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activeX/activeX1.xml" ContentType="application/vnd.ms-office.activeX+xml"/>
  <Override PartName="/xl/activeX/activeX1.bin" ContentType="application/vnd.ms-office.activeX"/>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activeX/activeX4.xml" ContentType="application/vnd.ms-office.activeX+xml"/>
  <Override PartName="/xl/activeX/activeX4.bin" ContentType="application/vnd.ms-office.activeX"/>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xml"/>
  <Override PartName="/xl/activeX/activeX5.xml" ContentType="application/vnd.ms-office.activeX+xml"/>
  <Override PartName="/xl/activeX/activeX5.bin" ContentType="application/vnd.ms-office.activeX"/>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activeX/activeX6.xml" ContentType="application/vnd.ms-office.activeX+xml"/>
  <Override PartName="/xl/activeX/activeX6.bin" ContentType="application/vnd.ms-office.activeX"/>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activeX/activeX7.xml" ContentType="application/vnd.ms-office.activeX+xml"/>
  <Override PartName="/xl/activeX/activeX7.bin" ContentType="application/vnd.ms-office.activeX"/>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xml"/>
  <Override PartName="/xl/activeX/activeX8.xml" ContentType="application/vnd.ms-office.activeX+xml"/>
  <Override PartName="/xl/activeX/activeX8.bin" ContentType="application/vnd.ms-office.activeX"/>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minimized="1" xWindow="0" yWindow="0" windowWidth="25200" windowHeight="12435" tabRatio="865" firstSheet="29" activeTab="47"/>
  </bookViews>
  <sheets>
    <sheet name="Index" sheetId="34" r:id="rId1"/>
    <sheet name="Mand_TLFDs" sheetId="2" r:id="rId2"/>
    <sheet name="mdc_input" sheetId="1" state="hidden" r:id="rId3"/>
    <sheet name="CountyFlows" sheetId="42" r:id="rId4"/>
    <sheet name="CountyFlows_input" sheetId="43" state="hidden" r:id="rId5"/>
    <sheet name="County_Scatter" sheetId="49" r:id="rId6"/>
    <sheet name="SectorFlows" sheetId="4" r:id="rId7"/>
    <sheet name="SectorFlows_input" sheetId="39" r:id="rId8"/>
    <sheet name="Sector_Scatter" sheetId="50" r:id="rId9"/>
    <sheet name="SXS_Transit_PA" sheetId="45" r:id="rId10"/>
    <sheet name="SXS_Transit_temp" sheetId="46" state="hidden" r:id="rId11"/>
    <sheet name="SXS_Transit_input" sheetId="48" state="hidden" r:id="rId12"/>
    <sheet name="AutoOwnership" sheetId="5" r:id="rId13"/>
    <sheet name="AO_CrossTabs" sheetId="6" r:id="rId14"/>
    <sheet name="AOCrossTab_input" sheetId="40" state="hidden" r:id="rId15"/>
    <sheet name="DAP" sheetId="7" r:id="rId16"/>
    <sheet name="DAP_input" sheetId="14" state="hidden" r:id="rId17"/>
    <sheet name="MTF" sheetId="8" r:id="rId18"/>
    <sheet name="mtf_input" sheetId="9" state="hidden" r:id="rId19"/>
    <sheet name="indiNM" sheetId="11" r:id="rId20"/>
    <sheet name="indiNM_input" sheetId="12" state="hidden" r:id="rId21"/>
    <sheet name="ToursSummary" sheetId="13" r:id="rId22"/>
    <sheet name="ToursSummary_input" sheetId="15" state="hidden" r:id="rId23"/>
    <sheet name="JTF" sheetId="16" r:id="rId24"/>
    <sheet name="JTF_input" sheetId="17" state="hidden" r:id="rId25"/>
    <sheet name="TOD" sheetId="18" r:id="rId26"/>
    <sheet name="TOD_input" sheetId="19" state="hidden" r:id="rId27"/>
    <sheet name="TourMode" sheetId="20" r:id="rId28"/>
    <sheet name="TourMode_input" sheetId="21" state="hidden" r:id="rId29"/>
    <sheet name="TourMode2CBD" sheetId="57" r:id="rId30"/>
    <sheet name="TourMode_inputCBD" sheetId="58" state="hidden" r:id="rId31"/>
    <sheet name="TourMode2" sheetId="53" r:id="rId32"/>
    <sheet name="nonMandDC" sheetId="22" r:id="rId33"/>
    <sheet name="nonMandDC_input" sheetId="23" state="hidden" r:id="rId34"/>
    <sheet name="TotalStops&amp;Trips" sheetId="37" r:id="rId35"/>
    <sheet name="StopFreq" sheetId="24" r:id="rId36"/>
    <sheet name="StopFreq_input" sheetId="25" state="hidden" r:id="rId37"/>
    <sheet name="StopPurpose" sheetId="28" r:id="rId38"/>
    <sheet name="StopPurpose_input" sheetId="29" state="hidden" r:id="rId39"/>
    <sheet name="StopLocation" sheetId="30" r:id="rId40"/>
    <sheet name="StopLocation_input" sheetId="31" state="hidden" r:id="rId41"/>
    <sheet name="StopDepTime" sheetId="32" r:id="rId42"/>
    <sheet name="StopDepTime_input" sheetId="33" state="hidden" r:id="rId43"/>
    <sheet name="TripDepTime" sheetId="35" r:id="rId44"/>
    <sheet name="TripDepTime_input" sheetId="36" state="hidden" r:id="rId45"/>
    <sheet name="TripMode" sheetId="26" r:id="rId46"/>
    <sheet name="TripMode_input" sheetId="27" state="hidden" r:id="rId47"/>
    <sheet name="TripMode2CBD" sheetId="55" r:id="rId48"/>
    <sheet name="TripMode_inputCBD" sheetId="56" state="hidden" r:id="rId49"/>
    <sheet name="TripMode2" sheetId="52" r:id="rId50"/>
    <sheet name="HIS_vs_OBS" sheetId="51" r:id="rId51"/>
    <sheet name="TransitBoarding" sheetId="38" r:id="rId52"/>
  </sheets>
  <definedNames>
    <definedName name="distBins">nonMandDC_input!$A$3:$A$23</definedName>
    <definedName name="modePurpose" localSheetId="30">TourMode_inputCBD!$V$4:$V$12</definedName>
    <definedName name="modePurpose">TourMode_input!$V$4:$V$12</definedName>
    <definedName name="modes" localSheetId="30">TourMode_inputCBD!$A$4:$A$17</definedName>
    <definedName name="modes">TourMode_input!$A$4:$A$17</definedName>
    <definedName name="nonMandPurposes">nonMandDC_input!$R$2:$R$7</definedName>
    <definedName name="PersonTypes">MTF!$B$15:$B$23</definedName>
    <definedName name="source">SectorFlows!$O$1:$O$2</definedName>
    <definedName name="stopLocBins">StopLocation_input!$A$3:$A$44</definedName>
    <definedName name="todBins">TOD_input!$A$4:$A$43</definedName>
    <definedName name="todPurpose">TOD_input!$AH$3:$AH$12</definedName>
  </definedNames>
  <calcPr calcId="162913"/>
</workbook>
</file>

<file path=xl/calcChain.xml><?xml version="1.0" encoding="utf-8"?>
<calcChain xmlns="http://schemas.openxmlformats.org/spreadsheetml/2006/main">
  <c r="C37" i="45" l="1"/>
  <c r="C38" i="45"/>
  <c r="C39" i="45"/>
  <c r="C40" i="45"/>
  <c r="C41" i="45"/>
  <c r="C42" i="45"/>
  <c r="C43" i="45"/>
  <c r="C44" i="45"/>
  <c r="C45" i="45"/>
  <c r="C46" i="45"/>
  <c r="C47" i="45"/>
  <c r="C48" i="45"/>
  <c r="C49" i="45"/>
  <c r="C50" i="45"/>
  <c r="C51" i="45"/>
  <c r="C52" i="45"/>
  <c r="C53" i="45"/>
  <c r="C54" i="45"/>
  <c r="C55" i="45"/>
  <c r="C56" i="45"/>
  <c r="C57" i="45"/>
  <c r="C58" i="45"/>
  <c r="C59" i="45"/>
  <c r="C60" i="45"/>
  <c r="D36" i="45"/>
  <c r="D37" i="45"/>
  <c r="D38" i="45"/>
  <c r="D39" i="45"/>
  <c r="D40" i="45"/>
  <c r="D41" i="45"/>
  <c r="D42" i="45"/>
  <c r="D43" i="45"/>
  <c r="D44" i="45"/>
  <c r="D45" i="45"/>
  <c r="D46" i="45"/>
  <c r="D47" i="45"/>
  <c r="D48" i="45"/>
  <c r="D49" i="45"/>
  <c r="D50" i="45"/>
  <c r="D51" i="45"/>
  <c r="D52" i="45"/>
  <c r="D53" i="45"/>
  <c r="D54" i="45"/>
  <c r="D55" i="45"/>
  <c r="D56" i="45"/>
  <c r="D57" i="45"/>
  <c r="D58" i="45"/>
  <c r="D59" i="45"/>
  <c r="D60" i="45"/>
  <c r="AC29" i="46"/>
  <c r="AD29" i="46"/>
  <c r="AE29" i="46"/>
  <c r="AF29" i="46"/>
  <c r="AG29" i="46"/>
  <c r="AH29" i="46"/>
  <c r="AI29" i="46"/>
  <c r="AJ29" i="46"/>
  <c r="AK29" i="46"/>
  <c r="AL29" i="46"/>
  <c r="AM29" i="46"/>
  <c r="AN29" i="46"/>
  <c r="AO29" i="46"/>
  <c r="AP29" i="46"/>
  <c r="AQ29" i="46"/>
  <c r="AR29" i="46"/>
  <c r="AS29" i="46"/>
  <c r="AT29" i="46"/>
  <c r="AU29" i="46"/>
  <c r="AV29" i="46"/>
  <c r="AW29" i="46"/>
  <c r="AX29" i="46"/>
  <c r="AY29" i="46"/>
  <c r="AZ29" i="46"/>
  <c r="AC30" i="46"/>
  <c r="AD30" i="46"/>
  <c r="AE30" i="46"/>
  <c r="AF30" i="46"/>
  <c r="AG30" i="46"/>
  <c r="AH30" i="46"/>
  <c r="AI30" i="46"/>
  <c r="AJ30" i="46"/>
  <c r="AK30" i="46"/>
  <c r="AL30" i="46"/>
  <c r="AM30" i="46"/>
  <c r="AN30" i="46"/>
  <c r="AO30" i="46"/>
  <c r="AP30" i="46"/>
  <c r="AQ30" i="46"/>
  <c r="AR30" i="46"/>
  <c r="AS30" i="46"/>
  <c r="AT30" i="46"/>
  <c r="AU30" i="46"/>
  <c r="AV30" i="46"/>
  <c r="AW30" i="46"/>
  <c r="AX30" i="46"/>
  <c r="AY30" i="46"/>
  <c r="AZ30" i="46"/>
  <c r="AC31" i="46"/>
  <c r="AD31" i="46"/>
  <c r="AE31" i="46"/>
  <c r="AF31" i="46"/>
  <c r="AG31" i="46"/>
  <c r="AH31" i="46"/>
  <c r="AI31" i="46"/>
  <c r="AJ31" i="46"/>
  <c r="AK31" i="46"/>
  <c r="AL31" i="46"/>
  <c r="AM31" i="46"/>
  <c r="AN31" i="46"/>
  <c r="AO31" i="46"/>
  <c r="AP31" i="46"/>
  <c r="AQ31" i="46"/>
  <c r="AR31" i="46"/>
  <c r="AS31" i="46"/>
  <c r="AT31" i="46"/>
  <c r="AU31" i="46"/>
  <c r="AV31" i="46"/>
  <c r="AW31" i="46"/>
  <c r="AX31" i="46"/>
  <c r="AY31" i="46"/>
  <c r="AZ31" i="46"/>
  <c r="AC32" i="46"/>
  <c r="AD32" i="46"/>
  <c r="AE32" i="46"/>
  <c r="AF32" i="46"/>
  <c r="AG32" i="46"/>
  <c r="AH32" i="46"/>
  <c r="AI32" i="46"/>
  <c r="AJ32" i="46"/>
  <c r="AK32" i="46"/>
  <c r="AL32" i="46"/>
  <c r="AM32" i="46"/>
  <c r="AN32" i="46"/>
  <c r="AO32" i="46"/>
  <c r="AP32" i="46"/>
  <c r="AQ32" i="46"/>
  <c r="AR32" i="46"/>
  <c r="AS32" i="46"/>
  <c r="AT32" i="46"/>
  <c r="AU32" i="46"/>
  <c r="AV32" i="46"/>
  <c r="AW32" i="46"/>
  <c r="AX32" i="46"/>
  <c r="AY32" i="46"/>
  <c r="AZ32" i="46"/>
  <c r="AC33" i="46"/>
  <c r="AD33" i="46"/>
  <c r="AE33" i="46"/>
  <c r="AF33" i="46"/>
  <c r="AG33" i="46"/>
  <c r="AH33" i="46"/>
  <c r="AI33" i="46"/>
  <c r="AJ33" i="46"/>
  <c r="AK33" i="46"/>
  <c r="AL33" i="46"/>
  <c r="AM33" i="46"/>
  <c r="AN33" i="46"/>
  <c r="AO33" i="46"/>
  <c r="AP33" i="46"/>
  <c r="AQ33" i="46"/>
  <c r="AR33" i="46"/>
  <c r="AS33" i="46"/>
  <c r="AT33" i="46"/>
  <c r="AU33" i="46"/>
  <c r="AV33" i="46"/>
  <c r="AW33" i="46"/>
  <c r="AX33" i="46"/>
  <c r="AY33" i="46"/>
  <c r="AZ33" i="46"/>
  <c r="AC34" i="46"/>
  <c r="AD34" i="46"/>
  <c r="AE34" i="46"/>
  <c r="AF34" i="46"/>
  <c r="AG34" i="46"/>
  <c r="AH34" i="46"/>
  <c r="AI34" i="46"/>
  <c r="AJ34" i="46"/>
  <c r="AK34" i="46"/>
  <c r="AL34" i="46"/>
  <c r="AM34" i="46"/>
  <c r="AN34" i="46"/>
  <c r="AO34" i="46"/>
  <c r="AP34" i="46"/>
  <c r="AQ34" i="46"/>
  <c r="AR34" i="46"/>
  <c r="AS34" i="46"/>
  <c r="AT34" i="46"/>
  <c r="AU34" i="46"/>
  <c r="AV34" i="46"/>
  <c r="AW34" i="46"/>
  <c r="AX34" i="46"/>
  <c r="AY34" i="46"/>
  <c r="AZ34" i="46"/>
  <c r="AC35" i="46"/>
  <c r="AD35" i="46"/>
  <c r="AE35" i="46"/>
  <c r="AF35" i="46"/>
  <c r="AG35" i="46"/>
  <c r="AH35" i="46"/>
  <c r="AI35" i="46"/>
  <c r="AJ35" i="46"/>
  <c r="AK35" i="46"/>
  <c r="AL35" i="46"/>
  <c r="AM35" i="46"/>
  <c r="AN35" i="46"/>
  <c r="AO35" i="46"/>
  <c r="AP35" i="46"/>
  <c r="AQ35" i="46"/>
  <c r="AR35" i="46"/>
  <c r="AS35" i="46"/>
  <c r="AT35" i="46"/>
  <c r="AU35" i="46"/>
  <c r="AV35" i="46"/>
  <c r="AW35" i="46"/>
  <c r="AX35" i="46"/>
  <c r="AY35" i="46"/>
  <c r="AZ35" i="46"/>
  <c r="AC36" i="46"/>
  <c r="AD36" i="46"/>
  <c r="AE36" i="46"/>
  <c r="AF36" i="46"/>
  <c r="AG36" i="46"/>
  <c r="AH36" i="46"/>
  <c r="AI36" i="46"/>
  <c r="AJ36" i="46"/>
  <c r="AK36" i="46"/>
  <c r="AL36" i="46"/>
  <c r="AM36" i="46"/>
  <c r="AN36" i="46"/>
  <c r="AO36" i="46"/>
  <c r="AP36" i="46"/>
  <c r="AQ36" i="46"/>
  <c r="AR36" i="46"/>
  <c r="AS36" i="46"/>
  <c r="AT36" i="46"/>
  <c r="AU36" i="46"/>
  <c r="AV36" i="46"/>
  <c r="AW36" i="46"/>
  <c r="AX36" i="46"/>
  <c r="AY36" i="46"/>
  <c r="AZ36" i="46"/>
  <c r="AC37" i="46"/>
  <c r="AD37" i="46"/>
  <c r="AE37" i="46"/>
  <c r="AF37" i="46"/>
  <c r="AG37" i="46"/>
  <c r="AH37" i="46"/>
  <c r="AI37" i="46"/>
  <c r="AJ37" i="46"/>
  <c r="AK37" i="46"/>
  <c r="AL37" i="46"/>
  <c r="AM37" i="46"/>
  <c r="AN37" i="46"/>
  <c r="AO37" i="46"/>
  <c r="AP37" i="46"/>
  <c r="AQ37" i="46"/>
  <c r="AR37" i="46"/>
  <c r="AS37" i="46"/>
  <c r="AT37" i="46"/>
  <c r="AU37" i="46"/>
  <c r="AV37" i="46"/>
  <c r="AW37" i="46"/>
  <c r="AX37" i="46"/>
  <c r="AY37" i="46"/>
  <c r="AZ37" i="46"/>
  <c r="AC38" i="46"/>
  <c r="AD38" i="46"/>
  <c r="AE38" i="46"/>
  <c r="AF38" i="46"/>
  <c r="AG38" i="46"/>
  <c r="AH38" i="46"/>
  <c r="AI38" i="46"/>
  <c r="AJ38" i="46"/>
  <c r="AK38" i="46"/>
  <c r="AL38" i="46"/>
  <c r="AM38" i="46"/>
  <c r="AN38" i="46"/>
  <c r="AO38" i="46"/>
  <c r="AP38" i="46"/>
  <c r="AQ38" i="46"/>
  <c r="AR38" i="46"/>
  <c r="AS38" i="46"/>
  <c r="AT38" i="46"/>
  <c r="AU38" i="46"/>
  <c r="AV38" i="46"/>
  <c r="AW38" i="46"/>
  <c r="AX38" i="46"/>
  <c r="AY38" i="46"/>
  <c r="AZ38" i="46"/>
  <c r="AC39" i="46"/>
  <c r="AD39" i="46"/>
  <c r="AE39" i="46"/>
  <c r="AF39" i="46"/>
  <c r="AG39" i="46"/>
  <c r="AH39" i="46"/>
  <c r="AI39" i="46"/>
  <c r="AJ39" i="46"/>
  <c r="AK39" i="46"/>
  <c r="AL39" i="46"/>
  <c r="AM39" i="46"/>
  <c r="AN39" i="46"/>
  <c r="AO39" i="46"/>
  <c r="AP39" i="46"/>
  <c r="AQ39" i="46"/>
  <c r="AR39" i="46"/>
  <c r="AS39" i="46"/>
  <c r="AT39" i="46"/>
  <c r="AU39" i="46"/>
  <c r="AV39" i="46"/>
  <c r="AW39" i="46"/>
  <c r="AX39" i="46"/>
  <c r="AY39" i="46"/>
  <c r="AZ39" i="46"/>
  <c r="AC40" i="46"/>
  <c r="AD40" i="46"/>
  <c r="AE40" i="46"/>
  <c r="AF40" i="46"/>
  <c r="AG40" i="46"/>
  <c r="AH40" i="46"/>
  <c r="AI40" i="46"/>
  <c r="AJ40" i="46"/>
  <c r="AK40" i="46"/>
  <c r="AL40" i="46"/>
  <c r="AM40" i="46"/>
  <c r="AN40" i="46"/>
  <c r="AO40" i="46"/>
  <c r="AP40" i="46"/>
  <c r="AQ40" i="46"/>
  <c r="AR40" i="46"/>
  <c r="AS40" i="46"/>
  <c r="AT40" i="46"/>
  <c r="AU40" i="46"/>
  <c r="AV40" i="46"/>
  <c r="AW40" i="46"/>
  <c r="AX40" i="46"/>
  <c r="AY40" i="46"/>
  <c r="AZ40" i="46"/>
  <c r="AC41" i="46"/>
  <c r="AD41" i="46"/>
  <c r="AE41" i="46"/>
  <c r="AF41" i="46"/>
  <c r="AG41" i="46"/>
  <c r="AH41" i="46"/>
  <c r="AI41" i="46"/>
  <c r="AJ41" i="46"/>
  <c r="AK41" i="46"/>
  <c r="AL41" i="46"/>
  <c r="AM41" i="46"/>
  <c r="AN41" i="46"/>
  <c r="AO41" i="46"/>
  <c r="AP41" i="46"/>
  <c r="AQ41" i="46"/>
  <c r="AR41" i="46"/>
  <c r="AS41" i="46"/>
  <c r="AT41" i="46"/>
  <c r="AU41" i="46"/>
  <c r="AV41" i="46"/>
  <c r="AW41" i="46"/>
  <c r="AX41" i="46"/>
  <c r="AY41" i="46"/>
  <c r="AZ41" i="46"/>
  <c r="AC42" i="46"/>
  <c r="AD42" i="46"/>
  <c r="AE42" i="46"/>
  <c r="AF42" i="46"/>
  <c r="AG42" i="46"/>
  <c r="AH42" i="46"/>
  <c r="AI42" i="46"/>
  <c r="AJ42" i="46"/>
  <c r="AK42" i="46"/>
  <c r="AL42" i="46"/>
  <c r="AM42" i="46"/>
  <c r="AN42" i="46"/>
  <c r="AO42" i="46"/>
  <c r="AP42" i="46"/>
  <c r="AQ42" i="46"/>
  <c r="AR42" i="46"/>
  <c r="AS42" i="46"/>
  <c r="AT42" i="46"/>
  <c r="AU42" i="46"/>
  <c r="AV42" i="46"/>
  <c r="AW42" i="46"/>
  <c r="AX42" i="46"/>
  <c r="AY42" i="46"/>
  <c r="AZ42" i="46"/>
  <c r="AC43" i="46"/>
  <c r="AD43" i="46"/>
  <c r="AE43" i="46"/>
  <c r="AF43" i="46"/>
  <c r="AG43" i="46"/>
  <c r="AH43" i="46"/>
  <c r="AI43" i="46"/>
  <c r="AJ43" i="46"/>
  <c r="AK43" i="46"/>
  <c r="AL43" i="46"/>
  <c r="AM43" i="46"/>
  <c r="AN43" i="46"/>
  <c r="AO43" i="46"/>
  <c r="AP43" i="46"/>
  <c r="AQ43" i="46"/>
  <c r="AR43" i="46"/>
  <c r="AS43" i="46"/>
  <c r="AT43" i="46"/>
  <c r="AU43" i="46"/>
  <c r="AV43" i="46"/>
  <c r="AW43" i="46"/>
  <c r="AX43" i="46"/>
  <c r="AY43" i="46"/>
  <c r="AZ43" i="46"/>
  <c r="AC44" i="46"/>
  <c r="AD44" i="46"/>
  <c r="AE44" i="46"/>
  <c r="AF44" i="46"/>
  <c r="AG44" i="46"/>
  <c r="AH44" i="46"/>
  <c r="AI44" i="46"/>
  <c r="AJ44" i="46"/>
  <c r="AK44" i="46"/>
  <c r="AL44" i="46"/>
  <c r="AM44" i="46"/>
  <c r="AN44" i="46"/>
  <c r="AO44" i="46"/>
  <c r="AP44" i="46"/>
  <c r="AQ44" i="46"/>
  <c r="AR44" i="46"/>
  <c r="AS44" i="46"/>
  <c r="AT44" i="46"/>
  <c r="AU44" i="46"/>
  <c r="AV44" i="46"/>
  <c r="AW44" i="46"/>
  <c r="AX44" i="46"/>
  <c r="AY44" i="46"/>
  <c r="AZ44" i="46"/>
  <c r="AC45" i="46"/>
  <c r="AD45" i="46"/>
  <c r="AE45" i="46"/>
  <c r="AF45" i="46"/>
  <c r="AG45" i="46"/>
  <c r="AH45" i="46"/>
  <c r="AI45" i="46"/>
  <c r="AJ45" i="46"/>
  <c r="AK45" i="46"/>
  <c r="AL45" i="46"/>
  <c r="AM45" i="46"/>
  <c r="AN45" i="46"/>
  <c r="AO45" i="46"/>
  <c r="AP45" i="46"/>
  <c r="AQ45" i="46"/>
  <c r="AR45" i="46"/>
  <c r="AS45" i="46"/>
  <c r="AT45" i="46"/>
  <c r="AU45" i="46"/>
  <c r="AV45" i="46"/>
  <c r="AW45" i="46"/>
  <c r="AX45" i="46"/>
  <c r="AY45" i="46"/>
  <c r="AZ45" i="46"/>
  <c r="AC46" i="46"/>
  <c r="AD46" i="46"/>
  <c r="AE46" i="46"/>
  <c r="AF46" i="46"/>
  <c r="AG46" i="46"/>
  <c r="AH46" i="46"/>
  <c r="AI46" i="46"/>
  <c r="AJ46" i="46"/>
  <c r="AK46" i="46"/>
  <c r="AL46" i="46"/>
  <c r="AM46" i="46"/>
  <c r="AN46" i="46"/>
  <c r="AO46" i="46"/>
  <c r="AP46" i="46"/>
  <c r="AQ46" i="46"/>
  <c r="AR46" i="46"/>
  <c r="AS46" i="46"/>
  <c r="AT46" i="46"/>
  <c r="AU46" i="46"/>
  <c r="AV46" i="46"/>
  <c r="AW46" i="46"/>
  <c r="AX46" i="46"/>
  <c r="AY46" i="46"/>
  <c r="AZ46" i="46"/>
  <c r="AC47" i="46"/>
  <c r="AD47" i="46"/>
  <c r="AE47" i="46"/>
  <c r="AF47" i="46"/>
  <c r="AG47" i="46"/>
  <c r="AH47" i="46"/>
  <c r="AI47" i="46"/>
  <c r="AJ47" i="46"/>
  <c r="AK47" i="46"/>
  <c r="AL47" i="46"/>
  <c r="AM47" i="46"/>
  <c r="AN47" i="46"/>
  <c r="AO47" i="46"/>
  <c r="AP47" i="46"/>
  <c r="AQ47" i="46"/>
  <c r="AR47" i="46"/>
  <c r="AS47" i="46"/>
  <c r="AT47" i="46"/>
  <c r="AU47" i="46"/>
  <c r="AV47" i="46"/>
  <c r="AW47" i="46"/>
  <c r="AX47" i="46"/>
  <c r="AY47" i="46"/>
  <c r="AZ47" i="46"/>
  <c r="AC48" i="46"/>
  <c r="AD48" i="46"/>
  <c r="AE48" i="46"/>
  <c r="AF48" i="46"/>
  <c r="AG48" i="46"/>
  <c r="AH48" i="46"/>
  <c r="AI48" i="46"/>
  <c r="AJ48" i="46"/>
  <c r="AK48" i="46"/>
  <c r="AL48" i="46"/>
  <c r="AM48" i="46"/>
  <c r="AN48" i="46"/>
  <c r="AO48" i="46"/>
  <c r="AP48" i="46"/>
  <c r="AQ48" i="46"/>
  <c r="AR48" i="46"/>
  <c r="AS48" i="46"/>
  <c r="AT48" i="46"/>
  <c r="AU48" i="46"/>
  <c r="AV48" i="46"/>
  <c r="AW48" i="46"/>
  <c r="AX48" i="46"/>
  <c r="AY48" i="46"/>
  <c r="AZ48" i="46"/>
  <c r="AC49" i="46"/>
  <c r="AD49" i="46"/>
  <c r="AE49" i="46"/>
  <c r="AF49" i="46"/>
  <c r="AG49" i="46"/>
  <c r="AH49" i="46"/>
  <c r="AI49" i="46"/>
  <c r="AJ49" i="46"/>
  <c r="AK49" i="46"/>
  <c r="AL49" i="46"/>
  <c r="AM49" i="46"/>
  <c r="AN49" i="46"/>
  <c r="AO49" i="46"/>
  <c r="AP49" i="46"/>
  <c r="AQ49" i="46"/>
  <c r="AR49" i="46"/>
  <c r="AS49" i="46"/>
  <c r="AT49" i="46"/>
  <c r="AU49" i="46"/>
  <c r="AV49" i="46"/>
  <c r="AW49" i="46"/>
  <c r="AX49" i="46"/>
  <c r="AY49" i="46"/>
  <c r="AZ49" i="46"/>
  <c r="AC50" i="46"/>
  <c r="AD50" i="46"/>
  <c r="AE50" i="46"/>
  <c r="AF50" i="46"/>
  <c r="AG50" i="46"/>
  <c r="AH50" i="46"/>
  <c r="AI50" i="46"/>
  <c r="AJ50" i="46"/>
  <c r="AK50" i="46"/>
  <c r="AL50" i="46"/>
  <c r="AM50" i="46"/>
  <c r="AN50" i="46"/>
  <c r="AO50" i="46"/>
  <c r="AP50" i="46"/>
  <c r="AQ50" i="46"/>
  <c r="AR50" i="46"/>
  <c r="AS50" i="46"/>
  <c r="AT50" i="46"/>
  <c r="AU50" i="46"/>
  <c r="AV50" i="46"/>
  <c r="AW50" i="46"/>
  <c r="AX50" i="46"/>
  <c r="AY50" i="46"/>
  <c r="AZ50" i="46"/>
  <c r="AC51" i="46"/>
  <c r="AD51" i="46"/>
  <c r="AE51" i="46"/>
  <c r="AF51" i="46"/>
  <c r="AG51" i="46"/>
  <c r="AH51" i="46"/>
  <c r="AI51" i="46"/>
  <c r="AJ51" i="46"/>
  <c r="AK51" i="46"/>
  <c r="AL51" i="46"/>
  <c r="AM51" i="46"/>
  <c r="AN51" i="46"/>
  <c r="AO51" i="46"/>
  <c r="AP51" i="46"/>
  <c r="AQ51" i="46"/>
  <c r="AR51" i="46"/>
  <c r="AS51" i="46"/>
  <c r="AT51" i="46"/>
  <c r="AU51" i="46"/>
  <c r="AV51" i="46"/>
  <c r="AW51" i="46"/>
  <c r="AX51" i="46"/>
  <c r="AY51" i="46"/>
  <c r="AZ51" i="46"/>
  <c r="AC52" i="46"/>
  <c r="AD52" i="46"/>
  <c r="AE52" i="46"/>
  <c r="AF52" i="46"/>
  <c r="AG52" i="46"/>
  <c r="AH52" i="46"/>
  <c r="AI52" i="46"/>
  <c r="AJ52" i="46"/>
  <c r="AK52" i="46"/>
  <c r="AL52" i="46"/>
  <c r="AM52" i="46"/>
  <c r="AN52" i="46"/>
  <c r="AO52" i="46"/>
  <c r="AP52" i="46"/>
  <c r="AQ52" i="46"/>
  <c r="AR52" i="46"/>
  <c r="AS52" i="46"/>
  <c r="AT52" i="46"/>
  <c r="AU52" i="46"/>
  <c r="AV52" i="46"/>
  <c r="AW52" i="46"/>
  <c r="AX52" i="46"/>
  <c r="AY52" i="46"/>
  <c r="AZ52" i="46"/>
  <c r="AC53" i="46"/>
  <c r="AD53" i="46"/>
  <c r="AE53" i="46"/>
  <c r="AF53" i="46"/>
  <c r="AG53" i="46"/>
  <c r="AH53" i="46"/>
  <c r="AI53" i="46"/>
  <c r="AJ53" i="46"/>
  <c r="AK53" i="46"/>
  <c r="AL53" i="46"/>
  <c r="AM53" i="46"/>
  <c r="AN53" i="46"/>
  <c r="AO53" i="46"/>
  <c r="AP53" i="46"/>
  <c r="AQ53" i="46"/>
  <c r="AR53" i="46"/>
  <c r="AS53" i="46"/>
  <c r="AT53" i="46"/>
  <c r="AU53" i="46"/>
  <c r="AV53" i="46"/>
  <c r="AW53" i="46"/>
  <c r="AX53" i="46"/>
  <c r="AY53" i="46"/>
  <c r="AZ53" i="46"/>
  <c r="AB30" i="46"/>
  <c r="AB31" i="46"/>
  <c r="AB32" i="46"/>
  <c r="AB33" i="46"/>
  <c r="AB34" i="46"/>
  <c r="AB35" i="46"/>
  <c r="AB36" i="46"/>
  <c r="AB37" i="46"/>
  <c r="AB38" i="46"/>
  <c r="AB39" i="46"/>
  <c r="AB40" i="46"/>
  <c r="AB41" i="46"/>
  <c r="AB42" i="46"/>
  <c r="AB43" i="46"/>
  <c r="AB44" i="46"/>
  <c r="AB45" i="46"/>
  <c r="AB46" i="46"/>
  <c r="AB47" i="46"/>
  <c r="AB48" i="46"/>
  <c r="AB49" i="46"/>
  <c r="AB50" i="46"/>
  <c r="AB51" i="46"/>
  <c r="AB52" i="46"/>
  <c r="AB53" i="46"/>
  <c r="AB29" i="46"/>
  <c r="AC3" i="46"/>
  <c r="AD3" i="46"/>
  <c r="AE3" i="46"/>
  <c r="AF3" i="46"/>
  <c r="AG3" i="46"/>
  <c r="AH3" i="46"/>
  <c r="AI3" i="46"/>
  <c r="AJ3" i="46"/>
  <c r="AK3" i="46"/>
  <c r="AL3" i="46"/>
  <c r="AM3" i="46"/>
  <c r="AN3" i="46"/>
  <c r="AO3" i="46"/>
  <c r="AP3" i="46"/>
  <c r="AQ3" i="46"/>
  <c r="AR3" i="46"/>
  <c r="AS3" i="46"/>
  <c r="AT3" i="46"/>
  <c r="AU3" i="46"/>
  <c r="AV3" i="46"/>
  <c r="AW3" i="46"/>
  <c r="AX3" i="46"/>
  <c r="AY3" i="46"/>
  <c r="AZ3" i="46"/>
  <c r="AC4" i="46"/>
  <c r="AD4" i="46"/>
  <c r="AE4" i="46"/>
  <c r="AF4" i="46"/>
  <c r="AG4" i="46"/>
  <c r="AH4" i="46"/>
  <c r="AI4" i="46"/>
  <c r="AJ4" i="46"/>
  <c r="AK4" i="46"/>
  <c r="AL4" i="46"/>
  <c r="AM4" i="46"/>
  <c r="AN4" i="46"/>
  <c r="AO4" i="46"/>
  <c r="AP4" i="46"/>
  <c r="AQ4" i="46"/>
  <c r="AR4" i="46"/>
  <c r="AS4" i="46"/>
  <c r="AT4" i="46"/>
  <c r="AU4" i="46"/>
  <c r="AV4" i="46"/>
  <c r="AW4" i="46"/>
  <c r="AX4" i="46"/>
  <c r="AY4" i="46"/>
  <c r="AZ4" i="46"/>
  <c r="AC5" i="46"/>
  <c r="AD5" i="46"/>
  <c r="AE5" i="46"/>
  <c r="AF5" i="46"/>
  <c r="AG5" i="46"/>
  <c r="AH5" i="46"/>
  <c r="AI5" i="46"/>
  <c r="AJ5" i="46"/>
  <c r="AK5" i="46"/>
  <c r="AL5" i="46"/>
  <c r="AM5" i="46"/>
  <c r="AN5" i="46"/>
  <c r="AO5" i="46"/>
  <c r="AP5" i="46"/>
  <c r="AQ5" i="46"/>
  <c r="AR5" i="46"/>
  <c r="AS5" i="46"/>
  <c r="AT5" i="46"/>
  <c r="AU5" i="46"/>
  <c r="AV5" i="46"/>
  <c r="AW5" i="46"/>
  <c r="AX5" i="46"/>
  <c r="AY5" i="46"/>
  <c r="AZ5" i="46"/>
  <c r="AC6" i="46"/>
  <c r="AD6" i="46"/>
  <c r="AE6" i="46"/>
  <c r="AF6" i="46"/>
  <c r="AG6" i="46"/>
  <c r="AH6" i="46"/>
  <c r="AI6" i="46"/>
  <c r="AJ6" i="46"/>
  <c r="AK6" i="46"/>
  <c r="AL6" i="46"/>
  <c r="AM6" i="46"/>
  <c r="AN6" i="46"/>
  <c r="AO6" i="46"/>
  <c r="AP6" i="46"/>
  <c r="AQ6" i="46"/>
  <c r="AR6" i="46"/>
  <c r="AS6" i="46"/>
  <c r="AT6" i="46"/>
  <c r="AU6" i="46"/>
  <c r="AV6" i="46"/>
  <c r="AW6" i="46"/>
  <c r="AX6" i="46"/>
  <c r="AY6" i="46"/>
  <c r="AZ6" i="46"/>
  <c r="AC7" i="46"/>
  <c r="AD7" i="46"/>
  <c r="AE7" i="46"/>
  <c r="AF7" i="46"/>
  <c r="AG7" i="46"/>
  <c r="AH7" i="46"/>
  <c r="AI7" i="46"/>
  <c r="AJ7" i="46"/>
  <c r="AK7" i="46"/>
  <c r="AL7" i="46"/>
  <c r="AM7" i="46"/>
  <c r="AN7" i="46"/>
  <c r="AO7" i="46"/>
  <c r="AP7" i="46"/>
  <c r="AQ7" i="46"/>
  <c r="AR7" i="46"/>
  <c r="AS7" i="46"/>
  <c r="AT7" i="46"/>
  <c r="AU7" i="46"/>
  <c r="AV7" i="46"/>
  <c r="AW7" i="46"/>
  <c r="AX7" i="46"/>
  <c r="AY7" i="46"/>
  <c r="AZ7" i="46"/>
  <c r="AC8" i="46"/>
  <c r="AD8" i="46"/>
  <c r="AE8" i="46"/>
  <c r="AF8" i="46"/>
  <c r="AG8" i="46"/>
  <c r="AH8" i="46"/>
  <c r="AI8" i="46"/>
  <c r="AJ8" i="46"/>
  <c r="AK8" i="46"/>
  <c r="AL8" i="46"/>
  <c r="AM8" i="46"/>
  <c r="AN8" i="46"/>
  <c r="AO8" i="46"/>
  <c r="AP8" i="46"/>
  <c r="AQ8" i="46"/>
  <c r="AR8" i="46"/>
  <c r="AS8" i="46"/>
  <c r="AT8" i="46"/>
  <c r="AU8" i="46"/>
  <c r="AV8" i="46"/>
  <c r="AW8" i="46"/>
  <c r="AX8" i="46"/>
  <c r="AY8" i="46"/>
  <c r="AZ8" i="46"/>
  <c r="AC9" i="46"/>
  <c r="AD9" i="46"/>
  <c r="AE9" i="46"/>
  <c r="AF9" i="46"/>
  <c r="AG9" i="46"/>
  <c r="AH9" i="46"/>
  <c r="AI9" i="46"/>
  <c r="AJ9" i="46"/>
  <c r="AK9" i="46"/>
  <c r="AL9" i="46"/>
  <c r="AM9" i="46"/>
  <c r="AN9" i="46"/>
  <c r="AO9" i="46"/>
  <c r="AP9" i="46"/>
  <c r="AQ9" i="46"/>
  <c r="AR9" i="46"/>
  <c r="AS9" i="46"/>
  <c r="AT9" i="46"/>
  <c r="AU9" i="46"/>
  <c r="AV9" i="46"/>
  <c r="AW9" i="46"/>
  <c r="AX9" i="46"/>
  <c r="AY9" i="46"/>
  <c r="AZ9" i="46"/>
  <c r="AC10" i="46"/>
  <c r="AD10" i="46"/>
  <c r="AE10" i="46"/>
  <c r="AF10" i="46"/>
  <c r="AG10" i="46"/>
  <c r="AH10" i="46"/>
  <c r="AI10" i="46"/>
  <c r="AJ10" i="46"/>
  <c r="AK10" i="46"/>
  <c r="AL10" i="46"/>
  <c r="AM10" i="46"/>
  <c r="AN10" i="46"/>
  <c r="AO10" i="46"/>
  <c r="AP10" i="46"/>
  <c r="AQ10" i="46"/>
  <c r="AR10" i="46"/>
  <c r="AS10" i="46"/>
  <c r="AT10" i="46"/>
  <c r="AU10" i="46"/>
  <c r="AV10" i="46"/>
  <c r="AW10" i="46"/>
  <c r="AX10" i="46"/>
  <c r="AY10" i="46"/>
  <c r="AZ10" i="46"/>
  <c r="AC11" i="46"/>
  <c r="AD11" i="46"/>
  <c r="AE11" i="46"/>
  <c r="AF11" i="46"/>
  <c r="AG11" i="46"/>
  <c r="AH11" i="46"/>
  <c r="AI11" i="46"/>
  <c r="AJ11" i="46"/>
  <c r="AK11" i="46"/>
  <c r="AL11" i="46"/>
  <c r="AM11" i="46"/>
  <c r="AN11" i="46"/>
  <c r="AO11" i="46"/>
  <c r="AP11" i="46"/>
  <c r="AQ11" i="46"/>
  <c r="AR11" i="46"/>
  <c r="AS11" i="46"/>
  <c r="AT11" i="46"/>
  <c r="AU11" i="46"/>
  <c r="AV11" i="46"/>
  <c r="AW11" i="46"/>
  <c r="AX11" i="46"/>
  <c r="AY11" i="46"/>
  <c r="AZ11" i="46"/>
  <c r="AC12" i="46"/>
  <c r="AD12" i="46"/>
  <c r="AE12" i="46"/>
  <c r="AF12" i="46"/>
  <c r="AG12" i="46"/>
  <c r="AH12" i="46"/>
  <c r="AI12" i="46"/>
  <c r="AJ12" i="46"/>
  <c r="AK12" i="46"/>
  <c r="AL12" i="46"/>
  <c r="AM12" i="46"/>
  <c r="AN12" i="46"/>
  <c r="AO12" i="46"/>
  <c r="AP12" i="46"/>
  <c r="AQ12" i="46"/>
  <c r="AR12" i="46"/>
  <c r="AS12" i="46"/>
  <c r="AT12" i="46"/>
  <c r="AU12" i="46"/>
  <c r="AV12" i="46"/>
  <c r="AW12" i="46"/>
  <c r="AX12" i="46"/>
  <c r="AY12" i="46"/>
  <c r="AZ12" i="46"/>
  <c r="AC13" i="46"/>
  <c r="AD13" i="46"/>
  <c r="AE13" i="46"/>
  <c r="AF13" i="46"/>
  <c r="AG13" i="46"/>
  <c r="AH13" i="46"/>
  <c r="AI13" i="46"/>
  <c r="AJ13" i="46"/>
  <c r="AK13" i="46"/>
  <c r="AL13" i="46"/>
  <c r="AM13" i="46"/>
  <c r="AN13" i="46"/>
  <c r="AO13" i="46"/>
  <c r="AP13" i="46"/>
  <c r="AQ13" i="46"/>
  <c r="AR13" i="46"/>
  <c r="AS13" i="46"/>
  <c r="AT13" i="46"/>
  <c r="AU13" i="46"/>
  <c r="AV13" i="46"/>
  <c r="AW13" i="46"/>
  <c r="AX13" i="46"/>
  <c r="AY13" i="46"/>
  <c r="AZ13" i="46"/>
  <c r="AC14" i="46"/>
  <c r="AD14" i="46"/>
  <c r="AE14" i="46"/>
  <c r="AF14" i="46"/>
  <c r="AG14" i="46"/>
  <c r="AH14" i="46"/>
  <c r="AI14" i="46"/>
  <c r="AJ14" i="46"/>
  <c r="AK14" i="46"/>
  <c r="AL14" i="46"/>
  <c r="AM14" i="46"/>
  <c r="AN14" i="46"/>
  <c r="AO14" i="46"/>
  <c r="AP14" i="46"/>
  <c r="AQ14" i="46"/>
  <c r="AR14" i="46"/>
  <c r="AS14" i="46"/>
  <c r="AT14" i="46"/>
  <c r="AU14" i="46"/>
  <c r="AV14" i="46"/>
  <c r="AW14" i="46"/>
  <c r="AX14" i="46"/>
  <c r="AY14" i="46"/>
  <c r="AZ14" i="46"/>
  <c r="AC15" i="46"/>
  <c r="AD15" i="46"/>
  <c r="AE15" i="46"/>
  <c r="AF15" i="46"/>
  <c r="AG15" i="46"/>
  <c r="AH15" i="46"/>
  <c r="AI15" i="46"/>
  <c r="AJ15" i="46"/>
  <c r="AK15" i="46"/>
  <c r="AL15" i="46"/>
  <c r="AM15" i="46"/>
  <c r="AN15" i="46"/>
  <c r="AO15" i="46"/>
  <c r="AP15" i="46"/>
  <c r="AQ15" i="46"/>
  <c r="AR15" i="46"/>
  <c r="AS15" i="46"/>
  <c r="AT15" i="46"/>
  <c r="AU15" i="46"/>
  <c r="AV15" i="46"/>
  <c r="AW15" i="46"/>
  <c r="AX15" i="46"/>
  <c r="AY15" i="46"/>
  <c r="AZ15" i="46"/>
  <c r="AC16" i="46"/>
  <c r="AD16" i="46"/>
  <c r="AE16" i="46"/>
  <c r="AF16" i="46"/>
  <c r="AG16" i="46"/>
  <c r="AH16" i="46"/>
  <c r="AI16" i="46"/>
  <c r="AJ16" i="46"/>
  <c r="AK16" i="46"/>
  <c r="AL16" i="46"/>
  <c r="AM16" i="46"/>
  <c r="AN16" i="46"/>
  <c r="AO16" i="46"/>
  <c r="AP16" i="46"/>
  <c r="AQ16" i="46"/>
  <c r="AR16" i="46"/>
  <c r="AS16" i="46"/>
  <c r="AT16" i="46"/>
  <c r="AU16" i="46"/>
  <c r="AV16" i="46"/>
  <c r="AW16" i="46"/>
  <c r="AX16" i="46"/>
  <c r="AY16" i="46"/>
  <c r="AZ16" i="46"/>
  <c r="AC17" i="46"/>
  <c r="AD17" i="46"/>
  <c r="AE17" i="46"/>
  <c r="AF17" i="46"/>
  <c r="AG17" i="46"/>
  <c r="AH17" i="46"/>
  <c r="AI17" i="46"/>
  <c r="AJ17" i="46"/>
  <c r="AK17" i="46"/>
  <c r="AL17" i="46"/>
  <c r="AM17" i="46"/>
  <c r="AN17" i="46"/>
  <c r="AO17" i="46"/>
  <c r="AP17" i="46"/>
  <c r="AQ17" i="46"/>
  <c r="AR17" i="46"/>
  <c r="AS17" i="46"/>
  <c r="AT17" i="46"/>
  <c r="AU17" i="46"/>
  <c r="AV17" i="46"/>
  <c r="AW17" i="46"/>
  <c r="AX17" i="46"/>
  <c r="AY17" i="46"/>
  <c r="AZ17" i="46"/>
  <c r="AC18" i="46"/>
  <c r="AD18" i="46"/>
  <c r="AE18" i="46"/>
  <c r="AF18" i="46"/>
  <c r="AG18" i="46"/>
  <c r="AH18" i="46"/>
  <c r="AI18" i="46"/>
  <c r="AJ18" i="46"/>
  <c r="AK18" i="46"/>
  <c r="AL18" i="46"/>
  <c r="AM18" i="46"/>
  <c r="AN18" i="46"/>
  <c r="AO18" i="46"/>
  <c r="AP18" i="46"/>
  <c r="AQ18" i="46"/>
  <c r="AR18" i="46"/>
  <c r="AS18" i="46"/>
  <c r="AT18" i="46"/>
  <c r="AU18" i="46"/>
  <c r="AV18" i="46"/>
  <c r="AW18" i="46"/>
  <c r="AX18" i="46"/>
  <c r="AY18" i="46"/>
  <c r="AZ18" i="46"/>
  <c r="AC19" i="46"/>
  <c r="AD19" i="46"/>
  <c r="AE19" i="46"/>
  <c r="AF19" i="46"/>
  <c r="AG19" i="46"/>
  <c r="AH19" i="46"/>
  <c r="AI19" i="46"/>
  <c r="AJ19" i="46"/>
  <c r="AK19" i="46"/>
  <c r="AL19" i="46"/>
  <c r="AM19" i="46"/>
  <c r="AN19" i="46"/>
  <c r="AO19" i="46"/>
  <c r="AP19" i="46"/>
  <c r="AQ19" i="46"/>
  <c r="AR19" i="46"/>
  <c r="AS19" i="46"/>
  <c r="AT19" i="46"/>
  <c r="AU19" i="46"/>
  <c r="AV19" i="46"/>
  <c r="AW19" i="46"/>
  <c r="AX19" i="46"/>
  <c r="AY19" i="46"/>
  <c r="AZ19" i="46"/>
  <c r="AC20" i="46"/>
  <c r="AD20" i="46"/>
  <c r="AE20" i="46"/>
  <c r="AF20" i="46"/>
  <c r="AG20" i="46"/>
  <c r="AH20" i="46"/>
  <c r="AI20" i="46"/>
  <c r="AJ20" i="46"/>
  <c r="AK20" i="46"/>
  <c r="AL20" i="46"/>
  <c r="AM20" i="46"/>
  <c r="AN20" i="46"/>
  <c r="AO20" i="46"/>
  <c r="AP20" i="46"/>
  <c r="AQ20" i="46"/>
  <c r="AR20" i="46"/>
  <c r="AS20" i="46"/>
  <c r="AT20" i="46"/>
  <c r="AU20" i="46"/>
  <c r="AV20" i="46"/>
  <c r="AW20" i="46"/>
  <c r="AX20" i="46"/>
  <c r="AY20" i="46"/>
  <c r="AZ20" i="46"/>
  <c r="AC21" i="46"/>
  <c r="AD21" i="46"/>
  <c r="AE21" i="46"/>
  <c r="AF21" i="46"/>
  <c r="AG21" i="46"/>
  <c r="AH21" i="46"/>
  <c r="AI21" i="46"/>
  <c r="AJ21" i="46"/>
  <c r="AK21" i="46"/>
  <c r="AL21" i="46"/>
  <c r="AM21" i="46"/>
  <c r="AN21" i="46"/>
  <c r="AO21" i="46"/>
  <c r="AP21" i="46"/>
  <c r="AQ21" i="46"/>
  <c r="AR21" i="46"/>
  <c r="AS21" i="46"/>
  <c r="AT21" i="46"/>
  <c r="AU21" i="46"/>
  <c r="AV21" i="46"/>
  <c r="AW21" i="46"/>
  <c r="AX21" i="46"/>
  <c r="AY21" i="46"/>
  <c r="AZ21" i="46"/>
  <c r="AC22" i="46"/>
  <c r="AD22" i="46"/>
  <c r="AE22" i="46"/>
  <c r="AF22" i="46"/>
  <c r="AG22" i="46"/>
  <c r="AH22" i="46"/>
  <c r="AI22" i="46"/>
  <c r="AJ22" i="46"/>
  <c r="AK22" i="46"/>
  <c r="AL22" i="46"/>
  <c r="AM22" i="46"/>
  <c r="AN22" i="46"/>
  <c r="AO22" i="46"/>
  <c r="AP22" i="46"/>
  <c r="AQ22" i="46"/>
  <c r="AR22" i="46"/>
  <c r="AS22" i="46"/>
  <c r="AT22" i="46"/>
  <c r="AU22" i="46"/>
  <c r="AV22" i="46"/>
  <c r="AW22" i="46"/>
  <c r="AX22" i="46"/>
  <c r="AY22" i="46"/>
  <c r="AZ22" i="46"/>
  <c r="AC23" i="46"/>
  <c r="AD23" i="46"/>
  <c r="AE23" i="46"/>
  <c r="AF23" i="46"/>
  <c r="AG23" i="46"/>
  <c r="AH23" i="46"/>
  <c r="AI23" i="46"/>
  <c r="AJ23" i="46"/>
  <c r="AK23" i="46"/>
  <c r="AL23" i="46"/>
  <c r="AM23" i="46"/>
  <c r="AN23" i="46"/>
  <c r="AO23" i="46"/>
  <c r="AP23" i="46"/>
  <c r="AQ23" i="46"/>
  <c r="AR23" i="46"/>
  <c r="AS23" i="46"/>
  <c r="AT23" i="46"/>
  <c r="AU23" i="46"/>
  <c r="AV23" i="46"/>
  <c r="AW23" i="46"/>
  <c r="AX23" i="46"/>
  <c r="AY23" i="46"/>
  <c r="AZ23" i="46"/>
  <c r="AC24" i="46"/>
  <c r="AD24" i="46"/>
  <c r="AE24" i="46"/>
  <c r="AF24" i="46"/>
  <c r="AG24" i="46"/>
  <c r="AH24" i="46"/>
  <c r="AI24" i="46"/>
  <c r="AJ24" i="46"/>
  <c r="AK24" i="46"/>
  <c r="AL24" i="46"/>
  <c r="AM24" i="46"/>
  <c r="AN24" i="46"/>
  <c r="AO24" i="46"/>
  <c r="AP24" i="46"/>
  <c r="AQ24" i="46"/>
  <c r="AR24" i="46"/>
  <c r="AS24" i="46"/>
  <c r="AT24" i="46"/>
  <c r="AU24" i="46"/>
  <c r="AV24" i="46"/>
  <c r="AW24" i="46"/>
  <c r="AX24" i="46"/>
  <c r="AY24" i="46"/>
  <c r="AZ24" i="46"/>
  <c r="AC25" i="46"/>
  <c r="AD25" i="46"/>
  <c r="AE25" i="46"/>
  <c r="AF25" i="46"/>
  <c r="AG25" i="46"/>
  <c r="AH25" i="46"/>
  <c r="AI25" i="46"/>
  <c r="AJ25" i="46"/>
  <c r="AK25" i="46"/>
  <c r="AL25" i="46"/>
  <c r="AM25" i="46"/>
  <c r="AN25" i="46"/>
  <c r="AO25" i="46"/>
  <c r="AP25" i="46"/>
  <c r="AQ25" i="46"/>
  <c r="AR25" i="46"/>
  <c r="AS25" i="46"/>
  <c r="AT25" i="46"/>
  <c r="AU25" i="46"/>
  <c r="AV25" i="46"/>
  <c r="AW25" i="46"/>
  <c r="AX25" i="46"/>
  <c r="AY25" i="46"/>
  <c r="AZ25" i="46"/>
  <c r="AC26" i="46"/>
  <c r="AD26" i="46"/>
  <c r="AE26" i="46"/>
  <c r="AF26" i="46"/>
  <c r="AG26" i="46"/>
  <c r="AH26" i="46"/>
  <c r="AI26" i="46"/>
  <c r="AJ26" i="46"/>
  <c r="AK26" i="46"/>
  <c r="AL26" i="46"/>
  <c r="AM26" i="46"/>
  <c r="AN26" i="46"/>
  <c r="AO26" i="46"/>
  <c r="AP26" i="46"/>
  <c r="AQ26" i="46"/>
  <c r="AR26" i="46"/>
  <c r="AS26" i="46"/>
  <c r="AT26" i="46"/>
  <c r="AU26" i="46"/>
  <c r="AV26" i="46"/>
  <c r="AW26" i="46"/>
  <c r="AX26" i="46"/>
  <c r="AY26" i="46"/>
  <c r="AZ26" i="46"/>
  <c r="AC27" i="46"/>
  <c r="AD27" i="46"/>
  <c r="AE27" i="46"/>
  <c r="AF27" i="46"/>
  <c r="AG27" i="46"/>
  <c r="AH27" i="46"/>
  <c r="AI27" i="46"/>
  <c r="AJ27" i="46"/>
  <c r="AK27" i="46"/>
  <c r="AL27" i="46"/>
  <c r="AM27" i="46"/>
  <c r="AN27" i="46"/>
  <c r="AO27" i="46"/>
  <c r="AP27" i="46"/>
  <c r="AQ27" i="46"/>
  <c r="AR27" i="46"/>
  <c r="AS27" i="46"/>
  <c r="AT27" i="46"/>
  <c r="AU27" i="46"/>
  <c r="AV27" i="46"/>
  <c r="AW27" i="46"/>
  <c r="AX27" i="46"/>
  <c r="AY27" i="46"/>
  <c r="AZ27" i="46"/>
  <c r="AB4" i="46"/>
  <c r="AB5" i="46"/>
  <c r="AB6" i="46"/>
  <c r="AB7" i="46"/>
  <c r="AB8" i="46"/>
  <c r="AB9" i="46"/>
  <c r="AB10" i="46"/>
  <c r="AB11" i="46"/>
  <c r="AB12" i="46"/>
  <c r="AB13" i="46"/>
  <c r="AB14" i="46"/>
  <c r="AB15" i="46"/>
  <c r="AB16" i="46"/>
  <c r="AB17" i="46"/>
  <c r="AB18" i="46"/>
  <c r="AB19" i="46"/>
  <c r="AB20" i="46"/>
  <c r="AB21" i="46"/>
  <c r="AB22" i="46"/>
  <c r="AB23" i="46"/>
  <c r="AB24" i="46"/>
  <c r="AB25" i="46"/>
  <c r="AB26" i="46"/>
  <c r="AB27" i="46"/>
  <c r="AB3" i="46"/>
  <c r="AA53" i="6"/>
  <c r="AB53" i="6"/>
  <c r="AC53" i="6"/>
  <c r="AD53" i="6"/>
  <c r="AE53" i="6"/>
  <c r="AA54" i="6"/>
  <c r="AB54" i="6"/>
  <c r="AC54" i="6"/>
  <c r="AD54" i="6"/>
  <c r="AE54" i="6"/>
  <c r="AA55" i="6"/>
  <c r="AB55" i="6"/>
  <c r="AC55" i="6"/>
  <c r="AD55" i="6"/>
  <c r="AE55" i="6"/>
  <c r="AA56" i="6"/>
  <c r="AB56" i="6"/>
  <c r="AC56" i="6"/>
  <c r="AD56" i="6"/>
  <c r="AE56" i="6"/>
  <c r="AA57" i="6"/>
  <c r="AB57" i="6"/>
  <c r="AC57" i="6"/>
  <c r="AD57" i="6"/>
  <c r="AE57" i="6"/>
  <c r="AB52" i="6"/>
  <c r="AC52" i="6"/>
  <c r="AD52" i="6"/>
  <c r="AE52" i="6"/>
  <c r="AA52" i="6"/>
  <c r="AA44" i="6"/>
  <c r="AB44" i="6"/>
  <c r="AC44" i="6"/>
  <c r="AD44" i="6"/>
  <c r="AE44" i="6"/>
  <c r="AA45" i="6"/>
  <c r="AB45" i="6"/>
  <c r="AC45" i="6"/>
  <c r="AD45" i="6"/>
  <c r="AE45" i="6"/>
  <c r="AA46" i="6"/>
  <c r="AB46" i="6"/>
  <c r="AC46" i="6"/>
  <c r="AD46" i="6"/>
  <c r="AE46" i="6"/>
  <c r="AA47" i="6"/>
  <c r="AB47" i="6"/>
  <c r="AC47" i="6"/>
  <c r="AD47" i="6"/>
  <c r="AE47" i="6"/>
  <c r="AA48" i="6"/>
  <c r="AB48" i="6"/>
  <c r="AC48" i="6"/>
  <c r="AD48" i="6"/>
  <c r="AE48" i="6"/>
  <c r="AB43" i="6"/>
  <c r="AC43" i="6"/>
  <c r="AD43" i="6"/>
  <c r="AE43" i="6"/>
  <c r="AA43" i="6"/>
  <c r="AA35" i="6"/>
  <c r="AB35" i="6"/>
  <c r="AC35" i="6"/>
  <c r="AD35" i="6"/>
  <c r="AE35" i="6"/>
  <c r="AA36" i="6"/>
  <c r="AB36" i="6"/>
  <c r="AC36" i="6"/>
  <c r="AD36" i="6"/>
  <c r="AE36" i="6"/>
  <c r="AA37" i="6"/>
  <c r="AB37" i="6"/>
  <c r="AC37" i="6"/>
  <c r="AD37" i="6"/>
  <c r="AE37" i="6"/>
  <c r="AA38" i="6"/>
  <c r="AB38" i="6"/>
  <c r="AC38" i="6"/>
  <c r="AD38" i="6"/>
  <c r="AE38" i="6"/>
  <c r="AA39" i="6"/>
  <c r="AB39" i="6"/>
  <c r="AC39" i="6"/>
  <c r="AD39" i="6"/>
  <c r="AE39" i="6"/>
  <c r="AB34" i="6"/>
  <c r="AC34" i="6"/>
  <c r="AD34" i="6"/>
  <c r="AE34" i="6"/>
  <c r="AA34" i="6"/>
  <c r="AB24" i="6"/>
  <c r="AC24" i="6"/>
  <c r="AD24" i="6"/>
  <c r="AE24" i="6"/>
  <c r="AB25" i="6"/>
  <c r="AC25" i="6"/>
  <c r="AD25" i="6"/>
  <c r="AE25" i="6"/>
  <c r="AB26" i="6"/>
  <c r="AC26" i="6"/>
  <c r="AD26" i="6"/>
  <c r="AE26" i="6"/>
  <c r="AB27" i="6"/>
  <c r="AC27" i="6"/>
  <c r="AD27" i="6"/>
  <c r="AE27" i="6"/>
  <c r="AB28" i="6"/>
  <c r="AC28" i="6"/>
  <c r="AD28" i="6"/>
  <c r="AE28" i="6"/>
  <c r="AB29" i="6"/>
  <c r="AC29" i="6"/>
  <c r="AD29" i="6"/>
  <c r="AE29" i="6"/>
  <c r="AA25" i="6"/>
  <c r="AA26" i="6"/>
  <c r="AA27" i="6"/>
  <c r="AA28" i="6"/>
  <c r="AA29" i="6"/>
  <c r="AA24" i="6"/>
  <c r="O11" i="6"/>
  <c r="AB15" i="6"/>
  <c r="AC15" i="6"/>
  <c r="AD15" i="6"/>
  <c r="AE15" i="6"/>
  <c r="AB16" i="6"/>
  <c r="AC16" i="6"/>
  <c r="AD16" i="6"/>
  <c r="AE16" i="6"/>
  <c r="AB17" i="6"/>
  <c r="AC17" i="6"/>
  <c r="AD17" i="6"/>
  <c r="AE17" i="6"/>
  <c r="AB18" i="6"/>
  <c r="AC18" i="6"/>
  <c r="AD18" i="6"/>
  <c r="AE18" i="6"/>
  <c r="AB19" i="6"/>
  <c r="AC19" i="6"/>
  <c r="AD19" i="6"/>
  <c r="AE19" i="6"/>
  <c r="AB20" i="6"/>
  <c r="AC20" i="6"/>
  <c r="AD20" i="6"/>
  <c r="AE20" i="6"/>
  <c r="AA16" i="6"/>
  <c r="AA17" i="6"/>
  <c r="AA18" i="6"/>
  <c r="AA19" i="6"/>
  <c r="AA20" i="6"/>
  <c r="AA15" i="6"/>
  <c r="AB6" i="6"/>
  <c r="AC6" i="6"/>
  <c r="AD6" i="6"/>
  <c r="AE6" i="6"/>
  <c r="AB7" i="6"/>
  <c r="AC7" i="6"/>
  <c r="AD7" i="6"/>
  <c r="AE7" i="6"/>
  <c r="AB8" i="6"/>
  <c r="AC8" i="6"/>
  <c r="AD8" i="6"/>
  <c r="AE8" i="6"/>
  <c r="AB9" i="6"/>
  <c r="AC9" i="6"/>
  <c r="AD9" i="6"/>
  <c r="AE9" i="6"/>
  <c r="AB10" i="6"/>
  <c r="AC10" i="6"/>
  <c r="AD10" i="6"/>
  <c r="AE10" i="6"/>
  <c r="AB11" i="6"/>
  <c r="AC11" i="6"/>
  <c r="AD11" i="6"/>
  <c r="AE11" i="6"/>
  <c r="AA7" i="6"/>
  <c r="AA8" i="6"/>
  <c r="AA9" i="6"/>
  <c r="AA10" i="6"/>
  <c r="AA11" i="6"/>
  <c r="AA6" i="6"/>
  <c r="AQ55" i="55"/>
  <c r="AR55" i="55"/>
  <c r="AS55" i="55"/>
  <c r="AT55" i="55"/>
  <c r="AU55" i="55"/>
  <c r="AV55" i="55"/>
  <c r="AW55" i="55"/>
  <c r="AX55" i="55"/>
  <c r="AY55" i="55"/>
  <c r="AZ55" i="55"/>
  <c r="BA55" i="55"/>
  <c r="BB55" i="55"/>
  <c r="AQ56" i="55"/>
  <c r="AR56" i="55"/>
  <c r="AS56" i="55"/>
  <c r="AT56" i="55"/>
  <c r="AU56" i="55"/>
  <c r="AV56" i="55"/>
  <c r="AW56" i="55"/>
  <c r="AX56" i="55"/>
  <c r="AY56" i="55"/>
  <c r="AZ56" i="55"/>
  <c r="BA56" i="55"/>
  <c r="BB56" i="55"/>
  <c r="AQ57" i="55"/>
  <c r="AR57" i="55"/>
  <c r="AS57" i="55"/>
  <c r="AT57" i="55"/>
  <c r="AU57" i="55"/>
  <c r="AV57" i="55"/>
  <c r="AW57" i="55"/>
  <c r="AX57" i="55"/>
  <c r="AY57" i="55"/>
  <c r="AZ57" i="55"/>
  <c r="BA57" i="55"/>
  <c r="BB57" i="55"/>
  <c r="AQ58" i="55"/>
  <c r="AR58" i="55"/>
  <c r="AS58" i="55"/>
  <c r="AT58" i="55"/>
  <c r="AU58" i="55"/>
  <c r="AV58" i="55"/>
  <c r="AW58" i="55"/>
  <c r="AX58" i="55"/>
  <c r="AY58" i="55"/>
  <c r="AZ58" i="55"/>
  <c r="BA58" i="55"/>
  <c r="BB58" i="55"/>
  <c r="AQ59" i="55"/>
  <c r="AR59" i="55"/>
  <c r="AS59" i="55"/>
  <c r="AT59" i="55"/>
  <c r="AU59" i="55"/>
  <c r="AV59" i="55"/>
  <c r="AW59" i="55"/>
  <c r="AX59" i="55"/>
  <c r="AY59" i="55"/>
  <c r="AZ59" i="55"/>
  <c r="BA59" i="55"/>
  <c r="BB59" i="55"/>
  <c r="AQ60" i="55"/>
  <c r="AR60" i="55"/>
  <c r="AS60" i="55"/>
  <c r="AT60" i="55"/>
  <c r="AU60" i="55"/>
  <c r="AV60" i="55"/>
  <c r="AW60" i="55"/>
  <c r="AX60" i="55"/>
  <c r="AY60" i="55"/>
  <c r="AZ60" i="55"/>
  <c r="BA60" i="55"/>
  <c r="BB60" i="55"/>
  <c r="AQ61" i="55"/>
  <c r="AR61" i="55"/>
  <c r="AS61" i="55"/>
  <c r="AT61" i="55"/>
  <c r="AU61" i="55"/>
  <c r="AV61" i="55"/>
  <c r="AW61" i="55"/>
  <c r="AX61" i="55"/>
  <c r="AY61" i="55"/>
  <c r="AZ61" i="55"/>
  <c r="BA61" i="55"/>
  <c r="BB61" i="55"/>
  <c r="AQ62" i="55"/>
  <c r="AR62" i="55"/>
  <c r="AS62" i="55"/>
  <c r="AT62" i="55"/>
  <c r="AU62" i="55"/>
  <c r="AV62" i="55"/>
  <c r="AW62" i="55"/>
  <c r="AX62" i="55"/>
  <c r="AY62" i="55"/>
  <c r="AZ62" i="55"/>
  <c r="BA62" i="55"/>
  <c r="BB62" i="55"/>
  <c r="AQ63" i="55"/>
  <c r="AR63" i="55"/>
  <c r="AS63" i="55"/>
  <c r="AT63" i="55"/>
  <c r="AU63" i="55"/>
  <c r="AV63" i="55"/>
  <c r="AW63" i="55"/>
  <c r="AX63" i="55"/>
  <c r="AY63" i="55"/>
  <c r="AZ63" i="55"/>
  <c r="BA63" i="55"/>
  <c r="BB63" i="55"/>
  <c r="AQ64" i="55"/>
  <c r="AR64" i="55"/>
  <c r="AS64" i="55"/>
  <c r="AT64" i="55"/>
  <c r="AU64" i="55"/>
  <c r="AV64" i="55"/>
  <c r="AW64" i="55"/>
  <c r="AX64" i="55"/>
  <c r="AY64" i="55"/>
  <c r="AZ64" i="55"/>
  <c r="BA64" i="55"/>
  <c r="BB64" i="55"/>
  <c r="AQ65" i="55"/>
  <c r="AR65" i="55"/>
  <c r="AS65" i="55"/>
  <c r="AT65" i="55"/>
  <c r="AU65" i="55"/>
  <c r="AV65" i="55"/>
  <c r="AW65" i="55"/>
  <c r="AX65" i="55"/>
  <c r="AY65" i="55"/>
  <c r="AZ65" i="55"/>
  <c r="BA65" i="55"/>
  <c r="BB65" i="55"/>
  <c r="AQ66" i="55"/>
  <c r="AR66" i="55"/>
  <c r="AS66" i="55"/>
  <c r="AT66" i="55"/>
  <c r="AU66" i="55"/>
  <c r="AV66" i="55"/>
  <c r="AW66" i="55"/>
  <c r="AX66" i="55"/>
  <c r="AY66" i="55"/>
  <c r="AZ66" i="55"/>
  <c r="BA66" i="55"/>
  <c r="BB66" i="55"/>
  <c r="AQ67" i="55"/>
  <c r="AR67" i="55"/>
  <c r="AS67" i="55"/>
  <c r="AT67" i="55"/>
  <c r="AU67" i="55"/>
  <c r="AV67" i="55"/>
  <c r="AW67" i="55"/>
  <c r="AX67" i="55"/>
  <c r="AY67" i="55"/>
  <c r="AZ67" i="55"/>
  <c r="BA67" i="55"/>
  <c r="BB67" i="55"/>
  <c r="AP56" i="55"/>
  <c r="AP57" i="55"/>
  <c r="AP58" i="55"/>
  <c r="AP59" i="55"/>
  <c r="AP60" i="55"/>
  <c r="AP61" i="55"/>
  <c r="AP62" i="55"/>
  <c r="AP63" i="55"/>
  <c r="AP64" i="55"/>
  <c r="AP65" i="55"/>
  <c r="AP66" i="55"/>
  <c r="AP67" i="55"/>
  <c r="AP55" i="55"/>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8" i="18"/>
  <c r="I48" i="18" l="1"/>
  <c r="I25" i="15" l="1"/>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K78" i="12"/>
  <c r="K79" i="12"/>
  <c r="K80" i="12"/>
  <c r="K81" i="12"/>
  <c r="K82" i="12"/>
  <c r="K83" i="12"/>
  <c r="K84" i="12"/>
  <c r="K85" i="12"/>
  <c r="K86" i="12"/>
  <c r="K87" i="12"/>
  <c r="K40" i="12"/>
  <c r="A5" i="50"/>
  <c r="A6" i="50"/>
  <c r="A7" i="50"/>
  <c r="A8" i="50"/>
  <c r="A9" i="50"/>
  <c r="A10" i="50"/>
  <c r="A11" i="50"/>
  <c r="A12" i="50"/>
  <c r="A13" i="50"/>
  <c r="A14" i="50"/>
  <c r="A15" i="50"/>
  <c r="A16" i="50"/>
  <c r="A17" i="50"/>
  <c r="A18" i="50"/>
  <c r="A19" i="50"/>
  <c r="A20" i="50"/>
  <c r="A21" i="50"/>
  <c r="A22" i="50"/>
  <c r="A23" i="50"/>
  <c r="A24" i="50"/>
  <c r="A25" i="50"/>
  <c r="A26" i="50"/>
  <c r="A27" i="50"/>
  <c r="A28" i="50"/>
  <c r="A29" i="50"/>
  <c r="A30" i="50"/>
  <c r="A31" i="50"/>
  <c r="A32" i="50"/>
  <c r="A33" i="50"/>
  <c r="A34" i="50"/>
  <c r="A35" i="50"/>
  <c r="A36" i="50"/>
  <c r="A37" i="50"/>
  <c r="A38" i="50"/>
  <c r="A39" i="50"/>
  <c r="A40" i="50"/>
  <c r="A41" i="50"/>
  <c r="A42" i="50"/>
  <c r="A43" i="50"/>
  <c r="A44" i="50"/>
  <c r="A45" i="50"/>
  <c r="A46" i="50"/>
  <c r="A47" i="50"/>
  <c r="A48" i="50"/>
  <c r="A49" i="50"/>
  <c r="A50" i="50"/>
  <c r="A51" i="50"/>
  <c r="A52" i="50"/>
  <c r="A53" i="50"/>
  <c r="A54" i="50"/>
  <c r="A55" i="50"/>
  <c r="A56" i="50"/>
  <c r="A57" i="50"/>
  <c r="A58" i="50"/>
  <c r="A59" i="50"/>
  <c r="A60" i="50"/>
  <c r="A61" i="50"/>
  <c r="A62" i="50"/>
  <c r="A63" i="50"/>
  <c r="A64" i="50"/>
  <c r="A65" i="50"/>
  <c r="A66" i="50"/>
  <c r="A67" i="50"/>
  <c r="A68" i="50"/>
  <c r="A69" i="50"/>
  <c r="A70" i="50"/>
  <c r="A71" i="50"/>
  <c r="A72" i="50"/>
  <c r="A73" i="50"/>
  <c r="A74" i="50"/>
  <c r="A75" i="50"/>
  <c r="A76" i="50"/>
  <c r="A77" i="50"/>
  <c r="A78" i="50"/>
  <c r="A79" i="50"/>
  <c r="A80" i="50"/>
  <c r="A81" i="50"/>
  <c r="A82" i="50"/>
  <c r="A83" i="50"/>
  <c r="A84" i="50"/>
  <c r="A85" i="50"/>
  <c r="A86" i="50"/>
  <c r="A87" i="50"/>
  <c r="A88" i="50"/>
  <c r="A89" i="50"/>
  <c r="A90" i="50"/>
  <c r="A91" i="50"/>
  <c r="A92" i="50"/>
  <c r="A93" i="50"/>
  <c r="A94" i="50"/>
  <c r="A95" i="50"/>
  <c r="A96" i="50"/>
  <c r="A97" i="50"/>
  <c r="A98" i="50"/>
  <c r="A99" i="50"/>
  <c r="A100" i="50"/>
  <c r="A101" i="50"/>
  <c r="A102" i="50"/>
  <c r="A103" i="50"/>
  <c r="A104" i="50"/>
  <c r="A105" i="50"/>
  <c r="A106" i="50"/>
  <c r="A107" i="50"/>
  <c r="A108" i="50"/>
  <c r="A109" i="50"/>
  <c r="A110" i="50"/>
  <c r="A111" i="50"/>
  <c r="A112" i="50"/>
  <c r="A113" i="50"/>
  <c r="A114" i="50"/>
  <c r="A115" i="50"/>
  <c r="A116" i="50"/>
  <c r="A117" i="50"/>
  <c r="A118" i="50"/>
  <c r="A119" i="50"/>
  <c r="A120" i="50"/>
  <c r="A121" i="50"/>
  <c r="A122" i="50"/>
  <c r="A123" i="50"/>
  <c r="A124" i="50"/>
  <c r="A125" i="50"/>
  <c r="A126" i="50"/>
  <c r="A127" i="50"/>
  <c r="A128" i="50"/>
  <c r="A129" i="50"/>
  <c r="A130" i="50"/>
  <c r="A131" i="50"/>
  <c r="A132" i="50"/>
  <c r="A133" i="50"/>
  <c r="A134" i="50"/>
  <c r="A135" i="50"/>
  <c r="A136" i="50"/>
  <c r="A137" i="50"/>
  <c r="A138" i="50"/>
  <c r="A139" i="50"/>
  <c r="A140" i="50"/>
  <c r="A141" i="50"/>
  <c r="A142" i="50"/>
  <c r="A143" i="50"/>
  <c r="A144" i="50"/>
  <c r="A145" i="50"/>
  <c r="A146" i="50"/>
  <c r="A147" i="50"/>
  <c r="A148" i="50"/>
  <c r="A149" i="50"/>
  <c r="A150" i="50"/>
  <c r="A151" i="50"/>
  <c r="A152" i="50"/>
  <c r="A153" i="50"/>
  <c r="A154" i="50"/>
  <c r="A155" i="50"/>
  <c r="A156" i="50"/>
  <c r="A157" i="50"/>
  <c r="A158" i="50"/>
  <c r="A159" i="50"/>
  <c r="A160" i="50"/>
  <c r="A161" i="50"/>
  <c r="A162" i="50"/>
  <c r="A163" i="50"/>
  <c r="A164" i="50"/>
  <c r="A165" i="50"/>
  <c r="A166" i="50"/>
  <c r="A167" i="50"/>
  <c r="A168" i="50"/>
  <c r="A169" i="50"/>
  <c r="A170" i="50"/>
  <c r="A171" i="50"/>
  <c r="A172" i="50"/>
  <c r="A173" i="50"/>
  <c r="A174" i="50"/>
  <c r="A175" i="50"/>
  <c r="A176" i="50"/>
  <c r="A177" i="50"/>
  <c r="A178" i="50"/>
  <c r="A179" i="50"/>
  <c r="A180" i="50"/>
  <c r="A181" i="50"/>
  <c r="A182" i="50"/>
  <c r="A183" i="50"/>
  <c r="A184" i="50"/>
  <c r="A185" i="50"/>
  <c r="A186" i="50"/>
  <c r="A187" i="50"/>
  <c r="A188" i="50"/>
  <c r="A189" i="50"/>
  <c r="A190" i="50"/>
  <c r="A191" i="50"/>
  <c r="A192" i="50"/>
  <c r="A193" i="50"/>
  <c r="A194" i="50"/>
  <c r="A195" i="50"/>
  <c r="A196" i="50"/>
  <c r="A197" i="50"/>
  <c r="A198" i="50"/>
  <c r="A199" i="50"/>
  <c r="A200" i="50"/>
  <c r="A201" i="50"/>
  <c r="A202" i="50"/>
  <c r="A203" i="50"/>
  <c r="A204" i="50"/>
  <c r="A205" i="50"/>
  <c r="A206" i="50"/>
  <c r="A207" i="50"/>
  <c r="A208" i="50"/>
  <c r="A209" i="50"/>
  <c r="A210" i="50"/>
  <c r="A211" i="50"/>
  <c r="A212" i="50"/>
  <c r="A213" i="50"/>
  <c r="A214" i="50"/>
  <c r="A215" i="50"/>
  <c r="A216" i="50"/>
  <c r="A217" i="50"/>
  <c r="A218" i="50"/>
  <c r="A219" i="50"/>
  <c r="A220" i="50"/>
  <c r="A221" i="50"/>
  <c r="A222" i="50"/>
  <c r="A223" i="50"/>
  <c r="A224" i="50"/>
  <c r="A225" i="50"/>
  <c r="A226" i="50"/>
  <c r="A227" i="50"/>
  <c r="A228" i="50"/>
  <c r="A229" i="50"/>
  <c r="A230" i="50"/>
  <c r="A231" i="50"/>
  <c r="A232" i="50"/>
  <c r="A233" i="50"/>
  <c r="A234" i="50"/>
  <c r="A235" i="50"/>
  <c r="A236" i="50"/>
  <c r="A237" i="50"/>
  <c r="A238" i="50"/>
  <c r="A239" i="50"/>
  <c r="A240" i="50"/>
  <c r="A241" i="50"/>
  <c r="A242" i="50"/>
  <c r="A243" i="50"/>
  <c r="A244" i="50"/>
  <c r="A245" i="50"/>
  <c r="A246" i="50"/>
  <c r="A247" i="50"/>
  <c r="A248" i="50"/>
  <c r="A249" i="50"/>
  <c r="A250" i="50"/>
  <c r="A251" i="50"/>
  <c r="A252" i="50"/>
  <c r="A253" i="50"/>
  <c r="A254" i="50"/>
  <c r="A255" i="50"/>
  <c r="A256" i="50"/>
  <c r="A257" i="50"/>
  <c r="A258" i="50"/>
  <c r="A259" i="50"/>
  <c r="A260" i="50"/>
  <c r="A261" i="50"/>
  <c r="A262" i="50"/>
  <c r="A263" i="50"/>
  <c r="A264" i="50"/>
  <c r="A265" i="50"/>
  <c r="A266" i="50"/>
  <c r="A267" i="50"/>
  <c r="A268" i="50"/>
  <c r="A269" i="50"/>
  <c r="A270" i="50"/>
  <c r="A271" i="50"/>
  <c r="A272" i="50"/>
  <c r="A273" i="50"/>
  <c r="A274" i="50"/>
  <c r="A275" i="50"/>
  <c r="A276" i="50"/>
  <c r="A277" i="50"/>
  <c r="A278" i="50"/>
  <c r="A279" i="50"/>
  <c r="A280" i="50"/>
  <c r="A281" i="50"/>
  <c r="A282" i="50"/>
  <c r="A283" i="50"/>
  <c r="A284" i="50"/>
  <c r="A285" i="50"/>
  <c r="A286" i="50"/>
  <c r="A287" i="50"/>
  <c r="A288" i="50"/>
  <c r="A289" i="50"/>
  <c r="A290" i="50"/>
  <c r="A291" i="50"/>
  <c r="A292" i="50"/>
  <c r="A293" i="50"/>
  <c r="A294" i="50"/>
  <c r="A295" i="50"/>
  <c r="A296" i="50"/>
  <c r="A297" i="50"/>
  <c r="A298" i="50"/>
  <c r="A299" i="50"/>
  <c r="A300" i="50"/>
  <c r="A301" i="50"/>
  <c r="A302" i="50"/>
  <c r="A303" i="50"/>
  <c r="A304" i="50"/>
  <c r="A305" i="50"/>
  <c r="A306" i="50"/>
  <c r="A307" i="50"/>
  <c r="A308" i="50"/>
  <c r="A309" i="50"/>
  <c r="A310" i="50"/>
  <c r="A311" i="50"/>
  <c r="A312" i="50"/>
  <c r="A313" i="50"/>
  <c r="A314" i="50"/>
  <c r="A315" i="50"/>
  <c r="A316" i="50"/>
  <c r="A317" i="50"/>
  <c r="A318" i="50"/>
  <c r="A319" i="50"/>
  <c r="A320" i="50"/>
  <c r="A321" i="50"/>
  <c r="A322" i="50"/>
  <c r="A323" i="50"/>
  <c r="A324" i="50"/>
  <c r="A325" i="50"/>
  <c r="A326" i="50"/>
  <c r="A327" i="50"/>
  <c r="A328" i="50"/>
  <c r="A329" i="50"/>
  <c r="A330" i="50"/>
  <c r="A331" i="50"/>
  <c r="A332" i="50"/>
  <c r="A333" i="50"/>
  <c r="A334" i="50"/>
  <c r="A335" i="50"/>
  <c r="A336" i="50"/>
  <c r="A337" i="50"/>
  <c r="A338" i="50"/>
  <c r="A339" i="50"/>
  <c r="A340" i="50"/>
  <c r="A341" i="50"/>
  <c r="A342" i="50"/>
  <c r="A343" i="50"/>
  <c r="A344" i="50"/>
  <c r="A345" i="50"/>
  <c r="A346" i="50"/>
  <c r="A347" i="50"/>
  <c r="A348" i="50"/>
  <c r="A349" i="50"/>
  <c r="A350" i="50"/>
  <c r="A351" i="50"/>
  <c r="A352" i="50"/>
  <c r="A353" i="50"/>
  <c r="A354" i="50"/>
  <c r="A355" i="50"/>
  <c r="A356" i="50"/>
  <c r="A357" i="50"/>
  <c r="A358" i="50"/>
  <c r="A359" i="50"/>
  <c r="A360" i="50"/>
  <c r="A361" i="50"/>
  <c r="A362" i="50"/>
  <c r="A363" i="50"/>
  <c r="A364" i="50"/>
  <c r="A365" i="50"/>
  <c r="A366" i="50"/>
  <c r="A367" i="50"/>
  <c r="A368" i="50"/>
  <c r="A369" i="50"/>
  <c r="A370" i="50"/>
  <c r="A371" i="50"/>
  <c r="A372" i="50"/>
  <c r="A373" i="50"/>
  <c r="A374" i="50"/>
  <c r="A375" i="50"/>
  <c r="A376" i="50"/>
  <c r="A377" i="50"/>
  <c r="A378" i="50"/>
  <c r="A379" i="50"/>
  <c r="A380" i="50"/>
  <c r="A381" i="50"/>
  <c r="A382" i="50"/>
  <c r="A383" i="50"/>
  <c r="A384" i="50"/>
  <c r="A385" i="50"/>
  <c r="A386" i="50"/>
  <c r="A387" i="50"/>
  <c r="A388" i="50"/>
  <c r="A389" i="50"/>
  <c r="A390" i="50"/>
  <c r="A391" i="50"/>
  <c r="A392" i="50"/>
  <c r="A393" i="50"/>
  <c r="A394" i="50"/>
  <c r="A395" i="50"/>
  <c r="A396" i="50"/>
  <c r="A397" i="50"/>
  <c r="A398" i="50"/>
  <c r="A399" i="50"/>
  <c r="A400" i="50"/>
  <c r="A401" i="50"/>
  <c r="A402" i="50"/>
  <c r="A403" i="50"/>
  <c r="A404" i="50"/>
  <c r="A405" i="50"/>
  <c r="A406" i="50"/>
  <c r="A407" i="50"/>
  <c r="A408" i="50"/>
  <c r="A409" i="50"/>
  <c r="A410" i="50"/>
  <c r="A411" i="50"/>
  <c r="A412" i="50"/>
  <c r="A413" i="50"/>
  <c r="A414" i="50"/>
  <c r="A415" i="50"/>
  <c r="A416" i="50"/>
  <c r="A417" i="50"/>
  <c r="A418" i="50"/>
  <c r="A419" i="50"/>
  <c r="A420" i="50"/>
  <c r="A421" i="50"/>
  <c r="A422" i="50"/>
  <c r="A423" i="50"/>
  <c r="A424" i="50"/>
  <c r="A425" i="50"/>
  <c r="A426" i="50"/>
  <c r="A427" i="50"/>
  <c r="A428" i="50"/>
  <c r="A429" i="50"/>
  <c r="A430" i="50"/>
  <c r="A431" i="50"/>
  <c r="A432" i="50"/>
  <c r="A433" i="50"/>
  <c r="A434" i="50"/>
  <c r="A435" i="50"/>
  <c r="A436" i="50"/>
  <c r="A437" i="50"/>
  <c r="A438" i="50"/>
  <c r="A439" i="50"/>
  <c r="A440" i="50"/>
  <c r="A441" i="50"/>
  <c r="A442" i="50"/>
  <c r="A443" i="50"/>
  <c r="A444" i="50"/>
  <c r="A445" i="50"/>
  <c r="A446" i="50"/>
  <c r="A447" i="50"/>
  <c r="A448" i="50"/>
  <c r="A449" i="50"/>
  <c r="A450" i="50"/>
  <c r="A451" i="50"/>
  <c r="A452" i="50"/>
  <c r="A453" i="50"/>
  <c r="A454" i="50"/>
  <c r="A455" i="50"/>
  <c r="A456" i="50"/>
  <c r="A457" i="50"/>
  <c r="A458" i="50"/>
  <c r="A459" i="50"/>
  <c r="A460" i="50"/>
  <c r="A461" i="50"/>
  <c r="A462" i="50"/>
  <c r="A463" i="50"/>
  <c r="A464" i="50"/>
  <c r="A465" i="50"/>
  <c r="A466" i="50"/>
  <c r="A467" i="50"/>
  <c r="A468" i="50"/>
  <c r="A469" i="50"/>
  <c r="A470" i="50"/>
  <c r="A471" i="50"/>
  <c r="A472" i="50"/>
  <c r="A473" i="50"/>
  <c r="A474" i="50"/>
  <c r="A475" i="50"/>
  <c r="A476" i="50"/>
  <c r="A477" i="50"/>
  <c r="A478" i="50"/>
  <c r="A479" i="50"/>
  <c r="A480" i="50"/>
  <c r="A481" i="50"/>
  <c r="A482" i="50"/>
  <c r="A483" i="50"/>
  <c r="A484" i="50"/>
  <c r="A485" i="50"/>
  <c r="A486" i="50"/>
  <c r="A487" i="50"/>
  <c r="A488" i="50"/>
  <c r="A489" i="50"/>
  <c r="A490" i="50"/>
  <c r="A491" i="50"/>
  <c r="A492" i="50"/>
  <c r="A493" i="50"/>
  <c r="A494" i="50"/>
  <c r="A495" i="50"/>
  <c r="A496" i="50"/>
  <c r="A497" i="50"/>
  <c r="A498" i="50"/>
  <c r="A499" i="50"/>
  <c r="A500" i="50"/>
  <c r="A501" i="50"/>
  <c r="A502" i="50"/>
  <c r="A503" i="50"/>
  <c r="A504" i="50"/>
  <c r="A505" i="50"/>
  <c r="A506" i="50"/>
  <c r="A507" i="50"/>
  <c r="A508" i="50"/>
  <c r="A509" i="50"/>
  <c r="A510" i="50"/>
  <c r="A511" i="50"/>
  <c r="A512" i="50"/>
  <c r="A513" i="50"/>
  <c r="A514" i="50"/>
  <c r="A515" i="50"/>
  <c r="A516" i="50"/>
  <c r="A517" i="50"/>
  <c r="A518" i="50"/>
  <c r="A519" i="50"/>
  <c r="A520" i="50"/>
  <c r="A521" i="50"/>
  <c r="A522" i="50"/>
  <c r="A523" i="50"/>
  <c r="A524" i="50"/>
  <c r="A525" i="50"/>
  <c r="A526" i="50"/>
  <c r="A527" i="50"/>
  <c r="A528" i="50"/>
  <c r="A529" i="50"/>
  <c r="A530" i="50"/>
  <c r="A531" i="50"/>
  <c r="A532" i="50"/>
  <c r="A533" i="50"/>
  <c r="A534" i="50"/>
  <c r="A535" i="50"/>
  <c r="A536" i="50"/>
  <c r="A537" i="50"/>
  <c r="A538" i="50"/>
  <c r="A539" i="50"/>
  <c r="A540" i="50"/>
  <c r="A541" i="50"/>
  <c r="A542" i="50"/>
  <c r="A543" i="50"/>
  <c r="A544" i="50"/>
  <c r="A545" i="50"/>
  <c r="A546" i="50"/>
  <c r="A547" i="50"/>
  <c r="A548" i="50"/>
  <c r="A549" i="50"/>
  <c r="A550" i="50"/>
  <c r="A551" i="50"/>
  <c r="A552" i="50"/>
  <c r="A553" i="50"/>
  <c r="A554" i="50"/>
  <c r="A555" i="50"/>
  <c r="A556" i="50"/>
  <c r="A557" i="50"/>
  <c r="A558" i="50"/>
  <c r="A559" i="50"/>
  <c r="A560" i="50"/>
  <c r="A561" i="50"/>
  <c r="A562" i="50"/>
  <c r="A563" i="50"/>
  <c r="A564" i="50"/>
  <c r="A565" i="50"/>
  <c r="A566" i="50"/>
  <c r="A567" i="50"/>
  <c r="A568" i="50"/>
  <c r="A569" i="50"/>
  <c r="A570" i="50"/>
  <c r="A571" i="50"/>
  <c r="A572" i="50"/>
  <c r="A573" i="50"/>
  <c r="A574" i="50"/>
  <c r="A575" i="50"/>
  <c r="A576" i="50"/>
  <c r="A577" i="50"/>
  <c r="A578" i="50"/>
  <c r="A579" i="50"/>
  <c r="A580" i="50"/>
  <c r="A581" i="50"/>
  <c r="A582" i="50"/>
  <c r="A583" i="50"/>
  <c r="A584" i="50"/>
  <c r="A585" i="50"/>
  <c r="A586" i="50"/>
  <c r="A587" i="50"/>
  <c r="A588" i="50"/>
  <c r="A589" i="50"/>
  <c r="A590" i="50"/>
  <c r="A591" i="50"/>
  <c r="A592" i="50"/>
  <c r="A593" i="50"/>
  <c r="A594" i="50"/>
  <c r="A595" i="50"/>
  <c r="A596" i="50"/>
  <c r="A597" i="50"/>
  <c r="A598" i="50"/>
  <c r="A599" i="50"/>
  <c r="A600" i="50"/>
  <c r="A601" i="50"/>
  <c r="A602" i="50"/>
  <c r="A603" i="50"/>
  <c r="A604" i="50"/>
  <c r="A605" i="50"/>
  <c r="A606" i="50"/>
  <c r="A607" i="50"/>
  <c r="A608" i="50"/>
  <c r="A609" i="50"/>
  <c r="A610" i="50"/>
  <c r="A611" i="50"/>
  <c r="A612" i="50"/>
  <c r="A613" i="50"/>
  <c r="A614" i="50"/>
  <c r="A615" i="50"/>
  <c r="A616" i="50"/>
  <c r="A617" i="50"/>
  <c r="A618" i="50"/>
  <c r="A619" i="50"/>
  <c r="A620" i="50"/>
  <c r="A621" i="50"/>
  <c r="A622" i="50"/>
  <c r="A623" i="50"/>
  <c r="A624" i="50"/>
  <c r="A625" i="50"/>
  <c r="A626" i="50"/>
  <c r="A627" i="50"/>
  <c r="A628" i="50"/>
  <c r="A4" i="50"/>
  <c r="AV16" i="42"/>
  <c r="AK27" i="42"/>
  <c r="AA7" i="42"/>
  <c r="AB7" i="42"/>
  <c r="AC7" i="42"/>
  <c r="AD7" i="42"/>
  <c r="AE7" i="42"/>
  <c r="AF7" i="42"/>
  <c r="AG7" i="42"/>
  <c r="AH7" i="42"/>
  <c r="AI7" i="42"/>
  <c r="AJ7" i="42"/>
  <c r="AK7" i="42"/>
  <c r="AL7" i="42"/>
  <c r="AM7" i="42"/>
  <c r="AN7" i="42"/>
  <c r="AO7" i="42"/>
  <c r="AP7" i="42"/>
  <c r="AQ7" i="42"/>
  <c r="AR7" i="42"/>
  <c r="AS7" i="42"/>
  <c r="AT7" i="42"/>
  <c r="AU7" i="42"/>
  <c r="AA8" i="42"/>
  <c r="AB8" i="42"/>
  <c r="AC8" i="42"/>
  <c r="AD8" i="42"/>
  <c r="AE8" i="42"/>
  <c r="AF8" i="42"/>
  <c r="AG8" i="42"/>
  <c r="AH8" i="42"/>
  <c r="AI8" i="42"/>
  <c r="AJ8" i="42"/>
  <c r="AK8" i="42"/>
  <c r="AL8" i="42"/>
  <c r="AM8" i="42"/>
  <c r="AN8" i="42"/>
  <c r="AO8" i="42"/>
  <c r="AP8" i="42"/>
  <c r="AQ8" i="42"/>
  <c r="AR8" i="42"/>
  <c r="AS8" i="42"/>
  <c r="AT8" i="42"/>
  <c r="AU8" i="42"/>
  <c r="AA9" i="42"/>
  <c r="AB9" i="42"/>
  <c r="AC9" i="42"/>
  <c r="AD9" i="42"/>
  <c r="AE9" i="42"/>
  <c r="AF9" i="42"/>
  <c r="AG9" i="42"/>
  <c r="AH9" i="42"/>
  <c r="AI9" i="42"/>
  <c r="AJ9" i="42"/>
  <c r="AK9" i="42"/>
  <c r="AL9" i="42"/>
  <c r="AM9" i="42"/>
  <c r="AN9" i="42"/>
  <c r="AO9" i="42"/>
  <c r="AP9" i="42"/>
  <c r="AQ9" i="42"/>
  <c r="AR9" i="42"/>
  <c r="AS9" i="42"/>
  <c r="AT9" i="42"/>
  <c r="AU9" i="42"/>
  <c r="AA10" i="42"/>
  <c r="AB10" i="42"/>
  <c r="AC10" i="42"/>
  <c r="AD10" i="42"/>
  <c r="AE10" i="42"/>
  <c r="AF10" i="42"/>
  <c r="AG10" i="42"/>
  <c r="AH10" i="42"/>
  <c r="AI10" i="42"/>
  <c r="AJ10" i="42"/>
  <c r="AK10" i="42"/>
  <c r="AL10" i="42"/>
  <c r="AM10" i="42"/>
  <c r="AN10" i="42"/>
  <c r="AO10" i="42"/>
  <c r="AP10" i="42"/>
  <c r="AQ10" i="42"/>
  <c r="AR10" i="42"/>
  <c r="AS10" i="42"/>
  <c r="AT10" i="42"/>
  <c r="AU10" i="42"/>
  <c r="AA11" i="42"/>
  <c r="AB11" i="42"/>
  <c r="AC11" i="42"/>
  <c r="AD11" i="42"/>
  <c r="AE11" i="42"/>
  <c r="AF11" i="42"/>
  <c r="AG11" i="42"/>
  <c r="AH11" i="42"/>
  <c r="AI11" i="42"/>
  <c r="AJ11" i="42"/>
  <c r="AK11" i="42"/>
  <c r="AL11" i="42"/>
  <c r="AM11" i="42"/>
  <c r="AN11" i="42"/>
  <c r="AO11" i="42"/>
  <c r="AP11" i="42"/>
  <c r="AQ11" i="42"/>
  <c r="AR11" i="42"/>
  <c r="AS11" i="42"/>
  <c r="AT11" i="42"/>
  <c r="AU11" i="42"/>
  <c r="AA12" i="42"/>
  <c r="AB12" i="42"/>
  <c r="AC12" i="42"/>
  <c r="AD12" i="42"/>
  <c r="AE12" i="42"/>
  <c r="AF12" i="42"/>
  <c r="AG12" i="42"/>
  <c r="AH12" i="42"/>
  <c r="AI12" i="42"/>
  <c r="AJ12" i="42"/>
  <c r="AK12" i="42"/>
  <c r="AL12" i="42"/>
  <c r="AM12" i="42"/>
  <c r="AN12" i="42"/>
  <c r="AO12" i="42"/>
  <c r="AP12" i="42"/>
  <c r="AQ12" i="42"/>
  <c r="AR12" i="42"/>
  <c r="AS12" i="42"/>
  <c r="AT12" i="42"/>
  <c r="AU12" i="42"/>
  <c r="AA13" i="42"/>
  <c r="AB13" i="42"/>
  <c r="AC13" i="42"/>
  <c r="AD13" i="42"/>
  <c r="AE13" i="42"/>
  <c r="AF13" i="42"/>
  <c r="AG13" i="42"/>
  <c r="AH13" i="42"/>
  <c r="AI13" i="42"/>
  <c r="AJ13" i="42"/>
  <c r="AK13" i="42"/>
  <c r="AL13" i="42"/>
  <c r="AM13" i="42"/>
  <c r="AN13" i="42"/>
  <c r="AO13" i="42"/>
  <c r="AP13" i="42"/>
  <c r="AQ13" i="42"/>
  <c r="AR13" i="42"/>
  <c r="AS13" i="42"/>
  <c r="AT13" i="42"/>
  <c r="AU13" i="42"/>
  <c r="AA14" i="42"/>
  <c r="AB14" i="42"/>
  <c r="AC14" i="42"/>
  <c r="AD14" i="42"/>
  <c r="AE14" i="42"/>
  <c r="AF14" i="42"/>
  <c r="AG14" i="42"/>
  <c r="AH14" i="42"/>
  <c r="AI14" i="42"/>
  <c r="AJ14" i="42"/>
  <c r="AK14" i="42"/>
  <c r="AL14" i="42"/>
  <c r="AM14" i="42"/>
  <c r="AN14" i="42"/>
  <c r="AO14" i="42"/>
  <c r="AP14" i="42"/>
  <c r="AQ14" i="42"/>
  <c r="AR14" i="42"/>
  <c r="AS14" i="42"/>
  <c r="AT14" i="42"/>
  <c r="AU14" i="42"/>
  <c r="AA15" i="42"/>
  <c r="AB15" i="42"/>
  <c r="AC15" i="42"/>
  <c r="AD15" i="42"/>
  <c r="AE15" i="42"/>
  <c r="AF15" i="42"/>
  <c r="AG15" i="42"/>
  <c r="AH15" i="42"/>
  <c r="AI15" i="42"/>
  <c r="AJ15" i="42"/>
  <c r="AK15" i="42"/>
  <c r="AL15" i="42"/>
  <c r="AM15" i="42"/>
  <c r="AN15" i="42"/>
  <c r="AO15" i="42"/>
  <c r="AP15" i="42"/>
  <c r="AQ15" i="42"/>
  <c r="AR15" i="42"/>
  <c r="AS15" i="42"/>
  <c r="AT15" i="42"/>
  <c r="AU15" i="42"/>
  <c r="AA16" i="42"/>
  <c r="AB16" i="42"/>
  <c r="AC16" i="42"/>
  <c r="AD16" i="42"/>
  <c r="AE16" i="42"/>
  <c r="AF16" i="42"/>
  <c r="AG16" i="42"/>
  <c r="AH16" i="42"/>
  <c r="AI16" i="42"/>
  <c r="AJ16" i="42"/>
  <c r="AK16" i="42"/>
  <c r="AL16" i="42"/>
  <c r="AM16" i="42"/>
  <c r="AN16" i="42"/>
  <c r="AO16" i="42"/>
  <c r="AP16" i="42"/>
  <c r="AQ16" i="42"/>
  <c r="AR16" i="42"/>
  <c r="AS16" i="42"/>
  <c r="AT16" i="42"/>
  <c r="AU16" i="42"/>
  <c r="AA17" i="42"/>
  <c r="AB17" i="42"/>
  <c r="AC17" i="42"/>
  <c r="AD17" i="42"/>
  <c r="AE17" i="42"/>
  <c r="AF17" i="42"/>
  <c r="AG17" i="42"/>
  <c r="AH17" i="42"/>
  <c r="AI17" i="42"/>
  <c r="AJ17" i="42"/>
  <c r="AK17" i="42"/>
  <c r="AL17" i="42"/>
  <c r="AM17" i="42"/>
  <c r="AN17" i="42"/>
  <c r="AO17" i="42"/>
  <c r="AP17" i="42"/>
  <c r="AQ17" i="42"/>
  <c r="AR17" i="42"/>
  <c r="AS17" i="42"/>
  <c r="AT17" i="42"/>
  <c r="AU17" i="42"/>
  <c r="AA18" i="42"/>
  <c r="AB18" i="42"/>
  <c r="AC18" i="42"/>
  <c r="AD18" i="42"/>
  <c r="AE18" i="42"/>
  <c r="AF18" i="42"/>
  <c r="AG18" i="42"/>
  <c r="AH18" i="42"/>
  <c r="AI18" i="42"/>
  <c r="AJ18" i="42"/>
  <c r="AK18" i="42"/>
  <c r="AL18" i="42"/>
  <c r="AM18" i="42"/>
  <c r="AN18" i="42"/>
  <c r="AO18" i="42"/>
  <c r="AP18" i="42"/>
  <c r="AQ18" i="42"/>
  <c r="AR18" i="42"/>
  <c r="AS18" i="42"/>
  <c r="AT18" i="42"/>
  <c r="AU18" i="42"/>
  <c r="AA19" i="42"/>
  <c r="AB19" i="42"/>
  <c r="AC19" i="42"/>
  <c r="AD19" i="42"/>
  <c r="AE19" i="42"/>
  <c r="AF19" i="42"/>
  <c r="AG19" i="42"/>
  <c r="AH19" i="42"/>
  <c r="AI19" i="42"/>
  <c r="AJ19" i="42"/>
  <c r="AK19" i="42"/>
  <c r="AL19" i="42"/>
  <c r="AM19" i="42"/>
  <c r="AN19" i="42"/>
  <c r="AO19" i="42"/>
  <c r="AP19" i="42"/>
  <c r="AQ19" i="42"/>
  <c r="AR19" i="42"/>
  <c r="AS19" i="42"/>
  <c r="AT19" i="42"/>
  <c r="AU19" i="42"/>
  <c r="AA20" i="42"/>
  <c r="AB20" i="42"/>
  <c r="AC20" i="42"/>
  <c r="AD20" i="42"/>
  <c r="AE20" i="42"/>
  <c r="AF20" i="42"/>
  <c r="AG20" i="42"/>
  <c r="AH20" i="42"/>
  <c r="AI20" i="42"/>
  <c r="AJ20" i="42"/>
  <c r="AK20" i="42"/>
  <c r="AL20" i="42"/>
  <c r="AM20" i="42"/>
  <c r="AN20" i="42"/>
  <c r="AO20" i="42"/>
  <c r="AP20" i="42"/>
  <c r="AQ20" i="42"/>
  <c r="AR20" i="42"/>
  <c r="AS20" i="42"/>
  <c r="AT20" i="42"/>
  <c r="AU20" i="42"/>
  <c r="AA21" i="42"/>
  <c r="AB21" i="42"/>
  <c r="AC21" i="42"/>
  <c r="AD21" i="42"/>
  <c r="AE21" i="42"/>
  <c r="AF21" i="42"/>
  <c r="AG21" i="42"/>
  <c r="AH21" i="42"/>
  <c r="AI21" i="42"/>
  <c r="AJ21" i="42"/>
  <c r="AK21" i="42"/>
  <c r="AL21" i="42"/>
  <c r="AM21" i="42"/>
  <c r="AN21" i="42"/>
  <c r="AO21" i="42"/>
  <c r="AP21" i="42"/>
  <c r="AQ21" i="42"/>
  <c r="AR21" i="42"/>
  <c r="AS21" i="42"/>
  <c r="AT21" i="42"/>
  <c r="AU21" i="42"/>
  <c r="AA22" i="42"/>
  <c r="AB22" i="42"/>
  <c r="AC22" i="42"/>
  <c r="AD22" i="42"/>
  <c r="AE22" i="42"/>
  <c r="AF22" i="42"/>
  <c r="AG22" i="42"/>
  <c r="AH22" i="42"/>
  <c r="AI22" i="42"/>
  <c r="AJ22" i="42"/>
  <c r="AK22" i="42"/>
  <c r="AL22" i="42"/>
  <c r="AM22" i="42"/>
  <c r="AN22" i="42"/>
  <c r="AO22" i="42"/>
  <c r="AP22" i="42"/>
  <c r="AQ22" i="42"/>
  <c r="AR22" i="42"/>
  <c r="AS22" i="42"/>
  <c r="AT22" i="42"/>
  <c r="AU22" i="42"/>
  <c r="AA23" i="42"/>
  <c r="AB23" i="42"/>
  <c r="AC23" i="42"/>
  <c r="AD23" i="42"/>
  <c r="AE23" i="42"/>
  <c r="AF23" i="42"/>
  <c r="AG23" i="42"/>
  <c r="AH23" i="42"/>
  <c r="AI23" i="42"/>
  <c r="AJ23" i="42"/>
  <c r="AK23" i="42"/>
  <c r="AL23" i="42"/>
  <c r="AM23" i="42"/>
  <c r="AN23" i="42"/>
  <c r="AO23" i="42"/>
  <c r="AP23" i="42"/>
  <c r="AQ23" i="42"/>
  <c r="AR23" i="42"/>
  <c r="AS23" i="42"/>
  <c r="AT23" i="42"/>
  <c r="AU23" i="42"/>
  <c r="AA24" i="42"/>
  <c r="AB24" i="42"/>
  <c r="AC24" i="42"/>
  <c r="AD24" i="42"/>
  <c r="AE24" i="42"/>
  <c r="AF24" i="42"/>
  <c r="AG24" i="42"/>
  <c r="AH24" i="42"/>
  <c r="AI24" i="42"/>
  <c r="AJ24" i="42"/>
  <c r="AK24" i="42"/>
  <c r="AL24" i="42"/>
  <c r="AM24" i="42"/>
  <c r="AN24" i="42"/>
  <c r="AO24" i="42"/>
  <c r="AP24" i="42"/>
  <c r="AQ24" i="42"/>
  <c r="AR24" i="42"/>
  <c r="AS24" i="42"/>
  <c r="AT24" i="42"/>
  <c r="AU24" i="42"/>
  <c r="AA25" i="42"/>
  <c r="AB25" i="42"/>
  <c r="AC25" i="42"/>
  <c r="AD25" i="42"/>
  <c r="AE25" i="42"/>
  <c r="AF25" i="42"/>
  <c r="AG25" i="42"/>
  <c r="AH25" i="42"/>
  <c r="AI25" i="42"/>
  <c r="AJ25" i="42"/>
  <c r="AK25" i="42"/>
  <c r="AL25" i="42"/>
  <c r="AM25" i="42"/>
  <c r="AN25" i="42"/>
  <c r="AO25" i="42"/>
  <c r="AP25" i="42"/>
  <c r="AQ25" i="42"/>
  <c r="AR25" i="42"/>
  <c r="AS25" i="42"/>
  <c r="AT25" i="42"/>
  <c r="AU25" i="42"/>
  <c r="AA26" i="42"/>
  <c r="AB26" i="42"/>
  <c r="AC26" i="42"/>
  <c r="AD26" i="42"/>
  <c r="AE26" i="42"/>
  <c r="AF26" i="42"/>
  <c r="AG26" i="42"/>
  <c r="AH26" i="42"/>
  <c r="AI26" i="42"/>
  <c r="AJ26" i="42"/>
  <c r="AK26" i="42"/>
  <c r="AL26" i="42"/>
  <c r="AM26" i="42"/>
  <c r="AN26" i="42"/>
  <c r="AO26" i="42"/>
  <c r="AP26" i="42"/>
  <c r="AQ26" i="42"/>
  <c r="AR26" i="42"/>
  <c r="AS26" i="42"/>
  <c r="AT26" i="42"/>
  <c r="AU26" i="42"/>
  <c r="AB6" i="42"/>
  <c r="AC6" i="42"/>
  <c r="AD6" i="42"/>
  <c r="AE6" i="42"/>
  <c r="AF6" i="42"/>
  <c r="AG6" i="42"/>
  <c r="AH6" i="42"/>
  <c r="AI6" i="42"/>
  <c r="AJ6" i="42"/>
  <c r="AK6" i="42"/>
  <c r="AL6" i="42"/>
  <c r="AM6" i="42"/>
  <c r="AN6" i="42"/>
  <c r="AO6" i="42"/>
  <c r="AP6" i="42"/>
  <c r="AQ6" i="42"/>
  <c r="AR6" i="42"/>
  <c r="AS6" i="42"/>
  <c r="AT6" i="42"/>
  <c r="AU6" i="42"/>
  <c r="N85" i="42"/>
  <c r="T85" i="42"/>
  <c r="N86" i="42"/>
  <c r="P86" i="42"/>
  <c r="T86" i="42"/>
  <c r="E87" i="42"/>
  <c r="K87" i="42"/>
  <c r="N87" i="42"/>
  <c r="P87" i="42"/>
  <c r="R87" i="42"/>
  <c r="S87" i="42"/>
  <c r="T87" i="42"/>
  <c r="U87" i="42"/>
  <c r="W87" i="42"/>
  <c r="N88" i="42"/>
  <c r="P88" i="42"/>
  <c r="S88" i="42"/>
  <c r="C89" i="42"/>
  <c r="K89" i="42"/>
  <c r="P89" i="42"/>
  <c r="Q89" i="42"/>
  <c r="T89" i="42"/>
  <c r="U89" i="42"/>
  <c r="W89" i="42"/>
  <c r="I90" i="42"/>
  <c r="K90" i="42"/>
  <c r="N90" i="42"/>
  <c r="P90" i="42"/>
  <c r="S90" i="42"/>
  <c r="T90" i="42"/>
  <c r="U90" i="42"/>
  <c r="W90" i="42"/>
  <c r="G91" i="42"/>
  <c r="I91" i="42"/>
  <c r="M91" i="42"/>
  <c r="N91" i="42"/>
  <c r="O91" i="42"/>
  <c r="P91" i="42"/>
  <c r="R91" i="42"/>
  <c r="G92" i="42"/>
  <c r="N92" i="42"/>
  <c r="W92" i="42"/>
  <c r="K93" i="42"/>
  <c r="P93" i="42"/>
  <c r="Q93" i="42"/>
  <c r="R93" i="42"/>
  <c r="T93" i="42"/>
  <c r="U93" i="42"/>
  <c r="C94" i="42"/>
  <c r="E94" i="42"/>
  <c r="G94" i="42"/>
  <c r="I94" i="42"/>
  <c r="J94" i="42"/>
  <c r="K94" i="42"/>
  <c r="P94" i="42"/>
  <c r="Q94" i="42"/>
  <c r="R94" i="42"/>
  <c r="T94" i="42"/>
  <c r="U94" i="42"/>
  <c r="W94" i="42"/>
  <c r="C95" i="42"/>
  <c r="K95" i="42"/>
  <c r="S95" i="42"/>
  <c r="T95" i="42"/>
  <c r="U95" i="42"/>
  <c r="G96" i="42"/>
  <c r="I96" i="42"/>
  <c r="K96" i="42"/>
  <c r="M96" i="42"/>
  <c r="N96" i="42"/>
  <c r="S96" i="42"/>
  <c r="T96" i="42"/>
  <c r="U96" i="42"/>
  <c r="I97" i="42"/>
  <c r="N97" i="42"/>
  <c r="P97" i="42"/>
  <c r="I98" i="42"/>
  <c r="N98" i="42"/>
  <c r="P98" i="42"/>
  <c r="S98" i="42"/>
  <c r="T98" i="42"/>
  <c r="C99" i="42"/>
  <c r="E99" i="42"/>
  <c r="I99" i="42"/>
  <c r="J99" i="42"/>
  <c r="K99" i="42"/>
  <c r="P99" i="42"/>
  <c r="R99" i="42"/>
  <c r="T99" i="42"/>
  <c r="U99" i="42"/>
  <c r="W99" i="42"/>
  <c r="E100" i="42"/>
  <c r="G100" i="42"/>
  <c r="H100" i="42"/>
  <c r="I100" i="42"/>
  <c r="J100" i="42"/>
  <c r="N100" i="42"/>
  <c r="O100" i="42"/>
  <c r="P100" i="42"/>
  <c r="R100" i="42"/>
  <c r="S100" i="42"/>
  <c r="G101" i="42"/>
  <c r="I101" i="42"/>
  <c r="N101" i="42"/>
  <c r="O101" i="42"/>
  <c r="P101" i="42"/>
  <c r="R101" i="42"/>
  <c r="S101" i="42"/>
  <c r="C102" i="42"/>
  <c r="U102" i="42"/>
  <c r="G103" i="42"/>
  <c r="N103" i="42"/>
  <c r="S103" i="42"/>
  <c r="G83" i="42"/>
  <c r="I83" i="42"/>
  <c r="K83" i="42"/>
  <c r="N83" i="42"/>
  <c r="O83" i="42"/>
  <c r="S83" i="42"/>
  <c r="T83" i="42"/>
  <c r="J59" i="42"/>
  <c r="J84" i="42" s="1"/>
  <c r="K59" i="42"/>
  <c r="K84" i="42" s="1"/>
  <c r="W59" i="42"/>
  <c r="W84" i="42" s="1"/>
  <c r="F60" i="42"/>
  <c r="F85" i="42" s="1"/>
  <c r="N60" i="42"/>
  <c r="O60" i="42"/>
  <c r="O85" i="42" s="1"/>
  <c r="R60" i="42"/>
  <c r="R85" i="42" s="1"/>
  <c r="E61" i="42"/>
  <c r="E86" i="42" s="1"/>
  <c r="H61" i="42"/>
  <c r="H86" i="42" s="1"/>
  <c r="J61" i="42"/>
  <c r="J86" i="42" s="1"/>
  <c r="R61" i="42"/>
  <c r="R86" i="42" s="1"/>
  <c r="C62" i="42"/>
  <c r="C87" i="42" s="1"/>
  <c r="K62" i="42"/>
  <c r="L62" i="42"/>
  <c r="L87" i="42" s="1"/>
  <c r="O62" i="42"/>
  <c r="O87" i="42" s="1"/>
  <c r="C63" i="42"/>
  <c r="C88" i="42" s="1"/>
  <c r="G63" i="42"/>
  <c r="G88" i="42" s="1"/>
  <c r="O63" i="42"/>
  <c r="O88" i="42" s="1"/>
  <c r="P63" i="42"/>
  <c r="S63" i="42"/>
  <c r="F64" i="42"/>
  <c r="F89" i="42" s="1"/>
  <c r="I64" i="42"/>
  <c r="I89" i="42" s="1"/>
  <c r="K64" i="42"/>
  <c r="S64" i="42"/>
  <c r="S89" i="42" s="1"/>
  <c r="D65" i="42"/>
  <c r="D90" i="42" s="1"/>
  <c r="L65" i="42"/>
  <c r="L90" i="42" s="1"/>
  <c r="M65" i="42"/>
  <c r="M90" i="42" s="1"/>
  <c r="P65" i="42"/>
  <c r="D66" i="42"/>
  <c r="D91" i="42" s="1"/>
  <c r="H66" i="42"/>
  <c r="H91" i="42" s="1"/>
  <c r="P66" i="42"/>
  <c r="Q66" i="42"/>
  <c r="Q91" i="42" s="1"/>
  <c r="T66" i="42"/>
  <c r="T91" i="42" s="1"/>
  <c r="G67" i="42"/>
  <c r="J67" i="42"/>
  <c r="J92" i="42" s="1"/>
  <c r="L67" i="42"/>
  <c r="L92" i="42" s="1"/>
  <c r="T67" i="42"/>
  <c r="T92" i="42" s="1"/>
  <c r="V67" i="42"/>
  <c r="V92" i="42" s="1"/>
  <c r="E68" i="42"/>
  <c r="E93" i="42" s="1"/>
  <c r="M68" i="42"/>
  <c r="M93" i="42" s="1"/>
  <c r="N68" i="42"/>
  <c r="N93" i="42" s="1"/>
  <c r="E69" i="42"/>
  <c r="I69" i="42"/>
  <c r="Q69" i="42"/>
  <c r="R69" i="42"/>
  <c r="U69" i="42"/>
  <c r="H70" i="42"/>
  <c r="H95" i="42" s="1"/>
  <c r="K70" i="42"/>
  <c r="M70" i="42"/>
  <c r="M95" i="42" s="1"/>
  <c r="U70" i="42"/>
  <c r="F71" i="42"/>
  <c r="F96" i="42" s="1"/>
  <c r="M71" i="42"/>
  <c r="N71" i="42"/>
  <c r="P71" i="42"/>
  <c r="P96" i="42" s="1"/>
  <c r="U71" i="42"/>
  <c r="V71" i="42"/>
  <c r="V96" i="42" s="1"/>
  <c r="C72" i="42"/>
  <c r="C97" i="42" s="1"/>
  <c r="H72" i="42"/>
  <c r="H97" i="42" s="1"/>
  <c r="I72" i="42"/>
  <c r="K72" i="42"/>
  <c r="K97" i="42" s="1"/>
  <c r="P72" i="42"/>
  <c r="Q72" i="42"/>
  <c r="Q97" i="42" s="1"/>
  <c r="S72" i="42"/>
  <c r="S97" i="42" s="1"/>
  <c r="C73" i="42"/>
  <c r="C98" i="42" s="1"/>
  <c r="D73" i="42"/>
  <c r="D98" i="42" s="1"/>
  <c r="F73" i="42"/>
  <c r="F98" i="42" s="1"/>
  <c r="K73" i="42"/>
  <c r="K98" i="42" s="1"/>
  <c r="L73" i="42"/>
  <c r="L98" i="42" s="1"/>
  <c r="N73" i="42"/>
  <c r="S73" i="42"/>
  <c r="T73" i="42"/>
  <c r="V73" i="42"/>
  <c r="V98" i="42" s="1"/>
  <c r="F74" i="42"/>
  <c r="F99" i="42" s="1"/>
  <c r="G74" i="42"/>
  <c r="G99" i="42" s="1"/>
  <c r="I74" i="42"/>
  <c r="N74" i="42"/>
  <c r="N99" i="42" s="1"/>
  <c r="O74" i="42"/>
  <c r="O99" i="42" s="1"/>
  <c r="Q74" i="42"/>
  <c r="Q99" i="42" s="1"/>
  <c r="V74" i="42"/>
  <c r="V99" i="42" s="1"/>
  <c r="W74" i="42"/>
  <c r="D75" i="42"/>
  <c r="D100" i="42" s="1"/>
  <c r="I75" i="42"/>
  <c r="J75" i="42"/>
  <c r="L75" i="42"/>
  <c r="L100" i="42" s="1"/>
  <c r="Q75" i="42"/>
  <c r="Q100" i="42" s="1"/>
  <c r="R75" i="42"/>
  <c r="T75" i="42"/>
  <c r="T100" i="42" s="1"/>
  <c r="D76" i="42"/>
  <c r="D101" i="42" s="1"/>
  <c r="E76" i="42"/>
  <c r="E101" i="42" s="1"/>
  <c r="G76" i="42"/>
  <c r="L76" i="42"/>
  <c r="L101" i="42" s="1"/>
  <c r="M76" i="42"/>
  <c r="M101" i="42" s="1"/>
  <c r="O76" i="42"/>
  <c r="T76" i="42"/>
  <c r="T101" i="42" s="1"/>
  <c r="U76" i="42"/>
  <c r="U101" i="42" s="1"/>
  <c r="W76" i="42"/>
  <c r="W101" i="42" s="1"/>
  <c r="G77" i="42"/>
  <c r="G102" i="42" s="1"/>
  <c r="H77" i="42"/>
  <c r="H102" i="42" s="1"/>
  <c r="J77" i="42"/>
  <c r="J102" i="42" s="1"/>
  <c r="O77" i="42"/>
  <c r="O102" i="42" s="1"/>
  <c r="P77" i="42"/>
  <c r="P102" i="42" s="1"/>
  <c r="R77" i="42"/>
  <c r="R102" i="42" s="1"/>
  <c r="W77" i="42"/>
  <c r="W102" i="42" s="1"/>
  <c r="C78" i="42"/>
  <c r="C103" i="42" s="1"/>
  <c r="E78" i="42"/>
  <c r="E103" i="42" s="1"/>
  <c r="J78" i="42"/>
  <c r="J103" i="42" s="1"/>
  <c r="K78" i="42"/>
  <c r="K103" i="42" s="1"/>
  <c r="M78" i="42"/>
  <c r="M103" i="42" s="1"/>
  <c r="R78" i="42"/>
  <c r="R103" i="42" s="1"/>
  <c r="S78" i="42"/>
  <c r="U78" i="42"/>
  <c r="U103" i="42" s="1"/>
  <c r="F58" i="42"/>
  <c r="F83" i="42" s="1"/>
  <c r="G58" i="42"/>
  <c r="I58" i="42"/>
  <c r="N58" i="42"/>
  <c r="O58" i="42"/>
  <c r="Q58" i="42"/>
  <c r="Q83" i="42" s="1"/>
  <c r="V58" i="42"/>
  <c r="V83" i="42" s="1"/>
  <c r="W58" i="42"/>
  <c r="W83" i="42" s="1"/>
  <c r="X16" i="42"/>
  <c r="M27" i="42"/>
  <c r="C33" i="42"/>
  <c r="C59" i="42" s="1"/>
  <c r="C84" i="42" s="1"/>
  <c r="D33" i="42"/>
  <c r="D59" i="42" s="1"/>
  <c r="D84" i="42" s="1"/>
  <c r="E33" i="42"/>
  <c r="E59" i="42" s="1"/>
  <c r="E84" i="42" s="1"/>
  <c r="F33" i="42"/>
  <c r="F59" i="42" s="1"/>
  <c r="F84" i="42" s="1"/>
  <c r="G33" i="42"/>
  <c r="G59" i="42" s="1"/>
  <c r="G84" i="42" s="1"/>
  <c r="H33" i="42"/>
  <c r="H59" i="42" s="1"/>
  <c r="H84" i="42" s="1"/>
  <c r="I33" i="42"/>
  <c r="I59" i="42" s="1"/>
  <c r="I84" i="42" s="1"/>
  <c r="J33" i="42"/>
  <c r="K33" i="42"/>
  <c r="L33" i="42"/>
  <c r="L59" i="42" s="1"/>
  <c r="L84" i="42" s="1"/>
  <c r="M33" i="42"/>
  <c r="M59" i="42" s="1"/>
  <c r="M84" i="42" s="1"/>
  <c r="N33" i="42"/>
  <c r="N59" i="42" s="1"/>
  <c r="N84" i="42" s="1"/>
  <c r="O33" i="42"/>
  <c r="O59" i="42" s="1"/>
  <c r="O84" i="42" s="1"/>
  <c r="P33" i="42"/>
  <c r="P59" i="42" s="1"/>
  <c r="P84" i="42" s="1"/>
  <c r="Q33" i="42"/>
  <c r="Q59" i="42" s="1"/>
  <c r="Q84" i="42" s="1"/>
  <c r="R33" i="42"/>
  <c r="R59" i="42" s="1"/>
  <c r="R84" i="42" s="1"/>
  <c r="S33" i="42"/>
  <c r="S59" i="42" s="1"/>
  <c r="S84" i="42" s="1"/>
  <c r="T33" i="42"/>
  <c r="T59" i="42" s="1"/>
  <c r="T84" i="42" s="1"/>
  <c r="U33" i="42"/>
  <c r="U59" i="42" s="1"/>
  <c r="U84" i="42" s="1"/>
  <c r="V33" i="42"/>
  <c r="V59" i="42" s="1"/>
  <c r="V84" i="42" s="1"/>
  <c r="W33" i="42"/>
  <c r="C34" i="42"/>
  <c r="C60" i="42" s="1"/>
  <c r="C85" i="42" s="1"/>
  <c r="D34" i="42"/>
  <c r="D60" i="42" s="1"/>
  <c r="D85" i="42" s="1"/>
  <c r="E34" i="42"/>
  <c r="E60" i="42" s="1"/>
  <c r="E85" i="42" s="1"/>
  <c r="F34" i="42"/>
  <c r="G34" i="42"/>
  <c r="G60" i="42" s="1"/>
  <c r="G85" i="42" s="1"/>
  <c r="H34" i="42"/>
  <c r="H60" i="42" s="1"/>
  <c r="H85" i="42" s="1"/>
  <c r="I34" i="42"/>
  <c r="I60" i="42" s="1"/>
  <c r="I85" i="42" s="1"/>
  <c r="J34" i="42"/>
  <c r="J60" i="42" s="1"/>
  <c r="J85" i="42" s="1"/>
  <c r="K34" i="42"/>
  <c r="K60" i="42" s="1"/>
  <c r="K85" i="42" s="1"/>
  <c r="L34" i="42"/>
  <c r="L60" i="42" s="1"/>
  <c r="L85" i="42" s="1"/>
  <c r="M34" i="42"/>
  <c r="M60" i="42" s="1"/>
  <c r="M85" i="42" s="1"/>
  <c r="N34" i="42"/>
  <c r="O34" i="42"/>
  <c r="P34" i="42"/>
  <c r="P60" i="42" s="1"/>
  <c r="P85" i="42" s="1"/>
  <c r="Q34" i="42"/>
  <c r="Q60" i="42" s="1"/>
  <c r="Q85" i="42" s="1"/>
  <c r="R34" i="42"/>
  <c r="S34" i="42"/>
  <c r="S60" i="42" s="1"/>
  <c r="S85" i="42" s="1"/>
  <c r="T34" i="42"/>
  <c r="T60" i="42" s="1"/>
  <c r="U34" i="42"/>
  <c r="U60" i="42" s="1"/>
  <c r="U85" i="42" s="1"/>
  <c r="V34" i="42"/>
  <c r="V60" i="42" s="1"/>
  <c r="V85" i="42" s="1"/>
  <c r="W34" i="42"/>
  <c r="W60" i="42" s="1"/>
  <c r="W85" i="42" s="1"/>
  <c r="C35" i="42"/>
  <c r="C61" i="42" s="1"/>
  <c r="C86" i="42" s="1"/>
  <c r="D35" i="42"/>
  <c r="D61" i="42" s="1"/>
  <c r="D86" i="42" s="1"/>
  <c r="E35" i="42"/>
  <c r="F35" i="42"/>
  <c r="F61" i="42" s="1"/>
  <c r="F86" i="42" s="1"/>
  <c r="G35" i="42"/>
  <c r="G61" i="42" s="1"/>
  <c r="G86" i="42" s="1"/>
  <c r="H35" i="42"/>
  <c r="I35" i="42"/>
  <c r="I61" i="42" s="1"/>
  <c r="I86" i="42" s="1"/>
  <c r="J35" i="42"/>
  <c r="K35" i="42"/>
  <c r="K61" i="42" s="1"/>
  <c r="K86" i="42" s="1"/>
  <c r="L35" i="42"/>
  <c r="L61" i="42" s="1"/>
  <c r="L86" i="42" s="1"/>
  <c r="M35" i="42"/>
  <c r="M61" i="42" s="1"/>
  <c r="M86" i="42" s="1"/>
  <c r="N35" i="42"/>
  <c r="N61" i="42" s="1"/>
  <c r="O35" i="42"/>
  <c r="O61" i="42" s="1"/>
  <c r="O86" i="42" s="1"/>
  <c r="P35" i="42"/>
  <c r="P61" i="42" s="1"/>
  <c r="Q35" i="42"/>
  <c r="Q61" i="42" s="1"/>
  <c r="Q86" i="42" s="1"/>
  <c r="R35" i="42"/>
  <c r="S35" i="42"/>
  <c r="S61" i="42" s="1"/>
  <c r="S86" i="42" s="1"/>
  <c r="T35" i="42"/>
  <c r="T61" i="42" s="1"/>
  <c r="U35" i="42"/>
  <c r="U61" i="42" s="1"/>
  <c r="U86" i="42" s="1"/>
  <c r="V35" i="42"/>
  <c r="V61" i="42" s="1"/>
  <c r="V86" i="42" s="1"/>
  <c r="W35" i="42"/>
  <c r="W61" i="42" s="1"/>
  <c r="W86" i="42" s="1"/>
  <c r="C36" i="42"/>
  <c r="D36" i="42"/>
  <c r="D62" i="42" s="1"/>
  <c r="D87" i="42" s="1"/>
  <c r="E36" i="42"/>
  <c r="E62" i="42" s="1"/>
  <c r="F36" i="42"/>
  <c r="F62" i="42" s="1"/>
  <c r="F87" i="42" s="1"/>
  <c r="G36" i="42"/>
  <c r="G62" i="42" s="1"/>
  <c r="G87" i="42" s="1"/>
  <c r="H36" i="42"/>
  <c r="H62" i="42" s="1"/>
  <c r="H87" i="42" s="1"/>
  <c r="I36" i="42"/>
  <c r="I62" i="42" s="1"/>
  <c r="I87" i="42" s="1"/>
  <c r="J36" i="42"/>
  <c r="J62" i="42" s="1"/>
  <c r="J87" i="42" s="1"/>
  <c r="K36" i="42"/>
  <c r="L36" i="42"/>
  <c r="M36" i="42"/>
  <c r="M62" i="42" s="1"/>
  <c r="M87" i="42" s="1"/>
  <c r="N36" i="42"/>
  <c r="N62" i="42" s="1"/>
  <c r="O36" i="42"/>
  <c r="P36" i="42"/>
  <c r="P62" i="42" s="1"/>
  <c r="Q36" i="42"/>
  <c r="Q62" i="42" s="1"/>
  <c r="Q87" i="42" s="1"/>
  <c r="R36" i="42"/>
  <c r="R62" i="42" s="1"/>
  <c r="S36" i="42"/>
  <c r="S62" i="42" s="1"/>
  <c r="T36" i="42"/>
  <c r="T62" i="42" s="1"/>
  <c r="U36" i="42"/>
  <c r="U62" i="42" s="1"/>
  <c r="V36" i="42"/>
  <c r="V62" i="42" s="1"/>
  <c r="V87" i="42" s="1"/>
  <c r="W36" i="42"/>
  <c r="W62" i="42" s="1"/>
  <c r="C37" i="42"/>
  <c r="D37" i="42"/>
  <c r="D63" i="42" s="1"/>
  <c r="D88" i="42" s="1"/>
  <c r="E37" i="42"/>
  <c r="E63" i="42" s="1"/>
  <c r="E88" i="42" s="1"/>
  <c r="F37" i="42"/>
  <c r="F63" i="42" s="1"/>
  <c r="F88" i="42" s="1"/>
  <c r="G37" i="42"/>
  <c r="H37" i="42"/>
  <c r="H63" i="42" s="1"/>
  <c r="H88" i="42" s="1"/>
  <c r="I37" i="42"/>
  <c r="I63" i="42" s="1"/>
  <c r="I88" i="42" s="1"/>
  <c r="J37" i="42"/>
  <c r="J63" i="42" s="1"/>
  <c r="J88" i="42" s="1"/>
  <c r="K37" i="42"/>
  <c r="K63" i="42" s="1"/>
  <c r="K88" i="42" s="1"/>
  <c r="L37" i="42"/>
  <c r="L63" i="42" s="1"/>
  <c r="L88" i="42" s="1"/>
  <c r="M37" i="42"/>
  <c r="M63" i="42" s="1"/>
  <c r="M88" i="42" s="1"/>
  <c r="N37" i="42"/>
  <c r="N63" i="42" s="1"/>
  <c r="O37" i="42"/>
  <c r="P37" i="42"/>
  <c r="Q37" i="42"/>
  <c r="Q63" i="42" s="1"/>
  <c r="Q88" i="42" s="1"/>
  <c r="R37" i="42"/>
  <c r="R63" i="42" s="1"/>
  <c r="R88" i="42" s="1"/>
  <c r="S37" i="42"/>
  <c r="T37" i="42"/>
  <c r="T63" i="42" s="1"/>
  <c r="T88" i="42" s="1"/>
  <c r="U37" i="42"/>
  <c r="U63" i="42" s="1"/>
  <c r="U88" i="42" s="1"/>
  <c r="V37" i="42"/>
  <c r="V63" i="42" s="1"/>
  <c r="V88" i="42" s="1"/>
  <c r="W37" i="42"/>
  <c r="W63" i="42" s="1"/>
  <c r="W88" i="42" s="1"/>
  <c r="C38" i="42"/>
  <c r="C64" i="42" s="1"/>
  <c r="D38" i="42"/>
  <c r="D64" i="42" s="1"/>
  <c r="D89" i="42" s="1"/>
  <c r="E38" i="42"/>
  <c r="E64" i="42" s="1"/>
  <c r="E89" i="42" s="1"/>
  <c r="F38" i="42"/>
  <c r="G38" i="42"/>
  <c r="G64" i="42" s="1"/>
  <c r="G89" i="42" s="1"/>
  <c r="H38" i="42"/>
  <c r="H64" i="42" s="1"/>
  <c r="H89" i="42" s="1"/>
  <c r="I38" i="42"/>
  <c r="J38" i="42"/>
  <c r="J64" i="42" s="1"/>
  <c r="J89" i="42" s="1"/>
  <c r="K38" i="42"/>
  <c r="L38" i="42"/>
  <c r="L64" i="42" s="1"/>
  <c r="L89" i="42" s="1"/>
  <c r="M38" i="42"/>
  <c r="M64" i="42" s="1"/>
  <c r="M89" i="42" s="1"/>
  <c r="N38" i="42"/>
  <c r="N64" i="42" s="1"/>
  <c r="N89" i="42" s="1"/>
  <c r="O38" i="42"/>
  <c r="O64" i="42" s="1"/>
  <c r="O89" i="42" s="1"/>
  <c r="P38" i="42"/>
  <c r="P64" i="42" s="1"/>
  <c r="Q38" i="42"/>
  <c r="Q64" i="42" s="1"/>
  <c r="R38" i="42"/>
  <c r="R64" i="42" s="1"/>
  <c r="R89" i="42" s="1"/>
  <c r="S38" i="42"/>
  <c r="T38" i="42"/>
  <c r="T64" i="42" s="1"/>
  <c r="U38" i="42"/>
  <c r="U64" i="42" s="1"/>
  <c r="V38" i="42"/>
  <c r="V64" i="42" s="1"/>
  <c r="V89" i="42" s="1"/>
  <c r="W38" i="42"/>
  <c r="W64" i="42" s="1"/>
  <c r="C39" i="42"/>
  <c r="C65" i="42" s="1"/>
  <c r="C90" i="42" s="1"/>
  <c r="D39" i="42"/>
  <c r="E39" i="42"/>
  <c r="E65" i="42" s="1"/>
  <c r="E90" i="42" s="1"/>
  <c r="F39" i="42"/>
  <c r="F65" i="42" s="1"/>
  <c r="F90" i="42" s="1"/>
  <c r="G39" i="42"/>
  <c r="G65" i="42" s="1"/>
  <c r="G90" i="42" s="1"/>
  <c r="H39" i="42"/>
  <c r="H65" i="42" s="1"/>
  <c r="H90" i="42" s="1"/>
  <c r="I39" i="42"/>
  <c r="I65" i="42" s="1"/>
  <c r="J39" i="42"/>
  <c r="J65" i="42" s="1"/>
  <c r="J90" i="42" s="1"/>
  <c r="K39" i="42"/>
  <c r="K65" i="42" s="1"/>
  <c r="L39" i="42"/>
  <c r="M39" i="42"/>
  <c r="N39" i="42"/>
  <c r="N65" i="42" s="1"/>
  <c r="O39" i="42"/>
  <c r="O65" i="42" s="1"/>
  <c r="O90" i="42" s="1"/>
  <c r="P39" i="42"/>
  <c r="Q39" i="42"/>
  <c r="Q65" i="42" s="1"/>
  <c r="Q90" i="42" s="1"/>
  <c r="R39" i="42"/>
  <c r="R65" i="42" s="1"/>
  <c r="R90" i="42" s="1"/>
  <c r="S39" i="42"/>
  <c r="S65" i="42" s="1"/>
  <c r="T39" i="42"/>
  <c r="T65" i="42" s="1"/>
  <c r="U39" i="42"/>
  <c r="U65" i="42" s="1"/>
  <c r="V39" i="42"/>
  <c r="V65" i="42" s="1"/>
  <c r="V90" i="42" s="1"/>
  <c r="W39" i="42"/>
  <c r="W65" i="42" s="1"/>
  <c r="C40" i="42"/>
  <c r="C66" i="42" s="1"/>
  <c r="C91" i="42" s="1"/>
  <c r="D40" i="42"/>
  <c r="E40" i="42"/>
  <c r="E66" i="42" s="1"/>
  <c r="E91" i="42" s="1"/>
  <c r="F40" i="42"/>
  <c r="F66" i="42" s="1"/>
  <c r="F91" i="42" s="1"/>
  <c r="G40" i="42"/>
  <c r="G66" i="42" s="1"/>
  <c r="H40" i="42"/>
  <c r="I40" i="42"/>
  <c r="I66" i="42" s="1"/>
  <c r="J40" i="42"/>
  <c r="J66" i="42" s="1"/>
  <c r="J91" i="42" s="1"/>
  <c r="K40" i="42"/>
  <c r="K66" i="42" s="1"/>
  <c r="K91" i="42" s="1"/>
  <c r="L40" i="42"/>
  <c r="L66" i="42" s="1"/>
  <c r="L91" i="42" s="1"/>
  <c r="M40" i="42"/>
  <c r="M66" i="42" s="1"/>
  <c r="N40" i="42"/>
  <c r="N66" i="42" s="1"/>
  <c r="O40" i="42"/>
  <c r="O66" i="42" s="1"/>
  <c r="P40" i="42"/>
  <c r="Q40" i="42"/>
  <c r="R40" i="42"/>
  <c r="R66" i="42" s="1"/>
  <c r="S40" i="42"/>
  <c r="S66" i="42" s="1"/>
  <c r="S91" i="42" s="1"/>
  <c r="T40" i="42"/>
  <c r="U40" i="42"/>
  <c r="U66" i="42" s="1"/>
  <c r="U91" i="42" s="1"/>
  <c r="V40" i="42"/>
  <c r="V66" i="42" s="1"/>
  <c r="V91" i="42" s="1"/>
  <c r="W40" i="42"/>
  <c r="W66" i="42" s="1"/>
  <c r="W91" i="42" s="1"/>
  <c r="C41" i="42"/>
  <c r="C67" i="42" s="1"/>
  <c r="C92" i="42" s="1"/>
  <c r="D41" i="42"/>
  <c r="D67" i="42" s="1"/>
  <c r="D92" i="42" s="1"/>
  <c r="E41" i="42"/>
  <c r="E67" i="42" s="1"/>
  <c r="E92" i="42" s="1"/>
  <c r="F41" i="42"/>
  <c r="F67" i="42" s="1"/>
  <c r="F92" i="42" s="1"/>
  <c r="G41" i="42"/>
  <c r="H41" i="42"/>
  <c r="H67" i="42" s="1"/>
  <c r="H92" i="42" s="1"/>
  <c r="I41" i="42"/>
  <c r="I67" i="42" s="1"/>
  <c r="I92" i="42" s="1"/>
  <c r="J41" i="42"/>
  <c r="K41" i="42"/>
  <c r="K67" i="42" s="1"/>
  <c r="K92" i="42" s="1"/>
  <c r="L41" i="42"/>
  <c r="M41" i="42"/>
  <c r="M67" i="42" s="1"/>
  <c r="M92" i="42" s="1"/>
  <c r="N41" i="42"/>
  <c r="N67" i="42" s="1"/>
  <c r="O41" i="42"/>
  <c r="O67" i="42" s="1"/>
  <c r="O92" i="42" s="1"/>
  <c r="P41" i="42"/>
  <c r="P67" i="42" s="1"/>
  <c r="P92" i="42" s="1"/>
  <c r="Q41" i="42"/>
  <c r="Q67" i="42" s="1"/>
  <c r="Q92" i="42" s="1"/>
  <c r="R41" i="42"/>
  <c r="R67" i="42" s="1"/>
  <c r="R92" i="42" s="1"/>
  <c r="S41" i="42"/>
  <c r="S67" i="42" s="1"/>
  <c r="S92" i="42" s="1"/>
  <c r="T41" i="42"/>
  <c r="U41" i="42"/>
  <c r="U67" i="42" s="1"/>
  <c r="U92" i="42" s="1"/>
  <c r="V41" i="42"/>
  <c r="W41" i="42"/>
  <c r="W67" i="42" s="1"/>
  <c r="C42" i="42"/>
  <c r="C68" i="42" s="1"/>
  <c r="D42" i="42"/>
  <c r="D68" i="42" s="1"/>
  <c r="D93" i="42" s="1"/>
  <c r="E42" i="42"/>
  <c r="F42" i="42"/>
  <c r="F68" i="42" s="1"/>
  <c r="F93" i="42" s="1"/>
  <c r="G42" i="42"/>
  <c r="G68" i="42" s="1"/>
  <c r="G93" i="42" s="1"/>
  <c r="H42" i="42"/>
  <c r="H68" i="42" s="1"/>
  <c r="H93" i="42" s="1"/>
  <c r="I42" i="42"/>
  <c r="I68" i="42" s="1"/>
  <c r="I93" i="42" s="1"/>
  <c r="J42" i="42"/>
  <c r="J68" i="42" s="1"/>
  <c r="J93" i="42" s="1"/>
  <c r="K42" i="42"/>
  <c r="K68" i="42" s="1"/>
  <c r="L42" i="42"/>
  <c r="L68" i="42" s="1"/>
  <c r="L93" i="42" s="1"/>
  <c r="M42" i="42"/>
  <c r="N42" i="42"/>
  <c r="O42" i="42"/>
  <c r="O68" i="42" s="1"/>
  <c r="O93" i="42" s="1"/>
  <c r="P42" i="42"/>
  <c r="P68" i="42" s="1"/>
  <c r="Q42" i="42"/>
  <c r="Q68" i="42" s="1"/>
  <c r="R42" i="42"/>
  <c r="R68" i="42" s="1"/>
  <c r="S42" i="42"/>
  <c r="S68" i="42" s="1"/>
  <c r="S93" i="42" s="1"/>
  <c r="T42" i="42"/>
  <c r="T68" i="42" s="1"/>
  <c r="U42" i="42"/>
  <c r="U68" i="42" s="1"/>
  <c r="V42" i="42"/>
  <c r="V68" i="42" s="1"/>
  <c r="V93" i="42" s="1"/>
  <c r="W42" i="42"/>
  <c r="W68" i="42" s="1"/>
  <c r="W93" i="42" s="1"/>
  <c r="C43" i="42"/>
  <c r="C69" i="42" s="1"/>
  <c r="D43" i="42"/>
  <c r="D69" i="42" s="1"/>
  <c r="D94" i="42" s="1"/>
  <c r="E43" i="42"/>
  <c r="F43" i="42"/>
  <c r="F69" i="42" s="1"/>
  <c r="F94" i="42" s="1"/>
  <c r="G43" i="42"/>
  <c r="G69" i="42" s="1"/>
  <c r="H43" i="42"/>
  <c r="H69" i="42" s="1"/>
  <c r="H94" i="42" s="1"/>
  <c r="I43" i="42"/>
  <c r="J43" i="42"/>
  <c r="J69" i="42" s="1"/>
  <c r="K43" i="42"/>
  <c r="K69" i="42" s="1"/>
  <c r="L43" i="42"/>
  <c r="L69" i="42" s="1"/>
  <c r="L94" i="42" s="1"/>
  <c r="M43" i="42"/>
  <c r="M69" i="42" s="1"/>
  <c r="M94" i="42" s="1"/>
  <c r="N43" i="42"/>
  <c r="N69" i="42" s="1"/>
  <c r="N94" i="42" s="1"/>
  <c r="O43" i="42"/>
  <c r="O69" i="42" s="1"/>
  <c r="O94" i="42" s="1"/>
  <c r="P43" i="42"/>
  <c r="P69" i="42" s="1"/>
  <c r="Q43" i="42"/>
  <c r="R43" i="42"/>
  <c r="S43" i="42"/>
  <c r="S69" i="42" s="1"/>
  <c r="S94" i="42" s="1"/>
  <c r="T43" i="42"/>
  <c r="T69" i="42" s="1"/>
  <c r="U43" i="42"/>
  <c r="V43" i="42"/>
  <c r="V69" i="42" s="1"/>
  <c r="V94" i="42" s="1"/>
  <c r="W43" i="42"/>
  <c r="W69" i="42" s="1"/>
  <c r="C44" i="42"/>
  <c r="C70" i="42" s="1"/>
  <c r="D44" i="42"/>
  <c r="D70" i="42" s="1"/>
  <c r="D95" i="42" s="1"/>
  <c r="E44" i="42"/>
  <c r="E70" i="42" s="1"/>
  <c r="E95" i="42" s="1"/>
  <c r="F44" i="42"/>
  <c r="F70" i="42" s="1"/>
  <c r="F95" i="42" s="1"/>
  <c r="G44" i="42"/>
  <c r="G70" i="42" s="1"/>
  <c r="G95" i="42" s="1"/>
  <c r="H44" i="42"/>
  <c r="I44" i="42"/>
  <c r="I70" i="42" s="1"/>
  <c r="I95" i="42" s="1"/>
  <c r="J44" i="42"/>
  <c r="J70" i="42" s="1"/>
  <c r="J95" i="42" s="1"/>
  <c r="K44" i="42"/>
  <c r="L44" i="42"/>
  <c r="L70" i="42" s="1"/>
  <c r="L95" i="42" s="1"/>
  <c r="M44" i="42"/>
  <c r="N44" i="42"/>
  <c r="N70" i="42" s="1"/>
  <c r="N95" i="42" s="1"/>
  <c r="O44" i="42"/>
  <c r="O70" i="42" s="1"/>
  <c r="O95" i="42" s="1"/>
  <c r="P44" i="42"/>
  <c r="P70" i="42" s="1"/>
  <c r="P95" i="42" s="1"/>
  <c r="Q44" i="42"/>
  <c r="Q70" i="42" s="1"/>
  <c r="Q95" i="42" s="1"/>
  <c r="R44" i="42"/>
  <c r="R70" i="42" s="1"/>
  <c r="R95" i="42" s="1"/>
  <c r="S44" i="42"/>
  <c r="S70" i="42" s="1"/>
  <c r="T44" i="42"/>
  <c r="T70" i="42" s="1"/>
  <c r="U44" i="42"/>
  <c r="V44" i="42"/>
  <c r="V70" i="42" s="1"/>
  <c r="V95" i="42" s="1"/>
  <c r="W44" i="42"/>
  <c r="W70" i="42" s="1"/>
  <c r="W95" i="42" s="1"/>
  <c r="C45" i="42"/>
  <c r="C71" i="42" s="1"/>
  <c r="C96" i="42" s="1"/>
  <c r="D45" i="42"/>
  <c r="D71" i="42" s="1"/>
  <c r="D96" i="42" s="1"/>
  <c r="E45" i="42"/>
  <c r="E71" i="42" s="1"/>
  <c r="E96" i="42" s="1"/>
  <c r="F45" i="42"/>
  <c r="G45" i="42"/>
  <c r="G71" i="42" s="1"/>
  <c r="H45" i="42"/>
  <c r="H71" i="42" s="1"/>
  <c r="H96" i="42" s="1"/>
  <c r="I45" i="42"/>
  <c r="I71" i="42" s="1"/>
  <c r="J45" i="42"/>
  <c r="J71" i="42" s="1"/>
  <c r="J96" i="42" s="1"/>
  <c r="K45" i="42"/>
  <c r="K71" i="42" s="1"/>
  <c r="L45" i="42"/>
  <c r="L71" i="42" s="1"/>
  <c r="L96" i="42" s="1"/>
  <c r="M45" i="42"/>
  <c r="N45" i="42"/>
  <c r="O45" i="42"/>
  <c r="O71" i="42" s="1"/>
  <c r="O96" i="42" s="1"/>
  <c r="P45" i="42"/>
  <c r="Q45" i="42"/>
  <c r="Q71" i="42" s="1"/>
  <c r="Q96" i="42" s="1"/>
  <c r="R45" i="42"/>
  <c r="R71" i="42" s="1"/>
  <c r="R96" i="42" s="1"/>
  <c r="S45" i="42"/>
  <c r="S71" i="42" s="1"/>
  <c r="T45" i="42"/>
  <c r="T71" i="42" s="1"/>
  <c r="U45" i="42"/>
  <c r="V45" i="42"/>
  <c r="W45" i="42"/>
  <c r="W71" i="42" s="1"/>
  <c r="W96" i="42" s="1"/>
  <c r="C46" i="42"/>
  <c r="D46" i="42"/>
  <c r="D72" i="42" s="1"/>
  <c r="D97" i="42" s="1"/>
  <c r="E46" i="42"/>
  <c r="E72" i="42" s="1"/>
  <c r="E97" i="42" s="1"/>
  <c r="F46" i="42"/>
  <c r="F72" i="42" s="1"/>
  <c r="F97" i="42" s="1"/>
  <c r="G46" i="42"/>
  <c r="G72" i="42" s="1"/>
  <c r="G97" i="42" s="1"/>
  <c r="H46" i="42"/>
  <c r="I46" i="42"/>
  <c r="J46" i="42"/>
  <c r="J72" i="42" s="1"/>
  <c r="J97" i="42" s="1"/>
  <c r="K46" i="42"/>
  <c r="L46" i="42"/>
  <c r="L72" i="42" s="1"/>
  <c r="L97" i="42" s="1"/>
  <c r="M46" i="42"/>
  <c r="M72" i="42" s="1"/>
  <c r="M97" i="42" s="1"/>
  <c r="N46" i="42"/>
  <c r="N72" i="42" s="1"/>
  <c r="O46" i="42"/>
  <c r="O72" i="42" s="1"/>
  <c r="O97" i="42" s="1"/>
  <c r="P46" i="42"/>
  <c r="Q46" i="42"/>
  <c r="R46" i="42"/>
  <c r="R72" i="42" s="1"/>
  <c r="R97" i="42" s="1"/>
  <c r="S46" i="42"/>
  <c r="T46" i="42"/>
  <c r="T72" i="42" s="1"/>
  <c r="T97" i="42" s="1"/>
  <c r="U46" i="42"/>
  <c r="U72" i="42" s="1"/>
  <c r="U97" i="42" s="1"/>
  <c r="V46" i="42"/>
  <c r="V72" i="42" s="1"/>
  <c r="V97" i="42" s="1"/>
  <c r="W46" i="42"/>
  <c r="W72" i="42" s="1"/>
  <c r="W97" i="42" s="1"/>
  <c r="C47" i="42"/>
  <c r="D47" i="42"/>
  <c r="E47" i="42"/>
  <c r="E73" i="42" s="1"/>
  <c r="E98" i="42" s="1"/>
  <c r="F47" i="42"/>
  <c r="G47" i="42"/>
  <c r="G73" i="42" s="1"/>
  <c r="G98" i="42" s="1"/>
  <c r="H47" i="42"/>
  <c r="H73" i="42" s="1"/>
  <c r="H98" i="42" s="1"/>
  <c r="I47" i="42"/>
  <c r="I73" i="42" s="1"/>
  <c r="J47" i="42"/>
  <c r="J73" i="42" s="1"/>
  <c r="J98" i="42" s="1"/>
  <c r="K47" i="42"/>
  <c r="L47" i="42"/>
  <c r="M47" i="42"/>
  <c r="M73" i="42" s="1"/>
  <c r="M98" i="42" s="1"/>
  <c r="N47" i="42"/>
  <c r="O47" i="42"/>
  <c r="O73" i="42" s="1"/>
  <c r="O98" i="42" s="1"/>
  <c r="P47" i="42"/>
  <c r="P73" i="42" s="1"/>
  <c r="Q47" i="42"/>
  <c r="Q73" i="42" s="1"/>
  <c r="Q98" i="42" s="1"/>
  <c r="R47" i="42"/>
  <c r="R73" i="42" s="1"/>
  <c r="R98" i="42" s="1"/>
  <c r="S47" i="42"/>
  <c r="T47" i="42"/>
  <c r="U47" i="42"/>
  <c r="U73" i="42" s="1"/>
  <c r="U98" i="42" s="1"/>
  <c r="V47" i="42"/>
  <c r="W47" i="42"/>
  <c r="W73" i="42" s="1"/>
  <c r="W98" i="42" s="1"/>
  <c r="C48" i="42"/>
  <c r="C74" i="42" s="1"/>
  <c r="D48" i="42"/>
  <c r="D74" i="42" s="1"/>
  <c r="D99" i="42" s="1"/>
  <c r="E48" i="42"/>
  <c r="E74" i="42" s="1"/>
  <c r="F48" i="42"/>
  <c r="G48" i="42"/>
  <c r="H48" i="42"/>
  <c r="H74" i="42" s="1"/>
  <c r="H99" i="42" s="1"/>
  <c r="I48" i="42"/>
  <c r="J48" i="42"/>
  <c r="J74" i="42" s="1"/>
  <c r="K48" i="42"/>
  <c r="K74" i="42" s="1"/>
  <c r="L48" i="42"/>
  <c r="L74" i="42" s="1"/>
  <c r="L99" i="42" s="1"/>
  <c r="M48" i="42"/>
  <c r="M74" i="42" s="1"/>
  <c r="M99" i="42" s="1"/>
  <c r="N48" i="42"/>
  <c r="O48" i="42"/>
  <c r="P48" i="42"/>
  <c r="P74" i="42" s="1"/>
  <c r="Q48" i="42"/>
  <c r="R48" i="42"/>
  <c r="R74" i="42" s="1"/>
  <c r="S48" i="42"/>
  <c r="S74" i="42" s="1"/>
  <c r="S99" i="42" s="1"/>
  <c r="T48" i="42"/>
  <c r="T74" i="42" s="1"/>
  <c r="U48" i="42"/>
  <c r="U74" i="42" s="1"/>
  <c r="V48" i="42"/>
  <c r="W48" i="42"/>
  <c r="C49" i="42"/>
  <c r="C75" i="42" s="1"/>
  <c r="C100" i="42" s="1"/>
  <c r="D49" i="42"/>
  <c r="E49" i="42"/>
  <c r="E75" i="42" s="1"/>
  <c r="F49" i="42"/>
  <c r="F75" i="42" s="1"/>
  <c r="F100" i="42" s="1"/>
  <c r="G49" i="42"/>
  <c r="G75" i="42" s="1"/>
  <c r="H49" i="42"/>
  <c r="H75" i="42" s="1"/>
  <c r="I49" i="42"/>
  <c r="J49" i="42"/>
  <c r="K49" i="42"/>
  <c r="K75" i="42" s="1"/>
  <c r="K100" i="42" s="1"/>
  <c r="L49" i="42"/>
  <c r="M49" i="42"/>
  <c r="M75" i="42" s="1"/>
  <c r="M100" i="42" s="1"/>
  <c r="N49" i="42"/>
  <c r="N75" i="42" s="1"/>
  <c r="O49" i="42"/>
  <c r="O75" i="42" s="1"/>
  <c r="P49" i="42"/>
  <c r="P75" i="42" s="1"/>
  <c r="Q49" i="42"/>
  <c r="R49" i="42"/>
  <c r="S49" i="42"/>
  <c r="S75" i="42" s="1"/>
  <c r="T49" i="42"/>
  <c r="U49" i="42"/>
  <c r="U75" i="42" s="1"/>
  <c r="U100" i="42" s="1"/>
  <c r="V49" i="42"/>
  <c r="V75" i="42" s="1"/>
  <c r="V100" i="42" s="1"/>
  <c r="W49" i="42"/>
  <c r="W75" i="42" s="1"/>
  <c r="W100" i="42" s="1"/>
  <c r="C50" i="42"/>
  <c r="C76" i="42" s="1"/>
  <c r="C101" i="42" s="1"/>
  <c r="D50" i="42"/>
  <c r="E50" i="42"/>
  <c r="F50" i="42"/>
  <c r="F76" i="42" s="1"/>
  <c r="F101" i="42" s="1"/>
  <c r="G50" i="42"/>
  <c r="H50" i="42"/>
  <c r="H76" i="42" s="1"/>
  <c r="H101" i="42" s="1"/>
  <c r="I50" i="42"/>
  <c r="I76" i="42" s="1"/>
  <c r="J50" i="42"/>
  <c r="J76" i="42" s="1"/>
  <c r="J101" i="42" s="1"/>
  <c r="K50" i="42"/>
  <c r="K76" i="42" s="1"/>
  <c r="K101" i="42" s="1"/>
  <c r="L50" i="42"/>
  <c r="M50" i="42"/>
  <c r="N50" i="42"/>
  <c r="N76" i="42" s="1"/>
  <c r="O50" i="42"/>
  <c r="P50" i="42"/>
  <c r="P76" i="42" s="1"/>
  <c r="Q50" i="42"/>
  <c r="Q76" i="42" s="1"/>
  <c r="Q101" i="42" s="1"/>
  <c r="R50" i="42"/>
  <c r="R76" i="42" s="1"/>
  <c r="S50" i="42"/>
  <c r="S76" i="42" s="1"/>
  <c r="T50" i="42"/>
  <c r="U50" i="42"/>
  <c r="V50" i="42"/>
  <c r="V76" i="42" s="1"/>
  <c r="V101" i="42" s="1"/>
  <c r="W50" i="42"/>
  <c r="C51" i="42"/>
  <c r="C77" i="42" s="1"/>
  <c r="D51" i="42"/>
  <c r="D77" i="42" s="1"/>
  <c r="D102" i="42" s="1"/>
  <c r="E51" i="42"/>
  <c r="E77" i="42" s="1"/>
  <c r="E102" i="42" s="1"/>
  <c r="F51" i="42"/>
  <c r="F77" i="42" s="1"/>
  <c r="F102" i="42" s="1"/>
  <c r="G51" i="42"/>
  <c r="H51" i="42"/>
  <c r="I51" i="42"/>
  <c r="I77" i="42" s="1"/>
  <c r="I102" i="42" s="1"/>
  <c r="J51" i="42"/>
  <c r="K51" i="42"/>
  <c r="K77" i="42" s="1"/>
  <c r="K102" i="42" s="1"/>
  <c r="L51" i="42"/>
  <c r="L77" i="42" s="1"/>
  <c r="L102" i="42" s="1"/>
  <c r="M51" i="42"/>
  <c r="M77" i="42" s="1"/>
  <c r="M102" i="42" s="1"/>
  <c r="N51" i="42"/>
  <c r="N77" i="42" s="1"/>
  <c r="N102" i="42" s="1"/>
  <c r="O51" i="42"/>
  <c r="P51" i="42"/>
  <c r="Q51" i="42"/>
  <c r="Q77" i="42" s="1"/>
  <c r="Q102" i="42" s="1"/>
  <c r="R51" i="42"/>
  <c r="S51" i="42"/>
  <c r="S77" i="42" s="1"/>
  <c r="S102" i="42" s="1"/>
  <c r="T51" i="42"/>
  <c r="T77" i="42" s="1"/>
  <c r="T102" i="42" s="1"/>
  <c r="U51" i="42"/>
  <c r="U77" i="42" s="1"/>
  <c r="V51" i="42"/>
  <c r="V77" i="42" s="1"/>
  <c r="V102" i="42" s="1"/>
  <c r="W51" i="42"/>
  <c r="C52" i="42"/>
  <c r="D52" i="42"/>
  <c r="D78" i="42" s="1"/>
  <c r="D103" i="42" s="1"/>
  <c r="E52" i="42"/>
  <c r="F52" i="42"/>
  <c r="F78" i="42" s="1"/>
  <c r="F103" i="42" s="1"/>
  <c r="G52" i="42"/>
  <c r="G78" i="42" s="1"/>
  <c r="H52" i="42"/>
  <c r="H78" i="42" s="1"/>
  <c r="H103" i="42" s="1"/>
  <c r="I52" i="42"/>
  <c r="I78" i="42" s="1"/>
  <c r="I103" i="42" s="1"/>
  <c r="J52" i="42"/>
  <c r="K52" i="42"/>
  <c r="L52" i="42"/>
  <c r="L78" i="42" s="1"/>
  <c r="L103" i="42" s="1"/>
  <c r="M52" i="42"/>
  <c r="N52" i="42"/>
  <c r="N78" i="42" s="1"/>
  <c r="O52" i="42"/>
  <c r="O78" i="42" s="1"/>
  <c r="O103" i="42" s="1"/>
  <c r="P52" i="42"/>
  <c r="P78" i="42" s="1"/>
  <c r="P103" i="42" s="1"/>
  <c r="Q52" i="42"/>
  <c r="Q78" i="42" s="1"/>
  <c r="Q103" i="42" s="1"/>
  <c r="R52" i="42"/>
  <c r="S52" i="42"/>
  <c r="T52" i="42"/>
  <c r="T78" i="42" s="1"/>
  <c r="T103" i="42" s="1"/>
  <c r="U52" i="42"/>
  <c r="V52" i="42"/>
  <c r="V78" i="42" s="1"/>
  <c r="V103" i="42" s="1"/>
  <c r="W52" i="42"/>
  <c r="W78" i="42" s="1"/>
  <c r="W103" i="42" s="1"/>
  <c r="D32" i="42"/>
  <c r="D58" i="42" s="1"/>
  <c r="D83" i="42" s="1"/>
  <c r="E32" i="42"/>
  <c r="E58" i="42" s="1"/>
  <c r="E83" i="42" s="1"/>
  <c r="F32" i="42"/>
  <c r="G32" i="42"/>
  <c r="H32" i="42"/>
  <c r="H58" i="42" s="1"/>
  <c r="H83" i="42" s="1"/>
  <c r="I32" i="42"/>
  <c r="J32" i="42"/>
  <c r="J58" i="42" s="1"/>
  <c r="J83" i="42" s="1"/>
  <c r="K32" i="42"/>
  <c r="K58" i="42" s="1"/>
  <c r="L32" i="42"/>
  <c r="L58" i="42" s="1"/>
  <c r="L83" i="42" s="1"/>
  <c r="M32" i="42"/>
  <c r="N32" i="42"/>
  <c r="O32" i="42"/>
  <c r="P32" i="42"/>
  <c r="P58" i="42" s="1"/>
  <c r="P83" i="42" s="1"/>
  <c r="Q32" i="42"/>
  <c r="R32" i="42"/>
  <c r="R58" i="42" s="1"/>
  <c r="R83" i="42" s="1"/>
  <c r="S32" i="42"/>
  <c r="S58" i="42" s="1"/>
  <c r="T32" i="42"/>
  <c r="T58" i="42" s="1"/>
  <c r="U32" i="42"/>
  <c r="U58" i="42" s="1"/>
  <c r="U83" i="42" s="1"/>
  <c r="V32" i="42"/>
  <c r="W32" i="42"/>
  <c r="C7" i="42"/>
  <c r="D7" i="42"/>
  <c r="E7" i="42"/>
  <c r="F7" i="42"/>
  <c r="G7" i="42"/>
  <c r="H7" i="42"/>
  <c r="I7" i="42"/>
  <c r="J7" i="42"/>
  <c r="K7" i="42"/>
  <c r="L7" i="42"/>
  <c r="M7" i="42"/>
  <c r="N7" i="42"/>
  <c r="O7" i="42"/>
  <c r="P7" i="42"/>
  <c r="Q7" i="42"/>
  <c r="R7" i="42"/>
  <c r="S7" i="42"/>
  <c r="T7" i="42"/>
  <c r="U7" i="42"/>
  <c r="V7" i="42"/>
  <c r="W7" i="42"/>
  <c r="C8" i="42"/>
  <c r="D8" i="42"/>
  <c r="E8" i="42"/>
  <c r="F8" i="42"/>
  <c r="G8" i="42"/>
  <c r="H8" i="42"/>
  <c r="I8" i="42"/>
  <c r="J8" i="42"/>
  <c r="K8" i="42"/>
  <c r="L8" i="42"/>
  <c r="M8" i="42"/>
  <c r="N8" i="42"/>
  <c r="O8" i="42"/>
  <c r="P8" i="42"/>
  <c r="Q8" i="42"/>
  <c r="R8" i="42"/>
  <c r="S8" i="42"/>
  <c r="T8" i="42"/>
  <c r="U8" i="42"/>
  <c r="V8" i="42"/>
  <c r="W8" i="42"/>
  <c r="C9" i="42"/>
  <c r="D9" i="42"/>
  <c r="E9" i="42"/>
  <c r="F9" i="42"/>
  <c r="G9" i="42"/>
  <c r="H9" i="42"/>
  <c r="I9" i="42"/>
  <c r="J9" i="42"/>
  <c r="K9" i="42"/>
  <c r="L9" i="42"/>
  <c r="M9" i="42"/>
  <c r="N9" i="42"/>
  <c r="O9" i="42"/>
  <c r="P9" i="42"/>
  <c r="Q9" i="42"/>
  <c r="R9" i="42"/>
  <c r="S9" i="42"/>
  <c r="T9" i="42"/>
  <c r="U9" i="42"/>
  <c r="V9" i="42"/>
  <c r="W9" i="42"/>
  <c r="C10" i="42"/>
  <c r="D10" i="42"/>
  <c r="E10" i="42"/>
  <c r="F10" i="42"/>
  <c r="G10" i="42"/>
  <c r="H10" i="42"/>
  <c r="I10" i="42"/>
  <c r="J10" i="42"/>
  <c r="K10" i="42"/>
  <c r="L10" i="42"/>
  <c r="M10" i="42"/>
  <c r="N10" i="42"/>
  <c r="O10" i="42"/>
  <c r="P10" i="42"/>
  <c r="Q10" i="42"/>
  <c r="R10" i="42"/>
  <c r="S10" i="42"/>
  <c r="T10" i="42"/>
  <c r="U10" i="42"/>
  <c r="V10" i="42"/>
  <c r="W10" i="42"/>
  <c r="C11" i="42"/>
  <c r="D11" i="42"/>
  <c r="E11" i="42"/>
  <c r="F11" i="42"/>
  <c r="G11" i="42"/>
  <c r="H11" i="42"/>
  <c r="I11" i="42"/>
  <c r="J11" i="42"/>
  <c r="K11" i="42"/>
  <c r="L11" i="42"/>
  <c r="M11" i="42"/>
  <c r="N11" i="42"/>
  <c r="O11" i="42"/>
  <c r="P11" i="42"/>
  <c r="Q11" i="42"/>
  <c r="R11" i="42"/>
  <c r="S11" i="42"/>
  <c r="T11" i="42"/>
  <c r="U11" i="42"/>
  <c r="V11" i="42"/>
  <c r="W11" i="42"/>
  <c r="C12" i="42"/>
  <c r="D12" i="42"/>
  <c r="E12" i="42"/>
  <c r="F12" i="42"/>
  <c r="G12" i="42"/>
  <c r="H12" i="42"/>
  <c r="I12" i="42"/>
  <c r="J12" i="42"/>
  <c r="K12" i="42"/>
  <c r="L12" i="42"/>
  <c r="M12" i="42"/>
  <c r="N12" i="42"/>
  <c r="O12" i="42"/>
  <c r="P12" i="42"/>
  <c r="Q12" i="42"/>
  <c r="R12" i="42"/>
  <c r="S12" i="42"/>
  <c r="T12" i="42"/>
  <c r="U12" i="42"/>
  <c r="V12" i="42"/>
  <c r="W12" i="42"/>
  <c r="C13" i="42"/>
  <c r="D13" i="42"/>
  <c r="E13" i="42"/>
  <c r="F13" i="42"/>
  <c r="G13" i="42"/>
  <c r="H13" i="42"/>
  <c r="I13" i="42"/>
  <c r="J13" i="42"/>
  <c r="K13" i="42"/>
  <c r="L13" i="42"/>
  <c r="M13" i="42"/>
  <c r="N13" i="42"/>
  <c r="O13" i="42"/>
  <c r="P13" i="42"/>
  <c r="Q13" i="42"/>
  <c r="R13" i="42"/>
  <c r="S13" i="42"/>
  <c r="T13" i="42"/>
  <c r="U13" i="42"/>
  <c r="V13" i="42"/>
  <c r="W13" i="42"/>
  <c r="C14" i="42"/>
  <c r="D14" i="42"/>
  <c r="E14" i="42"/>
  <c r="F14" i="42"/>
  <c r="G14" i="42"/>
  <c r="H14" i="42"/>
  <c r="I14" i="42"/>
  <c r="J14" i="42"/>
  <c r="K14" i="42"/>
  <c r="L14" i="42"/>
  <c r="M14" i="42"/>
  <c r="N14" i="42"/>
  <c r="O14" i="42"/>
  <c r="P14" i="42"/>
  <c r="Q14" i="42"/>
  <c r="R14" i="42"/>
  <c r="S14" i="42"/>
  <c r="T14" i="42"/>
  <c r="U14" i="42"/>
  <c r="V14" i="42"/>
  <c r="W14" i="42"/>
  <c r="C15" i="42"/>
  <c r="D15" i="42"/>
  <c r="E15" i="42"/>
  <c r="F15" i="42"/>
  <c r="G15" i="42"/>
  <c r="H15" i="42"/>
  <c r="I15" i="42"/>
  <c r="J15" i="42"/>
  <c r="K15" i="42"/>
  <c r="L15" i="42"/>
  <c r="M15" i="42"/>
  <c r="N15" i="42"/>
  <c r="O15" i="42"/>
  <c r="P15" i="42"/>
  <c r="Q15" i="42"/>
  <c r="R15" i="42"/>
  <c r="S15" i="42"/>
  <c r="T15" i="42"/>
  <c r="U15" i="42"/>
  <c r="V15" i="42"/>
  <c r="W15" i="42"/>
  <c r="C16" i="42"/>
  <c r="D16" i="42"/>
  <c r="E16" i="42"/>
  <c r="F16" i="42"/>
  <c r="G16" i="42"/>
  <c r="H16" i="42"/>
  <c r="I16" i="42"/>
  <c r="J16" i="42"/>
  <c r="K16" i="42"/>
  <c r="L16" i="42"/>
  <c r="M16" i="42"/>
  <c r="N16" i="42"/>
  <c r="O16" i="42"/>
  <c r="P16" i="42"/>
  <c r="Q16" i="42"/>
  <c r="R16" i="42"/>
  <c r="S16" i="42"/>
  <c r="T16" i="42"/>
  <c r="U16" i="42"/>
  <c r="V16" i="42"/>
  <c r="W16" i="42"/>
  <c r="C17" i="42"/>
  <c r="D17" i="42"/>
  <c r="E17" i="42"/>
  <c r="F17" i="42"/>
  <c r="G17" i="42"/>
  <c r="H17" i="42"/>
  <c r="I17" i="42"/>
  <c r="J17" i="42"/>
  <c r="K17" i="42"/>
  <c r="L17" i="42"/>
  <c r="M17" i="42"/>
  <c r="N17" i="42"/>
  <c r="O17" i="42"/>
  <c r="P17" i="42"/>
  <c r="Q17" i="42"/>
  <c r="R17" i="42"/>
  <c r="S17" i="42"/>
  <c r="T17" i="42"/>
  <c r="U17" i="42"/>
  <c r="V17" i="42"/>
  <c r="W17" i="42"/>
  <c r="C18" i="42"/>
  <c r="D18" i="42"/>
  <c r="E18" i="42"/>
  <c r="F18" i="42"/>
  <c r="G18" i="42"/>
  <c r="H18" i="42"/>
  <c r="I18" i="42"/>
  <c r="J18" i="42"/>
  <c r="K18" i="42"/>
  <c r="L18" i="42"/>
  <c r="M18" i="42"/>
  <c r="N18" i="42"/>
  <c r="O18" i="42"/>
  <c r="P18" i="42"/>
  <c r="Q18" i="42"/>
  <c r="R18" i="42"/>
  <c r="S18" i="42"/>
  <c r="T18" i="42"/>
  <c r="U18" i="42"/>
  <c r="V18" i="42"/>
  <c r="W18" i="42"/>
  <c r="C19" i="42"/>
  <c r="D19" i="42"/>
  <c r="E19" i="42"/>
  <c r="F19" i="42"/>
  <c r="G19" i="42"/>
  <c r="H19" i="42"/>
  <c r="I19" i="42"/>
  <c r="J19" i="42"/>
  <c r="K19" i="42"/>
  <c r="L19" i="42"/>
  <c r="M19" i="42"/>
  <c r="N19" i="42"/>
  <c r="O19" i="42"/>
  <c r="P19" i="42"/>
  <c r="Q19" i="42"/>
  <c r="R19" i="42"/>
  <c r="S19" i="42"/>
  <c r="T19" i="42"/>
  <c r="U19" i="42"/>
  <c r="V19" i="42"/>
  <c r="W19" i="42"/>
  <c r="C20" i="42"/>
  <c r="D20" i="42"/>
  <c r="E20" i="42"/>
  <c r="F20" i="42"/>
  <c r="G20" i="42"/>
  <c r="H20" i="42"/>
  <c r="I20" i="42"/>
  <c r="J20" i="42"/>
  <c r="K20" i="42"/>
  <c r="L20" i="42"/>
  <c r="M20" i="42"/>
  <c r="N20" i="42"/>
  <c r="O20" i="42"/>
  <c r="P20" i="42"/>
  <c r="Q20" i="42"/>
  <c r="R20" i="42"/>
  <c r="S20" i="42"/>
  <c r="T20" i="42"/>
  <c r="U20" i="42"/>
  <c r="V20" i="42"/>
  <c r="W20" i="42"/>
  <c r="C21" i="42"/>
  <c r="D21" i="42"/>
  <c r="E21" i="42"/>
  <c r="F21" i="42"/>
  <c r="G21" i="42"/>
  <c r="H21" i="42"/>
  <c r="I21" i="42"/>
  <c r="J21" i="42"/>
  <c r="K21" i="42"/>
  <c r="L21" i="42"/>
  <c r="M21" i="42"/>
  <c r="N21" i="42"/>
  <c r="O21" i="42"/>
  <c r="P21" i="42"/>
  <c r="Q21" i="42"/>
  <c r="R21" i="42"/>
  <c r="S21" i="42"/>
  <c r="T21" i="42"/>
  <c r="U21" i="42"/>
  <c r="V21" i="42"/>
  <c r="W21" i="42"/>
  <c r="C22" i="42"/>
  <c r="D22" i="42"/>
  <c r="E22" i="42"/>
  <c r="F22" i="42"/>
  <c r="G22" i="42"/>
  <c r="H22" i="42"/>
  <c r="I22" i="42"/>
  <c r="J22" i="42"/>
  <c r="K22" i="42"/>
  <c r="L22" i="42"/>
  <c r="M22" i="42"/>
  <c r="N22" i="42"/>
  <c r="O22" i="42"/>
  <c r="P22" i="42"/>
  <c r="Q22" i="42"/>
  <c r="R22" i="42"/>
  <c r="S22" i="42"/>
  <c r="T22" i="42"/>
  <c r="U22" i="42"/>
  <c r="V22" i="42"/>
  <c r="W22" i="42"/>
  <c r="C23" i="42"/>
  <c r="D23" i="42"/>
  <c r="E23" i="42"/>
  <c r="F23" i="42"/>
  <c r="G23" i="42"/>
  <c r="H23" i="42"/>
  <c r="I23" i="42"/>
  <c r="J23" i="42"/>
  <c r="K23" i="42"/>
  <c r="L23" i="42"/>
  <c r="M23" i="42"/>
  <c r="N23" i="42"/>
  <c r="O23" i="42"/>
  <c r="P23" i="42"/>
  <c r="Q23" i="42"/>
  <c r="R23" i="42"/>
  <c r="S23" i="42"/>
  <c r="T23" i="42"/>
  <c r="U23" i="42"/>
  <c r="V23" i="42"/>
  <c r="W23" i="42"/>
  <c r="C24" i="42"/>
  <c r="D24" i="42"/>
  <c r="E24" i="42"/>
  <c r="F24" i="42"/>
  <c r="G24" i="42"/>
  <c r="H24" i="42"/>
  <c r="I24" i="42"/>
  <c r="J24" i="42"/>
  <c r="K24" i="42"/>
  <c r="L24" i="42"/>
  <c r="M24" i="42"/>
  <c r="N24" i="42"/>
  <c r="O24" i="42"/>
  <c r="P24" i="42"/>
  <c r="Q24" i="42"/>
  <c r="R24" i="42"/>
  <c r="S24" i="42"/>
  <c r="T24" i="42"/>
  <c r="U24" i="42"/>
  <c r="V24" i="42"/>
  <c r="W24" i="42"/>
  <c r="C25" i="42"/>
  <c r="D25" i="42"/>
  <c r="E25" i="42"/>
  <c r="F25" i="42"/>
  <c r="G25" i="42"/>
  <c r="H25" i="42"/>
  <c r="I25" i="42"/>
  <c r="J25" i="42"/>
  <c r="K25" i="42"/>
  <c r="L25" i="42"/>
  <c r="M25" i="42"/>
  <c r="N25" i="42"/>
  <c r="O25" i="42"/>
  <c r="P25" i="42"/>
  <c r="Q25" i="42"/>
  <c r="R25" i="42"/>
  <c r="S25" i="42"/>
  <c r="T25" i="42"/>
  <c r="U25" i="42"/>
  <c r="V25" i="42"/>
  <c r="W25" i="42"/>
  <c r="C26" i="42"/>
  <c r="D26" i="42"/>
  <c r="E26" i="42"/>
  <c r="F26" i="42"/>
  <c r="G26" i="42"/>
  <c r="H26" i="42"/>
  <c r="I26" i="42"/>
  <c r="J26" i="42"/>
  <c r="K26" i="42"/>
  <c r="L26" i="42"/>
  <c r="M26" i="42"/>
  <c r="N26" i="42"/>
  <c r="O26" i="42"/>
  <c r="P26" i="42"/>
  <c r="Q26" i="42"/>
  <c r="R26" i="42"/>
  <c r="S26" i="42"/>
  <c r="T26" i="42"/>
  <c r="U26" i="42"/>
  <c r="V26" i="42"/>
  <c r="W26" i="42"/>
  <c r="D6" i="42"/>
  <c r="E6" i="42"/>
  <c r="F6" i="42"/>
  <c r="G6" i="42"/>
  <c r="H6" i="42"/>
  <c r="I6" i="42"/>
  <c r="J6" i="42"/>
  <c r="K6" i="42"/>
  <c r="L6" i="42"/>
  <c r="M6" i="42"/>
  <c r="N6" i="42"/>
  <c r="O6" i="42"/>
  <c r="P6" i="42"/>
  <c r="Q6" i="42"/>
  <c r="R6" i="42"/>
  <c r="S6" i="42"/>
  <c r="T6" i="42"/>
  <c r="U6" i="42"/>
  <c r="V6" i="42"/>
  <c r="W6" i="42"/>
  <c r="C6" i="42"/>
  <c r="X42" i="42" l="1"/>
  <c r="M53" i="42"/>
  <c r="M58" i="42"/>
  <c r="C93" i="42"/>
  <c r="X68" i="42"/>
  <c r="X93" i="42" s="1"/>
  <c r="K29" i="17"/>
  <c r="M79" i="42" l="1"/>
  <c r="M104" i="42" s="1"/>
  <c r="M83" i="42"/>
  <c r="AE42" i="42"/>
  <c r="AE68" i="42" s="1"/>
  <c r="AM42" i="42"/>
  <c r="AM68" i="42" s="1"/>
  <c r="AU42" i="42"/>
  <c r="AU68" i="42" s="1"/>
  <c r="AF42" i="42"/>
  <c r="AF68" i="42" s="1"/>
  <c r="AN42" i="42"/>
  <c r="AN68" i="42" s="1"/>
  <c r="AG42" i="42"/>
  <c r="AG68" i="42" s="1"/>
  <c r="AO42" i="42"/>
  <c r="AO68" i="42" s="1"/>
  <c r="AH42" i="42"/>
  <c r="AH68" i="42" s="1"/>
  <c r="AP42" i="42"/>
  <c r="AP68" i="42" s="1"/>
  <c r="AA42" i="42"/>
  <c r="AI42" i="42"/>
  <c r="AI68" i="42" s="1"/>
  <c r="AQ42" i="42"/>
  <c r="AQ68" i="42" s="1"/>
  <c r="AS42" i="42"/>
  <c r="AS68" i="42" s="1"/>
  <c r="AB42" i="42"/>
  <c r="AB68" i="42" s="1"/>
  <c r="AT42" i="42"/>
  <c r="AT68" i="42" s="1"/>
  <c r="AC42" i="42"/>
  <c r="AC68" i="42" s="1"/>
  <c r="AD42" i="42"/>
  <c r="AD68" i="42" s="1"/>
  <c r="AJ42" i="42"/>
  <c r="AJ68" i="42" s="1"/>
  <c r="AK42" i="42"/>
  <c r="AK68" i="42" s="1"/>
  <c r="AL42" i="42"/>
  <c r="AL68" i="42" s="1"/>
  <c r="AR42" i="42"/>
  <c r="AR68" i="42" s="1"/>
  <c r="A3" i="9"/>
  <c r="A4" i="9"/>
  <c r="A5" i="9"/>
  <c r="A6" i="9"/>
  <c r="A7" i="9"/>
  <c r="A8" i="9"/>
  <c r="A9" i="9"/>
  <c r="A10" i="9"/>
  <c r="A11" i="9"/>
  <c r="A12" i="9"/>
  <c r="A13" i="9"/>
  <c r="A14" i="9"/>
  <c r="A15" i="9"/>
  <c r="A16" i="9"/>
  <c r="A17" i="9"/>
  <c r="AA68" i="42" l="1"/>
  <c r="AV68" i="42" s="1"/>
  <c r="AV42" i="42"/>
  <c r="D37" i="7" l="1"/>
  <c r="D38" i="7"/>
  <c r="O20" i="51" l="1"/>
  <c r="O21" i="51"/>
  <c r="O22" i="51"/>
  <c r="O23" i="51"/>
  <c r="O24" i="51"/>
  <c r="O19" i="51"/>
  <c r="D7" i="51"/>
  <c r="D20" i="51" l="1"/>
  <c r="D21" i="51"/>
  <c r="AD154" i="57" l="1"/>
  <c r="AC154" i="57"/>
  <c r="AB154" i="57"/>
  <c r="AD153" i="57"/>
  <c r="AC153" i="57"/>
  <c r="AB153" i="57"/>
  <c r="E153" i="57"/>
  <c r="D153" i="57"/>
  <c r="N153" i="57" s="1"/>
  <c r="C153" i="57"/>
  <c r="AD152" i="57"/>
  <c r="AC152" i="57"/>
  <c r="AB152" i="57"/>
  <c r="AD151" i="57"/>
  <c r="AC151" i="57"/>
  <c r="AB151" i="57"/>
  <c r="C151" i="57"/>
  <c r="AD150" i="57"/>
  <c r="AC150" i="57"/>
  <c r="AB150" i="57"/>
  <c r="E150" i="57"/>
  <c r="D150" i="57"/>
  <c r="C150" i="57"/>
  <c r="AD149" i="57"/>
  <c r="AC149" i="57"/>
  <c r="AB149" i="57"/>
  <c r="E149" i="57"/>
  <c r="O149" i="57" s="1"/>
  <c r="D149" i="57"/>
  <c r="C149" i="57"/>
  <c r="M149" i="57" s="1"/>
  <c r="AD148" i="57"/>
  <c r="AC148" i="57"/>
  <c r="AB148" i="57"/>
  <c r="E148" i="57"/>
  <c r="D148" i="57"/>
  <c r="N148" i="57" s="1"/>
  <c r="C148" i="57"/>
  <c r="M148" i="57" s="1"/>
  <c r="AD147" i="57"/>
  <c r="AC147" i="57"/>
  <c r="AB147" i="57"/>
  <c r="E147" i="57"/>
  <c r="D147" i="57"/>
  <c r="N147" i="57" s="1"/>
  <c r="C147" i="57"/>
  <c r="AD146" i="57"/>
  <c r="AC146" i="57"/>
  <c r="AB146" i="57"/>
  <c r="E146" i="57"/>
  <c r="O146" i="57" s="1"/>
  <c r="D146" i="57"/>
  <c r="C146" i="57"/>
  <c r="AD145" i="57"/>
  <c r="AC145" i="57"/>
  <c r="AB145" i="57"/>
  <c r="E145" i="57"/>
  <c r="D145" i="57"/>
  <c r="N145" i="57" s="1"/>
  <c r="C145" i="57"/>
  <c r="AD144" i="57"/>
  <c r="AC144" i="57"/>
  <c r="AB144" i="57"/>
  <c r="E144" i="57"/>
  <c r="O144" i="57" s="1"/>
  <c r="D144" i="57"/>
  <c r="N144" i="57" s="1"/>
  <c r="C144" i="57"/>
  <c r="AD143" i="57"/>
  <c r="AC143" i="57"/>
  <c r="AB143" i="57"/>
  <c r="E143" i="57"/>
  <c r="D143" i="57"/>
  <c r="AD142" i="57"/>
  <c r="AC142" i="57"/>
  <c r="AB142" i="57"/>
  <c r="E142" i="57"/>
  <c r="D142" i="57"/>
  <c r="AD137" i="57"/>
  <c r="AC137" i="57"/>
  <c r="AB137" i="57"/>
  <c r="AD136" i="57"/>
  <c r="AC136" i="57"/>
  <c r="AB136" i="57"/>
  <c r="E136" i="57"/>
  <c r="D136" i="57"/>
  <c r="N136" i="57" s="1"/>
  <c r="C136" i="57"/>
  <c r="AD135" i="57"/>
  <c r="AC135" i="57"/>
  <c r="AB135" i="57"/>
  <c r="E135" i="57"/>
  <c r="D135" i="57"/>
  <c r="AD134" i="57"/>
  <c r="AC134" i="57"/>
  <c r="AB134" i="57"/>
  <c r="E134" i="57"/>
  <c r="D134" i="57"/>
  <c r="C134" i="57"/>
  <c r="AD133" i="57"/>
  <c r="AC133" i="57"/>
  <c r="AB133" i="57"/>
  <c r="E133" i="57"/>
  <c r="D133" i="57"/>
  <c r="C133" i="57"/>
  <c r="AD132" i="57"/>
  <c r="AC132" i="57"/>
  <c r="AB132" i="57"/>
  <c r="E132" i="57"/>
  <c r="O132" i="57" s="1"/>
  <c r="D132" i="57"/>
  <c r="C132" i="57"/>
  <c r="AD131" i="57"/>
  <c r="AC131" i="57"/>
  <c r="AB131" i="57"/>
  <c r="E131" i="57"/>
  <c r="O131" i="57" s="1"/>
  <c r="D131" i="57"/>
  <c r="C131" i="57"/>
  <c r="AD130" i="57"/>
  <c r="AC130" i="57"/>
  <c r="AB130" i="57"/>
  <c r="E130" i="57"/>
  <c r="D130" i="57"/>
  <c r="C130" i="57"/>
  <c r="AD129" i="57"/>
  <c r="AC129" i="57"/>
  <c r="AB129" i="57"/>
  <c r="E129" i="57"/>
  <c r="D129" i="57"/>
  <c r="C129" i="57"/>
  <c r="AD128" i="57"/>
  <c r="AC128" i="57"/>
  <c r="AB128" i="57"/>
  <c r="E128" i="57"/>
  <c r="D128" i="57"/>
  <c r="C128" i="57"/>
  <c r="M128" i="57" s="1"/>
  <c r="AD127" i="57"/>
  <c r="AC127" i="57"/>
  <c r="AB127" i="57"/>
  <c r="E127" i="57"/>
  <c r="D127" i="57"/>
  <c r="N127" i="57" s="1"/>
  <c r="C127" i="57"/>
  <c r="AD126" i="57"/>
  <c r="AC126" i="57"/>
  <c r="AB126" i="57"/>
  <c r="E126" i="57"/>
  <c r="O126" i="57" s="1"/>
  <c r="D126" i="57"/>
  <c r="AD125" i="57"/>
  <c r="AC125" i="57"/>
  <c r="AB125" i="57"/>
  <c r="E125" i="57"/>
  <c r="D125" i="57"/>
  <c r="AD120" i="57"/>
  <c r="AC120" i="57"/>
  <c r="AB120" i="57"/>
  <c r="AD119" i="57"/>
  <c r="AC119" i="57"/>
  <c r="AB119" i="57"/>
  <c r="E119" i="57"/>
  <c r="O119" i="57" s="1"/>
  <c r="D119" i="57"/>
  <c r="C119" i="57"/>
  <c r="AD118" i="57"/>
  <c r="AC118" i="57"/>
  <c r="AB118" i="57"/>
  <c r="E118" i="57"/>
  <c r="D118" i="57"/>
  <c r="AD117" i="57"/>
  <c r="AC117" i="57"/>
  <c r="AB117" i="57"/>
  <c r="E117" i="57"/>
  <c r="D117" i="57"/>
  <c r="C117" i="57"/>
  <c r="AD116" i="57"/>
  <c r="AC116" i="57"/>
  <c r="AB116" i="57"/>
  <c r="E116" i="57"/>
  <c r="D116" i="57"/>
  <c r="C116" i="57"/>
  <c r="AD115" i="57"/>
  <c r="AC115" i="57"/>
  <c r="AB115" i="57"/>
  <c r="E115" i="57"/>
  <c r="O115" i="57" s="1"/>
  <c r="D115" i="57"/>
  <c r="N115" i="57" s="1"/>
  <c r="C115" i="57"/>
  <c r="M115" i="57" s="1"/>
  <c r="AD114" i="57"/>
  <c r="AC114" i="57"/>
  <c r="AB114" i="57"/>
  <c r="E114" i="57"/>
  <c r="D114" i="57"/>
  <c r="N114" i="57" s="1"/>
  <c r="C114" i="57"/>
  <c r="M114" i="57" s="1"/>
  <c r="AD113" i="57"/>
  <c r="AC113" i="57"/>
  <c r="AB113" i="57"/>
  <c r="E113" i="57"/>
  <c r="O113" i="57" s="1"/>
  <c r="D113" i="57"/>
  <c r="N113" i="57" s="1"/>
  <c r="C113" i="57"/>
  <c r="AD112" i="57"/>
  <c r="AC112" i="57"/>
  <c r="AB112" i="57"/>
  <c r="E112" i="57"/>
  <c r="O112" i="57" s="1"/>
  <c r="D112" i="57"/>
  <c r="N112" i="57" s="1"/>
  <c r="C112" i="57"/>
  <c r="M112" i="57" s="1"/>
  <c r="AD111" i="57"/>
  <c r="AC111" i="57"/>
  <c r="AB111" i="57"/>
  <c r="E111" i="57"/>
  <c r="D111" i="57"/>
  <c r="N111" i="57" s="1"/>
  <c r="C111" i="57"/>
  <c r="AD110" i="57"/>
  <c r="AC110" i="57"/>
  <c r="AB110" i="57"/>
  <c r="E110" i="57"/>
  <c r="O110" i="57" s="1"/>
  <c r="D110" i="57"/>
  <c r="N110" i="57" s="1"/>
  <c r="C110" i="57"/>
  <c r="M110" i="57" s="1"/>
  <c r="AD109" i="57"/>
  <c r="AC109" i="57"/>
  <c r="AB109" i="57"/>
  <c r="E109" i="57"/>
  <c r="O109" i="57" s="1"/>
  <c r="D109" i="57"/>
  <c r="N109" i="57" s="1"/>
  <c r="AD108" i="57"/>
  <c r="AC108" i="57"/>
  <c r="AB108" i="57"/>
  <c r="E108" i="57"/>
  <c r="O108" i="57" s="1"/>
  <c r="D108" i="57"/>
  <c r="AD103" i="57"/>
  <c r="AD205" i="57" s="1"/>
  <c r="AC103" i="57"/>
  <c r="AB103" i="57"/>
  <c r="AB205" i="57" s="1"/>
  <c r="AD102" i="57"/>
  <c r="AD204" i="57" s="1"/>
  <c r="AC102" i="57"/>
  <c r="AC204" i="57" s="1"/>
  <c r="AB102" i="57"/>
  <c r="E102" i="57"/>
  <c r="O102" i="57" s="1"/>
  <c r="D102" i="57"/>
  <c r="C102" i="57"/>
  <c r="C204" i="57" s="1"/>
  <c r="AD101" i="57"/>
  <c r="AD203" i="57" s="1"/>
  <c r="AC101" i="57"/>
  <c r="AC203" i="57" s="1"/>
  <c r="AB101" i="57"/>
  <c r="E101" i="57"/>
  <c r="D101" i="57"/>
  <c r="AD100" i="57"/>
  <c r="AD202" i="57" s="1"/>
  <c r="AC100" i="57"/>
  <c r="AC202" i="57" s="1"/>
  <c r="AB100" i="57"/>
  <c r="AB202" i="57" s="1"/>
  <c r="E100" i="57"/>
  <c r="D100" i="57"/>
  <c r="D202" i="57" s="1"/>
  <c r="C100" i="57"/>
  <c r="C202" i="57" s="1"/>
  <c r="AD99" i="57"/>
  <c r="AC99" i="57"/>
  <c r="AC201" i="57" s="1"/>
  <c r="AB99" i="57"/>
  <c r="AB201" i="57" s="1"/>
  <c r="E99" i="57"/>
  <c r="D99" i="57"/>
  <c r="D201" i="57" s="1"/>
  <c r="C99" i="57"/>
  <c r="C201" i="57" s="1"/>
  <c r="AD98" i="57"/>
  <c r="AC98" i="57"/>
  <c r="AC200" i="57" s="1"/>
  <c r="AB98" i="57"/>
  <c r="E98" i="57"/>
  <c r="E200" i="57" s="1"/>
  <c r="D98" i="57"/>
  <c r="D200" i="57" s="1"/>
  <c r="C98" i="57"/>
  <c r="AD97" i="57"/>
  <c r="AC97" i="57"/>
  <c r="AB97" i="57"/>
  <c r="AB199" i="57" s="1"/>
  <c r="E97" i="57"/>
  <c r="O97" i="57" s="1"/>
  <c r="D97" i="57"/>
  <c r="D199" i="57" s="1"/>
  <c r="C97" i="57"/>
  <c r="C199" i="57" s="1"/>
  <c r="AD96" i="57"/>
  <c r="AD198" i="57" s="1"/>
  <c r="AC96" i="57"/>
  <c r="AC198" i="57" s="1"/>
  <c r="AB96" i="57"/>
  <c r="E96" i="57"/>
  <c r="O96" i="57" s="1"/>
  <c r="D96" i="57"/>
  <c r="C96" i="57"/>
  <c r="M96" i="57" s="1"/>
  <c r="AD95" i="57"/>
  <c r="AC95" i="57"/>
  <c r="AC197" i="57" s="1"/>
  <c r="AB95" i="57"/>
  <c r="AB197" i="57" s="1"/>
  <c r="E95" i="57"/>
  <c r="E197" i="57" s="1"/>
  <c r="D95" i="57"/>
  <c r="C95" i="57"/>
  <c r="C197" i="57" s="1"/>
  <c r="AD94" i="57"/>
  <c r="AD196" i="57" s="1"/>
  <c r="AC94" i="57"/>
  <c r="AC196" i="57" s="1"/>
  <c r="AB94" i="57"/>
  <c r="E94" i="57"/>
  <c r="E196" i="57" s="1"/>
  <c r="D94" i="57"/>
  <c r="D196" i="57" s="1"/>
  <c r="C94" i="57"/>
  <c r="AD93" i="57"/>
  <c r="AC93" i="57"/>
  <c r="AC195" i="57" s="1"/>
  <c r="AB93" i="57"/>
  <c r="AB195" i="57" s="1"/>
  <c r="E93" i="57"/>
  <c r="E195" i="57" s="1"/>
  <c r="D93" i="57"/>
  <c r="D195" i="57" s="1"/>
  <c r="C93" i="57"/>
  <c r="AD92" i="57"/>
  <c r="AD194" i="57" s="1"/>
  <c r="AC92" i="57"/>
  <c r="AB92" i="57"/>
  <c r="E92" i="57"/>
  <c r="E194" i="57" s="1"/>
  <c r="D92" i="57"/>
  <c r="D194" i="57" s="1"/>
  <c r="AD91" i="57"/>
  <c r="AC91" i="57"/>
  <c r="AB91" i="57"/>
  <c r="E91" i="57"/>
  <c r="E193" i="57" s="1"/>
  <c r="D91" i="57"/>
  <c r="N91" i="57" s="1"/>
  <c r="AD86" i="57"/>
  <c r="AD188" i="57" s="1"/>
  <c r="AC86" i="57"/>
  <c r="AC188" i="57" s="1"/>
  <c r="AB86" i="57"/>
  <c r="AB188" i="57" s="1"/>
  <c r="AD85" i="57"/>
  <c r="AC85" i="57"/>
  <c r="AC187" i="57" s="1"/>
  <c r="AB85" i="57"/>
  <c r="AB187" i="57" s="1"/>
  <c r="E85" i="57"/>
  <c r="E187" i="57" s="1"/>
  <c r="D85" i="57"/>
  <c r="D187" i="57" s="1"/>
  <c r="C85" i="57"/>
  <c r="C187" i="57" s="1"/>
  <c r="AD84" i="57"/>
  <c r="AD186" i="57" s="1"/>
  <c r="AC84" i="57"/>
  <c r="AB84" i="57"/>
  <c r="AB186" i="57" s="1"/>
  <c r="E84" i="57"/>
  <c r="D84" i="57"/>
  <c r="AD83" i="57"/>
  <c r="AD185" i="57" s="1"/>
  <c r="AC83" i="57"/>
  <c r="AC185" i="57" s="1"/>
  <c r="AB83" i="57"/>
  <c r="AB185" i="57" s="1"/>
  <c r="E83" i="57"/>
  <c r="D83" i="57"/>
  <c r="D185" i="57" s="1"/>
  <c r="C83" i="57"/>
  <c r="AD82" i="57"/>
  <c r="AD184" i="57" s="1"/>
  <c r="AC82" i="57"/>
  <c r="AC184" i="57" s="1"/>
  <c r="AB82" i="57"/>
  <c r="AB184" i="57" s="1"/>
  <c r="E82" i="57"/>
  <c r="D82" i="57"/>
  <c r="D184" i="57" s="1"/>
  <c r="C82" i="57"/>
  <c r="C184" i="57" s="1"/>
  <c r="AD81" i="57"/>
  <c r="AC81" i="57"/>
  <c r="AC183" i="57" s="1"/>
  <c r="AB81" i="57"/>
  <c r="E81" i="57"/>
  <c r="O81" i="57" s="1"/>
  <c r="D81" i="57"/>
  <c r="N81" i="57" s="1"/>
  <c r="C81" i="57"/>
  <c r="AD80" i="57"/>
  <c r="AC80" i="57"/>
  <c r="AC182" i="57" s="1"/>
  <c r="AB80" i="57"/>
  <c r="E80" i="57"/>
  <c r="E182" i="57" s="1"/>
  <c r="D80" i="57"/>
  <c r="C80" i="57"/>
  <c r="M80" i="57" s="1"/>
  <c r="AD79" i="57"/>
  <c r="AD181" i="57" s="1"/>
  <c r="AC79" i="57"/>
  <c r="AC181" i="57" s="1"/>
  <c r="AB79" i="57"/>
  <c r="AB181" i="57" s="1"/>
  <c r="E79" i="57"/>
  <c r="O79" i="57" s="1"/>
  <c r="D79" i="57"/>
  <c r="C79" i="57"/>
  <c r="C181" i="57" s="1"/>
  <c r="AD78" i="57"/>
  <c r="AC78" i="57"/>
  <c r="AC180" i="57" s="1"/>
  <c r="AB78" i="57"/>
  <c r="AB180" i="57" s="1"/>
  <c r="E78" i="57"/>
  <c r="D78" i="57"/>
  <c r="C78" i="57"/>
  <c r="C180" i="57" s="1"/>
  <c r="AD77" i="57"/>
  <c r="AC77" i="57"/>
  <c r="AC179" i="57" s="1"/>
  <c r="AB77" i="57"/>
  <c r="AB179" i="57" s="1"/>
  <c r="E77" i="57"/>
  <c r="O77" i="57" s="1"/>
  <c r="D77" i="57"/>
  <c r="D179" i="57" s="1"/>
  <c r="C77" i="57"/>
  <c r="C179" i="57" s="1"/>
  <c r="AD76" i="57"/>
  <c r="AD178" i="57" s="1"/>
  <c r="AC76" i="57"/>
  <c r="AB76" i="57"/>
  <c r="E76" i="57"/>
  <c r="E178" i="57" s="1"/>
  <c r="D76" i="57"/>
  <c r="D178" i="57" s="1"/>
  <c r="C76" i="57"/>
  <c r="M76" i="57" s="1"/>
  <c r="AD75" i="57"/>
  <c r="AC75" i="57"/>
  <c r="AC177" i="57" s="1"/>
  <c r="AB75" i="57"/>
  <c r="E75" i="57"/>
  <c r="E177" i="57" s="1"/>
  <c r="D75" i="57"/>
  <c r="D177" i="57" s="1"/>
  <c r="AD74" i="57"/>
  <c r="AC74" i="57"/>
  <c r="AB74" i="57"/>
  <c r="E74" i="57"/>
  <c r="D74" i="57"/>
  <c r="D176" i="57" s="1"/>
  <c r="AD69" i="57"/>
  <c r="AC69" i="57"/>
  <c r="AB69" i="57"/>
  <c r="AD68" i="57"/>
  <c r="AC68" i="57"/>
  <c r="AB68" i="57"/>
  <c r="E68" i="57"/>
  <c r="O68" i="57" s="1"/>
  <c r="D68" i="57"/>
  <c r="C68" i="57"/>
  <c r="AD67" i="57"/>
  <c r="AC67" i="57"/>
  <c r="AB67" i="57"/>
  <c r="AD66" i="57"/>
  <c r="AC66" i="57"/>
  <c r="AB66" i="57"/>
  <c r="C66" i="57"/>
  <c r="F66" i="57" s="1"/>
  <c r="AD65" i="57"/>
  <c r="AC65" i="57"/>
  <c r="AB65" i="57"/>
  <c r="E65" i="57"/>
  <c r="D65" i="57"/>
  <c r="C65" i="57"/>
  <c r="AD64" i="57"/>
  <c r="AC64" i="57"/>
  <c r="AB64" i="57"/>
  <c r="E64" i="57"/>
  <c r="O64" i="57" s="1"/>
  <c r="D64" i="57"/>
  <c r="C64" i="57"/>
  <c r="AD63" i="57"/>
  <c r="AC63" i="57"/>
  <c r="AB63" i="57"/>
  <c r="E63" i="57"/>
  <c r="D63" i="57"/>
  <c r="C63" i="57"/>
  <c r="M63" i="57" s="1"/>
  <c r="AD62" i="57"/>
  <c r="AC62" i="57"/>
  <c r="AB62" i="57"/>
  <c r="E62" i="57"/>
  <c r="D62" i="57"/>
  <c r="N62" i="57" s="1"/>
  <c r="C62" i="57"/>
  <c r="AD61" i="57"/>
  <c r="AC61" i="57"/>
  <c r="AB61" i="57"/>
  <c r="E61" i="57"/>
  <c r="O61" i="57" s="1"/>
  <c r="D61" i="57"/>
  <c r="N61" i="57" s="1"/>
  <c r="C61" i="57"/>
  <c r="AD60" i="57"/>
  <c r="AC60" i="57"/>
  <c r="AB60" i="57"/>
  <c r="E60" i="57"/>
  <c r="D60" i="57"/>
  <c r="C60" i="57"/>
  <c r="AD59" i="57"/>
  <c r="AC59" i="57"/>
  <c r="AB59" i="57"/>
  <c r="E59" i="57"/>
  <c r="O59" i="57" s="1"/>
  <c r="D59" i="57"/>
  <c r="C59" i="57"/>
  <c r="AD58" i="57"/>
  <c r="AC58" i="57"/>
  <c r="AB58" i="57"/>
  <c r="E58" i="57"/>
  <c r="D58" i="57"/>
  <c r="N58" i="57" s="1"/>
  <c r="AD57" i="57"/>
  <c r="AC57" i="57"/>
  <c r="AB57" i="57"/>
  <c r="E57" i="57"/>
  <c r="D57" i="57"/>
  <c r="N57" i="57" s="1"/>
  <c r="AD52" i="57"/>
  <c r="AC52" i="57"/>
  <c r="AB52" i="57"/>
  <c r="E52" i="57"/>
  <c r="E171" i="57" s="1"/>
  <c r="D52" i="57"/>
  <c r="D171" i="57" s="1"/>
  <c r="C52" i="57"/>
  <c r="AD51" i="57"/>
  <c r="AC51" i="57"/>
  <c r="AB51" i="57"/>
  <c r="E51" i="57"/>
  <c r="D51" i="57"/>
  <c r="C51" i="57"/>
  <c r="AD50" i="57"/>
  <c r="AC50" i="57"/>
  <c r="AB50" i="57"/>
  <c r="E50" i="57"/>
  <c r="D50" i="57"/>
  <c r="AD49" i="57"/>
  <c r="AC49" i="57"/>
  <c r="AB49" i="57"/>
  <c r="E49" i="57"/>
  <c r="D49" i="57"/>
  <c r="C49" i="57"/>
  <c r="AD48" i="57"/>
  <c r="AC48" i="57"/>
  <c r="AB48" i="57"/>
  <c r="E48" i="57"/>
  <c r="D48" i="57"/>
  <c r="C48" i="57"/>
  <c r="AD47" i="57"/>
  <c r="AC47" i="57"/>
  <c r="AB47" i="57"/>
  <c r="E47" i="57"/>
  <c r="O47" i="57" s="1"/>
  <c r="D47" i="57"/>
  <c r="N47" i="57" s="1"/>
  <c r="C47" i="57"/>
  <c r="M47" i="57" s="1"/>
  <c r="AD46" i="57"/>
  <c r="AC46" i="57"/>
  <c r="AB46" i="57"/>
  <c r="E46" i="57"/>
  <c r="O46" i="57" s="1"/>
  <c r="D46" i="57"/>
  <c r="N46" i="57" s="1"/>
  <c r="C46" i="57"/>
  <c r="M46" i="57" s="1"/>
  <c r="AD45" i="57"/>
  <c r="AC45" i="57"/>
  <c r="AB45" i="57"/>
  <c r="E45" i="57"/>
  <c r="O45" i="57" s="1"/>
  <c r="D45" i="57"/>
  <c r="N45" i="57" s="1"/>
  <c r="C45" i="57"/>
  <c r="AD44" i="57"/>
  <c r="AC44" i="57"/>
  <c r="AB44" i="57"/>
  <c r="E44" i="57"/>
  <c r="O44" i="57" s="1"/>
  <c r="D44" i="57"/>
  <c r="N44" i="57" s="1"/>
  <c r="C44" i="57"/>
  <c r="AD43" i="57"/>
  <c r="AC43" i="57"/>
  <c r="AB43" i="57"/>
  <c r="E43" i="57"/>
  <c r="O43" i="57" s="1"/>
  <c r="D43" i="57"/>
  <c r="C43" i="57"/>
  <c r="AD42" i="57"/>
  <c r="AC42" i="57"/>
  <c r="AB42" i="57"/>
  <c r="E42" i="57"/>
  <c r="D42" i="57"/>
  <c r="C42" i="57"/>
  <c r="AD41" i="57"/>
  <c r="AC41" i="57"/>
  <c r="AB41" i="57"/>
  <c r="E41" i="57"/>
  <c r="D41" i="57"/>
  <c r="N41" i="57" s="1"/>
  <c r="AD40" i="57"/>
  <c r="AC40" i="57"/>
  <c r="AB40" i="57"/>
  <c r="E40" i="57"/>
  <c r="D40" i="57"/>
  <c r="AD35" i="57"/>
  <c r="AC35" i="57"/>
  <c r="AB35" i="57"/>
  <c r="AD34" i="57"/>
  <c r="AC34" i="57"/>
  <c r="AB34" i="57"/>
  <c r="E34" i="57"/>
  <c r="O34" i="57" s="1"/>
  <c r="D34" i="57"/>
  <c r="C34" i="57"/>
  <c r="AD33" i="57"/>
  <c r="AC33" i="57"/>
  <c r="AB33" i="57"/>
  <c r="E33" i="57"/>
  <c r="D33" i="57"/>
  <c r="AD32" i="57"/>
  <c r="AC32" i="57"/>
  <c r="AB32" i="57"/>
  <c r="E32" i="57"/>
  <c r="D32" i="57"/>
  <c r="C32" i="57"/>
  <c r="AD31" i="57"/>
  <c r="AC31" i="57"/>
  <c r="AB31" i="57"/>
  <c r="E31" i="57"/>
  <c r="D31" i="57"/>
  <c r="C31" i="57"/>
  <c r="AD30" i="57"/>
  <c r="AC30" i="57"/>
  <c r="AB30" i="57"/>
  <c r="E30" i="57"/>
  <c r="O30" i="57" s="1"/>
  <c r="D30" i="57"/>
  <c r="N30" i="57" s="1"/>
  <c r="C30" i="57"/>
  <c r="AD29" i="57"/>
  <c r="AC29" i="57"/>
  <c r="AB29" i="57"/>
  <c r="E29" i="57"/>
  <c r="O29" i="57" s="1"/>
  <c r="D29" i="57"/>
  <c r="C29" i="57"/>
  <c r="M29" i="57" s="1"/>
  <c r="AD28" i="57"/>
  <c r="AC28" i="57"/>
  <c r="AB28" i="57"/>
  <c r="E28" i="57"/>
  <c r="O28" i="57" s="1"/>
  <c r="D28" i="57"/>
  <c r="C28" i="57"/>
  <c r="AD27" i="57"/>
  <c r="AC27" i="57"/>
  <c r="AB27" i="57"/>
  <c r="E27" i="57"/>
  <c r="D27" i="57"/>
  <c r="N27" i="57" s="1"/>
  <c r="C27" i="57"/>
  <c r="M27" i="57" s="1"/>
  <c r="AD26" i="57"/>
  <c r="AC26" i="57"/>
  <c r="AB26" i="57"/>
  <c r="E26" i="57"/>
  <c r="O26" i="57" s="1"/>
  <c r="D26" i="57"/>
  <c r="C26" i="57"/>
  <c r="M26" i="57" s="1"/>
  <c r="AD25" i="57"/>
  <c r="AC25" i="57"/>
  <c r="AB25" i="57"/>
  <c r="E25" i="57"/>
  <c r="D25" i="57"/>
  <c r="N25" i="57" s="1"/>
  <c r="C25" i="57"/>
  <c r="M25" i="57" s="1"/>
  <c r="AD24" i="57"/>
  <c r="AC24" i="57"/>
  <c r="AB24" i="57"/>
  <c r="E24" i="57"/>
  <c r="D24" i="57"/>
  <c r="AD23" i="57"/>
  <c r="AC23" i="57"/>
  <c r="AB23" i="57"/>
  <c r="E23" i="57"/>
  <c r="D23" i="57"/>
  <c r="N23" i="57" s="1"/>
  <c r="AD18" i="57"/>
  <c r="AC18" i="57"/>
  <c r="AB18" i="57"/>
  <c r="AD17" i="57"/>
  <c r="AC17" i="57"/>
  <c r="AB17" i="57"/>
  <c r="E17" i="57"/>
  <c r="D17" i="57"/>
  <c r="C17" i="57"/>
  <c r="M17" i="57" s="1"/>
  <c r="AD16" i="57"/>
  <c r="AC16" i="57"/>
  <c r="AB16" i="57"/>
  <c r="E16" i="57"/>
  <c r="D16" i="57"/>
  <c r="AD15" i="57"/>
  <c r="AC15" i="57"/>
  <c r="AB15" i="57"/>
  <c r="E15" i="57"/>
  <c r="D15" i="57"/>
  <c r="C15" i="57"/>
  <c r="AD14" i="57"/>
  <c r="AC14" i="57"/>
  <c r="AB14" i="57"/>
  <c r="E14" i="57"/>
  <c r="D14" i="57"/>
  <c r="C14" i="57"/>
  <c r="AD13" i="57"/>
  <c r="AC13" i="57"/>
  <c r="AB13" i="57"/>
  <c r="E13" i="57"/>
  <c r="D13" i="57"/>
  <c r="C13" i="57"/>
  <c r="AD12" i="57"/>
  <c r="AC12" i="57"/>
  <c r="AB12" i="57"/>
  <c r="E12" i="57"/>
  <c r="D12" i="57"/>
  <c r="C12" i="57"/>
  <c r="AD11" i="57"/>
  <c r="AC11" i="57"/>
  <c r="AB11" i="57"/>
  <c r="E11" i="57"/>
  <c r="D11" i="57"/>
  <c r="C11" i="57"/>
  <c r="M11" i="57" s="1"/>
  <c r="AD10" i="57"/>
  <c r="AC10" i="57"/>
  <c r="AB10" i="57"/>
  <c r="E10" i="57"/>
  <c r="D10" i="57"/>
  <c r="N10" i="57" s="1"/>
  <c r="C10" i="57"/>
  <c r="AD9" i="57"/>
  <c r="AC9" i="57"/>
  <c r="AB9" i="57"/>
  <c r="E9" i="57"/>
  <c r="D9" i="57"/>
  <c r="C9" i="57"/>
  <c r="M9" i="57" s="1"/>
  <c r="AD8" i="57"/>
  <c r="AC8" i="57"/>
  <c r="AB8" i="57"/>
  <c r="E8" i="57"/>
  <c r="D8" i="57"/>
  <c r="N8" i="57" s="1"/>
  <c r="C8" i="57"/>
  <c r="AD7" i="57"/>
  <c r="AC7" i="57"/>
  <c r="AB7" i="57"/>
  <c r="E7" i="57"/>
  <c r="O7" i="57" s="1"/>
  <c r="D7" i="57"/>
  <c r="N7" i="57" s="1"/>
  <c r="AD6" i="57"/>
  <c r="AC6" i="57"/>
  <c r="AB6" i="57"/>
  <c r="E6" i="57"/>
  <c r="D6" i="57"/>
  <c r="E205" i="57"/>
  <c r="D205" i="57"/>
  <c r="C205" i="57"/>
  <c r="C203" i="57"/>
  <c r="C194" i="57"/>
  <c r="C193" i="57"/>
  <c r="E188" i="57"/>
  <c r="D188" i="57"/>
  <c r="C188" i="57"/>
  <c r="C186" i="57"/>
  <c r="C177" i="57"/>
  <c r="C176" i="57"/>
  <c r="C169" i="57"/>
  <c r="C160" i="57"/>
  <c r="C159" i="57"/>
  <c r="O154" i="57"/>
  <c r="N154" i="57"/>
  <c r="M154" i="57"/>
  <c r="F154" i="57"/>
  <c r="F152" i="57"/>
  <c r="N152" i="57" s="1"/>
  <c r="U152" i="57" s="1"/>
  <c r="N146" i="57"/>
  <c r="M143" i="57"/>
  <c r="M142" i="57"/>
  <c r="O137" i="57"/>
  <c r="N137" i="57"/>
  <c r="M137" i="57"/>
  <c r="F137" i="57"/>
  <c r="M131" i="57"/>
  <c r="N129" i="57"/>
  <c r="O128" i="57"/>
  <c r="M126" i="57"/>
  <c r="M125" i="57"/>
  <c r="O120" i="57"/>
  <c r="N120" i="57"/>
  <c r="M120" i="57"/>
  <c r="F120" i="57"/>
  <c r="M119" i="57"/>
  <c r="M109" i="57"/>
  <c r="M108" i="57"/>
  <c r="O103" i="57"/>
  <c r="N103" i="57"/>
  <c r="M103" i="57"/>
  <c r="F103" i="57"/>
  <c r="M102" i="57"/>
  <c r="D203" i="57"/>
  <c r="M92" i="57"/>
  <c r="M91" i="57"/>
  <c r="O86" i="57"/>
  <c r="N86" i="57"/>
  <c r="M86" i="57"/>
  <c r="F86" i="57"/>
  <c r="D186" i="57"/>
  <c r="D180" i="57"/>
  <c r="M77" i="57"/>
  <c r="M75" i="57"/>
  <c r="M74" i="57"/>
  <c r="O69" i="57"/>
  <c r="N69" i="57"/>
  <c r="M69" i="57"/>
  <c r="F69" i="57"/>
  <c r="M68" i="57"/>
  <c r="F67" i="57"/>
  <c r="N67" i="57" s="1"/>
  <c r="U67" i="57" s="1"/>
  <c r="N63" i="57"/>
  <c r="M58" i="57"/>
  <c r="M57" i="57"/>
  <c r="O51" i="57"/>
  <c r="M41" i="57"/>
  <c r="M40" i="57"/>
  <c r="O35" i="57"/>
  <c r="N35" i="57"/>
  <c r="M35" i="57"/>
  <c r="F35" i="57"/>
  <c r="M24" i="57"/>
  <c r="O24" i="57"/>
  <c r="M23" i="57"/>
  <c r="O18" i="57"/>
  <c r="N18" i="57"/>
  <c r="M18" i="57"/>
  <c r="F18" i="57"/>
  <c r="M7" i="57"/>
  <c r="M6" i="57"/>
  <c r="BB163" i="55"/>
  <c r="BA163" i="55"/>
  <c r="AZ163" i="55"/>
  <c r="AY163" i="55"/>
  <c r="AX163" i="55"/>
  <c r="AW163" i="55"/>
  <c r="AV163" i="55"/>
  <c r="AU163" i="55"/>
  <c r="AT163" i="55"/>
  <c r="AS163" i="55"/>
  <c r="AR163" i="55"/>
  <c r="AQ163" i="55"/>
  <c r="AP163" i="55"/>
  <c r="BB162" i="55"/>
  <c r="BA162" i="55"/>
  <c r="AZ162" i="55"/>
  <c r="AY162" i="55"/>
  <c r="AX162" i="55"/>
  <c r="AW162" i="55"/>
  <c r="AV162" i="55"/>
  <c r="AU162" i="55"/>
  <c r="AT162" i="55"/>
  <c r="AS162" i="55"/>
  <c r="AR162" i="55"/>
  <c r="AQ162" i="55"/>
  <c r="AP162" i="55"/>
  <c r="BB161" i="55"/>
  <c r="BA161" i="55"/>
  <c r="AZ161" i="55"/>
  <c r="AY161" i="55"/>
  <c r="AX161" i="55"/>
  <c r="AW161" i="55"/>
  <c r="AV161" i="55"/>
  <c r="AU161" i="55"/>
  <c r="AT161" i="55"/>
  <c r="AS161" i="55"/>
  <c r="AR161" i="55"/>
  <c r="AQ161" i="55"/>
  <c r="AP161" i="55"/>
  <c r="BB160" i="55"/>
  <c r="BA160" i="55"/>
  <c r="AZ160" i="55"/>
  <c r="AY160" i="55"/>
  <c r="AX160" i="55"/>
  <c r="AW160" i="55"/>
  <c r="AV160" i="55"/>
  <c r="AU160" i="55"/>
  <c r="AT160" i="55"/>
  <c r="AS160" i="55"/>
  <c r="AR160" i="55"/>
  <c r="AQ160" i="55"/>
  <c r="AP160" i="55"/>
  <c r="BB159" i="55"/>
  <c r="BA159" i="55"/>
  <c r="AZ159" i="55"/>
  <c r="AY159" i="55"/>
  <c r="AX159" i="55"/>
  <c r="AW159" i="55"/>
  <c r="AV159" i="55"/>
  <c r="AU159" i="55"/>
  <c r="AT159" i="55"/>
  <c r="AS159" i="55"/>
  <c r="AR159" i="55"/>
  <c r="AQ159" i="55"/>
  <c r="AP159" i="55"/>
  <c r="BB158" i="55"/>
  <c r="BA158" i="55"/>
  <c r="AZ158" i="55"/>
  <c r="AY158" i="55"/>
  <c r="AX158" i="55"/>
  <c r="AW158" i="55"/>
  <c r="AV158" i="55"/>
  <c r="AU158" i="55"/>
  <c r="AT158" i="55"/>
  <c r="AS158" i="55"/>
  <c r="AR158" i="55"/>
  <c r="AQ158" i="55"/>
  <c r="AP158" i="55"/>
  <c r="BB157" i="55"/>
  <c r="BA157" i="55"/>
  <c r="AZ157" i="55"/>
  <c r="AY157" i="55"/>
  <c r="AX157" i="55"/>
  <c r="AW157" i="55"/>
  <c r="AV157" i="55"/>
  <c r="AU157" i="55"/>
  <c r="AT157" i="55"/>
  <c r="AS157" i="55"/>
  <c r="AR157" i="55"/>
  <c r="AQ157" i="55"/>
  <c r="AP157" i="55"/>
  <c r="BB156" i="55"/>
  <c r="BA156" i="55"/>
  <c r="AZ156" i="55"/>
  <c r="AY156" i="55"/>
  <c r="AX156" i="55"/>
  <c r="AW156" i="55"/>
  <c r="AV156" i="55"/>
  <c r="AU156" i="55"/>
  <c r="AT156" i="55"/>
  <c r="AS156" i="55"/>
  <c r="AR156" i="55"/>
  <c r="AQ156" i="55"/>
  <c r="AP156" i="55"/>
  <c r="BB155" i="55"/>
  <c r="BA155" i="55"/>
  <c r="AZ155" i="55"/>
  <c r="AY155" i="55"/>
  <c r="AX155" i="55"/>
  <c r="AW155" i="55"/>
  <c r="AV155" i="55"/>
  <c r="AU155" i="55"/>
  <c r="AT155" i="55"/>
  <c r="AS155" i="55"/>
  <c r="AR155" i="55"/>
  <c r="AQ155" i="55"/>
  <c r="AP155" i="55"/>
  <c r="BB154" i="55"/>
  <c r="BA154" i="55"/>
  <c r="AZ154" i="55"/>
  <c r="AY154" i="55"/>
  <c r="AX154" i="55"/>
  <c r="AW154" i="55"/>
  <c r="AV154" i="55"/>
  <c r="AU154" i="55"/>
  <c r="AT154" i="55"/>
  <c r="AS154" i="55"/>
  <c r="AR154" i="55"/>
  <c r="AQ154" i="55"/>
  <c r="AP154" i="55"/>
  <c r="BB153" i="55"/>
  <c r="BA153" i="55"/>
  <c r="AZ153" i="55"/>
  <c r="AY153" i="55"/>
  <c r="AX153" i="55"/>
  <c r="AW153" i="55"/>
  <c r="AV153" i="55"/>
  <c r="AU153" i="55"/>
  <c r="AT153" i="55"/>
  <c r="AS153" i="55"/>
  <c r="AR153" i="55"/>
  <c r="AQ153" i="55"/>
  <c r="AP153" i="55"/>
  <c r="BB152" i="55"/>
  <c r="BA152" i="55"/>
  <c r="AZ152" i="55"/>
  <c r="AY152" i="55"/>
  <c r="AX152" i="55"/>
  <c r="AW152" i="55"/>
  <c r="AV152" i="55"/>
  <c r="AU152" i="55"/>
  <c r="AT152" i="55"/>
  <c r="AS152" i="55"/>
  <c r="AR152" i="55"/>
  <c r="AQ152" i="55"/>
  <c r="AP152" i="55"/>
  <c r="BB151" i="55"/>
  <c r="BA151" i="55"/>
  <c r="AZ151" i="55"/>
  <c r="AY151" i="55"/>
  <c r="AX151" i="55"/>
  <c r="AW151" i="55"/>
  <c r="AV151" i="55"/>
  <c r="AU151" i="55"/>
  <c r="AT151" i="55"/>
  <c r="AS151" i="55"/>
  <c r="AR151" i="55"/>
  <c r="AQ151" i="55"/>
  <c r="AP151" i="55"/>
  <c r="BB147" i="55"/>
  <c r="BA147" i="55"/>
  <c r="AZ147" i="55"/>
  <c r="AY147" i="55"/>
  <c r="AX147" i="55"/>
  <c r="AW147" i="55"/>
  <c r="AV147" i="55"/>
  <c r="AU147" i="55"/>
  <c r="AT147" i="55"/>
  <c r="AS147" i="55"/>
  <c r="AR147" i="55"/>
  <c r="AQ147" i="55"/>
  <c r="AP147" i="55"/>
  <c r="O147" i="55"/>
  <c r="O148" i="55" s="1"/>
  <c r="BB146" i="55"/>
  <c r="BA146" i="55"/>
  <c r="AZ146" i="55"/>
  <c r="AY146" i="55"/>
  <c r="AX146" i="55"/>
  <c r="AW146" i="55"/>
  <c r="AV146" i="55"/>
  <c r="AU146" i="55"/>
  <c r="AT146" i="55"/>
  <c r="AS146" i="55"/>
  <c r="AR146" i="55"/>
  <c r="AQ146" i="55"/>
  <c r="AP146" i="55"/>
  <c r="N146" i="55"/>
  <c r="K146" i="55"/>
  <c r="P146" i="55" s="1"/>
  <c r="BB145" i="55"/>
  <c r="BA145" i="55"/>
  <c r="AZ145" i="55"/>
  <c r="AY145" i="55"/>
  <c r="AX145" i="55"/>
  <c r="AW145" i="55"/>
  <c r="AV145" i="55"/>
  <c r="AU145" i="55"/>
  <c r="AT145" i="55"/>
  <c r="AS145" i="55"/>
  <c r="AR145" i="55"/>
  <c r="AQ145" i="55"/>
  <c r="AP145" i="55"/>
  <c r="M145" i="55"/>
  <c r="T139" i="55" s="1"/>
  <c r="BB144" i="55"/>
  <c r="BA144" i="55"/>
  <c r="AZ144" i="55"/>
  <c r="AY144" i="55"/>
  <c r="AX144" i="55"/>
  <c r="AW144" i="55"/>
  <c r="AV144" i="55"/>
  <c r="AU144" i="55"/>
  <c r="AT144" i="55"/>
  <c r="AS144" i="55"/>
  <c r="AR144" i="55"/>
  <c r="AQ144" i="55"/>
  <c r="AP144" i="55"/>
  <c r="L144" i="55"/>
  <c r="S144" i="55" s="1"/>
  <c r="BB143" i="55"/>
  <c r="BA143" i="55"/>
  <c r="AZ143" i="55"/>
  <c r="AY143" i="55"/>
  <c r="AX143" i="55"/>
  <c r="AW143" i="55"/>
  <c r="AV143" i="55"/>
  <c r="AU143" i="55"/>
  <c r="AT143" i="55"/>
  <c r="AS143" i="55"/>
  <c r="AR143" i="55"/>
  <c r="AQ143" i="55"/>
  <c r="AP143" i="55"/>
  <c r="K143" i="55"/>
  <c r="R136" i="55" s="1"/>
  <c r="BB142" i="55"/>
  <c r="BA142" i="55"/>
  <c r="AZ142" i="55"/>
  <c r="AY142" i="55"/>
  <c r="AX142" i="55"/>
  <c r="AW142" i="55"/>
  <c r="AV142" i="55"/>
  <c r="AU142" i="55"/>
  <c r="AT142" i="55"/>
  <c r="AS142" i="55"/>
  <c r="AR142" i="55"/>
  <c r="AQ142" i="55"/>
  <c r="AP142" i="55"/>
  <c r="J142" i="55"/>
  <c r="BB141" i="55"/>
  <c r="BA141" i="55"/>
  <c r="AZ141" i="55"/>
  <c r="AY141" i="55"/>
  <c r="AX141" i="55"/>
  <c r="AW141" i="55"/>
  <c r="AV141" i="55"/>
  <c r="AU141" i="55"/>
  <c r="AT141" i="55"/>
  <c r="AS141" i="55"/>
  <c r="AR141" i="55"/>
  <c r="AQ141" i="55"/>
  <c r="AP141" i="55"/>
  <c r="N141" i="55"/>
  <c r="AK141" i="55" s="1"/>
  <c r="K141" i="55"/>
  <c r="I141" i="55"/>
  <c r="H141" i="55"/>
  <c r="AE141" i="55" s="1"/>
  <c r="G141" i="55"/>
  <c r="AD141" i="55" s="1"/>
  <c r="F141" i="55"/>
  <c r="AC141" i="55" s="1"/>
  <c r="E141" i="55"/>
  <c r="BB140" i="55"/>
  <c r="BA140" i="55"/>
  <c r="AZ140" i="55"/>
  <c r="AY140" i="55"/>
  <c r="AX140" i="55"/>
  <c r="AW140" i="55"/>
  <c r="AV140" i="55"/>
  <c r="AU140" i="55"/>
  <c r="AT140" i="55"/>
  <c r="AS140" i="55"/>
  <c r="AR140" i="55"/>
  <c r="AQ140" i="55"/>
  <c r="AP140" i="55"/>
  <c r="N140" i="55"/>
  <c r="AK140" i="55" s="1"/>
  <c r="K140" i="55"/>
  <c r="H140" i="55"/>
  <c r="AE140" i="55" s="1"/>
  <c r="G140" i="55"/>
  <c r="AD140" i="55" s="1"/>
  <c r="BB139" i="55"/>
  <c r="BA139" i="55"/>
  <c r="AZ139" i="55"/>
  <c r="AY139" i="55"/>
  <c r="AX139" i="55"/>
  <c r="AW139" i="55"/>
  <c r="AV139" i="55"/>
  <c r="AU139" i="55"/>
  <c r="AT139" i="55"/>
  <c r="AS139" i="55"/>
  <c r="AR139" i="55"/>
  <c r="AQ139" i="55"/>
  <c r="AP139" i="55"/>
  <c r="N139" i="55"/>
  <c r="AK139" i="55" s="1"/>
  <c r="K139" i="55"/>
  <c r="H139" i="55"/>
  <c r="AE139" i="55" s="1"/>
  <c r="G139" i="55"/>
  <c r="BB138" i="55"/>
  <c r="BA138" i="55"/>
  <c r="AZ138" i="55"/>
  <c r="AY138" i="55"/>
  <c r="AX138" i="55"/>
  <c r="AW138" i="55"/>
  <c r="AV138" i="55"/>
  <c r="AU138" i="55"/>
  <c r="AT138" i="55"/>
  <c r="AS138" i="55"/>
  <c r="AR138" i="55"/>
  <c r="AQ138" i="55"/>
  <c r="AP138" i="55"/>
  <c r="N138" i="55"/>
  <c r="AK138" i="55" s="1"/>
  <c r="K138" i="55"/>
  <c r="H138" i="55"/>
  <c r="AE138" i="55" s="1"/>
  <c r="G138" i="55"/>
  <c r="F138" i="55"/>
  <c r="E138" i="55"/>
  <c r="AB138" i="55" s="1"/>
  <c r="BB137" i="55"/>
  <c r="BA137" i="55"/>
  <c r="AZ137" i="55"/>
  <c r="AY137" i="55"/>
  <c r="AX137" i="55"/>
  <c r="AW137" i="55"/>
  <c r="AV137" i="55"/>
  <c r="AU137" i="55"/>
  <c r="AT137" i="55"/>
  <c r="AS137" i="55"/>
  <c r="AR137" i="55"/>
  <c r="AQ137" i="55"/>
  <c r="AP137" i="55"/>
  <c r="N137" i="55"/>
  <c r="K137" i="55"/>
  <c r="H137" i="55"/>
  <c r="AE137" i="55" s="1"/>
  <c r="G137" i="55"/>
  <c r="AD137" i="55" s="1"/>
  <c r="F137" i="55"/>
  <c r="AC137" i="55" s="1"/>
  <c r="E137" i="55"/>
  <c r="AB137" i="55" s="1"/>
  <c r="BB136" i="55"/>
  <c r="BA136" i="55"/>
  <c r="AZ136" i="55"/>
  <c r="AY136" i="55"/>
  <c r="AX136" i="55"/>
  <c r="AW136" i="55"/>
  <c r="AV136" i="55"/>
  <c r="AU136" i="55"/>
  <c r="AT136" i="55"/>
  <c r="AS136" i="55"/>
  <c r="AR136" i="55"/>
  <c r="AQ136" i="55"/>
  <c r="AP136" i="55"/>
  <c r="H136" i="55"/>
  <c r="AE136" i="55" s="1"/>
  <c r="G136" i="55"/>
  <c r="AD136" i="55" s="1"/>
  <c r="F136" i="55"/>
  <c r="AC136" i="55" s="1"/>
  <c r="E136" i="55"/>
  <c r="BB135" i="55"/>
  <c r="BA135" i="55"/>
  <c r="AZ135" i="55"/>
  <c r="AY135" i="55"/>
  <c r="AX135" i="55"/>
  <c r="AW135" i="55"/>
  <c r="AV135" i="55"/>
  <c r="AU135" i="55"/>
  <c r="AT135" i="55"/>
  <c r="AS135" i="55"/>
  <c r="AR135" i="55"/>
  <c r="AQ135" i="55"/>
  <c r="AP135" i="55"/>
  <c r="H135" i="55"/>
  <c r="AE135" i="55" s="1"/>
  <c r="G135" i="55"/>
  <c r="F135" i="55"/>
  <c r="AC135" i="55" s="1"/>
  <c r="E135" i="55"/>
  <c r="AB135" i="55" s="1"/>
  <c r="BB131" i="55"/>
  <c r="BA131" i="55"/>
  <c r="AZ131" i="55"/>
  <c r="AY131" i="55"/>
  <c r="AX131" i="55"/>
  <c r="AW131" i="55"/>
  <c r="AV131" i="55"/>
  <c r="AU131" i="55"/>
  <c r="AT131" i="55"/>
  <c r="AS131" i="55"/>
  <c r="AR131" i="55"/>
  <c r="AQ131" i="55"/>
  <c r="AP131" i="55"/>
  <c r="O131" i="55"/>
  <c r="P131" i="55" s="1"/>
  <c r="BB130" i="55"/>
  <c r="BA130" i="55"/>
  <c r="AZ130" i="55"/>
  <c r="AY130" i="55"/>
  <c r="AX130" i="55"/>
  <c r="AW130" i="55"/>
  <c r="AV130" i="55"/>
  <c r="AU130" i="55"/>
  <c r="AT130" i="55"/>
  <c r="AS130" i="55"/>
  <c r="AR130" i="55"/>
  <c r="AQ130" i="55"/>
  <c r="AP130" i="55"/>
  <c r="N130" i="55"/>
  <c r="AK130" i="55" s="1"/>
  <c r="K130" i="55"/>
  <c r="BB129" i="55"/>
  <c r="BA129" i="55"/>
  <c r="AZ129" i="55"/>
  <c r="AY129" i="55"/>
  <c r="AX129" i="55"/>
  <c r="AW129" i="55"/>
  <c r="AV129" i="55"/>
  <c r="AU129" i="55"/>
  <c r="AT129" i="55"/>
  <c r="AS129" i="55"/>
  <c r="AR129" i="55"/>
  <c r="AQ129" i="55"/>
  <c r="AP129" i="55"/>
  <c r="M129" i="55"/>
  <c r="T127" i="55" s="1"/>
  <c r="BB128" i="55"/>
  <c r="BA128" i="55"/>
  <c r="AZ128" i="55"/>
  <c r="AY128" i="55"/>
  <c r="AX128" i="55"/>
  <c r="AW128" i="55"/>
  <c r="AV128" i="55"/>
  <c r="AU128" i="55"/>
  <c r="AT128" i="55"/>
  <c r="AS128" i="55"/>
  <c r="AR128" i="55"/>
  <c r="AQ128" i="55"/>
  <c r="AP128" i="55"/>
  <c r="L128" i="55"/>
  <c r="BB127" i="55"/>
  <c r="BA127" i="55"/>
  <c r="AZ127" i="55"/>
  <c r="AY127" i="55"/>
  <c r="AX127" i="55"/>
  <c r="AW127" i="55"/>
  <c r="AV127" i="55"/>
  <c r="AU127" i="55"/>
  <c r="AT127" i="55"/>
  <c r="AS127" i="55"/>
  <c r="AR127" i="55"/>
  <c r="AQ127" i="55"/>
  <c r="AP127" i="55"/>
  <c r="K127" i="55"/>
  <c r="R128" i="55" s="1"/>
  <c r="BB126" i="55"/>
  <c r="BA126" i="55"/>
  <c r="AZ126" i="55"/>
  <c r="AY126" i="55"/>
  <c r="AX126" i="55"/>
  <c r="AW126" i="55"/>
  <c r="AV126" i="55"/>
  <c r="AU126" i="55"/>
  <c r="AT126" i="55"/>
  <c r="AS126" i="55"/>
  <c r="AR126" i="55"/>
  <c r="AQ126" i="55"/>
  <c r="AP126" i="55"/>
  <c r="J126" i="55"/>
  <c r="J132" i="55" s="1"/>
  <c r="BB125" i="55"/>
  <c r="BA125" i="55"/>
  <c r="AZ125" i="55"/>
  <c r="AY125" i="55"/>
  <c r="AX125" i="55"/>
  <c r="AW125" i="55"/>
  <c r="AV125" i="55"/>
  <c r="AU125" i="55"/>
  <c r="AT125" i="55"/>
  <c r="AS125" i="55"/>
  <c r="AR125" i="55"/>
  <c r="AQ125" i="55"/>
  <c r="AP125" i="55"/>
  <c r="N125" i="55"/>
  <c r="AK125" i="55" s="1"/>
  <c r="K125" i="55"/>
  <c r="I125" i="55"/>
  <c r="I132" i="55" s="1"/>
  <c r="H125" i="55"/>
  <c r="AE125" i="55" s="1"/>
  <c r="G125" i="55"/>
  <c r="AD125" i="55" s="1"/>
  <c r="F125" i="55"/>
  <c r="E125" i="55"/>
  <c r="BB124" i="55"/>
  <c r="BA124" i="55"/>
  <c r="AZ124" i="55"/>
  <c r="AY124" i="55"/>
  <c r="AX124" i="55"/>
  <c r="AW124" i="55"/>
  <c r="AV124" i="55"/>
  <c r="AU124" i="55"/>
  <c r="AT124" i="55"/>
  <c r="AS124" i="55"/>
  <c r="AR124" i="55"/>
  <c r="AQ124" i="55"/>
  <c r="AP124" i="55"/>
  <c r="N124" i="55"/>
  <c r="K124" i="55"/>
  <c r="H124" i="55"/>
  <c r="G124" i="55"/>
  <c r="AD124" i="55" s="1"/>
  <c r="BB123" i="55"/>
  <c r="BA123" i="55"/>
  <c r="AZ123" i="55"/>
  <c r="AY123" i="55"/>
  <c r="AX123" i="55"/>
  <c r="AW123" i="55"/>
  <c r="AV123" i="55"/>
  <c r="AU123" i="55"/>
  <c r="AT123" i="55"/>
  <c r="AS123" i="55"/>
  <c r="AR123" i="55"/>
  <c r="AQ123" i="55"/>
  <c r="AP123" i="55"/>
  <c r="N123" i="55"/>
  <c r="AK123" i="55" s="1"/>
  <c r="K123" i="55"/>
  <c r="H123" i="55"/>
  <c r="G123" i="55"/>
  <c r="AD123" i="55" s="1"/>
  <c r="BB122" i="55"/>
  <c r="BA122" i="55"/>
  <c r="AZ122" i="55"/>
  <c r="AY122" i="55"/>
  <c r="AX122" i="55"/>
  <c r="AW122" i="55"/>
  <c r="AV122" i="55"/>
  <c r="AU122" i="55"/>
  <c r="AT122" i="55"/>
  <c r="AS122" i="55"/>
  <c r="AR122" i="55"/>
  <c r="AQ122" i="55"/>
  <c r="AP122" i="55"/>
  <c r="N122" i="55"/>
  <c r="K122" i="55"/>
  <c r="H122" i="55"/>
  <c r="G122" i="55"/>
  <c r="F122" i="55"/>
  <c r="AC122" i="55" s="1"/>
  <c r="E122" i="55"/>
  <c r="AB122" i="55" s="1"/>
  <c r="BB121" i="55"/>
  <c r="BA121" i="55"/>
  <c r="AZ121" i="55"/>
  <c r="AY121" i="55"/>
  <c r="AX121" i="55"/>
  <c r="AW121" i="55"/>
  <c r="AV121" i="55"/>
  <c r="AU121" i="55"/>
  <c r="AT121" i="55"/>
  <c r="AS121" i="55"/>
  <c r="AR121" i="55"/>
  <c r="AQ121" i="55"/>
  <c r="AP121" i="55"/>
  <c r="N121" i="55"/>
  <c r="K121" i="55"/>
  <c r="H121" i="55"/>
  <c r="AE121" i="55" s="1"/>
  <c r="G121" i="55"/>
  <c r="AD121" i="55" s="1"/>
  <c r="F121" i="55"/>
  <c r="AC121" i="55" s="1"/>
  <c r="E121" i="55"/>
  <c r="BB120" i="55"/>
  <c r="BA120" i="55"/>
  <c r="AZ120" i="55"/>
  <c r="AY120" i="55"/>
  <c r="AX120" i="55"/>
  <c r="AW120" i="55"/>
  <c r="AV120" i="55"/>
  <c r="AU120" i="55"/>
  <c r="AT120" i="55"/>
  <c r="AS120" i="55"/>
  <c r="AR120" i="55"/>
  <c r="AQ120" i="55"/>
  <c r="AP120" i="55"/>
  <c r="H120" i="55"/>
  <c r="AE120" i="55" s="1"/>
  <c r="G120" i="55"/>
  <c r="AD120" i="55" s="1"/>
  <c r="F120" i="55"/>
  <c r="E120" i="55"/>
  <c r="BB119" i="55"/>
  <c r="BA119" i="55"/>
  <c r="AZ119" i="55"/>
  <c r="AY119" i="55"/>
  <c r="AX119" i="55"/>
  <c r="AW119" i="55"/>
  <c r="AV119" i="55"/>
  <c r="AU119" i="55"/>
  <c r="AT119" i="55"/>
  <c r="AS119" i="55"/>
  <c r="AR119" i="55"/>
  <c r="AQ119" i="55"/>
  <c r="AP119" i="55"/>
  <c r="H119" i="55"/>
  <c r="G119" i="55"/>
  <c r="F119" i="55"/>
  <c r="E119" i="55"/>
  <c r="AB119" i="55" s="1"/>
  <c r="BB115" i="55"/>
  <c r="BA115" i="55"/>
  <c r="AZ115" i="55"/>
  <c r="AY115" i="55"/>
  <c r="AX115" i="55"/>
  <c r="AW115" i="55"/>
  <c r="AV115" i="55"/>
  <c r="AU115" i="55"/>
  <c r="AT115" i="55"/>
  <c r="AS115" i="55"/>
  <c r="AR115" i="55"/>
  <c r="AQ115" i="55"/>
  <c r="AP115" i="55"/>
  <c r="O115" i="55"/>
  <c r="BB114" i="55"/>
  <c r="BA114" i="55"/>
  <c r="AZ114" i="55"/>
  <c r="AY114" i="55"/>
  <c r="AX114" i="55"/>
  <c r="AW114" i="55"/>
  <c r="AV114" i="55"/>
  <c r="AU114" i="55"/>
  <c r="AT114" i="55"/>
  <c r="AS114" i="55"/>
  <c r="AR114" i="55"/>
  <c r="AQ114" i="55"/>
  <c r="AP114" i="55"/>
  <c r="N114" i="55"/>
  <c r="K114" i="55"/>
  <c r="R114" i="55" s="1"/>
  <c r="BB113" i="55"/>
  <c r="BA113" i="55"/>
  <c r="AZ113" i="55"/>
  <c r="AY113" i="55"/>
  <c r="AX113" i="55"/>
  <c r="AW113" i="55"/>
  <c r="AV113" i="55"/>
  <c r="AU113" i="55"/>
  <c r="AT113" i="55"/>
  <c r="AS113" i="55"/>
  <c r="AR113" i="55"/>
  <c r="AQ113" i="55"/>
  <c r="AP113" i="55"/>
  <c r="M113" i="55"/>
  <c r="T103" i="55" s="1"/>
  <c r="BB112" i="55"/>
  <c r="BA112" i="55"/>
  <c r="AZ112" i="55"/>
  <c r="AY112" i="55"/>
  <c r="AX112" i="55"/>
  <c r="AW112" i="55"/>
  <c r="AV112" i="55"/>
  <c r="AU112" i="55"/>
  <c r="AT112" i="55"/>
  <c r="AS112" i="55"/>
  <c r="AR112" i="55"/>
  <c r="AQ112" i="55"/>
  <c r="AP112" i="55"/>
  <c r="L112" i="55"/>
  <c r="S111" i="55" s="1"/>
  <c r="BB111" i="55"/>
  <c r="BA111" i="55"/>
  <c r="AZ111" i="55"/>
  <c r="AY111" i="55"/>
  <c r="AX111" i="55"/>
  <c r="AW111" i="55"/>
  <c r="AV111" i="55"/>
  <c r="AU111" i="55"/>
  <c r="AT111" i="55"/>
  <c r="AS111" i="55"/>
  <c r="AR111" i="55"/>
  <c r="AQ111" i="55"/>
  <c r="AP111" i="55"/>
  <c r="K111" i="55"/>
  <c r="R115" i="55" s="1"/>
  <c r="BB110" i="55"/>
  <c r="BA110" i="55"/>
  <c r="AZ110" i="55"/>
  <c r="AY110" i="55"/>
  <c r="AX110" i="55"/>
  <c r="AW110" i="55"/>
  <c r="AV110" i="55"/>
  <c r="AU110" i="55"/>
  <c r="AT110" i="55"/>
  <c r="AS110" i="55"/>
  <c r="AR110" i="55"/>
  <c r="AQ110" i="55"/>
  <c r="AP110" i="55"/>
  <c r="J110" i="55"/>
  <c r="BB109" i="55"/>
  <c r="BA109" i="55"/>
  <c r="AZ109" i="55"/>
  <c r="AY109" i="55"/>
  <c r="AX109" i="55"/>
  <c r="AW109" i="55"/>
  <c r="AV109" i="55"/>
  <c r="AU109" i="55"/>
  <c r="AT109" i="55"/>
  <c r="AS109" i="55"/>
  <c r="AR109" i="55"/>
  <c r="AQ109" i="55"/>
  <c r="AP109" i="55"/>
  <c r="N109" i="55"/>
  <c r="AK109" i="55" s="1"/>
  <c r="K109" i="55"/>
  <c r="R109" i="55" s="1"/>
  <c r="I109" i="55"/>
  <c r="I116" i="55" s="1"/>
  <c r="H109" i="55"/>
  <c r="G109" i="55"/>
  <c r="F109" i="55"/>
  <c r="AC109" i="55" s="1"/>
  <c r="E109" i="55"/>
  <c r="BB108" i="55"/>
  <c r="BA108" i="55"/>
  <c r="AZ108" i="55"/>
  <c r="AY108" i="55"/>
  <c r="AX108" i="55"/>
  <c r="AW108" i="55"/>
  <c r="AV108" i="55"/>
  <c r="AU108" i="55"/>
  <c r="AT108" i="55"/>
  <c r="AS108" i="55"/>
  <c r="AR108" i="55"/>
  <c r="AQ108" i="55"/>
  <c r="AP108" i="55"/>
  <c r="N108" i="55"/>
  <c r="AK108" i="55" s="1"/>
  <c r="K108" i="55"/>
  <c r="R108" i="55" s="1"/>
  <c r="H108" i="55"/>
  <c r="G108" i="55"/>
  <c r="AD108" i="55" s="1"/>
  <c r="BB107" i="55"/>
  <c r="BA107" i="55"/>
  <c r="AZ107" i="55"/>
  <c r="AY107" i="55"/>
  <c r="AX107" i="55"/>
  <c r="AW107" i="55"/>
  <c r="AV107" i="55"/>
  <c r="AU107" i="55"/>
  <c r="AT107" i="55"/>
  <c r="AS107" i="55"/>
  <c r="AR107" i="55"/>
  <c r="AQ107" i="55"/>
  <c r="AP107" i="55"/>
  <c r="N107" i="55"/>
  <c r="AK107" i="55" s="1"/>
  <c r="K107" i="55"/>
  <c r="H107" i="55"/>
  <c r="AE107" i="55" s="1"/>
  <c r="G107" i="55"/>
  <c r="BB106" i="55"/>
  <c r="BA106" i="55"/>
  <c r="AZ106" i="55"/>
  <c r="AY106" i="55"/>
  <c r="AX106" i="55"/>
  <c r="AW106" i="55"/>
  <c r="AV106" i="55"/>
  <c r="AU106" i="55"/>
  <c r="AT106" i="55"/>
  <c r="AS106" i="55"/>
  <c r="AR106" i="55"/>
  <c r="AQ106" i="55"/>
  <c r="AP106" i="55"/>
  <c r="N106" i="55"/>
  <c r="K106" i="55"/>
  <c r="R106" i="55" s="1"/>
  <c r="H106" i="55"/>
  <c r="AE106" i="55" s="1"/>
  <c r="G106" i="55"/>
  <c r="AD106" i="55" s="1"/>
  <c r="F106" i="55"/>
  <c r="AC106" i="55" s="1"/>
  <c r="E106" i="55"/>
  <c r="BB105" i="55"/>
  <c r="BA105" i="55"/>
  <c r="AZ105" i="55"/>
  <c r="AY105" i="55"/>
  <c r="AX105" i="55"/>
  <c r="AW105" i="55"/>
  <c r="AV105" i="55"/>
  <c r="AU105" i="55"/>
  <c r="AT105" i="55"/>
  <c r="AS105" i="55"/>
  <c r="AR105" i="55"/>
  <c r="AQ105" i="55"/>
  <c r="AP105" i="55"/>
  <c r="N105" i="55"/>
  <c r="K105" i="55"/>
  <c r="H105" i="55"/>
  <c r="G105" i="55"/>
  <c r="AD105" i="55" s="1"/>
  <c r="F105" i="55"/>
  <c r="AC105" i="55" s="1"/>
  <c r="E105" i="55"/>
  <c r="BB104" i="55"/>
  <c r="BA104" i="55"/>
  <c r="AZ104" i="55"/>
  <c r="AY104" i="55"/>
  <c r="AX104" i="55"/>
  <c r="AW104" i="55"/>
  <c r="AV104" i="55"/>
  <c r="AU104" i="55"/>
  <c r="AT104" i="55"/>
  <c r="AS104" i="55"/>
  <c r="AR104" i="55"/>
  <c r="AQ104" i="55"/>
  <c r="AP104" i="55"/>
  <c r="H104" i="55"/>
  <c r="AE104" i="55" s="1"/>
  <c r="G104" i="55"/>
  <c r="AD104" i="55" s="1"/>
  <c r="F104" i="55"/>
  <c r="AC104" i="55" s="1"/>
  <c r="E104" i="55"/>
  <c r="AB104" i="55" s="1"/>
  <c r="D104" i="55"/>
  <c r="AA104" i="55" s="1"/>
  <c r="C104" i="55"/>
  <c r="Z104" i="55" s="1"/>
  <c r="BB103" i="55"/>
  <c r="BA103" i="55"/>
  <c r="AZ103" i="55"/>
  <c r="AY103" i="55"/>
  <c r="AX103" i="55"/>
  <c r="AW103" i="55"/>
  <c r="AV103" i="55"/>
  <c r="AU103" i="55"/>
  <c r="AT103" i="55"/>
  <c r="AS103" i="55"/>
  <c r="AR103" i="55"/>
  <c r="AQ103" i="55"/>
  <c r="AP103" i="55"/>
  <c r="H103" i="55"/>
  <c r="AE103" i="55" s="1"/>
  <c r="G103" i="55"/>
  <c r="F103" i="55"/>
  <c r="AC103" i="55" s="1"/>
  <c r="E103" i="55"/>
  <c r="AB103" i="55" s="1"/>
  <c r="D103" i="55"/>
  <c r="C103" i="55"/>
  <c r="BB99" i="55"/>
  <c r="BA99" i="55"/>
  <c r="AZ99" i="55"/>
  <c r="AY99" i="55"/>
  <c r="AX99" i="55"/>
  <c r="AW99" i="55"/>
  <c r="AV99" i="55"/>
  <c r="AU99" i="55"/>
  <c r="AT99" i="55"/>
  <c r="AS99" i="55"/>
  <c r="AR99" i="55"/>
  <c r="AQ99" i="55"/>
  <c r="AP99" i="55"/>
  <c r="O99" i="55"/>
  <c r="BB98" i="55"/>
  <c r="BA98" i="55"/>
  <c r="AZ98" i="55"/>
  <c r="AY98" i="55"/>
  <c r="AX98" i="55"/>
  <c r="AW98" i="55"/>
  <c r="AV98" i="55"/>
  <c r="AU98" i="55"/>
  <c r="AT98" i="55"/>
  <c r="AS98" i="55"/>
  <c r="AR98" i="55"/>
  <c r="AQ98" i="55"/>
  <c r="AP98" i="55"/>
  <c r="N98" i="55"/>
  <c r="AK98" i="55" s="1"/>
  <c r="K98" i="55"/>
  <c r="R98" i="55" s="1"/>
  <c r="BB97" i="55"/>
  <c r="BA97" i="55"/>
  <c r="AZ97" i="55"/>
  <c r="AY97" i="55"/>
  <c r="AX97" i="55"/>
  <c r="AW97" i="55"/>
  <c r="AV97" i="55"/>
  <c r="AU97" i="55"/>
  <c r="AT97" i="55"/>
  <c r="AS97" i="55"/>
  <c r="AR97" i="55"/>
  <c r="AQ97" i="55"/>
  <c r="AP97" i="55"/>
  <c r="M97" i="55"/>
  <c r="T96" i="55" s="1"/>
  <c r="BB96" i="55"/>
  <c r="BA96" i="55"/>
  <c r="AZ96" i="55"/>
  <c r="AY96" i="55"/>
  <c r="AX96" i="55"/>
  <c r="AW96" i="55"/>
  <c r="AV96" i="55"/>
  <c r="AU96" i="55"/>
  <c r="AT96" i="55"/>
  <c r="AS96" i="55"/>
  <c r="AR96" i="55"/>
  <c r="AQ96" i="55"/>
  <c r="AP96" i="55"/>
  <c r="L96" i="55"/>
  <c r="S87" i="55" s="1"/>
  <c r="BB95" i="55"/>
  <c r="BA95" i="55"/>
  <c r="AZ95" i="55"/>
  <c r="AY95" i="55"/>
  <c r="AX95" i="55"/>
  <c r="AW95" i="55"/>
  <c r="AV95" i="55"/>
  <c r="AU95" i="55"/>
  <c r="AT95" i="55"/>
  <c r="AS95" i="55"/>
  <c r="AR95" i="55"/>
  <c r="AQ95" i="55"/>
  <c r="AP95" i="55"/>
  <c r="K95" i="55"/>
  <c r="BB94" i="55"/>
  <c r="BA94" i="55"/>
  <c r="AZ94" i="55"/>
  <c r="AY94" i="55"/>
  <c r="AX94" i="55"/>
  <c r="AW94" i="55"/>
  <c r="AV94" i="55"/>
  <c r="AU94" i="55"/>
  <c r="AT94" i="55"/>
  <c r="AS94" i="55"/>
  <c r="AR94" i="55"/>
  <c r="AQ94" i="55"/>
  <c r="AP94" i="55"/>
  <c r="J94" i="55"/>
  <c r="AG94" i="55" s="1"/>
  <c r="BB93" i="55"/>
  <c r="BA93" i="55"/>
  <c r="AZ93" i="55"/>
  <c r="AY93" i="55"/>
  <c r="AX93" i="55"/>
  <c r="AW93" i="55"/>
  <c r="AV93" i="55"/>
  <c r="AU93" i="55"/>
  <c r="AT93" i="55"/>
  <c r="AS93" i="55"/>
  <c r="AR93" i="55"/>
  <c r="AQ93" i="55"/>
  <c r="AP93" i="55"/>
  <c r="N93" i="55"/>
  <c r="AK93" i="55" s="1"/>
  <c r="K93" i="55"/>
  <c r="R93" i="55" s="1"/>
  <c r="I93" i="55"/>
  <c r="AF93" i="55" s="1"/>
  <c r="AF100" i="55" s="1"/>
  <c r="H93" i="55"/>
  <c r="AE93" i="55" s="1"/>
  <c r="G93" i="55"/>
  <c r="F93" i="55"/>
  <c r="AC93" i="55" s="1"/>
  <c r="E93" i="55"/>
  <c r="AB93" i="55" s="1"/>
  <c r="BB92" i="55"/>
  <c r="BA92" i="55"/>
  <c r="AZ92" i="55"/>
  <c r="AY92" i="55"/>
  <c r="AX92" i="55"/>
  <c r="AW92" i="55"/>
  <c r="AV92" i="55"/>
  <c r="AU92" i="55"/>
  <c r="AT92" i="55"/>
  <c r="AS92" i="55"/>
  <c r="AR92" i="55"/>
  <c r="AQ92" i="55"/>
  <c r="AP92" i="55"/>
  <c r="N92" i="55"/>
  <c r="K92" i="55"/>
  <c r="H92" i="55"/>
  <c r="AE92" i="55" s="1"/>
  <c r="G92" i="55"/>
  <c r="BB91" i="55"/>
  <c r="BA91" i="55"/>
  <c r="AZ91" i="55"/>
  <c r="AY91" i="55"/>
  <c r="AX91" i="55"/>
  <c r="AW91" i="55"/>
  <c r="AV91" i="55"/>
  <c r="AU91" i="55"/>
  <c r="AT91" i="55"/>
  <c r="AS91" i="55"/>
  <c r="AR91" i="55"/>
  <c r="AQ91" i="55"/>
  <c r="AP91" i="55"/>
  <c r="N91" i="55"/>
  <c r="AK91" i="55" s="1"/>
  <c r="K91" i="55"/>
  <c r="R91" i="55" s="1"/>
  <c r="H91" i="55"/>
  <c r="AE91" i="55" s="1"/>
  <c r="G91" i="55"/>
  <c r="AD91" i="55" s="1"/>
  <c r="BB90" i="55"/>
  <c r="BA90" i="55"/>
  <c r="AZ90" i="55"/>
  <c r="AY90" i="55"/>
  <c r="AX90" i="55"/>
  <c r="AW90" i="55"/>
  <c r="AV90" i="55"/>
  <c r="AU90" i="55"/>
  <c r="AT90" i="55"/>
  <c r="AS90" i="55"/>
  <c r="AR90" i="55"/>
  <c r="AQ90" i="55"/>
  <c r="AP90" i="55"/>
  <c r="N90" i="55"/>
  <c r="AK90" i="55" s="1"/>
  <c r="K90" i="55"/>
  <c r="H90" i="55"/>
  <c r="AE90" i="55" s="1"/>
  <c r="G90" i="55"/>
  <c r="AD90" i="55" s="1"/>
  <c r="F90" i="55"/>
  <c r="AC90" i="55" s="1"/>
  <c r="E90" i="55"/>
  <c r="BB89" i="55"/>
  <c r="BA89" i="55"/>
  <c r="AZ89" i="55"/>
  <c r="AY89" i="55"/>
  <c r="AX89" i="55"/>
  <c r="AW89" i="55"/>
  <c r="AV89" i="55"/>
  <c r="AU89" i="55"/>
  <c r="AT89" i="55"/>
  <c r="AS89" i="55"/>
  <c r="AR89" i="55"/>
  <c r="AQ89" i="55"/>
  <c r="AP89" i="55"/>
  <c r="N89" i="55"/>
  <c r="K89" i="55"/>
  <c r="R89" i="55" s="1"/>
  <c r="H89" i="55"/>
  <c r="AE89" i="55" s="1"/>
  <c r="G89" i="55"/>
  <c r="F89" i="55"/>
  <c r="E89" i="55"/>
  <c r="AB89" i="55" s="1"/>
  <c r="BB88" i="55"/>
  <c r="BA88" i="55"/>
  <c r="AZ88" i="55"/>
  <c r="AY88" i="55"/>
  <c r="AX88" i="55"/>
  <c r="AW88" i="55"/>
  <c r="AV88" i="55"/>
  <c r="AU88" i="55"/>
  <c r="AT88" i="55"/>
  <c r="AS88" i="55"/>
  <c r="AR88" i="55"/>
  <c r="AQ88" i="55"/>
  <c r="AP88" i="55"/>
  <c r="H88" i="55"/>
  <c r="G88" i="55"/>
  <c r="AD88" i="55" s="1"/>
  <c r="F88" i="55"/>
  <c r="AC88" i="55" s="1"/>
  <c r="E88" i="55"/>
  <c r="AB88" i="55" s="1"/>
  <c r="D88" i="55"/>
  <c r="C88" i="55"/>
  <c r="BB87" i="55"/>
  <c r="BA87" i="55"/>
  <c r="AZ87" i="55"/>
  <c r="AY87" i="55"/>
  <c r="AX87" i="55"/>
  <c r="AW87" i="55"/>
  <c r="AV87" i="55"/>
  <c r="AU87" i="55"/>
  <c r="AT87" i="55"/>
  <c r="AS87" i="55"/>
  <c r="AR87" i="55"/>
  <c r="AQ87" i="55"/>
  <c r="AP87" i="55"/>
  <c r="H87" i="55"/>
  <c r="G87" i="55"/>
  <c r="F87" i="55"/>
  <c r="E87" i="55"/>
  <c r="AB87" i="55" s="1"/>
  <c r="D87" i="55"/>
  <c r="C87" i="55"/>
  <c r="BB83" i="55"/>
  <c r="BA83" i="55"/>
  <c r="AZ83" i="55"/>
  <c r="AY83" i="55"/>
  <c r="AX83" i="55"/>
  <c r="AW83" i="55"/>
  <c r="AV83" i="55"/>
  <c r="AU83" i="55"/>
  <c r="AT83" i="55"/>
  <c r="AS83" i="55"/>
  <c r="AR83" i="55"/>
  <c r="AQ83" i="55"/>
  <c r="AP83" i="55"/>
  <c r="O83" i="55"/>
  <c r="BB82" i="55"/>
  <c r="BA82" i="55"/>
  <c r="AZ82" i="55"/>
  <c r="AY82" i="55"/>
  <c r="AX82" i="55"/>
  <c r="AW82" i="55"/>
  <c r="AV82" i="55"/>
  <c r="AU82" i="55"/>
  <c r="AT82" i="55"/>
  <c r="AS82" i="55"/>
  <c r="AR82" i="55"/>
  <c r="AQ82" i="55"/>
  <c r="AP82" i="55"/>
  <c r="N82" i="55"/>
  <c r="K82" i="55"/>
  <c r="BB81" i="55"/>
  <c r="BA81" i="55"/>
  <c r="AZ81" i="55"/>
  <c r="AY81" i="55"/>
  <c r="AX81" i="55"/>
  <c r="AW81" i="55"/>
  <c r="AV81" i="55"/>
  <c r="AU81" i="55"/>
  <c r="AT81" i="55"/>
  <c r="AS81" i="55"/>
  <c r="AR81" i="55"/>
  <c r="AQ81" i="55"/>
  <c r="AP81" i="55"/>
  <c r="M81" i="55"/>
  <c r="T76" i="55" s="1"/>
  <c r="BB80" i="55"/>
  <c r="BA80" i="55"/>
  <c r="AZ80" i="55"/>
  <c r="AY80" i="55"/>
  <c r="AX80" i="55"/>
  <c r="AW80" i="55"/>
  <c r="AV80" i="55"/>
  <c r="AU80" i="55"/>
  <c r="AT80" i="55"/>
  <c r="AS80" i="55"/>
  <c r="AR80" i="55"/>
  <c r="AQ80" i="55"/>
  <c r="AP80" i="55"/>
  <c r="L80" i="55"/>
  <c r="BB79" i="55"/>
  <c r="BA79" i="55"/>
  <c r="AZ79" i="55"/>
  <c r="AY79" i="55"/>
  <c r="AX79" i="55"/>
  <c r="AW79" i="55"/>
  <c r="AV79" i="55"/>
  <c r="AU79" i="55"/>
  <c r="AT79" i="55"/>
  <c r="AS79" i="55"/>
  <c r="AR79" i="55"/>
  <c r="AQ79" i="55"/>
  <c r="AP79" i="55"/>
  <c r="K79" i="55"/>
  <c r="R72" i="55" s="1"/>
  <c r="BB78" i="55"/>
  <c r="BA78" i="55"/>
  <c r="AZ78" i="55"/>
  <c r="AY78" i="55"/>
  <c r="AX78" i="55"/>
  <c r="AW78" i="55"/>
  <c r="AV78" i="55"/>
  <c r="AU78" i="55"/>
  <c r="AT78" i="55"/>
  <c r="AS78" i="55"/>
  <c r="AR78" i="55"/>
  <c r="AQ78" i="55"/>
  <c r="AP78" i="55"/>
  <c r="J78" i="55"/>
  <c r="J84" i="55" s="1"/>
  <c r="BB77" i="55"/>
  <c r="BA77" i="55"/>
  <c r="AZ77" i="55"/>
  <c r="AY77" i="55"/>
  <c r="AX77" i="55"/>
  <c r="AW77" i="55"/>
  <c r="AV77" i="55"/>
  <c r="AU77" i="55"/>
  <c r="AT77" i="55"/>
  <c r="AS77" i="55"/>
  <c r="AR77" i="55"/>
  <c r="AQ77" i="55"/>
  <c r="AP77" i="55"/>
  <c r="N77" i="55"/>
  <c r="AK77" i="55" s="1"/>
  <c r="K77" i="55"/>
  <c r="I77" i="55"/>
  <c r="I84" i="55" s="1"/>
  <c r="H77" i="55"/>
  <c r="AE77" i="55" s="1"/>
  <c r="G77" i="55"/>
  <c r="AD77" i="55" s="1"/>
  <c r="F77" i="55"/>
  <c r="E77" i="55"/>
  <c r="BB76" i="55"/>
  <c r="BA76" i="55"/>
  <c r="AZ76" i="55"/>
  <c r="AY76" i="55"/>
  <c r="AX76" i="55"/>
  <c r="AW76" i="55"/>
  <c r="AV76" i="55"/>
  <c r="AU76" i="55"/>
  <c r="AT76" i="55"/>
  <c r="AS76" i="55"/>
  <c r="AR76" i="55"/>
  <c r="AQ76" i="55"/>
  <c r="AP76" i="55"/>
  <c r="N76" i="55"/>
  <c r="AK76" i="55" s="1"/>
  <c r="K76" i="55"/>
  <c r="H76" i="55"/>
  <c r="G76" i="55"/>
  <c r="BB75" i="55"/>
  <c r="BA75" i="55"/>
  <c r="AZ75" i="55"/>
  <c r="AY75" i="55"/>
  <c r="AX75" i="55"/>
  <c r="AW75" i="55"/>
  <c r="AV75" i="55"/>
  <c r="AU75" i="55"/>
  <c r="AT75" i="55"/>
  <c r="AS75" i="55"/>
  <c r="AR75" i="55"/>
  <c r="AQ75" i="55"/>
  <c r="AP75" i="55"/>
  <c r="N75" i="55"/>
  <c r="K75" i="55"/>
  <c r="H75" i="55"/>
  <c r="G75" i="55"/>
  <c r="AD75" i="55" s="1"/>
  <c r="BB74" i="55"/>
  <c r="BA74" i="55"/>
  <c r="AZ74" i="55"/>
  <c r="AY74" i="55"/>
  <c r="AX74" i="55"/>
  <c r="AW74" i="55"/>
  <c r="AV74" i="55"/>
  <c r="AU74" i="55"/>
  <c r="AT74" i="55"/>
  <c r="AS74" i="55"/>
  <c r="AR74" i="55"/>
  <c r="AQ74" i="55"/>
  <c r="AP74" i="55"/>
  <c r="N74" i="55"/>
  <c r="K74" i="55"/>
  <c r="H74" i="55"/>
  <c r="AE74" i="55" s="1"/>
  <c r="G74" i="55"/>
  <c r="AD74" i="55" s="1"/>
  <c r="F74" i="55"/>
  <c r="AC74" i="55" s="1"/>
  <c r="E74" i="55"/>
  <c r="BB73" i="55"/>
  <c r="BA73" i="55"/>
  <c r="AZ73" i="55"/>
  <c r="AY73" i="55"/>
  <c r="AX73" i="55"/>
  <c r="AW73" i="55"/>
  <c r="AV73" i="55"/>
  <c r="AU73" i="55"/>
  <c r="AT73" i="55"/>
  <c r="AS73" i="55"/>
  <c r="AR73" i="55"/>
  <c r="AQ73" i="55"/>
  <c r="AP73" i="55"/>
  <c r="N73" i="55"/>
  <c r="K73" i="55"/>
  <c r="H73" i="55"/>
  <c r="G73" i="55"/>
  <c r="AD73" i="55" s="1"/>
  <c r="F73" i="55"/>
  <c r="E73" i="55"/>
  <c r="BB72" i="55"/>
  <c r="BA72" i="55"/>
  <c r="AZ72" i="55"/>
  <c r="AY72" i="55"/>
  <c r="AX72" i="55"/>
  <c r="AW72" i="55"/>
  <c r="AV72" i="55"/>
  <c r="AU72" i="55"/>
  <c r="AT72" i="55"/>
  <c r="AS72" i="55"/>
  <c r="AR72" i="55"/>
  <c r="AQ72" i="55"/>
  <c r="AP72" i="55"/>
  <c r="H72" i="55"/>
  <c r="G72" i="55"/>
  <c r="F72" i="55"/>
  <c r="E72" i="55"/>
  <c r="AB72" i="55" s="1"/>
  <c r="D72" i="55"/>
  <c r="C72" i="55"/>
  <c r="Z72" i="55" s="1"/>
  <c r="BB71" i="55"/>
  <c r="BA71" i="55"/>
  <c r="AZ71" i="55"/>
  <c r="AY71" i="55"/>
  <c r="AX71" i="55"/>
  <c r="AW71" i="55"/>
  <c r="AV71" i="55"/>
  <c r="AU71" i="55"/>
  <c r="AT71" i="55"/>
  <c r="AS71" i="55"/>
  <c r="AR71" i="55"/>
  <c r="AQ71" i="55"/>
  <c r="AP71" i="55"/>
  <c r="H71" i="55"/>
  <c r="G71" i="55"/>
  <c r="F71" i="55"/>
  <c r="E71" i="55"/>
  <c r="D71" i="55"/>
  <c r="AA71" i="55" s="1"/>
  <c r="C71" i="55"/>
  <c r="O67" i="55"/>
  <c r="O68" i="55" s="1"/>
  <c r="N66" i="55"/>
  <c r="K66" i="55"/>
  <c r="M65" i="55"/>
  <c r="T64" i="55" s="1"/>
  <c r="L64" i="55"/>
  <c r="K63" i="55"/>
  <c r="R63" i="55" s="1"/>
  <c r="J62" i="55"/>
  <c r="P62" i="55" s="1"/>
  <c r="N61" i="55"/>
  <c r="AK61" i="55" s="1"/>
  <c r="K61" i="55"/>
  <c r="I61" i="55"/>
  <c r="I68" i="55" s="1"/>
  <c r="H61" i="55"/>
  <c r="AE61" i="55" s="1"/>
  <c r="G61" i="55"/>
  <c r="AD61" i="55" s="1"/>
  <c r="F61" i="55"/>
  <c r="AC61" i="55" s="1"/>
  <c r="E61" i="55"/>
  <c r="N60" i="55"/>
  <c r="AK60" i="55" s="1"/>
  <c r="K60" i="55"/>
  <c r="R60" i="55" s="1"/>
  <c r="H60" i="55"/>
  <c r="G60" i="55"/>
  <c r="AD60" i="55" s="1"/>
  <c r="N59" i="55"/>
  <c r="K59" i="55"/>
  <c r="H59" i="55"/>
  <c r="G59" i="55"/>
  <c r="AD59" i="55" s="1"/>
  <c r="N58" i="55"/>
  <c r="K58" i="55"/>
  <c r="H58" i="55"/>
  <c r="AE58" i="55" s="1"/>
  <c r="G58" i="55"/>
  <c r="AD58" i="55" s="1"/>
  <c r="F58" i="55"/>
  <c r="AC58" i="55" s="1"/>
  <c r="E58" i="55"/>
  <c r="AB58" i="55" s="1"/>
  <c r="N57" i="55"/>
  <c r="AK57" i="55" s="1"/>
  <c r="K57" i="55"/>
  <c r="H57" i="55"/>
  <c r="G57" i="55"/>
  <c r="AD57" i="55" s="1"/>
  <c r="F57" i="55"/>
  <c r="AC57" i="55" s="1"/>
  <c r="E57" i="55"/>
  <c r="H56" i="55"/>
  <c r="AE56" i="55" s="1"/>
  <c r="G56" i="55"/>
  <c r="AD56" i="55" s="1"/>
  <c r="F56" i="55"/>
  <c r="E56" i="55"/>
  <c r="D56" i="55"/>
  <c r="C56" i="55"/>
  <c r="H55" i="55"/>
  <c r="AE55" i="55" s="1"/>
  <c r="G55" i="55"/>
  <c r="AD55" i="55" s="1"/>
  <c r="F55" i="55"/>
  <c r="E55" i="55"/>
  <c r="AB55" i="55" s="1"/>
  <c r="D55" i="55"/>
  <c r="AA55" i="55" s="1"/>
  <c r="C55" i="55"/>
  <c r="BB51" i="55"/>
  <c r="BA51" i="55"/>
  <c r="AZ51" i="55"/>
  <c r="AY51" i="55"/>
  <c r="AX51" i="55"/>
  <c r="AW51" i="55"/>
  <c r="AV51" i="55"/>
  <c r="AU51" i="55"/>
  <c r="AT51" i="55"/>
  <c r="AS51" i="55"/>
  <c r="AR51" i="55"/>
  <c r="AQ51" i="55"/>
  <c r="AP51" i="55"/>
  <c r="O51" i="55"/>
  <c r="BB50" i="55"/>
  <c r="BA50" i="55"/>
  <c r="AZ50" i="55"/>
  <c r="AY50" i="55"/>
  <c r="AX50" i="55"/>
  <c r="AW50" i="55"/>
  <c r="AV50" i="55"/>
  <c r="AU50" i="55"/>
  <c r="AT50" i="55"/>
  <c r="AS50" i="55"/>
  <c r="AR50" i="55"/>
  <c r="AQ50" i="55"/>
  <c r="AP50" i="55"/>
  <c r="N50" i="55"/>
  <c r="AK50" i="55" s="1"/>
  <c r="K50" i="55"/>
  <c r="BB49" i="55"/>
  <c r="BA49" i="55"/>
  <c r="AZ49" i="55"/>
  <c r="AY49" i="55"/>
  <c r="AX49" i="55"/>
  <c r="AW49" i="55"/>
  <c r="AV49" i="55"/>
  <c r="AU49" i="55"/>
  <c r="AT49" i="55"/>
  <c r="AS49" i="55"/>
  <c r="AR49" i="55"/>
  <c r="AQ49" i="55"/>
  <c r="AP49" i="55"/>
  <c r="M49" i="55"/>
  <c r="T45" i="55" s="1"/>
  <c r="BB48" i="55"/>
  <c r="BA48" i="55"/>
  <c r="AZ48" i="55"/>
  <c r="AY48" i="55"/>
  <c r="AX48" i="55"/>
  <c r="AW48" i="55"/>
  <c r="AV48" i="55"/>
  <c r="AU48" i="55"/>
  <c r="AT48" i="55"/>
  <c r="AS48" i="55"/>
  <c r="AR48" i="55"/>
  <c r="AQ48" i="55"/>
  <c r="AP48" i="55"/>
  <c r="L48" i="55"/>
  <c r="S49" i="55" s="1"/>
  <c r="BB47" i="55"/>
  <c r="BA47" i="55"/>
  <c r="AZ47" i="55"/>
  <c r="AY47" i="55"/>
  <c r="AX47" i="55"/>
  <c r="AW47" i="55"/>
  <c r="AV47" i="55"/>
  <c r="AU47" i="55"/>
  <c r="AT47" i="55"/>
  <c r="AS47" i="55"/>
  <c r="AR47" i="55"/>
  <c r="AQ47" i="55"/>
  <c r="AP47" i="55"/>
  <c r="K47" i="55"/>
  <c r="R48" i="55" s="1"/>
  <c r="BB46" i="55"/>
  <c r="BA46" i="55"/>
  <c r="AZ46" i="55"/>
  <c r="AY46" i="55"/>
  <c r="AX46" i="55"/>
  <c r="AW46" i="55"/>
  <c r="AV46" i="55"/>
  <c r="AU46" i="55"/>
  <c r="AT46" i="55"/>
  <c r="AS46" i="55"/>
  <c r="AR46" i="55"/>
  <c r="AQ46" i="55"/>
  <c r="AP46" i="55"/>
  <c r="J46" i="55"/>
  <c r="J52" i="55" s="1"/>
  <c r="BB45" i="55"/>
  <c r="BA45" i="55"/>
  <c r="AZ45" i="55"/>
  <c r="AY45" i="55"/>
  <c r="AX45" i="55"/>
  <c r="AW45" i="55"/>
  <c r="AV45" i="55"/>
  <c r="AU45" i="55"/>
  <c r="AT45" i="55"/>
  <c r="AS45" i="55"/>
  <c r="AR45" i="55"/>
  <c r="AQ45" i="55"/>
  <c r="AP45" i="55"/>
  <c r="N45" i="55"/>
  <c r="K45" i="55"/>
  <c r="I45" i="55"/>
  <c r="I52" i="55" s="1"/>
  <c r="H45" i="55"/>
  <c r="AE45" i="55" s="1"/>
  <c r="G45" i="55"/>
  <c r="F45" i="55"/>
  <c r="AC45" i="55" s="1"/>
  <c r="E45" i="55"/>
  <c r="AB45" i="55" s="1"/>
  <c r="BB44" i="55"/>
  <c r="BA44" i="55"/>
  <c r="AZ44" i="55"/>
  <c r="AY44" i="55"/>
  <c r="AX44" i="55"/>
  <c r="AW44" i="55"/>
  <c r="AV44" i="55"/>
  <c r="AU44" i="55"/>
  <c r="AT44" i="55"/>
  <c r="AS44" i="55"/>
  <c r="AR44" i="55"/>
  <c r="AQ44" i="55"/>
  <c r="AP44" i="55"/>
  <c r="N44" i="55"/>
  <c r="K44" i="55"/>
  <c r="H44" i="55"/>
  <c r="AE44" i="55" s="1"/>
  <c r="G44" i="55"/>
  <c r="BB43" i="55"/>
  <c r="BA43" i="55"/>
  <c r="AZ43" i="55"/>
  <c r="AY43" i="55"/>
  <c r="AX43" i="55"/>
  <c r="AW43" i="55"/>
  <c r="AV43" i="55"/>
  <c r="AU43" i="55"/>
  <c r="AT43" i="55"/>
  <c r="AS43" i="55"/>
  <c r="AR43" i="55"/>
  <c r="AQ43" i="55"/>
  <c r="AP43" i="55"/>
  <c r="N43" i="55"/>
  <c r="AK43" i="55" s="1"/>
  <c r="K43" i="55"/>
  <c r="R43" i="55" s="1"/>
  <c r="H43" i="55"/>
  <c r="G43" i="55"/>
  <c r="BB42" i="55"/>
  <c r="BA42" i="55"/>
  <c r="AZ42" i="55"/>
  <c r="AY42" i="55"/>
  <c r="AX42" i="55"/>
  <c r="AW42" i="55"/>
  <c r="AV42" i="55"/>
  <c r="AU42" i="55"/>
  <c r="AT42" i="55"/>
  <c r="AS42" i="55"/>
  <c r="AR42" i="55"/>
  <c r="AQ42" i="55"/>
  <c r="AP42" i="55"/>
  <c r="N42" i="55"/>
  <c r="K42" i="55"/>
  <c r="H42" i="55"/>
  <c r="G42" i="55"/>
  <c r="AD42" i="55" s="1"/>
  <c r="F42" i="55"/>
  <c r="E42" i="55"/>
  <c r="AB42" i="55" s="1"/>
  <c r="BB41" i="55"/>
  <c r="BA41" i="55"/>
  <c r="AZ41" i="55"/>
  <c r="AY41" i="55"/>
  <c r="AX41" i="55"/>
  <c r="AW41" i="55"/>
  <c r="AV41" i="55"/>
  <c r="AU41" i="55"/>
  <c r="AT41" i="55"/>
  <c r="AS41" i="55"/>
  <c r="AR41" i="55"/>
  <c r="AQ41" i="55"/>
  <c r="AP41" i="55"/>
  <c r="N41" i="55"/>
  <c r="K41" i="55"/>
  <c r="H41" i="55"/>
  <c r="AE41" i="55" s="1"/>
  <c r="G41" i="55"/>
  <c r="AD41" i="55" s="1"/>
  <c r="F41" i="55"/>
  <c r="AC41" i="55" s="1"/>
  <c r="E41" i="55"/>
  <c r="BB40" i="55"/>
  <c r="BA40" i="55"/>
  <c r="AZ40" i="55"/>
  <c r="AY40" i="55"/>
  <c r="AX40" i="55"/>
  <c r="AW40" i="55"/>
  <c r="AV40" i="55"/>
  <c r="AU40" i="55"/>
  <c r="AT40" i="55"/>
  <c r="AS40" i="55"/>
  <c r="AR40" i="55"/>
  <c r="AQ40" i="55"/>
  <c r="AP40" i="55"/>
  <c r="H40" i="55"/>
  <c r="AE40" i="55" s="1"/>
  <c r="G40" i="55"/>
  <c r="AD40" i="55" s="1"/>
  <c r="F40" i="55"/>
  <c r="E40" i="55"/>
  <c r="D40" i="55"/>
  <c r="C40" i="55"/>
  <c r="Z40" i="55" s="1"/>
  <c r="BB39" i="55"/>
  <c r="BA39" i="55"/>
  <c r="AZ39" i="55"/>
  <c r="AY39" i="55"/>
  <c r="AX39" i="55"/>
  <c r="AW39" i="55"/>
  <c r="AV39" i="55"/>
  <c r="AU39" i="55"/>
  <c r="AT39" i="55"/>
  <c r="AS39" i="55"/>
  <c r="AR39" i="55"/>
  <c r="AQ39" i="55"/>
  <c r="AP39" i="55"/>
  <c r="H39" i="55"/>
  <c r="G39" i="55"/>
  <c r="F39" i="55"/>
  <c r="AC39" i="55" s="1"/>
  <c r="E39" i="55"/>
  <c r="D39" i="55"/>
  <c r="D52" i="55" s="1"/>
  <c r="C39" i="55"/>
  <c r="BB35" i="55"/>
  <c r="BA35" i="55"/>
  <c r="AZ35" i="55"/>
  <c r="AY35" i="55"/>
  <c r="AX35" i="55"/>
  <c r="AW35" i="55"/>
  <c r="AV35" i="55"/>
  <c r="AU35" i="55"/>
  <c r="AT35" i="55"/>
  <c r="AS35" i="55"/>
  <c r="AR35" i="55"/>
  <c r="AQ35" i="55"/>
  <c r="AP35" i="55"/>
  <c r="O35" i="55"/>
  <c r="BB34" i="55"/>
  <c r="BA34" i="55"/>
  <c r="AZ34" i="55"/>
  <c r="AY34" i="55"/>
  <c r="AX34" i="55"/>
  <c r="AW34" i="55"/>
  <c r="AV34" i="55"/>
  <c r="AU34" i="55"/>
  <c r="AT34" i="55"/>
  <c r="AS34" i="55"/>
  <c r="AR34" i="55"/>
  <c r="AQ34" i="55"/>
  <c r="AP34" i="55"/>
  <c r="N34" i="55"/>
  <c r="K34" i="55"/>
  <c r="BB33" i="55"/>
  <c r="BA33" i="55"/>
  <c r="AZ33" i="55"/>
  <c r="AY33" i="55"/>
  <c r="AX33" i="55"/>
  <c r="AW33" i="55"/>
  <c r="AV33" i="55"/>
  <c r="AU33" i="55"/>
  <c r="AT33" i="55"/>
  <c r="AS33" i="55"/>
  <c r="AR33" i="55"/>
  <c r="AQ33" i="55"/>
  <c r="AP33" i="55"/>
  <c r="M33" i="55"/>
  <c r="BB32" i="55"/>
  <c r="BA32" i="55"/>
  <c r="AZ32" i="55"/>
  <c r="AY32" i="55"/>
  <c r="AX32" i="55"/>
  <c r="AW32" i="55"/>
  <c r="AV32" i="55"/>
  <c r="AU32" i="55"/>
  <c r="AT32" i="55"/>
  <c r="AS32" i="55"/>
  <c r="AR32" i="55"/>
  <c r="AQ32" i="55"/>
  <c r="AP32" i="55"/>
  <c r="L32" i="55"/>
  <c r="P32" i="55" s="1"/>
  <c r="BB31" i="55"/>
  <c r="BA31" i="55"/>
  <c r="AZ31" i="55"/>
  <c r="AY31" i="55"/>
  <c r="AX31" i="55"/>
  <c r="AW31" i="55"/>
  <c r="AV31" i="55"/>
  <c r="AU31" i="55"/>
  <c r="AT31" i="55"/>
  <c r="AS31" i="55"/>
  <c r="AR31" i="55"/>
  <c r="AQ31" i="55"/>
  <c r="AP31" i="55"/>
  <c r="K31" i="55"/>
  <c r="R32" i="55" s="1"/>
  <c r="BB30" i="55"/>
  <c r="BA30" i="55"/>
  <c r="AZ30" i="55"/>
  <c r="AY30" i="55"/>
  <c r="AX30" i="55"/>
  <c r="AW30" i="55"/>
  <c r="AV30" i="55"/>
  <c r="AU30" i="55"/>
  <c r="AT30" i="55"/>
  <c r="AS30" i="55"/>
  <c r="AR30" i="55"/>
  <c r="AQ30" i="55"/>
  <c r="AP30" i="55"/>
  <c r="J30" i="55"/>
  <c r="P30" i="55" s="1"/>
  <c r="BB29" i="55"/>
  <c r="BA29" i="55"/>
  <c r="AZ29" i="55"/>
  <c r="AY29" i="55"/>
  <c r="AX29" i="55"/>
  <c r="AW29" i="55"/>
  <c r="AV29" i="55"/>
  <c r="AU29" i="55"/>
  <c r="AT29" i="55"/>
  <c r="AS29" i="55"/>
  <c r="AR29" i="55"/>
  <c r="AQ29" i="55"/>
  <c r="AP29" i="55"/>
  <c r="N29" i="55"/>
  <c r="K29" i="55"/>
  <c r="I29" i="55"/>
  <c r="I36" i="55" s="1"/>
  <c r="H29" i="55"/>
  <c r="AE29" i="55" s="1"/>
  <c r="G29" i="55"/>
  <c r="AD29" i="55" s="1"/>
  <c r="F29" i="55"/>
  <c r="E29" i="55"/>
  <c r="AB29" i="55" s="1"/>
  <c r="BB28" i="55"/>
  <c r="BA28" i="55"/>
  <c r="AZ28" i="55"/>
  <c r="AY28" i="55"/>
  <c r="AX28" i="55"/>
  <c r="AW28" i="55"/>
  <c r="AV28" i="55"/>
  <c r="AU28" i="55"/>
  <c r="AT28" i="55"/>
  <c r="AS28" i="55"/>
  <c r="AR28" i="55"/>
  <c r="AQ28" i="55"/>
  <c r="AP28" i="55"/>
  <c r="N28" i="55"/>
  <c r="AK28" i="55" s="1"/>
  <c r="K28" i="55"/>
  <c r="H28" i="55"/>
  <c r="AE28" i="55" s="1"/>
  <c r="G28" i="55"/>
  <c r="BB27" i="55"/>
  <c r="BA27" i="55"/>
  <c r="AZ27" i="55"/>
  <c r="AY27" i="55"/>
  <c r="AX27" i="55"/>
  <c r="AW27" i="55"/>
  <c r="AV27" i="55"/>
  <c r="AU27" i="55"/>
  <c r="AT27" i="55"/>
  <c r="AS27" i="55"/>
  <c r="AR27" i="55"/>
  <c r="AQ27" i="55"/>
  <c r="AP27" i="55"/>
  <c r="N27" i="55"/>
  <c r="K27" i="55"/>
  <c r="H27" i="55"/>
  <c r="AE27" i="55" s="1"/>
  <c r="G27" i="55"/>
  <c r="BB26" i="55"/>
  <c r="BA26" i="55"/>
  <c r="AZ26" i="55"/>
  <c r="AY26" i="55"/>
  <c r="AX26" i="55"/>
  <c r="AW26" i="55"/>
  <c r="AV26" i="55"/>
  <c r="AU26" i="55"/>
  <c r="AT26" i="55"/>
  <c r="AS26" i="55"/>
  <c r="AR26" i="55"/>
  <c r="AQ26" i="55"/>
  <c r="AP26" i="55"/>
  <c r="N26" i="55"/>
  <c r="AK26" i="55" s="1"/>
  <c r="K26" i="55"/>
  <c r="H26" i="55"/>
  <c r="G26" i="55"/>
  <c r="AD26" i="55" s="1"/>
  <c r="F26" i="55"/>
  <c r="AC26" i="55" s="1"/>
  <c r="E26" i="55"/>
  <c r="BB25" i="55"/>
  <c r="BA25" i="55"/>
  <c r="AZ25" i="55"/>
  <c r="AY25" i="55"/>
  <c r="AX25" i="55"/>
  <c r="AW25" i="55"/>
  <c r="AV25" i="55"/>
  <c r="AU25" i="55"/>
  <c r="AT25" i="55"/>
  <c r="AS25" i="55"/>
  <c r="AR25" i="55"/>
  <c r="AQ25" i="55"/>
  <c r="AP25" i="55"/>
  <c r="N25" i="55"/>
  <c r="K25" i="55"/>
  <c r="H25" i="55"/>
  <c r="G25" i="55"/>
  <c r="AD25" i="55" s="1"/>
  <c r="F25" i="55"/>
  <c r="AC25" i="55" s="1"/>
  <c r="E25" i="55"/>
  <c r="AB25" i="55" s="1"/>
  <c r="BB24" i="55"/>
  <c r="BA24" i="55"/>
  <c r="AZ24" i="55"/>
  <c r="AY24" i="55"/>
  <c r="AX24" i="55"/>
  <c r="AW24" i="55"/>
  <c r="AV24" i="55"/>
  <c r="AU24" i="55"/>
  <c r="AT24" i="55"/>
  <c r="AS24" i="55"/>
  <c r="AR24" i="55"/>
  <c r="AQ24" i="55"/>
  <c r="AP24" i="55"/>
  <c r="H24" i="55"/>
  <c r="AE24" i="55" s="1"/>
  <c r="G24" i="55"/>
  <c r="G36" i="55" s="1"/>
  <c r="F24" i="55"/>
  <c r="E24" i="55"/>
  <c r="AB24" i="55" s="1"/>
  <c r="D24" i="55"/>
  <c r="C24" i="55"/>
  <c r="BB23" i="55"/>
  <c r="BA23" i="55"/>
  <c r="AZ23" i="55"/>
  <c r="AY23" i="55"/>
  <c r="AX23" i="55"/>
  <c r="AW23" i="55"/>
  <c r="AV23" i="55"/>
  <c r="AU23" i="55"/>
  <c r="AT23" i="55"/>
  <c r="AS23" i="55"/>
  <c r="AR23" i="55"/>
  <c r="AQ23" i="55"/>
  <c r="AP23" i="55"/>
  <c r="H23" i="55"/>
  <c r="G23" i="55"/>
  <c r="F23" i="55"/>
  <c r="AC23" i="55" s="1"/>
  <c r="E23" i="55"/>
  <c r="AB23" i="55" s="1"/>
  <c r="D23" i="55"/>
  <c r="C23" i="55"/>
  <c r="Z23" i="55" s="1"/>
  <c r="BB19" i="55"/>
  <c r="BA19" i="55"/>
  <c r="AZ19" i="55"/>
  <c r="AY19" i="55"/>
  <c r="AX19" i="55"/>
  <c r="AW19" i="55"/>
  <c r="AV19" i="55"/>
  <c r="AU19" i="55"/>
  <c r="AT19" i="55"/>
  <c r="AS19" i="55"/>
  <c r="AR19" i="55"/>
  <c r="AQ19" i="55"/>
  <c r="AP19" i="55"/>
  <c r="O19" i="55"/>
  <c r="O20" i="55" s="1"/>
  <c r="BB18" i="55"/>
  <c r="BA18" i="55"/>
  <c r="AZ18" i="55"/>
  <c r="AY18" i="55"/>
  <c r="AX18" i="55"/>
  <c r="AW18" i="55"/>
  <c r="AV18" i="55"/>
  <c r="AU18" i="55"/>
  <c r="AT18" i="55"/>
  <c r="AS18" i="55"/>
  <c r="AR18" i="55"/>
  <c r="AQ18" i="55"/>
  <c r="AP18" i="55"/>
  <c r="N18" i="55"/>
  <c r="K18" i="55"/>
  <c r="BB17" i="55"/>
  <c r="BA17" i="55"/>
  <c r="AZ17" i="55"/>
  <c r="AY17" i="55"/>
  <c r="AX17" i="55"/>
  <c r="AW17" i="55"/>
  <c r="AV17" i="55"/>
  <c r="AU17" i="55"/>
  <c r="AT17" i="55"/>
  <c r="AS17" i="55"/>
  <c r="AR17" i="55"/>
  <c r="AQ17" i="55"/>
  <c r="AP17" i="55"/>
  <c r="M17" i="55"/>
  <c r="T9" i="55" s="1"/>
  <c r="BB16" i="55"/>
  <c r="BA16" i="55"/>
  <c r="AZ16" i="55"/>
  <c r="AY16" i="55"/>
  <c r="AX16" i="55"/>
  <c r="AW16" i="55"/>
  <c r="AV16" i="55"/>
  <c r="AU16" i="55"/>
  <c r="AT16" i="55"/>
  <c r="AS16" i="55"/>
  <c r="AR16" i="55"/>
  <c r="AQ16" i="55"/>
  <c r="AP16" i="55"/>
  <c r="L16" i="55"/>
  <c r="S12" i="55" s="1"/>
  <c r="BB15" i="55"/>
  <c r="BA15" i="55"/>
  <c r="AZ15" i="55"/>
  <c r="AY15" i="55"/>
  <c r="AX15" i="55"/>
  <c r="AW15" i="55"/>
  <c r="AV15" i="55"/>
  <c r="AU15" i="55"/>
  <c r="AT15" i="55"/>
  <c r="AS15" i="55"/>
  <c r="AR15" i="55"/>
  <c r="AQ15" i="55"/>
  <c r="AP15" i="55"/>
  <c r="K15" i="55"/>
  <c r="R7" i="55" s="1"/>
  <c r="BB14" i="55"/>
  <c r="BA14" i="55"/>
  <c r="AZ14" i="55"/>
  <c r="AY14" i="55"/>
  <c r="AX14" i="55"/>
  <c r="AW14" i="55"/>
  <c r="AV14" i="55"/>
  <c r="AU14" i="55"/>
  <c r="AT14" i="55"/>
  <c r="AS14" i="55"/>
  <c r="AR14" i="55"/>
  <c r="AQ14" i="55"/>
  <c r="AP14" i="55"/>
  <c r="J14" i="55"/>
  <c r="P14" i="55" s="1"/>
  <c r="BB13" i="55"/>
  <c r="BA13" i="55"/>
  <c r="AZ13" i="55"/>
  <c r="AY13" i="55"/>
  <c r="AX13" i="55"/>
  <c r="AW13" i="55"/>
  <c r="AV13" i="55"/>
  <c r="AU13" i="55"/>
  <c r="AT13" i="55"/>
  <c r="AS13" i="55"/>
  <c r="AR13" i="55"/>
  <c r="AQ13" i="55"/>
  <c r="AP13" i="55"/>
  <c r="N13" i="55"/>
  <c r="AK13" i="55" s="1"/>
  <c r="K13" i="55"/>
  <c r="I13" i="55"/>
  <c r="H13" i="55"/>
  <c r="G13" i="55"/>
  <c r="F13" i="55"/>
  <c r="E13" i="55"/>
  <c r="AB13" i="55" s="1"/>
  <c r="BB12" i="55"/>
  <c r="BA12" i="55"/>
  <c r="AZ12" i="55"/>
  <c r="AY12" i="55"/>
  <c r="AX12" i="55"/>
  <c r="AW12" i="55"/>
  <c r="AV12" i="55"/>
  <c r="AU12" i="55"/>
  <c r="AT12" i="55"/>
  <c r="AS12" i="55"/>
  <c r="AR12" i="55"/>
  <c r="AQ12" i="55"/>
  <c r="AP12" i="55"/>
  <c r="N12" i="55"/>
  <c r="K12" i="55"/>
  <c r="H12" i="55"/>
  <c r="G12" i="55"/>
  <c r="BB11" i="55"/>
  <c r="BA11" i="55"/>
  <c r="AZ11" i="55"/>
  <c r="AY11" i="55"/>
  <c r="AX11" i="55"/>
  <c r="AW11" i="55"/>
  <c r="AV11" i="55"/>
  <c r="AU11" i="55"/>
  <c r="AT11" i="55"/>
  <c r="AS11" i="55"/>
  <c r="AR11" i="55"/>
  <c r="AQ11" i="55"/>
  <c r="AP11" i="55"/>
  <c r="N11" i="55"/>
  <c r="K11" i="55"/>
  <c r="H11" i="55"/>
  <c r="G11" i="55"/>
  <c r="BB10" i="55"/>
  <c r="BA10" i="55"/>
  <c r="AZ10" i="55"/>
  <c r="AY10" i="55"/>
  <c r="AX10" i="55"/>
  <c r="AW10" i="55"/>
  <c r="AV10" i="55"/>
  <c r="AU10" i="55"/>
  <c r="AT10" i="55"/>
  <c r="AS10" i="55"/>
  <c r="AR10" i="55"/>
  <c r="AQ10" i="55"/>
  <c r="AP10" i="55"/>
  <c r="N10" i="55"/>
  <c r="K10" i="55"/>
  <c r="H10" i="55"/>
  <c r="G10" i="55"/>
  <c r="F10" i="55"/>
  <c r="E10" i="55"/>
  <c r="BB9" i="55"/>
  <c r="BA9" i="55"/>
  <c r="AZ9" i="55"/>
  <c r="AY9" i="55"/>
  <c r="AX9" i="55"/>
  <c r="AW9" i="55"/>
  <c r="AV9" i="55"/>
  <c r="AU9" i="55"/>
  <c r="AT9" i="55"/>
  <c r="AS9" i="55"/>
  <c r="AR9" i="55"/>
  <c r="AQ9" i="55"/>
  <c r="AP9" i="55"/>
  <c r="N9" i="55"/>
  <c r="K9" i="55"/>
  <c r="H9" i="55"/>
  <c r="G9" i="55"/>
  <c r="F9" i="55"/>
  <c r="E9" i="55"/>
  <c r="BB8" i="55"/>
  <c r="BA8" i="55"/>
  <c r="AZ8" i="55"/>
  <c r="AY8" i="55"/>
  <c r="AX8" i="55"/>
  <c r="AW8" i="55"/>
  <c r="AV8" i="55"/>
  <c r="AU8" i="55"/>
  <c r="AT8" i="55"/>
  <c r="AS8" i="55"/>
  <c r="AR8" i="55"/>
  <c r="AQ8" i="55"/>
  <c r="AP8" i="55"/>
  <c r="H8" i="55"/>
  <c r="G8" i="55"/>
  <c r="F8" i="55"/>
  <c r="E8" i="55"/>
  <c r="D8" i="55"/>
  <c r="C8" i="55"/>
  <c r="BB7" i="55"/>
  <c r="BA7" i="55"/>
  <c r="AZ7" i="55"/>
  <c r="AY7" i="55"/>
  <c r="AX7" i="55"/>
  <c r="AW7" i="55"/>
  <c r="AV7" i="55"/>
  <c r="AU7" i="55"/>
  <c r="AT7" i="55"/>
  <c r="AS7" i="55"/>
  <c r="AR7" i="55"/>
  <c r="AQ7" i="55"/>
  <c r="AP7" i="55"/>
  <c r="H7" i="55"/>
  <c r="G7" i="55"/>
  <c r="AD7" i="55" s="1"/>
  <c r="F7" i="55"/>
  <c r="E7" i="55"/>
  <c r="D7" i="55"/>
  <c r="AA7" i="55" s="1"/>
  <c r="C7" i="55"/>
  <c r="O130" i="56"/>
  <c r="N130" i="56"/>
  <c r="M130" i="56"/>
  <c r="L130" i="56"/>
  <c r="K130" i="56"/>
  <c r="J130" i="56"/>
  <c r="I130" i="56"/>
  <c r="H130" i="56"/>
  <c r="G130" i="56"/>
  <c r="F130" i="56"/>
  <c r="E130" i="56"/>
  <c r="D130" i="56"/>
  <c r="C130" i="56"/>
  <c r="B130" i="56"/>
  <c r="O186" i="55"/>
  <c r="N186" i="55"/>
  <c r="M186" i="55"/>
  <c r="L186" i="55"/>
  <c r="K186" i="55"/>
  <c r="J186" i="55"/>
  <c r="I186" i="55"/>
  <c r="H186" i="55"/>
  <c r="G186" i="55"/>
  <c r="F186" i="55"/>
  <c r="E186" i="55"/>
  <c r="D186" i="55"/>
  <c r="C186" i="55"/>
  <c r="FK185" i="55"/>
  <c r="FJ185" i="55"/>
  <c r="FI185" i="55"/>
  <c r="FH185" i="55"/>
  <c r="FG185" i="55"/>
  <c r="FE185" i="55"/>
  <c r="FD185" i="55"/>
  <c r="FC185" i="55"/>
  <c r="FB185" i="55"/>
  <c r="FA185" i="55"/>
  <c r="EZ185" i="55"/>
  <c r="EY185" i="55"/>
  <c r="EX185" i="55"/>
  <c r="AK185" i="55"/>
  <c r="AJ185" i="55"/>
  <c r="AI185" i="55"/>
  <c r="AH185" i="55"/>
  <c r="AG185" i="55"/>
  <c r="AF185" i="55"/>
  <c r="AE185" i="55"/>
  <c r="AD185" i="55"/>
  <c r="AC185" i="55"/>
  <c r="AB185" i="55"/>
  <c r="AA185" i="55"/>
  <c r="Z185" i="55"/>
  <c r="P185" i="55"/>
  <c r="FK184" i="55"/>
  <c r="FJ184" i="55"/>
  <c r="FI184" i="55"/>
  <c r="FH184" i="55"/>
  <c r="FG184" i="55"/>
  <c r="FE184" i="55"/>
  <c r="EY184" i="55"/>
  <c r="EX184" i="55"/>
  <c r="AL184" i="55"/>
  <c r="AG184" i="55"/>
  <c r="AF184" i="55"/>
  <c r="AE184" i="55"/>
  <c r="AD184" i="55"/>
  <c r="AC184" i="55"/>
  <c r="AB184" i="55"/>
  <c r="AA184" i="55"/>
  <c r="Z184" i="55"/>
  <c r="P184" i="55"/>
  <c r="FK183" i="55"/>
  <c r="FI183" i="55"/>
  <c r="FH183" i="55"/>
  <c r="FG183" i="55"/>
  <c r="FE183" i="55"/>
  <c r="FD183" i="55"/>
  <c r="FC183" i="55"/>
  <c r="FB183" i="55"/>
  <c r="FA183" i="55"/>
  <c r="EZ183" i="55"/>
  <c r="EY183" i="55"/>
  <c r="EX183" i="55"/>
  <c r="AL183" i="55"/>
  <c r="AK183" i="55"/>
  <c r="AI183" i="55"/>
  <c r="AH183" i="55"/>
  <c r="AG183" i="55"/>
  <c r="AF183" i="55"/>
  <c r="AE183" i="55"/>
  <c r="AD183" i="55"/>
  <c r="AC183" i="55"/>
  <c r="AB183" i="55"/>
  <c r="AA183" i="55"/>
  <c r="Z183" i="55"/>
  <c r="W183" i="55"/>
  <c r="P183" i="55"/>
  <c r="FK182" i="55"/>
  <c r="FI182" i="55"/>
  <c r="FH182" i="55"/>
  <c r="FG182" i="55"/>
  <c r="FE182" i="55"/>
  <c r="FD182" i="55"/>
  <c r="FC182" i="55"/>
  <c r="FB182" i="55"/>
  <c r="FA182" i="55"/>
  <c r="EZ182" i="55"/>
  <c r="EY182" i="55"/>
  <c r="EX182" i="55"/>
  <c r="AL182" i="55"/>
  <c r="AK182" i="55"/>
  <c r="AJ182" i="55"/>
  <c r="AH182" i="55"/>
  <c r="AG182" i="55"/>
  <c r="AF182" i="55"/>
  <c r="AE182" i="55"/>
  <c r="AD182" i="55"/>
  <c r="AC182" i="55"/>
  <c r="AB182" i="55"/>
  <c r="AA182" i="55"/>
  <c r="Z182" i="55"/>
  <c r="V182" i="55"/>
  <c r="P182" i="55"/>
  <c r="FK181" i="55"/>
  <c r="FI181" i="55"/>
  <c r="FH181" i="55"/>
  <c r="FG181" i="55"/>
  <c r="FE181" i="55"/>
  <c r="EY181" i="55"/>
  <c r="EX181" i="55"/>
  <c r="AL181" i="55"/>
  <c r="AK181" i="55"/>
  <c r="AJ181" i="55"/>
  <c r="AI181" i="55"/>
  <c r="AG181" i="55"/>
  <c r="AF181" i="55"/>
  <c r="AE181" i="55"/>
  <c r="AD181" i="55"/>
  <c r="AC181" i="55"/>
  <c r="AB181" i="55"/>
  <c r="AA181" i="55"/>
  <c r="Z181" i="55"/>
  <c r="P181" i="55"/>
  <c r="U181" i="55" s="1"/>
  <c r="U185" i="55" s="1"/>
  <c r="FK180" i="55"/>
  <c r="FJ180" i="55"/>
  <c r="FI180" i="55"/>
  <c r="FH180" i="55"/>
  <c r="FG180" i="55"/>
  <c r="FE180" i="55"/>
  <c r="FD180" i="55"/>
  <c r="FC180" i="55"/>
  <c r="FB180" i="55"/>
  <c r="FA180" i="55"/>
  <c r="EZ180" i="55"/>
  <c r="EY180" i="55"/>
  <c r="EX180" i="55"/>
  <c r="AL180" i="55"/>
  <c r="AK180" i="55"/>
  <c r="AJ180" i="55"/>
  <c r="AI180" i="55"/>
  <c r="AH180" i="55"/>
  <c r="AF180" i="55"/>
  <c r="AE180" i="55"/>
  <c r="AD180" i="55"/>
  <c r="AC180" i="55"/>
  <c r="AB180" i="55"/>
  <c r="AA180" i="55"/>
  <c r="Z180" i="55"/>
  <c r="P180" i="55"/>
  <c r="FK179" i="55"/>
  <c r="FJ179" i="55"/>
  <c r="FI179" i="55"/>
  <c r="FH179" i="55"/>
  <c r="FG179" i="55"/>
  <c r="FE179" i="55"/>
  <c r="FD179" i="55"/>
  <c r="FC179" i="55"/>
  <c r="FB179" i="55"/>
  <c r="FA179" i="55"/>
  <c r="EZ179" i="55"/>
  <c r="EY179" i="55"/>
  <c r="EX179" i="55"/>
  <c r="AL179" i="55"/>
  <c r="AJ179" i="55"/>
  <c r="AI179" i="55"/>
  <c r="AG179" i="55"/>
  <c r="AA179" i="55"/>
  <c r="Z179" i="55"/>
  <c r="P179" i="55"/>
  <c r="FK178" i="55"/>
  <c r="FJ178" i="55"/>
  <c r="FI178" i="55"/>
  <c r="FH178" i="55"/>
  <c r="FG178" i="55"/>
  <c r="FE178" i="55"/>
  <c r="EY178" i="55"/>
  <c r="EX178" i="55"/>
  <c r="AL178" i="55"/>
  <c r="AJ178" i="55"/>
  <c r="AI178" i="55"/>
  <c r="AG178" i="55"/>
  <c r="AF178" i="55"/>
  <c r="AC178" i="55"/>
  <c r="AB178" i="55"/>
  <c r="AA178" i="55"/>
  <c r="Z178" i="55"/>
  <c r="P178" i="55"/>
  <c r="FK177" i="55"/>
  <c r="FJ177" i="55"/>
  <c r="FI177" i="55"/>
  <c r="FH177" i="55"/>
  <c r="FG177" i="55"/>
  <c r="FE177" i="55"/>
  <c r="EY177" i="55"/>
  <c r="EX177" i="55"/>
  <c r="AL177" i="55"/>
  <c r="AJ177" i="55"/>
  <c r="AI177" i="55"/>
  <c r="AG177" i="55"/>
  <c r="AF177" i="55"/>
  <c r="AC177" i="55"/>
  <c r="AB177" i="55"/>
  <c r="AA177" i="55"/>
  <c r="Z177" i="55"/>
  <c r="P177" i="55"/>
  <c r="FK176" i="55"/>
  <c r="FJ176" i="55"/>
  <c r="FI176" i="55"/>
  <c r="FH176" i="55"/>
  <c r="FG176" i="55"/>
  <c r="FE176" i="55"/>
  <c r="FC176" i="55"/>
  <c r="FB176" i="55"/>
  <c r="EY176" i="55"/>
  <c r="EX176" i="55"/>
  <c r="CY176" i="55"/>
  <c r="CX176" i="55"/>
  <c r="CW176" i="55"/>
  <c r="CV176" i="55"/>
  <c r="CU176" i="55"/>
  <c r="CT176" i="55"/>
  <c r="CO176" i="55"/>
  <c r="CN176" i="55"/>
  <c r="CM176" i="55"/>
  <c r="CL176" i="55"/>
  <c r="AL176" i="55"/>
  <c r="AJ176" i="55"/>
  <c r="AI176" i="55"/>
  <c r="AG176" i="55"/>
  <c r="AF176" i="55"/>
  <c r="AA176" i="55"/>
  <c r="Z176" i="55"/>
  <c r="P176" i="55"/>
  <c r="FK175" i="55"/>
  <c r="FJ175" i="55"/>
  <c r="FI175" i="55"/>
  <c r="FH175" i="55"/>
  <c r="FG175" i="55"/>
  <c r="FE175" i="55"/>
  <c r="FC175" i="55"/>
  <c r="FB175" i="55"/>
  <c r="EY175" i="55"/>
  <c r="EX175" i="55"/>
  <c r="CO175" i="55"/>
  <c r="CM175" i="55"/>
  <c r="AL175" i="55"/>
  <c r="AJ175" i="55"/>
  <c r="AI175" i="55"/>
  <c r="AG175" i="55"/>
  <c r="AF175" i="55"/>
  <c r="AA175" i="55"/>
  <c r="Z175" i="55"/>
  <c r="P175" i="55"/>
  <c r="FK174" i="55"/>
  <c r="FJ174" i="55"/>
  <c r="FI174" i="55"/>
  <c r="FH174" i="55"/>
  <c r="FG174" i="55"/>
  <c r="FE174" i="55"/>
  <c r="FD174" i="55"/>
  <c r="FC174" i="55"/>
  <c r="FB174" i="55"/>
  <c r="FA174" i="55"/>
  <c r="EZ174" i="55"/>
  <c r="EY174" i="55"/>
  <c r="EX174" i="55"/>
  <c r="CY174" i="55"/>
  <c r="CX174" i="55"/>
  <c r="CW174" i="55"/>
  <c r="CV174" i="55"/>
  <c r="CU174" i="55"/>
  <c r="CT174" i="55"/>
  <c r="CO174" i="55"/>
  <c r="CN174" i="55"/>
  <c r="CM174" i="55"/>
  <c r="CL174" i="55"/>
  <c r="AL174" i="55"/>
  <c r="AK174" i="55"/>
  <c r="AJ174" i="55"/>
  <c r="AI174" i="55"/>
  <c r="AH174" i="55"/>
  <c r="AG174" i="55"/>
  <c r="AF174" i="55"/>
  <c r="P174" i="55"/>
  <c r="FK173" i="55"/>
  <c r="FJ173" i="55"/>
  <c r="FI173" i="55"/>
  <c r="FH173" i="55"/>
  <c r="FG173" i="55"/>
  <c r="FE173" i="55"/>
  <c r="FD173" i="55"/>
  <c r="FC173" i="55"/>
  <c r="FB173" i="55"/>
  <c r="FA173" i="55"/>
  <c r="EZ173" i="55"/>
  <c r="EY173" i="55"/>
  <c r="EX173" i="55"/>
  <c r="CO173" i="55"/>
  <c r="CM173" i="55"/>
  <c r="AL173" i="55"/>
  <c r="AK173" i="55"/>
  <c r="AJ173" i="55"/>
  <c r="AI173" i="55"/>
  <c r="AH173" i="55"/>
  <c r="AG173" i="55"/>
  <c r="AF173" i="55"/>
  <c r="P173" i="55"/>
  <c r="AK163" i="55"/>
  <c r="AJ163" i="55"/>
  <c r="AI163" i="55"/>
  <c r="AH163" i="55"/>
  <c r="AG163" i="55"/>
  <c r="AF163" i="55"/>
  <c r="AE163" i="55"/>
  <c r="AD163" i="55"/>
  <c r="AC163" i="55"/>
  <c r="AB163" i="55"/>
  <c r="AA163" i="55"/>
  <c r="Z163" i="55"/>
  <c r="N163" i="55"/>
  <c r="M163" i="55"/>
  <c r="L163" i="55"/>
  <c r="K163" i="55"/>
  <c r="J163" i="55"/>
  <c r="I163" i="55"/>
  <c r="H163" i="55"/>
  <c r="G163" i="55"/>
  <c r="F163" i="55"/>
  <c r="E163" i="55"/>
  <c r="D163" i="55"/>
  <c r="C163" i="55"/>
  <c r="AL162" i="55"/>
  <c r="AG162" i="55"/>
  <c r="AF162" i="55"/>
  <c r="AE162" i="55"/>
  <c r="AD162" i="55"/>
  <c r="AC162" i="55"/>
  <c r="AB162" i="55"/>
  <c r="AA162" i="55"/>
  <c r="Z162" i="55"/>
  <c r="O162" i="55"/>
  <c r="M162" i="55"/>
  <c r="L162" i="55"/>
  <c r="J162" i="55"/>
  <c r="I162" i="55"/>
  <c r="H162" i="55"/>
  <c r="G162" i="55"/>
  <c r="F162" i="55"/>
  <c r="E162" i="55"/>
  <c r="D162" i="55"/>
  <c r="C162" i="55"/>
  <c r="AL161" i="55"/>
  <c r="AK161" i="55"/>
  <c r="AI161" i="55"/>
  <c r="AH161" i="55"/>
  <c r="AG161" i="55"/>
  <c r="AF161" i="55"/>
  <c r="AE161" i="55"/>
  <c r="AD161" i="55"/>
  <c r="AC161" i="55"/>
  <c r="AB161" i="55"/>
  <c r="AA161" i="55"/>
  <c r="Z161" i="55"/>
  <c r="O161" i="55"/>
  <c r="N161" i="55"/>
  <c r="L161" i="55"/>
  <c r="K161" i="55"/>
  <c r="J161" i="55"/>
  <c r="I161" i="55"/>
  <c r="H161" i="55"/>
  <c r="G161" i="55"/>
  <c r="F161" i="55"/>
  <c r="E161" i="55"/>
  <c r="D161" i="55"/>
  <c r="C161" i="55"/>
  <c r="AL160" i="55"/>
  <c r="AK160" i="55"/>
  <c r="AJ160" i="55"/>
  <c r="AH160" i="55"/>
  <c r="AG160" i="55"/>
  <c r="AF160" i="55"/>
  <c r="AE160" i="55"/>
  <c r="AD160" i="55"/>
  <c r="AC160" i="55"/>
  <c r="AB160" i="55"/>
  <c r="AA160" i="55"/>
  <c r="Z160" i="55"/>
  <c r="O160" i="55"/>
  <c r="N160" i="55"/>
  <c r="M160" i="55"/>
  <c r="K160" i="55"/>
  <c r="J160" i="55"/>
  <c r="I160" i="55"/>
  <c r="H160" i="55"/>
  <c r="G160" i="55"/>
  <c r="F160" i="55"/>
  <c r="E160" i="55"/>
  <c r="D160" i="55"/>
  <c r="C160" i="55"/>
  <c r="AL159" i="55"/>
  <c r="AK159" i="55"/>
  <c r="AG159" i="55"/>
  <c r="AF159" i="55"/>
  <c r="AE159" i="55"/>
  <c r="AD159" i="55"/>
  <c r="AC159" i="55"/>
  <c r="AB159" i="55"/>
  <c r="AA159" i="55"/>
  <c r="Z159" i="55"/>
  <c r="O159" i="55"/>
  <c r="N159" i="55"/>
  <c r="J159" i="55"/>
  <c r="I159" i="55"/>
  <c r="H159" i="55"/>
  <c r="G159" i="55"/>
  <c r="F159" i="55"/>
  <c r="E159" i="55"/>
  <c r="D159" i="55"/>
  <c r="C159" i="55"/>
  <c r="AL158" i="55"/>
  <c r="AK158" i="55"/>
  <c r="AH158" i="55"/>
  <c r="AF158" i="55"/>
  <c r="AE158" i="55"/>
  <c r="AD158" i="55"/>
  <c r="AC158" i="55"/>
  <c r="AB158" i="55"/>
  <c r="AA158" i="55"/>
  <c r="Z158" i="55"/>
  <c r="O158" i="55"/>
  <c r="N158" i="55"/>
  <c r="K158" i="55"/>
  <c r="I158" i="55"/>
  <c r="H158" i="55"/>
  <c r="G158" i="55"/>
  <c r="F158" i="55"/>
  <c r="E158" i="55"/>
  <c r="D158" i="55"/>
  <c r="C158" i="55"/>
  <c r="AL157" i="55"/>
  <c r="AG157" i="55"/>
  <c r="AA157" i="55"/>
  <c r="Z157" i="55"/>
  <c r="O157" i="55"/>
  <c r="J157" i="55"/>
  <c r="D157" i="55"/>
  <c r="C157" i="55"/>
  <c r="AL156" i="55"/>
  <c r="AG156" i="55"/>
  <c r="AF156" i="55"/>
  <c r="AC156" i="55"/>
  <c r="AB156" i="55"/>
  <c r="AA156" i="55"/>
  <c r="Z156" i="55"/>
  <c r="O156" i="55"/>
  <c r="J156" i="55"/>
  <c r="I156" i="55"/>
  <c r="F156" i="55"/>
  <c r="E156" i="55"/>
  <c r="D156" i="55"/>
  <c r="C156" i="55"/>
  <c r="AL155" i="55"/>
  <c r="AG155" i="55"/>
  <c r="AF155" i="55"/>
  <c r="AC155" i="55"/>
  <c r="AB155" i="55"/>
  <c r="AA155" i="55"/>
  <c r="Z155" i="55"/>
  <c r="O155" i="55"/>
  <c r="J155" i="55"/>
  <c r="I155" i="55"/>
  <c r="F155" i="55"/>
  <c r="E155" i="55"/>
  <c r="D155" i="55"/>
  <c r="C155" i="55"/>
  <c r="CY154" i="55"/>
  <c r="CX154" i="55"/>
  <c r="CW154" i="55"/>
  <c r="CV154" i="55"/>
  <c r="CU154" i="55"/>
  <c r="CT154" i="55"/>
  <c r="CO154" i="55"/>
  <c r="CN154" i="55"/>
  <c r="CM154" i="55"/>
  <c r="CL154" i="55"/>
  <c r="AL154" i="55"/>
  <c r="AG154" i="55"/>
  <c r="AF154" i="55"/>
  <c r="AA154" i="55"/>
  <c r="Z154" i="55"/>
  <c r="O154" i="55"/>
  <c r="J154" i="55"/>
  <c r="I154" i="55"/>
  <c r="D154" i="55"/>
  <c r="C154" i="55"/>
  <c r="CO153" i="55"/>
  <c r="CM153" i="55"/>
  <c r="AL153" i="55"/>
  <c r="AG153" i="55"/>
  <c r="AF153" i="55"/>
  <c r="AA153" i="55"/>
  <c r="Z153" i="55"/>
  <c r="O153" i="55"/>
  <c r="J153" i="55"/>
  <c r="I153" i="55"/>
  <c r="D153" i="55"/>
  <c r="C153" i="55"/>
  <c r="CY152" i="55"/>
  <c r="CX152" i="55"/>
  <c r="CW152" i="55"/>
  <c r="CV152" i="55"/>
  <c r="CU152" i="55"/>
  <c r="CT152" i="55"/>
  <c r="CO152" i="55"/>
  <c r="CN152" i="55"/>
  <c r="CM152" i="55"/>
  <c r="CL152" i="55"/>
  <c r="AL152" i="55"/>
  <c r="AK152" i="55"/>
  <c r="AH152" i="55"/>
  <c r="AG152" i="55"/>
  <c r="AF152" i="55"/>
  <c r="O152" i="55"/>
  <c r="N152" i="55"/>
  <c r="K152" i="55"/>
  <c r="J152" i="55"/>
  <c r="I152" i="55"/>
  <c r="CO151" i="55"/>
  <c r="CM151" i="55"/>
  <c r="AL151" i="55"/>
  <c r="AK151" i="55"/>
  <c r="AH151" i="55"/>
  <c r="AG151" i="55"/>
  <c r="AF151" i="55"/>
  <c r="O151" i="55"/>
  <c r="N151" i="55"/>
  <c r="K151" i="55"/>
  <c r="J151" i="55"/>
  <c r="I151" i="55"/>
  <c r="D148" i="55"/>
  <c r="C148" i="55"/>
  <c r="FK147" i="55"/>
  <c r="FJ147" i="55"/>
  <c r="FI147" i="55"/>
  <c r="FH147" i="55"/>
  <c r="FG147" i="55"/>
  <c r="FE147" i="55"/>
  <c r="FD147" i="55"/>
  <c r="FC147" i="55"/>
  <c r="FB147" i="55"/>
  <c r="FA147" i="55"/>
  <c r="EZ147" i="55"/>
  <c r="EY147" i="55"/>
  <c r="EX147" i="55"/>
  <c r="FK146" i="55"/>
  <c r="FJ146" i="55"/>
  <c r="FI146" i="55"/>
  <c r="FH146" i="55"/>
  <c r="FG146" i="55"/>
  <c r="FE146" i="55"/>
  <c r="EY146" i="55"/>
  <c r="EX146" i="55"/>
  <c r="AK146" i="55"/>
  <c r="FK145" i="55"/>
  <c r="FI145" i="55"/>
  <c r="FH145" i="55"/>
  <c r="FG145" i="55"/>
  <c r="FE145" i="55"/>
  <c r="FD145" i="55"/>
  <c r="FC145" i="55"/>
  <c r="FB145" i="55"/>
  <c r="FA145" i="55"/>
  <c r="EZ145" i="55"/>
  <c r="EY145" i="55"/>
  <c r="EX145" i="55"/>
  <c r="FK144" i="55"/>
  <c r="FI144" i="55"/>
  <c r="FH144" i="55"/>
  <c r="FG144" i="55"/>
  <c r="FE144" i="55"/>
  <c r="FD144" i="55"/>
  <c r="FC144" i="55"/>
  <c r="FB144" i="55"/>
  <c r="FA144" i="55"/>
  <c r="EZ144" i="55"/>
  <c r="EY144" i="55"/>
  <c r="EX144" i="55"/>
  <c r="T144" i="55"/>
  <c r="FK143" i="55"/>
  <c r="FI143" i="55"/>
  <c r="FH143" i="55"/>
  <c r="FG143" i="55"/>
  <c r="FE143" i="55"/>
  <c r="EY143" i="55"/>
  <c r="EX143" i="55"/>
  <c r="T143" i="55"/>
  <c r="FK142" i="55"/>
  <c r="FJ142" i="55"/>
  <c r="FI142" i="55"/>
  <c r="FH142" i="55"/>
  <c r="FG142" i="55"/>
  <c r="FE142" i="55"/>
  <c r="FD142" i="55"/>
  <c r="FC142" i="55"/>
  <c r="FB142" i="55"/>
  <c r="FA142" i="55"/>
  <c r="EZ142" i="55"/>
  <c r="EY142" i="55"/>
  <c r="EX142" i="55"/>
  <c r="T142" i="55"/>
  <c r="FK141" i="55"/>
  <c r="FJ141" i="55"/>
  <c r="FI141" i="55"/>
  <c r="FH141" i="55"/>
  <c r="FG141" i="55"/>
  <c r="FE141" i="55"/>
  <c r="FD141" i="55"/>
  <c r="FC141" i="55"/>
  <c r="FB141" i="55"/>
  <c r="FA141" i="55"/>
  <c r="EZ141" i="55"/>
  <c r="EY141" i="55"/>
  <c r="EX141" i="55"/>
  <c r="FK140" i="55"/>
  <c r="FJ140" i="55"/>
  <c r="FI140" i="55"/>
  <c r="FH140" i="55"/>
  <c r="FG140" i="55"/>
  <c r="FE140" i="55"/>
  <c r="EY140" i="55"/>
  <c r="EX140" i="55"/>
  <c r="T140" i="55"/>
  <c r="FK139" i="55"/>
  <c r="FJ139" i="55"/>
  <c r="FI139" i="55"/>
  <c r="FH139" i="55"/>
  <c r="FG139" i="55"/>
  <c r="FE139" i="55"/>
  <c r="EY139" i="55"/>
  <c r="EX139" i="55"/>
  <c r="AD139" i="55"/>
  <c r="FK138" i="55"/>
  <c r="FJ138" i="55"/>
  <c r="FI138" i="55"/>
  <c r="FH138" i="55"/>
  <c r="FG138" i="55"/>
  <c r="FE138" i="55"/>
  <c r="FC138" i="55"/>
  <c r="FB138" i="55"/>
  <c r="EY138" i="55"/>
  <c r="EX138" i="55"/>
  <c r="CY138" i="55"/>
  <c r="CX138" i="55"/>
  <c r="CW138" i="55"/>
  <c r="CV138" i="55"/>
  <c r="CU138" i="55"/>
  <c r="CT138" i="55"/>
  <c r="CO138" i="55"/>
  <c r="CN138" i="55"/>
  <c r="CM138" i="55"/>
  <c r="CL138" i="55"/>
  <c r="AD138" i="55"/>
  <c r="S138" i="55"/>
  <c r="AC138" i="55"/>
  <c r="FK137" i="55"/>
  <c r="FJ137" i="55"/>
  <c r="FI137" i="55"/>
  <c r="FH137" i="55"/>
  <c r="FG137" i="55"/>
  <c r="FE137" i="55"/>
  <c r="FC137" i="55"/>
  <c r="FB137" i="55"/>
  <c r="EY137" i="55"/>
  <c r="EX137" i="55"/>
  <c r="CO137" i="55"/>
  <c r="CM137" i="55"/>
  <c r="T137" i="55"/>
  <c r="FK136" i="55"/>
  <c r="FJ136" i="55"/>
  <c r="FI136" i="55"/>
  <c r="FH136" i="55"/>
  <c r="FG136" i="55"/>
  <c r="FE136" i="55"/>
  <c r="FD136" i="55"/>
  <c r="FC136" i="55"/>
  <c r="FB136" i="55"/>
  <c r="FA136" i="55"/>
  <c r="EZ136" i="55"/>
  <c r="EY136" i="55"/>
  <c r="EX136" i="55"/>
  <c r="CY136" i="55"/>
  <c r="CX136" i="55"/>
  <c r="CW136" i="55"/>
  <c r="CV136" i="55"/>
  <c r="CU136" i="55"/>
  <c r="CT136" i="55"/>
  <c r="CO136" i="55"/>
  <c r="CN136" i="55"/>
  <c r="CM136" i="55"/>
  <c r="CL136" i="55"/>
  <c r="AA136" i="55"/>
  <c r="Z136" i="55"/>
  <c r="T136" i="55"/>
  <c r="FK135" i="55"/>
  <c r="FJ135" i="55"/>
  <c r="FI135" i="55"/>
  <c r="FH135" i="55"/>
  <c r="FG135" i="55"/>
  <c r="FE135" i="55"/>
  <c r="FD135" i="55"/>
  <c r="FC135" i="55"/>
  <c r="FB135" i="55"/>
  <c r="FA135" i="55"/>
  <c r="EZ135" i="55"/>
  <c r="EY135" i="55"/>
  <c r="EX135" i="55"/>
  <c r="CO135" i="55"/>
  <c r="CM135" i="55"/>
  <c r="AA135" i="55"/>
  <c r="Z135" i="55"/>
  <c r="Z148" i="55" s="1"/>
  <c r="O132" i="55"/>
  <c r="D132" i="55"/>
  <c r="C132" i="55"/>
  <c r="FK131" i="55"/>
  <c r="FJ131" i="55"/>
  <c r="FI131" i="55"/>
  <c r="FH131" i="55"/>
  <c r="FG131" i="55"/>
  <c r="FE131" i="55"/>
  <c r="FD131" i="55"/>
  <c r="FC131" i="55"/>
  <c r="FB131" i="55"/>
  <c r="FA131" i="55"/>
  <c r="EZ131" i="55"/>
  <c r="EY131" i="55"/>
  <c r="EX131" i="55"/>
  <c r="AL131" i="55"/>
  <c r="AL132" i="55" s="1"/>
  <c r="BR127" i="55" s="1"/>
  <c r="CX127" i="55" s="1"/>
  <c r="FK130" i="55"/>
  <c r="FJ130" i="55"/>
  <c r="FI130" i="55"/>
  <c r="FH130" i="55"/>
  <c r="FG130" i="55"/>
  <c r="FE130" i="55"/>
  <c r="EY130" i="55"/>
  <c r="EX130" i="55"/>
  <c r="FK129" i="55"/>
  <c r="FI129" i="55"/>
  <c r="FH129" i="55"/>
  <c r="FG129" i="55"/>
  <c r="FE129" i="55"/>
  <c r="FD129" i="55"/>
  <c r="FC129" i="55"/>
  <c r="FB129" i="55"/>
  <c r="FA129" i="55"/>
  <c r="EZ129" i="55"/>
  <c r="EY129" i="55"/>
  <c r="EX129" i="55"/>
  <c r="S129" i="55"/>
  <c r="FK128" i="55"/>
  <c r="FI128" i="55"/>
  <c r="FH128" i="55"/>
  <c r="FG128" i="55"/>
  <c r="FE128" i="55"/>
  <c r="FD128" i="55"/>
  <c r="FC128" i="55"/>
  <c r="FB128" i="55"/>
  <c r="FA128" i="55"/>
  <c r="EZ128" i="55"/>
  <c r="EY128" i="55"/>
  <c r="EX128" i="55"/>
  <c r="P128" i="55"/>
  <c r="FK127" i="55"/>
  <c r="FI127" i="55"/>
  <c r="FH127" i="55"/>
  <c r="FG127" i="55"/>
  <c r="FE127" i="55"/>
  <c r="EY127" i="55"/>
  <c r="EX127" i="55"/>
  <c r="S127" i="55"/>
  <c r="FK126" i="55"/>
  <c r="FJ126" i="55"/>
  <c r="FI126" i="55"/>
  <c r="FH126" i="55"/>
  <c r="FG126" i="55"/>
  <c r="FE126" i="55"/>
  <c r="FD126" i="55"/>
  <c r="FC126" i="55"/>
  <c r="FB126" i="55"/>
  <c r="FA126" i="55"/>
  <c r="EZ126" i="55"/>
  <c r="EY126" i="55"/>
  <c r="EX126" i="55"/>
  <c r="S126" i="55"/>
  <c r="R126" i="55"/>
  <c r="FK125" i="55"/>
  <c r="FJ125" i="55"/>
  <c r="FI125" i="55"/>
  <c r="FH125" i="55"/>
  <c r="FG125" i="55"/>
  <c r="FE125" i="55"/>
  <c r="FD125" i="55"/>
  <c r="FC125" i="55"/>
  <c r="FB125" i="55"/>
  <c r="FA125" i="55"/>
  <c r="EZ125" i="55"/>
  <c r="EY125" i="55"/>
  <c r="EX125" i="55"/>
  <c r="S125" i="55"/>
  <c r="AC125" i="55"/>
  <c r="FK124" i="55"/>
  <c r="FJ124" i="55"/>
  <c r="FI124" i="55"/>
  <c r="FH124" i="55"/>
  <c r="FG124" i="55"/>
  <c r="FE124" i="55"/>
  <c r="EY124" i="55"/>
  <c r="EX124" i="55"/>
  <c r="S124" i="55"/>
  <c r="AE124" i="55"/>
  <c r="FK123" i="55"/>
  <c r="FJ123" i="55"/>
  <c r="FI123" i="55"/>
  <c r="FH123" i="55"/>
  <c r="FG123" i="55"/>
  <c r="FE123" i="55"/>
  <c r="EY123" i="55"/>
  <c r="EX123" i="55"/>
  <c r="S123" i="55"/>
  <c r="FK122" i="55"/>
  <c r="FJ122" i="55"/>
  <c r="FI122" i="55"/>
  <c r="FH122" i="55"/>
  <c r="FG122" i="55"/>
  <c r="FE122" i="55"/>
  <c r="FC122" i="55"/>
  <c r="FB122" i="55"/>
  <c r="EY122" i="55"/>
  <c r="EX122" i="55"/>
  <c r="CY122" i="55"/>
  <c r="CX122" i="55"/>
  <c r="CW122" i="55"/>
  <c r="CV122" i="55"/>
  <c r="CU122" i="55"/>
  <c r="CT122" i="55"/>
  <c r="CO122" i="55"/>
  <c r="CN122" i="55"/>
  <c r="CM122" i="55"/>
  <c r="CL122" i="55"/>
  <c r="AE122" i="55"/>
  <c r="S122" i="55"/>
  <c r="AK122" i="55"/>
  <c r="FK121" i="55"/>
  <c r="FJ121" i="55"/>
  <c r="FI121" i="55"/>
  <c r="FH121" i="55"/>
  <c r="FG121" i="55"/>
  <c r="FE121" i="55"/>
  <c r="FC121" i="55"/>
  <c r="FB121" i="55"/>
  <c r="EY121" i="55"/>
  <c r="EX121" i="55"/>
  <c r="CO121" i="55"/>
  <c r="CM121" i="55"/>
  <c r="S121" i="55"/>
  <c r="AB121" i="55"/>
  <c r="FK120" i="55"/>
  <c r="FJ120" i="55"/>
  <c r="FI120" i="55"/>
  <c r="FH120" i="55"/>
  <c r="FG120" i="55"/>
  <c r="FE120" i="55"/>
  <c r="FD120" i="55"/>
  <c r="FC120" i="55"/>
  <c r="FB120" i="55"/>
  <c r="FA120" i="55"/>
  <c r="EZ120" i="55"/>
  <c r="EY120" i="55"/>
  <c r="EX120" i="55"/>
  <c r="CY120" i="55"/>
  <c r="CX120" i="55"/>
  <c r="CW120" i="55"/>
  <c r="CV120" i="55"/>
  <c r="CU120" i="55"/>
  <c r="CT120" i="55"/>
  <c r="CO120" i="55"/>
  <c r="CN120" i="55"/>
  <c r="CM120" i="55"/>
  <c r="CL120" i="55"/>
  <c r="AA120" i="55"/>
  <c r="Z120" i="55"/>
  <c r="S120" i="55"/>
  <c r="AC120" i="55"/>
  <c r="FK119" i="55"/>
  <c r="FJ119" i="55"/>
  <c r="FI119" i="55"/>
  <c r="FH119" i="55"/>
  <c r="FG119" i="55"/>
  <c r="FE119" i="55"/>
  <c r="FD119" i="55"/>
  <c r="FC119" i="55"/>
  <c r="FB119" i="55"/>
  <c r="FA119" i="55"/>
  <c r="EZ119" i="55"/>
  <c r="EY119" i="55"/>
  <c r="EX119" i="55"/>
  <c r="CO119" i="55"/>
  <c r="CM119" i="55"/>
  <c r="AE119" i="55"/>
  <c r="AD119" i="55"/>
  <c r="AA119" i="55"/>
  <c r="Z119" i="55"/>
  <c r="S119" i="55"/>
  <c r="FK115" i="55"/>
  <c r="FJ115" i="55"/>
  <c r="FI115" i="55"/>
  <c r="FH115" i="55"/>
  <c r="FG115" i="55"/>
  <c r="FE115" i="55"/>
  <c r="FD115" i="55"/>
  <c r="FC115" i="55"/>
  <c r="FB115" i="55"/>
  <c r="FA115" i="55"/>
  <c r="EZ115" i="55"/>
  <c r="EY115" i="55"/>
  <c r="EX115" i="55"/>
  <c r="FK114" i="55"/>
  <c r="FJ114" i="55"/>
  <c r="FI114" i="55"/>
  <c r="FH114" i="55"/>
  <c r="FG114" i="55"/>
  <c r="FE114" i="55"/>
  <c r="EY114" i="55"/>
  <c r="EX114" i="55"/>
  <c r="FK113" i="55"/>
  <c r="FI113" i="55"/>
  <c r="FH113" i="55"/>
  <c r="FG113" i="55"/>
  <c r="FE113" i="55"/>
  <c r="FD113" i="55"/>
  <c r="FC113" i="55"/>
  <c r="FB113" i="55"/>
  <c r="FA113" i="55"/>
  <c r="EZ113" i="55"/>
  <c r="EY113" i="55"/>
  <c r="EX113" i="55"/>
  <c r="FK112" i="55"/>
  <c r="FI112" i="55"/>
  <c r="FH112" i="55"/>
  <c r="FG112" i="55"/>
  <c r="FE112" i="55"/>
  <c r="FD112" i="55"/>
  <c r="FC112" i="55"/>
  <c r="FB112" i="55"/>
  <c r="FA112" i="55"/>
  <c r="EZ112" i="55"/>
  <c r="EY112" i="55"/>
  <c r="EX112" i="55"/>
  <c r="S113" i="55"/>
  <c r="FK111" i="55"/>
  <c r="FI111" i="55"/>
  <c r="FH111" i="55"/>
  <c r="FG111" i="55"/>
  <c r="FE111" i="55"/>
  <c r="EY111" i="55"/>
  <c r="EX111" i="55"/>
  <c r="R111" i="55"/>
  <c r="R113" i="55"/>
  <c r="FK110" i="55"/>
  <c r="FJ110" i="55"/>
  <c r="FI110" i="55"/>
  <c r="FH110" i="55"/>
  <c r="FG110" i="55"/>
  <c r="FE110" i="55"/>
  <c r="FD110" i="55"/>
  <c r="FC110" i="55"/>
  <c r="FB110" i="55"/>
  <c r="FA110" i="55"/>
  <c r="EZ110" i="55"/>
  <c r="EY110" i="55"/>
  <c r="EX110" i="55"/>
  <c r="R110" i="55"/>
  <c r="FK109" i="55"/>
  <c r="FJ109" i="55"/>
  <c r="FI109" i="55"/>
  <c r="FH109" i="55"/>
  <c r="FG109" i="55"/>
  <c r="FE109" i="55"/>
  <c r="FD109" i="55"/>
  <c r="FC109" i="55"/>
  <c r="FB109" i="55"/>
  <c r="FA109" i="55"/>
  <c r="EZ109" i="55"/>
  <c r="EY109" i="55"/>
  <c r="EX109" i="55"/>
  <c r="AD109" i="55"/>
  <c r="S109" i="55"/>
  <c r="AE109" i="55"/>
  <c r="FK108" i="55"/>
  <c r="FJ108" i="55"/>
  <c r="FI108" i="55"/>
  <c r="FH108" i="55"/>
  <c r="FG108" i="55"/>
  <c r="FE108" i="55"/>
  <c r="EY108" i="55"/>
  <c r="EX108" i="55"/>
  <c r="FK107" i="55"/>
  <c r="FJ107" i="55"/>
  <c r="FI107" i="55"/>
  <c r="FH107" i="55"/>
  <c r="FG107" i="55"/>
  <c r="FE107" i="55"/>
  <c r="EY107" i="55"/>
  <c r="EX107" i="55"/>
  <c r="FK106" i="55"/>
  <c r="FJ106" i="55"/>
  <c r="FI106" i="55"/>
  <c r="FH106" i="55"/>
  <c r="FG106" i="55"/>
  <c r="FE106" i="55"/>
  <c r="FC106" i="55"/>
  <c r="FB106" i="55"/>
  <c r="EY106" i="55"/>
  <c r="EX106" i="55"/>
  <c r="CY106" i="55"/>
  <c r="CX106" i="55"/>
  <c r="CW106" i="55"/>
  <c r="CV106" i="55"/>
  <c r="CU106" i="55"/>
  <c r="CT106" i="55"/>
  <c r="CO106" i="55"/>
  <c r="CN106" i="55"/>
  <c r="CM106" i="55"/>
  <c r="CL106" i="55"/>
  <c r="AB106" i="55"/>
  <c r="T106" i="55"/>
  <c r="FK105" i="55"/>
  <c r="FJ105" i="55"/>
  <c r="FI105" i="55"/>
  <c r="FH105" i="55"/>
  <c r="FG105" i="55"/>
  <c r="FE105" i="55"/>
  <c r="FC105" i="55"/>
  <c r="FB105" i="55"/>
  <c r="EY105" i="55"/>
  <c r="EX105" i="55"/>
  <c r="CO105" i="55"/>
  <c r="CM105" i="55"/>
  <c r="AE105" i="55"/>
  <c r="FK104" i="55"/>
  <c r="FJ104" i="55"/>
  <c r="FI104" i="55"/>
  <c r="FH104" i="55"/>
  <c r="FG104" i="55"/>
  <c r="FE104" i="55"/>
  <c r="FD104" i="55"/>
  <c r="FC104" i="55"/>
  <c r="FB104" i="55"/>
  <c r="FA104" i="55"/>
  <c r="EZ104" i="55"/>
  <c r="EY104" i="55"/>
  <c r="EX104" i="55"/>
  <c r="CY104" i="55"/>
  <c r="CX104" i="55"/>
  <c r="CW104" i="55"/>
  <c r="CV104" i="55"/>
  <c r="CU104" i="55"/>
  <c r="CT104" i="55"/>
  <c r="CO104" i="55"/>
  <c r="CN104" i="55"/>
  <c r="CM104" i="55"/>
  <c r="CL104" i="55"/>
  <c r="T104" i="55"/>
  <c r="R104" i="55"/>
  <c r="FK103" i="55"/>
  <c r="FJ103" i="55"/>
  <c r="FI103" i="55"/>
  <c r="FH103" i="55"/>
  <c r="FG103" i="55"/>
  <c r="FE103" i="55"/>
  <c r="FD103" i="55"/>
  <c r="FC103" i="55"/>
  <c r="FB103" i="55"/>
  <c r="FA103" i="55"/>
  <c r="EZ103" i="55"/>
  <c r="EY103" i="55"/>
  <c r="EX103" i="55"/>
  <c r="CO103" i="55"/>
  <c r="CM103" i="55"/>
  <c r="S103" i="55"/>
  <c r="R103" i="55"/>
  <c r="AD103" i="55"/>
  <c r="FK99" i="55"/>
  <c r="FJ99" i="55"/>
  <c r="FI99" i="55"/>
  <c r="FH99" i="55"/>
  <c r="FG99" i="55"/>
  <c r="FE99" i="55"/>
  <c r="FD99" i="55"/>
  <c r="FC99" i="55"/>
  <c r="FB99" i="55"/>
  <c r="FA99" i="55"/>
  <c r="EZ99" i="55"/>
  <c r="EY99" i="55"/>
  <c r="EX99" i="55"/>
  <c r="R99" i="55"/>
  <c r="FK98" i="55"/>
  <c r="FJ98" i="55"/>
  <c r="FI98" i="55"/>
  <c r="FH98" i="55"/>
  <c r="FG98" i="55"/>
  <c r="FE98" i="55"/>
  <c r="EY98" i="55"/>
  <c r="EX98" i="55"/>
  <c r="T98" i="55"/>
  <c r="FK97" i="55"/>
  <c r="FI97" i="55"/>
  <c r="FH97" i="55"/>
  <c r="FG97" i="55"/>
  <c r="FE97" i="55"/>
  <c r="FD97" i="55"/>
  <c r="FC97" i="55"/>
  <c r="FB97" i="55"/>
  <c r="FA97" i="55"/>
  <c r="EZ97" i="55"/>
  <c r="EY97" i="55"/>
  <c r="EX97" i="55"/>
  <c r="FK96" i="55"/>
  <c r="FI96" i="55"/>
  <c r="FH96" i="55"/>
  <c r="FG96" i="55"/>
  <c r="FE96" i="55"/>
  <c r="FD96" i="55"/>
  <c r="FC96" i="55"/>
  <c r="FB96" i="55"/>
  <c r="FA96" i="55"/>
  <c r="EZ96" i="55"/>
  <c r="EY96" i="55"/>
  <c r="EX96" i="55"/>
  <c r="FK95" i="55"/>
  <c r="FI95" i="55"/>
  <c r="FH95" i="55"/>
  <c r="FG95" i="55"/>
  <c r="FE95" i="55"/>
  <c r="EY95" i="55"/>
  <c r="EX95" i="55"/>
  <c r="R95" i="55"/>
  <c r="P95" i="55"/>
  <c r="R97" i="55"/>
  <c r="FK94" i="55"/>
  <c r="FJ94" i="55"/>
  <c r="FI94" i="55"/>
  <c r="FH94" i="55"/>
  <c r="FG94" i="55"/>
  <c r="FE94" i="55"/>
  <c r="FD94" i="55"/>
  <c r="FC94" i="55"/>
  <c r="FB94" i="55"/>
  <c r="FA94" i="55"/>
  <c r="EZ94" i="55"/>
  <c r="EY94" i="55"/>
  <c r="EX94" i="55"/>
  <c r="T94" i="55"/>
  <c r="R94" i="55"/>
  <c r="FK93" i="55"/>
  <c r="FJ93" i="55"/>
  <c r="FI93" i="55"/>
  <c r="FH93" i="55"/>
  <c r="FG93" i="55"/>
  <c r="FE93" i="55"/>
  <c r="FD93" i="55"/>
  <c r="FC93" i="55"/>
  <c r="FB93" i="55"/>
  <c r="FA93" i="55"/>
  <c r="EZ93" i="55"/>
  <c r="EY93" i="55"/>
  <c r="EX93" i="55"/>
  <c r="T93" i="55"/>
  <c r="AD93" i="55"/>
  <c r="FK92" i="55"/>
  <c r="FJ92" i="55"/>
  <c r="FI92" i="55"/>
  <c r="FH92" i="55"/>
  <c r="FG92" i="55"/>
  <c r="FE92" i="55"/>
  <c r="EY92" i="55"/>
  <c r="EX92" i="55"/>
  <c r="AK92" i="55"/>
  <c r="R92" i="55"/>
  <c r="FK91" i="55"/>
  <c r="FJ91" i="55"/>
  <c r="FI91" i="55"/>
  <c r="FH91" i="55"/>
  <c r="FG91" i="55"/>
  <c r="FE91" i="55"/>
  <c r="EY91" i="55"/>
  <c r="EX91" i="55"/>
  <c r="FK90" i="55"/>
  <c r="FJ90" i="55"/>
  <c r="FI90" i="55"/>
  <c r="FH90" i="55"/>
  <c r="FG90" i="55"/>
  <c r="FE90" i="55"/>
  <c r="FC90" i="55"/>
  <c r="FB90" i="55"/>
  <c r="EY90" i="55"/>
  <c r="EX90" i="55"/>
  <c r="CY90" i="55"/>
  <c r="CX90" i="55"/>
  <c r="CW90" i="55"/>
  <c r="CV90" i="55"/>
  <c r="CU90" i="55"/>
  <c r="CT90" i="55"/>
  <c r="CO90" i="55"/>
  <c r="CN90" i="55"/>
  <c r="CM90" i="55"/>
  <c r="CL90" i="55"/>
  <c r="AB90" i="55"/>
  <c r="FK89" i="55"/>
  <c r="FJ89" i="55"/>
  <c r="FI89" i="55"/>
  <c r="FH89" i="55"/>
  <c r="FG89" i="55"/>
  <c r="FE89" i="55"/>
  <c r="FC89" i="55"/>
  <c r="FB89" i="55"/>
  <c r="EY89" i="55"/>
  <c r="EX89" i="55"/>
  <c r="CO89" i="55"/>
  <c r="CM89" i="55"/>
  <c r="AD89" i="55"/>
  <c r="FK88" i="55"/>
  <c r="FJ88" i="55"/>
  <c r="FI88" i="55"/>
  <c r="FH88" i="55"/>
  <c r="FG88" i="55"/>
  <c r="FE88" i="55"/>
  <c r="FD88" i="55"/>
  <c r="FC88" i="55"/>
  <c r="FB88" i="55"/>
  <c r="FA88" i="55"/>
  <c r="EZ88" i="55"/>
  <c r="EY88" i="55"/>
  <c r="EX88" i="55"/>
  <c r="CY88" i="55"/>
  <c r="CX88" i="55"/>
  <c r="CW88" i="55"/>
  <c r="CV88" i="55"/>
  <c r="CU88" i="55"/>
  <c r="CT88" i="55"/>
  <c r="CO88" i="55"/>
  <c r="CN88" i="55"/>
  <c r="CM88" i="55"/>
  <c r="CL88" i="55"/>
  <c r="AE88" i="55"/>
  <c r="R88" i="55"/>
  <c r="FK87" i="55"/>
  <c r="FJ87" i="55"/>
  <c r="FI87" i="55"/>
  <c r="FH87" i="55"/>
  <c r="FG87" i="55"/>
  <c r="FE87" i="55"/>
  <c r="FD87" i="55"/>
  <c r="FC87" i="55"/>
  <c r="FB87" i="55"/>
  <c r="FA87" i="55"/>
  <c r="EZ87" i="55"/>
  <c r="EY87" i="55"/>
  <c r="EX87" i="55"/>
  <c r="CO87" i="55"/>
  <c r="CM87" i="55"/>
  <c r="AA87" i="55"/>
  <c r="Z87" i="55"/>
  <c r="R87" i="55"/>
  <c r="FK83" i="55"/>
  <c r="FJ83" i="55"/>
  <c r="FI83" i="55"/>
  <c r="FH83" i="55"/>
  <c r="FG83" i="55"/>
  <c r="FE83" i="55"/>
  <c r="FD83" i="55"/>
  <c r="FC83" i="55"/>
  <c r="FB83" i="55"/>
  <c r="FA83" i="55"/>
  <c r="EZ83" i="55"/>
  <c r="EY83" i="55"/>
  <c r="EX83" i="55"/>
  <c r="P83" i="55"/>
  <c r="O84" i="55"/>
  <c r="FK82" i="55"/>
  <c r="FJ82" i="55"/>
  <c r="FI82" i="55"/>
  <c r="FH82" i="55"/>
  <c r="FG82" i="55"/>
  <c r="FE82" i="55"/>
  <c r="EY82" i="55"/>
  <c r="EX82" i="55"/>
  <c r="FK81" i="55"/>
  <c r="FI81" i="55"/>
  <c r="FH81" i="55"/>
  <c r="FG81" i="55"/>
  <c r="FE81" i="55"/>
  <c r="FD81" i="55"/>
  <c r="FC81" i="55"/>
  <c r="FB81" i="55"/>
  <c r="FA81" i="55"/>
  <c r="EZ81" i="55"/>
  <c r="EY81" i="55"/>
  <c r="EX81" i="55"/>
  <c r="FK80" i="55"/>
  <c r="FI80" i="55"/>
  <c r="FH80" i="55"/>
  <c r="FG80" i="55"/>
  <c r="FE80" i="55"/>
  <c r="FD80" i="55"/>
  <c r="FC80" i="55"/>
  <c r="FB80" i="55"/>
  <c r="FA80" i="55"/>
  <c r="EZ80" i="55"/>
  <c r="EY80" i="55"/>
  <c r="EX80" i="55"/>
  <c r="FK79" i="55"/>
  <c r="FI79" i="55"/>
  <c r="FH79" i="55"/>
  <c r="FG79" i="55"/>
  <c r="FE79" i="55"/>
  <c r="EY79" i="55"/>
  <c r="EX79" i="55"/>
  <c r="FK78" i="55"/>
  <c r="FJ78" i="55"/>
  <c r="FI78" i="55"/>
  <c r="FH78" i="55"/>
  <c r="FG78" i="55"/>
  <c r="FE78" i="55"/>
  <c r="FD78" i="55"/>
  <c r="FC78" i="55"/>
  <c r="FB78" i="55"/>
  <c r="FA78" i="55"/>
  <c r="EZ78" i="55"/>
  <c r="EY78" i="55"/>
  <c r="EX78" i="55"/>
  <c r="FK77" i="55"/>
  <c r="FJ77" i="55"/>
  <c r="FI77" i="55"/>
  <c r="FH77" i="55"/>
  <c r="FG77" i="55"/>
  <c r="FE77" i="55"/>
  <c r="FD77" i="55"/>
  <c r="FC77" i="55"/>
  <c r="FB77" i="55"/>
  <c r="FA77" i="55"/>
  <c r="EZ77" i="55"/>
  <c r="EY77" i="55"/>
  <c r="EX77" i="55"/>
  <c r="AC77" i="55"/>
  <c r="FK76" i="55"/>
  <c r="FJ76" i="55"/>
  <c r="FI76" i="55"/>
  <c r="FH76" i="55"/>
  <c r="FG76" i="55"/>
  <c r="FE76" i="55"/>
  <c r="EY76" i="55"/>
  <c r="EX76" i="55"/>
  <c r="R76" i="55"/>
  <c r="AE76" i="55"/>
  <c r="FK75" i="55"/>
  <c r="FJ75" i="55"/>
  <c r="FI75" i="55"/>
  <c r="FH75" i="55"/>
  <c r="FG75" i="55"/>
  <c r="FE75" i="55"/>
  <c r="EY75" i="55"/>
  <c r="EX75" i="55"/>
  <c r="AK75" i="55"/>
  <c r="FK74" i="55"/>
  <c r="FJ74" i="55"/>
  <c r="FI74" i="55"/>
  <c r="FH74" i="55"/>
  <c r="FG74" i="55"/>
  <c r="FE74" i="55"/>
  <c r="FC74" i="55"/>
  <c r="FB74" i="55"/>
  <c r="EY74" i="55"/>
  <c r="EX74" i="55"/>
  <c r="CY74" i="55"/>
  <c r="CX74" i="55"/>
  <c r="CW74" i="55"/>
  <c r="CV74" i="55"/>
  <c r="CU74" i="55"/>
  <c r="CT74" i="55"/>
  <c r="CO74" i="55"/>
  <c r="CN74" i="55"/>
  <c r="CM74" i="55"/>
  <c r="CL74" i="55"/>
  <c r="AK74" i="55"/>
  <c r="AB74" i="55"/>
  <c r="FK73" i="55"/>
  <c r="FJ73" i="55"/>
  <c r="FI73" i="55"/>
  <c r="FH73" i="55"/>
  <c r="FG73" i="55"/>
  <c r="FE73" i="55"/>
  <c r="FC73" i="55"/>
  <c r="FB73" i="55"/>
  <c r="EY73" i="55"/>
  <c r="EX73" i="55"/>
  <c r="CO73" i="55"/>
  <c r="CM73" i="55"/>
  <c r="AC73" i="55"/>
  <c r="AB73" i="55"/>
  <c r="FK72" i="55"/>
  <c r="FJ72" i="55"/>
  <c r="FI72" i="55"/>
  <c r="FH72" i="55"/>
  <c r="FG72" i="55"/>
  <c r="FE72" i="55"/>
  <c r="FD72" i="55"/>
  <c r="FC72" i="55"/>
  <c r="FB72" i="55"/>
  <c r="FA72" i="55"/>
  <c r="EZ72" i="55"/>
  <c r="EY72" i="55"/>
  <c r="EX72" i="55"/>
  <c r="CY72" i="55"/>
  <c r="CX72" i="55"/>
  <c r="CW72" i="55"/>
  <c r="CV72" i="55"/>
  <c r="CU72" i="55"/>
  <c r="CT72" i="55"/>
  <c r="CO72" i="55"/>
  <c r="CN72" i="55"/>
  <c r="CM72" i="55"/>
  <c r="CL72" i="55"/>
  <c r="AE72" i="55"/>
  <c r="AD72" i="55"/>
  <c r="AC72" i="55"/>
  <c r="FK71" i="55"/>
  <c r="FJ71" i="55"/>
  <c r="FI71" i="55"/>
  <c r="FH71" i="55"/>
  <c r="FG71" i="55"/>
  <c r="FE71" i="55"/>
  <c r="FD71" i="55"/>
  <c r="FC71" i="55"/>
  <c r="FB71" i="55"/>
  <c r="FA71" i="55"/>
  <c r="EZ71" i="55"/>
  <c r="EY71" i="55"/>
  <c r="EX71" i="55"/>
  <c r="CO71" i="55"/>
  <c r="CM71" i="55"/>
  <c r="S71" i="55"/>
  <c r="FK67" i="55"/>
  <c r="FJ67" i="55"/>
  <c r="FI67" i="55"/>
  <c r="FH67" i="55"/>
  <c r="FG67" i="55"/>
  <c r="FE67" i="55"/>
  <c r="FD67" i="55"/>
  <c r="FC67" i="55"/>
  <c r="FB67" i="55"/>
  <c r="FA67" i="55"/>
  <c r="EZ67" i="55"/>
  <c r="EY67" i="55"/>
  <c r="EX67" i="55"/>
  <c r="FK66" i="55"/>
  <c r="FJ66" i="55"/>
  <c r="FI66" i="55"/>
  <c r="FH66" i="55"/>
  <c r="FG66" i="55"/>
  <c r="FE66" i="55"/>
  <c r="EY66" i="55"/>
  <c r="EX66" i="55"/>
  <c r="S66" i="55"/>
  <c r="AK66" i="55"/>
  <c r="FK65" i="55"/>
  <c r="FI65" i="55"/>
  <c r="FH65" i="55"/>
  <c r="FG65" i="55"/>
  <c r="FE65" i="55"/>
  <c r="FD65" i="55"/>
  <c r="FC65" i="55"/>
  <c r="FB65" i="55"/>
  <c r="FA65" i="55"/>
  <c r="EZ65" i="55"/>
  <c r="EY65" i="55"/>
  <c r="EX65" i="55"/>
  <c r="FK64" i="55"/>
  <c r="FI64" i="55"/>
  <c r="FH64" i="55"/>
  <c r="FG64" i="55"/>
  <c r="FE64" i="55"/>
  <c r="FD64" i="55"/>
  <c r="FC64" i="55"/>
  <c r="FB64" i="55"/>
  <c r="FA64" i="55"/>
  <c r="EZ64" i="55"/>
  <c r="EY64" i="55"/>
  <c r="EX64" i="55"/>
  <c r="FK63" i="55"/>
  <c r="FI63" i="55"/>
  <c r="FH63" i="55"/>
  <c r="FG63" i="55"/>
  <c r="FE63" i="55"/>
  <c r="EY63" i="55"/>
  <c r="EX63" i="55"/>
  <c r="FK62" i="55"/>
  <c r="FJ62" i="55"/>
  <c r="FI62" i="55"/>
  <c r="FH62" i="55"/>
  <c r="FG62" i="55"/>
  <c r="FE62" i="55"/>
  <c r="FD62" i="55"/>
  <c r="FC62" i="55"/>
  <c r="FB62" i="55"/>
  <c r="FA62" i="55"/>
  <c r="EZ62" i="55"/>
  <c r="EY62" i="55"/>
  <c r="EX62" i="55"/>
  <c r="R62" i="55"/>
  <c r="FK61" i="55"/>
  <c r="FJ61" i="55"/>
  <c r="FI61" i="55"/>
  <c r="FH61" i="55"/>
  <c r="FG61" i="55"/>
  <c r="FE61" i="55"/>
  <c r="FD61" i="55"/>
  <c r="FC61" i="55"/>
  <c r="FB61" i="55"/>
  <c r="FA61" i="55"/>
  <c r="EZ61" i="55"/>
  <c r="EY61" i="55"/>
  <c r="EX61" i="55"/>
  <c r="FK60" i="55"/>
  <c r="FJ60" i="55"/>
  <c r="FI60" i="55"/>
  <c r="FH60" i="55"/>
  <c r="FG60" i="55"/>
  <c r="FE60" i="55"/>
  <c r="EY60" i="55"/>
  <c r="EX60" i="55"/>
  <c r="AE60" i="55"/>
  <c r="FK59" i="55"/>
  <c r="FJ59" i="55"/>
  <c r="FI59" i="55"/>
  <c r="FH59" i="55"/>
  <c r="FG59" i="55"/>
  <c r="FE59" i="55"/>
  <c r="EY59" i="55"/>
  <c r="EX59" i="55"/>
  <c r="AK59" i="55"/>
  <c r="FK58" i="55"/>
  <c r="FJ58" i="55"/>
  <c r="FI58" i="55"/>
  <c r="FH58" i="55"/>
  <c r="FG58" i="55"/>
  <c r="FE58" i="55"/>
  <c r="FC58" i="55"/>
  <c r="FB58" i="55"/>
  <c r="EY58" i="55"/>
  <c r="EX58" i="55"/>
  <c r="CY58" i="55"/>
  <c r="CX58" i="55"/>
  <c r="CW58" i="55"/>
  <c r="CV58" i="55"/>
  <c r="CU58" i="55"/>
  <c r="CT58" i="55"/>
  <c r="CO58" i="55"/>
  <c r="CN58" i="55"/>
  <c r="CM58" i="55"/>
  <c r="CL58" i="55"/>
  <c r="AK58" i="55"/>
  <c r="FK57" i="55"/>
  <c r="FJ57" i="55"/>
  <c r="FI57" i="55"/>
  <c r="FH57" i="55"/>
  <c r="FG57" i="55"/>
  <c r="FE57" i="55"/>
  <c r="FC57" i="55"/>
  <c r="FB57" i="55"/>
  <c r="EY57" i="55"/>
  <c r="EX57" i="55"/>
  <c r="CO57" i="55"/>
  <c r="CM57" i="55"/>
  <c r="AB57" i="55"/>
  <c r="FK56" i="55"/>
  <c r="FJ56" i="55"/>
  <c r="FI56" i="55"/>
  <c r="FH56" i="55"/>
  <c r="FG56" i="55"/>
  <c r="FE56" i="55"/>
  <c r="FD56" i="55"/>
  <c r="FC56" i="55"/>
  <c r="FB56" i="55"/>
  <c r="FA56" i="55"/>
  <c r="EZ56" i="55"/>
  <c r="EY56" i="55"/>
  <c r="EX56" i="55"/>
  <c r="CY56" i="55"/>
  <c r="CX56" i="55"/>
  <c r="CW56" i="55"/>
  <c r="CV56" i="55"/>
  <c r="CU56" i="55"/>
  <c r="CT56" i="55"/>
  <c r="CO56" i="55"/>
  <c r="CN56" i="55"/>
  <c r="CM56" i="55"/>
  <c r="CL56" i="55"/>
  <c r="AB56" i="55"/>
  <c r="AC56" i="55"/>
  <c r="FK55" i="55"/>
  <c r="FJ55" i="55"/>
  <c r="FI55" i="55"/>
  <c r="FH55" i="55"/>
  <c r="FG55" i="55"/>
  <c r="FE55" i="55"/>
  <c r="FD55" i="55"/>
  <c r="FC55" i="55"/>
  <c r="FB55" i="55"/>
  <c r="FA55" i="55"/>
  <c r="EZ55" i="55"/>
  <c r="EY55" i="55"/>
  <c r="EX55" i="55"/>
  <c r="CO55" i="55"/>
  <c r="CM55" i="55"/>
  <c r="S55" i="55"/>
  <c r="AC55" i="55"/>
  <c r="FK51" i="55"/>
  <c r="FJ51" i="55"/>
  <c r="FI51" i="55"/>
  <c r="FH51" i="55"/>
  <c r="FG51" i="55"/>
  <c r="FE51" i="55"/>
  <c r="FD51" i="55"/>
  <c r="FC51" i="55"/>
  <c r="FB51" i="55"/>
  <c r="FA51" i="55"/>
  <c r="EZ51" i="55"/>
  <c r="EY51" i="55"/>
  <c r="EX51" i="55"/>
  <c r="P51" i="55"/>
  <c r="O52" i="55"/>
  <c r="FK50" i="55"/>
  <c r="FJ50" i="55"/>
  <c r="FI50" i="55"/>
  <c r="FH50" i="55"/>
  <c r="FG50" i="55"/>
  <c r="FE50" i="55"/>
  <c r="EY50" i="55"/>
  <c r="EX50" i="55"/>
  <c r="FK49" i="55"/>
  <c r="FI49" i="55"/>
  <c r="FH49" i="55"/>
  <c r="FG49" i="55"/>
  <c r="FE49" i="55"/>
  <c r="FD49" i="55"/>
  <c r="FC49" i="55"/>
  <c r="FB49" i="55"/>
  <c r="FA49" i="55"/>
  <c r="EZ49" i="55"/>
  <c r="EY49" i="55"/>
  <c r="EX49" i="55"/>
  <c r="FK48" i="55"/>
  <c r="FI48" i="55"/>
  <c r="FH48" i="55"/>
  <c r="FG48" i="55"/>
  <c r="FE48" i="55"/>
  <c r="FD48" i="55"/>
  <c r="FC48" i="55"/>
  <c r="FB48" i="55"/>
  <c r="FA48" i="55"/>
  <c r="EZ48" i="55"/>
  <c r="EY48" i="55"/>
  <c r="EX48" i="55"/>
  <c r="P48" i="55"/>
  <c r="FK47" i="55"/>
  <c r="FI47" i="55"/>
  <c r="FH47" i="55"/>
  <c r="FG47" i="55"/>
  <c r="FE47" i="55"/>
  <c r="EY47" i="55"/>
  <c r="EX47" i="55"/>
  <c r="FK46" i="55"/>
  <c r="FJ46" i="55"/>
  <c r="FI46" i="55"/>
  <c r="FH46" i="55"/>
  <c r="FG46" i="55"/>
  <c r="FE46" i="55"/>
  <c r="FD46" i="55"/>
  <c r="FC46" i="55"/>
  <c r="FB46" i="55"/>
  <c r="FA46" i="55"/>
  <c r="EZ46" i="55"/>
  <c r="EY46" i="55"/>
  <c r="EX46" i="55"/>
  <c r="FK45" i="55"/>
  <c r="FJ45" i="55"/>
  <c r="FI45" i="55"/>
  <c r="FH45" i="55"/>
  <c r="FG45" i="55"/>
  <c r="FE45" i="55"/>
  <c r="FD45" i="55"/>
  <c r="FC45" i="55"/>
  <c r="FB45" i="55"/>
  <c r="FA45" i="55"/>
  <c r="EZ45" i="55"/>
  <c r="EY45" i="55"/>
  <c r="EX45" i="55"/>
  <c r="AK45" i="55"/>
  <c r="FK44" i="55"/>
  <c r="FJ44" i="55"/>
  <c r="FI44" i="55"/>
  <c r="FH44" i="55"/>
  <c r="FG44" i="55"/>
  <c r="FE44" i="55"/>
  <c r="EY44" i="55"/>
  <c r="EX44" i="55"/>
  <c r="AK44" i="55"/>
  <c r="FK43" i="55"/>
  <c r="FJ43" i="55"/>
  <c r="FI43" i="55"/>
  <c r="FH43" i="55"/>
  <c r="FG43" i="55"/>
  <c r="FE43" i="55"/>
  <c r="EY43" i="55"/>
  <c r="EX43" i="55"/>
  <c r="S43" i="55"/>
  <c r="AE43" i="55"/>
  <c r="AD43" i="55"/>
  <c r="FK42" i="55"/>
  <c r="FJ42" i="55"/>
  <c r="FI42" i="55"/>
  <c r="FH42" i="55"/>
  <c r="FG42" i="55"/>
  <c r="FE42" i="55"/>
  <c r="FC42" i="55"/>
  <c r="FB42" i="55"/>
  <c r="EY42" i="55"/>
  <c r="EX42" i="55"/>
  <c r="CY42" i="55"/>
  <c r="CX42" i="55"/>
  <c r="CW42" i="55"/>
  <c r="CV42" i="55"/>
  <c r="CU42" i="55"/>
  <c r="CT42" i="55"/>
  <c r="CO42" i="55"/>
  <c r="CN42" i="55"/>
  <c r="CM42" i="55"/>
  <c r="CL42" i="55"/>
  <c r="AK42" i="55"/>
  <c r="AE42" i="55"/>
  <c r="FK41" i="55"/>
  <c r="FJ41" i="55"/>
  <c r="FI41" i="55"/>
  <c r="FH41" i="55"/>
  <c r="FG41" i="55"/>
  <c r="FE41" i="55"/>
  <c r="FC41" i="55"/>
  <c r="FB41" i="55"/>
  <c r="EY41" i="55"/>
  <c r="EX41" i="55"/>
  <c r="CO41" i="55"/>
  <c r="CM41" i="55"/>
  <c r="AB41" i="55"/>
  <c r="FK40" i="55"/>
  <c r="FJ40" i="55"/>
  <c r="FI40" i="55"/>
  <c r="FH40" i="55"/>
  <c r="FG40" i="55"/>
  <c r="FE40" i="55"/>
  <c r="FD40" i="55"/>
  <c r="FC40" i="55"/>
  <c r="FB40" i="55"/>
  <c r="FA40" i="55"/>
  <c r="EZ40" i="55"/>
  <c r="EY40" i="55"/>
  <c r="EX40" i="55"/>
  <c r="CY40" i="55"/>
  <c r="CX40" i="55"/>
  <c r="CW40" i="55"/>
  <c r="CV40" i="55"/>
  <c r="CU40" i="55"/>
  <c r="CT40" i="55"/>
  <c r="CO40" i="55"/>
  <c r="CN40" i="55"/>
  <c r="CM40" i="55"/>
  <c r="CL40" i="55"/>
  <c r="AA40" i="55"/>
  <c r="AC40" i="55"/>
  <c r="AB40" i="55"/>
  <c r="FK39" i="55"/>
  <c r="FJ39" i="55"/>
  <c r="FI39" i="55"/>
  <c r="FH39" i="55"/>
  <c r="FG39" i="55"/>
  <c r="FE39" i="55"/>
  <c r="FD39" i="55"/>
  <c r="FC39" i="55"/>
  <c r="FB39" i="55"/>
  <c r="FA39" i="55"/>
  <c r="EZ39" i="55"/>
  <c r="EY39" i="55"/>
  <c r="EX39" i="55"/>
  <c r="CO39" i="55"/>
  <c r="CM39" i="55"/>
  <c r="AE39" i="55"/>
  <c r="Z39" i="55"/>
  <c r="FK35" i="55"/>
  <c r="FJ35" i="55"/>
  <c r="FI35" i="55"/>
  <c r="FH35" i="55"/>
  <c r="FG35" i="55"/>
  <c r="FE35" i="55"/>
  <c r="FD35" i="55"/>
  <c r="FC35" i="55"/>
  <c r="FB35" i="55"/>
  <c r="FA35" i="55"/>
  <c r="EZ35" i="55"/>
  <c r="EY35" i="55"/>
  <c r="EX35" i="55"/>
  <c r="FK34" i="55"/>
  <c r="FJ34" i="55"/>
  <c r="FI34" i="55"/>
  <c r="FH34" i="55"/>
  <c r="FG34" i="55"/>
  <c r="FE34" i="55"/>
  <c r="EY34" i="55"/>
  <c r="EX34" i="55"/>
  <c r="AK34" i="55"/>
  <c r="FK33" i="55"/>
  <c r="FI33" i="55"/>
  <c r="FH33" i="55"/>
  <c r="FG33" i="55"/>
  <c r="FE33" i="55"/>
  <c r="FD33" i="55"/>
  <c r="FC33" i="55"/>
  <c r="FB33" i="55"/>
  <c r="FA33" i="55"/>
  <c r="EZ33" i="55"/>
  <c r="EY33" i="55"/>
  <c r="EX33" i="55"/>
  <c r="FK32" i="55"/>
  <c r="FI32" i="55"/>
  <c r="FH32" i="55"/>
  <c r="FG32" i="55"/>
  <c r="FE32" i="55"/>
  <c r="FD32" i="55"/>
  <c r="FC32" i="55"/>
  <c r="FB32" i="55"/>
  <c r="FA32" i="55"/>
  <c r="EZ32" i="55"/>
  <c r="EY32" i="55"/>
  <c r="EX32" i="55"/>
  <c r="FK31" i="55"/>
  <c r="FI31" i="55"/>
  <c r="FH31" i="55"/>
  <c r="FG31" i="55"/>
  <c r="FE31" i="55"/>
  <c r="EY31" i="55"/>
  <c r="EX31" i="55"/>
  <c r="T31" i="55"/>
  <c r="FK30" i="55"/>
  <c r="FJ30" i="55"/>
  <c r="FI30" i="55"/>
  <c r="FH30" i="55"/>
  <c r="FG30" i="55"/>
  <c r="FE30" i="55"/>
  <c r="FD30" i="55"/>
  <c r="FC30" i="55"/>
  <c r="FB30" i="55"/>
  <c r="FA30" i="55"/>
  <c r="EZ30" i="55"/>
  <c r="EY30" i="55"/>
  <c r="EX30" i="55"/>
  <c r="FK29" i="55"/>
  <c r="FJ29" i="55"/>
  <c r="FI29" i="55"/>
  <c r="FH29" i="55"/>
  <c r="FG29" i="55"/>
  <c r="FE29" i="55"/>
  <c r="FD29" i="55"/>
  <c r="FC29" i="55"/>
  <c r="FB29" i="55"/>
  <c r="FA29" i="55"/>
  <c r="EZ29" i="55"/>
  <c r="EY29" i="55"/>
  <c r="EX29" i="55"/>
  <c r="AK29" i="55"/>
  <c r="T29" i="55"/>
  <c r="R29" i="55"/>
  <c r="FK28" i="55"/>
  <c r="FJ28" i="55"/>
  <c r="FI28" i="55"/>
  <c r="FH28" i="55"/>
  <c r="FG28" i="55"/>
  <c r="FE28" i="55"/>
  <c r="EY28" i="55"/>
  <c r="EX28" i="55"/>
  <c r="FK27" i="55"/>
  <c r="FJ27" i="55"/>
  <c r="FI27" i="55"/>
  <c r="FH27" i="55"/>
  <c r="FG27" i="55"/>
  <c r="FE27" i="55"/>
  <c r="EY27" i="55"/>
  <c r="EX27" i="55"/>
  <c r="AK27" i="55"/>
  <c r="AD27" i="55"/>
  <c r="FK26" i="55"/>
  <c r="FJ26" i="55"/>
  <c r="FI26" i="55"/>
  <c r="FH26" i="55"/>
  <c r="FG26" i="55"/>
  <c r="FE26" i="55"/>
  <c r="FC26" i="55"/>
  <c r="FB26" i="55"/>
  <c r="EY26" i="55"/>
  <c r="EX26" i="55"/>
  <c r="CY26" i="55"/>
  <c r="CX26" i="55"/>
  <c r="CW26" i="55"/>
  <c r="CV26" i="55"/>
  <c r="CU26" i="55"/>
  <c r="CT26" i="55"/>
  <c r="CO26" i="55"/>
  <c r="CN26" i="55"/>
  <c r="CM26" i="55"/>
  <c r="CL26" i="55"/>
  <c r="AB26" i="55"/>
  <c r="AE26" i="55"/>
  <c r="FK25" i="55"/>
  <c r="FJ25" i="55"/>
  <c r="FI25" i="55"/>
  <c r="FH25" i="55"/>
  <c r="FG25" i="55"/>
  <c r="FE25" i="55"/>
  <c r="FC25" i="55"/>
  <c r="FB25" i="55"/>
  <c r="EY25" i="55"/>
  <c r="EX25" i="55"/>
  <c r="CO25" i="55"/>
  <c r="CM25" i="55"/>
  <c r="FK24" i="55"/>
  <c r="FJ24" i="55"/>
  <c r="FI24" i="55"/>
  <c r="FH24" i="55"/>
  <c r="FG24" i="55"/>
  <c r="FE24" i="55"/>
  <c r="FD24" i="55"/>
  <c r="FC24" i="55"/>
  <c r="FB24" i="55"/>
  <c r="FA24" i="55"/>
  <c r="EZ24" i="55"/>
  <c r="EY24" i="55"/>
  <c r="EX24" i="55"/>
  <c r="CY24" i="55"/>
  <c r="CX24" i="55"/>
  <c r="CW24" i="55"/>
  <c r="CV24" i="55"/>
  <c r="CU24" i="55"/>
  <c r="CT24" i="55"/>
  <c r="CO24" i="55"/>
  <c r="CN24" i="55"/>
  <c r="CM24" i="55"/>
  <c r="CL24" i="55"/>
  <c r="AA24" i="55"/>
  <c r="Z24" i="55"/>
  <c r="FK23" i="55"/>
  <c r="FJ23" i="55"/>
  <c r="FI23" i="55"/>
  <c r="FH23" i="55"/>
  <c r="FG23" i="55"/>
  <c r="FE23" i="55"/>
  <c r="FD23" i="55"/>
  <c r="FC23" i="55"/>
  <c r="FB23" i="55"/>
  <c r="FA23" i="55"/>
  <c r="EZ23" i="55"/>
  <c r="EY23" i="55"/>
  <c r="EX23" i="55"/>
  <c r="CO23" i="55"/>
  <c r="CM23" i="55"/>
  <c r="AD23" i="55"/>
  <c r="T23" i="55"/>
  <c r="CO20" i="55"/>
  <c r="CM20" i="55"/>
  <c r="I20" i="55"/>
  <c r="FK19" i="55"/>
  <c r="FJ19" i="55"/>
  <c r="FI19" i="55"/>
  <c r="FH19" i="55"/>
  <c r="FG19" i="55"/>
  <c r="FE19" i="55"/>
  <c r="FD19" i="55"/>
  <c r="FC19" i="55"/>
  <c r="FB19" i="55"/>
  <c r="FA19" i="55"/>
  <c r="EZ19" i="55"/>
  <c r="EY19" i="55"/>
  <c r="EX19" i="55"/>
  <c r="CO19" i="55"/>
  <c r="CM19" i="55"/>
  <c r="T19" i="55"/>
  <c r="FK18" i="55"/>
  <c r="FJ18" i="55"/>
  <c r="FI18" i="55"/>
  <c r="FH18" i="55"/>
  <c r="FG18" i="55"/>
  <c r="FE18" i="55"/>
  <c r="EY18" i="55"/>
  <c r="EX18" i="55"/>
  <c r="CO18" i="55"/>
  <c r="CM18" i="55"/>
  <c r="FK17" i="55"/>
  <c r="FI17" i="55"/>
  <c r="FH17" i="55"/>
  <c r="FE17" i="55"/>
  <c r="CO17" i="55"/>
  <c r="CM17" i="55"/>
  <c r="S17" i="55"/>
  <c r="FK16" i="55"/>
  <c r="FI16" i="55"/>
  <c r="FH16" i="55"/>
  <c r="FE16" i="55"/>
  <c r="EY16" i="55"/>
  <c r="EX16" i="55"/>
  <c r="CO16" i="55"/>
  <c r="CM16" i="55"/>
  <c r="FK15" i="55"/>
  <c r="FI15" i="55"/>
  <c r="FH15" i="55"/>
  <c r="FG15" i="55"/>
  <c r="FE15" i="55"/>
  <c r="EY15" i="55"/>
  <c r="EX15" i="55"/>
  <c r="CO15" i="55"/>
  <c r="CM15" i="55"/>
  <c r="FK14" i="55"/>
  <c r="FJ14" i="55"/>
  <c r="FI14" i="55"/>
  <c r="FH14" i="55"/>
  <c r="FG14" i="55"/>
  <c r="FE14" i="55"/>
  <c r="FD14" i="55"/>
  <c r="FC14" i="55"/>
  <c r="FB14" i="55"/>
  <c r="FA14" i="55"/>
  <c r="EZ14" i="55"/>
  <c r="EY14" i="55"/>
  <c r="EX14" i="55"/>
  <c r="FK13" i="55"/>
  <c r="FJ13" i="55"/>
  <c r="FI13" i="55"/>
  <c r="FH13" i="55"/>
  <c r="FG13" i="55"/>
  <c r="FE13" i="55"/>
  <c r="FD13" i="55"/>
  <c r="FC13" i="55"/>
  <c r="FB13" i="55"/>
  <c r="FA13" i="55"/>
  <c r="EZ13" i="55"/>
  <c r="EY13" i="55"/>
  <c r="EX13" i="55"/>
  <c r="FK12" i="55"/>
  <c r="FJ12" i="55"/>
  <c r="FI12" i="55"/>
  <c r="FH12" i="55"/>
  <c r="FG12" i="55"/>
  <c r="FE12" i="55"/>
  <c r="EY12" i="55"/>
  <c r="EX12" i="55"/>
  <c r="T12" i="55"/>
  <c r="FK11" i="55"/>
  <c r="FJ11" i="55"/>
  <c r="FI11" i="55"/>
  <c r="FH11" i="55"/>
  <c r="FG11" i="55"/>
  <c r="FE11" i="55"/>
  <c r="EY11" i="55"/>
  <c r="EX11" i="55"/>
  <c r="T11" i="55"/>
  <c r="FK10" i="55"/>
  <c r="FJ10" i="55"/>
  <c r="FI10" i="55"/>
  <c r="FH10" i="55"/>
  <c r="FG10" i="55"/>
  <c r="FE10" i="55"/>
  <c r="FC10" i="55"/>
  <c r="FB10" i="55"/>
  <c r="EY10" i="55"/>
  <c r="EX10" i="55"/>
  <c r="CY10" i="55"/>
  <c r="CX10" i="55"/>
  <c r="CW10" i="55"/>
  <c r="CV10" i="55"/>
  <c r="CU10" i="55"/>
  <c r="CT10" i="55"/>
  <c r="CO10" i="55"/>
  <c r="CN10" i="55"/>
  <c r="CM10" i="55"/>
  <c r="CL10" i="55"/>
  <c r="AK10" i="55"/>
  <c r="AD10" i="55"/>
  <c r="T10" i="55"/>
  <c r="FK9" i="55"/>
  <c r="FJ9" i="55"/>
  <c r="FI9" i="55"/>
  <c r="FH9" i="55"/>
  <c r="FG9" i="55"/>
  <c r="FE9" i="55"/>
  <c r="FC9" i="55"/>
  <c r="FB9" i="55"/>
  <c r="EY9" i="55"/>
  <c r="EX9" i="55"/>
  <c r="CO9" i="55"/>
  <c r="CM9" i="55"/>
  <c r="AC9" i="55"/>
  <c r="S9" i="55"/>
  <c r="FK8" i="55"/>
  <c r="FJ8" i="55"/>
  <c r="FI8" i="55"/>
  <c r="FH8" i="55"/>
  <c r="FG8" i="55"/>
  <c r="FE8" i="55"/>
  <c r="FD8" i="55"/>
  <c r="FC8" i="55"/>
  <c r="FB8" i="55"/>
  <c r="FA8" i="55"/>
  <c r="EZ8" i="55"/>
  <c r="EY8" i="55"/>
  <c r="EX8" i="55"/>
  <c r="CY8" i="55"/>
  <c r="CX8" i="55"/>
  <c r="CW8" i="55"/>
  <c r="CV8" i="55"/>
  <c r="CU8" i="55"/>
  <c r="CT8" i="55"/>
  <c r="CO8" i="55"/>
  <c r="CN8" i="55"/>
  <c r="CM8" i="55"/>
  <c r="CL8" i="55"/>
  <c r="AC8" i="55"/>
  <c r="Z8" i="55"/>
  <c r="FK7" i="55"/>
  <c r="FJ7" i="55"/>
  <c r="FI7" i="55"/>
  <c r="FH7" i="55"/>
  <c r="FG7" i="55"/>
  <c r="FE7" i="55"/>
  <c r="FD7" i="55"/>
  <c r="FC7" i="55"/>
  <c r="FB7" i="55"/>
  <c r="FA7" i="55"/>
  <c r="EZ7" i="55"/>
  <c r="EY7" i="55"/>
  <c r="EX7" i="55"/>
  <c r="CO7" i="55"/>
  <c r="CM7" i="55"/>
  <c r="S13" i="55" l="1"/>
  <c r="AD24" i="55"/>
  <c r="R71" i="55"/>
  <c r="T141" i="55"/>
  <c r="S15" i="55"/>
  <c r="T7" i="55"/>
  <c r="T14" i="55"/>
  <c r="S16" i="55"/>
  <c r="C36" i="55"/>
  <c r="S40" i="55"/>
  <c r="S45" i="55"/>
  <c r="R51" i="55"/>
  <c r="P67" i="55"/>
  <c r="P78" i="55"/>
  <c r="P79" i="55"/>
  <c r="AF109" i="55"/>
  <c r="AF116" i="55" s="1"/>
  <c r="M148" i="55"/>
  <c r="R74" i="55"/>
  <c r="P76" i="55"/>
  <c r="C182" i="57"/>
  <c r="E170" i="57"/>
  <c r="S44" i="55"/>
  <c r="T109" i="55"/>
  <c r="T135" i="55"/>
  <c r="F84" i="55"/>
  <c r="R80" i="55"/>
  <c r="T146" i="55"/>
  <c r="S8" i="55"/>
  <c r="T8" i="55"/>
  <c r="T16" i="55"/>
  <c r="R39" i="55"/>
  <c r="R42" i="55"/>
  <c r="AF45" i="55"/>
  <c r="AF52" i="55" s="1"/>
  <c r="BL51" i="55" s="1"/>
  <c r="R46" i="55"/>
  <c r="P47" i="55"/>
  <c r="R75" i="55"/>
  <c r="AF77" i="55"/>
  <c r="AF84" i="55" s="1"/>
  <c r="BL75" i="55" s="1"/>
  <c r="R78" i="55"/>
  <c r="R79" i="55"/>
  <c r="T87" i="55"/>
  <c r="T145" i="55"/>
  <c r="D152" i="55"/>
  <c r="S7" i="55"/>
  <c r="D100" i="55"/>
  <c r="T13" i="55"/>
  <c r="S14" i="55"/>
  <c r="R40" i="55"/>
  <c r="T111" i="55"/>
  <c r="S10" i="55"/>
  <c r="S11" i="55"/>
  <c r="M20" i="55"/>
  <c r="S18" i="55"/>
  <c r="S39" i="55"/>
  <c r="S41" i="55"/>
  <c r="S42" i="55"/>
  <c r="S46" i="55"/>
  <c r="S47" i="55"/>
  <c r="AF61" i="55"/>
  <c r="AF68" i="55" s="1"/>
  <c r="BL57" i="55" s="1"/>
  <c r="T107" i="55"/>
  <c r="S136" i="55"/>
  <c r="E183" i="57"/>
  <c r="T88" i="55"/>
  <c r="T105" i="55"/>
  <c r="M116" i="55"/>
  <c r="T138" i="55"/>
  <c r="R44" i="55"/>
  <c r="P114" i="55"/>
  <c r="P124" i="55"/>
  <c r="R138" i="55"/>
  <c r="F6" i="57"/>
  <c r="T122" i="55"/>
  <c r="K84" i="55"/>
  <c r="R35" i="55"/>
  <c r="H52" i="55"/>
  <c r="P65" i="55"/>
  <c r="BL73" i="55"/>
  <c r="AD76" i="55"/>
  <c r="T89" i="55"/>
  <c r="T92" i="55"/>
  <c r="P111" i="55"/>
  <c r="R107" i="55"/>
  <c r="O153" i="57"/>
  <c r="P19" i="55"/>
  <c r="I100" i="55"/>
  <c r="T97" i="55"/>
  <c r="T124" i="55"/>
  <c r="P59" i="55"/>
  <c r="R56" i="55"/>
  <c r="T91" i="55"/>
  <c r="P97" i="55"/>
  <c r="AK114" i="55"/>
  <c r="AK184" i="55" s="1"/>
  <c r="P126" i="55"/>
  <c r="R129" i="55"/>
  <c r="F145" i="57"/>
  <c r="AL19" i="55"/>
  <c r="AM19" i="55" s="1"/>
  <c r="P10" i="55"/>
  <c r="K36" i="55"/>
  <c r="P28" i="55"/>
  <c r="T60" i="55"/>
  <c r="T90" i="55"/>
  <c r="T95" i="55"/>
  <c r="T128" i="55"/>
  <c r="M205" i="57"/>
  <c r="AB182" i="57"/>
  <c r="F23" i="57"/>
  <c r="AY178" i="55"/>
  <c r="AS175" i="55"/>
  <c r="AP178" i="55"/>
  <c r="AR173" i="55"/>
  <c r="AZ173" i="55"/>
  <c r="AD187" i="57"/>
  <c r="AE187" i="57" s="1"/>
  <c r="E180" i="57"/>
  <c r="F64" i="57"/>
  <c r="F101" i="57"/>
  <c r="C68" i="55"/>
  <c r="R61" i="55"/>
  <c r="D68" i="55"/>
  <c r="R55" i="55"/>
  <c r="R57" i="55"/>
  <c r="R59" i="55"/>
  <c r="J68" i="55"/>
  <c r="R66" i="55"/>
  <c r="R58" i="55"/>
  <c r="S140" i="55"/>
  <c r="P138" i="55"/>
  <c r="R119" i="55"/>
  <c r="AK124" i="55"/>
  <c r="R127" i="55"/>
  <c r="H132" i="55"/>
  <c r="BR126" i="55"/>
  <c r="R125" i="55"/>
  <c r="R122" i="55"/>
  <c r="R124" i="55"/>
  <c r="R120" i="55"/>
  <c r="R123" i="55"/>
  <c r="P113" i="55"/>
  <c r="T114" i="55"/>
  <c r="T108" i="55"/>
  <c r="T110" i="55"/>
  <c r="BL87" i="55"/>
  <c r="BL89" i="55"/>
  <c r="P98" i="55"/>
  <c r="P44" i="55"/>
  <c r="R50" i="55"/>
  <c r="R45" i="55"/>
  <c r="S35" i="55"/>
  <c r="S23" i="55"/>
  <c r="S28" i="55"/>
  <c r="S26" i="55"/>
  <c r="S25" i="55"/>
  <c r="S27" i="55"/>
  <c r="S29" i="55"/>
  <c r="S31" i="55"/>
  <c r="S30" i="55"/>
  <c r="L36" i="55"/>
  <c r="S24" i="55"/>
  <c r="F153" i="55"/>
  <c r="D151" i="55"/>
  <c r="K162" i="55"/>
  <c r="AE147" i="57"/>
  <c r="AE66" i="57"/>
  <c r="AI66" i="57" s="1"/>
  <c r="AO66" i="57" s="1"/>
  <c r="AE78" i="57"/>
  <c r="AE99" i="57"/>
  <c r="AE150" i="57"/>
  <c r="AX181" i="55"/>
  <c r="BC145" i="55"/>
  <c r="BB179" i="55"/>
  <c r="BC95" i="55"/>
  <c r="AT173" i="55"/>
  <c r="BB173" i="55"/>
  <c r="AQ174" i="55"/>
  <c r="AY174" i="55"/>
  <c r="AV175" i="55"/>
  <c r="AS176" i="55"/>
  <c r="BA176" i="55"/>
  <c r="AR177" i="55"/>
  <c r="AZ177" i="55"/>
  <c r="AQ178" i="55"/>
  <c r="AU179" i="55"/>
  <c r="AW180" i="55"/>
  <c r="AQ181" i="55"/>
  <c r="AY181" i="55"/>
  <c r="AS182" i="55"/>
  <c r="BA182" i="55"/>
  <c r="AU183" i="55"/>
  <c r="AV184" i="55"/>
  <c r="AP185" i="55"/>
  <c r="AX185" i="55"/>
  <c r="BB177" i="55"/>
  <c r="AW179" i="55"/>
  <c r="F45" i="57"/>
  <c r="AC171" i="57"/>
  <c r="E162" i="57"/>
  <c r="F50" i="57"/>
  <c r="AB163" i="57"/>
  <c r="D138" i="57"/>
  <c r="D165" i="57"/>
  <c r="E203" i="57"/>
  <c r="F203" i="57" s="1"/>
  <c r="F205" i="57"/>
  <c r="AB164" i="57"/>
  <c r="AD180" i="57"/>
  <c r="AE180" i="57" s="1"/>
  <c r="M188" i="57"/>
  <c r="AC170" i="57"/>
  <c r="F14" i="57"/>
  <c r="F102" i="57"/>
  <c r="F112" i="57"/>
  <c r="F116" i="57"/>
  <c r="AD165" i="57"/>
  <c r="AE76" i="57"/>
  <c r="AE7" i="57"/>
  <c r="AE28" i="57"/>
  <c r="AT180" i="55"/>
  <c r="AV178" i="55"/>
  <c r="AX176" i="55"/>
  <c r="AV181" i="55"/>
  <c r="BA174" i="55"/>
  <c r="AX175" i="55"/>
  <c r="BA178" i="55"/>
  <c r="AP184" i="55"/>
  <c r="AZ185" i="55"/>
  <c r="AT174" i="55"/>
  <c r="BB174" i="55"/>
  <c r="AY175" i="55"/>
  <c r="AU177" i="55"/>
  <c r="AT178" i="55"/>
  <c r="BB178" i="55"/>
  <c r="AX179" i="55"/>
  <c r="AZ180" i="55"/>
  <c r="AT181" i="55"/>
  <c r="BB181" i="55"/>
  <c r="AV182" i="55"/>
  <c r="AP183" i="55"/>
  <c r="AX183" i="55"/>
  <c r="AQ184" i="55"/>
  <c r="AY184" i="55"/>
  <c r="AS185" i="55"/>
  <c r="AU173" i="55"/>
  <c r="AP173" i="55"/>
  <c r="AX173" i="55"/>
  <c r="AS174" i="55"/>
  <c r="AP175" i="55"/>
  <c r="AU176" i="55"/>
  <c r="AT177" i="55"/>
  <c r="AS178" i="55"/>
  <c r="AQ180" i="55"/>
  <c r="AY180" i="55"/>
  <c r="AS181" i="55"/>
  <c r="BA181" i="55"/>
  <c r="AU182" i="55"/>
  <c r="AX184" i="55"/>
  <c r="AU20" i="55"/>
  <c r="CA20" i="55" s="1"/>
  <c r="AZ20" i="55"/>
  <c r="CF13" i="55" s="1"/>
  <c r="DL13" i="55" s="1"/>
  <c r="BC11" i="55"/>
  <c r="AC186" i="57"/>
  <c r="AE186" i="57" s="1"/>
  <c r="AC169" i="57"/>
  <c r="BA36" i="55"/>
  <c r="CG35" i="55" s="1"/>
  <c r="BC39" i="55"/>
  <c r="BC75" i="55"/>
  <c r="BC77" i="55"/>
  <c r="AE9" i="57"/>
  <c r="AE30" i="57"/>
  <c r="AE40" i="57"/>
  <c r="AE44" i="57"/>
  <c r="AE48" i="57"/>
  <c r="AE58" i="57"/>
  <c r="AE142" i="57"/>
  <c r="AE145" i="57"/>
  <c r="AE149" i="57"/>
  <c r="BC157" i="55"/>
  <c r="AE64" i="57"/>
  <c r="AE130" i="57"/>
  <c r="AE143" i="57"/>
  <c r="BC40" i="55"/>
  <c r="AY52" i="55"/>
  <c r="CE51" i="55" s="1"/>
  <c r="BC43" i="55"/>
  <c r="BC44" i="55"/>
  <c r="AU52" i="55"/>
  <c r="CA45" i="55" s="1"/>
  <c r="BC48" i="55"/>
  <c r="BC49" i="55"/>
  <c r="BC51" i="55"/>
  <c r="AR174" i="55"/>
  <c r="AZ174" i="55"/>
  <c r="AW175" i="55"/>
  <c r="AT176" i="55"/>
  <c r="BB176" i="55"/>
  <c r="AS177" i="55"/>
  <c r="BA177" i="55"/>
  <c r="AR178" i="55"/>
  <c r="AZ178" i="55"/>
  <c r="AV179" i="55"/>
  <c r="AP180" i="55"/>
  <c r="AX180" i="55"/>
  <c r="AZ181" i="55"/>
  <c r="AT182" i="55"/>
  <c r="BB182" i="55"/>
  <c r="AV183" i="55"/>
  <c r="AW184" i="55"/>
  <c r="AQ185" i="55"/>
  <c r="AY185" i="55"/>
  <c r="BC89" i="55"/>
  <c r="AV100" i="55"/>
  <c r="CB96" i="55" s="1"/>
  <c r="BC93" i="55"/>
  <c r="BC94" i="55"/>
  <c r="BA100" i="55"/>
  <c r="CG91" i="55" s="1"/>
  <c r="BC104" i="55"/>
  <c r="AR116" i="55"/>
  <c r="BX109" i="55" s="1"/>
  <c r="AZ175" i="55"/>
  <c r="AW176" i="55"/>
  <c r="AV177" i="55"/>
  <c r="BC108" i="55"/>
  <c r="AQ179" i="55"/>
  <c r="AY179" i="55"/>
  <c r="BC110" i="55"/>
  <c r="BA180" i="55"/>
  <c r="AU181" i="55"/>
  <c r="AW182" i="55"/>
  <c r="BC113" i="55"/>
  <c r="AY183" i="55"/>
  <c r="AR184" i="55"/>
  <c r="AZ184" i="55"/>
  <c r="AT185" i="55"/>
  <c r="BB185" i="55"/>
  <c r="AS173" i="55"/>
  <c r="BA173" i="55"/>
  <c r="BC120" i="55"/>
  <c r="BC122" i="55"/>
  <c r="BC123" i="55"/>
  <c r="AV132" i="55"/>
  <c r="CB132" i="55" s="1"/>
  <c r="BC126" i="55"/>
  <c r="BC128" i="55"/>
  <c r="BC129" i="55"/>
  <c r="BC130" i="55"/>
  <c r="AQ132" i="55"/>
  <c r="BW130" i="55" s="1"/>
  <c r="AP148" i="55"/>
  <c r="BV146" i="55" s="1"/>
  <c r="AX148" i="55"/>
  <c r="CD135" i="55" s="1"/>
  <c r="DJ135" i="55" s="1"/>
  <c r="AW174" i="55"/>
  <c r="AT175" i="55"/>
  <c r="BB175" i="55"/>
  <c r="BC138" i="55"/>
  <c r="AY176" i="55"/>
  <c r="BC139" i="55"/>
  <c r="AX177" i="55"/>
  <c r="AW178" i="55"/>
  <c r="AS179" i="55"/>
  <c r="BA179" i="55"/>
  <c r="BC142" i="55"/>
  <c r="AW181" i="55"/>
  <c r="AQ182" i="55"/>
  <c r="AY182" i="55"/>
  <c r="AS183" i="55"/>
  <c r="BA183" i="55"/>
  <c r="AT184" i="55"/>
  <c r="BB184" i="55"/>
  <c r="AV148" i="55"/>
  <c r="CB147" i="55" s="1"/>
  <c r="DH147" i="55" s="1"/>
  <c r="AY164" i="55"/>
  <c r="CE151" i="55" s="1"/>
  <c r="DK151" i="55" s="1"/>
  <c r="AU164" i="55"/>
  <c r="CA164" i="55" s="1"/>
  <c r="AV173" i="55"/>
  <c r="AQ173" i="55"/>
  <c r="AY173" i="55"/>
  <c r="AV174" i="55"/>
  <c r="BA175" i="55"/>
  <c r="BC106" i="55"/>
  <c r="AW177" i="55"/>
  <c r="AR179" i="55"/>
  <c r="AZ179" i="55"/>
  <c r="BB180" i="55"/>
  <c r="AX182" i="55"/>
  <c r="AR183" i="55"/>
  <c r="AZ183" i="55"/>
  <c r="AS184" i="55"/>
  <c r="BA184" i="55"/>
  <c r="AU185" i="55"/>
  <c r="AX174" i="55"/>
  <c r="AU175" i="55"/>
  <c r="AR176" i="55"/>
  <c r="AZ176" i="55"/>
  <c r="AQ177" i="55"/>
  <c r="AY177" i="55"/>
  <c r="AX178" i="55"/>
  <c r="AT179" i="55"/>
  <c r="AV180" i="55"/>
  <c r="AP181" i="55"/>
  <c r="AR182" i="55"/>
  <c r="AZ182" i="55"/>
  <c r="AT183" i="55"/>
  <c r="BB183" i="55"/>
  <c r="AU184" i="55"/>
  <c r="AW185" i="55"/>
  <c r="M152" i="57"/>
  <c r="T152" i="57" s="1"/>
  <c r="N205" i="57"/>
  <c r="F44" i="57"/>
  <c r="F52" i="57"/>
  <c r="D204" i="57"/>
  <c r="N108" i="57"/>
  <c r="P108" i="57" s="1"/>
  <c r="D53" i="57"/>
  <c r="AC164" i="57"/>
  <c r="P18" i="57"/>
  <c r="O188" i="57"/>
  <c r="AE12" i="57"/>
  <c r="AE35" i="57"/>
  <c r="AV185" i="55"/>
  <c r="AP176" i="55"/>
  <c r="BB100" i="55"/>
  <c r="CH89" i="55" s="1"/>
  <c r="BC72" i="55"/>
  <c r="BC73" i="55"/>
  <c r="AW84" i="55"/>
  <c r="CC79" i="55" s="1"/>
  <c r="BC78" i="55"/>
  <c r="AY84" i="55"/>
  <c r="CE80" i="55" s="1"/>
  <c r="BC79" i="55"/>
  <c r="BC80" i="55"/>
  <c r="BC83" i="55"/>
  <c r="AS36" i="55"/>
  <c r="BY30" i="55" s="1"/>
  <c r="BC25" i="55"/>
  <c r="AQ36" i="55"/>
  <c r="BW29" i="55" s="1"/>
  <c r="AY36" i="55"/>
  <c r="CE25" i="55" s="1"/>
  <c r="AV36" i="55"/>
  <c r="CB36" i="55" s="1"/>
  <c r="BC33" i="55"/>
  <c r="BC34" i="55"/>
  <c r="AW36" i="55"/>
  <c r="CC30" i="55" s="1"/>
  <c r="AW20" i="55"/>
  <c r="CC20" i="55" s="1"/>
  <c r="AT20" i="55"/>
  <c r="BZ16" i="55" s="1"/>
  <c r="BB20" i="55"/>
  <c r="CH20" i="55" s="1"/>
  <c r="BC10" i="55"/>
  <c r="AY20" i="55"/>
  <c r="CE17" i="55" s="1"/>
  <c r="AP20" i="55"/>
  <c r="BV16" i="55" s="1"/>
  <c r="AX20" i="55"/>
  <c r="CD7" i="55" s="1"/>
  <c r="BC12" i="55"/>
  <c r="AS20" i="55"/>
  <c r="BY14" i="55" s="1"/>
  <c r="BA20" i="55"/>
  <c r="CG20" i="55" s="1"/>
  <c r="BC14" i="55"/>
  <c r="BC15" i="55"/>
  <c r="BC16" i="55"/>
  <c r="BC17" i="55"/>
  <c r="BC18" i="55"/>
  <c r="BC19" i="55"/>
  <c r="AE33" i="57"/>
  <c r="AE65" i="57"/>
  <c r="AB161" i="57"/>
  <c r="AB168" i="57"/>
  <c r="F15" i="57"/>
  <c r="F126" i="57"/>
  <c r="F143" i="57"/>
  <c r="M28" i="57"/>
  <c r="N60" i="57"/>
  <c r="D162" i="57"/>
  <c r="N143" i="57"/>
  <c r="P112" i="57"/>
  <c r="T63" i="55"/>
  <c r="T56" i="55"/>
  <c r="P60" i="55"/>
  <c r="T61" i="55"/>
  <c r="T62" i="55"/>
  <c r="P66" i="55"/>
  <c r="T55" i="55"/>
  <c r="AA56" i="55"/>
  <c r="AA68" i="55" s="1"/>
  <c r="T57" i="55"/>
  <c r="T58" i="55"/>
  <c r="T59" i="55"/>
  <c r="H153" i="55"/>
  <c r="O163" i="55"/>
  <c r="P163" i="55" s="1"/>
  <c r="AE179" i="55"/>
  <c r="AL147" i="55"/>
  <c r="P147" i="55"/>
  <c r="G132" i="55"/>
  <c r="T123" i="55"/>
  <c r="T126" i="55"/>
  <c r="AG126" i="55"/>
  <c r="T121" i="55"/>
  <c r="T119" i="55"/>
  <c r="T120" i="55"/>
  <c r="AM131" i="55"/>
  <c r="M132" i="55"/>
  <c r="AC176" i="55"/>
  <c r="T125" i="55"/>
  <c r="P104" i="55"/>
  <c r="P105" i="55"/>
  <c r="P108" i="55"/>
  <c r="P109" i="55"/>
  <c r="K156" i="55"/>
  <c r="AC116" i="55"/>
  <c r="BI115" i="55" s="1"/>
  <c r="CO115" i="55" s="1"/>
  <c r="S88" i="55"/>
  <c r="S95" i="55"/>
  <c r="G152" i="55"/>
  <c r="AC179" i="55"/>
  <c r="P92" i="55"/>
  <c r="F157" i="55"/>
  <c r="S92" i="55"/>
  <c r="AD174" i="55"/>
  <c r="AK179" i="55"/>
  <c r="N155" i="55"/>
  <c r="N153" i="55"/>
  <c r="R77" i="55"/>
  <c r="T71" i="55"/>
  <c r="C52" i="55"/>
  <c r="C152" i="55"/>
  <c r="P42" i="55"/>
  <c r="G151" i="55"/>
  <c r="F151" i="55"/>
  <c r="P34" i="55"/>
  <c r="C151" i="55"/>
  <c r="H152" i="55"/>
  <c r="G153" i="55"/>
  <c r="N156" i="55"/>
  <c r="P26" i="55"/>
  <c r="E151" i="55"/>
  <c r="K153" i="55"/>
  <c r="J158" i="55"/>
  <c r="J164" i="55" s="1"/>
  <c r="H151" i="55"/>
  <c r="K154" i="55"/>
  <c r="N154" i="55"/>
  <c r="R26" i="55"/>
  <c r="R28" i="55"/>
  <c r="P31" i="55"/>
  <c r="AF29" i="55"/>
  <c r="AF36" i="55" s="1"/>
  <c r="BL35" i="55" s="1"/>
  <c r="R27" i="55"/>
  <c r="R23" i="55"/>
  <c r="R24" i="55"/>
  <c r="R30" i="55"/>
  <c r="R10" i="55"/>
  <c r="C166" i="57"/>
  <c r="F61" i="57"/>
  <c r="P47" i="57"/>
  <c r="AE98" i="57"/>
  <c r="N42" i="57"/>
  <c r="E199" i="57"/>
  <c r="F199" i="57" s="1"/>
  <c r="P110" i="57"/>
  <c r="F131" i="57"/>
  <c r="P115" i="57"/>
  <c r="E163" i="57"/>
  <c r="E169" i="57"/>
  <c r="E36" i="57"/>
  <c r="AE50" i="57"/>
  <c r="AE52" i="57"/>
  <c r="D183" i="57"/>
  <c r="F130" i="57"/>
  <c r="P154" i="57"/>
  <c r="C165" i="57"/>
  <c r="D168" i="57"/>
  <c r="AB169" i="57"/>
  <c r="O17" i="57"/>
  <c r="AB171" i="57"/>
  <c r="F28" i="57"/>
  <c r="F46" i="57"/>
  <c r="O58" i="57"/>
  <c r="P58" i="57" s="1"/>
  <c r="N68" i="57"/>
  <c r="P68" i="57" s="1"/>
  <c r="E87" i="57"/>
  <c r="C178" i="57"/>
  <c r="F178" i="57" s="1"/>
  <c r="F80" i="57"/>
  <c r="AC194" i="57"/>
  <c r="E198" i="57"/>
  <c r="E204" i="57"/>
  <c r="AE103" i="57"/>
  <c r="F109" i="57"/>
  <c r="M111" i="57"/>
  <c r="M179" i="57" s="1"/>
  <c r="F118" i="57"/>
  <c r="P120" i="57"/>
  <c r="AE137" i="57"/>
  <c r="E155" i="57"/>
  <c r="N183" i="57"/>
  <c r="AC159" i="57"/>
  <c r="O9" i="57"/>
  <c r="AD164" i="57"/>
  <c r="E165" i="57"/>
  <c r="E167" i="57"/>
  <c r="AD169" i="57"/>
  <c r="AE45" i="57"/>
  <c r="AE69" i="57"/>
  <c r="N74" i="57"/>
  <c r="F75" i="57"/>
  <c r="O80" i="57"/>
  <c r="O183" i="57"/>
  <c r="C195" i="57"/>
  <c r="F195" i="57" s="1"/>
  <c r="M95" i="57"/>
  <c r="AB203" i="57"/>
  <c r="P109" i="57"/>
  <c r="E138" i="57"/>
  <c r="M130" i="57"/>
  <c r="M198" i="57" s="1"/>
  <c r="AC160" i="57"/>
  <c r="AD161" i="57"/>
  <c r="AD163" i="57"/>
  <c r="AE11" i="57"/>
  <c r="M12" i="57"/>
  <c r="E166" i="57"/>
  <c r="AD170" i="57"/>
  <c r="O23" i="57"/>
  <c r="P23" i="57" s="1"/>
  <c r="F41" i="57"/>
  <c r="E70" i="57"/>
  <c r="C70" i="57"/>
  <c r="O67" i="57"/>
  <c r="V67" i="57" s="1"/>
  <c r="O74" i="57"/>
  <c r="O176" i="57" s="1"/>
  <c r="AB183" i="57"/>
  <c r="E186" i="57"/>
  <c r="F186" i="57" s="1"/>
  <c r="N102" i="57"/>
  <c r="N204" i="57" s="1"/>
  <c r="O205" i="57"/>
  <c r="F115" i="57"/>
  <c r="F117" i="57"/>
  <c r="AE118" i="57"/>
  <c r="F128" i="57"/>
  <c r="F134" i="57"/>
  <c r="AD160" i="57"/>
  <c r="AC162" i="57"/>
  <c r="C164" i="57"/>
  <c r="O12" i="57"/>
  <c r="O13" i="57"/>
  <c r="AB167" i="57"/>
  <c r="C170" i="57"/>
  <c r="AB36" i="57"/>
  <c r="N40" i="57"/>
  <c r="M45" i="57"/>
  <c r="P45" i="57" s="1"/>
  <c r="M64" i="57"/>
  <c r="AB176" i="57"/>
  <c r="O75" i="57"/>
  <c r="O177" i="57" s="1"/>
  <c r="N76" i="57"/>
  <c r="N178" i="57" s="1"/>
  <c r="M78" i="57"/>
  <c r="M180" i="57" s="1"/>
  <c r="E181" i="57"/>
  <c r="C185" i="57"/>
  <c r="F84" i="57"/>
  <c r="F85" i="57"/>
  <c r="N188" i="57"/>
  <c r="D193" i="57"/>
  <c r="F193" i="57" s="1"/>
  <c r="N98" i="57"/>
  <c r="P103" i="57"/>
  <c r="F110" i="57"/>
  <c r="O125" i="57"/>
  <c r="M145" i="57"/>
  <c r="D164" i="57"/>
  <c r="AC167" i="57"/>
  <c r="F30" i="57"/>
  <c r="F43" i="57"/>
  <c r="F58" i="57"/>
  <c r="E179" i="57"/>
  <c r="N78" i="57"/>
  <c r="N180" i="57" s="1"/>
  <c r="M79" i="57"/>
  <c r="AD183" i="57"/>
  <c r="N85" i="57"/>
  <c r="M93" i="57"/>
  <c r="O199" i="57"/>
  <c r="AB200" i="57"/>
  <c r="AB204" i="57"/>
  <c r="AE204" i="57" s="1"/>
  <c r="F148" i="57"/>
  <c r="F149" i="57"/>
  <c r="M182" i="57"/>
  <c r="E160" i="57"/>
  <c r="D161" i="57"/>
  <c r="C162" i="57"/>
  <c r="D163" i="57"/>
  <c r="AC165" i="57"/>
  <c r="AC166" i="57"/>
  <c r="D36" i="57"/>
  <c r="N52" i="57"/>
  <c r="N171" i="57" s="1"/>
  <c r="M59" i="57"/>
  <c r="F77" i="57"/>
  <c r="O181" i="57"/>
  <c r="D182" i="57"/>
  <c r="O85" i="57"/>
  <c r="O187" i="57" s="1"/>
  <c r="N93" i="57"/>
  <c r="N195" i="57" s="1"/>
  <c r="AD201" i="57"/>
  <c r="AE100" i="57"/>
  <c r="AC205" i="57"/>
  <c r="AE205" i="57" s="1"/>
  <c r="F151" i="57"/>
  <c r="O152" i="57"/>
  <c r="V152" i="57" s="1"/>
  <c r="D159" i="57"/>
  <c r="D19" i="57"/>
  <c r="M160" i="57"/>
  <c r="D166" i="57"/>
  <c r="N13" i="57"/>
  <c r="F13" i="57"/>
  <c r="AB170" i="57"/>
  <c r="AE17" i="57"/>
  <c r="AC36" i="57"/>
  <c r="E159" i="57"/>
  <c r="E19" i="57"/>
  <c r="E161" i="57"/>
  <c r="AE23" i="57"/>
  <c r="AD36" i="57"/>
  <c r="AE24" i="57"/>
  <c r="AE29" i="57"/>
  <c r="F31" i="57"/>
  <c r="P35" i="57"/>
  <c r="O40" i="57"/>
  <c r="E53" i="57"/>
  <c r="C163" i="57"/>
  <c r="M10" i="57"/>
  <c r="F10" i="57"/>
  <c r="F32" i="57"/>
  <c r="M159" i="57"/>
  <c r="AB159" i="57"/>
  <c r="AB19" i="57"/>
  <c r="P7" i="57"/>
  <c r="O8" i="57"/>
  <c r="AE25" i="57"/>
  <c r="F33" i="57"/>
  <c r="C36" i="57"/>
  <c r="AE43" i="57"/>
  <c r="AE47" i="57"/>
  <c r="N6" i="57"/>
  <c r="O6" i="57"/>
  <c r="AD159" i="57"/>
  <c r="AD19" i="57"/>
  <c r="AB160" i="57"/>
  <c r="AE31" i="57"/>
  <c r="AE6" i="57"/>
  <c r="D160" i="57"/>
  <c r="F7" i="57"/>
  <c r="AB162" i="57"/>
  <c r="AE32" i="57"/>
  <c r="N34" i="57"/>
  <c r="F34" i="57"/>
  <c r="C161" i="57"/>
  <c r="C19" i="57"/>
  <c r="M8" i="57"/>
  <c r="F8" i="57"/>
  <c r="AC161" i="57"/>
  <c r="AE8" i="57"/>
  <c r="E164" i="57"/>
  <c r="O11" i="57"/>
  <c r="AE26" i="57"/>
  <c r="AE27" i="57"/>
  <c r="C53" i="57"/>
  <c r="M42" i="57"/>
  <c r="F42" i="57"/>
  <c r="N9" i="57"/>
  <c r="O10" i="57"/>
  <c r="N12" i="57"/>
  <c r="AE13" i="57"/>
  <c r="D167" i="57"/>
  <c r="AE14" i="57"/>
  <c r="AE15" i="57"/>
  <c r="AE18" i="57"/>
  <c r="F25" i="57"/>
  <c r="F27" i="57"/>
  <c r="N28" i="57"/>
  <c r="M30" i="57"/>
  <c r="P30" i="57" s="1"/>
  <c r="AE34" i="57"/>
  <c r="O41" i="57"/>
  <c r="P41" i="57" s="1"/>
  <c r="O42" i="57"/>
  <c r="M43" i="57"/>
  <c r="M44" i="57"/>
  <c r="P44" i="57" s="1"/>
  <c r="F49" i="57"/>
  <c r="M51" i="57"/>
  <c r="F51" i="57"/>
  <c r="AE51" i="57"/>
  <c r="M176" i="57"/>
  <c r="AD162" i="57"/>
  <c r="AE10" i="57"/>
  <c r="E168" i="57"/>
  <c r="F16" i="57"/>
  <c r="F17" i="57"/>
  <c r="F24" i="57"/>
  <c r="F26" i="57"/>
  <c r="F29" i="57"/>
  <c r="AE41" i="57"/>
  <c r="AE42" i="57"/>
  <c r="N43" i="57"/>
  <c r="AE49" i="57"/>
  <c r="N51" i="57"/>
  <c r="C171" i="57"/>
  <c r="M52" i="57"/>
  <c r="AE57" i="57"/>
  <c r="AC70" i="57"/>
  <c r="AE61" i="57"/>
  <c r="F65" i="57"/>
  <c r="P69" i="57"/>
  <c r="C183" i="57"/>
  <c r="M81" i="57"/>
  <c r="F81" i="57"/>
  <c r="E185" i="57"/>
  <c r="F11" i="57"/>
  <c r="N17" i="57"/>
  <c r="N24" i="57"/>
  <c r="P24" i="57" s="1"/>
  <c r="O25" i="57"/>
  <c r="N26" i="57"/>
  <c r="P26" i="57" s="1"/>
  <c r="O27" i="57"/>
  <c r="P27" i="57" s="1"/>
  <c r="N29" i="57"/>
  <c r="P29" i="57" s="1"/>
  <c r="F40" i="57"/>
  <c r="F47" i="57"/>
  <c r="D70" i="57"/>
  <c r="AC19" i="57"/>
  <c r="AB53" i="57"/>
  <c r="AE46" i="57"/>
  <c r="AC53" i="57"/>
  <c r="O66" i="57"/>
  <c r="V66" i="57" s="1"/>
  <c r="N66" i="57"/>
  <c r="U66" i="57" s="1"/>
  <c r="M66" i="57"/>
  <c r="M178" i="57"/>
  <c r="N11" i="57"/>
  <c r="M13" i="57"/>
  <c r="AB166" i="57"/>
  <c r="M34" i="57"/>
  <c r="M60" i="57"/>
  <c r="F60" i="57"/>
  <c r="F9" i="57"/>
  <c r="F12" i="57"/>
  <c r="AC168" i="57"/>
  <c r="AD53" i="57"/>
  <c r="P46" i="57"/>
  <c r="F48" i="57"/>
  <c r="M62" i="57"/>
  <c r="F62" i="57"/>
  <c r="AC163" i="57"/>
  <c r="AB165" i="57"/>
  <c r="AD166" i="57"/>
  <c r="C167" i="57"/>
  <c r="AD167" i="57"/>
  <c r="C168" i="57"/>
  <c r="AD168" i="57"/>
  <c r="D169" i="57"/>
  <c r="AE16" i="57"/>
  <c r="D170" i="57"/>
  <c r="AD171" i="57"/>
  <c r="AE59" i="57"/>
  <c r="O57" i="57"/>
  <c r="AD70" i="57"/>
  <c r="O60" i="57"/>
  <c r="M61" i="57"/>
  <c r="P61" i="57" s="1"/>
  <c r="O62" i="57"/>
  <c r="F63" i="57"/>
  <c r="N64" i="57"/>
  <c r="AE67" i="57"/>
  <c r="AI67" i="57" s="1"/>
  <c r="AO67" i="57" s="1"/>
  <c r="F68" i="57"/>
  <c r="AE68" i="57"/>
  <c r="AD176" i="57"/>
  <c r="AD87" i="57"/>
  <c r="E184" i="57"/>
  <c r="AD197" i="57"/>
  <c r="AE197" i="57" s="1"/>
  <c r="AE95" i="57"/>
  <c r="F59" i="57"/>
  <c r="AE60" i="57"/>
  <c r="AE62" i="57"/>
  <c r="E176" i="57"/>
  <c r="F176" i="57" s="1"/>
  <c r="F74" i="57"/>
  <c r="AD177" i="57"/>
  <c r="N59" i="57"/>
  <c r="O63" i="57"/>
  <c r="P63" i="57" s="1"/>
  <c r="D181" i="57"/>
  <c r="N79" i="57"/>
  <c r="F79" i="57"/>
  <c r="AD193" i="57"/>
  <c r="AD104" i="57"/>
  <c r="D197" i="57"/>
  <c r="F197" i="57" s="1"/>
  <c r="N95" i="57"/>
  <c r="F95" i="57"/>
  <c r="AC199" i="57"/>
  <c r="AE63" i="57"/>
  <c r="M177" i="57"/>
  <c r="O52" i="57"/>
  <c r="O171" i="57" s="1"/>
  <c r="F57" i="57"/>
  <c r="AB178" i="57"/>
  <c r="AD179" i="57"/>
  <c r="AB70" i="57"/>
  <c r="M67" i="57"/>
  <c r="AC178" i="57"/>
  <c r="AC176" i="57"/>
  <c r="AC87" i="57"/>
  <c r="AB177" i="57"/>
  <c r="AE75" i="57"/>
  <c r="AD182" i="57"/>
  <c r="AD195" i="57"/>
  <c r="AE93" i="57"/>
  <c r="AB198" i="57"/>
  <c r="AE96" i="57"/>
  <c r="AD138" i="57"/>
  <c r="AE77" i="57"/>
  <c r="F180" i="57"/>
  <c r="AE80" i="57"/>
  <c r="F82" i="57"/>
  <c r="F83" i="57"/>
  <c r="M85" i="57"/>
  <c r="O91" i="57"/>
  <c r="P91" i="57" s="1"/>
  <c r="AE91" i="57"/>
  <c r="O93" i="57"/>
  <c r="C198" i="57"/>
  <c r="F96" i="57"/>
  <c r="AD199" i="57"/>
  <c r="AE108" i="57"/>
  <c r="AE113" i="57"/>
  <c r="F114" i="57"/>
  <c r="AB87" i="57"/>
  <c r="C196" i="57"/>
  <c r="F94" i="57"/>
  <c r="D198" i="57"/>
  <c r="N96" i="57"/>
  <c r="C200" i="57"/>
  <c r="M98" i="57"/>
  <c r="AC121" i="57"/>
  <c r="O114" i="57"/>
  <c r="F177" i="57"/>
  <c r="AE181" i="57"/>
  <c r="AB196" i="57"/>
  <c r="AE94" i="57"/>
  <c r="O95" i="57"/>
  <c r="AE115" i="57"/>
  <c r="F76" i="57"/>
  <c r="F78" i="57"/>
  <c r="AE184" i="57"/>
  <c r="AE185" i="57"/>
  <c r="AE85" i="57"/>
  <c r="AE188" i="57"/>
  <c r="F92" i="57"/>
  <c r="AB194" i="57"/>
  <c r="AE92" i="57"/>
  <c r="N97" i="57"/>
  <c r="AE110" i="57"/>
  <c r="F187" i="57"/>
  <c r="M194" i="57"/>
  <c r="M94" i="57"/>
  <c r="F98" i="57"/>
  <c r="E201" i="57"/>
  <c r="F201" i="57" s="1"/>
  <c r="E202" i="57"/>
  <c r="AE116" i="57"/>
  <c r="AE79" i="57"/>
  <c r="AE84" i="57"/>
  <c r="C87" i="57"/>
  <c r="F91" i="57"/>
  <c r="AB193" i="57"/>
  <c r="AB104" i="57"/>
  <c r="N92" i="57"/>
  <c r="F93" i="57"/>
  <c r="N94" i="57"/>
  <c r="F111" i="57"/>
  <c r="AE74" i="57"/>
  <c r="N75" i="57"/>
  <c r="N177" i="57" s="1"/>
  <c r="O76" i="57"/>
  <c r="O178" i="57" s="1"/>
  <c r="N77" i="57"/>
  <c r="N179" i="57" s="1"/>
  <c r="O78" i="57"/>
  <c r="N80" i="57"/>
  <c r="N182" i="57" s="1"/>
  <c r="AE81" i="57"/>
  <c r="AE82" i="57"/>
  <c r="AE83" i="57"/>
  <c r="P86" i="57"/>
  <c r="AE86" i="57"/>
  <c r="D87" i="57"/>
  <c r="M193" i="57"/>
  <c r="AC193" i="57"/>
  <c r="AC104" i="57"/>
  <c r="O92" i="57"/>
  <c r="O94" i="57"/>
  <c r="O196" i="57" s="1"/>
  <c r="E104" i="57"/>
  <c r="O111" i="57"/>
  <c r="AE126" i="57"/>
  <c r="AB138" i="57"/>
  <c r="AE97" i="57"/>
  <c r="F99" i="57"/>
  <c r="F100" i="57"/>
  <c r="AD121" i="57"/>
  <c r="F133" i="57"/>
  <c r="AE202" i="57"/>
  <c r="AE102" i="57"/>
  <c r="D121" i="57"/>
  <c r="AE109" i="57"/>
  <c r="C121" i="57"/>
  <c r="AE112" i="57"/>
  <c r="F119" i="57"/>
  <c r="N119" i="57"/>
  <c r="P119" i="57" s="1"/>
  <c r="AE131" i="57"/>
  <c r="M147" i="57"/>
  <c r="F147" i="57"/>
  <c r="F97" i="57"/>
  <c r="E121" i="57"/>
  <c r="AE111" i="57"/>
  <c r="AE114" i="57"/>
  <c r="AE119" i="57"/>
  <c r="AE128" i="57"/>
  <c r="M97" i="57"/>
  <c r="O98" i="57"/>
  <c r="O200" i="57" s="1"/>
  <c r="AD200" i="57"/>
  <c r="AE101" i="57"/>
  <c r="C104" i="57"/>
  <c r="F108" i="57"/>
  <c r="F113" i="57"/>
  <c r="AE117" i="57"/>
  <c r="M136" i="57"/>
  <c r="M204" i="57" s="1"/>
  <c r="F136" i="57"/>
  <c r="D104" i="57"/>
  <c r="AB121" i="57"/>
  <c r="M113" i="57"/>
  <c r="P113" i="57" s="1"/>
  <c r="AE125" i="57"/>
  <c r="D155" i="57"/>
  <c r="F142" i="57"/>
  <c r="N142" i="57"/>
  <c r="N126" i="57"/>
  <c r="P126" i="57" s="1"/>
  <c r="O127" i="57"/>
  <c r="N128" i="57"/>
  <c r="P128" i="57" s="1"/>
  <c r="O129" i="57"/>
  <c r="N131" i="57"/>
  <c r="P131" i="57" s="1"/>
  <c r="AE132" i="57"/>
  <c r="AE133" i="57"/>
  <c r="AC155" i="57"/>
  <c r="AE127" i="57"/>
  <c r="AE129" i="57"/>
  <c r="F135" i="57"/>
  <c r="O136" i="57"/>
  <c r="O204" i="57" s="1"/>
  <c r="AD155" i="57"/>
  <c r="C138" i="57"/>
  <c r="AE134" i="57"/>
  <c r="AE135" i="57"/>
  <c r="O142" i="57"/>
  <c r="AE148" i="57"/>
  <c r="F125" i="57"/>
  <c r="F132" i="57"/>
  <c r="AE136" i="57"/>
  <c r="M144" i="57"/>
  <c r="P144" i="57" s="1"/>
  <c r="C155" i="57"/>
  <c r="F144" i="57"/>
  <c r="AE152" i="57"/>
  <c r="AI152" i="57" s="1"/>
  <c r="AO152" i="57" s="1"/>
  <c r="AE120" i="57"/>
  <c r="F127" i="57"/>
  <c r="F129" i="57"/>
  <c r="N130" i="57"/>
  <c r="M132" i="57"/>
  <c r="F150" i="57"/>
  <c r="N125" i="57"/>
  <c r="AC138" i="57"/>
  <c r="M127" i="57"/>
  <c r="M129" i="57"/>
  <c r="O130" i="57"/>
  <c r="O198" i="57" s="1"/>
  <c r="N132" i="57"/>
  <c r="P137" i="57"/>
  <c r="O143" i="57"/>
  <c r="AE144" i="57"/>
  <c r="O145" i="57"/>
  <c r="AE146" i="57"/>
  <c r="O148" i="57"/>
  <c r="P148" i="57" s="1"/>
  <c r="AE153" i="57"/>
  <c r="AB155" i="57"/>
  <c r="F146" i="57"/>
  <c r="F153" i="57"/>
  <c r="M146" i="57"/>
  <c r="P146" i="57" s="1"/>
  <c r="O147" i="57"/>
  <c r="N149" i="57"/>
  <c r="P149" i="57" s="1"/>
  <c r="AE151" i="57"/>
  <c r="AI151" i="57" s="1"/>
  <c r="AO151" i="57" s="1"/>
  <c r="M153" i="57"/>
  <c r="P153" i="57" s="1"/>
  <c r="AE154" i="57"/>
  <c r="F194" i="57"/>
  <c r="F188" i="57"/>
  <c r="AE148" i="55"/>
  <c r="BK143" i="55" s="1"/>
  <c r="AV20" i="55"/>
  <c r="CB20" i="55" s="1"/>
  <c r="E152" i="55"/>
  <c r="E154" i="55"/>
  <c r="G156" i="55"/>
  <c r="E157" i="55"/>
  <c r="L160" i="55"/>
  <c r="V16" i="55" s="1"/>
  <c r="N162" i="55"/>
  <c r="P29" i="55"/>
  <c r="K52" i="55"/>
  <c r="Z56" i="55"/>
  <c r="AV176" i="55"/>
  <c r="AP177" i="55"/>
  <c r="AK178" i="55"/>
  <c r="AU178" i="55"/>
  <c r="AP179" i="55"/>
  <c r="AS180" i="55"/>
  <c r="AQ183" i="55"/>
  <c r="T73" i="55"/>
  <c r="E100" i="55"/>
  <c r="P112" i="55"/>
  <c r="P141" i="55"/>
  <c r="F152" i="55"/>
  <c r="AE8" i="55"/>
  <c r="AE152" i="55" s="1"/>
  <c r="F154" i="55"/>
  <c r="G155" i="55"/>
  <c r="H156" i="55"/>
  <c r="AK157" i="55"/>
  <c r="R16" i="55"/>
  <c r="P35" i="55"/>
  <c r="AC42" i="55"/>
  <c r="AC52" i="55" s="1"/>
  <c r="BC45" i="55"/>
  <c r="P50" i="55"/>
  <c r="P56" i="55"/>
  <c r="AE176" i="55"/>
  <c r="AD179" i="55"/>
  <c r="AD71" i="55"/>
  <c r="P87" i="55"/>
  <c r="AE87" i="55"/>
  <c r="AE173" i="55" s="1"/>
  <c r="AB105" i="55"/>
  <c r="BC107" i="55"/>
  <c r="AB109" i="55"/>
  <c r="BC112" i="55"/>
  <c r="AD122" i="55"/>
  <c r="AD154" i="55" s="1"/>
  <c r="P140" i="55"/>
  <c r="E153" i="55"/>
  <c r="G154" i="55"/>
  <c r="H155" i="55"/>
  <c r="H157" i="55"/>
  <c r="BC13" i="55"/>
  <c r="K159" i="55"/>
  <c r="U127" i="55" s="1"/>
  <c r="H36" i="55"/>
  <c r="AQ52" i="55"/>
  <c r="BW62" i="55" s="1"/>
  <c r="BL46" i="55"/>
  <c r="AU180" i="55"/>
  <c r="AQ84" i="55"/>
  <c r="BW77" i="55" s="1"/>
  <c r="T72" i="55"/>
  <c r="T78" i="55"/>
  <c r="H100" i="55"/>
  <c r="AS100" i="55"/>
  <c r="BY96" i="55" s="1"/>
  <c r="BC91" i="55"/>
  <c r="S104" i="55"/>
  <c r="AK106" i="55"/>
  <c r="AK154" i="55" s="1"/>
  <c r="H116" i="55"/>
  <c r="G148" i="55"/>
  <c r="AU148" i="55"/>
  <c r="CA143" i="55" s="1"/>
  <c r="DG143" i="55" s="1"/>
  <c r="R141" i="55"/>
  <c r="BC8" i="55"/>
  <c r="BC9" i="55"/>
  <c r="H154" i="55"/>
  <c r="K155" i="55"/>
  <c r="I157" i="55"/>
  <c r="I164" i="55" s="1"/>
  <c r="AU36" i="55"/>
  <c r="CA32" i="55" s="1"/>
  <c r="AE25" i="55"/>
  <c r="BL47" i="55"/>
  <c r="AC174" i="55"/>
  <c r="AQ176" i="55"/>
  <c r="K68" i="55"/>
  <c r="T77" i="55"/>
  <c r="P81" i="55"/>
  <c r="AT100" i="55"/>
  <c r="BZ94" i="55" s="1"/>
  <c r="R90" i="55"/>
  <c r="AD92" i="55"/>
  <c r="AD178" i="55" s="1"/>
  <c r="AU116" i="55"/>
  <c r="CA109" i="55" s="1"/>
  <c r="AE108" i="55"/>
  <c r="AE116" i="55" s="1"/>
  <c r="P122" i="55"/>
  <c r="BC125" i="55"/>
  <c r="R135" i="55"/>
  <c r="AQ20" i="55"/>
  <c r="BW18" i="55" s="1"/>
  <c r="R8" i="55"/>
  <c r="K157" i="55"/>
  <c r="BL41" i="55"/>
  <c r="AQ175" i="55"/>
  <c r="BA185" i="55"/>
  <c r="T74" i="55"/>
  <c r="T79" i="55"/>
  <c r="AU100" i="55"/>
  <c r="CA97" i="55" s="1"/>
  <c r="AV116" i="55"/>
  <c r="CB114" i="55" s="1"/>
  <c r="P107" i="55"/>
  <c r="AD132" i="55"/>
  <c r="BJ132" i="55" s="1"/>
  <c r="R140" i="55"/>
  <c r="R142" i="55"/>
  <c r="R146" i="55"/>
  <c r="N157" i="55"/>
  <c r="BL39" i="55"/>
  <c r="P41" i="55"/>
  <c r="AE174" i="55"/>
  <c r="AK177" i="55"/>
  <c r="T80" i="55"/>
  <c r="R139" i="55"/>
  <c r="P143" i="55"/>
  <c r="R145" i="55"/>
  <c r="AB173" i="55"/>
  <c r="AU174" i="55"/>
  <c r="AD175" i="55"/>
  <c r="T75" i="55"/>
  <c r="CA15" i="55"/>
  <c r="CD14" i="55"/>
  <c r="CD9" i="55"/>
  <c r="CD18" i="55"/>
  <c r="CD11" i="55"/>
  <c r="AR20" i="55"/>
  <c r="P45" i="55"/>
  <c r="AD45" i="55"/>
  <c r="C84" i="55"/>
  <c r="P71" i="55"/>
  <c r="Z71" i="55"/>
  <c r="AE11" i="55"/>
  <c r="AD12" i="55"/>
  <c r="G157" i="55"/>
  <c r="R14" i="55"/>
  <c r="T17" i="55"/>
  <c r="T18" i="55"/>
  <c r="J20" i="55"/>
  <c r="AR36" i="55"/>
  <c r="AZ36" i="55"/>
  <c r="P24" i="55"/>
  <c r="AC24" i="55"/>
  <c r="BC30" i="55"/>
  <c r="CE62" i="55"/>
  <c r="AD11" i="55"/>
  <c r="AB9" i="55"/>
  <c r="AE12" i="55"/>
  <c r="C20" i="55"/>
  <c r="K20" i="55"/>
  <c r="D36" i="55"/>
  <c r="AA23" i="55"/>
  <c r="AA36" i="55" s="1"/>
  <c r="BC24" i="55"/>
  <c r="AK25" i="55"/>
  <c r="AK36" i="55" s="1"/>
  <c r="N36" i="55"/>
  <c r="BC31" i="55"/>
  <c r="AK11" i="55"/>
  <c r="AK155" i="55" s="1"/>
  <c r="AC13" i="55"/>
  <c r="D20" i="55"/>
  <c r="L20" i="55"/>
  <c r="AB36" i="55"/>
  <c r="Z36" i="55"/>
  <c r="AT36" i="55"/>
  <c r="BB36" i="55"/>
  <c r="E36" i="55"/>
  <c r="N52" i="55"/>
  <c r="AK41" i="55"/>
  <c r="AK52" i="55" s="1"/>
  <c r="AB176" i="55"/>
  <c r="AB7" i="55"/>
  <c r="AA8" i="55"/>
  <c r="AD9" i="55"/>
  <c r="AD153" i="55" s="1"/>
  <c r="AB10" i="55"/>
  <c r="P11" i="55"/>
  <c r="AK12" i="55"/>
  <c r="AK156" i="55" s="1"/>
  <c r="AD13" i="55"/>
  <c r="AG14" i="55"/>
  <c r="P15" i="55"/>
  <c r="E20" i="55"/>
  <c r="AL20" i="55"/>
  <c r="F36" i="55"/>
  <c r="BC23" i="55"/>
  <c r="BC28" i="55"/>
  <c r="BL29" i="55"/>
  <c r="BL33" i="55"/>
  <c r="T34" i="55"/>
  <c r="T24" i="55"/>
  <c r="T33" i="55"/>
  <c r="T27" i="55"/>
  <c r="T25" i="55"/>
  <c r="T32" i="55"/>
  <c r="T26" i="55"/>
  <c r="T35" i="55"/>
  <c r="P33" i="55"/>
  <c r="T30" i="55"/>
  <c r="T28" i="55"/>
  <c r="BC35" i="55"/>
  <c r="M36" i="55"/>
  <c r="AT52" i="55"/>
  <c r="BB52" i="55"/>
  <c r="BC42" i="55"/>
  <c r="BC50" i="55"/>
  <c r="AM40" i="55"/>
  <c r="Z7" i="55"/>
  <c r="AB8" i="55"/>
  <c r="AE9" i="55"/>
  <c r="AC10" i="55"/>
  <c r="R11" i="55"/>
  <c r="P12" i="55"/>
  <c r="AE13" i="55"/>
  <c r="AE157" i="55" s="1"/>
  <c r="R15" i="55"/>
  <c r="M161" i="55"/>
  <c r="W33" i="55" s="1"/>
  <c r="AK18" i="55"/>
  <c r="F20" i="55"/>
  <c r="N20" i="55"/>
  <c r="Z52" i="55"/>
  <c r="BC46" i="55"/>
  <c r="T47" i="55"/>
  <c r="P75" i="55"/>
  <c r="AE75" i="55"/>
  <c r="P7" i="55"/>
  <c r="BC7" i="55"/>
  <c r="P9" i="55"/>
  <c r="R12" i="55"/>
  <c r="P13" i="55"/>
  <c r="AF13" i="55"/>
  <c r="P17" i="55"/>
  <c r="P18" i="55"/>
  <c r="R19" i="55"/>
  <c r="G20" i="55"/>
  <c r="AE23" i="55"/>
  <c r="AE36" i="55" s="1"/>
  <c r="BC26" i="55"/>
  <c r="BC47" i="55"/>
  <c r="T51" i="55"/>
  <c r="M52" i="55"/>
  <c r="T50" i="55"/>
  <c r="T39" i="55"/>
  <c r="T40" i="55"/>
  <c r="T49" i="55"/>
  <c r="T43" i="55"/>
  <c r="T41" i="55"/>
  <c r="T48" i="55"/>
  <c r="T42" i="55"/>
  <c r="P49" i="55"/>
  <c r="T46" i="55"/>
  <c r="T44" i="55"/>
  <c r="AC7" i="55"/>
  <c r="AE7" i="55"/>
  <c r="P8" i="55"/>
  <c r="AD8" i="55"/>
  <c r="R9" i="55"/>
  <c r="AK9" i="55"/>
  <c r="AE10" i="55"/>
  <c r="AE154" i="55" s="1"/>
  <c r="R13" i="55"/>
  <c r="T15" i="55"/>
  <c r="P16" i="55"/>
  <c r="R17" i="55"/>
  <c r="R18" i="55"/>
  <c r="S19" i="55"/>
  <c r="H20" i="55"/>
  <c r="P23" i="55"/>
  <c r="AP36" i="55"/>
  <c r="AX36" i="55"/>
  <c r="BC27" i="55"/>
  <c r="BC29" i="55"/>
  <c r="BC32" i="55"/>
  <c r="E52" i="55"/>
  <c r="AB39" i="55"/>
  <c r="AB52" i="55" s="1"/>
  <c r="BC41" i="55"/>
  <c r="AT84" i="55"/>
  <c r="BB84" i="55"/>
  <c r="P25" i="55"/>
  <c r="P27" i="55"/>
  <c r="S32" i="55"/>
  <c r="F52" i="55"/>
  <c r="AA39" i="55"/>
  <c r="AA52" i="55" s="1"/>
  <c r="AR52" i="55"/>
  <c r="AZ52" i="55"/>
  <c r="P43" i="55"/>
  <c r="S48" i="55"/>
  <c r="BL50" i="55"/>
  <c r="AW173" i="55"/>
  <c r="AW68" i="55"/>
  <c r="P61" i="55"/>
  <c r="AB61" i="55"/>
  <c r="AB68" i="55" s="1"/>
  <c r="BC61" i="55"/>
  <c r="AR185" i="55"/>
  <c r="BC67" i="55"/>
  <c r="R25" i="55"/>
  <c r="AD28" i="55"/>
  <c r="AC29" i="55"/>
  <c r="AG30" i="55"/>
  <c r="R33" i="55"/>
  <c r="AL35" i="55"/>
  <c r="O36" i="55"/>
  <c r="G52" i="55"/>
  <c r="AS52" i="55"/>
  <c r="BA52" i="55"/>
  <c r="R41" i="55"/>
  <c r="AD44" i="55"/>
  <c r="AG46" i="55"/>
  <c r="BL48" i="55"/>
  <c r="R49" i="55"/>
  <c r="AC68" i="55"/>
  <c r="AE59" i="55"/>
  <c r="BL65" i="55"/>
  <c r="BL64" i="55"/>
  <c r="BL66" i="55"/>
  <c r="AR180" i="55"/>
  <c r="BC62" i="55"/>
  <c r="AT68" i="55"/>
  <c r="S83" i="55"/>
  <c r="L84" i="55"/>
  <c r="S72" i="55"/>
  <c r="S81" i="55"/>
  <c r="S75" i="55"/>
  <c r="S73" i="55"/>
  <c r="S80" i="55"/>
  <c r="S74" i="55"/>
  <c r="S82" i="55"/>
  <c r="S78" i="55"/>
  <c r="S76" i="55"/>
  <c r="P80" i="55"/>
  <c r="S79" i="55"/>
  <c r="S77" i="55"/>
  <c r="S33" i="55"/>
  <c r="P40" i="55"/>
  <c r="BL43" i="55"/>
  <c r="BL52" i="55"/>
  <c r="AD68" i="55"/>
  <c r="P57" i="55"/>
  <c r="AE57" i="55"/>
  <c r="AE175" i="55" s="1"/>
  <c r="AR175" i="55"/>
  <c r="BC57" i="55"/>
  <c r="AR181" i="55"/>
  <c r="BC63" i="55"/>
  <c r="S56" i="55"/>
  <c r="S65" i="55"/>
  <c r="S59" i="55"/>
  <c r="S57" i="55"/>
  <c r="S64" i="55"/>
  <c r="S58" i="55"/>
  <c r="S67" i="55"/>
  <c r="S62" i="55"/>
  <c r="S60" i="55"/>
  <c r="L68" i="55"/>
  <c r="P64" i="55"/>
  <c r="S63" i="55"/>
  <c r="S61" i="55"/>
  <c r="BB68" i="55"/>
  <c r="P39" i="55"/>
  <c r="AD39" i="55"/>
  <c r="BL49" i="55"/>
  <c r="AP174" i="55"/>
  <c r="BC56" i="55"/>
  <c r="BC81" i="55"/>
  <c r="R34" i="55"/>
  <c r="J36" i="55"/>
  <c r="AE52" i="55"/>
  <c r="AV52" i="55"/>
  <c r="BL45" i="55"/>
  <c r="AK68" i="55"/>
  <c r="AP182" i="55"/>
  <c r="BC64" i="55"/>
  <c r="BC74" i="55"/>
  <c r="P77" i="55"/>
  <c r="AB77" i="55"/>
  <c r="R31" i="55"/>
  <c r="S34" i="55"/>
  <c r="AW52" i="55"/>
  <c r="P46" i="55"/>
  <c r="R47" i="55"/>
  <c r="S51" i="55"/>
  <c r="L52" i="55"/>
  <c r="S50" i="55"/>
  <c r="P72" i="55"/>
  <c r="AA72" i="55"/>
  <c r="AM72" i="55" s="1"/>
  <c r="P73" i="55"/>
  <c r="AE73" i="55"/>
  <c r="BC76" i="55"/>
  <c r="AP52" i="55"/>
  <c r="AX52" i="55"/>
  <c r="P55" i="55"/>
  <c r="Z55" i="55"/>
  <c r="P58" i="55"/>
  <c r="BC58" i="55"/>
  <c r="BC59" i="55"/>
  <c r="AW183" i="55"/>
  <c r="T66" i="55"/>
  <c r="R67" i="55"/>
  <c r="AU68" i="55"/>
  <c r="D84" i="55"/>
  <c r="AP84" i="55"/>
  <c r="AX84" i="55"/>
  <c r="P74" i="55"/>
  <c r="P82" i="55"/>
  <c r="AK82" i="55"/>
  <c r="AM104" i="55"/>
  <c r="O116" i="55"/>
  <c r="AL115" i="55"/>
  <c r="P115" i="55"/>
  <c r="R64" i="55"/>
  <c r="E68" i="55"/>
  <c r="M68" i="55"/>
  <c r="AV68" i="55"/>
  <c r="E84" i="55"/>
  <c r="BW82" i="55"/>
  <c r="N84" i="55"/>
  <c r="BC92" i="55"/>
  <c r="T67" i="55"/>
  <c r="F68" i="55"/>
  <c r="N68" i="55"/>
  <c r="AR84" i="55"/>
  <c r="AZ84" i="55"/>
  <c r="AB100" i="55"/>
  <c r="AL51" i="55"/>
  <c r="AG62" i="55"/>
  <c r="R65" i="55"/>
  <c r="BC66" i="55"/>
  <c r="AL67" i="55"/>
  <c r="G68" i="55"/>
  <c r="AP68" i="55"/>
  <c r="AX68" i="55"/>
  <c r="G84" i="55"/>
  <c r="AB71" i="55"/>
  <c r="AS84" i="55"/>
  <c r="BA84" i="55"/>
  <c r="R73" i="55"/>
  <c r="AK73" i="55"/>
  <c r="AG78" i="55"/>
  <c r="T81" i="55"/>
  <c r="T83" i="55"/>
  <c r="M84" i="55"/>
  <c r="T82" i="55"/>
  <c r="BC82" i="55"/>
  <c r="G100" i="55"/>
  <c r="AD87" i="55"/>
  <c r="AD100" i="55" s="1"/>
  <c r="BA116" i="55"/>
  <c r="H68" i="55"/>
  <c r="AQ68" i="55"/>
  <c r="AY68" i="55"/>
  <c r="H84" i="55"/>
  <c r="AC71" i="55"/>
  <c r="AC84" i="55" s="1"/>
  <c r="BX110" i="55"/>
  <c r="BC55" i="55"/>
  <c r="BC60" i="55"/>
  <c r="T65" i="55"/>
  <c r="AR68" i="55"/>
  <c r="AZ68" i="55"/>
  <c r="AU84" i="55"/>
  <c r="BC71" i="55"/>
  <c r="R82" i="55"/>
  <c r="R81" i="55"/>
  <c r="R83" i="55"/>
  <c r="AA88" i="55"/>
  <c r="BC97" i="55"/>
  <c r="P63" i="55"/>
  <c r="BC65" i="55"/>
  <c r="AS68" i="55"/>
  <c r="BA68" i="55"/>
  <c r="AE71" i="55"/>
  <c r="AV84" i="55"/>
  <c r="BI113" i="55"/>
  <c r="CO113" i="55" s="1"/>
  <c r="BC87" i="55"/>
  <c r="P89" i="55"/>
  <c r="AC89" i="55"/>
  <c r="AC153" i="55" s="1"/>
  <c r="BL97" i="55"/>
  <c r="BL91" i="55"/>
  <c r="BL96" i="55"/>
  <c r="BL98" i="55"/>
  <c r="BL99" i="55"/>
  <c r="BL95" i="55"/>
  <c r="BL94" i="55"/>
  <c r="BL100" i="55"/>
  <c r="S91" i="55"/>
  <c r="S89" i="55"/>
  <c r="S97" i="55"/>
  <c r="S90" i="55"/>
  <c r="S99" i="55"/>
  <c r="S94" i="55"/>
  <c r="S93" i="55"/>
  <c r="S98" i="55"/>
  <c r="BC103" i="55"/>
  <c r="AX116" i="55"/>
  <c r="G116" i="55"/>
  <c r="AP116" i="55"/>
  <c r="AA132" i="55"/>
  <c r="P123" i="55"/>
  <c r="AE123" i="55"/>
  <c r="P91" i="55"/>
  <c r="P96" i="55"/>
  <c r="BC98" i="55"/>
  <c r="AQ116" i="55"/>
  <c r="AY116" i="55"/>
  <c r="BC105" i="55"/>
  <c r="AD107" i="55"/>
  <c r="F132" i="55"/>
  <c r="AC119" i="55"/>
  <c r="AC132" i="55" s="1"/>
  <c r="P119" i="55"/>
  <c r="AW100" i="55"/>
  <c r="AG100" i="55"/>
  <c r="AM94" i="55"/>
  <c r="S96" i="55"/>
  <c r="J100" i="55"/>
  <c r="AZ116" i="55"/>
  <c r="K116" i="55"/>
  <c r="R105" i="55"/>
  <c r="P106" i="55"/>
  <c r="BC109" i="55"/>
  <c r="BC115" i="55"/>
  <c r="AL83" i="55"/>
  <c r="C100" i="55"/>
  <c r="AP100" i="55"/>
  <c r="AX100" i="55"/>
  <c r="BC88" i="55"/>
  <c r="K100" i="55"/>
  <c r="P93" i="55"/>
  <c r="BL93" i="55"/>
  <c r="P94" i="55"/>
  <c r="O100" i="55"/>
  <c r="AL99" i="55"/>
  <c r="P99" i="55"/>
  <c r="L100" i="55"/>
  <c r="AS116" i="55"/>
  <c r="AG110" i="55"/>
  <c r="J116" i="55"/>
  <c r="P110" i="55"/>
  <c r="P125" i="55"/>
  <c r="AB125" i="55"/>
  <c r="AQ100" i="55"/>
  <c r="AY100" i="55"/>
  <c r="AK89" i="55"/>
  <c r="AK100" i="55" s="1"/>
  <c r="N100" i="55"/>
  <c r="BC90" i="55"/>
  <c r="BL116" i="55"/>
  <c r="BL113" i="55"/>
  <c r="BL107" i="55"/>
  <c r="BL112" i="55"/>
  <c r="BL114" i="55"/>
  <c r="BL115" i="55"/>
  <c r="BL111" i="55"/>
  <c r="BL110" i="55"/>
  <c r="BL103" i="55"/>
  <c r="BL109" i="55"/>
  <c r="E116" i="55"/>
  <c r="AR100" i="55"/>
  <c r="AZ100" i="55"/>
  <c r="BC96" i="55"/>
  <c r="BC99" i="55"/>
  <c r="BL105" i="55"/>
  <c r="BC111" i="55"/>
  <c r="BC114" i="55"/>
  <c r="AC87" i="55"/>
  <c r="AC100" i="55" s="1"/>
  <c r="F100" i="55"/>
  <c r="P88" i="55"/>
  <c r="Z88" i="55"/>
  <c r="Z174" i="55" s="1"/>
  <c r="D116" i="55"/>
  <c r="AA103" i="55"/>
  <c r="AA116" i="55" s="1"/>
  <c r="C116" i="55"/>
  <c r="AW116" i="55"/>
  <c r="S114" i="55"/>
  <c r="AU132" i="55"/>
  <c r="BC119" i="55"/>
  <c r="P120" i="55"/>
  <c r="AB120" i="55"/>
  <c r="P130" i="55"/>
  <c r="P90" i="55"/>
  <c r="R96" i="55"/>
  <c r="M100" i="55"/>
  <c r="Z103" i="55"/>
  <c r="N116" i="55"/>
  <c r="S108" i="55"/>
  <c r="S110" i="55"/>
  <c r="R112" i="55"/>
  <c r="S115" i="55"/>
  <c r="AY148" i="55"/>
  <c r="T99" i="55"/>
  <c r="F116" i="55"/>
  <c r="S106" i="55"/>
  <c r="S112" i="55"/>
  <c r="T115" i="55"/>
  <c r="AP132" i="55"/>
  <c r="AX132" i="55"/>
  <c r="K132" i="55"/>
  <c r="R121" i="55"/>
  <c r="BC121" i="55"/>
  <c r="AR148" i="55"/>
  <c r="BK141" i="55"/>
  <c r="AK105" i="55"/>
  <c r="T112" i="55"/>
  <c r="L116" i="55"/>
  <c r="AY132" i="55"/>
  <c r="BA148" i="55"/>
  <c r="AT116" i="55"/>
  <c r="BB116" i="55"/>
  <c r="S105" i="55"/>
  <c r="S107" i="55"/>
  <c r="AR132" i="55"/>
  <c r="AZ132" i="55"/>
  <c r="BR130" i="55"/>
  <c r="CX130" i="55" s="1"/>
  <c r="BR131" i="55"/>
  <c r="CX131" i="55" s="1"/>
  <c r="BR132" i="55"/>
  <c r="CX132" i="55" s="1"/>
  <c r="BR129" i="55"/>
  <c r="CX129" i="55" s="1"/>
  <c r="BR128" i="55"/>
  <c r="CX128" i="55" s="1"/>
  <c r="BR125" i="55"/>
  <c r="BR121" i="55"/>
  <c r="CX121" i="55" s="1"/>
  <c r="BR123" i="55"/>
  <c r="BR119" i="55"/>
  <c r="CX119" i="55" s="1"/>
  <c r="P103" i="55"/>
  <c r="T113" i="55"/>
  <c r="E132" i="55"/>
  <c r="BC124" i="55"/>
  <c r="BC127" i="55"/>
  <c r="BC136" i="55"/>
  <c r="N148" i="55"/>
  <c r="AK137" i="55"/>
  <c r="AK148" i="55" s="1"/>
  <c r="AW132" i="55"/>
  <c r="N132" i="55"/>
  <c r="BC131" i="55"/>
  <c r="BF144" i="55"/>
  <c r="CL144" i="55" s="1"/>
  <c r="BF148" i="55"/>
  <c r="CL148" i="55" s="1"/>
  <c r="BF147" i="55"/>
  <c r="CL147" i="55" s="1"/>
  <c r="BF146" i="55"/>
  <c r="CL146" i="55" s="1"/>
  <c r="BF145" i="55"/>
  <c r="CL145" i="55" s="1"/>
  <c r="BF142" i="55"/>
  <c r="BF141" i="55"/>
  <c r="BF143" i="55"/>
  <c r="CL143" i="55" s="1"/>
  <c r="AS148" i="55"/>
  <c r="P121" i="55"/>
  <c r="L132" i="55"/>
  <c r="S130" i="55"/>
  <c r="S128" i="55"/>
  <c r="T130" i="55"/>
  <c r="T129" i="55"/>
  <c r="T131" i="55"/>
  <c r="P129" i="55"/>
  <c r="P136" i="55"/>
  <c r="AB136" i="55"/>
  <c r="AM136" i="55" s="1"/>
  <c r="P137" i="55"/>
  <c r="BC140" i="55"/>
  <c r="L148" i="55"/>
  <c r="S143" i="55"/>
  <c r="S141" i="55"/>
  <c r="S142" i="55"/>
  <c r="S137" i="55"/>
  <c r="S139" i="55"/>
  <c r="S135" i="55"/>
  <c r="S147" i="55"/>
  <c r="S146" i="55"/>
  <c r="P144" i="55"/>
  <c r="Z132" i="55"/>
  <c r="AK121" i="55"/>
  <c r="AK132" i="55" s="1"/>
  <c r="AC148" i="55"/>
  <c r="BC135" i="55"/>
  <c r="AD135" i="55"/>
  <c r="AD148" i="55" s="1"/>
  <c r="CB144" i="55"/>
  <c r="DH144" i="55" s="1"/>
  <c r="BC137" i="55"/>
  <c r="AF141" i="55"/>
  <c r="AF148" i="55" s="1"/>
  <c r="I148" i="55"/>
  <c r="AS132" i="55"/>
  <c r="BA132" i="55"/>
  <c r="R131" i="55"/>
  <c r="R130" i="55"/>
  <c r="P139" i="55"/>
  <c r="BC141" i="55"/>
  <c r="S145" i="55"/>
  <c r="F148" i="55"/>
  <c r="AT132" i="55"/>
  <c r="BB132" i="55"/>
  <c r="AF125" i="55"/>
  <c r="AF132" i="55" s="1"/>
  <c r="P127" i="55"/>
  <c r="S131" i="55"/>
  <c r="P135" i="55"/>
  <c r="K148" i="55"/>
  <c r="R137" i="55"/>
  <c r="H148" i="55"/>
  <c r="AT148" i="55"/>
  <c r="BB148" i="55"/>
  <c r="AB141" i="55"/>
  <c r="AL148" i="55"/>
  <c r="AM147" i="55"/>
  <c r="AT164" i="55"/>
  <c r="J148" i="55"/>
  <c r="AG142" i="55"/>
  <c r="AW148" i="55"/>
  <c r="P142" i="55"/>
  <c r="BC144" i="55"/>
  <c r="BC147" i="55"/>
  <c r="E148" i="55"/>
  <c r="AQ148" i="55"/>
  <c r="BC143" i="55"/>
  <c r="AQ164" i="55"/>
  <c r="BC151" i="55"/>
  <c r="AA148" i="55"/>
  <c r="AZ148" i="55"/>
  <c r="BC146" i="55"/>
  <c r="AR164" i="55"/>
  <c r="AZ164" i="55"/>
  <c r="BB164" i="55"/>
  <c r="R144" i="55"/>
  <c r="R147" i="55"/>
  <c r="BC154" i="55"/>
  <c r="BC155" i="55"/>
  <c r="BC160" i="55"/>
  <c r="R143" i="55"/>
  <c r="T147" i="55"/>
  <c r="BC158" i="55"/>
  <c r="AV164" i="55"/>
  <c r="BC153" i="55"/>
  <c r="BC156" i="55"/>
  <c r="AW164" i="55"/>
  <c r="P145" i="55"/>
  <c r="BC152" i="55"/>
  <c r="BC159" i="55"/>
  <c r="AP164" i="55"/>
  <c r="AX164" i="55"/>
  <c r="BC161" i="55"/>
  <c r="AS164" i="55"/>
  <c r="BA164" i="55"/>
  <c r="BC162" i="55"/>
  <c r="BC163" i="55"/>
  <c r="P186" i="55"/>
  <c r="V185" i="55"/>
  <c r="W185" i="55" s="1"/>
  <c r="D22" i="51"/>
  <c r="CF19" i="55" l="1"/>
  <c r="BL62" i="55"/>
  <c r="BL61" i="55"/>
  <c r="AD36" i="55"/>
  <c r="AD152" i="55"/>
  <c r="CF9" i="55"/>
  <c r="DL9" i="55" s="1"/>
  <c r="BK145" i="55"/>
  <c r="BL81" i="55"/>
  <c r="BL79" i="55"/>
  <c r="BK148" i="55"/>
  <c r="BL78" i="55"/>
  <c r="BL63" i="55"/>
  <c r="CF14" i="55"/>
  <c r="F182" i="57"/>
  <c r="D164" i="55"/>
  <c r="BL84" i="55"/>
  <c r="BL71" i="55"/>
  <c r="BK147" i="55"/>
  <c r="BK142" i="55"/>
  <c r="BK144" i="55"/>
  <c r="BL67" i="55"/>
  <c r="AM24" i="55"/>
  <c r="CF15" i="55"/>
  <c r="DL15" i="55" s="1"/>
  <c r="F162" i="57"/>
  <c r="AD84" i="55"/>
  <c r="BJ80" i="55" s="1"/>
  <c r="CE157" i="55"/>
  <c r="DK157" i="55" s="1"/>
  <c r="BK146" i="55"/>
  <c r="BL77" i="55"/>
  <c r="BL59" i="55"/>
  <c r="BY16" i="55"/>
  <c r="BL83" i="55"/>
  <c r="CC15" i="55"/>
  <c r="CA161" i="55"/>
  <c r="DG161" i="55" s="1"/>
  <c r="BL80" i="55"/>
  <c r="BL82" i="55"/>
  <c r="BL68" i="55"/>
  <c r="BL55" i="55"/>
  <c r="CF7" i="55"/>
  <c r="DL7" i="55" s="1"/>
  <c r="CC18" i="55"/>
  <c r="V48" i="55"/>
  <c r="CA18" i="55"/>
  <c r="CE155" i="55"/>
  <c r="DK155" i="55" s="1"/>
  <c r="AE100" i="55"/>
  <c r="BK95" i="55" s="1"/>
  <c r="CE41" i="55"/>
  <c r="CD17" i="55"/>
  <c r="CA13" i="55"/>
  <c r="DG13" i="55" s="1"/>
  <c r="CA19" i="55"/>
  <c r="CE161" i="55"/>
  <c r="DK161" i="55" s="1"/>
  <c r="BI114" i="55"/>
  <c r="CO114" i="55" s="1"/>
  <c r="AC154" i="55"/>
  <c r="CD20" i="55"/>
  <c r="CA17" i="55"/>
  <c r="AE182" i="57"/>
  <c r="CE163" i="55"/>
  <c r="DK163" i="55" s="1"/>
  <c r="BX115" i="55"/>
  <c r="CD15" i="55"/>
  <c r="CA16" i="55"/>
  <c r="CA14" i="55"/>
  <c r="BX112" i="55"/>
  <c r="AA84" i="55"/>
  <c r="BG78" i="55" s="1"/>
  <c r="V64" i="55"/>
  <c r="CD19" i="55"/>
  <c r="O182" i="57"/>
  <c r="P182" i="57" s="1"/>
  <c r="DB146" i="55"/>
  <c r="BZ9" i="55"/>
  <c r="BZ7" i="55"/>
  <c r="CG16" i="55"/>
  <c r="BW132" i="55"/>
  <c r="CD13" i="55"/>
  <c r="CD16" i="55"/>
  <c r="BY29" i="55"/>
  <c r="BY31" i="55"/>
  <c r="BY94" i="55"/>
  <c r="CG7" i="55"/>
  <c r="CA116" i="55"/>
  <c r="BY100" i="55"/>
  <c r="CE23" i="55"/>
  <c r="CE33" i="55"/>
  <c r="CE27" i="55"/>
  <c r="CB126" i="55"/>
  <c r="CB130" i="55"/>
  <c r="CG94" i="55"/>
  <c r="BW81" i="55"/>
  <c r="BW80" i="55"/>
  <c r="BW79" i="55"/>
  <c r="CE71" i="55"/>
  <c r="BW67" i="55"/>
  <c r="CA148" i="55"/>
  <c r="CA145" i="55"/>
  <c r="DG145" i="55" s="1"/>
  <c r="CB123" i="55"/>
  <c r="CB131" i="55"/>
  <c r="CB121" i="55"/>
  <c r="CB128" i="55"/>
  <c r="CB129" i="55"/>
  <c r="CB125" i="55"/>
  <c r="CB119" i="55"/>
  <c r="CB127" i="55"/>
  <c r="CA96" i="55"/>
  <c r="CG93" i="55"/>
  <c r="CE77" i="55"/>
  <c r="CE73" i="55"/>
  <c r="CE79" i="55"/>
  <c r="CE81" i="55"/>
  <c r="CE83" i="55"/>
  <c r="CE78" i="55"/>
  <c r="CE82" i="55"/>
  <c r="CE75" i="55"/>
  <c r="CE84" i="55"/>
  <c r="CE32" i="55"/>
  <c r="CE30" i="55"/>
  <c r="CE29" i="55"/>
  <c r="CE31" i="55"/>
  <c r="CE36" i="55"/>
  <c r="CE35" i="55"/>
  <c r="CE34" i="55"/>
  <c r="DK34" i="55" s="1"/>
  <c r="CG34" i="55"/>
  <c r="CG25" i="55"/>
  <c r="CE16" i="55"/>
  <c r="CE11" i="55"/>
  <c r="DK11" i="55" s="1"/>
  <c r="CD145" i="55"/>
  <c r="DJ145" i="55" s="1"/>
  <c r="BV144" i="55"/>
  <c r="DB144" i="55" s="1"/>
  <c r="BV143" i="55"/>
  <c r="DB143" i="55" s="1"/>
  <c r="CG98" i="55"/>
  <c r="CG97" i="55"/>
  <c r="BW78" i="55"/>
  <c r="BW84" i="55"/>
  <c r="BW83" i="55"/>
  <c r="CG32" i="55"/>
  <c r="CG36" i="55"/>
  <c r="CG33" i="55"/>
  <c r="CB27" i="55"/>
  <c r="CG29" i="55"/>
  <c r="CG27" i="55"/>
  <c r="CB30" i="55"/>
  <c r="CG30" i="55"/>
  <c r="CG31" i="55"/>
  <c r="CG23" i="55"/>
  <c r="CE20" i="55"/>
  <c r="CB143" i="55"/>
  <c r="DH143" i="55" s="1"/>
  <c r="CB146" i="55"/>
  <c r="DH146" i="55" s="1"/>
  <c r="CB135" i="55"/>
  <c r="DH135" i="55" s="1"/>
  <c r="CB137" i="55"/>
  <c r="DH137" i="55" s="1"/>
  <c r="CB142" i="55"/>
  <c r="DH142" i="55" s="1"/>
  <c r="CB145" i="55"/>
  <c r="DH145" i="55" s="1"/>
  <c r="CB141" i="55"/>
  <c r="CB148" i="55"/>
  <c r="CB139" i="55"/>
  <c r="DH139" i="55" s="1"/>
  <c r="BX111" i="55"/>
  <c r="BX114" i="55"/>
  <c r="BX105" i="55"/>
  <c r="BX116" i="55"/>
  <c r="BX113" i="55"/>
  <c r="CH98" i="55"/>
  <c r="BZ91" i="55"/>
  <c r="CC77" i="55"/>
  <c r="BW66" i="55"/>
  <c r="BW65" i="55"/>
  <c r="BW50" i="55"/>
  <c r="BW48" i="55"/>
  <c r="BW45" i="55"/>
  <c r="BW61" i="55"/>
  <c r="BW63" i="55"/>
  <c r="BW36" i="55"/>
  <c r="BW35" i="55"/>
  <c r="CH14" i="55"/>
  <c r="F181" i="57"/>
  <c r="M197" i="57"/>
  <c r="AA174" i="55"/>
  <c r="AB116" i="55"/>
  <c r="BH113" i="55" s="1"/>
  <c r="CN113" i="55" s="1"/>
  <c r="P158" i="55"/>
  <c r="O164" i="55"/>
  <c r="AD157" i="55"/>
  <c r="U95" i="55"/>
  <c r="L164" i="55"/>
  <c r="V80" i="55"/>
  <c r="V96" i="55"/>
  <c r="P160" i="55"/>
  <c r="V128" i="55"/>
  <c r="V144" i="55"/>
  <c r="V112" i="55"/>
  <c r="V32" i="55"/>
  <c r="P162" i="55"/>
  <c r="C164" i="55"/>
  <c r="V160" i="55"/>
  <c r="W161" i="55"/>
  <c r="AJ33" i="55" s="1"/>
  <c r="CA185" i="55"/>
  <c r="DG185" i="55" s="1"/>
  <c r="CE184" i="55"/>
  <c r="DK184" i="55" s="1"/>
  <c r="CE153" i="55"/>
  <c r="DK153" i="55" s="1"/>
  <c r="CE177" i="55"/>
  <c r="DK177" i="55" s="1"/>
  <c r="CA159" i="55"/>
  <c r="DG159" i="55" s="1"/>
  <c r="CA179" i="55"/>
  <c r="CE158" i="55"/>
  <c r="DK158" i="55" s="1"/>
  <c r="CA157" i="55"/>
  <c r="CA180" i="55"/>
  <c r="DG180" i="55" s="1"/>
  <c r="CA182" i="55"/>
  <c r="DG182" i="55" s="1"/>
  <c r="CA183" i="55"/>
  <c r="DG183" i="55" s="1"/>
  <c r="CE159" i="55"/>
  <c r="DK159" i="55" s="1"/>
  <c r="CA160" i="55"/>
  <c r="DG160" i="55" s="1"/>
  <c r="CE185" i="55"/>
  <c r="DK185" i="55" s="1"/>
  <c r="CE160" i="55"/>
  <c r="CA162" i="55"/>
  <c r="DG162" i="55" s="1"/>
  <c r="CE164" i="55"/>
  <c r="CA163" i="55"/>
  <c r="DG163" i="55" s="1"/>
  <c r="CE183" i="55"/>
  <c r="DK183" i="55" s="1"/>
  <c r="CE180" i="55"/>
  <c r="DK180" i="55" s="1"/>
  <c r="CE181" i="55"/>
  <c r="DK181" i="55" s="1"/>
  <c r="CA158" i="55"/>
  <c r="DG158" i="55" s="1"/>
  <c r="CA184" i="55"/>
  <c r="DG184" i="55" s="1"/>
  <c r="CE162" i="55"/>
  <c r="DK162" i="55" s="1"/>
  <c r="CA141" i="55"/>
  <c r="DG141" i="55" s="1"/>
  <c r="CA147" i="55"/>
  <c r="DG147" i="55" s="1"/>
  <c r="CA142" i="55"/>
  <c r="DG142" i="55" s="1"/>
  <c r="CA144" i="55"/>
  <c r="DG144" i="55" s="1"/>
  <c r="CE173" i="55"/>
  <c r="DK173" i="55" s="1"/>
  <c r="CA146" i="55"/>
  <c r="DG146" i="55" s="1"/>
  <c r="CA111" i="55"/>
  <c r="CA112" i="55"/>
  <c r="CA114" i="55"/>
  <c r="CA113" i="55"/>
  <c r="BY95" i="55"/>
  <c r="BY99" i="55"/>
  <c r="CB97" i="55"/>
  <c r="BY98" i="55"/>
  <c r="BY97" i="55"/>
  <c r="BY93" i="55"/>
  <c r="CC80" i="55"/>
  <c r="CC71" i="55"/>
  <c r="CA61" i="55"/>
  <c r="BW30" i="55"/>
  <c r="BW31" i="55"/>
  <c r="BW34" i="55"/>
  <c r="CC25" i="55"/>
  <c r="BW32" i="55"/>
  <c r="CC31" i="55"/>
  <c r="BW33" i="55"/>
  <c r="CA33" i="55"/>
  <c r="CH13" i="55"/>
  <c r="CH18" i="55"/>
  <c r="CH9" i="55"/>
  <c r="CF16" i="55"/>
  <c r="BZ11" i="55"/>
  <c r="BZ13" i="55"/>
  <c r="CG11" i="55"/>
  <c r="CH19" i="55"/>
  <c r="CG18" i="55"/>
  <c r="CH11" i="55"/>
  <c r="CF17" i="55"/>
  <c r="BZ19" i="55"/>
  <c r="BZ20" i="55"/>
  <c r="CG13" i="55"/>
  <c r="CH7" i="55"/>
  <c r="CF18" i="55"/>
  <c r="DL18" i="55" s="1"/>
  <c r="BZ17" i="55"/>
  <c r="CG17" i="55"/>
  <c r="CG15" i="55"/>
  <c r="CH15" i="55"/>
  <c r="BZ15" i="55"/>
  <c r="CH16" i="55"/>
  <c r="CH17" i="55"/>
  <c r="CF11" i="55"/>
  <c r="DL11" i="55" s="1"/>
  <c r="BZ14" i="55"/>
  <c r="CG9" i="55"/>
  <c r="CG19" i="55"/>
  <c r="BZ18" i="55"/>
  <c r="CF20" i="55"/>
  <c r="CG14" i="55"/>
  <c r="F170" i="57"/>
  <c r="F204" i="57"/>
  <c r="P143" i="57"/>
  <c r="P102" i="57"/>
  <c r="M195" i="57"/>
  <c r="P188" i="57"/>
  <c r="P205" i="57"/>
  <c r="P74" i="57"/>
  <c r="P28" i="57"/>
  <c r="AE161" i="57"/>
  <c r="AE163" i="57"/>
  <c r="BB186" i="55"/>
  <c r="CH186" i="55" s="1"/>
  <c r="CA181" i="55"/>
  <c r="DG181" i="55" s="1"/>
  <c r="CE179" i="55"/>
  <c r="DK179" i="55" s="1"/>
  <c r="CD139" i="55"/>
  <c r="CD143" i="55"/>
  <c r="BV148" i="55"/>
  <c r="BV135" i="55"/>
  <c r="CD147" i="55"/>
  <c r="DJ147" i="55" s="1"/>
  <c r="CD148" i="55"/>
  <c r="CE175" i="55"/>
  <c r="DK175" i="55" s="1"/>
  <c r="CD146" i="55"/>
  <c r="CD137" i="55"/>
  <c r="BV147" i="55"/>
  <c r="DB147" i="55" s="1"/>
  <c r="CD144" i="55"/>
  <c r="DJ144" i="55" s="1"/>
  <c r="CD141" i="55"/>
  <c r="BV142" i="55"/>
  <c r="DB142" i="55" s="1"/>
  <c r="BV141" i="55"/>
  <c r="DB141" i="55" s="1"/>
  <c r="CD142" i="55"/>
  <c r="DJ142" i="55" s="1"/>
  <c r="BV145" i="55"/>
  <c r="DB145" i="55" s="1"/>
  <c r="BC184" i="55"/>
  <c r="AT186" i="55"/>
  <c r="BC177" i="55"/>
  <c r="CB115" i="55"/>
  <c r="BC178" i="55"/>
  <c r="CH97" i="55"/>
  <c r="CH93" i="55"/>
  <c r="CG96" i="55"/>
  <c r="CH100" i="55"/>
  <c r="CG100" i="55"/>
  <c r="CH94" i="55"/>
  <c r="CH87" i="55"/>
  <c r="CH95" i="55"/>
  <c r="CG95" i="55"/>
  <c r="BA186" i="55"/>
  <c r="CG186" i="55" s="1"/>
  <c r="CH96" i="55"/>
  <c r="CH91" i="55"/>
  <c r="CH99" i="55"/>
  <c r="CG87" i="55"/>
  <c r="CG99" i="55"/>
  <c r="CG89" i="55"/>
  <c r="AX186" i="55"/>
  <c r="CD186" i="55" s="1"/>
  <c r="AZ186" i="55"/>
  <c r="CF186" i="55" s="1"/>
  <c r="AV186" i="55"/>
  <c r="CB186" i="55" s="1"/>
  <c r="AY186" i="55"/>
  <c r="CE186" i="55" s="1"/>
  <c r="BC176" i="55"/>
  <c r="CC73" i="55"/>
  <c r="CC81" i="55"/>
  <c r="CC83" i="55"/>
  <c r="CC75" i="55"/>
  <c r="CC82" i="55"/>
  <c r="CC78" i="55"/>
  <c r="CC84" i="55"/>
  <c r="CE63" i="55"/>
  <c r="CE61" i="55"/>
  <c r="BW68" i="55"/>
  <c r="CE49" i="55"/>
  <c r="CE66" i="55"/>
  <c r="DK66" i="55" s="1"/>
  <c r="BW49" i="55"/>
  <c r="BW64" i="55"/>
  <c r="CE43" i="55"/>
  <c r="CE64" i="55"/>
  <c r="DK64" i="55" s="1"/>
  <c r="CE39" i="55"/>
  <c r="CE46" i="55"/>
  <c r="CE45" i="55"/>
  <c r="CE65" i="55"/>
  <c r="BW52" i="55"/>
  <c r="CE48" i="55"/>
  <c r="CE67" i="55"/>
  <c r="CE47" i="55"/>
  <c r="CE52" i="55"/>
  <c r="BW46" i="55"/>
  <c r="BW51" i="55"/>
  <c r="CE50" i="55"/>
  <c r="DK50" i="55" s="1"/>
  <c r="BW47" i="55"/>
  <c r="CA36" i="55"/>
  <c r="CB25" i="55"/>
  <c r="CB31" i="55"/>
  <c r="CA30" i="55"/>
  <c r="CB23" i="55"/>
  <c r="CB35" i="55"/>
  <c r="CA31" i="55"/>
  <c r="CB32" i="55"/>
  <c r="CB34" i="55"/>
  <c r="CA35" i="55"/>
  <c r="CB33" i="55"/>
  <c r="CA29" i="55"/>
  <c r="DG29" i="55" s="1"/>
  <c r="CA34" i="55"/>
  <c r="CB29" i="55"/>
  <c r="DH29" i="55" s="1"/>
  <c r="CE13" i="55"/>
  <c r="DK13" i="55" s="1"/>
  <c r="CE7" i="55"/>
  <c r="CE15" i="55"/>
  <c r="DK15" i="55" s="1"/>
  <c r="BW20" i="55"/>
  <c r="CE19" i="55"/>
  <c r="CE18" i="55"/>
  <c r="DK18" i="55" s="1"/>
  <c r="CE9" i="55"/>
  <c r="DK9" i="55" s="1"/>
  <c r="CE14" i="55"/>
  <c r="BW13" i="55"/>
  <c r="BW19" i="55"/>
  <c r="BW14" i="55"/>
  <c r="BW15" i="55"/>
  <c r="BW16" i="55"/>
  <c r="BV13" i="55"/>
  <c r="BW17" i="55"/>
  <c r="BV19" i="55"/>
  <c r="BV20" i="55"/>
  <c r="CB87" i="55"/>
  <c r="CA47" i="55"/>
  <c r="CA52" i="55"/>
  <c r="BY35" i="55"/>
  <c r="BY18" i="55"/>
  <c r="CC19" i="55"/>
  <c r="BW125" i="55"/>
  <c r="CB93" i="55"/>
  <c r="CA48" i="55"/>
  <c r="CA50" i="55"/>
  <c r="CA46" i="55"/>
  <c r="CA51" i="55"/>
  <c r="BY34" i="55"/>
  <c r="BY13" i="55"/>
  <c r="DE13" i="55" s="1"/>
  <c r="CC17" i="55"/>
  <c r="CE182" i="55"/>
  <c r="BW126" i="55"/>
  <c r="CB98" i="55"/>
  <c r="CB100" i="55"/>
  <c r="CA68" i="55"/>
  <c r="BC174" i="55"/>
  <c r="CA62" i="55"/>
  <c r="BC181" i="55"/>
  <c r="CA49" i="55"/>
  <c r="BY32" i="55"/>
  <c r="BY15" i="55"/>
  <c r="CC7" i="55"/>
  <c r="CB95" i="55"/>
  <c r="BW127" i="55"/>
  <c r="BC173" i="55"/>
  <c r="CA63" i="55"/>
  <c r="BY33" i="55"/>
  <c r="BY19" i="55"/>
  <c r="CC9" i="55"/>
  <c r="AE200" i="57"/>
  <c r="BW128" i="55"/>
  <c r="CA67" i="55"/>
  <c r="BY20" i="55"/>
  <c r="CC14" i="55"/>
  <c r="CB91" i="55"/>
  <c r="CB94" i="55"/>
  <c r="BW131" i="55"/>
  <c r="CB99" i="55"/>
  <c r="CA64" i="55"/>
  <c r="BY36" i="55"/>
  <c r="BY17" i="55"/>
  <c r="CC11" i="55"/>
  <c r="CC16" i="55"/>
  <c r="BC179" i="55"/>
  <c r="CA66" i="55"/>
  <c r="P152" i="57"/>
  <c r="CB89" i="55"/>
  <c r="BW129" i="55"/>
  <c r="BC182" i="55"/>
  <c r="CA65" i="55"/>
  <c r="CC13" i="55"/>
  <c r="AE176" i="57"/>
  <c r="D206" i="57"/>
  <c r="AE164" i="57"/>
  <c r="M151" i="57"/>
  <c r="T151" i="57" s="1"/>
  <c r="AE167" i="57"/>
  <c r="BC180" i="55"/>
  <c r="BC185" i="55"/>
  <c r="CB113" i="55"/>
  <c r="CB105" i="55"/>
  <c r="BC183" i="55"/>
  <c r="CB103" i="55"/>
  <c r="CB112" i="55"/>
  <c r="CB107" i="55"/>
  <c r="CB109" i="55"/>
  <c r="DH109" i="55" s="1"/>
  <c r="AQ186" i="55"/>
  <c r="BW186" i="55" s="1"/>
  <c r="CB110" i="55"/>
  <c r="CB116" i="55"/>
  <c r="CB111" i="55"/>
  <c r="CA95" i="55"/>
  <c r="BZ87" i="55"/>
  <c r="BZ95" i="55"/>
  <c r="CA94" i="55"/>
  <c r="BZ96" i="55"/>
  <c r="BZ99" i="55"/>
  <c r="CA99" i="55"/>
  <c r="BZ89" i="55"/>
  <c r="CA98" i="55"/>
  <c r="BZ97" i="55"/>
  <c r="CA93" i="55"/>
  <c r="BZ93" i="55"/>
  <c r="CA100" i="55"/>
  <c r="BZ100" i="55"/>
  <c r="BZ98" i="55"/>
  <c r="CC32" i="55"/>
  <c r="CC33" i="55"/>
  <c r="CC23" i="55"/>
  <c r="CC29" i="55"/>
  <c r="CC36" i="55"/>
  <c r="CC27" i="55"/>
  <c r="CC35" i="55"/>
  <c r="CC34" i="55"/>
  <c r="BV15" i="55"/>
  <c r="BV7" i="55"/>
  <c r="BC20" i="55"/>
  <c r="CI11" i="55" s="1"/>
  <c r="BV11" i="55"/>
  <c r="CB13" i="55"/>
  <c r="BV17" i="55"/>
  <c r="CB7" i="55"/>
  <c r="BV18" i="55"/>
  <c r="BV14" i="55"/>
  <c r="BV9" i="55"/>
  <c r="AE169" i="57"/>
  <c r="AE201" i="57"/>
  <c r="AE183" i="57"/>
  <c r="AB189" i="57"/>
  <c r="F185" i="57"/>
  <c r="F165" i="57"/>
  <c r="F159" i="57"/>
  <c r="P64" i="57"/>
  <c r="P93" i="57"/>
  <c r="N200" i="57"/>
  <c r="C206" i="57"/>
  <c r="N161" i="57"/>
  <c r="F164" i="57"/>
  <c r="P111" i="57"/>
  <c r="AM56" i="55"/>
  <c r="P155" i="55"/>
  <c r="AD151" i="55"/>
  <c r="AD176" i="55"/>
  <c r="AG132" i="55"/>
  <c r="AM126" i="55"/>
  <c r="U47" i="55"/>
  <c r="P151" i="55"/>
  <c r="AB132" i="55"/>
  <c r="BH126" i="55" s="1"/>
  <c r="P159" i="55"/>
  <c r="U159" i="55" s="1"/>
  <c r="U163" i="55" s="1"/>
  <c r="BJ131" i="55"/>
  <c r="U63" i="55"/>
  <c r="BI116" i="55"/>
  <c r="AE178" i="55"/>
  <c r="AK116" i="55"/>
  <c r="BQ105" i="55" s="1"/>
  <c r="BI109" i="55"/>
  <c r="P156" i="55"/>
  <c r="BI111" i="55"/>
  <c r="CO111" i="55" s="1"/>
  <c r="BI110" i="55"/>
  <c r="AK176" i="55"/>
  <c r="BI112" i="55"/>
  <c r="CO112" i="55" s="1"/>
  <c r="AE156" i="55"/>
  <c r="W129" i="55"/>
  <c r="AL163" i="55"/>
  <c r="AM163" i="55" s="1"/>
  <c r="W49" i="55"/>
  <c r="P153" i="55"/>
  <c r="P161" i="55"/>
  <c r="AK84" i="55"/>
  <c r="W65" i="55"/>
  <c r="G164" i="55"/>
  <c r="M164" i="55"/>
  <c r="N164" i="55"/>
  <c r="K164" i="55"/>
  <c r="H164" i="55"/>
  <c r="P152" i="55"/>
  <c r="U31" i="55"/>
  <c r="BL25" i="55"/>
  <c r="U79" i="55"/>
  <c r="U15" i="55"/>
  <c r="BL30" i="55"/>
  <c r="BL36" i="55"/>
  <c r="U111" i="55"/>
  <c r="E164" i="55"/>
  <c r="BL31" i="55"/>
  <c r="BL34" i="55"/>
  <c r="BL32" i="55"/>
  <c r="U143" i="55"/>
  <c r="BL27" i="55"/>
  <c r="P157" i="55"/>
  <c r="BL23" i="55"/>
  <c r="P154" i="55"/>
  <c r="AM8" i="55"/>
  <c r="C189" i="57"/>
  <c r="N176" i="57"/>
  <c r="P176" i="57" s="1"/>
  <c r="O161" i="57"/>
  <c r="P145" i="57"/>
  <c r="E206" i="57"/>
  <c r="C172" i="57"/>
  <c r="N151" i="57"/>
  <c r="U151" i="57" s="1"/>
  <c r="O170" i="57"/>
  <c r="F202" i="57"/>
  <c r="O151" i="57"/>
  <c r="V151" i="57" s="1"/>
  <c r="AE203" i="57"/>
  <c r="P132" i="57"/>
  <c r="N196" i="57"/>
  <c r="F179" i="57"/>
  <c r="O166" i="57"/>
  <c r="P178" i="57"/>
  <c r="P80" i="57"/>
  <c r="P75" i="57"/>
  <c r="AE168" i="57"/>
  <c r="AE53" i="57"/>
  <c r="AE194" i="57"/>
  <c r="AE199" i="57"/>
  <c r="F169" i="57"/>
  <c r="H33" i="57" s="1"/>
  <c r="F19" i="57"/>
  <c r="AE196" i="57"/>
  <c r="F36" i="57"/>
  <c r="AD172" i="57"/>
  <c r="F166" i="57"/>
  <c r="AB206" i="57"/>
  <c r="AE193" i="57"/>
  <c r="P142" i="57"/>
  <c r="N198" i="57"/>
  <c r="P198" i="57" s="1"/>
  <c r="P96" i="57"/>
  <c r="F184" i="57"/>
  <c r="N160" i="57"/>
  <c r="P52" i="57"/>
  <c r="M171" i="57"/>
  <c r="P171" i="57" s="1"/>
  <c r="N170" i="57"/>
  <c r="P17" i="57"/>
  <c r="AC172" i="57"/>
  <c r="O194" i="57"/>
  <c r="O160" i="57"/>
  <c r="P77" i="57"/>
  <c r="AE195" i="57"/>
  <c r="P177" i="57"/>
  <c r="P57" i="57"/>
  <c r="P34" i="57"/>
  <c r="M170" i="57"/>
  <c r="D172" i="57"/>
  <c r="N159" i="57"/>
  <c r="P6" i="57"/>
  <c r="P204" i="57"/>
  <c r="AE179" i="57"/>
  <c r="AD206" i="57"/>
  <c r="O159" i="57"/>
  <c r="F155" i="57"/>
  <c r="AE87" i="57"/>
  <c r="F104" i="57"/>
  <c r="M196" i="57"/>
  <c r="P94" i="57"/>
  <c r="P114" i="57"/>
  <c r="F198" i="57"/>
  <c r="AC189" i="57"/>
  <c r="T67" i="57"/>
  <c r="P67" i="57"/>
  <c r="P60" i="57"/>
  <c r="N164" i="57"/>
  <c r="P11" i="57"/>
  <c r="M183" i="57"/>
  <c r="P183" i="57" s="1"/>
  <c r="P81" i="57"/>
  <c r="F171" i="57"/>
  <c r="M161" i="57"/>
  <c r="P8" i="57"/>
  <c r="AE19" i="57"/>
  <c r="M163" i="57"/>
  <c r="P10" i="57"/>
  <c r="M164" i="57"/>
  <c r="N165" i="57"/>
  <c r="P12" i="57"/>
  <c r="P125" i="57"/>
  <c r="F138" i="57"/>
  <c r="P147" i="57"/>
  <c r="M200" i="57"/>
  <c r="P98" i="57"/>
  <c r="N187" i="57"/>
  <c r="AE178" i="57"/>
  <c r="N197" i="57"/>
  <c r="P95" i="57"/>
  <c r="N181" i="57"/>
  <c r="P79" i="57"/>
  <c r="F168" i="57"/>
  <c r="H49" i="57" s="1"/>
  <c r="AE165" i="57"/>
  <c r="O162" i="57"/>
  <c r="P51" i="57"/>
  <c r="P43" i="57"/>
  <c r="P42" i="57"/>
  <c r="O164" i="57"/>
  <c r="P40" i="57"/>
  <c r="F121" i="57"/>
  <c r="M199" i="57"/>
  <c r="P97" i="57"/>
  <c r="AC206" i="57"/>
  <c r="O180" i="57"/>
  <c r="P180" i="57" s="1"/>
  <c r="P78" i="57"/>
  <c r="N199" i="57"/>
  <c r="F196" i="57"/>
  <c r="F70" i="57"/>
  <c r="F87" i="57"/>
  <c r="M165" i="57"/>
  <c r="P59" i="57"/>
  <c r="AE166" i="57"/>
  <c r="T66" i="57"/>
  <c r="P66" i="57"/>
  <c r="O179" i="57"/>
  <c r="P179" i="57" s="1"/>
  <c r="F53" i="57"/>
  <c r="F183" i="57"/>
  <c r="N162" i="57"/>
  <c r="P9" i="57"/>
  <c r="F163" i="57"/>
  <c r="E172" i="57"/>
  <c r="P129" i="57"/>
  <c r="P130" i="57"/>
  <c r="W152" i="57"/>
  <c r="AE155" i="57"/>
  <c r="P136" i="57"/>
  <c r="N194" i="57"/>
  <c r="AF110" i="57"/>
  <c r="M181" i="57"/>
  <c r="F200" i="57"/>
  <c r="O195" i="57"/>
  <c r="AE198" i="57"/>
  <c r="E189" i="57"/>
  <c r="AE171" i="57"/>
  <c r="M166" i="57"/>
  <c r="P13" i="57"/>
  <c r="AE70" i="57"/>
  <c r="O165" i="57"/>
  <c r="F161" i="57"/>
  <c r="AE162" i="57"/>
  <c r="AE160" i="57"/>
  <c r="AB172" i="57"/>
  <c r="AE159" i="57"/>
  <c r="P25" i="57"/>
  <c r="F160" i="57"/>
  <c r="AE36" i="57"/>
  <c r="O197" i="57"/>
  <c r="AE121" i="57"/>
  <c r="AE104" i="57"/>
  <c r="M187" i="57"/>
  <c r="P85" i="57"/>
  <c r="N193" i="57"/>
  <c r="AD189" i="57"/>
  <c r="F167" i="57"/>
  <c r="AE170" i="57"/>
  <c r="N166" i="57"/>
  <c r="P62" i="57"/>
  <c r="O163" i="57"/>
  <c r="P127" i="57"/>
  <c r="AE138" i="57"/>
  <c r="P92" i="57"/>
  <c r="O193" i="57"/>
  <c r="D189" i="57"/>
  <c r="AE177" i="57"/>
  <c r="N163" i="57"/>
  <c r="P76" i="57"/>
  <c r="M162" i="57"/>
  <c r="BH114" i="55"/>
  <c r="CN114" i="55" s="1"/>
  <c r="BK115" i="55"/>
  <c r="BK114" i="55"/>
  <c r="BK110" i="55"/>
  <c r="BK111" i="55"/>
  <c r="BK109" i="55"/>
  <c r="DG109" i="55" s="1"/>
  <c r="BK112" i="55"/>
  <c r="BK113" i="55"/>
  <c r="BK116" i="55"/>
  <c r="BJ130" i="55"/>
  <c r="BC175" i="55"/>
  <c r="AM39" i="55"/>
  <c r="CB15" i="55"/>
  <c r="CB18" i="55"/>
  <c r="AS186" i="55"/>
  <c r="BY186" i="55" s="1"/>
  <c r="BV139" i="55"/>
  <c r="P100" i="55"/>
  <c r="Z100" i="55"/>
  <c r="BF98" i="55" s="1"/>
  <c r="CL98" i="55" s="1"/>
  <c r="BJ127" i="55"/>
  <c r="F164" i="55"/>
  <c r="CB19" i="55"/>
  <c r="CA115" i="55"/>
  <c r="CA110" i="55"/>
  <c r="BJ128" i="55"/>
  <c r="AU186" i="55"/>
  <c r="CA186" i="55" s="1"/>
  <c r="AB174" i="55"/>
  <c r="AD173" i="55"/>
  <c r="AB175" i="55"/>
  <c r="CB17" i="55"/>
  <c r="BJ126" i="55"/>
  <c r="CB9" i="55"/>
  <c r="BJ129" i="55"/>
  <c r="AP186" i="55"/>
  <c r="BV186" i="55" s="1"/>
  <c r="BC52" i="55"/>
  <c r="CI61" i="55" s="1"/>
  <c r="CB14" i="55"/>
  <c r="BJ125" i="55"/>
  <c r="BC36" i="55"/>
  <c r="CI36" i="55" s="1"/>
  <c r="CB16" i="55"/>
  <c r="AB148" i="55"/>
  <c r="BH146" i="55" s="1"/>
  <c r="CN146" i="55" s="1"/>
  <c r="P116" i="55"/>
  <c r="Z152" i="55"/>
  <c r="CB11" i="55"/>
  <c r="BH129" i="55"/>
  <c r="CN129" i="55" s="1"/>
  <c r="BH119" i="55"/>
  <c r="CH82" i="55"/>
  <c r="CH83" i="55"/>
  <c r="CH84" i="55"/>
  <c r="CH79" i="55"/>
  <c r="CH78" i="55"/>
  <c r="CH75" i="55"/>
  <c r="CH80" i="55"/>
  <c r="CH81" i="55"/>
  <c r="CH77" i="55"/>
  <c r="CH71" i="55"/>
  <c r="CH73" i="55"/>
  <c r="BG33" i="55"/>
  <c r="CM33" i="55" s="1"/>
  <c r="BG32" i="55"/>
  <c r="CM32" i="55" s="1"/>
  <c r="BG34" i="55"/>
  <c r="CM34" i="55" s="1"/>
  <c r="BG35" i="55"/>
  <c r="CM35" i="55" s="1"/>
  <c r="BG31" i="55"/>
  <c r="CM31" i="55" s="1"/>
  <c r="BG30" i="55"/>
  <c r="BG36" i="55"/>
  <c r="BG29" i="55"/>
  <c r="CF29" i="55"/>
  <c r="CF33" i="55"/>
  <c r="CF32" i="55"/>
  <c r="CF25" i="55"/>
  <c r="CF34" i="55"/>
  <c r="DL34" i="55" s="1"/>
  <c r="CF35" i="55"/>
  <c r="CF31" i="55"/>
  <c r="CF30" i="55"/>
  <c r="CF27" i="55"/>
  <c r="CF23" i="55"/>
  <c r="CF36" i="55"/>
  <c r="AD156" i="55"/>
  <c r="AD20" i="55"/>
  <c r="CF96" i="55"/>
  <c r="CF98" i="55"/>
  <c r="DL98" i="55" s="1"/>
  <c r="CF91" i="55"/>
  <c r="CF99" i="55"/>
  <c r="CF95" i="55"/>
  <c r="CF94" i="55"/>
  <c r="CF100" i="55"/>
  <c r="CF93" i="55"/>
  <c r="CF87" i="55"/>
  <c r="CF97" i="55"/>
  <c r="CF89" i="55"/>
  <c r="BC100" i="55"/>
  <c r="CC131" i="55"/>
  <c r="CC132" i="55"/>
  <c r="CC128" i="55"/>
  <c r="CC125" i="55"/>
  <c r="CC129" i="55"/>
  <c r="CC121" i="55"/>
  <c r="CC130" i="55"/>
  <c r="CC119" i="55"/>
  <c r="CC126" i="55"/>
  <c r="CC127" i="55"/>
  <c r="CC123" i="55"/>
  <c r="BK97" i="55"/>
  <c r="BK98" i="55"/>
  <c r="BK96" i="55"/>
  <c r="CE57" i="55"/>
  <c r="CE59" i="55"/>
  <c r="CE55" i="55"/>
  <c r="CF82" i="55"/>
  <c r="CF83" i="55"/>
  <c r="CF84" i="55"/>
  <c r="CF73" i="55"/>
  <c r="CF79" i="55"/>
  <c r="CF78" i="55"/>
  <c r="CF75" i="55"/>
  <c r="CF80" i="55"/>
  <c r="CF81" i="55"/>
  <c r="CF77" i="55"/>
  <c r="CF71" i="55"/>
  <c r="P36" i="55"/>
  <c r="P20" i="55"/>
  <c r="BG148" i="55"/>
  <c r="CM148" i="55" s="1"/>
  <c r="BG144" i="55"/>
  <c r="CM144" i="55" s="1"/>
  <c r="BG147" i="55"/>
  <c r="CM147" i="55" s="1"/>
  <c r="BG146" i="55"/>
  <c r="CM146" i="55" s="1"/>
  <c r="BG145" i="55"/>
  <c r="CM145" i="55" s="1"/>
  <c r="BG142" i="55"/>
  <c r="BG143" i="55"/>
  <c r="CM143" i="55" s="1"/>
  <c r="BF135" i="55"/>
  <c r="CL135" i="55" s="1"/>
  <c r="BG141" i="55"/>
  <c r="BI100" i="55"/>
  <c r="CO100" i="55" s="1"/>
  <c r="BI93" i="55"/>
  <c r="BI98" i="55"/>
  <c r="CO98" i="55" s="1"/>
  <c r="BI96" i="55"/>
  <c r="CO96" i="55" s="1"/>
  <c r="BI94" i="55"/>
  <c r="BI95" i="55"/>
  <c r="CO95" i="55" s="1"/>
  <c r="BI99" i="55"/>
  <c r="CO99" i="55" s="1"/>
  <c r="BI97" i="55"/>
  <c r="CO97" i="55" s="1"/>
  <c r="AL116" i="55"/>
  <c r="AM115" i="55"/>
  <c r="AE177" i="55"/>
  <c r="CF64" i="55"/>
  <c r="CF66" i="55"/>
  <c r="DL66" i="55" s="1"/>
  <c r="CF67" i="55"/>
  <c r="CF63" i="55"/>
  <c r="CF62" i="55"/>
  <c r="CF51" i="55"/>
  <c r="CF68" i="55"/>
  <c r="CF52" i="55"/>
  <c r="CF61" i="55"/>
  <c r="CF65" i="55"/>
  <c r="DL65" i="55" s="1"/>
  <c r="CF45" i="55"/>
  <c r="CF39" i="55"/>
  <c r="CF49" i="55"/>
  <c r="CF48" i="55"/>
  <c r="CF41" i="55"/>
  <c r="CF50" i="55"/>
  <c r="DL50" i="55" s="1"/>
  <c r="CF47" i="55"/>
  <c r="CF46" i="55"/>
  <c r="CF43" i="55"/>
  <c r="AF157" i="55"/>
  <c r="AF164" i="55" s="1"/>
  <c r="AF20" i="55"/>
  <c r="BW179" i="55"/>
  <c r="DC179" i="55" s="1"/>
  <c r="BW181" i="55"/>
  <c r="DC181" i="55" s="1"/>
  <c r="BW182" i="55"/>
  <c r="DC182" i="55" s="1"/>
  <c r="BW183" i="55"/>
  <c r="DC183" i="55" s="1"/>
  <c r="BW184" i="55"/>
  <c r="DC184" i="55" s="1"/>
  <c r="BW161" i="55"/>
  <c r="DC161" i="55" s="1"/>
  <c r="BW185" i="55"/>
  <c r="DC185" i="55" s="1"/>
  <c r="BW180" i="55"/>
  <c r="DC180" i="55" s="1"/>
  <c r="BW163" i="55"/>
  <c r="DC163" i="55" s="1"/>
  <c r="BW162" i="55"/>
  <c r="DC162" i="55" s="1"/>
  <c r="BW160" i="55"/>
  <c r="DC160" i="55" s="1"/>
  <c r="BW164" i="55"/>
  <c r="BW159" i="55"/>
  <c r="DC159" i="55" s="1"/>
  <c r="BW158" i="55"/>
  <c r="DC158" i="55" s="1"/>
  <c r="BW157" i="55"/>
  <c r="DC157" i="55" s="1"/>
  <c r="BZ181" i="55"/>
  <c r="DF181" i="55" s="1"/>
  <c r="BZ186" i="55"/>
  <c r="BZ185" i="55"/>
  <c r="DF185" i="55" s="1"/>
  <c r="BZ183" i="55"/>
  <c r="DF183" i="55" s="1"/>
  <c r="BZ180" i="55"/>
  <c r="DF180" i="55" s="1"/>
  <c r="BZ179" i="55"/>
  <c r="BZ177" i="55"/>
  <c r="BZ184" i="55"/>
  <c r="DF184" i="55" s="1"/>
  <c r="BZ175" i="55"/>
  <c r="BZ173" i="55"/>
  <c r="BZ163" i="55"/>
  <c r="DF163" i="55" s="1"/>
  <c r="BZ162" i="55"/>
  <c r="DF162" i="55" s="1"/>
  <c r="BZ182" i="55"/>
  <c r="DF182" i="55" s="1"/>
  <c r="BZ164" i="55"/>
  <c r="BZ160" i="55"/>
  <c r="DF160" i="55" s="1"/>
  <c r="BZ161" i="55"/>
  <c r="DF161" i="55" s="1"/>
  <c r="BZ157" i="55"/>
  <c r="BZ159" i="55"/>
  <c r="DF159" i="55" s="1"/>
  <c r="BZ158" i="55"/>
  <c r="DF158" i="55" s="1"/>
  <c r="BZ155" i="55"/>
  <c r="BZ153" i="55"/>
  <c r="BZ151" i="55"/>
  <c r="P148" i="55"/>
  <c r="BC148" i="55"/>
  <c r="BI145" i="55"/>
  <c r="CO145" i="55" s="1"/>
  <c r="BI142" i="55"/>
  <c r="BI148" i="55"/>
  <c r="BI143" i="55"/>
  <c r="CO143" i="55" s="1"/>
  <c r="BI146" i="55"/>
  <c r="CO146" i="55" s="1"/>
  <c r="BI147" i="55"/>
  <c r="CO147" i="55" s="1"/>
  <c r="BI144" i="55"/>
  <c r="CO144" i="55" s="1"/>
  <c r="BI141" i="55"/>
  <c r="CF128" i="55"/>
  <c r="CF121" i="55"/>
  <c r="CF132" i="55"/>
  <c r="CF130" i="55"/>
  <c r="CF129" i="55"/>
  <c r="CF127" i="55"/>
  <c r="CF126" i="55"/>
  <c r="CF123" i="55"/>
  <c r="CF119" i="55"/>
  <c r="CF131" i="55"/>
  <c r="CF125" i="55"/>
  <c r="CE132" i="55"/>
  <c r="CE129" i="55"/>
  <c r="CE131" i="55"/>
  <c r="CE121" i="55"/>
  <c r="CE128" i="55"/>
  <c r="CE130" i="55"/>
  <c r="DK130" i="55" s="1"/>
  <c r="CE127" i="55"/>
  <c r="CE126" i="55"/>
  <c r="CE123" i="55"/>
  <c r="CE119" i="55"/>
  <c r="CE125" i="55"/>
  <c r="CD132" i="55"/>
  <c r="CD129" i="55"/>
  <c r="CD130" i="55"/>
  <c r="CD131" i="55"/>
  <c r="CD125" i="55"/>
  <c r="CD121" i="55"/>
  <c r="CD128" i="55"/>
  <c r="CD127" i="55"/>
  <c r="CD126" i="55"/>
  <c r="CD123" i="55"/>
  <c r="CD119" i="55"/>
  <c r="AE132" i="55"/>
  <c r="BC132" i="55"/>
  <c r="BG116" i="55"/>
  <c r="BG114" i="55"/>
  <c r="CM114" i="55" s="1"/>
  <c r="BG115" i="55"/>
  <c r="CM115" i="55" s="1"/>
  <c r="BG111" i="55"/>
  <c r="CM111" i="55" s="1"/>
  <c r="BG110" i="55"/>
  <c r="BG109" i="55"/>
  <c r="BG113" i="55"/>
  <c r="CM113" i="55" s="1"/>
  <c r="BG112" i="55"/>
  <c r="CM112" i="55" s="1"/>
  <c r="CE89" i="55"/>
  <c r="CE96" i="55"/>
  <c r="CE98" i="55"/>
  <c r="DK98" i="55" s="1"/>
  <c r="CE91" i="55"/>
  <c r="CE99" i="55"/>
  <c r="CE95" i="55"/>
  <c r="CE87" i="55"/>
  <c r="CE93" i="55"/>
  <c r="CE100" i="55"/>
  <c r="CE97" i="55"/>
  <c r="CE94" i="55"/>
  <c r="AM120" i="55"/>
  <c r="CC97" i="55"/>
  <c r="CC89" i="55"/>
  <c r="CC98" i="55"/>
  <c r="CC91" i="55"/>
  <c r="CC94" i="55"/>
  <c r="CC96" i="55"/>
  <c r="CC95" i="55"/>
  <c r="CC87" i="55"/>
  <c r="CC93" i="55"/>
  <c r="CC100" i="55"/>
  <c r="CC99" i="55"/>
  <c r="BC116" i="55"/>
  <c r="AB84" i="55"/>
  <c r="AG180" i="55"/>
  <c r="AG68" i="55"/>
  <c r="AM62" i="55"/>
  <c r="BG83" i="55"/>
  <c r="CM83" i="55" s="1"/>
  <c r="BG84" i="55"/>
  <c r="BG80" i="55"/>
  <c r="CM80" i="55" s="1"/>
  <c r="BG79" i="55"/>
  <c r="CM79" i="55" s="1"/>
  <c r="AA173" i="55"/>
  <c r="AA186" i="55" s="1"/>
  <c r="BV81" i="55"/>
  <c r="BV80" i="55"/>
  <c r="BV83" i="55"/>
  <c r="BV77" i="55"/>
  <c r="BV73" i="55"/>
  <c r="BV84" i="55"/>
  <c r="BV75" i="55"/>
  <c r="BV82" i="55"/>
  <c r="BV79" i="55"/>
  <c r="BV78" i="55"/>
  <c r="BV71" i="55"/>
  <c r="CB68" i="55"/>
  <c r="CB52" i="55"/>
  <c r="CB61" i="55"/>
  <c r="DH61" i="55" s="1"/>
  <c r="CB65" i="55"/>
  <c r="CB64" i="55"/>
  <c r="CB66" i="55"/>
  <c r="CB62" i="55"/>
  <c r="CB50" i="55"/>
  <c r="CB67" i="55"/>
  <c r="CB47" i="55"/>
  <c r="CB46" i="55"/>
  <c r="CB43" i="55"/>
  <c r="CB51" i="55"/>
  <c r="CB45" i="55"/>
  <c r="DH45" i="55" s="1"/>
  <c r="CB39" i="55"/>
  <c r="CB49" i="55"/>
  <c r="CB63" i="55"/>
  <c r="CB41" i="55"/>
  <c r="CB48" i="55"/>
  <c r="AD177" i="55"/>
  <c r="P52" i="55"/>
  <c r="BI67" i="55"/>
  <c r="CO67" i="55" s="1"/>
  <c r="BI63" i="55"/>
  <c r="CO63" i="55" s="1"/>
  <c r="BI62" i="55"/>
  <c r="BI68" i="55"/>
  <c r="BI61" i="55"/>
  <c r="BI65" i="55"/>
  <c r="CO65" i="55" s="1"/>
  <c r="BI64" i="55"/>
  <c r="CO64" i="55" s="1"/>
  <c r="BI66" i="55"/>
  <c r="CO66" i="55" s="1"/>
  <c r="BY64" i="55"/>
  <c r="BY66" i="55"/>
  <c r="BY67" i="55"/>
  <c r="BY63" i="55"/>
  <c r="BY62" i="55"/>
  <c r="BY51" i="55"/>
  <c r="BY68" i="55"/>
  <c r="BY52" i="55"/>
  <c r="BY61" i="55"/>
  <c r="BY65" i="55"/>
  <c r="BY49" i="55"/>
  <c r="BY48" i="55"/>
  <c r="BY50" i="55"/>
  <c r="BY47" i="55"/>
  <c r="BY46" i="55"/>
  <c r="BY45" i="55"/>
  <c r="AW186" i="55"/>
  <c r="CC186" i="55" s="1"/>
  <c r="BX64" i="55"/>
  <c r="BX66" i="55"/>
  <c r="BX67" i="55"/>
  <c r="BX63" i="55"/>
  <c r="BX62" i="55"/>
  <c r="BX51" i="55"/>
  <c r="BX68" i="55"/>
  <c r="BX52" i="55"/>
  <c r="BX61" i="55"/>
  <c r="BX45" i="55"/>
  <c r="BX65" i="55"/>
  <c r="BX49" i="55"/>
  <c r="BX41" i="55"/>
  <c r="BX48" i="55"/>
  <c r="BX43" i="55"/>
  <c r="BX50" i="55"/>
  <c r="BX47" i="55"/>
  <c r="BX46" i="55"/>
  <c r="BX39" i="55"/>
  <c r="BZ82" i="55"/>
  <c r="BZ83" i="55"/>
  <c r="BZ84" i="55"/>
  <c r="BZ75" i="55"/>
  <c r="BZ81" i="55"/>
  <c r="BZ80" i="55"/>
  <c r="BZ79" i="55"/>
  <c r="BZ78" i="55"/>
  <c r="BZ71" i="55"/>
  <c r="BZ77" i="55"/>
  <c r="BZ73" i="55"/>
  <c r="BR9" i="55"/>
  <c r="CX9" i="55" s="1"/>
  <c r="BR18" i="55"/>
  <c r="CX18" i="55" s="1"/>
  <c r="BR16" i="55"/>
  <c r="CX16" i="55" s="1"/>
  <c r="BR14" i="55"/>
  <c r="BR7" i="55"/>
  <c r="CX7" i="55" s="1"/>
  <c r="BR17" i="55"/>
  <c r="CX17" i="55" s="1"/>
  <c r="BR11" i="55"/>
  <c r="BR19" i="55"/>
  <c r="BR15" i="55"/>
  <c r="CX15" i="55" s="1"/>
  <c r="BR20" i="55"/>
  <c r="CX20" i="55" s="1"/>
  <c r="BR13" i="55"/>
  <c r="AC175" i="55"/>
  <c r="CH32" i="55"/>
  <c r="CH25" i="55"/>
  <c r="CH34" i="55"/>
  <c r="CH35" i="55"/>
  <c r="CH31" i="55"/>
  <c r="CH30" i="55"/>
  <c r="CH27" i="55"/>
  <c r="CH36" i="55"/>
  <c r="CH29" i="55"/>
  <c r="CH23" i="55"/>
  <c r="CH33" i="55"/>
  <c r="AD155" i="55"/>
  <c r="BX29" i="55"/>
  <c r="BX33" i="55"/>
  <c r="BX25" i="55"/>
  <c r="BX32" i="55"/>
  <c r="BX27" i="55"/>
  <c r="BX34" i="55"/>
  <c r="BX35" i="55"/>
  <c r="BX31" i="55"/>
  <c r="BX30" i="55"/>
  <c r="BX23" i="55"/>
  <c r="BX36" i="55"/>
  <c r="AE155" i="55"/>
  <c r="BZ148" i="55"/>
  <c r="BZ147" i="55"/>
  <c r="DF147" i="55" s="1"/>
  <c r="BZ146" i="55"/>
  <c r="DF146" i="55" s="1"/>
  <c r="BZ145" i="55"/>
  <c r="DF145" i="55" s="1"/>
  <c r="BZ142" i="55"/>
  <c r="DF142" i="55" s="1"/>
  <c r="BZ143" i="55"/>
  <c r="DF143" i="55" s="1"/>
  <c r="BZ144" i="55"/>
  <c r="DF144" i="55" s="1"/>
  <c r="BZ139" i="55"/>
  <c r="BZ141" i="55"/>
  <c r="BZ137" i="55"/>
  <c r="BZ135" i="55"/>
  <c r="DF135" i="55" s="1"/>
  <c r="BH99" i="55"/>
  <c r="CN99" i="55" s="1"/>
  <c r="BH95" i="55"/>
  <c r="CN95" i="55" s="1"/>
  <c r="BH94" i="55"/>
  <c r="BH89" i="55"/>
  <c r="BH100" i="55"/>
  <c r="BH93" i="55"/>
  <c r="BH91" i="55"/>
  <c r="BH97" i="55"/>
  <c r="CN97" i="55" s="1"/>
  <c r="BH98" i="55"/>
  <c r="CN98" i="55" s="1"/>
  <c r="BH96" i="55"/>
  <c r="CN96" i="55" s="1"/>
  <c r="BH87" i="55"/>
  <c r="AG36" i="55"/>
  <c r="AM30" i="55"/>
  <c r="CH66" i="55"/>
  <c r="CH67" i="55"/>
  <c r="DN67" i="55" s="1"/>
  <c r="CH63" i="55"/>
  <c r="CH62" i="55"/>
  <c r="CH51" i="55"/>
  <c r="CH68" i="55"/>
  <c r="CH52" i="55"/>
  <c r="CH61" i="55"/>
  <c r="CH65" i="55"/>
  <c r="CH48" i="55"/>
  <c r="CH41" i="55"/>
  <c r="CH64" i="55"/>
  <c r="CH50" i="55"/>
  <c r="CH47" i="55"/>
  <c r="CH46" i="55"/>
  <c r="CH43" i="55"/>
  <c r="CH45" i="55"/>
  <c r="CH39" i="55"/>
  <c r="CH49" i="55"/>
  <c r="BQ32" i="55"/>
  <c r="CW32" i="55" s="1"/>
  <c r="BQ34" i="55"/>
  <c r="CW34" i="55" s="1"/>
  <c r="BQ35" i="55"/>
  <c r="CW35" i="55" s="1"/>
  <c r="BQ31" i="55"/>
  <c r="CW31" i="55" s="1"/>
  <c r="BQ30" i="55"/>
  <c r="BQ36" i="55"/>
  <c r="CW36" i="55" s="1"/>
  <c r="BQ29" i="55"/>
  <c r="BQ25" i="55"/>
  <c r="CW25" i="55" s="1"/>
  <c r="BQ33" i="55"/>
  <c r="CW33" i="55" s="1"/>
  <c r="BQ27" i="55"/>
  <c r="BQ23" i="55"/>
  <c r="CW23" i="55" s="1"/>
  <c r="AC36" i="55"/>
  <c r="BH25" i="55" s="1"/>
  <c r="BJ34" i="55"/>
  <c r="BJ35" i="55"/>
  <c r="BJ31" i="55"/>
  <c r="BJ30" i="55"/>
  <c r="BJ36" i="55"/>
  <c r="BJ25" i="55"/>
  <c r="BJ29" i="55"/>
  <c r="BJ33" i="55"/>
  <c r="BJ27" i="55"/>
  <c r="BJ23" i="55"/>
  <c r="BJ32" i="55"/>
  <c r="BC164" i="55"/>
  <c r="BY116" i="55"/>
  <c r="BY114" i="55"/>
  <c r="BY115" i="55"/>
  <c r="BY111" i="55"/>
  <c r="BY110" i="55"/>
  <c r="BY109" i="55"/>
  <c r="BY113" i="55"/>
  <c r="BY112" i="55"/>
  <c r="BM96" i="55"/>
  <c r="BM98" i="55"/>
  <c r="BM99" i="55"/>
  <c r="BM95" i="55"/>
  <c r="BM100" i="55"/>
  <c r="BM93" i="55"/>
  <c r="BM87" i="55"/>
  <c r="BM97" i="55"/>
  <c r="BM89" i="55"/>
  <c r="BM91" i="55"/>
  <c r="BM94" i="55"/>
  <c r="CB55" i="55"/>
  <c r="CB57" i="55"/>
  <c r="CB59" i="55"/>
  <c r="BK35" i="55"/>
  <c r="BK31" i="55"/>
  <c r="BK30" i="55"/>
  <c r="BK36" i="55"/>
  <c r="BK29" i="55"/>
  <c r="BK33" i="55"/>
  <c r="BK32" i="55"/>
  <c r="BK34" i="55"/>
  <c r="BQ130" i="55"/>
  <c r="BQ131" i="55"/>
  <c r="CW131" i="55" s="1"/>
  <c r="BQ129" i="55"/>
  <c r="CW129" i="55" s="1"/>
  <c r="BQ127" i="55"/>
  <c r="CW127" i="55" s="1"/>
  <c r="BQ126" i="55"/>
  <c r="BQ128" i="55"/>
  <c r="CW128" i="55" s="1"/>
  <c r="BQ125" i="55"/>
  <c r="BQ121" i="55"/>
  <c r="CW121" i="55" s="1"/>
  <c r="BQ123" i="55"/>
  <c r="BQ132" i="55"/>
  <c r="BQ119" i="55"/>
  <c r="CW119" i="55" s="1"/>
  <c r="BY148" i="55"/>
  <c r="BY144" i="55"/>
  <c r="DE144" i="55" s="1"/>
  <c r="BY147" i="55"/>
  <c r="DE147" i="55" s="1"/>
  <c r="BY146" i="55"/>
  <c r="DE146" i="55" s="1"/>
  <c r="BY145" i="55"/>
  <c r="DE145" i="55" s="1"/>
  <c r="BY142" i="55"/>
  <c r="DE142" i="55" s="1"/>
  <c r="BY141" i="55"/>
  <c r="DE141" i="55" s="1"/>
  <c r="BY143" i="55"/>
  <c r="DE143" i="55" s="1"/>
  <c r="BX128" i="55"/>
  <c r="BX129" i="55"/>
  <c r="BX123" i="55"/>
  <c r="BX131" i="55"/>
  <c r="BX119" i="55"/>
  <c r="DD119" i="55" s="1"/>
  <c r="BX127" i="55"/>
  <c r="BX126" i="55"/>
  <c r="BX132" i="55"/>
  <c r="BX125" i="55"/>
  <c r="BX130" i="55"/>
  <c r="BX121" i="55"/>
  <c r="BV132" i="55"/>
  <c r="BV129" i="55"/>
  <c r="BV130" i="55"/>
  <c r="BV125" i="55"/>
  <c r="BV121" i="55"/>
  <c r="BV128" i="55"/>
  <c r="BV123" i="55"/>
  <c r="BV131" i="55"/>
  <c r="BV119" i="55"/>
  <c r="BV127" i="55"/>
  <c r="BV126" i="55"/>
  <c r="CA130" i="55"/>
  <c r="CA131" i="55"/>
  <c r="CA129" i="55"/>
  <c r="CA127" i="55"/>
  <c r="CA126" i="55"/>
  <c r="CA132" i="55"/>
  <c r="CA125" i="55"/>
  <c r="CA128" i="55"/>
  <c r="BW96" i="55"/>
  <c r="BW98" i="55"/>
  <c r="BW99" i="55"/>
  <c r="BW97" i="55"/>
  <c r="BW94" i="55"/>
  <c r="BW95" i="55"/>
  <c r="BW93" i="55"/>
  <c r="BW100" i="55"/>
  <c r="AM119" i="55"/>
  <c r="BK52" i="55"/>
  <c r="BK51" i="55"/>
  <c r="BK47" i="55"/>
  <c r="BK46" i="55"/>
  <c r="BK45" i="55"/>
  <c r="DG45" i="55" s="1"/>
  <c r="BK49" i="55"/>
  <c r="BK48" i="55"/>
  <c r="BK50" i="55"/>
  <c r="BI51" i="55"/>
  <c r="CO51" i="55" s="1"/>
  <c r="BI52" i="55"/>
  <c r="BI48" i="55"/>
  <c r="CO48" i="55" s="1"/>
  <c r="BI50" i="55"/>
  <c r="CO50" i="55" s="1"/>
  <c r="BI47" i="55"/>
  <c r="CO47" i="55" s="1"/>
  <c r="BI46" i="55"/>
  <c r="BI45" i="55"/>
  <c r="BI49" i="55"/>
  <c r="CO49" i="55" s="1"/>
  <c r="AC173" i="55"/>
  <c r="AC186" i="55" s="1"/>
  <c r="BG51" i="55"/>
  <c r="CM51" i="55" s="1"/>
  <c r="BG52" i="55"/>
  <c r="CM52" i="55" s="1"/>
  <c r="BG49" i="55"/>
  <c r="CM49" i="55" s="1"/>
  <c r="BG48" i="55"/>
  <c r="CM48" i="55" s="1"/>
  <c r="BG50" i="55"/>
  <c r="CM50" i="55" s="1"/>
  <c r="BG47" i="55"/>
  <c r="CM47" i="55" s="1"/>
  <c r="BG46" i="55"/>
  <c r="BG45" i="55"/>
  <c r="BH66" i="55"/>
  <c r="CN66" i="55" s="1"/>
  <c r="BH67" i="55"/>
  <c r="CN67" i="55" s="1"/>
  <c r="BH63" i="55"/>
  <c r="CN63" i="55" s="1"/>
  <c r="BH62" i="55"/>
  <c r="BH57" i="55"/>
  <c r="BH68" i="55"/>
  <c r="BH61" i="55"/>
  <c r="BH59" i="55"/>
  <c r="BH65" i="55"/>
  <c r="CN65" i="55" s="1"/>
  <c r="BH55" i="55"/>
  <c r="BH64" i="55"/>
  <c r="CN64" i="55" s="1"/>
  <c r="AE153" i="55"/>
  <c r="AB154" i="55"/>
  <c r="BZ25" i="55"/>
  <c r="BZ32" i="55"/>
  <c r="BZ34" i="55"/>
  <c r="BZ27" i="55"/>
  <c r="DF27" i="55" s="1"/>
  <c r="BZ35" i="55"/>
  <c r="BZ31" i="55"/>
  <c r="BZ30" i="55"/>
  <c r="BZ36" i="55"/>
  <c r="BZ23" i="55"/>
  <c r="BZ29" i="55"/>
  <c r="DF29" i="55" s="1"/>
  <c r="BZ33" i="55"/>
  <c r="CG129" i="55"/>
  <c r="CG128" i="55"/>
  <c r="CG130" i="55"/>
  <c r="CG132" i="55"/>
  <c r="CG121" i="55"/>
  <c r="CG127" i="55"/>
  <c r="CG126" i="55"/>
  <c r="CG123" i="55"/>
  <c r="DM123" i="55" s="1"/>
  <c r="CG119" i="55"/>
  <c r="CG125" i="55"/>
  <c r="DM125" i="55" s="1"/>
  <c r="CG131" i="55"/>
  <c r="AM83" i="55"/>
  <c r="AL84" i="55"/>
  <c r="BI130" i="55"/>
  <c r="CO130" i="55" s="1"/>
  <c r="BI131" i="55"/>
  <c r="CO131" i="55" s="1"/>
  <c r="BI129" i="55"/>
  <c r="CO129" i="55" s="1"/>
  <c r="BI128" i="55"/>
  <c r="CO128" i="55" s="1"/>
  <c r="BI127" i="55"/>
  <c r="CO127" i="55" s="1"/>
  <c r="BI126" i="55"/>
  <c r="BI132" i="55"/>
  <c r="BI125" i="55"/>
  <c r="AL185" i="55"/>
  <c r="AM67" i="55"/>
  <c r="AL68" i="55"/>
  <c r="BV36" i="55"/>
  <c r="BV29" i="55"/>
  <c r="BV25" i="55"/>
  <c r="BV33" i="55"/>
  <c r="BV27" i="55"/>
  <c r="BV32" i="55"/>
  <c r="BV34" i="55"/>
  <c r="BV30" i="55"/>
  <c r="BV23" i="55"/>
  <c r="BV35" i="55"/>
  <c r="BV31" i="55"/>
  <c r="Z84" i="55"/>
  <c r="AM71" i="55"/>
  <c r="CF144" i="55"/>
  <c r="CF147" i="55"/>
  <c r="CF146" i="55"/>
  <c r="CF148" i="55"/>
  <c r="CF145" i="55"/>
  <c r="CF142" i="55"/>
  <c r="CF141" i="55"/>
  <c r="CF137" i="55"/>
  <c r="CF135" i="55"/>
  <c r="CF143" i="55"/>
  <c r="CF139" i="55"/>
  <c r="BZ130" i="55"/>
  <c r="BZ131" i="55"/>
  <c r="BZ123" i="55"/>
  <c r="BZ127" i="55"/>
  <c r="BZ126" i="55"/>
  <c r="BZ119" i="55"/>
  <c r="DF119" i="55" s="1"/>
  <c r="BZ132" i="55"/>
  <c r="BZ125" i="55"/>
  <c r="BZ128" i="55"/>
  <c r="BZ129" i="55"/>
  <c r="BZ121" i="55"/>
  <c r="BX96" i="55"/>
  <c r="BX98" i="55"/>
  <c r="BX99" i="55"/>
  <c r="BX95" i="55"/>
  <c r="BX94" i="55"/>
  <c r="BX100" i="55"/>
  <c r="BX93" i="55"/>
  <c r="BX97" i="55"/>
  <c r="BX89" i="55"/>
  <c r="BX91" i="55"/>
  <c r="BX87" i="55"/>
  <c r="AM110" i="55"/>
  <c r="AG116" i="55"/>
  <c r="CH59" i="55"/>
  <c r="CH55" i="55"/>
  <c r="CH57" i="55"/>
  <c r="CB182" i="55"/>
  <c r="DH182" i="55" s="1"/>
  <c r="CB179" i="55"/>
  <c r="CB184" i="55"/>
  <c r="DH184" i="55" s="1"/>
  <c r="CB177" i="55"/>
  <c r="DH177" i="55" s="1"/>
  <c r="CB181" i="55"/>
  <c r="DH181" i="55" s="1"/>
  <c r="CB175" i="55"/>
  <c r="DH175" i="55" s="1"/>
  <c r="CB173" i="55"/>
  <c r="DH173" i="55" s="1"/>
  <c r="CB185" i="55"/>
  <c r="DH185" i="55" s="1"/>
  <c r="CB180" i="55"/>
  <c r="DH180" i="55" s="1"/>
  <c r="CB164" i="55"/>
  <c r="CB160" i="55"/>
  <c r="DH160" i="55" s="1"/>
  <c r="CB161" i="55"/>
  <c r="DH161" i="55" s="1"/>
  <c r="CB157" i="55"/>
  <c r="CB159" i="55"/>
  <c r="DH159" i="55" s="1"/>
  <c r="CB158" i="55"/>
  <c r="DH158" i="55" s="1"/>
  <c r="CB155" i="55"/>
  <c r="DH155" i="55" s="1"/>
  <c r="CB153" i="55"/>
  <c r="DH153" i="55" s="1"/>
  <c r="CB151" i="55"/>
  <c r="DH151" i="55" s="1"/>
  <c r="CB183" i="55"/>
  <c r="DH183" i="55" s="1"/>
  <c r="CB163" i="55"/>
  <c r="DH163" i="55" s="1"/>
  <c r="CB162" i="55"/>
  <c r="DH162" i="55" s="1"/>
  <c r="CE143" i="55"/>
  <c r="DK143" i="55" s="1"/>
  <c r="CE144" i="55"/>
  <c r="CE147" i="55"/>
  <c r="DK147" i="55" s="1"/>
  <c r="CE146" i="55"/>
  <c r="DK146" i="55" s="1"/>
  <c r="CE148" i="55"/>
  <c r="CE141" i="55"/>
  <c r="DK141" i="55" s="1"/>
  <c r="CE137" i="55"/>
  <c r="DK137" i="55" s="1"/>
  <c r="CE135" i="55"/>
  <c r="DK135" i="55" s="1"/>
  <c r="CE145" i="55"/>
  <c r="DK145" i="55" s="1"/>
  <c r="CE142" i="55"/>
  <c r="DK142" i="55" s="1"/>
  <c r="CE139" i="55"/>
  <c r="DK139" i="55" s="1"/>
  <c r="BQ100" i="55"/>
  <c r="BQ93" i="55"/>
  <c r="BQ89" i="55"/>
  <c r="BQ98" i="55"/>
  <c r="BQ99" i="55"/>
  <c r="CW99" i="55" s="1"/>
  <c r="BQ97" i="55"/>
  <c r="CW97" i="55" s="1"/>
  <c r="BQ91" i="55"/>
  <c r="DM91" i="55" s="1"/>
  <c r="BQ96" i="55"/>
  <c r="CW96" i="55" s="1"/>
  <c r="BQ94" i="55"/>
  <c r="BQ87" i="55"/>
  <c r="CW87" i="55" s="1"/>
  <c r="BQ95" i="55"/>
  <c r="CW95" i="55" s="1"/>
  <c r="BG64" i="55"/>
  <c r="CM64" i="55" s="1"/>
  <c r="BG66" i="55"/>
  <c r="CM66" i="55" s="1"/>
  <c r="BG67" i="55"/>
  <c r="CM67" i="55" s="1"/>
  <c r="BG63" i="55"/>
  <c r="CM63" i="55" s="1"/>
  <c r="BG62" i="55"/>
  <c r="BG68" i="55"/>
  <c r="CM68" i="55" s="1"/>
  <c r="BG61" i="55"/>
  <c r="BG65" i="55"/>
  <c r="CM65" i="55" s="1"/>
  <c r="BX107" i="55"/>
  <c r="AR186" i="55"/>
  <c r="BX186" i="55" s="1"/>
  <c r="CG64" i="55"/>
  <c r="CG66" i="55"/>
  <c r="DM66" i="55" s="1"/>
  <c r="CG67" i="55"/>
  <c r="CG63" i="55"/>
  <c r="CG62" i="55"/>
  <c r="CG51" i="55"/>
  <c r="CG68" i="55"/>
  <c r="CG52" i="55"/>
  <c r="CG61" i="55"/>
  <c r="DM61" i="55" s="1"/>
  <c r="CG65" i="55"/>
  <c r="CG49" i="55"/>
  <c r="CG48" i="55"/>
  <c r="CG41" i="55"/>
  <c r="CG50" i="55"/>
  <c r="CG47" i="55"/>
  <c r="CG46" i="55"/>
  <c r="CG43" i="55"/>
  <c r="CG39" i="55"/>
  <c r="CG45" i="55"/>
  <c r="CG184" i="55"/>
  <c r="CG177" i="55"/>
  <c r="CG181" i="55"/>
  <c r="DM181" i="55" s="1"/>
  <c r="CG182" i="55"/>
  <c r="DM182" i="55" s="1"/>
  <c r="CG185" i="55"/>
  <c r="DM185" i="55" s="1"/>
  <c r="CG183" i="55"/>
  <c r="DM183" i="55" s="1"/>
  <c r="CG180" i="55"/>
  <c r="DM180" i="55" s="1"/>
  <c r="CG179" i="55"/>
  <c r="CG163" i="55"/>
  <c r="DM163" i="55" s="1"/>
  <c r="CG162" i="55"/>
  <c r="CG175" i="55"/>
  <c r="CG173" i="55"/>
  <c r="DM173" i="55" s="1"/>
  <c r="CG164" i="55"/>
  <c r="CG157" i="55"/>
  <c r="CG160" i="55"/>
  <c r="DM160" i="55" s="1"/>
  <c r="CG159" i="55"/>
  <c r="DM159" i="55" s="1"/>
  <c r="CG155" i="55"/>
  <c r="CG158" i="55"/>
  <c r="DM158" i="55" s="1"/>
  <c r="CG161" i="55"/>
  <c r="DM161" i="55" s="1"/>
  <c r="CG153" i="55"/>
  <c r="CG151" i="55"/>
  <c r="DM151" i="55" s="1"/>
  <c r="BW143" i="55"/>
  <c r="DC143" i="55" s="1"/>
  <c r="BW148" i="55"/>
  <c r="BW144" i="55"/>
  <c r="BW147" i="55"/>
  <c r="BW146" i="55"/>
  <c r="BW142" i="55"/>
  <c r="BW141" i="55"/>
  <c r="DC141" i="55" s="1"/>
  <c r="BW145" i="55"/>
  <c r="BV137" i="55"/>
  <c r="CC143" i="55"/>
  <c r="DI143" i="55" s="1"/>
  <c r="CC148" i="55"/>
  <c r="CC147" i="55"/>
  <c r="DI147" i="55" s="1"/>
  <c r="CC146" i="55"/>
  <c r="DI146" i="55" s="1"/>
  <c r="CC141" i="55"/>
  <c r="DI141" i="55" s="1"/>
  <c r="CC137" i="55"/>
  <c r="DI137" i="55" s="1"/>
  <c r="CC144" i="55"/>
  <c r="DI144" i="55" s="1"/>
  <c r="CC145" i="55"/>
  <c r="DI145" i="55" s="1"/>
  <c r="CC142" i="55"/>
  <c r="CC139" i="55"/>
  <c r="DI139" i="55" s="1"/>
  <c r="CC135" i="55"/>
  <c r="DI135" i="55" s="1"/>
  <c r="BR148" i="55"/>
  <c r="BR143" i="55"/>
  <c r="CX143" i="55" s="1"/>
  <c r="BR144" i="55"/>
  <c r="CX144" i="55" s="1"/>
  <c r="BR146" i="55"/>
  <c r="CX146" i="55" s="1"/>
  <c r="BR145" i="55"/>
  <c r="CX145" i="55" s="1"/>
  <c r="BR137" i="55"/>
  <c r="CX137" i="55" s="1"/>
  <c r="BR147" i="55"/>
  <c r="BR142" i="55"/>
  <c r="BR135" i="55"/>
  <c r="CX135" i="55" s="1"/>
  <c r="BR141" i="55"/>
  <c r="BR139" i="55"/>
  <c r="BF128" i="55"/>
  <c r="CL128" i="55" s="1"/>
  <c r="BF131" i="55"/>
  <c r="CL131" i="55" s="1"/>
  <c r="BF129" i="55"/>
  <c r="CL129" i="55" s="1"/>
  <c r="BF132" i="55"/>
  <c r="CL132" i="55" s="1"/>
  <c r="BF127" i="55"/>
  <c r="CL127" i="55" s="1"/>
  <c r="BF126" i="55"/>
  <c r="BF121" i="55"/>
  <c r="CL121" i="55" s="1"/>
  <c r="BF130" i="55"/>
  <c r="CL130" i="55" s="1"/>
  <c r="BF123" i="55"/>
  <c r="BF125" i="55"/>
  <c r="BF119" i="55"/>
  <c r="CL119" i="55" s="1"/>
  <c r="BF139" i="55"/>
  <c r="AM99" i="55"/>
  <c r="AL100" i="55"/>
  <c r="CD97" i="55"/>
  <c r="CD89" i="55"/>
  <c r="CD96" i="55"/>
  <c r="CD98" i="55"/>
  <c r="CD99" i="55"/>
  <c r="CD95" i="55"/>
  <c r="CD94" i="55"/>
  <c r="CD100" i="55"/>
  <c r="CD87" i="55"/>
  <c r="CD93" i="55"/>
  <c r="CD91" i="55"/>
  <c r="CE115" i="55"/>
  <c r="CE116" i="55"/>
  <c r="CE112" i="55"/>
  <c r="CE105" i="55"/>
  <c r="CE114" i="55"/>
  <c r="DK114" i="55" s="1"/>
  <c r="CE111" i="55"/>
  <c r="CE110" i="55"/>
  <c r="CE107" i="55"/>
  <c r="CE109" i="55"/>
  <c r="CE103" i="55"/>
  <c r="CE113" i="55"/>
  <c r="BG128" i="55"/>
  <c r="CM128" i="55" s="1"/>
  <c r="BG130" i="55"/>
  <c r="CM130" i="55" s="1"/>
  <c r="BG132" i="55"/>
  <c r="CM132" i="55" s="1"/>
  <c r="BG129" i="55"/>
  <c r="CM129" i="55" s="1"/>
  <c r="BG127" i="55"/>
  <c r="CM127" i="55" s="1"/>
  <c r="BG126" i="55"/>
  <c r="BG125" i="55"/>
  <c r="BG131" i="55"/>
  <c r="CM131" i="55" s="1"/>
  <c r="BX103" i="55"/>
  <c r="CD55" i="55"/>
  <c r="CD57" i="55"/>
  <c r="CD59" i="55"/>
  <c r="AA100" i="55"/>
  <c r="BF87" i="55" s="1"/>
  <c r="Z173" i="55"/>
  <c r="Z68" i="55"/>
  <c r="AM55" i="55"/>
  <c r="CC68" i="55"/>
  <c r="CC52" i="55"/>
  <c r="CC61" i="55"/>
  <c r="CC65" i="55"/>
  <c r="CC64" i="55"/>
  <c r="CC66" i="55"/>
  <c r="CC67" i="55"/>
  <c r="CC63" i="55"/>
  <c r="CC62" i="55"/>
  <c r="CC51" i="55"/>
  <c r="CC47" i="55"/>
  <c r="CC46" i="55"/>
  <c r="CC43" i="55"/>
  <c r="CC45" i="55"/>
  <c r="CC39" i="55"/>
  <c r="CC49" i="55"/>
  <c r="CC48" i="55"/>
  <c r="CC41" i="55"/>
  <c r="CC50" i="55"/>
  <c r="BZ59" i="55"/>
  <c r="BZ55" i="55"/>
  <c r="BZ57" i="55"/>
  <c r="AK153" i="55"/>
  <c r="AK20" i="55"/>
  <c r="AK162" i="55"/>
  <c r="AB152" i="55"/>
  <c r="BF29" i="55"/>
  <c r="BF33" i="55"/>
  <c r="CL33" i="55" s="1"/>
  <c r="BF32" i="55"/>
  <c r="CL32" i="55" s="1"/>
  <c r="BF34" i="55"/>
  <c r="CL34" i="55" s="1"/>
  <c r="BF35" i="55"/>
  <c r="CL35" i="55" s="1"/>
  <c r="BF31" i="55"/>
  <c r="CL31" i="55" s="1"/>
  <c r="BF30" i="55"/>
  <c r="BF25" i="55"/>
  <c r="CL25" i="55" s="1"/>
  <c r="BF23" i="55"/>
  <c r="BF27" i="55"/>
  <c r="BF36" i="55"/>
  <c r="AG148" i="55"/>
  <c r="AM142" i="55"/>
  <c r="CH130" i="55"/>
  <c r="CH131" i="55"/>
  <c r="DN131" i="55" s="1"/>
  <c r="CH132" i="55"/>
  <c r="CH127" i="55"/>
  <c r="CH126" i="55"/>
  <c r="CH123" i="55"/>
  <c r="CH129" i="55"/>
  <c r="CH128" i="55"/>
  <c r="CH119" i="55"/>
  <c r="CH125" i="55"/>
  <c r="CH121" i="55"/>
  <c r="CG57" i="55"/>
  <c r="CG59" i="55"/>
  <c r="CG55" i="55"/>
  <c r="BY128" i="55"/>
  <c r="BY130" i="55"/>
  <c r="BY132" i="55"/>
  <c r="BY131" i="55"/>
  <c r="BY127" i="55"/>
  <c r="BY126" i="55"/>
  <c r="BY125" i="55"/>
  <c r="DE125" i="55" s="1"/>
  <c r="BY129" i="55"/>
  <c r="CF57" i="55"/>
  <c r="CF59" i="55"/>
  <c r="CF55" i="55"/>
  <c r="BV61" i="55"/>
  <c r="BV65" i="55"/>
  <c r="BV64" i="55"/>
  <c r="BV66" i="55"/>
  <c r="BV67" i="55"/>
  <c r="BV63" i="55"/>
  <c r="BV62" i="55"/>
  <c r="BV51" i="55"/>
  <c r="BV68" i="55"/>
  <c r="BV45" i="55"/>
  <c r="BV41" i="55"/>
  <c r="BV52" i="55"/>
  <c r="BV49" i="55"/>
  <c r="BV43" i="55"/>
  <c r="BV48" i="55"/>
  <c r="BV50" i="55"/>
  <c r="BV39" i="55"/>
  <c r="BV47" i="55"/>
  <c r="BV46" i="55"/>
  <c r="BF51" i="55"/>
  <c r="CL51" i="55" s="1"/>
  <c r="BF52" i="55"/>
  <c r="BF45" i="55"/>
  <c r="BF49" i="55"/>
  <c r="CL49" i="55" s="1"/>
  <c r="BF39" i="55"/>
  <c r="BF48" i="55"/>
  <c r="CL48" i="55" s="1"/>
  <c r="BF50" i="55"/>
  <c r="CL50" i="55" s="1"/>
  <c r="BF47" i="55"/>
  <c r="CL47" i="55" s="1"/>
  <c r="BF46" i="55"/>
  <c r="BF41" i="55"/>
  <c r="CL41" i="55" s="1"/>
  <c r="BF43" i="55"/>
  <c r="AB153" i="55"/>
  <c r="CG148" i="55"/>
  <c r="CG144" i="55"/>
  <c r="DM144" i="55" s="1"/>
  <c r="CG147" i="55"/>
  <c r="DM147" i="55" s="1"/>
  <c r="CG146" i="55"/>
  <c r="CG145" i="55"/>
  <c r="DM145" i="55" s="1"/>
  <c r="CG135" i="55"/>
  <c r="DM135" i="55" s="1"/>
  <c r="CG143" i="55"/>
  <c r="DM143" i="55" s="1"/>
  <c r="CG142" i="55"/>
  <c r="DM142" i="55" s="1"/>
  <c r="CG139" i="55"/>
  <c r="CG141" i="55"/>
  <c r="CG137" i="55"/>
  <c r="CD116" i="55"/>
  <c r="CD113" i="55"/>
  <c r="CD112" i="55"/>
  <c r="CD105" i="55"/>
  <c r="CD114" i="55"/>
  <c r="CD115" i="55"/>
  <c r="CD111" i="55"/>
  <c r="CD110" i="55"/>
  <c r="CD107" i="55"/>
  <c r="CD103" i="55"/>
  <c r="CD109" i="55"/>
  <c r="BX59" i="55"/>
  <c r="BX55" i="55"/>
  <c r="BX57" i="55"/>
  <c r="BY82" i="55"/>
  <c r="BY83" i="55"/>
  <c r="BY84" i="55"/>
  <c r="BY81" i="55"/>
  <c r="BY80" i="55"/>
  <c r="BY79" i="55"/>
  <c r="BY78" i="55"/>
  <c r="BY77" i="55"/>
  <c r="AD52" i="55"/>
  <c r="CC185" i="55"/>
  <c r="DI185" i="55" s="1"/>
  <c r="CC183" i="55"/>
  <c r="DI183" i="55" s="1"/>
  <c r="CC180" i="55"/>
  <c r="CC184" i="55"/>
  <c r="DI184" i="55" s="1"/>
  <c r="CC177" i="55"/>
  <c r="DI177" i="55" s="1"/>
  <c r="CC181" i="55"/>
  <c r="DI181" i="55" s="1"/>
  <c r="CC182" i="55"/>
  <c r="DI182" i="55" s="1"/>
  <c r="CC164" i="55"/>
  <c r="CC160" i="55"/>
  <c r="DI160" i="55" s="1"/>
  <c r="CC179" i="55"/>
  <c r="DI179" i="55" s="1"/>
  <c r="CC161" i="55"/>
  <c r="DI161" i="55" s="1"/>
  <c r="CC163" i="55"/>
  <c r="DI163" i="55" s="1"/>
  <c r="CC162" i="55"/>
  <c r="DI162" i="55" s="1"/>
  <c r="CC159" i="55"/>
  <c r="DI159" i="55" s="1"/>
  <c r="CC158" i="55"/>
  <c r="CC155" i="55"/>
  <c r="DI155" i="55" s="1"/>
  <c r="CC153" i="55"/>
  <c r="DI153" i="55" s="1"/>
  <c r="CC175" i="55"/>
  <c r="DI175" i="55" s="1"/>
  <c r="CC151" i="55"/>
  <c r="DI151" i="55" s="1"/>
  <c r="CC157" i="55"/>
  <c r="DI157" i="55" s="1"/>
  <c r="CC173" i="55"/>
  <c r="DI173" i="55" s="1"/>
  <c r="AM135" i="55"/>
  <c r="BQ109" i="55"/>
  <c r="BQ110" i="55"/>
  <c r="BQ116" i="55"/>
  <c r="BQ111" i="55"/>
  <c r="CW111" i="55" s="1"/>
  <c r="BQ115" i="55"/>
  <c r="CW115" i="55" s="1"/>
  <c r="CC116" i="55"/>
  <c r="CC109" i="55"/>
  <c r="CC103" i="55"/>
  <c r="CC113" i="55"/>
  <c r="CC112" i="55"/>
  <c r="CC105" i="55"/>
  <c r="CC114" i="55"/>
  <c r="CC111" i="55"/>
  <c r="CC107" i="55"/>
  <c r="CC115" i="55"/>
  <c r="CC110" i="55"/>
  <c r="BV97" i="55"/>
  <c r="BV91" i="55"/>
  <c r="BV96" i="55"/>
  <c r="BV98" i="55"/>
  <c r="BV99" i="55"/>
  <c r="BV95" i="55"/>
  <c r="BV94" i="55"/>
  <c r="BV100" i="55"/>
  <c r="BV89" i="55"/>
  <c r="BV87" i="55"/>
  <c r="BV93" i="55"/>
  <c r="CF116" i="55"/>
  <c r="CF112" i="55"/>
  <c r="CF105" i="55"/>
  <c r="CF114" i="55"/>
  <c r="CF111" i="55"/>
  <c r="CF110" i="55"/>
  <c r="CF107" i="55"/>
  <c r="CF115" i="55"/>
  <c r="CF113" i="55"/>
  <c r="CF103" i="55"/>
  <c r="CF109" i="55"/>
  <c r="BW112" i="55"/>
  <c r="BW114" i="55"/>
  <c r="BW115" i="55"/>
  <c r="BW111" i="55"/>
  <c r="BW110" i="55"/>
  <c r="BW116" i="55"/>
  <c r="BW109" i="55"/>
  <c r="BW113" i="55"/>
  <c r="BV116" i="55"/>
  <c r="BV113" i="55"/>
  <c r="BV107" i="55"/>
  <c r="BV112" i="55"/>
  <c r="BV114" i="55"/>
  <c r="BV115" i="55"/>
  <c r="BV111" i="55"/>
  <c r="BV110" i="55"/>
  <c r="BV103" i="55"/>
  <c r="BV109" i="55"/>
  <c r="BV105" i="55"/>
  <c r="CB84" i="55"/>
  <c r="CB81" i="55"/>
  <c r="CB82" i="55"/>
  <c r="CB83" i="55"/>
  <c r="CB77" i="55"/>
  <c r="DH77" i="55" s="1"/>
  <c r="CB71" i="55"/>
  <c r="CB73" i="55"/>
  <c r="CB79" i="55"/>
  <c r="CB78" i="55"/>
  <c r="CB75" i="55"/>
  <c r="CB80" i="55"/>
  <c r="AF179" i="55"/>
  <c r="AF186" i="55" s="1"/>
  <c r="BC84" i="55"/>
  <c r="CG116" i="55"/>
  <c r="CG114" i="55"/>
  <c r="CG111" i="55"/>
  <c r="CG110" i="55"/>
  <c r="CG107" i="55"/>
  <c r="CG115" i="55"/>
  <c r="CG109" i="55"/>
  <c r="CG103" i="55"/>
  <c r="CG113" i="55"/>
  <c r="CG112" i="55"/>
  <c r="CG105" i="55"/>
  <c r="AG84" i="55"/>
  <c r="AM78" i="55"/>
  <c r="BV57" i="55"/>
  <c r="BV59" i="55"/>
  <c r="BV55" i="55"/>
  <c r="AM51" i="55"/>
  <c r="AL52" i="55"/>
  <c r="P68" i="55"/>
  <c r="BQ67" i="55"/>
  <c r="CW67" i="55" s="1"/>
  <c r="BQ63" i="55"/>
  <c r="CW63" i="55" s="1"/>
  <c r="BQ62" i="55"/>
  <c r="BQ55" i="55"/>
  <c r="CW55" i="55" s="1"/>
  <c r="BQ68" i="55"/>
  <c r="CW68" i="55" s="1"/>
  <c r="BQ61" i="55"/>
  <c r="BQ57" i="55"/>
  <c r="CW57" i="55" s="1"/>
  <c r="BQ65" i="55"/>
  <c r="CW65" i="55" s="1"/>
  <c r="BQ59" i="55"/>
  <c r="BQ64" i="55"/>
  <c r="CW64" i="55" s="1"/>
  <c r="BQ66" i="55"/>
  <c r="CW66" i="55" s="1"/>
  <c r="AE68" i="55"/>
  <c r="BJ55" i="55" s="1"/>
  <c r="AM35" i="55"/>
  <c r="AL36" i="55"/>
  <c r="BH51" i="55"/>
  <c r="CN51" i="55" s="1"/>
  <c r="BH52" i="55"/>
  <c r="BH48" i="55"/>
  <c r="CN48" i="55" s="1"/>
  <c r="BH39" i="55"/>
  <c r="BH50" i="55"/>
  <c r="CN50" i="55" s="1"/>
  <c r="BH47" i="55"/>
  <c r="CN47" i="55" s="1"/>
  <c r="BH46" i="55"/>
  <c r="BH41" i="55"/>
  <c r="BH45" i="55"/>
  <c r="BH43" i="55"/>
  <c r="BH49" i="55"/>
  <c r="CN49" i="55" s="1"/>
  <c r="AC152" i="55"/>
  <c r="W145" i="55"/>
  <c r="W97" i="55"/>
  <c r="W113" i="55"/>
  <c r="W81" i="55"/>
  <c r="W17" i="55"/>
  <c r="AA151" i="55"/>
  <c r="AA152" i="55"/>
  <c r="AM23" i="55"/>
  <c r="CH111" i="55"/>
  <c r="CH110" i="55"/>
  <c r="CH107" i="55"/>
  <c r="CH115" i="55"/>
  <c r="CH109" i="55"/>
  <c r="CH103" i="55"/>
  <c r="CH113" i="55"/>
  <c r="CH112" i="55"/>
  <c r="CH105" i="55"/>
  <c r="CH116" i="55"/>
  <c r="CH114" i="55"/>
  <c r="BJ83" i="55"/>
  <c r="CD61" i="55"/>
  <c r="CD65" i="55"/>
  <c r="CD64" i="55"/>
  <c r="CD66" i="55"/>
  <c r="DJ66" i="55" s="1"/>
  <c r="CD67" i="55"/>
  <c r="CD63" i="55"/>
  <c r="DJ63" i="55" s="1"/>
  <c r="CD62" i="55"/>
  <c r="CD51" i="55"/>
  <c r="CD68" i="55"/>
  <c r="CD52" i="55"/>
  <c r="CD45" i="55"/>
  <c r="CD39" i="55"/>
  <c r="CD49" i="55"/>
  <c r="CD48" i="55"/>
  <c r="CD41" i="55"/>
  <c r="CD50" i="55"/>
  <c r="CD43" i="55"/>
  <c r="CD47" i="55"/>
  <c r="CD46" i="55"/>
  <c r="AG158" i="55"/>
  <c r="AG20" i="55"/>
  <c r="AM14" i="55"/>
  <c r="BJ148" i="55"/>
  <c r="BJ143" i="55"/>
  <c r="BJ144" i="55"/>
  <c r="BJ137" i="55"/>
  <c r="BJ135" i="55"/>
  <c r="BJ146" i="55"/>
  <c r="BJ145" i="55"/>
  <c r="BJ141" i="55"/>
  <c r="BJ139" i="55"/>
  <c r="BJ142" i="55"/>
  <c r="BJ147" i="55"/>
  <c r="BZ115" i="55"/>
  <c r="BZ111" i="55"/>
  <c r="BZ110" i="55"/>
  <c r="BZ103" i="55"/>
  <c r="BZ116" i="55"/>
  <c r="BZ109" i="55"/>
  <c r="BZ113" i="55"/>
  <c r="BZ112" i="55"/>
  <c r="BZ114" i="55"/>
  <c r="BZ107" i="55"/>
  <c r="BZ105" i="55"/>
  <c r="AM103" i="55"/>
  <c r="Z116" i="55"/>
  <c r="BC68" i="55"/>
  <c r="CG82" i="55"/>
  <c r="CG83" i="55"/>
  <c r="CG84" i="55"/>
  <c r="CG73" i="55"/>
  <c r="DM73" i="55" s="1"/>
  <c r="CG79" i="55"/>
  <c r="CG78" i="55"/>
  <c r="CG75" i="55"/>
  <c r="DM75" i="55" s="1"/>
  <c r="CG80" i="55"/>
  <c r="CG81" i="55"/>
  <c r="CG77" i="55"/>
  <c r="CG71" i="55"/>
  <c r="AE151" i="55"/>
  <c r="AE20" i="55"/>
  <c r="BZ66" i="55"/>
  <c r="BZ67" i="55"/>
  <c r="BZ63" i="55"/>
  <c r="BZ62" i="55"/>
  <c r="BZ51" i="55"/>
  <c r="BZ68" i="55"/>
  <c r="BZ52" i="55"/>
  <c r="BZ61" i="55"/>
  <c r="BZ65" i="55"/>
  <c r="BZ41" i="55"/>
  <c r="BZ48" i="55"/>
  <c r="BZ50" i="55"/>
  <c r="BZ43" i="55"/>
  <c r="BZ64" i="55"/>
  <c r="BZ47" i="55"/>
  <c r="BZ46" i="55"/>
  <c r="BZ39" i="55"/>
  <c r="BZ45" i="55"/>
  <c r="BZ49" i="55"/>
  <c r="AC157" i="55"/>
  <c r="P84" i="55"/>
  <c r="BQ145" i="55"/>
  <c r="CW145" i="55" s="1"/>
  <c r="BQ142" i="55"/>
  <c r="BQ146" i="55"/>
  <c r="BQ144" i="55"/>
  <c r="CW144" i="55" s="1"/>
  <c r="BQ137" i="55"/>
  <c r="CW137" i="55" s="1"/>
  <c r="BQ147" i="55"/>
  <c r="CW147" i="55" s="1"/>
  <c r="BQ148" i="55"/>
  <c r="BQ139" i="55"/>
  <c r="BQ143" i="55"/>
  <c r="CW143" i="55" s="1"/>
  <c r="BQ141" i="55"/>
  <c r="BQ135" i="55"/>
  <c r="CW135" i="55" s="1"/>
  <c r="BF96" i="55"/>
  <c r="CL96" i="55" s="1"/>
  <c r="BF100" i="55"/>
  <c r="BF93" i="55"/>
  <c r="BF97" i="55"/>
  <c r="CL97" i="55" s="1"/>
  <c r="BX82" i="55"/>
  <c r="BX83" i="55"/>
  <c r="BX84" i="55"/>
  <c r="BX75" i="55"/>
  <c r="BX81" i="55"/>
  <c r="BX80" i="55"/>
  <c r="BX79" i="55"/>
  <c r="BX78" i="55"/>
  <c r="BX71" i="55"/>
  <c r="BX77" i="55"/>
  <c r="BX73" i="55"/>
  <c r="CD81" i="55"/>
  <c r="CD80" i="55"/>
  <c r="CD83" i="55"/>
  <c r="CD77" i="55"/>
  <c r="CD71" i="55"/>
  <c r="CD84" i="55"/>
  <c r="CD82" i="55"/>
  <c r="CD73" i="55"/>
  <c r="CD79" i="55"/>
  <c r="CD78" i="55"/>
  <c r="CD75" i="55"/>
  <c r="CC55" i="55"/>
  <c r="CC57" i="55"/>
  <c r="CC59" i="55"/>
  <c r="AC151" i="55"/>
  <c r="AC20" i="55"/>
  <c r="CH181" i="55"/>
  <c r="DN181" i="55" s="1"/>
  <c r="CH185" i="55"/>
  <c r="DN185" i="55" s="1"/>
  <c r="CH183" i="55"/>
  <c r="DN183" i="55" s="1"/>
  <c r="CH180" i="55"/>
  <c r="DN180" i="55" s="1"/>
  <c r="CH179" i="55"/>
  <c r="DN179" i="55" s="1"/>
  <c r="CH182" i="55"/>
  <c r="DN182" i="55" s="1"/>
  <c r="CH177" i="55"/>
  <c r="DN177" i="55" s="1"/>
  <c r="CH163" i="55"/>
  <c r="CH162" i="55"/>
  <c r="CH175" i="55"/>
  <c r="DN175" i="55" s="1"/>
  <c r="CH173" i="55"/>
  <c r="DN173" i="55" s="1"/>
  <c r="CH164" i="55"/>
  <c r="CH160" i="55"/>
  <c r="DN160" i="55" s="1"/>
  <c r="CH184" i="55"/>
  <c r="DN184" i="55" s="1"/>
  <c r="CH161" i="55"/>
  <c r="DN161" i="55" s="1"/>
  <c r="CH157" i="55"/>
  <c r="CH159" i="55"/>
  <c r="DN159" i="55" s="1"/>
  <c r="CH158" i="55"/>
  <c r="CH155" i="55"/>
  <c r="CH151" i="55"/>
  <c r="CH153" i="55"/>
  <c r="BY184" i="55"/>
  <c r="DE184" i="55" s="1"/>
  <c r="BY181" i="55"/>
  <c r="DE181" i="55" s="1"/>
  <c r="BY182" i="55"/>
  <c r="DE182" i="55" s="1"/>
  <c r="BY185" i="55"/>
  <c r="DE185" i="55" s="1"/>
  <c r="BY183" i="55"/>
  <c r="DE183" i="55" s="1"/>
  <c r="BY180" i="55"/>
  <c r="DE180" i="55" s="1"/>
  <c r="BY179" i="55"/>
  <c r="BY163" i="55"/>
  <c r="DE163" i="55" s="1"/>
  <c r="BY162" i="55"/>
  <c r="DE162" i="55" s="1"/>
  <c r="BY161" i="55"/>
  <c r="DE161" i="55" s="1"/>
  <c r="BY160" i="55"/>
  <c r="DE160" i="55" s="1"/>
  <c r="BY157" i="55"/>
  <c r="BY159" i="55"/>
  <c r="DE159" i="55" s="1"/>
  <c r="BY164" i="55"/>
  <c r="BY158" i="55"/>
  <c r="DE158" i="55" s="1"/>
  <c r="CD185" i="55"/>
  <c r="CD183" i="55"/>
  <c r="DJ183" i="55" s="1"/>
  <c r="CD180" i="55"/>
  <c r="DJ180" i="55" s="1"/>
  <c r="CD179" i="55"/>
  <c r="CD184" i="55"/>
  <c r="CD177" i="55"/>
  <c r="CD181" i="55"/>
  <c r="CD182" i="55"/>
  <c r="CD161" i="55"/>
  <c r="DJ161" i="55" s="1"/>
  <c r="CD175" i="55"/>
  <c r="CD173" i="55"/>
  <c r="DJ173" i="55" s="1"/>
  <c r="CD155" i="55"/>
  <c r="CD153" i="55"/>
  <c r="CD164" i="55"/>
  <c r="CD163" i="55"/>
  <c r="DJ163" i="55" s="1"/>
  <c r="CD162" i="55"/>
  <c r="CD157" i="55"/>
  <c r="CD151" i="55"/>
  <c r="DJ151" i="55" s="1"/>
  <c r="CD160" i="55"/>
  <c r="DJ160" i="55" s="1"/>
  <c r="CD158" i="55"/>
  <c r="DJ158" i="55" s="1"/>
  <c r="CD159" i="55"/>
  <c r="CF184" i="55"/>
  <c r="DL184" i="55" s="1"/>
  <c r="CF177" i="55"/>
  <c r="DL177" i="55" s="1"/>
  <c r="CF182" i="55"/>
  <c r="DL182" i="55" s="1"/>
  <c r="CF185" i="55"/>
  <c r="DL185" i="55" s="1"/>
  <c r="CF183" i="55"/>
  <c r="CF180" i="55"/>
  <c r="DL180" i="55" s="1"/>
  <c r="CF181" i="55"/>
  <c r="DL181" i="55" s="1"/>
  <c r="CF179" i="55"/>
  <c r="DL179" i="55" s="1"/>
  <c r="CF163" i="55"/>
  <c r="DL163" i="55" s="1"/>
  <c r="CF162" i="55"/>
  <c r="DL162" i="55" s="1"/>
  <c r="CF175" i="55"/>
  <c r="DL175" i="55" s="1"/>
  <c r="CF173" i="55"/>
  <c r="DL173" i="55" s="1"/>
  <c r="CF164" i="55"/>
  <c r="CF161" i="55"/>
  <c r="CF155" i="55"/>
  <c r="DL155" i="55" s="1"/>
  <c r="CF153" i="55"/>
  <c r="DL153" i="55" s="1"/>
  <c r="CF151" i="55"/>
  <c r="DL151" i="55" s="1"/>
  <c r="CF157" i="55"/>
  <c r="DL157" i="55" s="1"/>
  <c r="CF160" i="55"/>
  <c r="DL160" i="55" s="1"/>
  <c r="CF159" i="55"/>
  <c r="DL159" i="55" s="1"/>
  <c r="CF158" i="55"/>
  <c r="DL158" i="55" s="1"/>
  <c r="BV185" i="55"/>
  <c r="DB185" i="55" s="1"/>
  <c r="BV183" i="55"/>
  <c r="DB183" i="55" s="1"/>
  <c r="BV180" i="55"/>
  <c r="DB180" i="55" s="1"/>
  <c r="BV177" i="55"/>
  <c r="DB177" i="55" s="1"/>
  <c r="BV179" i="55"/>
  <c r="DB179" i="55" s="1"/>
  <c r="BV184" i="55"/>
  <c r="DB184" i="55" s="1"/>
  <c r="BV181" i="55"/>
  <c r="DB181" i="55" s="1"/>
  <c r="BV182" i="55"/>
  <c r="DB182" i="55" s="1"/>
  <c r="BV161" i="55"/>
  <c r="DB161" i="55" s="1"/>
  <c r="BV175" i="55"/>
  <c r="DB175" i="55" s="1"/>
  <c r="BV173" i="55"/>
  <c r="BV163" i="55"/>
  <c r="DB163" i="55" s="1"/>
  <c r="BV162" i="55"/>
  <c r="DB162" i="55" s="1"/>
  <c r="BV160" i="55"/>
  <c r="DB160" i="55" s="1"/>
  <c r="BV157" i="55"/>
  <c r="DB157" i="55" s="1"/>
  <c r="BV159" i="55"/>
  <c r="DB159" i="55" s="1"/>
  <c r="BV158" i="55"/>
  <c r="DB158" i="55" s="1"/>
  <c r="BV153" i="55"/>
  <c r="DB153" i="55" s="1"/>
  <c r="BV151" i="55"/>
  <c r="BV164" i="55"/>
  <c r="BV155" i="55"/>
  <c r="DB155" i="55" s="1"/>
  <c r="BX184" i="55"/>
  <c r="DD184" i="55" s="1"/>
  <c r="BX182" i="55"/>
  <c r="DD182" i="55" s="1"/>
  <c r="BX185" i="55"/>
  <c r="DD185" i="55" s="1"/>
  <c r="BX183" i="55"/>
  <c r="DD183" i="55" s="1"/>
  <c r="BX180" i="55"/>
  <c r="DD180" i="55" s="1"/>
  <c r="BX181" i="55"/>
  <c r="DD181" i="55" s="1"/>
  <c r="BX177" i="55"/>
  <c r="DD177" i="55" s="1"/>
  <c r="BX175" i="55"/>
  <c r="BX173" i="55"/>
  <c r="BX163" i="55"/>
  <c r="DD163" i="55" s="1"/>
  <c r="BX162" i="55"/>
  <c r="DD162" i="55" s="1"/>
  <c r="BX179" i="55"/>
  <c r="BX164" i="55"/>
  <c r="BX161" i="55"/>
  <c r="DD161" i="55" s="1"/>
  <c r="BX160" i="55"/>
  <c r="DD160" i="55" s="1"/>
  <c r="BX158" i="55"/>
  <c r="DD158" i="55" s="1"/>
  <c r="BX153" i="55"/>
  <c r="BX151" i="55"/>
  <c r="BX157" i="55"/>
  <c r="BX155" i="55"/>
  <c r="DD155" i="55" s="1"/>
  <c r="BX159" i="55"/>
  <c r="DD159" i="55" s="1"/>
  <c r="CH148" i="55"/>
  <c r="CH147" i="55"/>
  <c r="CH146" i="55"/>
  <c r="CH145" i="55"/>
  <c r="CH142" i="55"/>
  <c r="CH143" i="55"/>
  <c r="CH135" i="55"/>
  <c r="DN135" i="55" s="1"/>
  <c r="CH139" i="55"/>
  <c r="CH141" i="55"/>
  <c r="CH137" i="55"/>
  <c r="CH144" i="55"/>
  <c r="BL132" i="55"/>
  <c r="BL129" i="55"/>
  <c r="BL130" i="55"/>
  <c r="BL125" i="55"/>
  <c r="BL121" i="55"/>
  <c r="BL123" i="55"/>
  <c r="BL119" i="55"/>
  <c r="BL127" i="55"/>
  <c r="BL126" i="55"/>
  <c r="BL131" i="55"/>
  <c r="BL128" i="55"/>
  <c r="BL148" i="55"/>
  <c r="BL143" i="55"/>
  <c r="BL144" i="55"/>
  <c r="BL145" i="55"/>
  <c r="BL142" i="55"/>
  <c r="BL135" i="55"/>
  <c r="BL146" i="55"/>
  <c r="BL141" i="55"/>
  <c r="BL139" i="55"/>
  <c r="BL147" i="55"/>
  <c r="BL137" i="55"/>
  <c r="BF137" i="55"/>
  <c r="CL137" i="55" s="1"/>
  <c r="BX148" i="55"/>
  <c r="BX144" i="55"/>
  <c r="DD144" i="55" s="1"/>
  <c r="BX147" i="55"/>
  <c r="DD147" i="55" s="1"/>
  <c r="BX146" i="55"/>
  <c r="DD146" i="55" s="1"/>
  <c r="BX145" i="55"/>
  <c r="DD145" i="55" s="1"/>
  <c r="BX142" i="55"/>
  <c r="DD142" i="55" s="1"/>
  <c r="BX141" i="55"/>
  <c r="BX135" i="55"/>
  <c r="DD135" i="55" s="1"/>
  <c r="BX139" i="55"/>
  <c r="DD139" i="55" s="1"/>
  <c r="BX143" i="55"/>
  <c r="DD143" i="55" s="1"/>
  <c r="BX137" i="55"/>
  <c r="AM88" i="55"/>
  <c r="P132" i="55"/>
  <c r="AD116" i="55"/>
  <c r="AE84" i="55"/>
  <c r="CA83" i="55"/>
  <c r="CA84" i="55"/>
  <c r="CA81" i="55"/>
  <c r="CA80" i="55"/>
  <c r="CA79" i="55"/>
  <c r="CA78" i="55"/>
  <c r="CA82" i="55"/>
  <c r="CA77" i="55"/>
  <c r="BI83" i="55"/>
  <c r="CO83" i="55" s="1"/>
  <c r="BI84" i="55"/>
  <c r="BI79" i="55"/>
  <c r="CO79" i="55" s="1"/>
  <c r="BI78" i="55"/>
  <c r="BI77" i="55"/>
  <c r="BI81" i="55"/>
  <c r="CO81" i="55" s="1"/>
  <c r="BI82" i="55"/>
  <c r="CO82" i="55" s="1"/>
  <c r="BI80" i="55"/>
  <c r="CO80" i="55" s="1"/>
  <c r="BJ100" i="55"/>
  <c r="BJ93" i="55"/>
  <c r="BJ91" i="55"/>
  <c r="BJ97" i="55"/>
  <c r="BJ96" i="55"/>
  <c r="BJ99" i="55"/>
  <c r="BJ94" i="55"/>
  <c r="BJ95" i="55"/>
  <c r="BJ98" i="55"/>
  <c r="BJ89" i="55"/>
  <c r="BQ83" i="55"/>
  <c r="CW83" i="55" s="1"/>
  <c r="BQ84" i="55"/>
  <c r="BQ79" i="55"/>
  <c r="CW79" i="55" s="1"/>
  <c r="BQ78" i="55"/>
  <c r="BQ71" i="55"/>
  <c r="CW71" i="55" s="1"/>
  <c r="BQ77" i="55"/>
  <c r="BQ73" i="55"/>
  <c r="CW73" i="55" s="1"/>
  <c r="BQ82" i="55"/>
  <c r="CW82" i="55" s="1"/>
  <c r="BQ75" i="55"/>
  <c r="BQ81" i="55"/>
  <c r="CW81" i="55" s="1"/>
  <c r="BQ80" i="55"/>
  <c r="CW80" i="55" s="1"/>
  <c r="AM87" i="55"/>
  <c r="AK175" i="55"/>
  <c r="BJ68" i="55"/>
  <c r="BJ57" i="55"/>
  <c r="BJ61" i="55"/>
  <c r="BJ65" i="55"/>
  <c r="BJ64" i="55"/>
  <c r="BJ66" i="55"/>
  <c r="BJ63" i="55"/>
  <c r="BJ62" i="55"/>
  <c r="BJ67" i="55"/>
  <c r="AG52" i="55"/>
  <c r="AM46" i="55"/>
  <c r="AB179" i="55"/>
  <c r="CD36" i="55"/>
  <c r="CD29" i="55"/>
  <c r="CD33" i="55"/>
  <c r="CD32" i="55"/>
  <c r="CD25" i="55"/>
  <c r="CD34" i="55"/>
  <c r="CD30" i="55"/>
  <c r="CD23" i="55"/>
  <c r="CD35" i="55"/>
  <c r="CD27" i="55"/>
  <c r="CD31" i="55"/>
  <c r="Z151" i="55"/>
  <c r="Z20" i="55"/>
  <c r="AM7" i="55"/>
  <c r="AB151" i="55"/>
  <c r="AB20" i="55"/>
  <c r="BQ51" i="55"/>
  <c r="CW51" i="55" s="1"/>
  <c r="BQ52" i="55"/>
  <c r="BQ48" i="55"/>
  <c r="CW48" i="55" s="1"/>
  <c r="BQ50" i="55"/>
  <c r="BQ47" i="55"/>
  <c r="CW47" i="55" s="1"/>
  <c r="BQ46" i="55"/>
  <c r="BQ39" i="55"/>
  <c r="CW39" i="55" s="1"/>
  <c r="BQ45" i="55"/>
  <c r="BQ41" i="55"/>
  <c r="BQ49" i="55"/>
  <c r="CW49" i="55" s="1"/>
  <c r="BQ43" i="55"/>
  <c r="BH32" i="55"/>
  <c r="CN32" i="55" s="1"/>
  <c r="BH34" i="55"/>
  <c r="CN34" i="55" s="1"/>
  <c r="BH35" i="55"/>
  <c r="CN35" i="55" s="1"/>
  <c r="BH31" i="55"/>
  <c r="CN31" i="55" s="1"/>
  <c r="BH30" i="55"/>
  <c r="BH36" i="55"/>
  <c r="BH29" i="55"/>
  <c r="BH33" i="55"/>
  <c r="CN33" i="55" s="1"/>
  <c r="AB157" i="55"/>
  <c r="CE68" i="55"/>
  <c r="BX11" i="55"/>
  <c r="BX19" i="55"/>
  <c r="BX15" i="55"/>
  <c r="BX17" i="55"/>
  <c r="BX13" i="55"/>
  <c r="BX9" i="55"/>
  <c r="BX20" i="55"/>
  <c r="BX7" i="55"/>
  <c r="BX18" i="55"/>
  <c r="BX16" i="55"/>
  <c r="BX14" i="55"/>
  <c r="AA20" i="55"/>
  <c r="D23" i="51"/>
  <c r="BJ77" i="55" l="1"/>
  <c r="BH110" i="55"/>
  <c r="BH111" i="55"/>
  <c r="CN111" i="55" s="1"/>
  <c r="DN147" i="55"/>
  <c r="AJ81" i="55"/>
  <c r="AJ161" i="55" s="1"/>
  <c r="BQ114" i="55"/>
  <c r="BH23" i="55"/>
  <c r="CN23" i="55" s="1"/>
  <c r="BF95" i="55"/>
  <c r="CL95" i="55" s="1"/>
  <c r="BJ78" i="55"/>
  <c r="AJ113" i="55"/>
  <c r="AJ114" i="55" s="1"/>
  <c r="AJ116" i="55" s="1"/>
  <c r="BQ107" i="55"/>
  <c r="DM107" i="55" s="1"/>
  <c r="DC142" i="55"/>
  <c r="BH109" i="55"/>
  <c r="DD109" i="55" s="1"/>
  <c r="BH115" i="55"/>
  <c r="CN115" i="55" s="1"/>
  <c r="AJ65" i="55"/>
  <c r="AJ66" i="55" s="1"/>
  <c r="AJ68" i="55" s="1"/>
  <c r="BP61" i="55" s="1"/>
  <c r="BJ81" i="55"/>
  <c r="BH103" i="55"/>
  <c r="BF99" i="55"/>
  <c r="CL99" i="55" s="1"/>
  <c r="BJ79" i="55"/>
  <c r="AJ97" i="55"/>
  <c r="BQ112" i="55"/>
  <c r="CW112" i="55" s="1"/>
  <c r="BQ113" i="55"/>
  <c r="CW113" i="55" s="1"/>
  <c r="DE109" i="55"/>
  <c r="BH105" i="55"/>
  <c r="DD105" i="55" s="1"/>
  <c r="BH112" i="55"/>
  <c r="CN112" i="55" s="1"/>
  <c r="BJ82" i="55"/>
  <c r="BH116" i="55"/>
  <c r="CN116" i="55" s="1"/>
  <c r="AJ17" i="55"/>
  <c r="DC145" i="55"/>
  <c r="AM174" i="55"/>
  <c r="CN105" i="55"/>
  <c r="BF94" i="55"/>
  <c r="BJ84" i="55"/>
  <c r="BH107" i="55"/>
  <c r="BJ73" i="55"/>
  <c r="DF73" i="55" s="1"/>
  <c r="BH27" i="55"/>
  <c r="BQ103" i="55"/>
  <c r="CW103" i="55" s="1"/>
  <c r="DC147" i="55"/>
  <c r="BK94" i="55"/>
  <c r="BH142" i="55"/>
  <c r="BJ87" i="55"/>
  <c r="DF87" i="55" s="1"/>
  <c r="AJ145" i="55"/>
  <c r="AJ146" i="55" s="1"/>
  <c r="AJ148" i="55" s="1"/>
  <c r="DC146" i="55"/>
  <c r="DM93" i="55"/>
  <c r="BH144" i="55"/>
  <c r="CN144" i="55" s="1"/>
  <c r="BG82" i="55"/>
  <c r="CM82" i="55" s="1"/>
  <c r="BK93" i="55"/>
  <c r="DG93" i="55" s="1"/>
  <c r="AJ49" i="55"/>
  <c r="BH147" i="55"/>
  <c r="CN147" i="55" s="1"/>
  <c r="BG81" i="55"/>
  <c r="CM81" i="55" s="1"/>
  <c r="BK99" i="55"/>
  <c r="DF23" i="55"/>
  <c r="EL28" i="55" s="1"/>
  <c r="FC27" i="55" s="1"/>
  <c r="BJ59" i="55"/>
  <c r="DD89" i="55"/>
  <c r="DC144" i="55"/>
  <c r="BG77" i="55"/>
  <c r="BK100" i="55"/>
  <c r="AJ129" i="55"/>
  <c r="AM129" i="55" s="1"/>
  <c r="CM84" i="55"/>
  <c r="CN41" i="55"/>
  <c r="DH141" i="55"/>
  <c r="CW98" i="55"/>
  <c r="DE93" i="55"/>
  <c r="CW100" i="55"/>
  <c r="CO84" i="55"/>
  <c r="DM27" i="55"/>
  <c r="DH125" i="55"/>
  <c r="CW50" i="55"/>
  <c r="CI27" i="55"/>
  <c r="CN36" i="55"/>
  <c r="CI30" i="55"/>
  <c r="DM29" i="55"/>
  <c r="CM36" i="55"/>
  <c r="DF91" i="55"/>
  <c r="CN39" i="55"/>
  <c r="CI46" i="55"/>
  <c r="CL23" i="55"/>
  <c r="CL36" i="55"/>
  <c r="DD57" i="55"/>
  <c r="DN145" i="55"/>
  <c r="DN146" i="55"/>
  <c r="DN137" i="55"/>
  <c r="DF125" i="55"/>
  <c r="EL125" i="55" s="1"/>
  <c r="FD123" i="55" s="1"/>
  <c r="DM130" i="55"/>
  <c r="EP130" i="55" s="1"/>
  <c r="FJ127" i="55" s="1"/>
  <c r="CO116" i="55"/>
  <c r="AK186" i="55"/>
  <c r="AI96" i="55"/>
  <c r="AM96" i="55" s="1"/>
  <c r="DM77" i="55"/>
  <c r="AJ130" i="55"/>
  <c r="AJ132" i="55" s="1"/>
  <c r="BP121" i="55" s="1"/>
  <c r="CV121" i="55" s="1"/>
  <c r="DM50" i="55"/>
  <c r="AD164" i="55"/>
  <c r="BJ161" i="55" s="1"/>
  <c r="AI16" i="55"/>
  <c r="AM33" i="55"/>
  <c r="AJ34" i="55"/>
  <c r="AJ36" i="55" s="1"/>
  <c r="BP35" i="55" s="1"/>
  <c r="CV35" i="55" s="1"/>
  <c r="AI80" i="55"/>
  <c r="AI144" i="55"/>
  <c r="AI48" i="55"/>
  <c r="AI128" i="55"/>
  <c r="AI64" i="55"/>
  <c r="AI112" i="55"/>
  <c r="AI32" i="55"/>
  <c r="CI68" i="55"/>
  <c r="CN25" i="55"/>
  <c r="P195" i="57"/>
  <c r="P200" i="57"/>
  <c r="P159" i="57"/>
  <c r="EQ66" i="55"/>
  <c r="FJ64" i="55" s="1"/>
  <c r="DB139" i="55"/>
  <c r="DF89" i="55"/>
  <c r="BC186" i="55"/>
  <c r="CI186" i="55" s="1"/>
  <c r="DF93" i="55"/>
  <c r="CW89" i="55"/>
  <c r="CI20" i="55"/>
  <c r="CI7" i="55"/>
  <c r="CI17" i="55"/>
  <c r="CI14" i="55"/>
  <c r="CI13" i="55"/>
  <c r="CI16" i="55"/>
  <c r="CI15" i="55"/>
  <c r="CI18" i="55"/>
  <c r="CI9" i="55"/>
  <c r="CI19" i="55"/>
  <c r="CI52" i="55"/>
  <c r="P161" i="57"/>
  <c r="H135" i="57"/>
  <c r="AJ166" i="55"/>
  <c r="H31" i="57"/>
  <c r="AH166" i="55"/>
  <c r="P162" i="57"/>
  <c r="H32" i="57"/>
  <c r="AI166" i="55"/>
  <c r="F189" i="57"/>
  <c r="CN55" i="55"/>
  <c r="ES61" i="55"/>
  <c r="FD66" i="55" s="1"/>
  <c r="CN103" i="55"/>
  <c r="CL87" i="55"/>
  <c r="CI31" i="55"/>
  <c r="CI33" i="55"/>
  <c r="CI34" i="55"/>
  <c r="CI23" i="55"/>
  <c r="CI25" i="55"/>
  <c r="CI29" i="55"/>
  <c r="CI32" i="55"/>
  <c r="CI35" i="55"/>
  <c r="AE189" i="57"/>
  <c r="P196" i="57"/>
  <c r="P160" i="57"/>
  <c r="P181" i="57"/>
  <c r="H133" i="57"/>
  <c r="DE61" i="55"/>
  <c r="AE186" i="55"/>
  <c r="BH127" i="55"/>
  <c r="CN127" i="55" s="1"/>
  <c r="BH128" i="55"/>
  <c r="CN128" i="55" s="1"/>
  <c r="BH123" i="55"/>
  <c r="BH131" i="55"/>
  <c r="CN131" i="55" s="1"/>
  <c r="P151" i="57"/>
  <c r="BH125" i="55"/>
  <c r="DD125" i="55" s="1"/>
  <c r="BH130" i="55"/>
  <c r="CN130" i="55" s="1"/>
  <c r="BH121" i="55"/>
  <c r="CN121" i="55" s="1"/>
  <c r="AL164" i="55"/>
  <c r="BR181" i="55" s="1"/>
  <c r="CX181" i="55" s="1"/>
  <c r="BH132" i="55"/>
  <c r="BM127" i="55"/>
  <c r="BM126" i="55"/>
  <c r="DI126" i="55" s="1"/>
  <c r="BM130" i="55"/>
  <c r="BM132" i="55"/>
  <c r="BM128" i="55"/>
  <c r="BM129" i="55"/>
  <c r="BM121" i="55"/>
  <c r="BM131" i="55"/>
  <c r="BM125" i="55"/>
  <c r="BM123" i="55"/>
  <c r="BM119" i="55"/>
  <c r="AD186" i="55"/>
  <c r="DD103" i="55"/>
  <c r="DM114" i="55"/>
  <c r="DD87" i="55"/>
  <c r="EK90" i="55" s="1"/>
  <c r="FA90" i="55" s="1"/>
  <c r="DI94" i="55"/>
  <c r="AC164" i="55"/>
  <c r="BI186" i="55" s="1"/>
  <c r="CO186" i="55" s="1"/>
  <c r="P164" i="55"/>
  <c r="AH31" i="55"/>
  <c r="AH29" i="55" s="1"/>
  <c r="AM29" i="55" s="1"/>
  <c r="AH127" i="55"/>
  <c r="AM127" i="55" s="1"/>
  <c r="AH95" i="55"/>
  <c r="AH89" i="55" s="1"/>
  <c r="AH47" i="55"/>
  <c r="AH44" i="55" s="1"/>
  <c r="AM44" i="55" s="1"/>
  <c r="AE164" i="55"/>
  <c r="BK180" i="55" s="1"/>
  <c r="AH143" i="55"/>
  <c r="AH140" i="55" s="1"/>
  <c r="AM140" i="55" s="1"/>
  <c r="AH111" i="55"/>
  <c r="AH114" i="55" s="1"/>
  <c r="AH79" i="55"/>
  <c r="AH82" i="55" s="1"/>
  <c r="V163" i="55"/>
  <c r="W163" i="55" s="1"/>
  <c r="AH63" i="55"/>
  <c r="AH66" i="55" s="1"/>
  <c r="AH15" i="55"/>
  <c r="AM15" i="55" s="1"/>
  <c r="AK164" i="55"/>
  <c r="BQ184" i="55" s="1"/>
  <c r="CW184" i="55" s="1"/>
  <c r="H16" i="57"/>
  <c r="AI188" i="57"/>
  <c r="H100" i="57"/>
  <c r="P187" i="57"/>
  <c r="AI202" i="57"/>
  <c r="AO202" i="57" s="1"/>
  <c r="AI205" i="57"/>
  <c r="H65" i="57"/>
  <c r="H99" i="57"/>
  <c r="F206" i="57"/>
  <c r="P193" i="57"/>
  <c r="P199" i="57"/>
  <c r="P170" i="57"/>
  <c r="P194" i="57"/>
  <c r="P197" i="57"/>
  <c r="AE206" i="57"/>
  <c r="AI178" i="57"/>
  <c r="AI201" i="57"/>
  <c r="AO201" i="57" s="1"/>
  <c r="W67" i="57"/>
  <c r="H14" i="57"/>
  <c r="H116" i="57"/>
  <c r="AI176" i="57"/>
  <c r="H48" i="57"/>
  <c r="P165" i="57"/>
  <c r="H151" i="57"/>
  <c r="H134" i="57"/>
  <c r="H15" i="57"/>
  <c r="H66" i="57"/>
  <c r="H117" i="57"/>
  <c r="AI183" i="57"/>
  <c r="AI203" i="57"/>
  <c r="AO203" i="57" s="1"/>
  <c r="AI177" i="57"/>
  <c r="AI197" i="57"/>
  <c r="H83" i="57"/>
  <c r="F172" i="57"/>
  <c r="H152" i="57"/>
  <c r="H67" i="57"/>
  <c r="H101" i="57"/>
  <c r="H118" i="57"/>
  <c r="H50" i="57"/>
  <c r="H84" i="57"/>
  <c r="W66" i="57"/>
  <c r="W151" i="57"/>
  <c r="AE172" i="57"/>
  <c r="P166" i="57"/>
  <c r="AI194" i="57"/>
  <c r="AI200" i="57"/>
  <c r="H82" i="57"/>
  <c r="P163" i="57"/>
  <c r="AI185" i="57"/>
  <c r="AO185" i="57" s="1"/>
  <c r="AI199" i="57"/>
  <c r="H150" i="57"/>
  <c r="P164" i="57"/>
  <c r="CW41" i="55"/>
  <c r="CW148" i="55"/>
  <c r="BH141" i="55"/>
  <c r="DD141" i="55" s="1"/>
  <c r="EK141" i="55" s="1"/>
  <c r="FD138" i="55" s="1"/>
  <c r="BH148" i="55"/>
  <c r="CN148" i="55" s="1"/>
  <c r="CO148" i="55"/>
  <c r="DM89" i="55"/>
  <c r="CI47" i="55"/>
  <c r="CI51" i="55"/>
  <c r="CI50" i="55"/>
  <c r="CI62" i="55"/>
  <c r="DN141" i="55"/>
  <c r="DF25" i="55"/>
  <c r="BH135" i="55"/>
  <c r="CN135" i="55" s="1"/>
  <c r="DE45" i="55"/>
  <c r="CI49" i="55"/>
  <c r="CI41" i="55"/>
  <c r="CI63" i="55"/>
  <c r="AM152" i="55"/>
  <c r="CW105" i="55"/>
  <c r="BH137" i="55"/>
  <c r="CN137" i="55" s="1"/>
  <c r="DF141" i="55"/>
  <c r="EM141" i="55" s="1"/>
  <c r="FD140" i="55" s="1"/>
  <c r="CI66" i="55"/>
  <c r="CI48" i="55"/>
  <c r="CI67" i="55"/>
  <c r="DM25" i="55"/>
  <c r="DM146" i="55"/>
  <c r="BH143" i="55"/>
  <c r="CN143" i="55" s="1"/>
  <c r="DF139" i="55"/>
  <c r="EM140" i="55" s="1"/>
  <c r="FC140" i="55" s="1"/>
  <c r="CI39" i="55"/>
  <c r="CI64" i="55"/>
  <c r="DM121" i="55"/>
  <c r="CW132" i="55"/>
  <c r="BH145" i="55"/>
  <c r="CN145" i="55" s="1"/>
  <c r="CI45" i="55"/>
  <c r="CI65" i="55"/>
  <c r="DM34" i="55"/>
  <c r="DN142" i="55"/>
  <c r="CL100" i="55"/>
  <c r="CW116" i="55"/>
  <c r="DB39" i="55"/>
  <c r="BH139" i="55"/>
  <c r="CI43" i="55"/>
  <c r="AA164" i="55"/>
  <c r="BL20" i="55"/>
  <c r="BL16" i="55"/>
  <c r="BL14" i="55"/>
  <c r="BL17" i="55"/>
  <c r="BL11" i="55"/>
  <c r="BL7" i="55"/>
  <c r="BL19" i="55"/>
  <c r="BL15" i="55"/>
  <c r="BL18" i="55"/>
  <c r="BL13" i="55"/>
  <c r="DH13" i="55" s="1"/>
  <c r="BL9" i="55"/>
  <c r="BM82" i="55"/>
  <c r="BM83" i="55"/>
  <c r="BM84" i="55"/>
  <c r="BM75" i="55"/>
  <c r="BM81" i="55"/>
  <c r="BM80" i="55"/>
  <c r="BM79" i="55"/>
  <c r="BM78" i="55"/>
  <c r="DI78" i="55" s="1"/>
  <c r="BM71" i="55"/>
  <c r="BM73" i="55"/>
  <c r="BM77" i="55"/>
  <c r="BM107" i="55"/>
  <c r="BM116" i="55"/>
  <c r="BM112" i="55"/>
  <c r="BM114" i="55"/>
  <c r="BM115" i="55"/>
  <c r="BM111" i="55"/>
  <c r="BM110" i="55"/>
  <c r="DI110" i="55" s="1"/>
  <c r="BM103" i="55"/>
  <c r="BM109" i="55"/>
  <c r="BM105" i="55"/>
  <c r="BM113" i="55"/>
  <c r="CX19" i="55"/>
  <c r="DN19" i="55"/>
  <c r="CM116" i="55"/>
  <c r="BL185" i="55"/>
  <c r="BL183" i="55"/>
  <c r="BL180" i="55"/>
  <c r="BL177" i="55"/>
  <c r="BL179" i="55"/>
  <c r="DH179" i="55" s="1"/>
  <c r="BL184" i="55"/>
  <c r="BL181" i="55"/>
  <c r="BL186" i="55"/>
  <c r="BL182" i="55"/>
  <c r="BL161" i="55"/>
  <c r="BL175" i="55"/>
  <c r="BL173" i="55"/>
  <c r="BL164" i="55"/>
  <c r="BL160" i="55"/>
  <c r="BL163" i="55"/>
  <c r="BL162" i="55"/>
  <c r="BL157" i="55"/>
  <c r="DH157" i="55" s="1"/>
  <c r="BL155" i="55"/>
  <c r="BL151" i="55"/>
  <c r="BL159" i="55"/>
  <c r="BL158" i="55"/>
  <c r="BL153" i="55"/>
  <c r="BJ18" i="55"/>
  <c r="BJ16" i="55"/>
  <c r="BJ14" i="55"/>
  <c r="BJ17" i="55"/>
  <c r="BJ11" i="55"/>
  <c r="DF11" i="55" s="1"/>
  <c r="BJ20" i="55"/>
  <c r="BJ19" i="55"/>
  <c r="BJ15" i="55"/>
  <c r="BJ13" i="55"/>
  <c r="DF13" i="55" s="1"/>
  <c r="BJ9" i="55"/>
  <c r="DF9" i="55" s="1"/>
  <c r="BJ7" i="55"/>
  <c r="DF7" i="55" s="1"/>
  <c r="DN139" i="55"/>
  <c r="CW146" i="55"/>
  <c r="DM82" i="55"/>
  <c r="BM17" i="55"/>
  <c r="BM11" i="55"/>
  <c r="BM20" i="55"/>
  <c r="BM19" i="55"/>
  <c r="BM15" i="55"/>
  <c r="BM7" i="55"/>
  <c r="BM16" i="55"/>
  <c r="BM13" i="55"/>
  <c r="BM9" i="55"/>
  <c r="BM18" i="55"/>
  <c r="BM14" i="55"/>
  <c r="DI14" i="55" s="1"/>
  <c r="AJ18" i="55"/>
  <c r="AJ20" i="55" s="1"/>
  <c r="AM17" i="55"/>
  <c r="DM105" i="55"/>
  <c r="DB87" i="55"/>
  <c r="BM143" i="55"/>
  <c r="BM144" i="55"/>
  <c r="BM147" i="55"/>
  <c r="BM146" i="55"/>
  <c r="BM135" i="55"/>
  <c r="BM141" i="55"/>
  <c r="BM145" i="55"/>
  <c r="BM139" i="55"/>
  <c r="BM142" i="55"/>
  <c r="DI142" i="55" s="1"/>
  <c r="BM137" i="55"/>
  <c r="BM148" i="55"/>
  <c r="DF55" i="55"/>
  <c r="CX148" i="55"/>
  <c r="BP66" i="55"/>
  <c r="CV66" i="55" s="1"/>
  <c r="BP67" i="55"/>
  <c r="CV67" i="55" s="1"/>
  <c r="BP62" i="55"/>
  <c r="BP68" i="55"/>
  <c r="CV68" i="55" s="1"/>
  <c r="BP65" i="55"/>
  <c r="CV65" i="55" s="1"/>
  <c r="BP59" i="55"/>
  <c r="DB23" i="55"/>
  <c r="CO132" i="55"/>
  <c r="CO52" i="55"/>
  <c r="CW130" i="55"/>
  <c r="CN89" i="55"/>
  <c r="CI130" i="55"/>
  <c r="CI131" i="55"/>
  <c r="CI129" i="55"/>
  <c r="CI132" i="55"/>
  <c r="CI127" i="55"/>
  <c r="CI126" i="55"/>
  <c r="CI123" i="55"/>
  <c r="CI128" i="55"/>
  <c r="CI119" i="55"/>
  <c r="CI125" i="55"/>
  <c r="CI121" i="55"/>
  <c r="CN132" i="55"/>
  <c r="CI182" i="55"/>
  <c r="CI185" i="55"/>
  <c r="CI183" i="55"/>
  <c r="CI180" i="55"/>
  <c r="CI179" i="55"/>
  <c r="CI184" i="55"/>
  <c r="CI177" i="55"/>
  <c r="CI175" i="55"/>
  <c r="CI173" i="55"/>
  <c r="CI164" i="55"/>
  <c r="CI160" i="55"/>
  <c r="CI157" i="55"/>
  <c r="CI159" i="55"/>
  <c r="CI158" i="55"/>
  <c r="CI155" i="55"/>
  <c r="CI153" i="55"/>
  <c r="CI151" i="55"/>
  <c r="CI161" i="55"/>
  <c r="CI181" i="55"/>
  <c r="CI163" i="55"/>
  <c r="CI162" i="55"/>
  <c r="BH82" i="55"/>
  <c r="CN82" i="55" s="1"/>
  <c r="BH83" i="55"/>
  <c r="CN83" i="55" s="1"/>
  <c r="BH84" i="55"/>
  <c r="CN84" i="55" s="1"/>
  <c r="BH79" i="55"/>
  <c r="CN79" i="55" s="1"/>
  <c r="BH78" i="55"/>
  <c r="BH73" i="55"/>
  <c r="CN73" i="55" s="1"/>
  <c r="BH77" i="55"/>
  <c r="DD77" i="55" s="1"/>
  <c r="BH75" i="55"/>
  <c r="BH81" i="55"/>
  <c r="CN81" i="55" s="1"/>
  <c r="BH80" i="55"/>
  <c r="CN80" i="55" s="1"/>
  <c r="BH71" i="55"/>
  <c r="CN71" i="55" s="1"/>
  <c r="CN52" i="55"/>
  <c r="CI115" i="55"/>
  <c r="CI109" i="55"/>
  <c r="CI103" i="55"/>
  <c r="CI113" i="55"/>
  <c r="CI116" i="55"/>
  <c r="CI114" i="55"/>
  <c r="CI107" i="55"/>
  <c r="CI112" i="55"/>
  <c r="CI105" i="55"/>
  <c r="CI110" i="55"/>
  <c r="CI111" i="55"/>
  <c r="AJ82" i="55"/>
  <c r="AJ84" i="55" s="1"/>
  <c r="DF59" i="55"/>
  <c r="BR100" i="55"/>
  <c r="CX100" i="55" s="1"/>
  <c r="BR93" i="55"/>
  <c r="BR89" i="55"/>
  <c r="CX89" i="55" s="1"/>
  <c r="BR97" i="55"/>
  <c r="CX97" i="55" s="1"/>
  <c r="BR91" i="55"/>
  <c r="BR96" i="55"/>
  <c r="CX96" i="55" s="1"/>
  <c r="BR99" i="55"/>
  <c r="BR98" i="55"/>
  <c r="CX98" i="55" s="1"/>
  <c r="BR94" i="55"/>
  <c r="BR95" i="55"/>
  <c r="CX95" i="55" s="1"/>
  <c r="BR87" i="55"/>
  <c r="CX87" i="55" s="1"/>
  <c r="DM41" i="55"/>
  <c r="CN87" i="55"/>
  <c r="DD25" i="55"/>
  <c r="DF77" i="55"/>
  <c r="DD41" i="55"/>
  <c r="BK131" i="55"/>
  <c r="BK132" i="55"/>
  <c r="BK128" i="55"/>
  <c r="BK125" i="55"/>
  <c r="DG125" i="55" s="1"/>
  <c r="BK130" i="55"/>
  <c r="BK127" i="55"/>
  <c r="BK129" i="55"/>
  <c r="BK126" i="55"/>
  <c r="BJ119" i="55"/>
  <c r="BJ121" i="55"/>
  <c r="DF121" i="55" s="1"/>
  <c r="BJ123" i="55"/>
  <c r="DF123" i="55" s="1"/>
  <c r="ER66" i="55"/>
  <c r="FJ65" i="55" s="1"/>
  <c r="AM185" i="55"/>
  <c r="AL186" i="55"/>
  <c r="BJ105" i="55"/>
  <c r="DF105" i="55" s="1"/>
  <c r="BJ109" i="55"/>
  <c r="DF109" i="55" s="1"/>
  <c r="BJ113" i="55"/>
  <c r="BJ107" i="55"/>
  <c r="DF107" i="55" s="1"/>
  <c r="BJ116" i="55"/>
  <c r="BJ112" i="55"/>
  <c r="BJ115" i="55"/>
  <c r="BJ111" i="55"/>
  <c r="BJ110" i="55"/>
  <c r="BJ103" i="55"/>
  <c r="DF103" i="55" s="1"/>
  <c r="BJ114" i="55"/>
  <c r="BM36" i="55"/>
  <c r="BM29" i="55"/>
  <c r="BM25" i="55"/>
  <c r="BM33" i="55"/>
  <c r="BM27" i="55"/>
  <c r="BM32" i="55"/>
  <c r="BM34" i="55"/>
  <c r="BM35" i="55"/>
  <c r="BM31" i="55"/>
  <c r="BM30" i="55"/>
  <c r="DI30" i="55" s="1"/>
  <c r="BM23" i="55"/>
  <c r="CW84" i="55"/>
  <c r="BR34" i="55"/>
  <c r="CX34" i="55" s="1"/>
  <c r="BR35" i="55"/>
  <c r="CX35" i="55" s="1"/>
  <c r="BR31" i="55"/>
  <c r="CX31" i="55" s="1"/>
  <c r="BR30" i="55"/>
  <c r="BR23" i="55"/>
  <c r="CX23" i="55" s="1"/>
  <c r="BR36" i="55"/>
  <c r="CX36" i="55" s="1"/>
  <c r="BR29" i="55"/>
  <c r="BR25" i="55"/>
  <c r="CX25" i="55" s="1"/>
  <c r="BR33" i="55"/>
  <c r="CX33" i="55" s="1"/>
  <c r="BR27" i="55"/>
  <c r="BR32" i="55"/>
  <c r="CX32" i="55" s="1"/>
  <c r="BR52" i="55"/>
  <c r="CX52" i="55" s="1"/>
  <c r="BR50" i="55"/>
  <c r="CX50" i="55" s="1"/>
  <c r="BR47" i="55"/>
  <c r="CX47" i="55" s="1"/>
  <c r="BR46" i="55"/>
  <c r="BR39" i="55"/>
  <c r="CX39" i="55" s="1"/>
  <c r="BR51" i="55"/>
  <c r="CX51" i="55" s="1"/>
  <c r="BR45" i="55"/>
  <c r="BR41" i="55"/>
  <c r="CX41" i="55" s="1"/>
  <c r="BR49" i="55"/>
  <c r="CX49" i="55" s="1"/>
  <c r="BR43" i="55"/>
  <c r="BR48" i="55"/>
  <c r="CX48" i="55" s="1"/>
  <c r="AB164" i="55"/>
  <c r="DN143" i="55"/>
  <c r="BF116" i="55"/>
  <c r="CL116" i="55" s="1"/>
  <c r="BF112" i="55"/>
  <c r="CL112" i="55" s="1"/>
  <c r="BF114" i="55"/>
  <c r="CL114" i="55" s="1"/>
  <c r="BF115" i="55"/>
  <c r="CL115" i="55" s="1"/>
  <c r="BF111" i="55"/>
  <c r="CL111" i="55" s="1"/>
  <c r="BF110" i="55"/>
  <c r="BF105" i="55"/>
  <c r="CL105" i="55" s="1"/>
  <c r="BF107" i="55"/>
  <c r="BF113" i="55"/>
  <c r="CL113" i="55" s="1"/>
  <c r="BF103" i="55"/>
  <c r="CL103" i="55" s="1"/>
  <c r="BF109" i="55"/>
  <c r="AM113" i="55"/>
  <c r="BJ52" i="55"/>
  <c r="BJ50" i="55"/>
  <c r="BJ39" i="55"/>
  <c r="DF39" i="55" s="1"/>
  <c r="BJ47" i="55"/>
  <c r="BJ46" i="55"/>
  <c r="BJ41" i="55"/>
  <c r="DF41" i="55" s="1"/>
  <c r="BJ51" i="55"/>
  <c r="BJ45" i="55"/>
  <c r="DF45" i="55" s="1"/>
  <c r="BJ49" i="55"/>
  <c r="BJ43" i="55"/>
  <c r="DF43" i="55" s="1"/>
  <c r="BJ48" i="55"/>
  <c r="DM137" i="55"/>
  <c r="CL52" i="55"/>
  <c r="DM59" i="55"/>
  <c r="BF55" i="55"/>
  <c r="CL55" i="55" s="1"/>
  <c r="BF64" i="55"/>
  <c r="CL64" i="55" s="1"/>
  <c r="BF66" i="55"/>
  <c r="CL66" i="55" s="1"/>
  <c r="BF67" i="55"/>
  <c r="CL67" i="55" s="1"/>
  <c r="BF63" i="55"/>
  <c r="CL63" i="55" s="1"/>
  <c r="BF62" i="55"/>
  <c r="BF57" i="55"/>
  <c r="CL57" i="55" s="1"/>
  <c r="BF68" i="55"/>
  <c r="CL68" i="55" s="1"/>
  <c r="BF59" i="55"/>
  <c r="BF61" i="55"/>
  <c r="BF65" i="55"/>
  <c r="CL65" i="55" s="1"/>
  <c r="CX147" i="55"/>
  <c r="DB119" i="55"/>
  <c r="DB135" i="55"/>
  <c r="BJ71" i="55"/>
  <c r="DF71" i="55" s="1"/>
  <c r="BI164" i="55"/>
  <c r="CO164" i="55" s="1"/>
  <c r="AJ98" i="55"/>
  <c r="AJ100" i="55" s="1"/>
  <c r="AM97" i="55"/>
  <c r="BK68" i="55"/>
  <c r="BK61" i="55"/>
  <c r="DG61" i="55" s="1"/>
  <c r="BK65" i="55"/>
  <c r="BK64" i="55"/>
  <c r="BK66" i="55"/>
  <c r="BK67" i="55"/>
  <c r="BK63" i="55"/>
  <c r="BK62" i="55"/>
  <c r="CI84" i="55"/>
  <c r="CI83" i="55"/>
  <c r="CI82" i="55"/>
  <c r="CI79" i="55"/>
  <c r="CI78" i="55"/>
  <c r="CI75" i="55"/>
  <c r="CI80" i="55"/>
  <c r="CI81" i="55"/>
  <c r="CI77" i="55"/>
  <c r="CI71" i="55"/>
  <c r="CI73" i="55"/>
  <c r="CW114" i="55"/>
  <c r="DM141" i="55"/>
  <c r="DM57" i="55"/>
  <c r="Z186" i="55"/>
  <c r="AM173" i="55"/>
  <c r="DM45" i="55"/>
  <c r="CN68" i="55"/>
  <c r="DD29" i="55"/>
  <c r="DD39" i="55"/>
  <c r="CO68" i="55"/>
  <c r="CI100" i="55"/>
  <c r="CI93" i="55"/>
  <c r="CI87" i="55"/>
  <c r="CI89" i="55"/>
  <c r="CI98" i="55"/>
  <c r="CI97" i="55"/>
  <c r="CI91" i="55"/>
  <c r="CI99" i="55"/>
  <c r="CI96" i="55"/>
  <c r="CI94" i="55"/>
  <c r="CI95" i="55"/>
  <c r="AB186" i="55"/>
  <c r="Z164" i="55"/>
  <c r="AM151" i="55"/>
  <c r="CW52" i="55"/>
  <c r="BR84" i="55"/>
  <c r="CX84" i="55" s="1"/>
  <c r="BR81" i="55"/>
  <c r="CX81" i="55" s="1"/>
  <c r="BR82" i="55"/>
  <c r="CX82" i="55" s="1"/>
  <c r="BR83" i="55"/>
  <c r="CX83" i="55" s="1"/>
  <c r="BR77" i="55"/>
  <c r="BR73" i="55"/>
  <c r="CX73" i="55" s="1"/>
  <c r="BR75" i="55"/>
  <c r="BR80" i="55"/>
  <c r="CX80" i="55" s="1"/>
  <c r="BR79" i="55"/>
  <c r="CX79" i="55" s="1"/>
  <c r="BR78" i="55"/>
  <c r="BR71" i="55"/>
  <c r="CX71" i="55" s="1"/>
  <c r="CN100" i="55"/>
  <c r="BH7" i="55"/>
  <c r="CN7" i="55" s="1"/>
  <c r="BH18" i="55"/>
  <c r="CN18" i="55" s="1"/>
  <c r="BH16" i="55"/>
  <c r="CN16" i="55" s="1"/>
  <c r="BH14" i="55"/>
  <c r="BH17" i="55"/>
  <c r="CN17" i="55" s="1"/>
  <c r="BH11" i="55"/>
  <c r="BH20" i="55"/>
  <c r="CN20" i="55" s="1"/>
  <c r="BH19" i="55"/>
  <c r="CN19" i="55" s="1"/>
  <c r="BH15" i="55"/>
  <c r="CN15" i="55" s="1"/>
  <c r="BH13" i="55"/>
  <c r="DD13" i="55" s="1"/>
  <c r="BH9" i="55"/>
  <c r="CN9" i="55" s="1"/>
  <c r="CI59" i="55"/>
  <c r="CI55" i="55"/>
  <c r="CI57" i="55"/>
  <c r="AG164" i="55"/>
  <c r="AM158" i="55"/>
  <c r="BJ75" i="55"/>
  <c r="DF75" i="55" s="1"/>
  <c r="DF61" i="55"/>
  <c r="DM109" i="55"/>
  <c r="DE77" i="55"/>
  <c r="DM139" i="55"/>
  <c r="DB137" i="55"/>
  <c r="BF82" i="55"/>
  <c r="CL82" i="55" s="1"/>
  <c r="BF83" i="55"/>
  <c r="CL83" i="55" s="1"/>
  <c r="BF84" i="55"/>
  <c r="CL84" i="55" s="1"/>
  <c r="BF71" i="55"/>
  <c r="CL71" i="55" s="1"/>
  <c r="BF80" i="55"/>
  <c r="CL80" i="55" s="1"/>
  <c r="BF79" i="55"/>
  <c r="CL79" i="55" s="1"/>
  <c r="BF78" i="55"/>
  <c r="BF73" i="55"/>
  <c r="CL73" i="55" s="1"/>
  <c r="BF75" i="55"/>
  <c r="BF77" i="55"/>
  <c r="BF81" i="55"/>
  <c r="CL81" i="55" s="1"/>
  <c r="BR68" i="55"/>
  <c r="CX68" i="55" s="1"/>
  <c r="BR61" i="55"/>
  <c r="BR57" i="55"/>
  <c r="CX57" i="55" s="1"/>
  <c r="BR65" i="55"/>
  <c r="CX65" i="55" s="1"/>
  <c r="BR59" i="55"/>
  <c r="BR64" i="55"/>
  <c r="CX64" i="55" s="1"/>
  <c r="BR66" i="55"/>
  <c r="CX66" i="55" s="1"/>
  <c r="BR63" i="55"/>
  <c r="CX63" i="55" s="1"/>
  <c r="BR62" i="55"/>
  <c r="BR67" i="55"/>
  <c r="CX67" i="55" s="1"/>
  <c r="BR55" i="55"/>
  <c r="CX55" i="55" s="1"/>
  <c r="CN57" i="55"/>
  <c r="BI32" i="55"/>
  <c r="CO32" i="55" s="1"/>
  <c r="BI34" i="55"/>
  <c r="CO34" i="55" s="1"/>
  <c r="BI35" i="55"/>
  <c r="CO35" i="55" s="1"/>
  <c r="BI31" i="55"/>
  <c r="CO31" i="55" s="1"/>
  <c r="BI30" i="55"/>
  <c r="BI36" i="55"/>
  <c r="CO36" i="55" s="1"/>
  <c r="BI29" i="55"/>
  <c r="DE29" i="55" s="1"/>
  <c r="BI33" i="55"/>
  <c r="CO33" i="55" s="1"/>
  <c r="DD45" i="55"/>
  <c r="DM98" i="55"/>
  <c r="ES93" i="55" s="1"/>
  <c r="FD98" i="55" s="1"/>
  <c r="BM65" i="55"/>
  <c r="BM59" i="55"/>
  <c r="BM64" i="55"/>
  <c r="BM66" i="55"/>
  <c r="BM67" i="55"/>
  <c r="BM63" i="55"/>
  <c r="BM62" i="55"/>
  <c r="DI62" i="55" s="1"/>
  <c r="BM55" i="55"/>
  <c r="BM68" i="55"/>
  <c r="BM57" i="55"/>
  <c r="BM61" i="55"/>
  <c r="CI145" i="55"/>
  <c r="CI142" i="55"/>
  <c r="CI148" i="55"/>
  <c r="CI143" i="55"/>
  <c r="CI139" i="55"/>
  <c r="CI146" i="55"/>
  <c r="CI144" i="55"/>
  <c r="CI147" i="55"/>
  <c r="CI135" i="55"/>
  <c r="CI141" i="55"/>
  <c r="CI137" i="55"/>
  <c r="CN119" i="55"/>
  <c r="BK84" i="55"/>
  <c r="BK82" i="55"/>
  <c r="BK83" i="55"/>
  <c r="BK77" i="55"/>
  <c r="DG77" i="55" s="1"/>
  <c r="BK81" i="55"/>
  <c r="BK80" i="55"/>
  <c r="BK79" i="55"/>
  <c r="BK78" i="55"/>
  <c r="BG98" i="55"/>
  <c r="CM98" i="55" s="1"/>
  <c r="BG99" i="55"/>
  <c r="CM99" i="55" s="1"/>
  <c r="BG95" i="55"/>
  <c r="CM95" i="55" s="1"/>
  <c r="BG94" i="55"/>
  <c r="BG100" i="55"/>
  <c r="CM100" i="55" s="1"/>
  <c r="BG96" i="55"/>
  <c r="CM96" i="55" s="1"/>
  <c r="BG93" i="55"/>
  <c r="BG97" i="55"/>
  <c r="CM97" i="55" s="1"/>
  <c r="CL39" i="55"/>
  <c r="DF57" i="55"/>
  <c r="EP66" i="55"/>
  <c r="FJ63" i="55" s="1"/>
  <c r="BF9" i="55"/>
  <c r="CL9" i="55" s="1"/>
  <c r="BF7" i="55"/>
  <c r="BF18" i="55"/>
  <c r="CL18" i="55" s="1"/>
  <c r="BF16" i="55"/>
  <c r="CL16" i="55" s="1"/>
  <c r="BF14" i="55"/>
  <c r="BF17" i="55"/>
  <c r="CL17" i="55" s="1"/>
  <c r="BF11" i="55"/>
  <c r="BF20" i="55"/>
  <c r="CL20" i="55" s="1"/>
  <c r="BF19" i="55"/>
  <c r="CL19" i="55" s="1"/>
  <c r="BF15" i="55"/>
  <c r="CL15" i="55" s="1"/>
  <c r="BF13" i="55"/>
  <c r="BM51" i="55"/>
  <c r="BM52" i="55"/>
  <c r="BM45" i="55"/>
  <c r="BM41" i="55"/>
  <c r="BM49" i="55"/>
  <c r="BM43" i="55"/>
  <c r="BM48" i="55"/>
  <c r="BM50" i="55"/>
  <c r="BM47" i="55"/>
  <c r="BM46" i="55"/>
  <c r="DI46" i="55" s="1"/>
  <c r="BM39" i="55"/>
  <c r="DN144" i="55"/>
  <c r="BF91" i="55"/>
  <c r="BF89" i="55"/>
  <c r="CL89" i="55" s="1"/>
  <c r="DD55" i="55"/>
  <c r="BQ20" i="55"/>
  <c r="CW20" i="55" s="1"/>
  <c r="BQ9" i="55"/>
  <c r="BQ7" i="55"/>
  <c r="CW7" i="55" s="1"/>
  <c r="BQ18" i="55"/>
  <c r="CW18" i="55" s="1"/>
  <c r="BQ16" i="55"/>
  <c r="CW16" i="55" s="1"/>
  <c r="BQ14" i="55"/>
  <c r="BQ13" i="55"/>
  <c r="DM13" i="55" s="1"/>
  <c r="BQ17" i="55"/>
  <c r="CW17" i="55" s="1"/>
  <c r="BQ11" i="55"/>
  <c r="DM11" i="55" s="1"/>
  <c r="BQ19" i="55"/>
  <c r="CW19" i="55" s="1"/>
  <c r="BQ15" i="55"/>
  <c r="CW15" i="55" s="1"/>
  <c r="DM43" i="55"/>
  <c r="DD93" i="55"/>
  <c r="DF137" i="55"/>
  <c r="DD61" i="55"/>
  <c r="AG186" i="55"/>
  <c r="AM180" i="55"/>
  <c r="BR109" i="55"/>
  <c r="BR105" i="55"/>
  <c r="CX105" i="55" s="1"/>
  <c r="BR113" i="55"/>
  <c r="CX113" i="55" s="1"/>
  <c r="BR107" i="55"/>
  <c r="BR112" i="55"/>
  <c r="CX112" i="55" s="1"/>
  <c r="BR116" i="55"/>
  <c r="CX116" i="55" s="1"/>
  <c r="BR115" i="55"/>
  <c r="CX115" i="55" s="1"/>
  <c r="BR111" i="55"/>
  <c r="CX111" i="55" s="1"/>
  <c r="BR110" i="55"/>
  <c r="BR103" i="55"/>
  <c r="CX103" i="55" s="1"/>
  <c r="BR114" i="55"/>
  <c r="CX114" i="55" s="1"/>
  <c r="ES107" i="55" l="1"/>
  <c r="FB114" i="55" s="1"/>
  <c r="EM28" i="55"/>
  <c r="FC28" i="55" s="1"/>
  <c r="AJ183" i="55"/>
  <c r="BQ160" i="55"/>
  <c r="CW160" i="55" s="1"/>
  <c r="BP55" i="55"/>
  <c r="CV55" i="55" s="1"/>
  <c r="BR182" i="55"/>
  <c r="CX182" i="55" s="1"/>
  <c r="EP124" i="55"/>
  <c r="FC127" i="55" s="1"/>
  <c r="DD23" i="55"/>
  <c r="EJ25" i="55" s="1"/>
  <c r="EZ25" i="55" s="1"/>
  <c r="AM81" i="55"/>
  <c r="BP64" i="55"/>
  <c r="CV64" i="55" s="1"/>
  <c r="BP63" i="55"/>
  <c r="CV63" i="55" s="1"/>
  <c r="AM65" i="55"/>
  <c r="BP57" i="55"/>
  <c r="CV57" i="55" s="1"/>
  <c r="EK109" i="55"/>
  <c r="FD106" i="55" s="1"/>
  <c r="AM145" i="55"/>
  <c r="BR180" i="55"/>
  <c r="EL29" i="55"/>
  <c r="FD27" i="55" s="1"/>
  <c r="EM29" i="55"/>
  <c r="FD28" i="55" s="1"/>
  <c r="AJ50" i="55"/>
  <c r="AJ52" i="55" s="1"/>
  <c r="AM49" i="55"/>
  <c r="EL27" i="55"/>
  <c r="FB27" i="55" s="1"/>
  <c r="EM26" i="55"/>
  <c r="FA28" i="55" s="1"/>
  <c r="DB55" i="55"/>
  <c r="BP29" i="55"/>
  <c r="EM27" i="55"/>
  <c r="FB28" i="55" s="1"/>
  <c r="DM18" i="55"/>
  <c r="ES13" i="55" s="1"/>
  <c r="FD18" i="55" s="1"/>
  <c r="EL90" i="55"/>
  <c r="FA91" i="55" s="1"/>
  <c r="EJ109" i="55"/>
  <c r="FD105" i="55" s="1"/>
  <c r="EP125" i="55"/>
  <c r="FD127" i="55" s="1"/>
  <c r="ES125" i="55"/>
  <c r="FD130" i="55" s="1"/>
  <c r="ES124" i="55"/>
  <c r="FC130" i="55" s="1"/>
  <c r="EP123" i="55"/>
  <c r="FB127" i="55" s="1"/>
  <c r="ES121" i="55"/>
  <c r="EZ130" i="55" s="1"/>
  <c r="ES123" i="55"/>
  <c r="FB130" i="55" s="1"/>
  <c r="EK57" i="55"/>
  <c r="EZ58" i="55" s="1"/>
  <c r="EL93" i="55"/>
  <c r="FD91" i="55" s="1"/>
  <c r="ES77" i="55"/>
  <c r="FD82" i="55" s="1"/>
  <c r="ES29" i="55"/>
  <c r="FD34" i="55" s="1"/>
  <c r="EL91" i="55"/>
  <c r="FB91" i="55" s="1"/>
  <c r="ES109" i="55"/>
  <c r="FD114" i="55" s="1"/>
  <c r="EM92" i="55"/>
  <c r="FC92" i="55" s="1"/>
  <c r="EM91" i="55"/>
  <c r="FB92" i="55" s="1"/>
  <c r="EL89" i="55"/>
  <c r="EZ91" i="55" s="1"/>
  <c r="EM89" i="55"/>
  <c r="EZ92" i="55" s="1"/>
  <c r="EM125" i="55"/>
  <c r="FD124" i="55" s="1"/>
  <c r="EM90" i="55"/>
  <c r="FA92" i="55" s="1"/>
  <c r="EL92" i="55"/>
  <c r="FC91" i="55" s="1"/>
  <c r="EM93" i="55"/>
  <c r="FD92" i="55" s="1"/>
  <c r="ES45" i="55"/>
  <c r="FD50" i="55" s="1"/>
  <c r="ES25" i="55"/>
  <c r="EZ34" i="55" s="1"/>
  <c r="ES28" i="55"/>
  <c r="FC34" i="55" s="1"/>
  <c r="BP36" i="55"/>
  <c r="CV36" i="55" s="1"/>
  <c r="BP34" i="55"/>
  <c r="CV34" i="55" s="1"/>
  <c r="BP27" i="55"/>
  <c r="BP33" i="55"/>
  <c r="CV33" i="55" s="1"/>
  <c r="DD121" i="55"/>
  <c r="EJ121" i="55" s="1"/>
  <c r="EZ121" i="55" s="1"/>
  <c r="BP129" i="55"/>
  <c r="CV129" i="55" s="1"/>
  <c r="AI98" i="55"/>
  <c r="AI100" i="55" s="1"/>
  <c r="BO87" i="55" s="1"/>
  <c r="CU87" i="55" s="1"/>
  <c r="AH124" i="55"/>
  <c r="AM124" i="55" s="1"/>
  <c r="BP125" i="55"/>
  <c r="DB103" i="55"/>
  <c r="BP128" i="55"/>
  <c r="CV128" i="55" s="1"/>
  <c r="BP126" i="55"/>
  <c r="BP123" i="55"/>
  <c r="BP127" i="55"/>
  <c r="CV127" i="55" s="1"/>
  <c r="BP119" i="55"/>
  <c r="CV119" i="55" s="1"/>
  <c r="BP131" i="55"/>
  <c r="CV131" i="55" s="1"/>
  <c r="BP132" i="55"/>
  <c r="CV132" i="55" s="1"/>
  <c r="BP130" i="55"/>
  <c r="CV130" i="55" s="1"/>
  <c r="BR177" i="55"/>
  <c r="BJ160" i="55"/>
  <c r="BR186" i="55"/>
  <c r="CX186" i="55" s="1"/>
  <c r="BJ158" i="55"/>
  <c r="EJ89" i="55"/>
  <c r="EZ89" i="55" s="1"/>
  <c r="BJ181" i="55"/>
  <c r="EK89" i="55"/>
  <c r="EZ90" i="55" s="1"/>
  <c r="BJ184" i="55"/>
  <c r="BR173" i="55"/>
  <c r="CX173" i="55" s="1"/>
  <c r="EJ90" i="55"/>
  <c r="FA89" i="55" s="1"/>
  <c r="BR175" i="55"/>
  <c r="CX175" i="55" s="1"/>
  <c r="AH10" i="55"/>
  <c r="AM10" i="55" s="1"/>
  <c r="BJ162" i="55"/>
  <c r="BJ151" i="55"/>
  <c r="DF151" i="55" s="1"/>
  <c r="BR160" i="55"/>
  <c r="CX160" i="55" s="1"/>
  <c r="BR184" i="55"/>
  <c r="CX184" i="55" s="1"/>
  <c r="BR151" i="55"/>
  <c r="CX151" i="55" s="1"/>
  <c r="BJ163" i="55"/>
  <c r="BJ183" i="55"/>
  <c r="BR157" i="55"/>
  <c r="DN157" i="55" s="1"/>
  <c r="BJ185" i="55"/>
  <c r="BJ164" i="55"/>
  <c r="BR153" i="55"/>
  <c r="CX153" i="55" s="1"/>
  <c r="BR161" i="55"/>
  <c r="CX161" i="55" s="1"/>
  <c r="BR179" i="55"/>
  <c r="AH45" i="55"/>
  <c r="AM45" i="55" s="1"/>
  <c r="BR162" i="55"/>
  <c r="CX162" i="55" s="1"/>
  <c r="BR185" i="55"/>
  <c r="CX185" i="55" s="1"/>
  <c r="BJ159" i="55"/>
  <c r="BJ179" i="55"/>
  <c r="DF179" i="55" s="1"/>
  <c r="ES73" i="55"/>
  <c r="EZ82" i="55" s="1"/>
  <c r="BJ157" i="55"/>
  <c r="DF157" i="55" s="1"/>
  <c r="BJ182" i="55"/>
  <c r="BR163" i="55"/>
  <c r="CX163" i="55" s="1"/>
  <c r="BR164" i="55"/>
  <c r="CX164" i="55" s="1"/>
  <c r="BR183" i="55"/>
  <c r="CX183" i="55" s="1"/>
  <c r="BJ186" i="55"/>
  <c r="BJ180" i="55"/>
  <c r="BR158" i="55"/>
  <c r="DN158" i="55" s="1"/>
  <c r="BR155" i="55"/>
  <c r="DN155" i="55" s="1"/>
  <c r="BR159" i="55"/>
  <c r="CX159" i="55" s="1"/>
  <c r="BP25" i="55"/>
  <c r="CV25" i="55" s="1"/>
  <c r="BP32" i="55"/>
  <c r="CV32" i="55" s="1"/>
  <c r="BI179" i="55"/>
  <c r="DE179" i="55" s="1"/>
  <c r="BP23" i="55"/>
  <c r="CV23" i="55" s="1"/>
  <c r="BP30" i="55"/>
  <c r="AH108" i="55"/>
  <c r="AM108" i="55" s="1"/>
  <c r="BP31" i="55"/>
  <c r="CV31" i="55" s="1"/>
  <c r="BO96" i="55"/>
  <c r="CU96" i="55" s="1"/>
  <c r="BI161" i="55"/>
  <c r="CO161" i="55" s="1"/>
  <c r="BO100" i="55"/>
  <c r="CU100" i="55" s="1"/>
  <c r="AH13" i="55"/>
  <c r="AM13" i="55" s="1"/>
  <c r="AH93" i="55"/>
  <c r="AM93" i="55" s="1"/>
  <c r="AH90" i="55"/>
  <c r="AM90" i="55" s="1"/>
  <c r="AM95" i="55"/>
  <c r="AH18" i="55"/>
  <c r="AH12" i="55"/>
  <c r="AM12" i="55" s="1"/>
  <c r="AH27" i="55"/>
  <c r="AM27" i="55" s="1"/>
  <c r="BO97" i="55"/>
  <c r="CU97" i="55" s="1"/>
  <c r="BO98" i="55"/>
  <c r="CU98" i="55" s="1"/>
  <c r="BO93" i="55"/>
  <c r="AH74" i="55"/>
  <c r="AM74" i="55" s="1"/>
  <c r="BO95" i="55"/>
  <c r="CU95" i="55" s="1"/>
  <c r="BO89" i="55"/>
  <c r="CU89" i="55" s="1"/>
  <c r="BO99" i="55"/>
  <c r="CU99" i="55" s="1"/>
  <c r="AH25" i="55"/>
  <c r="AM25" i="55" s="1"/>
  <c r="BO91" i="55"/>
  <c r="AH42" i="55"/>
  <c r="AM42" i="55" s="1"/>
  <c r="AM16" i="55"/>
  <c r="AI18" i="55"/>
  <c r="AI20" i="55" s="1"/>
  <c r="AM128" i="55"/>
  <c r="AI130" i="55"/>
  <c r="AI132" i="55" s="1"/>
  <c r="AM48" i="55"/>
  <c r="AI50" i="55"/>
  <c r="AI52" i="55" s="1"/>
  <c r="AM144" i="55"/>
  <c r="AI146" i="55"/>
  <c r="AI148" i="55" s="1"/>
  <c r="AM80" i="55"/>
  <c r="AI82" i="55"/>
  <c r="AI84" i="55" s="1"/>
  <c r="AI160" i="55"/>
  <c r="AM160" i="55" s="1"/>
  <c r="AM32" i="55"/>
  <c r="AI34" i="55"/>
  <c r="AI114" i="55"/>
  <c r="AI116" i="55" s="1"/>
  <c r="AM112" i="55"/>
  <c r="AI182" i="55"/>
  <c r="AM182" i="55" s="1"/>
  <c r="AM64" i="55"/>
  <c r="AI66" i="55"/>
  <c r="AM66" i="55" s="1"/>
  <c r="ES74" i="55"/>
  <c r="FA82" i="55" s="1"/>
  <c r="ES27" i="55"/>
  <c r="FB34" i="55" s="1"/>
  <c r="ES122" i="55"/>
  <c r="FA130" i="55" s="1"/>
  <c r="EL25" i="55"/>
  <c r="EZ27" i="55" s="1"/>
  <c r="EM25" i="55"/>
  <c r="EZ28" i="55" s="1"/>
  <c r="EL26" i="55"/>
  <c r="FA27" i="55" s="1"/>
  <c r="ES76" i="55"/>
  <c r="FC82" i="55" s="1"/>
  <c r="AI187" i="57"/>
  <c r="AI179" i="57"/>
  <c r="AI204" i="57"/>
  <c r="AI182" i="57"/>
  <c r="AI196" i="57"/>
  <c r="AI184" i="57"/>
  <c r="AO184" i="57" s="1"/>
  <c r="AI180" i="57"/>
  <c r="AI193" i="57"/>
  <c r="AI195" i="57"/>
  <c r="AI186" i="57"/>
  <c r="AO186" i="57" s="1"/>
  <c r="AI198" i="57"/>
  <c r="AI181" i="57"/>
  <c r="EL141" i="55"/>
  <c r="FD139" i="55" s="1"/>
  <c r="EM139" i="55"/>
  <c r="FB140" i="55" s="1"/>
  <c r="EL139" i="55"/>
  <c r="FB139" i="55" s="1"/>
  <c r="EL140" i="55"/>
  <c r="FC139" i="55" s="1"/>
  <c r="EJ106" i="55"/>
  <c r="FA105" i="55" s="1"/>
  <c r="EJ105" i="55"/>
  <c r="EZ105" i="55" s="1"/>
  <c r="EK106" i="55"/>
  <c r="FA106" i="55" s="1"/>
  <c r="EK105" i="55"/>
  <c r="EZ106" i="55" s="1"/>
  <c r="ES90" i="55"/>
  <c r="FA98" i="55" s="1"/>
  <c r="ES75" i="55"/>
  <c r="FB82" i="55" s="1"/>
  <c r="ES26" i="55"/>
  <c r="FA34" i="55" s="1"/>
  <c r="AH105" i="55"/>
  <c r="AM105" i="55" s="1"/>
  <c r="BI163" i="55"/>
  <c r="CO163" i="55" s="1"/>
  <c r="EJ141" i="55"/>
  <c r="FD137" i="55" s="1"/>
  <c r="AH26" i="55"/>
  <c r="AM26" i="55" s="1"/>
  <c r="AM111" i="55"/>
  <c r="BI162" i="55"/>
  <c r="CO162" i="55" s="1"/>
  <c r="BI184" i="55"/>
  <c r="CO184" i="55" s="1"/>
  <c r="EP122" i="55"/>
  <c r="FA127" i="55" s="1"/>
  <c r="BI160" i="55"/>
  <c r="CO160" i="55" s="1"/>
  <c r="BI180" i="55"/>
  <c r="EP121" i="55"/>
  <c r="EZ127" i="55" s="1"/>
  <c r="AH106" i="55"/>
  <c r="AM106" i="55" s="1"/>
  <c r="BI158" i="55"/>
  <c r="BI183" i="55"/>
  <c r="CO183" i="55" s="1"/>
  <c r="AH107" i="55"/>
  <c r="AM107" i="55" s="1"/>
  <c r="BI159" i="55"/>
  <c r="CO159" i="55" s="1"/>
  <c r="BI185" i="55"/>
  <c r="CO185" i="55" s="1"/>
  <c r="AH109" i="55"/>
  <c r="AM109" i="55" s="1"/>
  <c r="BI157" i="55"/>
  <c r="DE157" i="55" s="1"/>
  <c r="BI182" i="55"/>
  <c r="CO182" i="55" s="1"/>
  <c r="BI181" i="55"/>
  <c r="CO181" i="55" s="1"/>
  <c r="AH77" i="55"/>
  <c r="AM77" i="55" s="1"/>
  <c r="AH75" i="55"/>
  <c r="AM75" i="55" s="1"/>
  <c r="ES108" i="55"/>
  <c r="FC114" i="55" s="1"/>
  <c r="AH73" i="55"/>
  <c r="AM73" i="55" s="1"/>
  <c r="AM79" i="55"/>
  <c r="AH76" i="55"/>
  <c r="AM76" i="55" s="1"/>
  <c r="AH146" i="55"/>
  <c r="AM146" i="55" s="1"/>
  <c r="AH123" i="55"/>
  <c r="AM123" i="55" s="1"/>
  <c r="AH61" i="55"/>
  <c r="AM61" i="55" s="1"/>
  <c r="DN151" i="55"/>
  <c r="AH122" i="55"/>
  <c r="AM122" i="55" s="1"/>
  <c r="AH58" i="55"/>
  <c r="AM58" i="55" s="1"/>
  <c r="AH125" i="55"/>
  <c r="AM125" i="55" s="1"/>
  <c r="AH59" i="55"/>
  <c r="AH130" i="55"/>
  <c r="AH57" i="55"/>
  <c r="AM57" i="55" s="1"/>
  <c r="AM63" i="55"/>
  <c r="AH121" i="55"/>
  <c r="AM121" i="55" s="1"/>
  <c r="AH60" i="55"/>
  <c r="AM60" i="55" s="1"/>
  <c r="BJ173" i="55"/>
  <c r="DF173" i="55" s="1"/>
  <c r="BQ162" i="55"/>
  <c r="CW162" i="55" s="1"/>
  <c r="BQ155" i="55"/>
  <c r="DM155" i="55" s="1"/>
  <c r="AH43" i="55"/>
  <c r="AM43" i="55" s="1"/>
  <c r="AH92" i="55"/>
  <c r="AM92" i="55" s="1"/>
  <c r="AH34" i="55"/>
  <c r="BQ173" i="55"/>
  <c r="CW173" i="55" s="1"/>
  <c r="AH9" i="55"/>
  <c r="AH50" i="55"/>
  <c r="AH91" i="55"/>
  <c r="AM91" i="55" s="1"/>
  <c r="BK161" i="55"/>
  <c r="AM31" i="55"/>
  <c r="BQ183" i="55"/>
  <c r="CW183" i="55" s="1"/>
  <c r="AH41" i="55"/>
  <c r="AM41" i="55" s="1"/>
  <c r="BK157" i="55"/>
  <c r="DG157" i="55" s="1"/>
  <c r="DD71" i="55"/>
  <c r="EK77" i="55" s="1"/>
  <c r="FD74" i="55" s="1"/>
  <c r="AH98" i="55"/>
  <c r="AM98" i="55" s="1"/>
  <c r="BK160" i="55"/>
  <c r="AH28" i="55"/>
  <c r="AM28" i="55" s="1"/>
  <c r="AH11" i="55"/>
  <c r="AM47" i="55"/>
  <c r="BJ155" i="55"/>
  <c r="DF155" i="55" s="1"/>
  <c r="BQ180" i="55"/>
  <c r="DB71" i="55"/>
  <c r="BK186" i="55"/>
  <c r="BK181" i="55"/>
  <c r="BK162" i="55"/>
  <c r="BK183" i="55"/>
  <c r="AM143" i="55"/>
  <c r="BQ157" i="55"/>
  <c r="DM157" i="55" s="1"/>
  <c r="BQ179" i="55"/>
  <c r="DM179" i="55" s="1"/>
  <c r="BK163" i="55"/>
  <c r="BK185" i="55"/>
  <c r="AH141" i="55"/>
  <c r="AM141" i="55" s="1"/>
  <c r="BQ151" i="55"/>
  <c r="CW151" i="55" s="1"/>
  <c r="BQ153" i="55"/>
  <c r="CW153" i="55" s="1"/>
  <c r="BQ177" i="55"/>
  <c r="DM177" i="55" s="1"/>
  <c r="BJ153" i="55"/>
  <c r="DF153" i="55" s="1"/>
  <c r="BJ177" i="55"/>
  <c r="DF177" i="55" s="1"/>
  <c r="BK179" i="55"/>
  <c r="DG179" i="55" s="1"/>
  <c r="BK164" i="55"/>
  <c r="AH139" i="55"/>
  <c r="AM139" i="55" s="1"/>
  <c r="BQ163" i="55"/>
  <c r="CW163" i="55" s="1"/>
  <c r="BQ175" i="55"/>
  <c r="CW175" i="55" s="1"/>
  <c r="BQ185" i="55"/>
  <c r="CW185" i="55" s="1"/>
  <c r="BK182" i="55"/>
  <c r="BQ158" i="55"/>
  <c r="BQ164" i="55"/>
  <c r="CW164" i="55" s="1"/>
  <c r="BQ182" i="55"/>
  <c r="CW182" i="55" s="1"/>
  <c r="AH181" i="55"/>
  <c r="AM181" i="55" s="1"/>
  <c r="AH138" i="55"/>
  <c r="AM138" i="55" s="1"/>
  <c r="BJ175" i="55"/>
  <c r="DF175" i="55" s="1"/>
  <c r="BK158" i="55"/>
  <c r="BK184" i="55"/>
  <c r="AH137" i="55"/>
  <c r="AM137" i="55" s="1"/>
  <c r="BQ159" i="55"/>
  <c r="CW159" i="55" s="1"/>
  <c r="BQ181" i="55"/>
  <c r="CW181" i="55" s="1"/>
  <c r="BQ186" i="55"/>
  <c r="CW186" i="55" s="1"/>
  <c r="AH159" i="55"/>
  <c r="AM159" i="55" s="1"/>
  <c r="BK159" i="55"/>
  <c r="BQ161" i="55"/>
  <c r="CW161" i="55" s="1"/>
  <c r="ES92" i="55"/>
  <c r="FC98" i="55" s="1"/>
  <c r="DD137" i="55"/>
  <c r="AJ184" i="55"/>
  <c r="AJ186" i="55" s="1"/>
  <c r="ES141" i="55"/>
  <c r="FD146" i="55" s="1"/>
  <c r="DM184" i="55"/>
  <c r="BP148" i="55"/>
  <c r="CV148" i="55" s="1"/>
  <c r="BP147" i="55"/>
  <c r="BP146" i="55"/>
  <c r="BP145" i="55"/>
  <c r="BP142" i="55"/>
  <c r="DL142" i="55" s="1"/>
  <c r="BP143" i="55"/>
  <c r="BP144" i="55"/>
  <c r="BP137" i="55"/>
  <c r="BP141" i="55"/>
  <c r="DL141" i="55" s="1"/>
  <c r="BP135" i="55"/>
  <c r="BP139" i="55"/>
  <c r="DL139" i="55" s="1"/>
  <c r="EL76" i="55"/>
  <c r="FC75" i="55" s="1"/>
  <c r="EM75" i="55"/>
  <c r="FB76" i="55" s="1"/>
  <c r="EL75" i="55"/>
  <c r="FB75" i="55" s="1"/>
  <c r="EM76" i="55"/>
  <c r="FC76" i="55" s="1"/>
  <c r="EM45" i="55"/>
  <c r="FD44" i="55" s="1"/>
  <c r="EL45" i="55"/>
  <c r="FD43" i="55" s="1"/>
  <c r="BP116" i="55"/>
  <c r="CV116" i="55" s="1"/>
  <c r="BP115" i="55"/>
  <c r="CV115" i="55" s="1"/>
  <c r="BP111" i="55"/>
  <c r="CV111" i="55" s="1"/>
  <c r="BP110" i="55"/>
  <c r="BP103" i="55"/>
  <c r="CV103" i="55" s="1"/>
  <c r="BP109" i="55"/>
  <c r="BP105" i="55"/>
  <c r="CV105" i="55" s="1"/>
  <c r="BP113" i="55"/>
  <c r="BP112" i="55"/>
  <c r="CV112" i="55" s="1"/>
  <c r="BP114" i="55"/>
  <c r="BP107" i="55"/>
  <c r="BH181" i="55"/>
  <c r="CN181" i="55" s="1"/>
  <c r="BH186" i="55"/>
  <c r="CN186" i="55" s="1"/>
  <c r="BH185" i="55"/>
  <c r="CN185" i="55" s="1"/>
  <c r="BH183" i="55"/>
  <c r="CN183" i="55" s="1"/>
  <c r="BH180" i="55"/>
  <c r="BH179" i="55"/>
  <c r="DD179" i="55" s="1"/>
  <c r="BH163" i="55"/>
  <c r="CN163" i="55" s="1"/>
  <c r="BH162" i="55"/>
  <c r="CN162" i="55" s="1"/>
  <c r="BH184" i="55"/>
  <c r="CN184" i="55" s="1"/>
  <c r="BH164" i="55"/>
  <c r="CN164" i="55" s="1"/>
  <c r="BH182" i="55"/>
  <c r="CN182" i="55" s="1"/>
  <c r="BH161" i="55"/>
  <c r="CN161" i="55" s="1"/>
  <c r="BH173" i="55"/>
  <c r="BH157" i="55"/>
  <c r="DD157" i="55" s="1"/>
  <c r="BH159" i="55"/>
  <c r="CN159" i="55" s="1"/>
  <c r="BH158" i="55"/>
  <c r="BH177" i="55"/>
  <c r="BH175" i="55"/>
  <c r="BH155" i="55"/>
  <c r="BH151" i="55"/>
  <c r="BH153" i="55"/>
  <c r="BH160" i="55"/>
  <c r="CN160" i="55" s="1"/>
  <c r="EK125" i="55"/>
  <c r="FD122" i="55" s="1"/>
  <c r="EJ125" i="55"/>
  <c r="FD121" i="55" s="1"/>
  <c r="EK45" i="55"/>
  <c r="FD42" i="55" s="1"/>
  <c r="EJ45" i="55"/>
  <c r="FD41" i="55" s="1"/>
  <c r="EJ58" i="55"/>
  <c r="FA57" i="55" s="1"/>
  <c r="EL106" i="55"/>
  <c r="FA107" i="55" s="1"/>
  <c r="EM105" i="55"/>
  <c r="EZ108" i="55" s="1"/>
  <c r="EL105" i="55"/>
  <c r="EZ107" i="55" s="1"/>
  <c r="EM106" i="55"/>
  <c r="FA108" i="55" s="1"/>
  <c r="DN83" i="55"/>
  <c r="DD9" i="55"/>
  <c r="CX99" i="55"/>
  <c r="DN99" i="55"/>
  <c r="EL9" i="55"/>
  <c r="EZ11" i="55" s="1"/>
  <c r="EM10" i="55"/>
  <c r="FA12" i="55" s="1"/>
  <c r="EL10" i="55"/>
  <c r="FA11" i="55" s="1"/>
  <c r="EM9" i="55"/>
  <c r="EZ12" i="55" s="1"/>
  <c r="BG184" i="55"/>
  <c r="CM184" i="55" s="1"/>
  <c r="BG181" i="55"/>
  <c r="CM181" i="55" s="1"/>
  <c r="BG186" i="55"/>
  <c r="CM186" i="55" s="1"/>
  <c r="BG182" i="55"/>
  <c r="CM182" i="55" s="1"/>
  <c r="BG185" i="55"/>
  <c r="CM185" i="55" s="1"/>
  <c r="BG183" i="55"/>
  <c r="CM183" i="55" s="1"/>
  <c r="BG180" i="55"/>
  <c r="BG179" i="55"/>
  <c r="BG163" i="55"/>
  <c r="CM163" i="55" s="1"/>
  <c r="BG162" i="55"/>
  <c r="CM162" i="55" s="1"/>
  <c r="BG164" i="55"/>
  <c r="CM164" i="55" s="1"/>
  <c r="BG157" i="55"/>
  <c r="BG159" i="55"/>
  <c r="CM159" i="55" s="1"/>
  <c r="BG161" i="55"/>
  <c r="CM161" i="55" s="1"/>
  <c r="BG160" i="55"/>
  <c r="CM160" i="55" s="1"/>
  <c r="BG158" i="55"/>
  <c r="AJ162" i="55"/>
  <c r="AJ164" i="55" s="1"/>
  <c r="EM107" i="55"/>
  <c r="FB108" i="55" s="1"/>
  <c r="EL107" i="55"/>
  <c r="FB107" i="55" s="1"/>
  <c r="EM108" i="55"/>
  <c r="FC108" i="55" s="1"/>
  <c r="EL108" i="55"/>
  <c r="FC107" i="55" s="1"/>
  <c r="CL7" i="55"/>
  <c r="DB7" i="55"/>
  <c r="EK58" i="55"/>
  <c r="FA58" i="55" s="1"/>
  <c r="EM61" i="55"/>
  <c r="FD60" i="55" s="1"/>
  <c r="EL61" i="55"/>
  <c r="FD59" i="55" s="1"/>
  <c r="DN35" i="55"/>
  <c r="EM44" i="55"/>
  <c r="FC44" i="55" s="1"/>
  <c r="EL44" i="55"/>
  <c r="FC43" i="55" s="1"/>
  <c r="EM43" i="55"/>
  <c r="FB44" i="55" s="1"/>
  <c r="EL43" i="55"/>
  <c r="FB43" i="55" s="1"/>
  <c r="ES59" i="55"/>
  <c r="FB66" i="55" s="1"/>
  <c r="ES60" i="55"/>
  <c r="FC66" i="55" s="1"/>
  <c r="DD7" i="55"/>
  <c r="EK13" i="55" s="1"/>
  <c r="FD10" i="55" s="1"/>
  <c r="ES42" i="55"/>
  <c r="FA50" i="55" s="1"/>
  <c r="ES41" i="55"/>
  <c r="EZ50" i="55" s="1"/>
  <c r="EL60" i="55"/>
  <c r="FC59" i="55" s="1"/>
  <c r="EM59" i="55"/>
  <c r="FB60" i="55" s="1"/>
  <c r="EL59" i="55"/>
  <c r="FB59" i="55" s="1"/>
  <c r="EM60" i="55"/>
  <c r="FC60" i="55" s="1"/>
  <c r="ES105" i="55"/>
  <c r="EZ114" i="55" s="1"/>
  <c r="ES106" i="55"/>
  <c r="FA114" i="55" s="1"/>
  <c r="EM13" i="55"/>
  <c r="FD12" i="55" s="1"/>
  <c r="EL13" i="55"/>
  <c r="FD11" i="55" s="1"/>
  <c r="BP20" i="55"/>
  <c r="CV20" i="55" s="1"/>
  <c r="BP13" i="55"/>
  <c r="BP9" i="55"/>
  <c r="CV9" i="55" s="1"/>
  <c r="BP7" i="55"/>
  <c r="CV7" i="55" s="1"/>
  <c r="BP18" i="55"/>
  <c r="CV18" i="55" s="1"/>
  <c r="BP15" i="55"/>
  <c r="CV15" i="55" s="1"/>
  <c r="BP16" i="55"/>
  <c r="CV16" i="55" s="1"/>
  <c r="BP14" i="55"/>
  <c r="BP17" i="55"/>
  <c r="BP11" i="55"/>
  <c r="BP19" i="55"/>
  <c r="CV19" i="55" s="1"/>
  <c r="ES43" i="55"/>
  <c r="FB50" i="55" s="1"/>
  <c r="ES44" i="55"/>
  <c r="FC50" i="55" s="1"/>
  <c r="AM89" i="55"/>
  <c r="DN153" i="55"/>
  <c r="ES91" i="55"/>
  <c r="FB98" i="55" s="1"/>
  <c r="ES137" i="55"/>
  <c r="EZ146" i="55" s="1"/>
  <c r="ES138" i="55"/>
  <c r="FA146" i="55" s="1"/>
  <c r="EK41" i="55"/>
  <c r="EZ42" i="55" s="1"/>
  <c r="EJ41" i="55"/>
  <c r="EZ41" i="55" s="1"/>
  <c r="EK42" i="55"/>
  <c r="FA42" i="55" s="1"/>
  <c r="EJ42" i="55"/>
  <c r="FA41" i="55" s="1"/>
  <c r="DN162" i="55"/>
  <c r="ES89" i="55"/>
  <c r="EZ98" i="55" s="1"/>
  <c r="EM42" i="55"/>
  <c r="FA44" i="55" s="1"/>
  <c r="EL42" i="55"/>
  <c r="FA43" i="55" s="1"/>
  <c r="EM41" i="55"/>
  <c r="EZ44" i="55" s="1"/>
  <c r="EL41" i="55"/>
  <c r="EZ43" i="55" s="1"/>
  <c r="BP82" i="55"/>
  <c r="BP83" i="55"/>
  <c r="CV83" i="55" s="1"/>
  <c r="BP84" i="55"/>
  <c r="CV84" i="55" s="1"/>
  <c r="BP80" i="55"/>
  <c r="CV80" i="55" s="1"/>
  <c r="BP79" i="55"/>
  <c r="CV79" i="55" s="1"/>
  <c r="BP78" i="55"/>
  <c r="BP71" i="55"/>
  <c r="CV71" i="55" s="1"/>
  <c r="BP77" i="55"/>
  <c r="BP73" i="55"/>
  <c r="CV73" i="55" s="1"/>
  <c r="BP75" i="55"/>
  <c r="BP81" i="55"/>
  <c r="EM74" i="55"/>
  <c r="FA76" i="55" s="1"/>
  <c r="EL74" i="55"/>
  <c r="FA75" i="55" s="1"/>
  <c r="EM73" i="55"/>
  <c r="EZ76" i="55" s="1"/>
  <c r="EL73" i="55"/>
  <c r="EZ75" i="55" s="1"/>
  <c r="EL124" i="55"/>
  <c r="FC123" i="55" s="1"/>
  <c r="EM123" i="55"/>
  <c r="FB124" i="55" s="1"/>
  <c r="EL123" i="55"/>
  <c r="FB123" i="55" s="1"/>
  <c r="EM124" i="55"/>
  <c r="FC124" i="55" s="1"/>
  <c r="ES139" i="55"/>
  <c r="FB146" i="55" s="1"/>
  <c r="ES140" i="55"/>
  <c r="FC146" i="55" s="1"/>
  <c r="BP99" i="55"/>
  <c r="CV99" i="55" s="1"/>
  <c r="BP95" i="55"/>
  <c r="CV95" i="55" s="1"/>
  <c r="BP94" i="55"/>
  <c r="BP100" i="55"/>
  <c r="CV100" i="55" s="1"/>
  <c r="BP93" i="55"/>
  <c r="BP89" i="55"/>
  <c r="CV89" i="55" s="1"/>
  <c r="BP97" i="55"/>
  <c r="BP91" i="55"/>
  <c r="BP87" i="55"/>
  <c r="CV87" i="55" s="1"/>
  <c r="BP98" i="55"/>
  <c r="CV98" i="55" s="1"/>
  <c r="BP96" i="55"/>
  <c r="CV96" i="55" s="1"/>
  <c r="AM161" i="55"/>
  <c r="EM11" i="55"/>
  <c r="FB12" i="55" s="1"/>
  <c r="EL11" i="55"/>
  <c r="FB11" i="55" s="1"/>
  <c r="EM12" i="55"/>
  <c r="FC12" i="55" s="1"/>
  <c r="EL12" i="55"/>
  <c r="FC11" i="55" s="1"/>
  <c r="DN115" i="55"/>
  <c r="EK93" i="55"/>
  <c r="FD90" i="55" s="1"/>
  <c r="EJ93" i="55"/>
  <c r="FD89" i="55" s="1"/>
  <c r="EK61" i="55"/>
  <c r="FD58" i="55" s="1"/>
  <c r="EJ61" i="55"/>
  <c r="FD57" i="55" s="1"/>
  <c r="EM138" i="55"/>
  <c r="FA140" i="55" s="1"/>
  <c r="EL138" i="55"/>
  <c r="FA139" i="55" s="1"/>
  <c r="EL137" i="55"/>
  <c r="EZ139" i="55" s="1"/>
  <c r="EM137" i="55"/>
  <c r="EZ140" i="55" s="1"/>
  <c r="EM58" i="55"/>
  <c r="FA60" i="55" s="1"/>
  <c r="EL58" i="55"/>
  <c r="FA59" i="55" s="1"/>
  <c r="EM57" i="55"/>
  <c r="EZ60" i="55" s="1"/>
  <c r="EL57" i="55"/>
  <c r="EZ59" i="55" s="1"/>
  <c r="EM122" i="55"/>
  <c r="FA124" i="55" s="1"/>
  <c r="EL122" i="55"/>
  <c r="FA123" i="55" s="1"/>
  <c r="EM121" i="55"/>
  <c r="EZ124" i="55" s="1"/>
  <c r="EL121" i="55"/>
  <c r="EZ123" i="55" s="1"/>
  <c r="EJ57" i="55"/>
  <c r="EZ57" i="55" s="1"/>
  <c r="BM179" i="55"/>
  <c r="BM181" i="55"/>
  <c r="BM186" i="55"/>
  <c r="BM182" i="55"/>
  <c r="BM161" i="55"/>
  <c r="BM183" i="55"/>
  <c r="BM175" i="55"/>
  <c r="BM173" i="55"/>
  <c r="BM184" i="55"/>
  <c r="BM185" i="55"/>
  <c r="BM177" i="55"/>
  <c r="BM163" i="55"/>
  <c r="BM162" i="55"/>
  <c r="BM164" i="55"/>
  <c r="BM160" i="55"/>
  <c r="BM159" i="55"/>
  <c r="BM158" i="55"/>
  <c r="DI158" i="55" s="1"/>
  <c r="BM180" i="55"/>
  <c r="DI180" i="55" s="1"/>
  <c r="BM157" i="55"/>
  <c r="BM153" i="55"/>
  <c r="BM155" i="55"/>
  <c r="BM151" i="55"/>
  <c r="BF184" i="55"/>
  <c r="CL184" i="55" s="1"/>
  <c r="BF177" i="55"/>
  <c r="BF186" i="55"/>
  <c r="CL186" i="55" s="1"/>
  <c r="BF182" i="55"/>
  <c r="CL182" i="55" s="1"/>
  <c r="BF185" i="55"/>
  <c r="CL185" i="55" s="1"/>
  <c r="BF183" i="55"/>
  <c r="CL183" i="55" s="1"/>
  <c r="BF180" i="55"/>
  <c r="BF179" i="55"/>
  <c r="BF163" i="55"/>
  <c r="CL163" i="55" s="1"/>
  <c r="BF162" i="55"/>
  <c r="CL162" i="55" s="1"/>
  <c r="BF181" i="55"/>
  <c r="CL181" i="55" s="1"/>
  <c r="BF175" i="55"/>
  <c r="CL175" i="55" s="1"/>
  <c r="BF173" i="55"/>
  <c r="BF164" i="55"/>
  <c r="CL164" i="55" s="1"/>
  <c r="BF155" i="55"/>
  <c r="BF153" i="55"/>
  <c r="CL153" i="55" s="1"/>
  <c r="BF161" i="55"/>
  <c r="CL161" i="55" s="1"/>
  <c r="BF157" i="55"/>
  <c r="BF151" i="55"/>
  <c r="BF159" i="55"/>
  <c r="CL159" i="55" s="1"/>
  <c r="BF158" i="55"/>
  <c r="BF160" i="55"/>
  <c r="CL160" i="55" s="1"/>
  <c r="DN51" i="55"/>
  <c r="CW9" i="55"/>
  <c r="DM9" i="55"/>
  <c r="DD73" i="55"/>
  <c r="EL109" i="55"/>
  <c r="FD107" i="55" s="1"/>
  <c r="EM109" i="55"/>
  <c r="FD108" i="55" s="1"/>
  <c r="EM77" i="55"/>
  <c r="FD76" i="55" s="1"/>
  <c r="EL77" i="55"/>
  <c r="FD75" i="55" s="1"/>
  <c r="AM183" i="55"/>
  <c r="ES57" i="55"/>
  <c r="EZ66" i="55" s="1"/>
  <c r="ES58" i="55"/>
  <c r="FA66" i="55" s="1"/>
  <c r="AA30" i="4"/>
  <c r="Z30" i="4"/>
  <c r="Y30" i="4"/>
  <c r="X30" i="4"/>
  <c r="W30" i="4"/>
  <c r="V30" i="4"/>
  <c r="U30" i="4"/>
  <c r="T30" i="4"/>
  <c r="S30" i="4"/>
  <c r="R30" i="4"/>
  <c r="Q30" i="4"/>
  <c r="P30" i="4"/>
  <c r="O30" i="4"/>
  <c r="N30" i="4"/>
  <c r="M30" i="4"/>
  <c r="L30" i="4"/>
  <c r="K30" i="4"/>
  <c r="J30" i="4"/>
  <c r="I30" i="4"/>
  <c r="H30" i="4"/>
  <c r="G30" i="4"/>
  <c r="F30" i="4"/>
  <c r="E30" i="4"/>
  <c r="D30" i="4"/>
  <c r="C30" i="4"/>
  <c r="AA29" i="4"/>
  <c r="Z29" i="4"/>
  <c r="Y29" i="4"/>
  <c r="X29" i="4"/>
  <c r="W29" i="4"/>
  <c r="V29" i="4"/>
  <c r="U29" i="4"/>
  <c r="T29" i="4"/>
  <c r="S29" i="4"/>
  <c r="R29" i="4"/>
  <c r="Q29" i="4"/>
  <c r="P29" i="4"/>
  <c r="O29" i="4"/>
  <c r="N29" i="4"/>
  <c r="M29" i="4"/>
  <c r="L29" i="4"/>
  <c r="K29" i="4"/>
  <c r="J29" i="4"/>
  <c r="I29" i="4"/>
  <c r="H29" i="4"/>
  <c r="G29" i="4"/>
  <c r="F29" i="4"/>
  <c r="E29" i="4"/>
  <c r="D29" i="4"/>
  <c r="C29" i="4"/>
  <c r="AA28" i="4"/>
  <c r="Z28" i="4"/>
  <c r="Y28" i="4"/>
  <c r="X28" i="4"/>
  <c r="W28" i="4"/>
  <c r="V28" i="4"/>
  <c r="U28" i="4"/>
  <c r="T28" i="4"/>
  <c r="S28" i="4"/>
  <c r="R28" i="4"/>
  <c r="Q28" i="4"/>
  <c r="P28" i="4"/>
  <c r="O28" i="4"/>
  <c r="N28" i="4"/>
  <c r="M28" i="4"/>
  <c r="L28" i="4"/>
  <c r="K28" i="4"/>
  <c r="J28" i="4"/>
  <c r="I28" i="4"/>
  <c r="H28" i="4"/>
  <c r="G28" i="4"/>
  <c r="F28" i="4"/>
  <c r="E28" i="4"/>
  <c r="D28" i="4"/>
  <c r="C28" i="4"/>
  <c r="AA27" i="4"/>
  <c r="Z27" i="4"/>
  <c r="Y27" i="4"/>
  <c r="X27" i="4"/>
  <c r="W27" i="4"/>
  <c r="V27" i="4"/>
  <c r="U27" i="4"/>
  <c r="T27" i="4"/>
  <c r="S27" i="4"/>
  <c r="R27" i="4"/>
  <c r="Q27" i="4"/>
  <c r="P27" i="4"/>
  <c r="O27" i="4"/>
  <c r="N27" i="4"/>
  <c r="M27" i="4"/>
  <c r="L27" i="4"/>
  <c r="K27" i="4"/>
  <c r="J27" i="4"/>
  <c r="I27" i="4"/>
  <c r="H27" i="4"/>
  <c r="G27" i="4"/>
  <c r="F27" i="4"/>
  <c r="E27" i="4"/>
  <c r="D27" i="4"/>
  <c r="C27" i="4"/>
  <c r="AA26" i="4"/>
  <c r="Z26" i="4"/>
  <c r="Y26" i="4"/>
  <c r="X26" i="4"/>
  <c r="W26" i="4"/>
  <c r="V26" i="4"/>
  <c r="U26" i="4"/>
  <c r="T26" i="4"/>
  <c r="S26" i="4"/>
  <c r="R26" i="4"/>
  <c r="Q26" i="4"/>
  <c r="P26" i="4"/>
  <c r="O26" i="4"/>
  <c r="N26" i="4"/>
  <c r="M26" i="4"/>
  <c r="L26" i="4"/>
  <c r="K26" i="4"/>
  <c r="J26" i="4"/>
  <c r="I26" i="4"/>
  <c r="H26" i="4"/>
  <c r="G26" i="4"/>
  <c r="F26" i="4"/>
  <c r="E26" i="4"/>
  <c r="D26" i="4"/>
  <c r="C26" i="4"/>
  <c r="AA25" i="4"/>
  <c r="Z25" i="4"/>
  <c r="Y25" i="4"/>
  <c r="X25" i="4"/>
  <c r="W25" i="4"/>
  <c r="V25" i="4"/>
  <c r="U25" i="4"/>
  <c r="T25" i="4"/>
  <c r="S25" i="4"/>
  <c r="R25" i="4"/>
  <c r="Q25" i="4"/>
  <c r="P25" i="4"/>
  <c r="O25" i="4"/>
  <c r="N25" i="4"/>
  <c r="M25" i="4"/>
  <c r="L25" i="4"/>
  <c r="K25" i="4"/>
  <c r="J25" i="4"/>
  <c r="I25" i="4"/>
  <c r="H25" i="4"/>
  <c r="G25" i="4"/>
  <c r="F25" i="4"/>
  <c r="E25" i="4"/>
  <c r="D25" i="4"/>
  <c r="C25" i="4"/>
  <c r="AA24" i="4"/>
  <c r="Z24" i="4"/>
  <c r="Y24" i="4"/>
  <c r="X24" i="4"/>
  <c r="W24" i="4"/>
  <c r="V24" i="4"/>
  <c r="U24" i="4"/>
  <c r="T24" i="4"/>
  <c r="S24" i="4"/>
  <c r="R24" i="4"/>
  <c r="Q24" i="4"/>
  <c r="P24" i="4"/>
  <c r="O24" i="4"/>
  <c r="N24" i="4"/>
  <c r="M24" i="4"/>
  <c r="L24" i="4"/>
  <c r="K24" i="4"/>
  <c r="J24" i="4"/>
  <c r="I24" i="4"/>
  <c r="H24" i="4"/>
  <c r="G24" i="4"/>
  <c r="F24" i="4"/>
  <c r="E24" i="4"/>
  <c r="D24" i="4"/>
  <c r="C24" i="4"/>
  <c r="AA23" i="4"/>
  <c r="Z23" i="4"/>
  <c r="Y23" i="4"/>
  <c r="X23" i="4"/>
  <c r="W23" i="4"/>
  <c r="V23" i="4"/>
  <c r="U23" i="4"/>
  <c r="T23" i="4"/>
  <c r="S23" i="4"/>
  <c r="R23" i="4"/>
  <c r="Q23" i="4"/>
  <c r="P23" i="4"/>
  <c r="O23" i="4"/>
  <c r="N23" i="4"/>
  <c r="M23" i="4"/>
  <c r="L23" i="4"/>
  <c r="K23" i="4"/>
  <c r="J23" i="4"/>
  <c r="I23" i="4"/>
  <c r="H23" i="4"/>
  <c r="G23" i="4"/>
  <c r="F23" i="4"/>
  <c r="E23" i="4"/>
  <c r="D23" i="4"/>
  <c r="C23" i="4"/>
  <c r="AA22" i="4"/>
  <c r="Z22" i="4"/>
  <c r="Y22" i="4"/>
  <c r="X22" i="4"/>
  <c r="W22" i="4"/>
  <c r="V22" i="4"/>
  <c r="U22" i="4"/>
  <c r="T22" i="4"/>
  <c r="S22" i="4"/>
  <c r="R22" i="4"/>
  <c r="Q22" i="4"/>
  <c r="P22" i="4"/>
  <c r="O22" i="4"/>
  <c r="N22" i="4"/>
  <c r="M22" i="4"/>
  <c r="L22" i="4"/>
  <c r="K22" i="4"/>
  <c r="J22" i="4"/>
  <c r="I22" i="4"/>
  <c r="H22" i="4"/>
  <c r="G22" i="4"/>
  <c r="F22" i="4"/>
  <c r="E22" i="4"/>
  <c r="D22" i="4"/>
  <c r="C22" i="4"/>
  <c r="AA21" i="4"/>
  <c r="Z21" i="4"/>
  <c r="Y21" i="4"/>
  <c r="X21" i="4"/>
  <c r="W21" i="4"/>
  <c r="V21" i="4"/>
  <c r="U21" i="4"/>
  <c r="T21" i="4"/>
  <c r="S21" i="4"/>
  <c r="R21" i="4"/>
  <c r="Q21" i="4"/>
  <c r="P21" i="4"/>
  <c r="O21" i="4"/>
  <c r="N21" i="4"/>
  <c r="M21" i="4"/>
  <c r="L21" i="4"/>
  <c r="K21" i="4"/>
  <c r="J21" i="4"/>
  <c r="I21" i="4"/>
  <c r="H21" i="4"/>
  <c r="G21" i="4"/>
  <c r="F21" i="4"/>
  <c r="E21" i="4"/>
  <c r="D21" i="4"/>
  <c r="C21" i="4"/>
  <c r="AA20" i="4"/>
  <c r="Z20" i="4"/>
  <c r="Y20" i="4"/>
  <c r="X20" i="4"/>
  <c r="W20" i="4"/>
  <c r="V20" i="4"/>
  <c r="U20" i="4"/>
  <c r="T20" i="4"/>
  <c r="S20" i="4"/>
  <c r="R20" i="4"/>
  <c r="Q20" i="4"/>
  <c r="P20" i="4"/>
  <c r="O20" i="4"/>
  <c r="N20" i="4"/>
  <c r="M20" i="4"/>
  <c r="L20" i="4"/>
  <c r="K20" i="4"/>
  <c r="J20" i="4"/>
  <c r="I20" i="4"/>
  <c r="H20" i="4"/>
  <c r="G20" i="4"/>
  <c r="F20" i="4"/>
  <c r="E20" i="4"/>
  <c r="D20" i="4"/>
  <c r="C20" i="4"/>
  <c r="AA19" i="4"/>
  <c r="Z19" i="4"/>
  <c r="Y19" i="4"/>
  <c r="X19" i="4"/>
  <c r="W19" i="4"/>
  <c r="V19" i="4"/>
  <c r="U19" i="4"/>
  <c r="T19" i="4"/>
  <c r="S19" i="4"/>
  <c r="R19" i="4"/>
  <c r="Q19" i="4"/>
  <c r="P19" i="4"/>
  <c r="O19" i="4"/>
  <c r="N19" i="4"/>
  <c r="M19" i="4"/>
  <c r="L19" i="4"/>
  <c r="K19" i="4"/>
  <c r="J19" i="4"/>
  <c r="I19" i="4"/>
  <c r="H19" i="4"/>
  <c r="G19" i="4"/>
  <c r="F19" i="4"/>
  <c r="E19" i="4"/>
  <c r="D19" i="4"/>
  <c r="C19" i="4"/>
  <c r="AA18" i="4"/>
  <c r="Z18" i="4"/>
  <c r="Y18" i="4"/>
  <c r="X18" i="4"/>
  <c r="W18" i="4"/>
  <c r="V18" i="4"/>
  <c r="U18" i="4"/>
  <c r="T18" i="4"/>
  <c r="S18" i="4"/>
  <c r="R18" i="4"/>
  <c r="Q18" i="4"/>
  <c r="P18" i="4"/>
  <c r="O18" i="4"/>
  <c r="N18" i="4"/>
  <c r="M18" i="4"/>
  <c r="L18" i="4"/>
  <c r="K18" i="4"/>
  <c r="J18" i="4"/>
  <c r="I18" i="4"/>
  <c r="H18" i="4"/>
  <c r="G18" i="4"/>
  <c r="F18" i="4"/>
  <c r="E18" i="4"/>
  <c r="D18" i="4"/>
  <c r="C18" i="4"/>
  <c r="AA17" i="4"/>
  <c r="Z17" i="4"/>
  <c r="Y17" i="4"/>
  <c r="X17" i="4"/>
  <c r="W17" i="4"/>
  <c r="V17" i="4"/>
  <c r="U17" i="4"/>
  <c r="T17" i="4"/>
  <c r="S17" i="4"/>
  <c r="R17" i="4"/>
  <c r="Q17" i="4"/>
  <c r="P17" i="4"/>
  <c r="O17" i="4"/>
  <c r="N17" i="4"/>
  <c r="M17" i="4"/>
  <c r="L17" i="4"/>
  <c r="K17" i="4"/>
  <c r="J17" i="4"/>
  <c r="I17" i="4"/>
  <c r="H17" i="4"/>
  <c r="G17" i="4"/>
  <c r="F17" i="4"/>
  <c r="E17" i="4"/>
  <c r="D17" i="4"/>
  <c r="C17" i="4"/>
  <c r="AA16" i="4"/>
  <c r="Z16" i="4"/>
  <c r="Y16" i="4"/>
  <c r="X16" i="4"/>
  <c r="W16" i="4"/>
  <c r="V16" i="4"/>
  <c r="U16" i="4"/>
  <c r="T16" i="4"/>
  <c r="S16" i="4"/>
  <c r="R16" i="4"/>
  <c r="Q16" i="4"/>
  <c r="P16" i="4"/>
  <c r="O16" i="4"/>
  <c r="N16" i="4"/>
  <c r="M16" i="4"/>
  <c r="L16" i="4"/>
  <c r="K16" i="4"/>
  <c r="J16" i="4"/>
  <c r="I16" i="4"/>
  <c r="H16" i="4"/>
  <c r="G16" i="4"/>
  <c r="F16" i="4"/>
  <c r="E16" i="4"/>
  <c r="D16" i="4"/>
  <c r="C16" i="4"/>
  <c r="AA15" i="4"/>
  <c r="Z15" i="4"/>
  <c r="Y15" i="4"/>
  <c r="X15" i="4"/>
  <c r="W15" i="4"/>
  <c r="V15" i="4"/>
  <c r="U15" i="4"/>
  <c r="T15" i="4"/>
  <c r="S15" i="4"/>
  <c r="R15" i="4"/>
  <c r="Q15" i="4"/>
  <c r="P15" i="4"/>
  <c r="O15" i="4"/>
  <c r="N15" i="4"/>
  <c r="M15" i="4"/>
  <c r="L15" i="4"/>
  <c r="K15" i="4"/>
  <c r="J15" i="4"/>
  <c r="I15" i="4"/>
  <c r="H15" i="4"/>
  <c r="G15" i="4"/>
  <c r="F15" i="4"/>
  <c r="E15" i="4"/>
  <c r="D15" i="4"/>
  <c r="C15" i="4"/>
  <c r="AA14" i="4"/>
  <c r="Z14" i="4"/>
  <c r="Y14" i="4"/>
  <c r="X14" i="4"/>
  <c r="W14" i="4"/>
  <c r="V14" i="4"/>
  <c r="U14" i="4"/>
  <c r="T14" i="4"/>
  <c r="S14" i="4"/>
  <c r="R14" i="4"/>
  <c r="Q14" i="4"/>
  <c r="P14" i="4"/>
  <c r="O14" i="4"/>
  <c r="N14" i="4"/>
  <c r="M14" i="4"/>
  <c r="L14" i="4"/>
  <c r="K14" i="4"/>
  <c r="J14" i="4"/>
  <c r="I14" i="4"/>
  <c r="H14" i="4"/>
  <c r="G14" i="4"/>
  <c r="F14" i="4"/>
  <c r="E14" i="4"/>
  <c r="D14" i="4"/>
  <c r="C14" i="4"/>
  <c r="AA13" i="4"/>
  <c r="Z13" i="4"/>
  <c r="Y13" i="4"/>
  <c r="X13" i="4"/>
  <c r="W13" i="4"/>
  <c r="V13" i="4"/>
  <c r="U13" i="4"/>
  <c r="T13" i="4"/>
  <c r="S13" i="4"/>
  <c r="R13" i="4"/>
  <c r="Q13" i="4"/>
  <c r="P13" i="4"/>
  <c r="O13" i="4"/>
  <c r="N13" i="4"/>
  <c r="M13" i="4"/>
  <c r="L13" i="4"/>
  <c r="K13" i="4"/>
  <c r="J13" i="4"/>
  <c r="I13" i="4"/>
  <c r="H13" i="4"/>
  <c r="G13" i="4"/>
  <c r="F13" i="4"/>
  <c r="E13" i="4"/>
  <c r="D13" i="4"/>
  <c r="C13" i="4"/>
  <c r="AA12" i="4"/>
  <c r="Z12" i="4"/>
  <c r="Y12" i="4"/>
  <c r="X12" i="4"/>
  <c r="W12" i="4"/>
  <c r="V12" i="4"/>
  <c r="U12" i="4"/>
  <c r="T12" i="4"/>
  <c r="S12" i="4"/>
  <c r="R12" i="4"/>
  <c r="Q12" i="4"/>
  <c r="P12" i="4"/>
  <c r="O12" i="4"/>
  <c r="N12" i="4"/>
  <c r="M12" i="4"/>
  <c r="L12" i="4"/>
  <c r="K12" i="4"/>
  <c r="J12" i="4"/>
  <c r="I12" i="4"/>
  <c r="H12" i="4"/>
  <c r="G12" i="4"/>
  <c r="F12" i="4"/>
  <c r="E12" i="4"/>
  <c r="D12" i="4"/>
  <c r="C12" i="4"/>
  <c r="AA11" i="4"/>
  <c r="Z11" i="4"/>
  <c r="Y11" i="4"/>
  <c r="X11" i="4"/>
  <c r="W11" i="4"/>
  <c r="V11" i="4"/>
  <c r="U11" i="4"/>
  <c r="T11" i="4"/>
  <c r="S11" i="4"/>
  <c r="R11" i="4"/>
  <c r="Q11" i="4"/>
  <c r="P11" i="4"/>
  <c r="O11" i="4"/>
  <c r="N11" i="4"/>
  <c r="M11" i="4"/>
  <c r="L11" i="4"/>
  <c r="K11" i="4"/>
  <c r="J11" i="4"/>
  <c r="I11" i="4"/>
  <c r="H11" i="4"/>
  <c r="G11" i="4"/>
  <c r="F11" i="4"/>
  <c r="E11" i="4"/>
  <c r="D11" i="4"/>
  <c r="C11" i="4"/>
  <c r="AA10" i="4"/>
  <c r="Z10" i="4"/>
  <c r="Y10" i="4"/>
  <c r="X10" i="4"/>
  <c r="W10" i="4"/>
  <c r="V10" i="4"/>
  <c r="U10" i="4"/>
  <c r="T10" i="4"/>
  <c r="S10" i="4"/>
  <c r="R10" i="4"/>
  <c r="Q10" i="4"/>
  <c r="P10" i="4"/>
  <c r="O10" i="4"/>
  <c r="N10" i="4"/>
  <c r="M10" i="4"/>
  <c r="L10" i="4"/>
  <c r="K10" i="4"/>
  <c r="J10" i="4"/>
  <c r="I10" i="4"/>
  <c r="H10" i="4"/>
  <c r="G10" i="4"/>
  <c r="F10" i="4"/>
  <c r="E10" i="4"/>
  <c r="D10" i="4"/>
  <c r="C10" i="4"/>
  <c r="AA9" i="4"/>
  <c r="Z9" i="4"/>
  <c r="Y9" i="4"/>
  <c r="X9" i="4"/>
  <c r="W9" i="4"/>
  <c r="V9" i="4"/>
  <c r="U9" i="4"/>
  <c r="T9" i="4"/>
  <c r="S9" i="4"/>
  <c r="R9" i="4"/>
  <c r="Q9" i="4"/>
  <c r="P9" i="4"/>
  <c r="O9" i="4"/>
  <c r="N9" i="4"/>
  <c r="M9" i="4"/>
  <c r="L9" i="4"/>
  <c r="K9" i="4"/>
  <c r="J9" i="4"/>
  <c r="I9" i="4"/>
  <c r="H9" i="4"/>
  <c r="G9" i="4"/>
  <c r="F9" i="4"/>
  <c r="E9" i="4"/>
  <c r="D9" i="4"/>
  <c r="C9" i="4"/>
  <c r="AA8" i="4"/>
  <c r="Z8" i="4"/>
  <c r="Y8" i="4"/>
  <c r="X8" i="4"/>
  <c r="W8" i="4"/>
  <c r="V8" i="4"/>
  <c r="U8" i="4"/>
  <c r="T8" i="4"/>
  <c r="S8" i="4"/>
  <c r="R8" i="4"/>
  <c r="Q8" i="4"/>
  <c r="P8" i="4"/>
  <c r="O8" i="4"/>
  <c r="N8" i="4"/>
  <c r="M8" i="4"/>
  <c r="L8" i="4"/>
  <c r="K8" i="4"/>
  <c r="J8" i="4"/>
  <c r="I8" i="4"/>
  <c r="H8" i="4"/>
  <c r="G8" i="4"/>
  <c r="F8" i="4"/>
  <c r="E8" i="4"/>
  <c r="D8" i="4"/>
  <c r="C8" i="4"/>
  <c r="AA7" i="4"/>
  <c r="Z7" i="4"/>
  <c r="Y7" i="4"/>
  <c r="X7" i="4"/>
  <c r="W7" i="4"/>
  <c r="V7" i="4"/>
  <c r="U7" i="4"/>
  <c r="T7" i="4"/>
  <c r="S7" i="4"/>
  <c r="R7" i="4"/>
  <c r="Q7" i="4"/>
  <c r="P7" i="4"/>
  <c r="O7" i="4"/>
  <c r="N7" i="4"/>
  <c r="M7" i="4"/>
  <c r="L7" i="4"/>
  <c r="K7" i="4"/>
  <c r="J7" i="4"/>
  <c r="I7" i="4"/>
  <c r="H7" i="4"/>
  <c r="G7" i="4"/>
  <c r="F7" i="4"/>
  <c r="E7" i="4"/>
  <c r="D7" i="4"/>
  <c r="C7" i="4"/>
  <c r="AA6" i="4"/>
  <c r="Z6" i="4"/>
  <c r="Y6" i="4"/>
  <c r="X6" i="4"/>
  <c r="W6" i="4"/>
  <c r="V6" i="4"/>
  <c r="U6" i="4"/>
  <c r="T6" i="4"/>
  <c r="S6" i="4"/>
  <c r="R6" i="4"/>
  <c r="Q6" i="4"/>
  <c r="P6" i="4"/>
  <c r="O6" i="4"/>
  <c r="N6" i="4"/>
  <c r="M6" i="4"/>
  <c r="L6" i="4"/>
  <c r="K6" i="4"/>
  <c r="J6" i="4"/>
  <c r="I6" i="4"/>
  <c r="H6" i="4"/>
  <c r="G6" i="4"/>
  <c r="F6" i="4"/>
  <c r="E6" i="4"/>
  <c r="D6" i="4"/>
  <c r="C6" i="4"/>
  <c r="ES12" i="55" l="1"/>
  <c r="FC18" i="55" s="1"/>
  <c r="ES11" i="55"/>
  <c r="FB18" i="55" s="1"/>
  <c r="EK29" i="55"/>
  <c r="FD26" i="55" s="1"/>
  <c r="EK25" i="55"/>
  <c r="EZ26" i="55" s="1"/>
  <c r="EJ26" i="55"/>
  <c r="FA25" i="55" s="1"/>
  <c r="EK26" i="55"/>
  <c r="FA26" i="55" s="1"/>
  <c r="EJ29" i="55"/>
  <c r="FD25" i="55" s="1"/>
  <c r="BO94" i="55"/>
  <c r="CV114" i="55"/>
  <c r="DL114" i="55"/>
  <c r="CV135" i="55"/>
  <c r="DL135" i="55"/>
  <c r="DL33" i="55"/>
  <c r="ER34" i="55" s="1"/>
  <c r="FJ33" i="55" s="1"/>
  <c r="CV144" i="55"/>
  <c r="DL144" i="55"/>
  <c r="CV137" i="55"/>
  <c r="DL137" i="55"/>
  <c r="CV143" i="55"/>
  <c r="DL143" i="55"/>
  <c r="BP47" i="55"/>
  <c r="CV47" i="55" s="1"/>
  <c r="BP49" i="55"/>
  <c r="BP48" i="55"/>
  <c r="CV48" i="55" s="1"/>
  <c r="BP46" i="55"/>
  <c r="BP45" i="55"/>
  <c r="BP39" i="55"/>
  <c r="CV39" i="55" s="1"/>
  <c r="BP51" i="55"/>
  <c r="CV51" i="55" s="1"/>
  <c r="BP43" i="55"/>
  <c r="BP50" i="55"/>
  <c r="CV50" i="55" s="1"/>
  <c r="BP52" i="55"/>
  <c r="CV52" i="55" s="1"/>
  <c r="BP41" i="55"/>
  <c r="CV41" i="55" s="1"/>
  <c r="CV146" i="55"/>
  <c r="DL146" i="55"/>
  <c r="CV147" i="55"/>
  <c r="DL147" i="55"/>
  <c r="EJ122" i="55"/>
  <c r="FA121" i="55" s="1"/>
  <c r="EK122" i="55"/>
  <c r="FA122" i="55" s="1"/>
  <c r="EK121" i="55"/>
  <c r="EZ122" i="55" s="1"/>
  <c r="DL129" i="55"/>
  <c r="DL130" i="55"/>
  <c r="EM179" i="55"/>
  <c r="FD178" i="55" s="1"/>
  <c r="DN163" i="55"/>
  <c r="AM34" i="55"/>
  <c r="AM36" i="55" s="1"/>
  <c r="BS29" i="55" s="1"/>
  <c r="DK96" i="55"/>
  <c r="EQ98" i="55" s="1"/>
  <c r="FJ96" i="55" s="1"/>
  <c r="AM82" i="55"/>
  <c r="AM84" i="55" s="1"/>
  <c r="BS77" i="55" s="1"/>
  <c r="AM18" i="55"/>
  <c r="AM50" i="55"/>
  <c r="AM52" i="55" s="1"/>
  <c r="DM162" i="55"/>
  <c r="AH116" i="55"/>
  <c r="BN112" i="55" s="1"/>
  <c r="CT112" i="55" s="1"/>
  <c r="AM130" i="55"/>
  <c r="AH84" i="55"/>
  <c r="BN84" i="55" s="1"/>
  <c r="CT84" i="55" s="1"/>
  <c r="AH179" i="55"/>
  <c r="AM179" i="55" s="1"/>
  <c r="BO7" i="55"/>
  <c r="CU7" i="55" s="1"/>
  <c r="BO19" i="55"/>
  <c r="CU19" i="55" s="1"/>
  <c r="BO13" i="55"/>
  <c r="BO14" i="55"/>
  <c r="BO17" i="55"/>
  <c r="CU17" i="55" s="1"/>
  <c r="BO20" i="55"/>
  <c r="CU20" i="55" s="1"/>
  <c r="BO11" i="55"/>
  <c r="BO16" i="55"/>
  <c r="BO15" i="55"/>
  <c r="CU15" i="55" s="1"/>
  <c r="BO18" i="55"/>
  <c r="CU18" i="55" s="1"/>
  <c r="BO9" i="55"/>
  <c r="CU9" i="55" s="1"/>
  <c r="AM114" i="55"/>
  <c r="AM116" i="55" s="1"/>
  <c r="BS112" i="55" s="1"/>
  <c r="CY112" i="55" s="1"/>
  <c r="BO79" i="55"/>
  <c r="CU79" i="55" s="1"/>
  <c r="BO78" i="55"/>
  <c r="BO71" i="55"/>
  <c r="CU71" i="55" s="1"/>
  <c r="BO82" i="55"/>
  <c r="BO77" i="55"/>
  <c r="BO83" i="55"/>
  <c r="CU83" i="55" s="1"/>
  <c r="BO73" i="55"/>
  <c r="CU73" i="55" s="1"/>
  <c r="BO84" i="55"/>
  <c r="CU84" i="55" s="1"/>
  <c r="BO75" i="55"/>
  <c r="BO81" i="55"/>
  <c r="CU81" i="55" s="1"/>
  <c r="BO80" i="55"/>
  <c r="BO143" i="55"/>
  <c r="CU143" i="55" s="1"/>
  <c r="BO139" i="55"/>
  <c r="BO142" i="55"/>
  <c r="BO148" i="55"/>
  <c r="CU148" i="55" s="1"/>
  <c r="BO135" i="55"/>
  <c r="CU135" i="55" s="1"/>
  <c r="BO144" i="55"/>
  <c r="BO141" i="55"/>
  <c r="BO147" i="55"/>
  <c r="CU147" i="55" s="1"/>
  <c r="BO137" i="55"/>
  <c r="CU137" i="55" s="1"/>
  <c r="BO146" i="55"/>
  <c r="CU146" i="55" s="1"/>
  <c r="BO145" i="55"/>
  <c r="CU145" i="55" s="1"/>
  <c r="BO110" i="55"/>
  <c r="BO105" i="55"/>
  <c r="CU105" i="55" s="1"/>
  <c r="BO103" i="55"/>
  <c r="CU103" i="55" s="1"/>
  <c r="BO109" i="55"/>
  <c r="BO116" i="55"/>
  <c r="CU116" i="55" s="1"/>
  <c r="BO107" i="55"/>
  <c r="BO114" i="55"/>
  <c r="CU114" i="55" s="1"/>
  <c r="BO113" i="55"/>
  <c r="CU113" i="55" s="1"/>
  <c r="BO115" i="55"/>
  <c r="CU115" i="55" s="1"/>
  <c r="BO112" i="55"/>
  <c r="BO111" i="55"/>
  <c r="CU111" i="55" s="1"/>
  <c r="BO51" i="55"/>
  <c r="CU51" i="55" s="1"/>
  <c r="BO39" i="55"/>
  <c r="CU39" i="55" s="1"/>
  <c r="BO52" i="55"/>
  <c r="CU52" i="55" s="1"/>
  <c r="BO41" i="55"/>
  <c r="CU41" i="55" s="1"/>
  <c r="BO43" i="55"/>
  <c r="BO49" i="55"/>
  <c r="CU49" i="55" s="1"/>
  <c r="BO45" i="55"/>
  <c r="BO48" i="55"/>
  <c r="BO50" i="55"/>
  <c r="CU50" i="55" s="1"/>
  <c r="BO46" i="55"/>
  <c r="BO47" i="55"/>
  <c r="CU47" i="55" s="1"/>
  <c r="AI36" i="55"/>
  <c r="AI162" i="55"/>
  <c r="AI164" i="55" s="1"/>
  <c r="BO129" i="55"/>
  <c r="CU129" i="55" s="1"/>
  <c r="BO128" i="55"/>
  <c r="BO125" i="55"/>
  <c r="BO130" i="55"/>
  <c r="CU130" i="55" s="1"/>
  <c r="BO121" i="55"/>
  <c r="CU121" i="55" s="1"/>
  <c r="BO123" i="55"/>
  <c r="BO132" i="55"/>
  <c r="CU132" i="55" s="1"/>
  <c r="BO119" i="55"/>
  <c r="CU119" i="55" s="1"/>
  <c r="BO127" i="55"/>
  <c r="CU127" i="55" s="1"/>
  <c r="BO131" i="55"/>
  <c r="CU131" i="55" s="1"/>
  <c r="BO126" i="55"/>
  <c r="AI68" i="55"/>
  <c r="AI184" i="55"/>
  <c r="AI186" i="55" s="1"/>
  <c r="AH157" i="55"/>
  <c r="AM157" i="55" s="1"/>
  <c r="AH154" i="55"/>
  <c r="AM154" i="55" s="1"/>
  <c r="EM178" i="55"/>
  <c r="FC178" i="55" s="1"/>
  <c r="EL179" i="55"/>
  <c r="FD177" i="55" s="1"/>
  <c r="EM176" i="55"/>
  <c r="FA178" i="55" s="1"/>
  <c r="AH155" i="55"/>
  <c r="AM155" i="55" s="1"/>
  <c r="AH156" i="55"/>
  <c r="AM156" i="55" s="1"/>
  <c r="AH100" i="55"/>
  <c r="BN96" i="55" s="1"/>
  <c r="CT96" i="55" s="1"/>
  <c r="AH68" i="55"/>
  <c r="BN68" i="55" s="1"/>
  <c r="CT68" i="55" s="1"/>
  <c r="AH178" i="55"/>
  <c r="AM178" i="55" s="1"/>
  <c r="DM153" i="55"/>
  <c r="AH184" i="55"/>
  <c r="EL175" i="55"/>
  <c r="EZ177" i="55" s="1"/>
  <c r="AH177" i="55"/>
  <c r="AM177" i="55" s="1"/>
  <c r="AH176" i="55"/>
  <c r="AM176" i="55" s="1"/>
  <c r="AH132" i="55"/>
  <c r="BN130" i="55" s="1"/>
  <c r="EM175" i="55"/>
  <c r="EZ178" i="55" s="1"/>
  <c r="AH20" i="55"/>
  <c r="BN15" i="55" s="1"/>
  <c r="AM132" i="55"/>
  <c r="BS131" i="55" s="1"/>
  <c r="CY131" i="55" s="1"/>
  <c r="AM59" i="55"/>
  <c r="AM68" i="55" s="1"/>
  <c r="EL176" i="55"/>
  <c r="FA177" i="55" s="1"/>
  <c r="AH52" i="55"/>
  <c r="BN51" i="55" s="1"/>
  <c r="CT51" i="55" s="1"/>
  <c r="AM11" i="55"/>
  <c r="DM175" i="55"/>
  <c r="ES175" i="55" s="1"/>
  <c r="EZ184" i="55" s="1"/>
  <c r="AH148" i="55"/>
  <c r="BN141" i="55" s="1"/>
  <c r="DJ141" i="55" s="1"/>
  <c r="AH36" i="55"/>
  <c r="BN34" i="55" s="1"/>
  <c r="AH175" i="55"/>
  <c r="AH162" i="55"/>
  <c r="AM9" i="55"/>
  <c r="ES179" i="55"/>
  <c r="FD184" i="55" s="1"/>
  <c r="EJ77" i="55"/>
  <c r="FD73" i="55" s="1"/>
  <c r="AH153" i="55"/>
  <c r="AM100" i="55"/>
  <c r="BS98" i="55" s="1"/>
  <c r="CY98" i="55" s="1"/>
  <c r="EL177" i="55"/>
  <c r="FB177" i="55" s="1"/>
  <c r="EM177" i="55"/>
  <c r="FB178" i="55" s="1"/>
  <c r="EL178" i="55"/>
  <c r="FC177" i="55" s="1"/>
  <c r="ES177" i="55"/>
  <c r="FB184" i="55" s="1"/>
  <c r="AM148" i="55"/>
  <c r="BS137" i="55" s="1"/>
  <c r="CY137" i="55" s="1"/>
  <c r="EJ137" i="55"/>
  <c r="EZ137" i="55" s="1"/>
  <c r="EK138" i="55"/>
  <c r="FA138" i="55" s="1"/>
  <c r="EJ138" i="55"/>
  <c r="FA137" i="55" s="1"/>
  <c r="EK137" i="55"/>
  <c r="EZ138" i="55" s="1"/>
  <c r="ES178" i="55"/>
  <c r="FC184" i="55" s="1"/>
  <c r="BP181" i="55"/>
  <c r="CV181" i="55" s="1"/>
  <c r="BP186" i="55"/>
  <c r="CV186" i="55" s="1"/>
  <c r="BP185" i="55"/>
  <c r="CV185" i="55" s="1"/>
  <c r="BP183" i="55"/>
  <c r="BP180" i="55"/>
  <c r="BP177" i="55"/>
  <c r="BP179" i="55"/>
  <c r="BP163" i="55"/>
  <c r="CV163" i="55" s="1"/>
  <c r="BP162" i="55"/>
  <c r="CV162" i="55" s="1"/>
  <c r="BP184" i="55"/>
  <c r="CV184" i="55" s="1"/>
  <c r="BP182" i="55"/>
  <c r="CV182" i="55" s="1"/>
  <c r="BP164" i="55"/>
  <c r="CV164" i="55" s="1"/>
  <c r="BP160" i="55"/>
  <c r="CV160" i="55" s="1"/>
  <c r="BP161" i="55"/>
  <c r="BP155" i="55"/>
  <c r="BP153" i="55"/>
  <c r="CV153" i="55" s="1"/>
  <c r="BP157" i="55"/>
  <c r="BP159" i="55"/>
  <c r="CV159" i="55" s="1"/>
  <c r="BP158" i="55"/>
  <c r="BP175" i="55"/>
  <c r="CV175" i="55" s="1"/>
  <c r="BP151" i="55"/>
  <c r="CV151" i="55" s="1"/>
  <c r="BP173" i="55"/>
  <c r="CV173" i="55" s="1"/>
  <c r="EK9" i="55"/>
  <c r="EZ10" i="55" s="1"/>
  <c r="EJ9" i="55"/>
  <c r="EZ9" i="55" s="1"/>
  <c r="EK10" i="55"/>
  <c r="FA10" i="55" s="1"/>
  <c r="EJ10" i="55"/>
  <c r="FA9" i="55" s="1"/>
  <c r="CV97" i="55"/>
  <c r="DL97" i="55"/>
  <c r="ER98" i="55" s="1"/>
  <c r="FJ97" i="55" s="1"/>
  <c r="CV81" i="55"/>
  <c r="DL81" i="55"/>
  <c r="CN175" i="55"/>
  <c r="DD175" i="55"/>
  <c r="EJ13" i="55"/>
  <c r="FD9" i="55" s="1"/>
  <c r="BN83" i="55"/>
  <c r="CT83" i="55" s="1"/>
  <c r="BN77" i="55"/>
  <c r="DJ77" i="55" s="1"/>
  <c r="CV17" i="55"/>
  <c r="DL17" i="55"/>
  <c r="CV82" i="55"/>
  <c r="DL82" i="55"/>
  <c r="EK74" i="55"/>
  <c r="FA74" i="55" s="1"/>
  <c r="EJ74" i="55"/>
  <c r="FA73" i="55" s="1"/>
  <c r="EK73" i="55"/>
  <c r="EZ74" i="55" s="1"/>
  <c r="EJ73" i="55"/>
  <c r="EZ73" i="55" s="1"/>
  <c r="ES9" i="55"/>
  <c r="EZ18" i="55" s="1"/>
  <c r="ES10" i="55"/>
  <c r="FA18" i="55" s="1"/>
  <c r="CL173" i="55"/>
  <c r="DB173" i="55"/>
  <c r="CN153" i="55"/>
  <c r="DD153" i="55"/>
  <c r="CN173" i="55"/>
  <c r="DD173" i="55"/>
  <c r="EK179" i="55" s="1"/>
  <c r="FD176" i="55" s="1"/>
  <c r="CV145" i="55"/>
  <c r="DL145" i="55"/>
  <c r="CL151" i="55"/>
  <c r="DB151" i="55"/>
  <c r="CN151" i="55"/>
  <c r="DD151" i="55"/>
  <c r="CV113" i="55"/>
  <c r="DL113" i="55"/>
  <c r="ER114" i="55" s="1"/>
  <c r="FJ113" i="55" s="1"/>
  <c r="CV49" i="55" l="1"/>
  <c r="DL49" i="55"/>
  <c r="ER50" i="55" s="1"/>
  <c r="FJ49" i="55" s="1"/>
  <c r="ER146" i="55"/>
  <c r="FJ145" i="55" s="1"/>
  <c r="BN103" i="55"/>
  <c r="CT103" i="55" s="1"/>
  <c r="CT130" i="55"/>
  <c r="DJ130" i="55"/>
  <c r="CT34" i="55"/>
  <c r="DJ34" i="55"/>
  <c r="ER130" i="55"/>
  <c r="FJ129" i="55" s="1"/>
  <c r="BN78" i="55"/>
  <c r="BN121" i="55"/>
  <c r="CT121" i="55" s="1"/>
  <c r="BN36" i="55"/>
  <c r="CT36" i="55" s="1"/>
  <c r="BN50" i="55"/>
  <c r="BS49" i="55"/>
  <c r="CY49" i="55" s="1"/>
  <c r="BS41" i="55"/>
  <c r="CY41" i="55" s="1"/>
  <c r="BS94" i="55"/>
  <c r="BN105" i="55"/>
  <c r="CT105" i="55" s="1"/>
  <c r="BN116" i="55"/>
  <c r="CT116" i="55" s="1"/>
  <c r="BN113" i="55"/>
  <c r="CT113" i="55" s="1"/>
  <c r="BN111" i="55"/>
  <c r="BN115" i="55"/>
  <c r="CT115" i="55" s="1"/>
  <c r="BN110" i="55"/>
  <c r="BN107" i="55"/>
  <c r="DJ107" i="55" s="1"/>
  <c r="BN114" i="55"/>
  <c r="BN109" i="55"/>
  <c r="DJ109" i="55" s="1"/>
  <c r="BN89" i="55"/>
  <c r="CT89" i="55" s="1"/>
  <c r="BN71" i="55"/>
  <c r="CT71" i="55" s="1"/>
  <c r="BN82" i="55"/>
  <c r="BN79" i="55"/>
  <c r="CT79" i="55" s="1"/>
  <c r="BN123" i="55"/>
  <c r="DJ123" i="55" s="1"/>
  <c r="BN80" i="55"/>
  <c r="CT80" i="55" s="1"/>
  <c r="BN132" i="55"/>
  <c r="CT132" i="55" s="1"/>
  <c r="BN81" i="55"/>
  <c r="CT81" i="55" s="1"/>
  <c r="BN75" i="55"/>
  <c r="DJ75" i="55" s="1"/>
  <c r="AM184" i="55"/>
  <c r="BN73" i="55"/>
  <c r="BS45" i="55"/>
  <c r="BS39" i="55"/>
  <c r="CY39" i="55" s="1"/>
  <c r="BS46" i="55"/>
  <c r="BN11" i="55"/>
  <c r="DJ11" i="55" s="1"/>
  <c r="BS50" i="55"/>
  <c r="CY50" i="55" s="1"/>
  <c r="BS47" i="55"/>
  <c r="CY47" i="55" s="1"/>
  <c r="BN14" i="55"/>
  <c r="BS48" i="55"/>
  <c r="CY48" i="55" s="1"/>
  <c r="BS51" i="55"/>
  <c r="CY51" i="55" s="1"/>
  <c r="BN55" i="55"/>
  <c r="CT55" i="55" s="1"/>
  <c r="BS43" i="55"/>
  <c r="BS52" i="55"/>
  <c r="CY52" i="55" s="1"/>
  <c r="BN33" i="55"/>
  <c r="CT33" i="55" s="1"/>
  <c r="BN48" i="55"/>
  <c r="CT48" i="55" s="1"/>
  <c r="AM162" i="55"/>
  <c r="BN43" i="55"/>
  <c r="DJ43" i="55" s="1"/>
  <c r="BN49" i="55"/>
  <c r="CT49" i="55" s="1"/>
  <c r="BN41" i="55"/>
  <c r="CT41" i="55" s="1"/>
  <c r="BS125" i="55"/>
  <c r="BN39" i="55"/>
  <c r="CT39" i="55" s="1"/>
  <c r="BN45" i="55"/>
  <c r="DJ45" i="55" s="1"/>
  <c r="BN46" i="55"/>
  <c r="BN52" i="55"/>
  <c r="CT52" i="55" s="1"/>
  <c r="CU16" i="55"/>
  <c r="DK16" i="55"/>
  <c r="BN47" i="55"/>
  <c r="CT47" i="55" s="1"/>
  <c r="CU128" i="55"/>
  <c r="DK128" i="55"/>
  <c r="EQ130" i="55" s="1"/>
  <c r="FJ128" i="55" s="1"/>
  <c r="CU112" i="55"/>
  <c r="DK112" i="55"/>
  <c r="EQ114" i="55" s="1"/>
  <c r="FJ112" i="55" s="1"/>
  <c r="BO185" i="55"/>
  <c r="CU185" i="55" s="1"/>
  <c r="BO162" i="55"/>
  <c r="CU162" i="55" s="1"/>
  <c r="BO158" i="55"/>
  <c r="BO183" i="55"/>
  <c r="CU183" i="55" s="1"/>
  <c r="BO164" i="55"/>
  <c r="CU164" i="55" s="1"/>
  <c r="BO160" i="55"/>
  <c r="BO180" i="55"/>
  <c r="BO155" i="55"/>
  <c r="BO177" i="55"/>
  <c r="BO153" i="55"/>
  <c r="CU153" i="55" s="1"/>
  <c r="BO184" i="55"/>
  <c r="CU184" i="55" s="1"/>
  <c r="BO179" i="55"/>
  <c r="BO151" i="55"/>
  <c r="CU151" i="55" s="1"/>
  <c r="BO181" i="55"/>
  <c r="CU181" i="55" s="1"/>
  <c r="BO175" i="55"/>
  <c r="CU175" i="55" s="1"/>
  <c r="BO161" i="55"/>
  <c r="CU161" i="55" s="1"/>
  <c r="BO186" i="55"/>
  <c r="CU186" i="55" s="1"/>
  <c r="BO173" i="55"/>
  <c r="CU173" i="55" s="1"/>
  <c r="BO157" i="55"/>
  <c r="BO182" i="55"/>
  <c r="BO163" i="55"/>
  <c r="CU163" i="55" s="1"/>
  <c r="BO159" i="55"/>
  <c r="CU159" i="55" s="1"/>
  <c r="BO27" i="55"/>
  <c r="BO23" i="55"/>
  <c r="CU23" i="55" s="1"/>
  <c r="BO32" i="55"/>
  <c r="BO25" i="55"/>
  <c r="CU25" i="55" s="1"/>
  <c r="BO34" i="55"/>
  <c r="CU34" i="55" s="1"/>
  <c r="BO35" i="55"/>
  <c r="CU35" i="55" s="1"/>
  <c r="BO31" i="55"/>
  <c r="CU31" i="55" s="1"/>
  <c r="BO30" i="55"/>
  <c r="BO36" i="55"/>
  <c r="CU36" i="55" s="1"/>
  <c r="BO33" i="55"/>
  <c r="CU33" i="55" s="1"/>
  <c r="BO29" i="55"/>
  <c r="CU82" i="55"/>
  <c r="DK82" i="55"/>
  <c r="AM20" i="55"/>
  <c r="BS16" i="55" s="1"/>
  <c r="CY16" i="55" s="1"/>
  <c r="CU80" i="55"/>
  <c r="DK80" i="55"/>
  <c r="BO68" i="55"/>
  <c r="CU68" i="55" s="1"/>
  <c r="BO61" i="55"/>
  <c r="BO64" i="55"/>
  <c r="CU64" i="55" s="1"/>
  <c r="BO57" i="55"/>
  <c r="CU57" i="55" s="1"/>
  <c r="BO66" i="55"/>
  <c r="CU66" i="55" s="1"/>
  <c r="BO65" i="55"/>
  <c r="CU65" i="55" s="1"/>
  <c r="BO67" i="55"/>
  <c r="CU67" i="55" s="1"/>
  <c r="BO59" i="55"/>
  <c r="BO63" i="55"/>
  <c r="CU63" i="55" s="1"/>
  <c r="BO62" i="55"/>
  <c r="BO55" i="55"/>
  <c r="CU55" i="55" s="1"/>
  <c r="CU48" i="55"/>
  <c r="DK48" i="55"/>
  <c r="EQ50" i="55" s="1"/>
  <c r="FJ48" i="55" s="1"/>
  <c r="CU144" i="55"/>
  <c r="DK144" i="55"/>
  <c r="EQ146" i="55" s="1"/>
  <c r="FJ144" i="55" s="1"/>
  <c r="BS66" i="55"/>
  <c r="CY66" i="55" s="1"/>
  <c r="BS64" i="55"/>
  <c r="CY64" i="55" s="1"/>
  <c r="BN125" i="55"/>
  <c r="DJ125" i="55" s="1"/>
  <c r="BS103" i="55"/>
  <c r="CY103" i="55" s="1"/>
  <c r="BS107" i="55"/>
  <c r="BS33" i="55"/>
  <c r="CY33" i="55" s="1"/>
  <c r="BS113" i="55"/>
  <c r="CY113" i="55" s="1"/>
  <c r="BS36" i="55"/>
  <c r="CY36" i="55" s="1"/>
  <c r="BN93" i="55"/>
  <c r="DJ93" i="55" s="1"/>
  <c r="BS115" i="55"/>
  <c r="CY115" i="55" s="1"/>
  <c r="BS105" i="55"/>
  <c r="CY105" i="55" s="1"/>
  <c r="BN63" i="55"/>
  <c r="CT63" i="55" s="1"/>
  <c r="BN100" i="55"/>
  <c r="CT100" i="55" s="1"/>
  <c r="BN129" i="55"/>
  <c r="CT129" i="55" s="1"/>
  <c r="BN128" i="55"/>
  <c r="CT128" i="55" s="1"/>
  <c r="BS111" i="55"/>
  <c r="CY111" i="55" s="1"/>
  <c r="BS109" i="55"/>
  <c r="BN67" i="55"/>
  <c r="CT67" i="55" s="1"/>
  <c r="BN94" i="55"/>
  <c r="BN131" i="55"/>
  <c r="CT131" i="55" s="1"/>
  <c r="BN62" i="55"/>
  <c r="BS116" i="55"/>
  <c r="CY116" i="55" s="1"/>
  <c r="BN65" i="55"/>
  <c r="CT65" i="55" s="1"/>
  <c r="BN66" i="55"/>
  <c r="CT66" i="55" s="1"/>
  <c r="BN95" i="55"/>
  <c r="DJ95" i="55" s="1"/>
  <c r="BN126" i="55"/>
  <c r="ES176" i="55"/>
  <c r="FA184" i="55" s="1"/>
  <c r="BS110" i="55"/>
  <c r="BN57" i="55"/>
  <c r="CT57" i="55" s="1"/>
  <c r="BN64" i="55"/>
  <c r="CT64" i="55" s="1"/>
  <c r="BN91" i="55"/>
  <c r="DJ91" i="55" s="1"/>
  <c r="BN99" i="55"/>
  <c r="CT99" i="55" s="1"/>
  <c r="BN127" i="55"/>
  <c r="CT127" i="55" s="1"/>
  <c r="BS114" i="55"/>
  <c r="CY114" i="55" s="1"/>
  <c r="BN61" i="55"/>
  <c r="DJ61" i="55" s="1"/>
  <c r="EP61" i="55" s="1"/>
  <c r="FD63" i="55" s="1"/>
  <c r="BN59" i="55"/>
  <c r="DJ59" i="55" s="1"/>
  <c r="EP59" i="55" s="1"/>
  <c r="FB63" i="55" s="1"/>
  <c r="BN97" i="55"/>
  <c r="CT97" i="55" s="1"/>
  <c r="BN98" i="55"/>
  <c r="BN119" i="55"/>
  <c r="CT119" i="55" s="1"/>
  <c r="BN87" i="55"/>
  <c r="CT87" i="55" s="1"/>
  <c r="AH164" i="55"/>
  <c r="BN175" i="55" s="1"/>
  <c r="BN23" i="55"/>
  <c r="CT23" i="55" s="1"/>
  <c r="BS123" i="55"/>
  <c r="BN32" i="55"/>
  <c r="CT32" i="55" s="1"/>
  <c r="BN144" i="55"/>
  <c r="CT144" i="55" s="1"/>
  <c r="AH186" i="55"/>
  <c r="BS121" i="55"/>
  <c r="CY121" i="55" s="1"/>
  <c r="BN27" i="55"/>
  <c r="DJ27" i="55" s="1"/>
  <c r="BS96" i="55"/>
  <c r="CY96" i="55" s="1"/>
  <c r="BS129" i="55"/>
  <c r="CY129" i="55" s="1"/>
  <c r="BS91" i="55"/>
  <c r="BS130" i="55"/>
  <c r="CY130" i="55" s="1"/>
  <c r="BN30" i="55"/>
  <c r="BN29" i="55"/>
  <c r="DJ29" i="55" s="1"/>
  <c r="BN19" i="55"/>
  <c r="CT19" i="55" s="1"/>
  <c r="BS97" i="55"/>
  <c r="CY97" i="55" s="1"/>
  <c r="BS126" i="55"/>
  <c r="BS128" i="55"/>
  <c r="CY128" i="55" s="1"/>
  <c r="BN31" i="55"/>
  <c r="CT31" i="55" s="1"/>
  <c r="BN25" i="55"/>
  <c r="DJ25" i="55" s="1"/>
  <c r="BS127" i="55"/>
  <c r="CY127" i="55" s="1"/>
  <c r="BS132" i="55"/>
  <c r="CY132" i="55" s="1"/>
  <c r="BN35" i="55"/>
  <c r="CT35" i="55" s="1"/>
  <c r="BN139" i="55"/>
  <c r="DJ139" i="55" s="1"/>
  <c r="BS119" i="55"/>
  <c r="CY119" i="55" s="1"/>
  <c r="BN148" i="55"/>
  <c r="CT148" i="55" s="1"/>
  <c r="BS23" i="55"/>
  <c r="CY23" i="55" s="1"/>
  <c r="BS30" i="55"/>
  <c r="BN16" i="55"/>
  <c r="CT16" i="55" s="1"/>
  <c r="BN20" i="55"/>
  <c r="CT20" i="55" s="1"/>
  <c r="BN142" i="55"/>
  <c r="BS34" i="55"/>
  <c r="CY34" i="55" s="1"/>
  <c r="BS31" i="55"/>
  <c r="CY31" i="55" s="1"/>
  <c r="BN18" i="55"/>
  <c r="BN145" i="55"/>
  <c r="CT145" i="55" s="1"/>
  <c r="BS32" i="55"/>
  <c r="CY32" i="55" s="1"/>
  <c r="BS35" i="55"/>
  <c r="CY35" i="55" s="1"/>
  <c r="BN7" i="55"/>
  <c r="CT7" i="55" s="1"/>
  <c r="BN137" i="55"/>
  <c r="DJ137" i="55" s="1"/>
  <c r="BN146" i="55"/>
  <c r="BS27" i="55"/>
  <c r="BN9" i="55"/>
  <c r="CT9" i="55" s="1"/>
  <c r="BN135" i="55"/>
  <c r="CT135" i="55" s="1"/>
  <c r="BN147" i="55"/>
  <c r="CT147" i="55" s="1"/>
  <c r="AM175" i="55"/>
  <c r="BS25" i="55"/>
  <c r="CY25" i="55" s="1"/>
  <c r="BS59" i="55"/>
  <c r="BN13" i="55"/>
  <c r="DJ13" i="55" s="1"/>
  <c r="BN143" i="55"/>
  <c r="CT143" i="55" s="1"/>
  <c r="BN17" i="55"/>
  <c r="CT17" i="55" s="1"/>
  <c r="BS89" i="55"/>
  <c r="CY89" i="55" s="1"/>
  <c r="BS71" i="55"/>
  <c r="CY71" i="55" s="1"/>
  <c r="BS99" i="55"/>
  <c r="CY99" i="55" s="1"/>
  <c r="BS83" i="55"/>
  <c r="CY83" i="55" s="1"/>
  <c r="AM153" i="55"/>
  <c r="BS100" i="55"/>
  <c r="CY100" i="55" s="1"/>
  <c r="BS93" i="55"/>
  <c r="BS145" i="55"/>
  <c r="CY145" i="55" s="1"/>
  <c r="BS87" i="55"/>
  <c r="CY87" i="55" s="1"/>
  <c r="BS95" i="55"/>
  <c r="CY95" i="55" s="1"/>
  <c r="BS139" i="55"/>
  <c r="BS147" i="55"/>
  <c r="CY147" i="55" s="1"/>
  <c r="BS79" i="55"/>
  <c r="CY79" i="55" s="1"/>
  <c r="BS84" i="55"/>
  <c r="CY84" i="55" s="1"/>
  <c r="BS141" i="55"/>
  <c r="BS143" i="55"/>
  <c r="CY143" i="55" s="1"/>
  <c r="BS80" i="55"/>
  <c r="CY80" i="55" s="1"/>
  <c r="BS135" i="55"/>
  <c r="CY135" i="55" s="1"/>
  <c r="BS148" i="55"/>
  <c r="CY148" i="55" s="1"/>
  <c r="BS81" i="55"/>
  <c r="CY81" i="55" s="1"/>
  <c r="BS142" i="55"/>
  <c r="BS75" i="55"/>
  <c r="BS82" i="55"/>
  <c r="CY82" i="55" s="1"/>
  <c r="BS144" i="55"/>
  <c r="CY144" i="55" s="1"/>
  <c r="BS73" i="55"/>
  <c r="CY73" i="55" s="1"/>
  <c r="BS146" i="55"/>
  <c r="CY146" i="55" s="1"/>
  <c r="BS78" i="55"/>
  <c r="BS65" i="55"/>
  <c r="CY65" i="55" s="1"/>
  <c r="BS55" i="55"/>
  <c r="CY55" i="55" s="1"/>
  <c r="BS57" i="55"/>
  <c r="CY57" i="55" s="1"/>
  <c r="BS62" i="55"/>
  <c r="BS61" i="55"/>
  <c r="ER82" i="55"/>
  <c r="FJ81" i="55" s="1"/>
  <c r="BS63" i="55"/>
  <c r="CY63" i="55" s="1"/>
  <c r="BS68" i="55"/>
  <c r="CY68" i="55" s="1"/>
  <c r="BS67" i="55"/>
  <c r="CY67" i="55" s="1"/>
  <c r="CT15" i="55"/>
  <c r="DJ15" i="55"/>
  <c r="ER7" i="55"/>
  <c r="EX17" i="55" s="1"/>
  <c r="ER15" i="55"/>
  <c r="FG17" i="55" s="1"/>
  <c r="ER8" i="55"/>
  <c r="EY17" i="55" s="1"/>
  <c r="ER11" i="55"/>
  <c r="FB17" i="55" s="1"/>
  <c r="ER18" i="55"/>
  <c r="FJ17" i="55" s="1"/>
  <c r="ER12" i="55"/>
  <c r="FC17" i="55" s="1"/>
  <c r="ER13" i="55"/>
  <c r="FD17" i="55" s="1"/>
  <c r="ER9" i="55"/>
  <c r="EZ17" i="55" s="1"/>
  <c r="ER10" i="55"/>
  <c r="FA17" i="55" s="1"/>
  <c r="CV161" i="55"/>
  <c r="DL161" i="55"/>
  <c r="BS15" i="55"/>
  <c r="CY15" i="55" s="1"/>
  <c r="EJ179" i="55"/>
  <c r="FD175" i="55" s="1"/>
  <c r="CV183" i="55"/>
  <c r="DL183" i="55"/>
  <c r="ER184" i="55" s="1"/>
  <c r="FJ183" i="55" s="1"/>
  <c r="EJ176" i="55"/>
  <c r="FA175" i="55" s="1"/>
  <c r="EK176" i="55"/>
  <c r="FA176" i="55" s="1"/>
  <c r="EK175" i="55"/>
  <c r="EZ176" i="55" s="1"/>
  <c r="EJ175" i="55"/>
  <c r="EZ175" i="55" s="1"/>
  <c r="CT111" i="55"/>
  <c r="DJ111" i="55"/>
  <c r="CT73" i="55"/>
  <c r="DJ73" i="55"/>
  <c r="T61" i="8"/>
  <c r="S61" i="8"/>
  <c r="I56" i="8"/>
  <c r="I49" i="8"/>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80" i="9"/>
  <c r="G54" i="9"/>
  <c r="G55" i="9"/>
  <c r="G56" i="9"/>
  <c r="G57" i="9"/>
  <c r="G58" i="9"/>
  <c r="G59" i="9"/>
  <c r="G60" i="9"/>
  <c r="G61" i="9"/>
  <c r="G62" i="9"/>
  <c r="G63" i="9"/>
  <c r="G64" i="9"/>
  <c r="G65" i="9"/>
  <c r="G66" i="9"/>
  <c r="G67" i="9"/>
  <c r="G68" i="9"/>
  <c r="G69" i="9"/>
  <c r="G70" i="9"/>
  <c r="G71" i="9"/>
  <c r="G72" i="9"/>
  <c r="G73" i="9"/>
  <c r="G74" i="9"/>
  <c r="G75" i="9"/>
  <c r="G76" i="9"/>
  <c r="G77" i="9"/>
  <c r="G53" i="9"/>
  <c r="G38" i="9"/>
  <c r="G39" i="9"/>
  <c r="G40" i="9"/>
  <c r="G41" i="9"/>
  <c r="G42" i="9"/>
  <c r="G43" i="9"/>
  <c r="G44" i="9"/>
  <c r="G45" i="9"/>
  <c r="G46" i="9"/>
  <c r="G47" i="9"/>
  <c r="G48" i="9"/>
  <c r="G49" i="9"/>
  <c r="G50" i="9"/>
  <c r="G37" i="9"/>
  <c r="A82" i="9"/>
  <c r="A81" i="9"/>
  <c r="A80" i="9"/>
  <c r="A79" i="9"/>
  <c r="A78" i="9"/>
  <c r="A77" i="9"/>
  <c r="A76" i="9"/>
  <c r="A75" i="9"/>
  <c r="A74" i="9"/>
  <c r="A73" i="9"/>
  <c r="A72" i="9"/>
  <c r="A71" i="9"/>
  <c r="A70" i="9"/>
  <c r="A69" i="9"/>
  <c r="A68"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D51" i="8" l="1"/>
  <c r="C51" i="8"/>
  <c r="G51" i="8"/>
  <c r="BS20" i="55"/>
  <c r="CY20" i="55" s="1"/>
  <c r="BS18" i="55"/>
  <c r="CY18" i="55" s="1"/>
  <c r="E50" i="8"/>
  <c r="E53" i="8" s="1"/>
  <c r="C52" i="8"/>
  <c r="DJ121" i="55"/>
  <c r="F50" i="8"/>
  <c r="F51" i="8"/>
  <c r="H51" i="8" s="1"/>
  <c r="H58" i="8" s="1"/>
  <c r="CT82" i="55"/>
  <c r="DJ82" i="55"/>
  <c r="CT146" i="55"/>
  <c r="DJ146" i="55"/>
  <c r="E52" i="8"/>
  <c r="CT98" i="55"/>
  <c r="DJ98" i="55"/>
  <c r="EP98" i="55" s="1"/>
  <c r="FJ95" i="55" s="1"/>
  <c r="CT50" i="55"/>
  <c r="DJ50" i="55"/>
  <c r="C50" i="8"/>
  <c r="E51" i="8"/>
  <c r="DJ41" i="55"/>
  <c r="G52" i="8"/>
  <c r="D50" i="8"/>
  <c r="D52" i="8"/>
  <c r="G50" i="8"/>
  <c r="CT114" i="55"/>
  <c r="DJ114" i="55"/>
  <c r="EP114" i="55" s="1"/>
  <c r="FJ111" i="55" s="1"/>
  <c r="F52" i="8"/>
  <c r="CT18" i="55"/>
  <c r="DJ18" i="55"/>
  <c r="EP18" i="55" s="1"/>
  <c r="FJ15" i="55" s="1"/>
  <c r="DJ105" i="55"/>
  <c r="EP106" i="55" s="1"/>
  <c r="FA111" i="55" s="1"/>
  <c r="DJ79" i="55"/>
  <c r="DJ89" i="55"/>
  <c r="EP90" i="55" s="1"/>
  <c r="FA95" i="55" s="1"/>
  <c r="AM186" i="55"/>
  <c r="CT25" i="55"/>
  <c r="AM164" i="55"/>
  <c r="BS177" i="55" s="1"/>
  <c r="DJ57" i="55"/>
  <c r="EP57" i="55" s="1"/>
  <c r="EZ63" i="55" s="1"/>
  <c r="DJ31" i="55"/>
  <c r="EP34" i="55" s="1"/>
  <c r="FJ31" i="55" s="1"/>
  <c r="BS13" i="55"/>
  <c r="EP13" i="55"/>
  <c r="FD15" i="55" s="1"/>
  <c r="DJ47" i="55"/>
  <c r="EP50" i="55" s="1"/>
  <c r="FJ47" i="55" s="1"/>
  <c r="BS19" i="55"/>
  <c r="CY19" i="55" s="1"/>
  <c r="EQ10" i="55"/>
  <c r="FA16" i="55" s="1"/>
  <c r="EQ12" i="55"/>
  <c r="FC16" i="55" s="1"/>
  <c r="EQ13" i="55"/>
  <c r="FD16" i="55" s="1"/>
  <c r="EQ15" i="55"/>
  <c r="FG16" i="55" s="1"/>
  <c r="EQ18" i="55"/>
  <c r="FJ16" i="55" s="1"/>
  <c r="EQ9" i="55"/>
  <c r="EZ16" i="55" s="1"/>
  <c r="EQ11" i="55"/>
  <c r="FB16" i="55" s="1"/>
  <c r="BS11" i="55"/>
  <c r="BS17" i="55"/>
  <c r="CY17" i="55" s="1"/>
  <c r="BS7" i="55"/>
  <c r="CY7" i="55" s="1"/>
  <c r="BS14" i="55"/>
  <c r="BS9" i="55"/>
  <c r="CY9" i="55" s="1"/>
  <c r="DK182" i="55"/>
  <c r="EQ184" i="55" s="1"/>
  <c r="FJ182" i="55" s="1"/>
  <c r="CU182" i="55"/>
  <c r="EQ82" i="55"/>
  <c r="FJ80" i="55" s="1"/>
  <c r="CU32" i="55"/>
  <c r="DK32" i="55"/>
  <c r="EQ34" i="55" s="1"/>
  <c r="FJ32" i="55" s="1"/>
  <c r="CU160" i="55"/>
  <c r="DK160" i="55"/>
  <c r="EP60" i="55"/>
  <c r="FC63" i="55" s="1"/>
  <c r="BN160" i="55"/>
  <c r="CT160" i="55" s="1"/>
  <c r="CT95" i="55"/>
  <c r="BN177" i="55"/>
  <c r="DJ177" i="55" s="1"/>
  <c r="DJ127" i="55"/>
  <c r="BN164" i="55"/>
  <c r="CT164" i="55" s="1"/>
  <c r="BN179" i="55"/>
  <c r="DJ179" i="55" s="1"/>
  <c r="BN183" i="55"/>
  <c r="CT183" i="55" s="1"/>
  <c r="CT137" i="55"/>
  <c r="BN159" i="55"/>
  <c r="CT159" i="55" s="1"/>
  <c r="BN181" i="55"/>
  <c r="CT181" i="55" s="1"/>
  <c r="BN185" i="55"/>
  <c r="BN151" i="55"/>
  <c r="CT151" i="55" s="1"/>
  <c r="BN163" i="55"/>
  <c r="CT163" i="55" s="1"/>
  <c r="BN186" i="55"/>
  <c r="CT186" i="55" s="1"/>
  <c r="BN157" i="55"/>
  <c r="DJ157" i="55" s="1"/>
  <c r="BN180" i="55"/>
  <c r="BN153" i="55"/>
  <c r="CT153" i="55" s="1"/>
  <c r="BN173" i="55"/>
  <c r="CT173" i="55" s="1"/>
  <c r="BN184" i="55"/>
  <c r="DJ143" i="55"/>
  <c r="BN158" i="55"/>
  <c r="BN161" i="55"/>
  <c r="CT161" i="55" s="1"/>
  <c r="BN162" i="55"/>
  <c r="BN182" i="55"/>
  <c r="CT182" i="55" s="1"/>
  <c r="EP107" i="55"/>
  <c r="FB111" i="55" s="1"/>
  <c r="BN155" i="55"/>
  <c r="DJ155" i="55" s="1"/>
  <c r="EP109" i="55"/>
  <c r="FD111" i="55" s="1"/>
  <c r="DJ9" i="55"/>
  <c r="EP10" i="55" s="1"/>
  <c r="FA15" i="55" s="1"/>
  <c r="EP11" i="55"/>
  <c r="FB15" i="55" s="1"/>
  <c r="EP12" i="55"/>
  <c r="FC15" i="55" s="1"/>
  <c r="EP93" i="55"/>
  <c r="FD95" i="55" s="1"/>
  <c r="EP92" i="55"/>
  <c r="FC95" i="55" s="1"/>
  <c r="EP108" i="55"/>
  <c r="FC111" i="55" s="1"/>
  <c r="EP91" i="55"/>
  <c r="FB95" i="55" s="1"/>
  <c r="CT175" i="55"/>
  <c r="DJ175" i="55"/>
  <c r="O51" i="8"/>
  <c r="L50" i="8"/>
  <c r="M52" i="8"/>
  <c r="K51" i="8"/>
  <c r="L52" i="8"/>
  <c r="K50" i="8"/>
  <c r="M51" i="8"/>
  <c r="O50" i="8"/>
  <c r="L51" i="8"/>
  <c r="N50" i="8"/>
  <c r="K52" i="8"/>
  <c r="M50" i="8"/>
  <c r="O52" i="8"/>
  <c r="N51" i="8"/>
  <c r="N52" i="8"/>
  <c r="FJ185" i="52"/>
  <c r="FI185" i="52"/>
  <c r="FH185" i="52"/>
  <c r="FG185" i="52"/>
  <c r="FE185" i="52"/>
  <c r="FD185" i="52"/>
  <c r="FC185" i="52"/>
  <c r="FB185" i="52"/>
  <c r="FA185" i="52"/>
  <c r="EZ185" i="52"/>
  <c r="EY185" i="52"/>
  <c r="EX185" i="52"/>
  <c r="FJ184" i="52"/>
  <c r="FI184" i="52"/>
  <c r="FH184" i="52"/>
  <c r="FG184" i="52"/>
  <c r="FE184" i="52"/>
  <c r="EY184" i="52"/>
  <c r="EX184" i="52"/>
  <c r="FI183" i="52"/>
  <c r="FH183" i="52"/>
  <c r="FG183" i="52"/>
  <c r="FE183" i="52"/>
  <c r="FD183" i="52"/>
  <c r="FC183" i="52"/>
  <c r="FB183" i="52"/>
  <c r="FA183" i="52"/>
  <c r="EZ183" i="52"/>
  <c r="EY183" i="52"/>
  <c r="EX183" i="52"/>
  <c r="FI182" i="52"/>
  <c r="FH182" i="52"/>
  <c r="FG182" i="52"/>
  <c r="FE182" i="52"/>
  <c r="FD182" i="52"/>
  <c r="FC182" i="52"/>
  <c r="FB182" i="52"/>
  <c r="FA182" i="52"/>
  <c r="EZ182" i="52"/>
  <c r="EY182" i="52"/>
  <c r="EX182" i="52"/>
  <c r="FI181" i="52"/>
  <c r="FH181" i="52"/>
  <c r="FG181" i="52"/>
  <c r="FE181" i="52"/>
  <c r="EY181" i="52"/>
  <c r="EX181" i="52"/>
  <c r="FJ180" i="52"/>
  <c r="FI180" i="52"/>
  <c r="FH180" i="52"/>
  <c r="FG180" i="52"/>
  <c r="FE180" i="52"/>
  <c r="FD180" i="52"/>
  <c r="FC180" i="52"/>
  <c r="FB180" i="52"/>
  <c r="FA180" i="52"/>
  <c r="EZ180" i="52"/>
  <c r="EY180" i="52"/>
  <c r="EX180" i="52"/>
  <c r="FJ179" i="52"/>
  <c r="FI179" i="52"/>
  <c r="FH179" i="52"/>
  <c r="FG179" i="52"/>
  <c r="FE179" i="52"/>
  <c r="FD179" i="52"/>
  <c r="FC179" i="52"/>
  <c r="FB179" i="52"/>
  <c r="FA179" i="52"/>
  <c r="EZ179" i="52"/>
  <c r="EY179" i="52"/>
  <c r="EX179" i="52"/>
  <c r="FJ178" i="52"/>
  <c r="FI178" i="52"/>
  <c r="FH178" i="52"/>
  <c r="FG178" i="52"/>
  <c r="FE178" i="52"/>
  <c r="EY178" i="52"/>
  <c r="EX178" i="52"/>
  <c r="FJ177" i="52"/>
  <c r="FI177" i="52"/>
  <c r="FH177" i="52"/>
  <c r="FG177" i="52"/>
  <c r="FE177" i="52"/>
  <c r="EY177" i="52"/>
  <c r="EX177" i="52"/>
  <c r="FJ176" i="52"/>
  <c r="FI176" i="52"/>
  <c r="FH176" i="52"/>
  <c r="FG176" i="52"/>
  <c r="FE176" i="52"/>
  <c r="FC176" i="52"/>
  <c r="FB176" i="52"/>
  <c r="EY176" i="52"/>
  <c r="EX176" i="52"/>
  <c r="FJ175" i="52"/>
  <c r="FI175" i="52"/>
  <c r="FH175" i="52"/>
  <c r="FG175" i="52"/>
  <c r="FE175" i="52"/>
  <c r="FC175" i="52"/>
  <c r="FB175" i="52"/>
  <c r="EY175" i="52"/>
  <c r="EX175" i="52"/>
  <c r="FJ174" i="52"/>
  <c r="FI174" i="52"/>
  <c r="FH174" i="52"/>
  <c r="FG174" i="52"/>
  <c r="FE174" i="52"/>
  <c r="FD174" i="52"/>
  <c r="FC174" i="52"/>
  <c r="FB174" i="52"/>
  <c r="FA174" i="52"/>
  <c r="EZ174" i="52"/>
  <c r="EY174" i="52"/>
  <c r="EX174" i="52"/>
  <c r="FJ173" i="52"/>
  <c r="FI173" i="52"/>
  <c r="FH173" i="52"/>
  <c r="FG173" i="52"/>
  <c r="FE173" i="52"/>
  <c r="FD173" i="52"/>
  <c r="FC173" i="52"/>
  <c r="FB173" i="52"/>
  <c r="FA173" i="52"/>
  <c r="EZ173" i="52"/>
  <c r="EY173" i="52"/>
  <c r="EX173" i="52"/>
  <c r="AK185" i="52"/>
  <c r="AJ185" i="52"/>
  <c r="AI185" i="52"/>
  <c r="AH185" i="52"/>
  <c r="AG185" i="52"/>
  <c r="AF185" i="52"/>
  <c r="AE185" i="52"/>
  <c r="AD185" i="52"/>
  <c r="AC185" i="52"/>
  <c r="AB185" i="52"/>
  <c r="AA185" i="52"/>
  <c r="Z185" i="52"/>
  <c r="AL184" i="52"/>
  <c r="AG184" i="52"/>
  <c r="AF184" i="52"/>
  <c r="AE184" i="52"/>
  <c r="AD184" i="52"/>
  <c r="AC184" i="52"/>
  <c r="AB184" i="52"/>
  <c r="AA184" i="52"/>
  <c r="Z184" i="52"/>
  <c r="AL183" i="52"/>
  <c r="AK183" i="52"/>
  <c r="AI183" i="52"/>
  <c r="AH183" i="52"/>
  <c r="AG183" i="52"/>
  <c r="AF183" i="52"/>
  <c r="AE183" i="52"/>
  <c r="AD183" i="52"/>
  <c r="AC183" i="52"/>
  <c r="AB183" i="52"/>
  <c r="AA183" i="52"/>
  <c r="Z183" i="52"/>
  <c r="AL182" i="52"/>
  <c r="AK182" i="52"/>
  <c r="AJ182" i="52"/>
  <c r="AH182" i="52"/>
  <c r="AG182" i="52"/>
  <c r="AF182" i="52"/>
  <c r="AE182" i="52"/>
  <c r="AD182" i="52"/>
  <c r="AC182" i="52"/>
  <c r="AB182" i="52"/>
  <c r="AA182" i="52"/>
  <c r="Z182" i="52"/>
  <c r="AL181" i="52"/>
  <c r="AK181" i="52"/>
  <c r="AJ181" i="52"/>
  <c r="AI181" i="52"/>
  <c r="AG181" i="52"/>
  <c r="AF181" i="52"/>
  <c r="AE181" i="52"/>
  <c r="AD181" i="52"/>
  <c r="AC181" i="52"/>
  <c r="AB181" i="52"/>
  <c r="AA181" i="52"/>
  <c r="Z181" i="52"/>
  <c r="AL180" i="52"/>
  <c r="AK180" i="52"/>
  <c r="AJ180" i="52"/>
  <c r="AI180" i="52"/>
  <c r="AH180" i="52"/>
  <c r="AF180" i="52"/>
  <c r="AE180" i="52"/>
  <c r="AD180" i="52"/>
  <c r="AC180" i="52"/>
  <c r="AB180" i="52"/>
  <c r="AA180" i="52"/>
  <c r="Z180" i="52"/>
  <c r="AL179" i="52"/>
  <c r="AJ179" i="52"/>
  <c r="AI179" i="52"/>
  <c r="AG179" i="52"/>
  <c r="AA179" i="52"/>
  <c r="Z179" i="52"/>
  <c r="AL178" i="52"/>
  <c r="AJ178" i="52"/>
  <c r="AI178" i="52"/>
  <c r="AG178" i="52"/>
  <c r="AF178" i="52"/>
  <c r="AC178" i="52"/>
  <c r="AB178" i="52"/>
  <c r="AA178" i="52"/>
  <c r="Z178" i="52"/>
  <c r="AL177" i="52"/>
  <c r="AJ177" i="52"/>
  <c r="AI177" i="52"/>
  <c r="AG177" i="52"/>
  <c r="AF177" i="52"/>
  <c r="AC177" i="52"/>
  <c r="AB177" i="52"/>
  <c r="AA177" i="52"/>
  <c r="Z177" i="52"/>
  <c r="AL176" i="52"/>
  <c r="AJ176" i="52"/>
  <c r="AI176" i="52"/>
  <c r="AG176" i="52"/>
  <c r="AF176" i="52"/>
  <c r="AA176" i="52"/>
  <c r="Z176" i="52"/>
  <c r="AL175" i="52"/>
  <c r="AJ175" i="52"/>
  <c r="AI175" i="52"/>
  <c r="AG175" i="52"/>
  <c r="AF175" i="52"/>
  <c r="AA175" i="52"/>
  <c r="Z175" i="52"/>
  <c r="AL174" i="52"/>
  <c r="AK174" i="52"/>
  <c r="AJ174" i="52"/>
  <c r="AI174" i="52"/>
  <c r="AH174" i="52"/>
  <c r="AG174" i="52"/>
  <c r="AF174" i="52"/>
  <c r="AL173" i="52"/>
  <c r="AK173" i="52"/>
  <c r="AJ173" i="52"/>
  <c r="AI173" i="52"/>
  <c r="AH173" i="52"/>
  <c r="AG173" i="52"/>
  <c r="AF173" i="52"/>
  <c r="P185" i="52"/>
  <c r="P184" i="52"/>
  <c r="W183" i="52"/>
  <c r="P183" i="52"/>
  <c r="V182" i="52"/>
  <c r="M186" i="52"/>
  <c r="L186" i="52"/>
  <c r="P182" i="52"/>
  <c r="P181" i="52"/>
  <c r="U181" i="52" s="1"/>
  <c r="P180" i="52"/>
  <c r="P179" i="52"/>
  <c r="P178" i="52"/>
  <c r="P177" i="52"/>
  <c r="CY176" i="52"/>
  <c r="CX176" i="52"/>
  <c r="CW176" i="52"/>
  <c r="CV176" i="52"/>
  <c r="CU176" i="52"/>
  <c r="CT176" i="52"/>
  <c r="CO176" i="52"/>
  <c r="CN176" i="52"/>
  <c r="CM176" i="52"/>
  <c r="CL176" i="52"/>
  <c r="P176" i="52"/>
  <c r="CO175" i="52"/>
  <c r="CM175" i="52"/>
  <c r="P175" i="52"/>
  <c r="CY174" i="52"/>
  <c r="CX174" i="52"/>
  <c r="CW174" i="52"/>
  <c r="CV174" i="52"/>
  <c r="CU174" i="52"/>
  <c r="CT174" i="52"/>
  <c r="CO174" i="52"/>
  <c r="CN174" i="52"/>
  <c r="CM174" i="52"/>
  <c r="CL174" i="52"/>
  <c r="P174" i="52"/>
  <c r="CO173" i="52"/>
  <c r="CM173" i="52"/>
  <c r="O186" i="52"/>
  <c r="N186" i="52"/>
  <c r="K186" i="52"/>
  <c r="J186" i="52"/>
  <c r="I186" i="52"/>
  <c r="H186" i="52"/>
  <c r="G186" i="52"/>
  <c r="F186" i="52"/>
  <c r="E186" i="52"/>
  <c r="D186" i="52"/>
  <c r="C186" i="52"/>
  <c r="H52" i="8" l="1"/>
  <c r="EP146" i="55"/>
  <c r="FJ143" i="55" s="1"/>
  <c r="EP82" i="55"/>
  <c r="FJ79" i="55" s="1"/>
  <c r="H50" i="8"/>
  <c r="E57" i="8" s="1"/>
  <c r="H59" i="8"/>
  <c r="C59" i="8"/>
  <c r="G59" i="8"/>
  <c r="C58" i="8"/>
  <c r="CT184" i="55"/>
  <c r="DJ184" i="55"/>
  <c r="CT185" i="55"/>
  <c r="DJ185" i="55"/>
  <c r="E58" i="8"/>
  <c r="D58" i="8"/>
  <c r="D53" i="8"/>
  <c r="E59" i="8"/>
  <c r="C53" i="8"/>
  <c r="G58" i="8"/>
  <c r="CT162" i="55"/>
  <c r="DJ162" i="55"/>
  <c r="F59" i="8"/>
  <c r="G53" i="8"/>
  <c r="D59" i="8"/>
  <c r="F58" i="8"/>
  <c r="F53" i="8"/>
  <c r="EP105" i="55"/>
  <c r="EZ111" i="55" s="1"/>
  <c r="EP41" i="55"/>
  <c r="EZ47" i="55" s="1"/>
  <c r="EP45" i="55"/>
  <c r="FD47" i="55" s="1"/>
  <c r="EP44" i="55"/>
  <c r="FC47" i="55" s="1"/>
  <c r="EP74" i="55"/>
  <c r="FA79" i="55" s="1"/>
  <c r="EP73" i="55"/>
  <c r="EZ79" i="55" s="1"/>
  <c r="EP75" i="55"/>
  <c r="FB79" i="55" s="1"/>
  <c r="EP141" i="55"/>
  <c r="FD143" i="55" s="1"/>
  <c r="EP76" i="55"/>
  <c r="FC79" i="55" s="1"/>
  <c r="EP42" i="55"/>
  <c r="FA47" i="55" s="1"/>
  <c r="EP89" i="55"/>
  <c r="EZ95" i="55" s="1"/>
  <c r="BS161" i="55"/>
  <c r="CY161" i="55" s="1"/>
  <c r="BS186" i="55"/>
  <c r="CY186" i="55" s="1"/>
  <c r="EP77" i="55"/>
  <c r="FD79" i="55" s="1"/>
  <c r="BS158" i="55"/>
  <c r="BS153" i="55"/>
  <c r="CY153" i="55" s="1"/>
  <c r="BS157" i="55"/>
  <c r="BS184" i="55"/>
  <c r="CY184" i="55" s="1"/>
  <c r="BS159" i="55"/>
  <c r="CY159" i="55" s="1"/>
  <c r="BS180" i="55"/>
  <c r="BS163" i="55"/>
  <c r="CY163" i="55" s="1"/>
  <c r="BS183" i="55"/>
  <c r="CY183" i="55" s="1"/>
  <c r="EP58" i="55"/>
  <c r="FA63" i="55" s="1"/>
  <c r="BS181" i="55"/>
  <c r="CY181" i="55" s="1"/>
  <c r="BS175" i="55"/>
  <c r="CY175" i="55" s="1"/>
  <c r="BS151" i="55"/>
  <c r="CY151" i="55" s="1"/>
  <c r="BS162" i="55"/>
  <c r="CY162" i="55" s="1"/>
  <c r="BS185" i="55"/>
  <c r="CY185" i="55" s="1"/>
  <c r="BS173" i="55"/>
  <c r="CY173" i="55" s="1"/>
  <c r="BS160" i="55"/>
  <c r="CY160" i="55" s="1"/>
  <c r="BS182" i="55"/>
  <c r="CY182" i="55" s="1"/>
  <c r="BS179" i="55"/>
  <c r="BS164" i="55"/>
  <c r="CY164" i="55" s="1"/>
  <c r="BS155" i="55"/>
  <c r="EP29" i="55"/>
  <c r="FD31" i="55" s="1"/>
  <c r="EP25" i="55"/>
  <c r="EZ31" i="55" s="1"/>
  <c r="DJ182" i="55"/>
  <c r="EP28" i="55"/>
  <c r="FC31" i="55" s="1"/>
  <c r="DJ159" i="55"/>
  <c r="EP26" i="55"/>
  <c r="FA31" i="55" s="1"/>
  <c r="EP27" i="55"/>
  <c r="FB31" i="55" s="1"/>
  <c r="EP43" i="55"/>
  <c r="FB47" i="55" s="1"/>
  <c r="EP138" i="55"/>
  <c r="FA143" i="55" s="1"/>
  <c r="EP139" i="55"/>
  <c r="FB143" i="55" s="1"/>
  <c r="EP9" i="55"/>
  <c r="EZ15" i="55" s="1"/>
  <c r="EP137" i="55"/>
  <c r="EZ143" i="55" s="1"/>
  <c r="EP140" i="55"/>
  <c r="FC143" i="55" s="1"/>
  <c r="DJ153" i="55"/>
  <c r="DJ181" i="55"/>
  <c r="R52" i="8"/>
  <c r="P51" i="8"/>
  <c r="P58" i="8" s="1"/>
  <c r="K53" i="8"/>
  <c r="P52" i="8"/>
  <c r="O59" i="8" s="1"/>
  <c r="R50" i="8"/>
  <c r="M53" i="8"/>
  <c r="N53" i="8"/>
  <c r="P50" i="8"/>
  <c r="N57" i="8" s="1"/>
  <c r="S57" i="8" s="1"/>
  <c r="O53" i="8"/>
  <c r="R51" i="8"/>
  <c r="L53" i="8"/>
  <c r="U185" i="52"/>
  <c r="V185" i="52"/>
  <c r="P173" i="52"/>
  <c r="P186" i="52" s="1"/>
  <c r="FK147" i="52"/>
  <c r="FJ147" i="52"/>
  <c r="FI147" i="52"/>
  <c r="FH147" i="52"/>
  <c r="FG147" i="52"/>
  <c r="FE147" i="52"/>
  <c r="FD147" i="52"/>
  <c r="FC147" i="52"/>
  <c r="FB147" i="52"/>
  <c r="FA147" i="52"/>
  <c r="EZ147" i="52"/>
  <c r="EY147" i="52"/>
  <c r="EX147" i="52"/>
  <c r="FK146" i="52"/>
  <c r="FJ146" i="52"/>
  <c r="FI146" i="52"/>
  <c r="FH146" i="52"/>
  <c r="FG146" i="52"/>
  <c r="FE146" i="52"/>
  <c r="EY146" i="52"/>
  <c r="EX146" i="52"/>
  <c r="FK145" i="52"/>
  <c r="FI145" i="52"/>
  <c r="FH145" i="52"/>
  <c r="FG145" i="52"/>
  <c r="FE145" i="52"/>
  <c r="FD145" i="52"/>
  <c r="FC145" i="52"/>
  <c r="FB145" i="52"/>
  <c r="FA145" i="52"/>
  <c r="EZ145" i="52"/>
  <c r="EY145" i="52"/>
  <c r="EX145" i="52"/>
  <c r="FK144" i="52"/>
  <c r="FI144" i="52"/>
  <c r="FH144" i="52"/>
  <c r="FG144" i="52"/>
  <c r="FE144" i="52"/>
  <c r="FD144" i="52"/>
  <c r="FC144" i="52"/>
  <c r="FB144" i="52"/>
  <c r="FA144" i="52"/>
  <c r="EZ144" i="52"/>
  <c r="EY144" i="52"/>
  <c r="EX144" i="52"/>
  <c r="FK143" i="52"/>
  <c r="FI143" i="52"/>
  <c r="FH143" i="52"/>
  <c r="FG143" i="52"/>
  <c r="FE143" i="52"/>
  <c r="EY143" i="52"/>
  <c r="EX143" i="52"/>
  <c r="FK142" i="52"/>
  <c r="FJ142" i="52"/>
  <c r="FI142" i="52"/>
  <c r="FH142" i="52"/>
  <c r="FG142" i="52"/>
  <c r="FE142" i="52"/>
  <c r="FD142" i="52"/>
  <c r="FC142" i="52"/>
  <c r="FB142" i="52"/>
  <c r="FA142" i="52"/>
  <c r="EZ142" i="52"/>
  <c r="EY142" i="52"/>
  <c r="EX142" i="52"/>
  <c r="FK141" i="52"/>
  <c r="FJ141" i="52"/>
  <c r="FI141" i="52"/>
  <c r="FH141" i="52"/>
  <c r="FG141" i="52"/>
  <c r="FE141" i="52"/>
  <c r="FD141" i="52"/>
  <c r="FC141" i="52"/>
  <c r="FB141" i="52"/>
  <c r="FA141" i="52"/>
  <c r="EZ141" i="52"/>
  <c r="EY141" i="52"/>
  <c r="EX141" i="52"/>
  <c r="FK140" i="52"/>
  <c r="FJ140" i="52"/>
  <c r="FI140" i="52"/>
  <c r="FH140" i="52"/>
  <c r="FG140" i="52"/>
  <c r="FE140" i="52"/>
  <c r="EY140" i="52"/>
  <c r="EX140" i="52"/>
  <c r="FK139" i="52"/>
  <c r="FJ139" i="52"/>
  <c r="FI139" i="52"/>
  <c r="FH139" i="52"/>
  <c r="FG139" i="52"/>
  <c r="FE139" i="52"/>
  <c r="EY139" i="52"/>
  <c r="EX139" i="52"/>
  <c r="FK138" i="52"/>
  <c r="FJ138" i="52"/>
  <c r="FI138" i="52"/>
  <c r="FH138" i="52"/>
  <c r="FG138" i="52"/>
  <c r="FE138" i="52"/>
  <c r="FC138" i="52"/>
  <c r="FB138" i="52"/>
  <c r="EY138" i="52"/>
  <c r="EX138" i="52"/>
  <c r="FK137" i="52"/>
  <c r="FJ137" i="52"/>
  <c r="FI137" i="52"/>
  <c r="FH137" i="52"/>
  <c r="FG137" i="52"/>
  <c r="FE137" i="52"/>
  <c r="FC137" i="52"/>
  <c r="FB137" i="52"/>
  <c r="EY137" i="52"/>
  <c r="EX137" i="52"/>
  <c r="FK136" i="52"/>
  <c r="FJ136" i="52"/>
  <c r="FI136" i="52"/>
  <c r="FH136" i="52"/>
  <c r="FG136" i="52"/>
  <c r="FE136" i="52"/>
  <c r="FD136" i="52"/>
  <c r="FC136" i="52"/>
  <c r="FB136" i="52"/>
  <c r="FA136" i="52"/>
  <c r="EZ136" i="52"/>
  <c r="EY136" i="52"/>
  <c r="EX136" i="52"/>
  <c r="FK135" i="52"/>
  <c r="FJ135" i="52"/>
  <c r="FI135" i="52"/>
  <c r="FH135" i="52"/>
  <c r="FG135" i="52"/>
  <c r="FE135" i="52"/>
  <c r="FD135" i="52"/>
  <c r="FC135" i="52"/>
  <c r="FB135" i="52"/>
  <c r="FA135" i="52"/>
  <c r="EZ135" i="52"/>
  <c r="EY135" i="52"/>
  <c r="EX135" i="52"/>
  <c r="FK131" i="52"/>
  <c r="FJ131" i="52"/>
  <c r="FI131" i="52"/>
  <c r="FH131" i="52"/>
  <c r="FG131" i="52"/>
  <c r="FE131" i="52"/>
  <c r="FD131" i="52"/>
  <c r="FC131" i="52"/>
  <c r="FB131" i="52"/>
  <c r="FA131" i="52"/>
  <c r="EZ131" i="52"/>
  <c r="EY131" i="52"/>
  <c r="EX131" i="52"/>
  <c r="FK130" i="52"/>
  <c r="FJ130" i="52"/>
  <c r="FI130" i="52"/>
  <c r="FH130" i="52"/>
  <c r="FG130" i="52"/>
  <c r="FE130" i="52"/>
  <c r="EY130" i="52"/>
  <c r="EX130" i="52"/>
  <c r="FK129" i="52"/>
  <c r="FI129" i="52"/>
  <c r="FH129" i="52"/>
  <c r="FG129" i="52"/>
  <c r="FE129" i="52"/>
  <c r="FD129" i="52"/>
  <c r="FC129" i="52"/>
  <c r="FB129" i="52"/>
  <c r="FA129" i="52"/>
  <c r="EZ129" i="52"/>
  <c r="EY129" i="52"/>
  <c r="EX129" i="52"/>
  <c r="FK128" i="52"/>
  <c r="FI128" i="52"/>
  <c r="FH128" i="52"/>
  <c r="FG128" i="52"/>
  <c r="FE128" i="52"/>
  <c r="FD128" i="52"/>
  <c r="FC128" i="52"/>
  <c r="FB128" i="52"/>
  <c r="FA128" i="52"/>
  <c r="EZ128" i="52"/>
  <c r="EY128" i="52"/>
  <c r="EX128" i="52"/>
  <c r="FK127" i="52"/>
  <c r="FI127" i="52"/>
  <c r="FH127" i="52"/>
  <c r="FG127" i="52"/>
  <c r="FE127" i="52"/>
  <c r="EY127" i="52"/>
  <c r="EX127" i="52"/>
  <c r="FK126" i="52"/>
  <c r="FJ126" i="52"/>
  <c r="FI126" i="52"/>
  <c r="FH126" i="52"/>
  <c r="FG126" i="52"/>
  <c r="FE126" i="52"/>
  <c r="FD126" i="52"/>
  <c r="FC126" i="52"/>
  <c r="FB126" i="52"/>
  <c r="FA126" i="52"/>
  <c r="EZ126" i="52"/>
  <c r="EY126" i="52"/>
  <c r="EX126" i="52"/>
  <c r="FK125" i="52"/>
  <c r="FJ125" i="52"/>
  <c r="FI125" i="52"/>
  <c r="FH125" i="52"/>
  <c r="FG125" i="52"/>
  <c r="FE125" i="52"/>
  <c r="FD125" i="52"/>
  <c r="FC125" i="52"/>
  <c r="FB125" i="52"/>
  <c r="FA125" i="52"/>
  <c r="EZ125" i="52"/>
  <c r="EY125" i="52"/>
  <c r="EX125" i="52"/>
  <c r="FK124" i="52"/>
  <c r="FJ124" i="52"/>
  <c r="FI124" i="52"/>
  <c r="FH124" i="52"/>
  <c r="FG124" i="52"/>
  <c r="FE124" i="52"/>
  <c r="EY124" i="52"/>
  <c r="EX124" i="52"/>
  <c r="FK123" i="52"/>
  <c r="FJ123" i="52"/>
  <c r="FI123" i="52"/>
  <c r="FH123" i="52"/>
  <c r="FG123" i="52"/>
  <c r="FE123" i="52"/>
  <c r="EY123" i="52"/>
  <c r="EX123" i="52"/>
  <c r="FK122" i="52"/>
  <c r="FJ122" i="52"/>
  <c r="FI122" i="52"/>
  <c r="FH122" i="52"/>
  <c r="FG122" i="52"/>
  <c r="FE122" i="52"/>
  <c r="FC122" i="52"/>
  <c r="FB122" i="52"/>
  <c r="EY122" i="52"/>
  <c r="EX122" i="52"/>
  <c r="FK121" i="52"/>
  <c r="FJ121" i="52"/>
  <c r="FI121" i="52"/>
  <c r="FH121" i="52"/>
  <c r="FG121" i="52"/>
  <c r="FE121" i="52"/>
  <c r="FC121" i="52"/>
  <c r="FB121" i="52"/>
  <c r="EY121" i="52"/>
  <c r="EX121" i="52"/>
  <c r="FK120" i="52"/>
  <c r="FJ120" i="52"/>
  <c r="FI120" i="52"/>
  <c r="FH120" i="52"/>
  <c r="FG120" i="52"/>
  <c r="FE120" i="52"/>
  <c r="FD120" i="52"/>
  <c r="FC120" i="52"/>
  <c r="FB120" i="52"/>
  <c r="FA120" i="52"/>
  <c r="EZ120" i="52"/>
  <c r="EY120" i="52"/>
  <c r="EX120" i="52"/>
  <c r="FK119" i="52"/>
  <c r="FJ119" i="52"/>
  <c r="FI119" i="52"/>
  <c r="FH119" i="52"/>
  <c r="FG119" i="52"/>
  <c r="FE119" i="52"/>
  <c r="FD119" i="52"/>
  <c r="FC119" i="52"/>
  <c r="FB119" i="52"/>
  <c r="FA119" i="52"/>
  <c r="EZ119" i="52"/>
  <c r="EY119" i="52"/>
  <c r="EX119" i="52"/>
  <c r="FK115" i="52"/>
  <c r="FJ115" i="52"/>
  <c r="FI115" i="52"/>
  <c r="FH115" i="52"/>
  <c r="FG115" i="52"/>
  <c r="FE115" i="52"/>
  <c r="FD115" i="52"/>
  <c r="FC115" i="52"/>
  <c r="FB115" i="52"/>
  <c r="FA115" i="52"/>
  <c r="EZ115" i="52"/>
  <c r="EY115" i="52"/>
  <c r="EX115" i="52"/>
  <c r="FK114" i="52"/>
  <c r="FJ114" i="52"/>
  <c r="FI114" i="52"/>
  <c r="FH114" i="52"/>
  <c r="FG114" i="52"/>
  <c r="FE114" i="52"/>
  <c r="EY114" i="52"/>
  <c r="EX114" i="52"/>
  <c r="FK113" i="52"/>
  <c r="FI113" i="52"/>
  <c r="FH113" i="52"/>
  <c r="FG113" i="52"/>
  <c r="FE113" i="52"/>
  <c r="FD113" i="52"/>
  <c r="FC113" i="52"/>
  <c r="FB113" i="52"/>
  <c r="FA113" i="52"/>
  <c r="EZ113" i="52"/>
  <c r="EY113" i="52"/>
  <c r="EX113" i="52"/>
  <c r="FK112" i="52"/>
  <c r="FI112" i="52"/>
  <c r="FH112" i="52"/>
  <c r="FG112" i="52"/>
  <c r="FE112" i="52"/>
  <c r="FD112" i="52"/>
  <c r="FC112" i="52"/>
  <c r="FB112" i="52"/>
  <c r="FA112" i="52"/>
  <c r="EZ112" i="52"/>
  <c r="EY112" i="52"/>
  <c r="EX112" i="52"/>
  <c r="FK111" i="52"/>
  <c r="FI111" i="52"/>
  <c r="FH111" i="52"/>
  <c r="FG111" i="52"/>
  <c r="FE111" i="52"/>
  <c r="EY111" i="52"/>
  <c r="EX111" i="52"/>
  <c r="FK110" i="52"/>
  <c r="FJ110" i="52"/>
  <c r="FI110" i="52"/>
  <c r="FH110" i="52"/>
  <c r="FG110" i="52"/>
  <c r="FE110" i="52"/>
  <c r="FD110" i="52"/>
  <c r="FC110" i="52"/>
  <c r="FB110" i="52"/>
  <c r="FA110" i="52"/>
  <c r="EZ110" i="52"/>
  <c r="EY110" i="52"/>
  <c r="EX110" i="52"/>
  <c r="FK109" i="52"/>
  <c r="FJ109" i="52"/>
  <c r="FI109" i="52"/>
  <c r="FH109" i="52"/>
  <c r="FG109" i="52"/>
  <c r="FE109" i="52"/>
  <c r="FD109" i="52"/>
  <c r="FC109" i="52"/>
  <c r="FB109" i="52"/>
  <c r="FA109" i="52"/>
  <c r="EZ109" i="52"/>
  <c r="EY109" i="52"/>
  <c r="EX109" i="52"/>
  <c r="FK108" i="52"/>
  <c r="FJ108" i="52"/>
  <c r="FI108" i="52"/>
  <c r="FH108" i="52"/>
  <c r="FG108" i="52"/>
  <c r="FE108" i="52"/>
  <c r="EY108" i="52"/>
  <c r="EX108" i="52"/>
  <c r="FK107" i="52"/>
  <c r="FJ107" i="52"/>
  <c r="FI107" i="52"/>
  <c r="FH107" i="52"/>
  <c r="FG107" i="52"/>
  <c r="FE107" i="52"/>
  <c r="EY107" i="52"/>
  <c r="EX107" i="52"/>
  <c r="FK106" i="52"/>
  <c r="FJ106" i="52"/>
  <c r="FI106" i="52"/>
  <c r="FH106" i="52"/>
  <c r="FG106" i="52"/>
  <c r="FE106" i="52"/>
  <c r="FC106" i="52"/>
  <c r="FB106" i="52"/>
  <c r="EY106" i="52"/>
  <c r="EX106" i="52"/>
  <c r="FK105" i="52"/>
  <c r="FJ105" i="52"/>
  <c r="FI105" i="52"/>
  <c r="FH105" i="52"/>
  <c r="FG105" i="52"/>
  <c r="FE105" i="52"/>
  <c r="FC105" i="52"/>
  <c r="FB105" i="52"/>
  <c r="EY105" i="52"/>
  <c r="EX105" i="52"/>
  <c r="FK104" i="52"/>
  <c r="FJ104" i="52"/>
  <c r="FI104" i="52"/>
  <c r="FH104" i="52"/>
  <c r="FG104" i="52"/>
  <c r="FE104" i="52"/>
  <c r="FD104" i="52"/>
  <c r="FC104" i="52"/>
  <c r="FB104" i="52"/>
  <c r="FA104" i="52"/>
  <c r="EZ104" i="52"/>
  <c r="EY104" i="52"/>
  <c r="EX104" i="52"/>
  <c r="FK103" i="52"/>
  <c r="FJ103" i="52"/>
  <c r="FI103" i="52"/>
  <c r="FH103" i="52"/>
  <c r="FG103" i="52"/>
  <c r="FE103" i="52"/>
  <c r="FD103" i="52"/>
  <c r="FC103" i="52"/>
  <c r="FB103" i="52"/>
  <c r="FA103" i="52"/>
  <c r="EZ103" i="52"/>
  <c r="EY103" i="52"/>
  <c r="EX103" i="52"/>
  <c r="FK99" i="52"/>
  <c r="FJ99" i="52"/>
  <c r="FI99" i="52"/>
  <c r="FH99" i="52"/>
  <c r="FG99" i="52"/>
  <c r="FE99" i="52"/>
  <c r="FD99" i="52"/>
  <c r="FC99" i="52"/>
  <c r="FB99" i="52"/>
  <c r="FA99" i="52"/>
  <c r="EZ99" i="52"/>
  <c r="EY99" i="52"/>
  <c r="EX99" i="52"/>
  <c r="FK98" i="52"/>
  <c r="FJ98" i="52"/>
  <c r="FI98" i="52"/>
  <c r="FH98" i="52"/>
  <c r="FG98" i="52"/>
  <c r="FE98" i="52"/>
  <c r="EY98" i="52"/>
  <c r="EX98" i="52"/>
  <c r="FK97" i="52"/>
  <c r="FI97" i="52"/>
  <c r="FH97" i="52"/>
  <c r="FG97" i="52"/>
  <c r="FE97" i="52"/>
  <c r="FD97" i="52"/>
  <c r="FC97" i="52"/>
  <c r="FB97" i="52"/>
  <c r="FA97" i="52"/>
  <c r="EZ97" i="52"/>
  <c r="EY97" i="52"/>
  <c r="EX97" i="52"/>
  <c r="FK96" i="52"/>
  <c r="FI96" i="52"/>
  <c r="FH96" i="52"/>
  <c r="FG96" i="52"/>
  <c r="FE96" i="52"/>
  <c r="FD96" i="52"/>
  <c r="FC96" i="52"/>
  <c r="FB96" i="52"/>
  <c r="FA96" i="52"/>
  <c r="EZ96" i="52"/>
  <c r="EY96" i="52"/>
  <c r="EX96" i="52"/>
  <c r="FK95" i="52"/>
  <c r="FI95" i="52"/>
  <c r="FH95" i="52"/>
  <c r="FG95" i="52"/>
  <c r="FE95" i="52"/>
  <c r="EY95" i="52"/>
  <c r="EX95" i="52"/>
  <c r="FK94" i="52"/>
  <c r="FJ94" i="52"/>
  <c r="FI94" i="52"/>
  <c r="FH94" i="52"/>
  <c r="FG94" i="52"/>
  <c r="FE94" i="52"/>
  <c r="FD94" i="52"/>
  <c r="FC94" i="52"/>
  <c r="FB94" i="52"/>
  <c r="FA94" i="52"/>
  <c r="EZ94" i="52"/>
  <c r="EY94" i="52"/>
  <c r="EX94" i="52"/>
  <c r="FK93" i="52"/>
  <c r="FJ93" i="52"/>
  <c r="FI93" i="52"/>
  <c r="FH93" i="52"/>
  <c r="FG93" i="52"/>
  <c r="FE93" i="52"/>
  <c r="FD93" i="52"/>
  <c r="FC93" i="52"/>
  <c r="FB93" i="52"/>
  <c r="FA93" i="52"/>
  <c r="EZ93" i="52"/>
  <c r="EY93" i="52"/>
  <c r="EX93" i="52"/>
  <c r="FK92" i="52"/>
  <c r="FJ92" i="52"/>
  <c r="FI92" i="52"/>
  <c r="FH92" i="52"/>
  <c r="FG92" i="52"/>
  <c r="FE92" i="52"/>
  <c r="EY92" i="52"/>
  <c r="EX92" i="52"/>
  <c r="FK91" i="52"/>
  <c r="FJ91" i="52"/>
  <c r="FI91" i="52"/>
  <c r="FH91" i="52"/>
  <c r="FG91" i="52"/>
  <c r="FE91" i="52"/>
  <c r="EY91" i="52"/>
  <c r="EX91" i="52"/>
  <c r="FK90" i="52"/>
  <c r="FJ90" i="52"/>
  <c r="FI90" i="52"/>
  <c r="FH90" i="52"/>
  <c r="FG90" i="52"/>
  <c r="FE90" i="52"/>
  <c r="FC90" i="52"/>
  <c r="FB90" i="52"/>
  <c r="EY90" i="52"/>
  <c r="EX90" i="52"/>
  <c r="FK89" i="52"/>
  <c r="FJ89" i="52"/>
  <c r="FI89" i="52"/>
  <c r="FH89" i="52"/>
  <c r="FG89" i="52"/>
  <c r="FE89" i="52"/>
  <c r="FC89" i="52"/>
  <c r="FB89" i="52"/>
  <c r="EY89" i="52"/>
  <c r="EX89" i="52"/>
  <c r="FK88" i="52"/>
  <c r="FJ88" i="52"/>
  <c r="FI88" i="52"/>
  <c r="FH88" i="52"/>
  <c r="FG88" i="52"/>
  <c r="FE88" i="52"/>
  <c r="FD88" i="52"/>
  <c r="FC88" i="52"/>
  <c r="FB88" i="52"/>
  <c r="FA88" i="52"/>
  <c r="EZ88" i="52"/>
  <c r="EY88" i="52"/>
  <c r="EX88" i="52"/>
  <c r="FK87" i="52"/>
  <c r="FJ87" i="52"/>
  <c r="FI87" i="52"/>
  <c r="FH87" i="52"/>
  <c r="FG87" i="52"/>
  <c r="FE87" i="52"/>
  <c r="FD87" i="52"/>
  <c r="FC87" i="52"/>
  <c r="FB87" i="52"/>
  <c r="FA87" i="52"/>
  <c r="EZ87" i="52"/>
  <c r="EY87" i="52"/>
  <c r="EX87" i="52"/>
  <c r="FJ82" i="52"/>
  <c r="FI82" i="52"/>
  <c r="FH82" i="52"/>
  <c r="FG82" i="52"/>
  <c r="FE82" i="52"/>
  <c r="EY82" i="52"/>
  <c r="EX82" i="52"/>
  <c r="FI81" i="52"/>
  <c r="FH81" i="52"/>
  <c r="FG81" i="52"/>
  <c r="FE81" i="52"/>
  <c r="FD81" i="52"/>
  <c r="FC81" i="52"/>
  <c r="FB81" i="52"/>
  <c r="FA81" i="52"/>
  <c r="EZ81" i="52"/>
  <c r="EY81" i="52"/>
  <c r="EX81" i="52"/>
  <c r="FI80" i="52"/>
  <c r="FH80" i="52"/>
  <c r="FG80" i="52"/>
  <c r="FE80" i="52"/>
  <c r="FD80" i="52"/>
  <c r="FC80" i="52"/>
  <c r="FB80" i="52"/>
  <c r="FA80" i="52"/>
  <c r="EZ80" i="52"/>
  <c r="EY80" i="52"/>
  <c r="EX80" i="52"/>
  <c r="FI79" i="52"/>
  <c r="FH79" i="52"/>
  <c r="FG79" i="52"/>
  <c r="FE79" i="52"/>
  <c r="EY79" i="52"/>
  <c r="EX79" i="52"/>
  <c r="FJ78" i="52"/>
  <c r="FI78" i="52"/>
  <c r="FH78" i="52"/>
  <c r="FG78" i="52"/>
  <c r="FE78" i="52"/>
  <c r="FD78" i="52"/>
  <c r="FC78" i="52"/>
  <c r="FB78" i="52"/>
  <c r="FA78" i="52"/>
  <c r="EZ78" i="52"/>
  <c r="EY78" i="52"/>
  <c r="EX78" i="52"/>
  <c r="FJ77" i="52"/>
  <c r="FI77" i="52"/>
  <c r="FH77" i="52"/>
  <c r="FG77" i="52"/>
  <c r="FE77" i="52"/>
  <c r="FD77" i="52"/>
  <c r="FC77" i="52"/>
  <c r="FB77" i="52"/>
  <c r="FA77" i="52"/>
  <c r="EZ77" i="52"/>
  <c r="EY77" i="52"/>
  <c r="EX77" i="52"/>
  <c r="FJ76" i="52"/>
  <c r="FI76" i="52"/>
  <c r="FH76" i="52"/>
  <c r="FG76" i="52"/>
  <c r="FE76" i="52"/>
  <c r="EY76" i="52"/>
  <c r="EX76" i="52"/>
  <c r="FJ75" i="52"/>
  <c r="FI75" i="52"/>
  <c r="FH75" i="52"/>
  <c r="FG75" i="52"/>
  <c r="FE75" i="52"/>
  <c r="EY75" i="52"/>
  <c r="EX75" i="52"/>
  <c r="FJ74" i="52"/>
  <c r="FI74" i="52"/>
  <c r="FH74" i="52"/>
  <c r="FG74" i="52"/>
  <c r="FE74" i="52"/>
  <c r="FC74" i="52"/>
  <c r="FB74" i="52"/>
  <c r="EY74" i="52"/>
  <c r="EX74" i="52"/>
  <c r="FJ73" i="52"/>
  <c r="FI73" i="52"/>
  <c r="FH73" i="52"/>
  <c r="FG73" i="52"/>
  <c r="FE73" i="52"/>
  <c r="FC73" i="52"/>
  <c r="FB73" i="52"/>
  <c r="EY73" i="52"/>
  <c r="EX73" i="52"/>
  <c r="FJ72" i="52"/>
  <c r="FI72" i="52"/>
  <c r="FH72" i="52"/>
  <c r="FG72" i="52"/>
  <c r="FE72" i="52"/>
  <c r="FD72" i="52"/>
  <c r="FC72" i="52"/>
  <c r="FB72" i="52"/>
  <c r="FA72" i="52"/>
  <c r="EZ72" i="52"/>
  <c r="EY72" i="52"/>
  <c r="EX72" i="52"/>
  <c r="FJ71" i="52"/>
  <c r="FI71" i="52"/>
  <c r="FH71" i="52"/>
  <c r="FG71" i="52"/>
  <c r="FE71" i="52"/>
  <c r="FD71" i="52"/>
  <c r="FC71" i="52"/>
  <c r="FB71" i="52"/>
  <c r="FA71" i="52"/>
  <c r="EZ71" i="52"/>
  <c r="EY71" i="52"/>
  <c r="EX71" i="52"/>
  <c r="FK67" i="52"/>
  <c r="FJ67" i="52"/>
  <c r="FI67" i="52"/>
  <c r="FH67" i="52"/>
  <c r="FG67" i="52"/>
  <c r="FE67" i="52"/>
  <c r="FD67" i="52"/>
  <c r="FC67" i="52"/>
  <c r="FB67" i="52"/>
  <c r="FA67" i="52"/>
  <c r="EZ67" i="52"/>
  <c r="EY67" i="52"/>
  <c r="EX67" i="52"/>
  <c r="FK66" i="52"/>
  <c r="FJ66" i="52"/>
  <c r="FI66" i="52"/>
  <c r="FH66" i="52"/>
  <c r="FG66" i="52"/>
  <c r="FE66" i="52"/>
  <c r="EY66" i="52"/>
  <c r="EX66" i="52"/>
  <c r="FK65" i="52"/>
  <c r="FI65" i="52"/>
  <c r="FH65" i="52"/>
  <c r="FG65" i="52"/>
  <c r="FE65" i="52"/>
  <c r="FD65" i="52"/>
  <c r="FC65" i="52"/>
  <c r="FB65" i="52"/>
  <c r="FA65" i="52"/>
  <c r="EZ65" i="52"/>
  <c r="EY65" i="52"/>
  <c r="EX65" i="52"/>
  <c r="FK64" i="52"/>
  <c r="FI64" i="52"/>
  <c r="FH64" i="52"/>
  <c r="FG64" i="52"/>
  <c r="FE64" i="52"/>
  <c r="FD64" i="52"/>
  <c r="FC64" i="52"/>
  <c r="FB64" i="52"/>
  <c r="FA64" i="52"/>
  <c r="EZ64" i="52"/>
  <c r="EY64" i="52"/>
  <c r="EX64" i="52"/>
  <c r="FK63" i="52"/>
  <c r="FI63" i="52"/>
  <c r="FH63" i="52"/>
  <c r="FG63" i="52"/>
  <c r="FE63" i="52"/>
  <c r="EY63" i="52"/>
  <c r="EX63" i="52"/>
  <c r="FK62" i="52"/>
  <c r="FJ62" i="52"/>
  <c r="FI62" i="52"/>
  <c r="FH62" i="52"/>
  <c r="FG62" i="52"/>
  <c r="FE62" i="52"/>
  <c r="FD62" i="52"/>
  <c r="FC62" i="52"/>
  <c r="FB62" i="52"/>
  <c r="FA62" i="52"/>
  <c r="EZ62" i="52"/>
  <c r="EY62" i="52"/>
  <c r="EX62" i="52"/>
  <c r="FK61" i="52"/>
  <c r="FJ61" i="52"/>
  <c r="FI61" i="52"/>
  <c r="FH61" i="52"/>
  <c r="FG61" i="52"/>
  <c r="FE61" i="52"/>
  <c r="FD61" i="52"/>
  <c r="FC61" i="52"/>
  <c r="FB61" i="52"/>
  <c r="FA61" i="52"/>
  <c r="EZ61" i="52"/>
  <c r="EY61" i="52"/>
  <c r="EX61" i="52"/>
  <c r="FK60" i="52"/>
  <c r="FJ60" i="52"/>
  <c r="FI60" i="52"/>
  <c r="FH60" i="52"/>
  <c r="FG60" i="52"/>
  <c r="FE60" i="52"/>
  <c r="EY60" i="52"/>
  <c r="EX60" i="52"/>
  <c r="FK59" i="52"/>
  <c r="FJ59" i="52"/>
  <c r="FI59" i="52"/>
  <c r="FH59" i="52"/>
  <c r="FG59" i="52"/>
  <c r="FE59" i="52"/>
  <c r="EY59" i="52"/>
  <c r="EX59" i="52"/>
  <c r="FK58" i="52"/>
  <c r="FJ58" i="52"/>
  <c r="FI58" i="52"/>
  <c r="FH58" i="52"/>
  <c r="FG58" i="52"/>
  <c r="FE58" i="52"/>
  <c r="FC58" i="52"/>
  <c r="FB58" i="52"/>
  <c r="EY58" i="52"/>
  <c r="EX58" i="52"/>
  <c r="FK57" i="52"/>
  <c r="FJ57" i="52"/>
  <c r="FI57" i="52"/>
  <c r="FH57" i="52"/>
  <c r="FG57" i="52"/>
  <c r="FE57" i="52"/>
  <c r="FC57" i="52"/>
  <c r="FB57" i="52"/>
  <c r="EY57" i="52"/>
  <c r="EX57" i="52"/>
  <c r="FK56" i="52"/>
  <c r="FJ56" i="52"/>
  <c r="FI56" i="52"/>
  <c r="FH56" i="52"/>
  <c r="FG56" i="52"/>
  <c r="FE56" i="52"/>
  <c r="FD56" i="52"/>
  <c r="FC56" i="52"/>
  <c r="FB56" i="52"/>
  <c r="FA56" i="52"/>
  <c r="EZ56" i="52"/>
  <c r="EY56" i="52"/>
  <c r="EX56" i="52"/>
  <c r="FK55" i="52"/>
  <c r="FJ55" i="52"/>
  <c r="FI55" i="52"/>
  <c r="FH55" i="52"/>
  <c r="FG55" i="52"/>
  <c r="FE55" i="52"/>
  <c r="FD55" i="52"/>
  <c r="FC55" i="52"/>
  <c r="FB55" i="52"/>
  <c r="FA55" i="52"/>
  <c r="EZ55" i="52"/>
  <c r="EY55" i="52"/>
  <c r="EX55" i="52"/>
  <c r="FK51" i="52"/>
  <c r="FJ51" i="52"/>
  <c r="FI51" i="52"/>
  <c r="FH51" i="52"/>
  <c r="FG51" i="52"/>
  <c r="FE51" i="52"/>
  <c r="FD51" i="52"/>
  <c r="FC51" i="52"/>
  <c r="FB51" i="52"/>
  <c r="FA51" i="52"/>
  <c r="EZ51" i="52"/>
  <c r="EY51" i="52"/>
  <c r="EX51" i="52"/>
  <c r="FK50" i="52"/>
  <c r="FJ50" i="52"/>
  <c r="FI50" i="52"/>
  <c r="FH50" i="52"/>
  <c r="FG50" i="52"/>
  <c r="FE50" i="52"/>
  <c r="EY50" i="52"/>
  <c r="EX50" i="52"/>
  <c r="FK49" i="52"/>
  <c r="FI49" i="52"/>
  <c r="FH49" i="52"/>
  <c r="FG49" i="52"/>
  <c r="FE49" i="52"/>
  <c r="FD49" i="52"/>
  <c r="FC49" i="52"/>
  <c r="FB49" i="52"/>
  <c r="FA49" i="52"/>
  <c r="EZ49" i="52"/>
  <c r="EY49" i="52"/>
  <c r="EX49" i="52"/>
  <c r="FK48" i="52"/>
  <c r="FI48" i="52"/>
  <c r="FH48" i="52"/>
  <c r="FG48" i="52"/>
  <c r="FE48" i="52"/>
  <c r="FD48" i="52"/>
  <c r="FC48" i="52"/>
  <c r="FB48" i="52"/>
  <c r="FA48" i="52"/>
  <c r="EZ48" i="52"/>
  <c r="EY48" i="52"/>
  <c r="EX48" i="52"/>
  <c r="FK47" i="52"/>
  <c r="FI47" i="52"/>
  <c r="FH47" i="52"/>
  <c r="FG47" i="52"/>
  <c r="FE47" i="52"/>
  <c r="EY47" i="52"/>
  <c r="EX47" i="52"/>
  <c r="FK46" i="52"/>
  <c r="FJ46" i="52"/>
  <c r="FI46" i="52"/>
  <c r="FH46" i="52"/>
  <c r="FG46" i="52"/>
  <c r="FE46" i="52"/>
  <c r="FD46" i="52"/>
  <c r="FC46" i="52"/>
  <c r="FB46" i="52"/>
  <c r="FA46" i="52"/>
  <c r="EZ46" i="52"/>
  <c r="EY46" i="52"/>
  <c r="EX46" i="52"/>
  <c r="FK45" i="52"/>
  <c r="FJ45" i="52"/>
  <c r="FI45" i="52"/>
  <c r="FH45" i="52"/>
  <c r="FG45" i="52"/>
  <c r="FE45" i="52"/>
  <c r="FD45" i="52"/>
  <c r="FC45" i="52"/>
  <c r="FB45" i="52"/>
  <c r="FA45" i="52"/>
  <c r="EZ45" i="52"/>
  <c r="EY45" i="52"/>
  <c r="EX45" i="52"/>
  <c r="FK44" i="52"/>
  <c r="FJ44" i="52"/>
  <c r="FI44" i="52"/>
  <c r="FH44" i="52"/>
  <c r="FG44" i="52"/>
  <c r="FE44" i="52"/>
  <c r="EY44" i="52"/>
  <c r="EX44" i="52"/>
  <c r="FK43" i="52"/>
  <c r="FJ43" i="52"/>
  <c r="FI43" i="52"/>
  <c r="FH43" i="52"/>
  <c r="FG43" i="52"/>
  <c r="FE43" i="52"/>
  <c r="EY43" i="52"/>
  <c r="EX43" i="52"/>
  <c r="FK42" i="52"/>
  <c r="FJ42" i="52"/>
  <c r="FI42" i="52"/>
  <c r="FH42" i="52"/>
  <c r="FG42" i="52"/>
  <c r="FE42" i="52"/>
  <c r="FC42" i="52"/>
  <c r="FB42" i="52"/>
  <c r="EY42" i="52"/>
  <c r="EX42" i="52"/>
  <c r="FK41" i="52"/>
  <c r="FJ41" i="52"/>
  <c r="FI41" i="52"/>
  <c r="FH41" i="52"/>
  <c r="FG41" i="52"/>
  <c r="FE41" i="52"/>
  <c r="FC41" i="52"/>
  <c r="FB41" i="52"/>
  <c r="EY41" i="52"/>
  <c r="EX41" i="52"/>
  <c r="FK40" i="52"/>
  <c r="FJ40" i="52"/>
  <c r="FI40" i="52"/>
  <c r="FH40" i="52"/>
  <c r="FG40" i="52"/>
  <c r="FE40" i="52"/>
  <c r="FD40" i="52"/>
  <c r="FC40" i="52"/>
  <c r="FB40" i="52"/>
  <c r="FA40" i="52"/>
  <c r="EZ40" i="52"/>
  <c r="EY40" i="52"/>
  <c r="EX40" i="52"/>
  <c r="FK39" i="52"/>
  <c r="FJ39" i="52"/>
  <c r="FI39" i="52"/>
  <c r="FH39" i="52"/>
  <c r="FG39" i="52"/>
  <c r="FE39" i="52"/>
  <c r="FD39" i="52"/>
  <c r="FC39" i="52"/>
  <c r="FB39" i="52"/>
  <c r="FA39" i="52"/>
  <c r="EZ39" i="52"/>
  <c r="EY39" i="52"/>
  <c r="EX39" i="52"/>
  <c r="FK34" i="52"/>
  <c r="FJ34" i="52"/>
  <c r="FI34" i="52"/>
  <c r="FH34" i="52"/>
  <c r="FG34" i="52"/>
  <c r="FE34" i="52"/>
  <c r="EY34" i="52"/>
  <c r="EX34" i="52"/>
  <c r="FK33" i="52"/>
  <c r="FI33" i="52"/>
  <c r="FH33" i="52"/>
  <c r="FG33" i="52"/>
  <c r="FE33" i="52"/>
  <c r="FD33" i="52"/>
  <c r="FC33" i="52"/>
  <c r="FB33" i="52"/>
  <c r="FA33" i="52"/>
  <c r="EZ33" i="52"/>
  <c r="EY33" i="52"/>
  <c r="EX33" i="52"/>
  <c r="FK32" i="52"/>
  <c r="FI32" i="52"/>
  <c r="FH32" i="52"/>
  <c r="FG32" i="52"/>
  <c r="FE32" i="52"/>
  <c r="FD32" i="52"/>
  <c r="FC32" i="52"/>
  <c r="FB32" i="52"/>
  <c r="FA32" i="52"/>
  <c r="EZ32" i="52"/>
  <c r="EY32" i="52"/>
  <c r="EX32" i="52"/>
  <c r="FK31" i="52"/>
  <c r="FI31" i="52"/>
  <c r="FH31" i="52"/>
  <c r="FG31" i="52"/>
  <c r="FE31" i="52"/>
  <c r="EY31" i="52"/>
  <c r="EX31" i="52"/>
  <c r="FK30" i="52"/>
  <c r="FJ30" i="52"/>
  <c r="FI30" i="52"/>
  <c r="FH30" i="52"/>
  <c r="FG30" i="52"/>
  <c r="FE30" i="52"/>
  <c r="FD30" i="52"/>
  <c r="FC30" i="52"/>
  <c r="FB30" i="52"/>
  <c r="FA30" i="52"/>
  <c r="EZ30" i="52"/>
  <c r="EY30" i="52"/>
  <c r="EX30" i="52"/>
  <c r="FK29" i="52"/>
  <c r="FJ29" i="52"/>
  <c r="FI29" i="52"/>
  <c r="FH29" i="52"/>
  <c r="FG29" i="52"/>
  <c r="FE29" i="52"/>
  <c r="FD29" i="52"/>
  <c r="FC29" i="52"/>
  <c r="FB29" i="52"/>
  <c r="FA29" i="52"/>
  <c r="EZ29" i="52"/>
  <c r="EY29" i="52"/>
  <c r="EX29" i="52"/>
  <c r="FK28" i="52"/>
  <c r="FJ28" i="52"/>
  <c r="FI28" i="52"/>
  <c r="FH28" i="52"/>
  <c r="FG28" i="52"/>
  <c r="FE28" i="52"/>
  <c r="EY28" i="52"/>
  <c r="EX28" i="52"/>
  <c r="FK27" i="52"/>
  <c r="FJ27" i="52"/>
  <c r="FI27" i="52"/>
  <c r="FH27" i="52"/>
  <c r="FG27" i="52"/>
  <c r="FE27" i="52"/>
  <c r="EY27" i="52"/>
  <c r="EX27" i="52"/>
  <c r="FK26" i="52"/>
  <c r="FJ26" i="52"/>
  <c r="FI26" i="52"/>
  <c r="FH26" i="52"/>
  <c r="FG26" i="52"/>
  <c r="FE26" i="52"/>
  <c r="FC26" i="52"/>
  <c r="FB26" i="52"/>
  <c r="EY26" i="52"/>
  <c r="EX26" i="52"/>
  <c r="FK25" i="52"/>
  <c r="FJ25" i="52"/>
  <c r="FI25" i="52"/>
  <c r="FH25" i="52"/>
  <c r="FG25" i="52"/>
  <c r="FE25" i="52"/>
  <c r="FC25" i="52"/>
  <c r="FB25" i="52"/>
  <c r="EY25" i="52"/>
  <c r="EX25" i="52"/>
  <c r="FK24" i="52"/>
  <c r="FJ24" i="52"/>
  <c r="FI24" i="52"/>
  <c r="FH24" i="52"/>
  <c r="FG24" i="52"/>
  <c r="FE24" i="52"/>
  <c r="FD24" i="52"/>
  <c r="FC24" i="52"/>
  <c r="FB24" i="52"/>
  <c r="FA24" i="52"/>
  <c r="EZ24" i="52"/>
  <c r="EY24" i="52"/>
  <c r="EX24" i="52"/>
  <c r="FK23" i="52"/>
  <c r="FJ23" i="52"/>
  <c r="FI23" i="52"/>
  <c r="FH23" i="52"/>
  <c r="FG23" i="52"/>
  <c r="FE23" i="52"/>
  <c r="FD23" i="52"/>
  <c r="FC23" i="52"/>
  <c r="FB23" i="52"/>
  <c r="FA23" i="52"/>
  <c r="EZ23" i="52"/>
  <c r="EY23" i="52"/>
  <c r="EX23" i="52"/>
  <c r="FJ18" i="52"/>
  <c r="FI18" i="52"/>
  <c r="FH18" i="52"/>
  <c r="FG18" i="52"/>
  <c r="FE18" i="52"/>
  <c r="EY18" i="52"/>
  <c r="EX18" i="52"/>
  <c r="FI17" i="52"/>
  <c r="FH17" i="52"/>
  <c r="FE17" i="52"/>
  <c r="FI16" i="52"/>
  <c r="FH16" i="52"/>
  <c r="FE16" i="52"/>
  <c r="EY16" i="52"/>
  <c r="EX16" i="52"/>
  <c r="FI15" i="52"/>
  <c r="FH15" i="52"/>
  <c r="FG15" i="52"/>
  <c r="FE15" i="52"/>
  <c r="EY15" i="52"/>
  <c r="EX15" i="52"/>
  <c r="FJ14" i="52"/>
  <c r="FI14" i="52"/>
  <c r="FH14" i="52"/>
  <c r="FG14" i="52"/>
  <c r="FE14" i="52"/>
  <c r="FD14" i="52"/>
  <c r="FC14" i="52"/>
  <c r="FB14" i="52"/>
  <c r="FA14" i="52"/>
  <c r="EZ14" i="52"/>
  <c r="EY14" i="52"/>
  <c r="EX14" i="52"/>
  <c r="FJ13" i="52"/>
  <c r="FI13" i="52"/>
  <c r="FH13" i="52"/>
  <c r="FG13" i="52"/>
  <c r="FE13" i="52"/>
  <c r="FD13" i="52"/>
  <c r="FC13" i="52"/>
  <c r="FB13" i="52"/>
  <c r="FA13" i="52"/>
  <c r="EZ13" i="52"/>
  <c r="EY13" i="52"/>
  <c r="EX13" i="52"/>
  <c r="FJ12" i="52"/>
  <c r="FI12" i="52"/>
  <c r="FH12" i="52"/>
  <c r="FG12" i="52"/>
  <c r="FE12" i="52"/>
  <c r="EY12" i="52"/>
  <c r="EX12" i="52"/>
  <c r="FJ11" i="52"/>
  <c r="FI11" i="52"/>
  <c r="FH11" i="52"/>
  <c r="FG11" i="52"/>
  <c r="FE11" i="52"/>
  <c r="EY11" i="52"/>
  <c r="EX11" i="52"/>
  <c r="FJ10" i="52"/>
  <c r="FI10" i="52"/>
  <c r="FH10" i="52"/>
  <c r="FG10" i="52"/>
  <c r="FE10" i="52"/>
  <c r="FC10" i="52"/>
  <c r="FB10" i="52"/>
  <c r="EY10" i="52"/>
  <c r="EX10" i="52"/>
  <c r="FJ9" i="52"/>
  <c r="FI9" i="52"/>
  <c r="FH9" i="52"/>
  <c r="FG9" i="52"/>
  <c r="FE9" i="52"/>
  <c r="FC9" i="52"/>
  <c r="FB9" i="52"/>
  <c r="EY9" i="52"/>
  <c r="EX9" i="52"/>
  <c r="FJ8" i="52"/>
  <c r="FI8" i="52"/>
  <c r="FH8" i="52"/>
  <c r="FG8" i="52"/>
  <c r="FE8" i="52"/>
  <c r="FD8" i="52"/>
  <c r="FC8" i="52"/>
  <c r="FB8" i="52"/>
  <c r="FA8" i="52"/>
  <c r="EZ8" i="52"/>
  <c r="EY8" i="52"/>
  <c r="EX8" i="52"/>
  <c r="FJ7" i="52"/>
  <c r="FI7" i="52"/>
  <c r="FH7" i="52"/>
  <c r="FG7" i="52"/>
  <c r="FE7" i="52"/>
  <c r="FD7" i="52"/>
  <c r="FC7" i="52"/>
  <c r="FB7" i="52"/>
  <c r="FA7" i="52"/>
  <c r="EZ7" i="52"/>
  <c r="EY7" i="52"/>
  <c r="EX7" i="52"/>
  <c r="H57" i="8" l="1"/>
  <c r="C57" i="8"/>
  <c r="H53" i="8"/>
  <c r="G57" i="8"/>
  <c r="G60" i="8"/>
  <c r="D57" i="8"/>
  <c r="EP184" i="55"/>
  <c r="FJ181" i="55" s="1"/>
  <c r="F57" i="8"/>
  <c r="F60" i="8"/>
  <c r="EP179" i="55"/>
  <c r="FD181" i="55" s="1"/>
  <c r="EP177" i="55"/>
  <c r="FB181" i="55" s="1"/>
  <c r="EP178" i="55"/>
  <c r="FC181" i="55" s="1"/>
  <c r="EP176" i="55"/>
  <c r="FA181" i="55" s="1"/>
  <c r="EP175" i="55"/>
  <c r="EZ181" i="55" s="1"/>
  <c r="M58" i="8"/>
  <c r="K58" i="8"/>
  <c r="K59" i="8"/>
  <c r="L58" i="8"/>
  <c r="O58" i="8"/>
  <c r="N58" i="8"/>
  <c r="P59" i="8"/>
  <c r="M59" i="8"/>
  <c r="L59" i="8"/>
  <c r="P57" i="8"/>
  <c r="P53" i="8"/>
  <c r="P60" i="8" s="1"/>
  <c r="L57" i="8"/>
  <c r="N59" i="8"/>
  <c r="M57" i="8"/>
  <c r="K57" i="8"/>
  <c r="O57" i="8"/>
  <c r="T57" i="8" s="1"/>
  <c r="V57" i="8" s="1"/>
  <c r="W185" i="52"/>
  <c r="BY194" i="53"/>
  <c r="BZ194" i="53"/>
  <c r="BX196" i="53"/>
  <c r="BX195" i="53"/>
  <c r="BX194" i="53"/>
  <c r="BY177" i="53"/>
  <c r="BZ177" i="53"/>
  <c r="BX179" i="53"/>
  <c r="BX178" i="53"/>
  <c r="BX177" i="53"/>
  <c r="BY160" i="53"/>
  <c r="BZ160" i="53"/>
  <c r="CA160" i="53" s="1"/>
  <c r="BX162" i="53"/>
  <c r="BX161" i="53"/>
  <c r="BX160" i="53"/>
  <c r="BY143" i="53"/>
  <c r="BZ143" i="53"/>
  <c r="CA143" i="53" s="1"/>
  <c r="BX145" i="53"/>
  <c r="BX144" i="53"/>
  <c r="BX143" i="53"/>
  <c r="BY126" i="53"/>
  <c r="BZ126" i="53"/>
  <c r="CA126" i="53" s="1"/>
  <c r="BX128" i="53"/>
  <c r="BX127" i="53"/>
  <c r="BX126" i="53"/>
  <c r="BY109" i="53"/>
  <c r="BZ109" i="53"/>
  <c r="CA109" i="53" s="1"/>
  <c r="BX111" i="53"/>
  <c r="BX110" i="53"/>
  <c r="BX109" i="53"/>
  <c r="BY92" i="53"/>
  <c r="BZ92" i="53"/>
  <c r="CA92" i="53" s="1"/>
  <c r="BX94" i="53"/>
  <c r="BX93" i="53"/>
  <c r="BX92" i="53"/>
  <c r="BY75" i="53"/>
  <c r="BZ75" i="53"/>
  <c r="CA75" i="53" s="1"/>
  <c r="BX77" i="53"/>
  <c r="BX76" i="53"/>
  <c r="BX75" i="53"/>
  <c r="BZ58" i="53"/>
  <c r="CA58" i="53" s="1"/>
  <c r="BY41" i="53"/>
  <c r="BZ41" i="53"/>
  <c r="CA41" i="53" s="1"/>
  <c r="BX43" i="53"/>
  <c r="BX42" i="53"/>
  <c r="BX41" i="53"/>
  <c r="BX26" i="53"/>
  <c r="BX25" i="53"/>
  <c r="BY24" i="53"/>
  <c r="BZ24" i="53"/>
  <c r="CA24" i="53" s="1"/>
  <c r="BX24" i="53"/>
  <c r="BX9" i="53"/>
  <c r="H60" i="8" l="1"/>
  <c r="E60" i="8"/>
  <c r="C60" i="8"/>
  <c r="D60" i="8"/>
  <c r="M60" i="8"/>
  <c r="O60" i="8"/>
  <c r="N60" i="8"/>
  <c r="K60" i="8"/>
  <c r="L60" i="8"/>
  <c r="BX8" i="53"/>
  <c r="BX7" i="53"/>
  <c r="BY7" i="53"/>
  <c r="BZ7" i="53"/>
  <c r="CA7" i="53" s="1"/>
  <c r="V16" i="6" l="1"/>
  <c r="V17" i="6"/>
  <c r="V18" i="6"/>
  <c r="V19" i="6"/>
  <c r="V15" i="6"/>
  <c r="S25" i="6"/>
  <c r="T25" i="6"/>
  <c r="U25" i="6"/>
  <c r="V25" i="6"/>
  <c r="S26" i="6"/>
  <c r="T26" i="6"/>
  <c r="U26" i="6"/>
  <c r="V26" i="6"/>
  <c r="S27" i="6"/>
  <c r="T27" i="6"/>
  <c r="U27" i="6"/>
  <c r="V27" i="6"/>
  <c r="S28" i="6"/>
  <c r="T28" i="6"/>
  <c r="U28" i="6"/>
  <c r="V28" i="6"/>
  <c r="T24" i="6"/>
  <c r="U24" i="6"/>
  <c r="V24" i="6"/>
  <c r="S24" i="6"/>
  <c r="S16" i="6"/>
  <c r="T16" i="6"/>
  <c r="U16" i="6"/>
  <c r="S17" i="6"/>
  <c r="T17" i="6"/>
  <c r="U17" i="6"/>
  <c r="S18" i="6"/>
  <c r="T18" i="6"/>
  <c r="U18" i="6"/>
  <c r="S19" i="6"/>
  <c r="T19" i="6"/>
  <c r="U19" i="6"/>
  <c r="T15" i="6"/>
  <c r="U15" i="6"/>
  <c r="S15" i="6"/>
  <c r="S7" i="6"/>
  <c r="T7" i="6"/>
  <c r="U7" i="6"/>
  <c r="V7" i="6"/>
  <c r="S8" i="6"/>
  <c r="T8" i="6"/>
  <c r="U8" i="6"/>
  <c r="V8" i="6"/>
  <c r="S9" i="6"/>
  <c r="T9" i="6"/>
  <c r="U9" i="6"/>
  <c r="V9" i="6"/>
  <c r="S10" i="6"/>
  <c r="T10" i="6"/>
  <c r="U10" i="6"/>
  <c r="V10" i="6"/>
  <c r="T6" i="6"/>
  <c r="U6" i="6"/>
  <c r="V6" i="6"/>
  <c r="S6" i="6"/>
  <c r="M143" i="53"/>
  <c r="M142" i="53"/>
  <c r="M126" i="53"/>
  <c r="M125" i="53"/>
  <c r="M109" i="53"/>
  <c r="M108" i="53"/>
  <c r="M92" i="53"/>
  <c r="M91" i="53"/>
  <c r="M75" i="53"/>
  <c r="M74" i="53"/>
  <c r="M58" i="53"/>
  <c r="M57" i="53"/>
  <c r="M41" i="53"/>
  <c r="M40" i="53"/>
  <c r="M24" i="53"/>
  <c r="M23" i="53"/>
  <c r="M7" i="53"/>
  <c r="M6" i="53"/>
  <c r="M10" i="5"/>
  <c r="K11" i="6"/>
  <c r="P24" i="6"/>
  <c r="W15" i="6" l="1"/>
  <c r="BA66" i="53"/>
  <c r="AD154" i="53"/>
  <c r="AC154" i="53"/>
  <c r="AB154" i="53"/>
  <c r="O154" i="53"/>
  <c r="N154" i="53"/>
  <c r="M154" i="53"/>
  <c r="AD153" i="53"/>
  <c r="AC153" i="53"/>
  <c r="AB153" i="53"/>
  <c r="E153" i="53"/>
  <c r="O153" i="53" s="1"/>
  <c r="D153" i="53"/>
  <c r="N153" i="53" s="1"/>
  <c r="C153" i="53"/>
  <c r="M153" i="53" s="1"/>
  <c r="AD152" i="53"/>
  <c r="AC152" i="53"/>
  <c r="AB152" i="53"/>
  <c r="AD151" i="53"/>
  <c r="AC151" i="53"/>
  <c r="AB151" i="53"/>
  <c r="BA151" i="53"/>
  <c r="C151" i="53"/>
  <c r="AD150" i="53"/>
  <c r="AC150" i="53"/>
  <c r="AB150" i="53"/>
  <c r="E150" i="53"/>
  <c r="D150" i="53"/>
  <c r="C150" i="53"/>
  <c r="AD149" i="53"/>
  <c r="AC149" i="53"/>
  <c r="AB149" i="53"/>
  <c r="E149" i="53"/>
  <c r="O149" i="53" s="1"/>
  <c r="D149" i="53"/>
  <c r="C149" i="53"/>
  <c r="M149" i="53" s="1"/>
  <c r="AD148" i="53"/>
  <c r="AC148" i="53"/>
  <c r="AB148" i="53"/>
  <c r="E148" i="53"/>
  <c r="O148" i="53" s="1"/>
  <c r="D148" i="53"/>
  <c r="N148" i="53" s="1"/>
  <c r="C148" i="53"/>
  <c r="M148" i="53" s="1"/>
  <c r="AD147" i="53"/>
  <c r="AC147" i="53"/>
  <c r="AB147" i="53"/>
  <c r="E147" i="53"/>
  <c r="D147" i="53"/>
  <c r="C147" i="53"/>
  <c r="M147" i="53" s="1"/>
  <c r="AD146" i="53"/>
  <c r="AC146" i="53"/>
  <c r="AB146" i="53"/>
  <c r="E146" i="53"/>
  <c r="O146" i="53" s="1"/>
  <c r="D146" i="53"/>
  <c r="N146" i="53" s="1"/>
  <c r="C146" i="53"/>
  <c r="AD145" i="53"/>
  <c r="AC145" i="53"/>
  <c r="AB145" i="53"/>
  <c r="E145" i="53"/>
  <c r="O145" i="53" s="1"/>
  <c r="D145" i="53"/>
  <c r="C145" i="53"/>
  <c r="AD144" i="53"/>
  <c r="AC144" i="53"/>
  <c r="AB144" i="53"/>
  <c r="E144" i="53"/>
  <c r="O144" i="53" s="1"/>
  <c r="D144" i="53"/>
  <c r="N144" i="53" s="1"/>
  <c r="C144" i="53"/>
  <c r="M144" i="53" s="1"/>
  <c r="AD143" i="53"/>
  <c r="AC143" i="53"/>
  <c r="AB143" i="53"/>
  <c r="E143" i="53"/>
  <c r="O143" i="53" s="1"/>
  <c r="D143" i="53"/>
  <c r="N143" i="53" s="1"/>
  <c r="AD142" i="53"/>
  <c r="AC142" i="53"/>
  <c r="AB142" i="53"/>
  <c r="E142" i="53"/>
  <c r="O142" i="53" s="1"/>
  <c r="D142" i="53"/>
  <c r="N142" i="53" s="1"/>
  <c r="AZ142" i="53"/>
  <c r="AD137" i="53"/>
  <c r="AC137" i="53"/>
  <c r="AB137" i="53"/>
  <c r="AD136" i="53"/>
  <c r="AC136" i="53"/>
  <c r="AB136" i="53"/>
  <c r="E136" i="53"/>
  <c r="O136" i="53" s="1"/>
  <c r="D136" i="53"/>
  <c r="N136" i="53" s="1"/>
  <c r="C136" i="53"/>
  <c r="AD135" i="53"/>
  <c r="AC135" i="53"/>
  <c r="AB135" i="53"/>
  <c r="E135" i="53"/>
  <c r="D135" i="53"/>
  <c r="AD134" i="53"/>
  <c r="AC134" i="53"/>
  <c r="AB134" i="53"/>
  <c r="E134" i="53"/>
  <c r="D134" i="53"/>
  <c r="C134" i="53"/>
  <c r="AD133" i="53"/>
  <c r="AC133" i="53"/>
  <c r="AB133" i="53"/>
  <c r="E133" i="53"/>
  <c r="D133" i="53"/>
  <c r="C133" i="53"/>
  <c r="AD132" i="53"/>
  <c r="AC132" i="53"/>
  <c r="AB132" i="53"/>
  <c r="E132" i="53"/>
  <c r="O132" i="53" s="1"/>
  <c r="D132" i="53"/>
  <c r="N132" i="53" s="1"/>
  <c r="C132" i="53"/>
  <c r="M132" i="53" s="1"/>
  <c r="AD131" i="53"/>
  <c r="AC131" i="53"/>
  <c r="AB131" i="53"/>
  <c r="E131" i="53"/>
  <c r="O131" i="53" s="1"/>
  <c r="D131" i="53"/>
  <c r="N131" i="53" s="1"/>
  <c r="C131" i="53"/>
  <c r="M131" i="53" s="1"/>
  <c r="AD130" i="53"/>
  <c r="AC130" i="53"/>
  <c r="AB130" i="53"/>
  <c r="E130" i="53"/>
  <c r="O130" i="53" s="1"/>
  <c r="D130" i="53"/>
  <c r="N130" i="53" s="1"/>
  <c r="C130" i="53"/>
  <c r="M130" i="53" s="1"/>
  <c r="AD129" i="53"/>
  <c r="AC129" i="53"/>
  <c r="AB129" i="53"/>
  <c r="E129" i="53"/>
  <c r="O129" i="53" s="1"/>
  <c r="D129" i="53"/>
  <c r="N129" i="53" s="1"/>
  <c r="C129" i="53"/>
  <c r="M129" i="53" s="1"/>
  <c r="AD128" i="53"/>
  <c r="AC128" i="53"/>
  <c r="AB128" i="53"/>
  <c r="E128" i="53"/>
  <c r="O128" i="53" s="1"/>
  <c r="D128" i="53"/>
  <c r="N128" i="53" s="1"/>
  <c r="C128" i="53"/>
  <c r="M128" i="53" s="1"/>
  <c r="AD127" i="53"/>
  <c r="AC127" i="53"/>
  <c r="AB127" i="53"/>
  <c r="E127" i="53"/>
  <c r="O127" i="53" s="1"/>
  <c r="D127" i="53"/>
  <c r="N127" i="53" s="1"/>
  <c r="C127" i="53"/>
  <c r="M127" i="53" s="1"/>
  <c r="AD126" i="53"/>
  <c r="AC126" i="53"/>
  <c r="AB126" i="53"/>
  <c r="E126" i="53"/>
  <c r="O126" i="53" s="1"/>
  <c r="D126" i="53"/>
  <c r="AD125" i="53"/>
  <c r="AC125" i="53"/>
  <c r="AB125" i="53"/>
  <c r="E125" i="53"/>
  <c r="O125" i="53" s="1"/>
  <c r="D125" i="53"/>
  <c r="N125" i="53" s="1"/>
  <c r="AD120" i="53"/>
  <c r="AC120" i="53"/>
  <c r="AB120" i="53"/>
  <c r="O120" i="53"/>
  <c r="M120" i="53"/>
  <c r="AD119" i="53"/>
  <c r="AC119" i="53"/>
  <c r="AB119" i="53"/>
  <c r="E119" i="53"/>
  <c r="O119" i="53" s="1"/>
  <c r="D119" i="53"/>
  <c r="N119" i="53" s="1"/>
  <c r="C119" i="53"/>
  <c r="M119" i="53" s="1"/>
  <c r="AD118" i="53"/>
  <c r="AC118" i="53"/>
  <c r="AB118" i="53"/>
  <c r="E118" i="53"/>
  <c r="D118" i="53"/>
  <c r="AD117" i="53"/>
  <c r="AC117" i="53"/>
  <c r="AB117" i="53"/>
  <c r="E117" i="53"/>
  <c r="D117" i="53"/>
  <c r="C117" i="53"/>
  <c r="AD116" i="53"/>
  <c r="AC116" i="53"/>
  <c r="AB116" i="53"/>
  <c r="E116" i="53"/>
  <c r="D116" i="53"/>
  <c r="C116" i="53"/>
  <c r="AD115" i="53"/>
  <c r="AC115" i="53"/>
  <c r="AB115" i="53"/>
  <c r="E115" i="53"/>
  <c r="O115" i="53" s="1"/>
  <c r="D115" i="53"/>
  <c r="N115" i="53" s="1"/>
  <c r="C115" i="53"/>
  <c r="AD114" i="53"/>
  <c r="AC114" i="53"/>
  <c r="AB114" i="53"/>
  <c r="E114" i="53"/>
  <c r="O114" i="53" s="1"/>
  <c r="D114" i="53"/>
  <c r="N114" i="53" s="1"/>
  <c r="C114" i="53"/>
  <c r="M114" i="53" s="1"/>
  <c r="AD113" i="53"/>
  <c r="AC113" i="53"/>
  <c r="AB113" i="53"/>
  <c r="E113" i="53"/>
  <c r="O113" i="53" s="1"/>
  <c r="D113" i="53"/>
  <c r="N113" i="53" s="1"/>
  <c r="C113" i="53"/>
  <c r="AD112" i="53"/>
  <c r="AC112" i="53"/>
  <c r="AB112" i="53"/>
  <c r="E112" i="53"/>
  <c r="O112" i="53" s="1"/>
  <c r="D112" i="53"/>
  <c r="N112" i="53" s="1"/>
  <c r="C112" i="53"/>
  <c r="M112" i="53" s="1"/>
  <c r="AD111" i="53"/>
  <c r="AC111" i="53"/>
  <c r="AB111" i="53"/>
  <c r="E111" i="53"/>
  <c r="O111" i="53" s="1"/>
  <c r="D111" i="53"/>
  <c r="N111" i="53" s="1"/>
  <c r="C111" i="53"/>
  <c r="AD110" i="53"/>
  <c r="AC110" i="53"/>
  <c r="AB110" i="53"/>
  <c r="E110" i="53"/>
  <c r="O110" i="53" s="1"/>
  <c r="D110" i="53"/>
  <c r="N110" i="53" s="1"/>
  <c r="C110" i="53"/>
  <c r="M110" i="53" s="1"/>
  <c r="AD109" i="53"/>
  <c r="AC109" i="53"/>
  <c r="AB109" i="53"/>
  <c r="E109" i="53"/>
  <c r="D109" i="53"/>
  <c r="AZ109" i="53"/>
  <c r="AD108" i="53"/>
  <c r="AC108" i="53"/>
  <c r="AB108" i="53"/>
  <c r="E108" i="53"/>
  <c r="O108" i="53" s="1"/>
  <c r="D108" i="53"/>
  <c r="N108" i="53" s="1"/>
  <c r="AD103" i="53"/>
  <c r="AC103" i="53"/>
  <c r="AB103" i="53"/>
  <c r="O103" i="53"/>
  <c r="N103" i="53"/>
  <c r="M103" i="53"/>
  <c r="AD102" i="53"/>
  <c r="AC102" i="53"/>
  <c r="AB102" i="53"/>
  <c r="E102" i="53"/>
  <c r="O102" i="53" s="1"/>
  <c r="D102" i="53"/>
  <c r="N102" i="53" s="1"/>
  <c r="C102" i="53"/>
  <c r="M102" i="53" s="1"/>
  <c r="AD101" i="53"/>
  <c r="AC101" i="53"/>
  <c r="AB101" i="53"/>
  <c r="E101" i="53"/>
  <c r="D101" i="53"/>
  <c r="AD100" i="53"/>
  <c r="AC100" i="53"/>
  <c r="AB100" i="53"/>
  <c r="E100" i="53"/>
  <c r="D100" i="53"/>
  <c r="C100" i="53"/>
  <c r="AD99" i="53"/>
  <c r="AC99" i="53"/>
  <c r="AB99" i="53"/>
  <c r="E99" i="53"/>
  <c r="D99" i="53"/>
  <c r="C99" i="53"/>
  <c r="AD98" i="53"/>
  <c r="AC98" i="53"/>
  <c r="AB98" i="53"/>
  <c r="E98" i="53"/>
  <c r="O98" i="53" s="1"/>
  <c r="D98" i="53"/>
  <c r="N98" i="53" s="1"/>
  <c r="C98" i="53"/>
  <c r="M98" i="53" s="1"/>
  <c r="AD97" i="53"/>
  <c r="AC97" i="53"/>
  <c r="AB97" i="53"/>
  <c r="E97" i="53"/>
  <c r="O97" i="53" s="1"/>
  <c r="D97" i="53"/>
  <c r="N97" i="53" s="1"/>
  <c r="C97" i="53"/>
  <c r="M97" i="53" s="1"/>
  <c r="AD96" i="53"/>
  <c r="AC96" i="53"/>
  <c r="AB96" i="53"/>
  <c r="E96" i="53"/>
  <c r="O96" i="53" s="1"/>
  <c r="D96" i="53"/>
  <c r="N96" i="53" s="1"/>
  <c r="C96" i="53"/>
  <c r="M96" i="53" s="1"/>
  <c r="AD95" i="53"/>
  <c r="AC95" i="53"/>
  <c r="AB95" i="53"/>
  <c r="E95" i="53"/>
  <c r="O95" i="53" s="1"/>
  <c r="D95" i="53"/>
  <c r="N95" i="53" s="1"/>
  <c r="C95" i="53"/>
  <c r="M95" i="53" s="1"/>
  <c r="AD94" i="53"/>
  <c r="AC94" i="53"/>
  <c r="AB94" i="53"/>
  <c r="E94" i="53"/>
  <c r="O94" i="53" s="1"/>
  <c r="D94" i="53"/>
  <c r="N94" i="53" s="1"/>
  <c r="C94" i="53"/>
  <c r="M94" i="53" s="1"/>
  <c r="AD93" i="53"/>
  <c r="AC93" i="53"/>
  <c r="AB93" i="53"/>
  <c r="E93" i="53"/>
  <c r="O93" i="53" s="1"/>
  <c r="D93" i="53"/>
  <c r="N93" i="53" s="1"/>
  <c r="C93" i="53"/>
  <c r="M93" i="53" s="1"/>
  <c r="AD92" i="53"/>
  <c r="AC92" i="53"/>
  <c r="AB92" i="53"/>
  <c r="E92" i="53"/>
  <c r="O92" i="53" s="1"/>
  <c r="D92" i="53"/>
  <c r="N92" i="53" s="1"/>
  <c r="AD91" i="53"/>
  <c r="AC91" i="53"/>
  <c r="AB91" i="53"/>
  <c r="E91" i="53"/>
  <c r="O91" i="53" s="1"/>
  <c r="D91" i="53"/>
  <c r="N91" i="53" s="1"/>
  <c r="AD86" i="53"/>
  <c r="AC86" i="53"/>
  <c r="AB86" i="53"/>
  <c r="O86" i="53"/>
  <c r="N86" i="53"/>
  <c r="M86" i="53"/>
  <c r="AD85" i="53"/>
  <c r="AC85" i="53"/>
  <c r="AB85" i="53"/>
  <c r="E85" i="53"/>
  <c r="O85" i="53" s="1"/>
  <c r="D85" i="53"/>
  <c r="N85" i="53" s="1"/>
  <c r="C85" i="53"/>
  <c r="M85" i="53" s="1"/>
  <c r="AD84" i="53"/>
  <c r="AC84" i="53"/>
  <c r="AB84" i="53"/>
  <c r="E84" i="53"/>
  <c r="D84" i="53"/>
  <c r="AD83" i="53"/>
  <c r="AC83" i="53"/>
  <c r="AB83" i="53"/>
  <c r="E83" i="53"/>
  <c r="D83" i="53"/>
  <c r="C83" i="53"/>
  <c r="AD82" i="53"/>
  <c r="AC82" i="53"/>
  <c r="AB82" i="53"/>
  <c r="E82" i="53"/>
  <c r="D82" i="53"/>
  <c r="C82" i="53"/>
  <c r="AD81" i="53"/>
  <c r="AC81" i="53"/>
  <c r="AB81" i="53"/>
  <c r="E81" i="53"/>
  <c r="O81" i="53" s="1"/>
  <c r="D81" i="53"/>
  <c r="N81" i="53" s="1"/>
  <c r="C81" i="53"/>
  <c r="M81" i="53" s="1"/>
  <c r="AD80" i="53"/>
  <c r="AC80" i="53"/>
  <c r="AB80" i="53"/>
  <c r="E80" i="53"/>
  <c r="O80" i="53" s="1"/>
  <c r="D80" i="53"/>
  <c r="N80" i="53" s="1"/>
  <c r="C80" i="53"/>
  <c r="M80" i="53" s="1"/>
  <c r="AD79" i="53"/>
  <c r="AC79" i="53"/>
  <c r="AB79" i="53"/>
  <c r="E79" i="53"/>
  <c r="O79" i="53" s="1"/>
  <c r="D79" i="53"/>
  <c r="N79" i="53" s="1"/>
  <c r="C79" i="53"/>
  <c r="M79" i="53" s="1"/>
  <c r="AD78" i="53"/>
  <c r="AC78" i="53"/>
  <c r="AB78" i="53"/>
  <c r="E78" i="53"/>
  <c r="O78" i="53" s="1"/>
  <c r="D78" i="53"/>
  <c r="N78" i="53" s="1"/>
  <c r="C78" i="53"/>
  <c r="M78" i="53" s="1"/>
  <c r="AD77" i="53"/>
  <c r="AC77" i="53"/>
  <c r="AB77" i="53"/>
  <c r="E77" i="53"/>
  <c r="O77" i="53" s="1"/>
  <c r="D77" i="53"/>
  <c r="N77" i="53" s="1"/>
  <c r="C77" i="53"/>
  <c r="M77" i="53" s="1"/>
  <c r="AD76" i="53"/>
  <c r="AC76" i="53"/>
  <c r="AB76" i="53"/>
  <c r="E76" i="53"/>
  <c r="O76" i="53" s="1"/>
  <c r="D76" i="53"/>
  <c r="N76" i="53" s="1"/>
  <c r="C76" i="53"/>
  <c r="M76" i="53" s="1"/>
  <c r="AD75" i="53"/>
  <c r="AC75" i="53"/>
  <c r="AB75" i="53"/>
  <c r="E75" i="53"/>
  <c r="O75" i="53" s="1"/>
  <c r="D75" i="53"/>
  <c r="N75" i="53" s="1"/>
  <c r="C177" i="53"/>
  <c r="AD74" i="53"/>
  <c r="AC74" i="53"/>
  <c r="AB74" i="53"/>
  <c r="E74" i="53"/>
  <c r="O74" i="53" s="1"/>
  <c r="D74" i="53"/>
  <c r="N74" i="53" s="1"/>
  <c r="C176" i="53"/>
  <c r="AD69" i="53"/>
  <c r="AC69" i="53"/>
  <c r="AB69" i="53"/>
  <c r="O69" i="53"/>
  <c r="AD68" i="53"/>
  <c r="AC68" i="53"/>
  <c r="AB68" i="53"/>
  <c r="E68" i="53"/>
  <c r="D68" i="53"/>
  <c r="C68" i="53"/>
  <c r="M68" i="53" s="1"/>
  <c r="AD67" i="53"/>
  <c r="AC67" i="53"/>
  <c r="AB67" i="53"/>
  <c r="BA67" i="53"/>
  <c r="AZ67" i="53"/>
  <c r="AD66" i="53"/>
  <c r="AC66" i="53"/>
  <c r="AB66" i="53"/>
  <c r="BB66" i="53"/>
  <c r="C66" i="53"/>
  <c r="AZ66" i="53" s="1"/>
  <c r="AD65" i="53"/>
  <c r="AC65" i="53"/>
  <c r="AB65" i="53"/>
  <c r="E65" i="53"/>
  <c r="D65" i="53"/>
  <c r="C65" i="53"/>
  <c r="AD64" i="53"/>
  <c r="AC64" i="53"/>
  <c r="AB64" i="53"/>
  <c r="E64" i="53"/>
  <c r="O64" i="53" s="1"/>
  <c r="D64" i="53"/>
  <c r="N64" i="53" s="1"/>
  <c r="C64" i="53"/>
  <c r="M64" i="53" s="1"/>
  <c r="AD63" i="53"/>
  <c r="AC63" i="53"/>
  <c r="AB63" i="53"/>
  <c r="E63" i="53"/>
  <c r="O63" i="53" s="1"/>
  <c r="D63" i="53"/>
  <c r="N63" i="53" s="1"/>
  <c r="C63" i="53"/>
  <c r="M63" i="53" s="1"/>
  <c r="AD62" i="53"/>
  <c r="AC62" i="53"/>
  <c r="AB62" i="53"/>
  <c r="E62" i="53"/>
  <c r="O62" i="53" s="1"/>
  <c r="D62" i="53"/>
  <c r="N62" i="53" s="1"/>
  <c r="C62" i="53"/>
  <c r="AD61" i="53"/>
  <c r="AC61" i="53"/>
  <c r="AB61" i="53"/>
  <c r="E61" i="53"/>
  <c r="O61" i="53" s="1"/>
  <c r="D61" i="53"/>
  <c r="N61" i="53" s="1"/>
  <c r="C61" i="53"/>
  <c r="AD60" i="53"/>
  <c r="AC60" i="53"/>
  <c r="AB60" i="53"/>
  <c r="E60" i="53"/>
  <c r="O60" i="53" s="1"/>
  <c r="D60" i="53"/>
  <c r="C60" i="53"/>
  <c r="AD59" i="53"/>
  <c r="AC59" i="53"/>
  <c r="AB59" i="53"/>
  <c r="E59" i="53"/>
  <c r="O59" i="53" s="1"/>
  <c r="D59" i="53"/>
  <c r="N59" i="53" s="1"/>
  <c r="C59" i="53"/>
  <c r="M59" i="53" s="1"/>
  <c r="AD58" i="53"/>
  <c r="AC58" i="53"/>
  <c r="AB58" i="53"/>
  <c r="E58" i="53"/>
  <c r="D58" i="53"/>
  <c r="AD57" i="53"/>
  <c r="AC57" i="53"/>
  <c r="AB57" i="53"/>
  <c r="E57" i="53"/>
  <c r="O57" i="53" s="1"/>
  <c r="D57" i="53"/>
  <c r="AZ57" i="53"/>
  <c r="AD52" i="53"/>
  <c r="AC52" i="53"/>
  <c r="AB52" i="53"/>
  <c r="E52" i="53"/>
  <c r="O52" i="53" s="1"/>
  <c r="D52" i="53"/>
  <c r="N52" i="53" s="1"/>
  <c r="C52" i="53"/>
  <c r="M52" i="53" s="1"/>
  <c r="AD51" i="53"/>
  <c r="AC51" i="53"/>
  <c r="AB51" i="53"/>
  <c r="E51" i="53"/>
  <c r="O51" i="53" s="1"/>
  <c r="D51" i="53"/>
  <c r="N51" i="53" s="1"/>
  <c r="C51" i="53"/>
  <c r="M51" i="53" s="1"/>
  <c r="AD50" i="53"/>
  <c r="AC50" i="53"/>
  <c r="AB50" i="53"/>
  <c r="E50" i="53"/>
  <c r="D50" i="53"/>
  <c r="AD49" i="53"/>
  <c r="AC49" i="53"/>
  <c r="AB49" i="53"/>
  <c r="E49" i="53"/>
  <c r="D49" i="53"/>
  <c r="C49" i="53"/>
  <c r="AD48" i="53"/>
  <c r="AC48" i="53"/>
  <c r="AB48" i="53"/>
  <c r="E48" i="53"/>
  <c r="D48" i="53"/>
  <c r="C48" i="53"/>
  <c r="AD47" i="53"/>
  <c r="AC47" i="53"/>
  <c r="AB47" i="53"/>
  <c r="E47" i="53"/>
  <c r="O47" i="53" s="1"/>
  <c r="D47" i="53"/>
  <c r="N47" i="53" s="1"/>
  <c r="C47" i="53"/>
  <c r="M47" i="53" s="1"/>
  <c r="AD46" i="53"/>
  <c r="AC46" i="53"/>
  <c r="AB46" i="53"/>
  <c r="E46" i="53"/>
  <c r="O46" i="53" s="1"/>
  <c r="D46" i="53"/>
  <c r="N46" i="53" s="1"/>
  <c r="C46" i="53"/>
  <c r="M46" i="53" s="1"/>
  <c r="AD45" i="53"/>
  <c r="AC45" i="53"/>
  <c r="AB45" i="53"/>
  <c r="E45" i="53"/>
  <c r="O45" i="53" s="1"/>
  <c r="D45" i="53"/>
  <c r="C45" i="53"/>
  <c r="AD44" i="53"/>
  <c r="AC44" i="53"/>
  <c r="AB44" i="53"/>
  <c r="E44" i="53"/>
  <c r="O44" i="53" s="1"/>
  <c r="D44" i="53"/>
  <c r="N44" i="53" s="1"/>
  <c r="C44" i="53"/>
  <c r="M44" i="53" s="1"/>
  <c r="AD43" i="53"/>
  <c r="AC43" i="53"/>
  <c r="AB43" i="53"/>
  <c r="E43" i="53"/>
  <c r="O43" i="53" s="1"/>
  <c r="D43" i="53"/>
  <c r="N43" i="53" s="1"/>
  <c r="C43" i="53"/>
  <c r="AD42" i="53"/>
  <c r="AC42" i="53"/>
  <c r="AB42" i="53"/>
  <c r="E42" i="53"/>
  <c r="O42" i="53" s="1"/>
  <c r="D42" i="53"/>
  <c r="N42" i="53" s="1"/>
  <c r="C42" i="53"/>
  <c r="M42" i="53" s="1"/>
  <c r="AD41" i="53"/>
  <c r="AC41" i="53"/>
  <c r="AB41" i="53"/>
  <c r="E41" i="53"/>
  <c r="D41" i="53"/>
  <c r="AZ41" i="53"/>
  <c r="AD40" i="53"/>
  <c r="AC40" i="53"/>
  <c r="AB40" i="53"/>
  <c r="E40" i="53"/>
  <c r="O40" i="53" s="1"/>
  <c r="D40" i="53"/>
  <c r="N40" i="53" s="1"/>
  <c r="AD35" i="53"/>
  <c r="AC35" i="53"/>
  <c r="AB35" i="53"/>
  <c r="O35" i="53"/>
  <c r="N35" i="53"/>
  <c r="AD34" i="53"/>
  <c r="AC34" i="53"/>
  <c r="AB34" i="53"/>
  <c r="E34" i="53"/>
  <c r="O34" i="53" s="1"/>
  <c r="D34" i="53"/>
  <c r="C34" i="53"/>
  <c r="M34" i="53" s="1"/>
  <c r="AD33" i="53"/>
  <c r="AC33" i="53"/>
  <c r="AB33" i="53"/>
  <c r="E33" i="53"/>
  <c r="D33" i="53"/>
  <c r="AD32" i="53"/>
  <c r="AC32" i="53"/>
  <c r="AB32" i="53"/>
  <c r="E32" i="53"/>
  <c r="D32" i="53"/>
  <c r="C32" i="53"/>
  <c r="AD31" i="53"/>
  <c r="AC31" i="53"/>
  <c r="AB31" i="53"/>
  <c r="E31" i="53"/>
  <c r="D31" i="53"/>
  <c r="C31" i="53"/>
  <c r="AD30" i="53"/>
  <c r="AC30" i="53"/>
  <c r="AB30" i="53"/>
  <c r="E30" i="53"/>
  <c r="O30" i="53" s="1"/>
  <c r="D30" i="53"/>
  <c r="N30" i="53" s="1"/>
  <c r="C30" i="53"/>
  <c r="M30" i="53" s="1"/>
  <c r="AD29" i="53"/>
  <c r="AC29" i="53"/>
  <c r="AB29" i="53"/>
  <c r="E29" i="53"/>
  <c r="O29" i="53" s="1"/>
  <c r="D29" i="53"/>
  <c r="N29" i="53" s="1"/>
  <c r="C29" i="53"/>
  <c r="M29" i="53" s="1"/>
  <c r="AD28" i="53"/>
  <c r="AC28" i="53"/>
  <c r="AB28" i="53"/>
  <c r="E28" i="53"/>
  <c r="O28" i="53" s="1"/>
  <c r="D28" i="53"/>
  <c r="C28" i="53"/>
  <c r="AD27" i="53"/>
  <c r="AC27" i="53"/>
  <c r="AB27" i="53"/>
  <c r="E27" i="53"/>
  <c r="O27" i="53" s="1"/>
  <c r="D27" i="53"/>
  <c r="N27" i="53" s="1"/>
  <c r="C27" i="53"/>
  <c r="AD26" i="53"/>
  <c r="AC26" i="53"/>
  <c r="AB26" i="53"/>
  <c r="E26" i="53"/>
  <c r="O26" i="53" s="1"/>
  <c r="D26" i="53"/>
  <c r="C26" i="53"/>
  <c r="AD25" i="53"/>
  <c r="AC25" i="53"/>
  <c r="AB25" i="53"/>
  <c r="E25" i="53"/>
  <c r="O25" i="53" s="1"/>
  <c r="D25" i="53"/>
  <c r="N25" i="53" s="1"/>
  <c r="C25" i="53"/>
  <c r="M25" i="53" s="1"/>
  <c r="AD24" i="53"/>
  <c r="AC24" i="53"/>
  <c r="AB24" i="53"/>
  <c r="E24" i="53"/>
  <c r="O24" i="53" s="1"/>
  <c r="D24" i="53"/>
  <c r="N24" i="53" s="1"/>
  <c r="AZ24" i="53"/>
  <c r="AD23" i="53"/>
  <c r="AC23" i="53"/>
  <c r="AB23" i="53"/>
  <c r="E23" i="53"/>
  <c r="O23" i="53" s="1"/>
  <c r="D23" i="53"/>
  <c r="N23" i="53" s="1"/>
  <c r="AD18" i="53"/>
  <c r="AC18" i="53"/>
  <c r="AB18" i="53"/>
  <c r="O18" i="53"/>
  <c r="N18" i="53"/>
  <c r="AD17" i="53"/>
  <c r="AC17" i="53"/>
  <c r="AB17" i="53"/>
  <c r="E17" i="53"/>
  <c r="O17" i="53" s="1"/>
  <c r="D17" i="53"/>
  <c r="N17" i="53" s="1"/>
  <c r="C17" i="53"/>
  <c r="M17" i="53" s="1"/>
  <c r="AD16" i="53"/>
  <c r="AC16" i="53"/>
  <c r="AB16" i="53"/>
  <c r="E16" i="53"/>
  <c r="D16" i="53"/>
  <c r="AD15" i="53"/>
  <c r="AC15" i="53"/>
  <c r="AB15" i="53"/>
  <c r="E15" i="53"/>
  <c r="D15" i="53"/>
  <c r="C15" i="53"/>
  <c r="AD14" i="53"/>
  <c r="AC14" i="53"/>
  <c r="AB14" i="53"/>
  <c r="E14" i="53"/>
  <c r="D14" i="53"/>
  <c r="C14" i="53"/>
  <c r="AD13" i="53"/>
  <c r="AC13" i="53"/>
  <c r="AB13" i="53"/>
  <c r="E13" i="53"/>
  <c r="O13" i="53" s="1"/>
  <c r="D13" i="53"/>
  <c r="N13" i="53" s="1"/>
  <c r="C13" i="53"/>
  <c r="M13" i="53" s="1"/>
  <c r="AD12" i="53"/>
  <c r="AC12" i="53"/>
  <c r="AB12" i="53"/>
  <c r="E12" i="53"/>
  <c r="O12" i="53" s="1"/>
  <c r="D12" i="53"/>
  <c r="N12" i="53" s="1"/>
  <c r="C12" i="53"/>
  <c r="M12" i="53" s="1"/>
  <c r="AD11" i="53"/>
  <c r="AC11" i="53"/>
  <c r="AB11" i="53"/>
  <c r="E11" i="53"/>
  <c r="O11" i="53" s="1"/>
  <c r="D11" i="53"/>
  <c r="N11" i="53" s="1"/>
  <c r="C11" i="53"/>
  <c r="M11" i="53" s="1"/>
  <c r="AD10" i="53"/>
  <c r="AC10" i="53"/>
  <c r="AB10" i="53"/>
  <c r="E10" i="53"/>
  <c r="O10" i="53" s="1"/>
  <c r="D10" i="53"/>
  <c r="N10" i="53" s="1"/>
  <c r="C10" i="53"/>
  <c r="M10" i="53" s="1"/>
  <c r="AD9" i="53"/>
  <c r="AC9" i="53"/>
  <c r="AB9" i="53"/>
  <c r="E9" i="53"/>
  <c r="O9" i="53" s="1"/>
  <c r="D9" i="53"/>
  <c r="N9" i="53" s="1"/>
  <c r="C9" i="53"/>
  <c r="M9" i="53" s="1"/>
  <c r="AD8" i="53"/>
  <c r="AC8" i="53"/>
  <c r="AB8" i="53"/>
  <c r="E8" i="53"/>
  <c r="O8" i="53" s="1"/>
  <c r="D8" i="53"/>
  <c r="N8" i="53" s="1"/>
  <c r="C8" i="53"/>
  <c r="M8" i="53" s="1"/>
  <c r="AD7" i="53"/>
  <c r="AC7" i="53"/>
  <c r="AB7" i="53"/>
  <c r="E7" i="53"/>
  <c r="O7" i="53" s="1"/>
  <c r="D7" i="53"/>
  <c r="N7" i="53" s="1"/>
  <c r="C160" i="53"/>
  <c r="AD6" i="53"/>
  <c r="AC6" i="53"/>
  <c r="AB6" i="53"/>
  <c r="E6" i="53"/>
  <c r="O6" i="53" s="1"/>
  <c r="D6" i="53"/>
  <c r="N6" i="53" s="1"/>
  <c r="AF151" i="52"/>
  <c r="AG151" i="52"/>
  <c r="AH151" i="52"/>
  <c r="AK151" i="52"/>
  <c r="AL151" i="52"/>
  <c r="AF152" i="52"/>
  <c r="AG152" i="52"/>
  <c r="AH152" i="52"/>
  <c r="AK152" i="52"/>
  <c r="AL152" i="52"/>
  <c r="Z153" i="52"/>
  <c r="AA153" i="52"/>
  <c r="AF153" i="52"/>
  <c r="AG153" i="52"/>
  <c r="AL153" i="52"/>
  <c r="Z154" i="52"/>
  <c r="AA154" i="52"/>
  <c r="AF154" i="52"/>
  <c r="AG154" i="52"/>
  <c r="AL154" i="52"/>
  <c r="Z155" i="52"/>
  <c r="AA155" i="52"/>
  <c r="AB155" i="52"/>
  <c r="AC155" i="52"/>
  <c r="AF155" i="52"/>
  <c r="AG155" i="52"/>
  <c r="AL155" i="52"/>
  <c r="Z156" i="52"/>
  <c r="AA156" i="52"/>
  <c r="AB156" i="52"/>
  <c r="AC156" i="52"/>
  <c r="AF156" i="52"/>
  <c r="AG156" i="52"/>
  <c r="AL156" i="52"/>
  <c r="Z157" i="52"/>
  <c r="AA157" i="52"/>
  <c r="AG157" i="52"/>
  <c r="AL157" i="52"/>
  <c r="Z158" i="52"/>
  <c r="AA158" i="52"/>
  <c r="AB158" i="52"/>
  <c r="AC158" i="52"/>
  <c r="AD158" i="52"/>
  <c r="AE158" i="52"/>
  <c r="AF158" i="52"/>
  <c r="AH158" i="52"/>
  <c r="AK158" i="52"/>
  <c r="AL158" i="52"/>
  <c r="Z159" i="52"/>
  <c r="AA159" i="52"/>
  <c r="AB159" i="52"/>
  <c r="AC159" i="52"/>
  <c r="AD159" i="52"/>
  <c r="AE159" i="52"/>
  <c r="AF159" i="52"/>
  <c r="AG159" i="52"/>
  <c r="AK159" i="52"/>
  <c r="AL159" i="52"/>
  <c r="Z160" i="52"/>
  <c r="AA160" i="52"/>
  <c r="AB160" i="52"/>
  <c r="AC160" i="52"/>
  <c r="AD160" i="52"/>
  <c r="AE160" i="52"/>
  <c r="AF160" i="52"/>
  <c r="AG160" i="52"/>
  <c r="AH160" i="52"/>
  <c r="AJ160" i="52"/>
  <c r="AK160" i="52"/>
  <c r="AL160" i="52"/>
  <c r="Z161" i="52"/>
  <c r="AA161" i="52"/>
  <c r="AB161" i="52"/>
  <c r="AC161" i="52"/>
  <c r="AD161" i="52"/>
  <c r="AE161" i="52"/>
  <c r="AF161" i="52"/>
  <c r="AG161" i="52"/>
  <c r="AH161" i="52"/>
  <c r="AI161" i="52"/>
  <c r="AK161" i="52"/>
  <c r="AL161" i="52"/>
  <c r="Z162" i="52"/>
  <c r="AA162" i="52"/>
  <c r="AB162" i="52"/>
  <c r="AC162" i="52"/>
  <c r="AD162" i="52"/>
  <c r="AE162" i="52"/>
  <c r="AF162" i="52"/>
  <c r="AG162" i="52"/>
  <c r="AL162" i="52"/>
  <c r="Z163" i="52"/>
  <c r="AA163" i="52"/>
  <c r="AB163" i="52"/>
  <c r="AC163" i="52"/>
  <c r="AD163" i="52"/>
  <c r="AE163" i="52"/>
  <c r="AF163" i="52"/>
  <c r="AG163" i="52"/>
  <c r="AH163" i="52"/>
  <c r="AI163" i="52"/>
  <c r="AJ163" i="52"/>
  <c r="AK163" i="52"/>
  <c r="AA136" i="52"/>
  <c r="Z136" i="52"/>
  <c r="AA135" i="52"/>
  <c r="AA148" i="52" s="1"/>
  <c r="Z135" i="52"/>
  <c r="AA120" i="52"/>
  <c r="Z120" i="52"/>
  <c r="AA119" i="52"/>
  <c r="Z119" i="52"/>
  <c r="AP151" i="52"/>
  <c r="AQ151" i="52"/>
  <c r="AR151" i="52"/>
  <c r="AS151" i="52"/>
  <c r="AT151" i="52"/>
  <c r="AU151" i="52"/>
  <c r="AV151" i="52"/>
  <c r="AW151" i="52"/>
  <c r="AX151" i="52"/>
  <c r="AY151" i="52"/>
  <c r="AZ151" i="52"/>
  <c r="BA151" i="52"/>
  <c r="BB151" i="52"/>
  <c r="AP152" i="52"/>
  <c r="AQ152" i="52"/>
  <c r="AR152" i="52"/>
  <c r="AS152" i="52"/>
  <c r="AT152" i="52"/>
  <c r="AU152" i="52"/>
  <c r="AV152" i="52"/>
  <c r="AW152" i="52"/>
  <c r="AX152" i="52"/>
  <c r="AY152" i="52"/>
  <c r="AZ152" i="52"/>
  <c r="BA152" i="52"/>
  <c r="BB152" i="52"/>
  <c r="AP153" i="52"/>
  <c r="AQ153" i="52"/>
  <c r="AR153" i="52"/>
  <c r="AS153" i="52"/>
  <c r="AT153" i="52"/>
  <c r="AU153" i="52"/>
  <c r="AV153" i="52"/>
  <c r="AW153" i="52"/>
  <c r="AX153" i="52"/>
  <c r="AY153" i="52"/>
  <c r="AZ153" i="52"/>
  <c r="BA153" i="52"/>
  <c r="BB153" i="52"/>
  <c r="AP154" i="52"/>
  <c r="AQ154" i="52"/>
  <c r="AR154" i="52"/>
  <c r="AS154" i="52"/>
  <c r="AT154" i="52"/>
  <c r="AU154" i="52"/>
  <c r="AV154" i="52"/>
  <c r="AW154" i="52"/>
  <c r="AX154" i="52"/>
  <c r="AY154" i="52"/>
  <c r="AZ154" i="52"/>
  <c r="BA154" i="52"/>
  <c r="BB154" i="52"/>
  <c r="AP155" i="52"/>
  <c r="AQ155" i="52"/>
  <c r="AR155" i="52"/>
  <c r="AS155" i="52"/>
  <c r="AT155" i="52"/>
  <c r="AU155" i="52"/>
  <c r="AV155" i="52"/>
  <c r="AW155" i="52"/>
  <c r="AX155" i="52"/>
  <c r="AY155" i="52"/>
  <c r="AZ155" i="52"/>
  <c r="BA155" i="52"/>
  <c r="BB155" i="52"/>
  <c r="AP156" i="52"/>
  <c r="AQ156" i="52"/>
  <c r="AR156" i="52"/>
  <c r="AS156" i="52"/>
  <c r="AT156" i="52"/>
  <c r="AU156" i="52"/>
  <c r="AV156" i="52"/>
  <c r="AW156" i="52"/>
  <c r="AX156" i="52"/>
  <c r="AY156" i="52"/>
  <c r="AZ156" i="52"/>
  <c r="BA156" i="52"/>
  <c r="BB156" i="52"/>
  <c r="AP157" i="52"/>
  <c r="AQ157" i="52"/>
  <c r="AR157" i="52"/>
  <c r="AS157" i="52"/>
  <c r="AT157" i="52"/>
  <c r="AU157" i="52"/>
  <c r="AV157" i="52"/>
  <c r="AW157" i="52"/>
  <c r="AX157" i="52"/>
  <c r="AY157" i="52"/>
  <c r="AZ157" i="52"/>
  <c r="BA157" i="52"/>
  <c r="BB157" i="52"/>
  <c r="AP158" i="52"/>
  <c r="AQ158" i="52"/>
  <c r="AR158" i="52"/>
  <c r="AS158" i="52"/>
  <c r="AT158" i="52"/>
  <c r="AU158" i="52"/>
  <c r="AV158" i="52"/>
  <c r="AW158" i="52"/>
  <c r="AX158" i="52"/>
  <c r="AY158" i="52"/>
  <c r="AZ158" i="52"/>
  <c r="BA158" i="52"/>
  <c r="BB158" i="52"/>
  <c r="AP159" i="52"/>
  <c r="AQ159" i="52"/>
  <c r="AR159" i="52"/>
  <c r="AS159" i="52"/>
  <c r="AT159" i="52"/>
  <c r="AU159" i="52"/>
  <c r="AV159" i="52"/>
  <c r="AW159" i="52"/>
  <c r="AX159" i="52"/>
  <c r="AY159" i="52"/>
  <c r="AZ159" i="52"/>
  <c r="BA159" i="52"/>
  <c r="BB159" i="52"/>
  <c r="AP160" i="52"/>
  <c r="AQ160" i="52"/>
  <c r="AR160" i="52"/>
  <c r="AS160" i="52"/>
  <c r="AT160" i="52"/>
  <c r="AU160" i="52"/>
  <c r="AV160" i="52"/>
  <c r="AW160" i="52"/>
  <c r="AX160" i="52"/>
  <c r="AY160" i="52"/>
  <c r="AZ160" i="52"/>
  <c r="BA160" i="52"/>
  <c r="BB160" i="52"/>
  <c r="AP161" i="52"/>
  <c r="AQ161" i="52"/>
  <c r="AR161" i="52"/>
  <c r="AS161" i="52"/>
  <c r="AT161" i="52"/>
  <c r="AU161" i="52"/>
  <c r="AV161" i="52"/>
  <c r="AW161" i="52"/>
  <c r="AX161" i="52"/>
  <c r="AY161" i="52"/>
  <c r="AZ161" i="52"/>
  <c r="BA161" i="52"/>
  <c r="BB161" i="52"/>
  <c r="AP162" i="52"/>
  <c r="AQ162" i="52"/>
  <c r="AR162" i="52"/>
  <c r="AS162" i="52"/>
  <c r="AT162" i="52"/>
  <c r="AU162" i="52"/>
  <c r="AV162" i="52"/>
  <c r="AW162" i="52"/>
  <c r="AX162" i="52"/>
  <c r="AY162" i="52"/>
  <c r="AZ162" i="52"/>
  <c r="BA162" i="52"/>
  <c r="BB162" i="52"/>
  <c r="AP163" i="52"/>
  <c r="AQ163" i="52"/>
  <c r="AR163" i="52"/>
  <c r="AS163" i="52"/>
  <c r="AT163" i="52"/>
  <c r="AU163" i="52"/>
  <c r="AV163" i="52"/>
  <c r="AW163" i="52"/>
  <c r="AX163" i="52"/>
  <c r="AY163" i="52"/>
  <c r="AZ163" i="52"/>
  <c r="BA163" i="52"/>
  <c r="BB163" i="52"/>
  <c r="AP135" i="52"/>
  <c r="AQ135" i="52"/>
  <c r="AR135" i="52"/>
  <c r="AS135" i="52"/>
  <c r="AT135" i="52"/>
  <c r="AU135" i="52"/>
  <c r="AV135" i="52"/>
  <c r="AW135" i="52"/>
  <c r="AX135" i="52"/>
  <c r="AY135" i="52"/>
  <c r="AZ135" i="52"/>
  <c r="BA135" i="52"/>
  <c r="BB135" i="52"/>
  <c r="AP136" i="52"/>
  <c r="AQ136" i="52"/>
  <c r="AR136" i="52"/>
  <c r="AS136" i="52"/>
  <c r="AT136" i="52"/>
  <c r="AU136" i="52"/>
  <c r="AV136" i="52"/>
  <c r="AW136" i="52"/>
  <c r="AX136" i="52"/>
  <c r="AY136" i="52"/>
  <c r="AZ136" i="52"/>
  <c r="BA136" i="52"/>
  <c r="BB136" i="52"/>
  <c r="AP137" i="52"/>
  <c r="AQ137" i="52"/>
  <c r="AR137" i="52"/>
  <c r="AS137" i="52"/>
  <c r="AT137" i="52"/>
  <c r="AU137" i="52"/>
  <c r="AV137" i="52"/>
  <c r="AW137" i="52"/>
  <c r="AX137" i="52"/>
  <c r="AY137" i="52"/>
  <c r="AZ137" i="52"/>
  <c r="BA137" i="52"/>
  <c r="BB137" i="52"/>
  <c r="AP138" i="52"/>
  <c r="AQ138" i="52"/>
  <c r="AR138" i="52"/>
  <c r="AS138" i="52"/>
  <c r="AT138" i="52"/>
  <c r="AU138" i="52"/>
  <c r="AV138" i="52"/>
  <c r="AW138" i="52"/>
  <c r="AX138" i="52"/>
  <c r="AY138" i="52"/>
  <c r="AZ138" i="52"/>
  <c r="BA138" i="52"/>
  <c r="BB138" i="52"/>
  <c r="AP139" i="52"/>
  <c r="AQ139" i="52"/>
  <c r="AR139" i="52"/>
  <c r="AS139" i="52"/>
  <c r="AT139" i="52"/>
  <c r="AU139" i="52"/>
  <c r="AV139" i="52"/>
  <c r="AW139" i="52"/>
  <c r="AX139" i="52"/>
  <c r="AY139" i="52"/>
  <c r="AZ139" i="52"/>
  <c r="BA139" i="52"/>
  <c r="BB139" i="52"/>
  <c r="AP140" i="52"/>
  <c r="AQ140" i="52"/>
  <c r="AR140" i="52"/>
  <c r="AS140" i="52"/>
  <c r="AT140" i="52"/>
  <c r="AU140" i="52"/>
  <c r="AV140" i="52"/>
  <c r="AW140" i="52"/>
  <c r="AX140" i="52"/>
  <c r="AY140" i="52"/>
  <c r="AZ140" i="52"/>
  <c r="BA140" i="52"/>
  <c r="BB140" i="52"/>
  <c r="AP141" i="52"/>
  <c r="AQ141" i="52"/>
  <c r="AR141" i="52"/>
  <c r="AS141" i="52"/>
  <c r="AT141" i="52"/>
  <c r="AU141" i="52"/>
  <c r="AV141" i="52"/>
  <c r="AW141" i="52"/>
  <c r="AX141" i="52"/>
  <c r="AY141" i="52"/>
  <c r="AZ141" i="52"/>
  <c r="BA141" i="52"/>
  <c r="BB141" i="52"/>
  <c r="AP142" i="52"/>
  <c r="AQ142" i="52"/>
  <c r="AR142" i="52"/>
  <c r="AS142" i="52"/>
  <c r="AT142" i="52"/>
  <c r="AU142" i="52"/>
  <c r="AV142" i="52"/>
  <c r="AW142" i="52"/>
  <c r="AX142" i="52"/>
  <c r="AY142" i="52"/>
  <c r="AZ142" i="52"/>
  <c r="BA142" i="52"/>
  <c r="BB142" i="52"/>
  <c r="AP143" i="52"/>
  <c r="AQ143" i="52"/>
  <c r="AR143" i="52"/>
  <c r="AS143" i="52"/>
  <c r="AT143" i="52"/>
  <c r="AU143" i="52"/>
  <c r="AV143" i="52"/>
  <c r="AW143" i="52"/>
  <c r="AX143" i="52"/>
  <c r="AY143" i="52"/>
  <c r="AZ143" i="52"/>
  <c r="BA143" i="52"/>
  <c r="BB143" i="52"/>
  <c r="AP144" i="52"/>
  <c r="AQ144" i="52"/>
  <c r="AR144" i="52"/>
  <c r="AS144" i="52"/>
  <c r="AT144" i="52"/>
  <c r="AU144" i="52"/>
  <c r="AV144" i="52"/>
  <c r="AW144" i="52"/>
  <c r="AX144" i="52"/>
  <c r="AY144" i="52"/>
  <c r="AZ144" i="52"/>
  <c r="BA144" i="52"/>
  <c r="BB144" i="52"/>
  <c r="AP145" i="52"/>
  <c r="AQ145" i="52"/>
  <c r="AR145" i="52"/>
  <c r="AS145" i="52"/>
  <c r="AT145" i="52"/>
  <c r="AU145" i="52"/>
  <c r="AV145" i="52"/>
  <c r="AW145" i="52"/>
  <c r="AX145" i="52"/>
  <c r="AY145" i="52"/>
  <c r="AZ145" i="52"/>
  <c r="BA145" i="52"/>
  <c r="BB145" i="52"/>
  <c r="AP146" i="52"/>
  <c r="AQ146" i="52"/>
  <c r="AR146" i="52"/>
  <c r="AS146" i="52"/>
  <c r="AT146" i="52"/>
  <c r="AU146" i="52"/>
  <c r="AV146" i="52"/>
  <c r="AW146" i="52"/>
  <c r="AX146" i="52"/>
  <c r="AY146" i="52"/>
  <c r="AZ146" i="52"/>
  <c r="BA146" i="52"/>
  <c r="BB146" i="52"/>
  <c r="AP147" i="52"/>
  <c r="AQ147" i="52"/>
  <c r="AR147" i="52"/>
  <c r="AS147" i="52"/>
  <c r="AT147" i="52"/>
  <c r="AU147" i="52"/>
  <c r="AV147" i="52"/>
  <c r="AW147" i="52"/>
  <c r="AX147" i="52"/>
  <c r="AY147" i="52"/>
  <c r="AZ147" i="52"/>
  <c r="BA147" i="52"/>
  <c r="BB147" i="52"/>
  <c r="I151" i="52"/>
  <c r="J151" i="52"/>
  <c r="K151" i="52"/>
  <c r="N151" i="52"/>
  <c r="O151" i="52"/>
  <c r="I152" i="52"/>
  <c r="J152" i="52"/>
  <c r="K152" i="52"/>
  <c r="N152" i="52"/>
  <c r="O152" i="52"/>
  <c r="C153" i="52"/>
  <c r="D153" i="52"/>
  <c r="I153" i="52"/>
  <c r="J153" i="52"/>
  <c r="O153" i="52"/>
  <c r="C154" i="52"/>
  <c r="D154" i="52"/>
  <c r="I154" i="52"/>
  <c r="J154" i="52"/>
  <c r="O154" i="52"/>
  <c r="C155" i="52"/>
  <c r="D155" i="52"/>
  <c r="E155" i="52"/>
  <c r="F155" i="52"/>
  <c r="I155" i="52"/>
  <c r="J155" i="52"/>
  <c r="O155" i="52"/>
  <c r="C156" i="52"/>
  <c r="D156" i="52"/>
  <c r="E156" i="52"/>
  <c r="F156" i="52"/>
  <c r="I156" i="52"/>
  <c r="J156" i="52"/>
  <c r="O156" i="52"/>
  <c r="C157" i="52"/>
  <c r="D157" i="52"/>
  <c r="J157" i="52"/>
  <c r="O157" i="52"/>
  <c r="C158" i="52"/>
  <c r="D158" i="52"/>
  <c r="E158" i="52"/>
  <c r="F158" i="52"/>
  <c r="G158" i="52"/>
  <c r="H158" i="52"/>
  <c r="I158" i="52"/>
  <c r="K158" i="52"/>
  <c r="N158" i="52"/>
  <c r="O158" i="52"/>
  <c r="C159" i="52"/>
  <c r="D159" i="52"/>
  <c r="E159" i="52"/>
  <c r="F159" i="52"/>
  <c r="G159" i="52"/>
  <c r="H159" i="52"/>
  <c r="I159" i="52"/>
  <c r="J159" i="52"/>
  <c r="N159" i="52"/>
  <c r="O159" i="52"/>
  <c r="C160" i="52"/>
  <c r="D160" i="52"/>
  <c r="E160" i="52"/>
  <c r="F160" i="52"/>
  <c r="G160" i="52"/>
  <c r="H160" i="52"/>
  <c r="I160" i="52"/>
  <c r="J160" i="52"/>
  <c r="K160" i="52"/>
  <c r="N160" i="52"/>
  <c r="O160" i="52"/>
  <c r="C161" i="52"/>
  <c r="D161" i="52"/>
  <c r="E161" i="52"/>
  <c r="F161" i="52"/>
  <c r="G161" i="52"/>
  <c r="H161" i="52"/>
  <c r="I161" i="52"/>
  <c r="J161" i="52"/>
  <c r="K161" i="52"/>
  <c r="L161" i="52"/>
  <c r="N161" i="52"/>
  <c r="O161" i="52"/>
  <c r="C162" i="52"/>
  <c r="D162" i="52"/>
  <c r="E162" i="52"/>
  <c r="F162" i="52"/>
  <c r="G162" i="52"/>
  <c r="H162" i="52"/>
  <c r="I162" i="52"/>
  <c r="J162" i="52"/>
  <c r="O162" i="52"/>
  <c r="C163" i="52"/>
  <c r="D163" i="52"/>
  <c r="E163" i="52"/>
  <c r="F163" i="52"/>
  <c r="G163" i="52"/>
  <c r="H163" i="52"/>
  <c r="I163" i="52"/>
  <c r="J163" i="52"/>
  <c r="K163" i="52"/>
  <c r="L163" i="52"/>
  <c r="M163" i="52"/>
  <c r="N163" i="52"/>
  <c r="C103" i="52"/>
  <c r="Z103" i="52" s="1"/>
  <c r="D103" i="52"/>
  <c r="AA103" i="52" s="1"/>
  <c r="E103" i="52"/>
  <c r="AB103" i="52" s="1"/>
  <c r="F103" i="52"/>
  <c r="AC103" i="52" s="1"/>
  <c r="G103" i="52"/>
  <c r="AD103" i="52" s="1"/>
  <c r="H103" i="52"/>
  <c r="AE103" i="52" s="1"/>
  <c r="C104" i="52"/>
  <c r="Z104" i="52" s="1"/>
  <c r="D104" i="52"/>
  <c r="AA104" i="52" s="1"/>
  <c r="E104" i="52"/>
  <c r="AB104" i="52" s="1"/>
  <c r="F104" i="52"/>
  <c r="AC104" i="52" s="1"/>
  <c r="G104" i="52"/>
  <c r="AD104" i="52" s="1"/>
  <c r="H104" i="52"/>
  <c r="AE104" i="52" s="1"/>
  <c r="E105" i="52"/>
  <c r="AB105" i="52" s="1"/>
  <c r="F105" i="52"/>
  <c r="AC105" i="52" s="1"/>
  <c r="G105" i="52"/>
  <c r="AD105" i="52" s="1"/>
  <c r="H105" i="52"/>
  <c r="AE105" i="52" s="1"/>
  <c r="K105" i="52"/>
  <c r="N105" i="52"/>
  <c r="AK105" i="52" s="1"/>
  <c r="E106" i="52"/>
  <c r="AB106" i="52" s="1"/>
  <c r="F106" i="52"/>
  <c r="AC106" i="52" s="1"/>
  <c r="G106" i="52"/>
  <c r="AD106" i="52" s="1"/>
  <c r="H106" i="52"/>
  <c r="AE106" i="52" s="1"/>
  <c r="K106" i="52"/>
  <c r="N106" i="52"/>
  <c r="AK106" i="52" s="1"/>
  <c r="G107" i="52"/>
  <c r="AD107" i="52" s="1"/>
  <c r="H107" i="52"/>
  <c r="AE107" i="52" s="1"/>
  <c r="K107" i="52"/>
  <c r="N107" i="52"/>
  <c r="AK107" i="52" s="1"/>
  <c r="G108" i="52"/>
  <c r="AD108" i="52" s="1"/>
  <c r="H108" i="52"/>
  <c r="AE108" i="52" s="1"/>
  <c r="K108" i="52"/>
  <c r="N108" i="52"/>
  <c r="AK108" i="52" s="1"/>
  <c r="E109" i="52"/>
  <c r="AB109" i="52" s="1"/>
  <c r="F109" i="52"/>
  <c r="AC109" i="52" s="1"/>
  <c r="G109" i="52"/>
  <c r="AD109" i="52" s="1"/>
  <c r="H109" i="52"/>
  <c r="AE109" i="52" s="1"/>
  <c r="I109" i="52"/>
  <c r="AF109" i="52" s="1"/>
  <c r="AF116" i="52" s="1"/>
  <c r="K109" i="52"/>
  <c r="N109" i="52"/>
  <c r="AK109" i="52" s="1"/>
  <c r="J110" i="52"/>
  <c r="AG110" i="52" s="1"/>
  <c r="AM110" i="52" s="1"/>
  <c r="K111" i="52"/>
  <c r="R111" i="52" s="1"/>
  <c r="L112" i="52"/>
  <c r="S108" i="52" s="1"/>
  <c r="M113" i="52"/>
  <c r="T115" i="52" s="1"/>
  <c r="K114" i="52"/>
  <c r="N114" i="52"/>
  <c r="AK114" i="52" s="1"/>
  <c r="O115" i="52"/>
  <c r="AL115" i="52" s="1"/>
  <c r="C71" i="52"/>
  <c r="Z71" i="52" s="1"/>
  <c r="D71" i="52"/>
  <c r="AA71" i="52" s="1"/>
  <c r="E71" i="52"/>
  <c r="AB71" i="52" s="1"/>
  <c r="F71" i="52"/>
  <c r="AC71" i="52" s="1"/>
  <c r="G71" i="52"/>
  <c r="AD71" i="52" s="1"/>
  <c r="H71" i="52"/>
  <c r="AE71" i="52" s="1"/>
  <c r="C72" i="52"/>
  <c r="Z72" i="52" s="1"/>
  <c r="D72" i="52"/>
  <c r="AA72" i="52" s="1"/>
  <c r="E72" i="52"/>
  <c r="AB72" i="52" s="1"/>
  <c r="F72" i="52"/>
  <c r="AC72" i="52" s="1"/>
  <c r="G72" i="52"/>
  <c r="AD72" i="52" s="1"/>
  <c r="H72" i="52"/>
  <c r="AE72" i="52" s="1"/>
  <c r="E73" i="52"/>
  <c r="AB73" i="52" s="1"/>
  <c r="F73" i="52"/>
  <c r="AC73" i="52" s="1"/>
  <c r="G73" i="52"/>
  <c r="AD73" i="52" s="1"/>
  <c r="H73" i="52"/>
  <c r="AE73" i="52" s="1"/>
  <c r="K73" i="52"/>
  <c r="N73" i="52"/>
  <c r="AK73" i="52" s="1"/>
  <c r="E74" i="52"/>
  <c r="AB74" i="52" s="1"/>
  <c r="F74" i="52"/>
  <c r="AC74" i="52" s="1"/>
  <c r="G74" i="52"/>
  <c r="AD74" i="52" s="1"/>
  <c r="H74" i="52"/>
  <c r="AE74" i="52" s="1"/>
  <c r="K74" i="52"/>
  <c r="N74" i="52"/>
  <c r="AK74" i="52" s="1"/>
  <c r="G75" i="52"/>
  <c r="AD75" i="52" s="1"/>
  <c r="H75" i="52"/>
  <c r="AE75" i="52" s="1"/>
  <c r="K75" i="52"/>
  <c r="N75" i="52"/>
  <c r="AK75" i="52" s="1"/>
  <c r="G76" i="52"/>
  <c r="AD76" i="52" s="1"/>
  <c r="H76" i="52"/>
  <c r="AE76" i="52" s="1"/>
  <c r="K76" i="52"/>
  <c r="N76" i="52"/>
  <c r="AK76" i="52" s="1"/>
  <c r="E77" i="52"/>
  <c r="AB77" i="52" s="1"/>
  <c r="F77" i="52"/>
  <c r="AC77" i="52" s="1"/>
  <c r="G77" i="52"/>
  <c r="AD77" i="52" s="1"/>
  <c r="H77" i="52"/>
  <c r="AE77" i="52" s="1"/>
  <c r="I77" i="52"/>
  <c r="AF77" i="52" s="1"/>
  <c r="AF84" i="52" s="1"/>
  <c r="K77" i="52"/>
  <c r="N77" i="52"/>
  <c r="AK77" i="52" s="1"/>
  <c r="J78" i="52"/>
  <c r="AG78" i="52" s="1"/>
  <c r="AM78" i="52" s="1"/>
  <c r="K79" i="52"/>
  <c r="R79" i="52" s="1"/>
  <c r="L80" i="52"/>
  <c r="S74" i="52" s="1"/>
  <c r="M81" i="52"/>
  <c r="T79" i="52" s="1"/>
  <c r="K82" i="52"/>
  <c r="N82" i="52"/>
  <c r="AK82" i="52" s="1"/>
  <c r="O83" i="52"/>
  <c r="AL83" i="52" s="1"/>
  <c r="AL84" i="52" s="1"/>
  <c r="C55" i="52"/>
  <c r="Z55" i="52" s="1"/>
  <c r="D55" i="52"/>
  <c r="AA55" i="52" s="1"/>
  <c r="E55" i="52"/>
  <c r="AB55" i="52" s="1"/>
  <c r="F55" i="52"/>
  <c r="AC55" i="52" s="1"/>
  <c r="G55" i="52"/>
  <c r="AD55" i="52" s="1"/>
  <c r="H55" i="52"/>
  <c r="AE55" i="52" s="1"/>
  <c r="C56" i="52"/>
  <c r="Z56" i="52" s="1"/>
  <c r="D56" i="52"/>
  <c r="AA56" i="52" s="1"/>
  <c r="E56" i="52"/>
  <c r="AB56" i="52" s="1"/>
  <c r="F56" i="52"/>
  <c r="AC56" i="52" s="1"/>
  <c r="G56" i="52"/>
  <c r="AD56" i="52" s="1"/>
  <c r="H56" i="52"/>
  <c r="AE56" i="52" s="1"/>
  <c r="E57" i="52"/>
  <c r="AB57" i="52" s="1"/>
  <c r="F57" i="52"/>
  <c r="AC57" i="52" s="1"/>
  <c r="G57" i="52"/>
  <c r="AD57" i="52" s="1"/>
  <c r="H57" i="52"/>
  <c r="AE57" i="52" s="1"/>
  <c r="K57" i="52"/>
  <c r="N57" i="52"/>
  <c r="AK57" i="52" s="1"/>
  <c r="E58" i="52"/>
  <c r="AB58" i="52" s="1"/>
  <c r="F58" i="52"/>
  <c r="AC58" i="52" s="1"/>
  <c r="G58" i="52"/>
  <c r="AD58" i="52" s="1"/>
  <c r="H58" i="52"/>
  <c r="AE58" i="52" s="1"/>
  <c r="K58" i="52"/>
  <c r="N58" i="52"/>
  <c r="AK58" i="52" s="1"/>
  <c r="G59" i="52"/>
  <c r="AD59" i="52" s="1"/>
  <c r="H59" i="52"/>
  <c r="AE59" i="52" s="1"/>
  <c r="K59" i="52"/>
  <c r="N59" i="52"/>
  <c r="AK59" i="52" s="1"/>
  <c r="G60" i="52"/>
  <c r="AD60" i="52" s="1"/>
  <c r="H60" i="52"/>
  <c r="AE60" i="52" s="1"/>
  <c r="K60" i="52"/>
  <c r="N60" i="52"/>
  <c r="AK60" i="52" s="1"/>
  <c r="E61" i="52"/>
  <c r="AB61" i="52" s="1"/>
  <c r="F61" i="52"/>
  <c r="AC61" i="52" s="1"/>
  <c r="G61" i="52"/>
  <c r="AD61" i="52" s="1"/>
  <c r="H61" i="52"/>
  <c r="AE61" i="52" s="1"/>
  <c r="I61" i="52"/>
  <c r="AF61" i="52" s="1"/>
  <c r="K61" i="52"/>
  <c r="N61" i="52"/>
  <c r="AK61" i="52" s="1"/>
  <c r="J62" i="52"/>
  <c r="AG62" i="52" s="1"/>
  <c r="K63" i="52"/>
  <c r="R56" i="52" s="1"/>
  <c r="L64" i="52"/>
  <c r="S61" i="52" s="1"/>
  <c r="M65" i="52"/>
  <c r="T58" i="52" s="1"/>
  <c r="K66" i="52"/>
  <c r="N66" i="52"/>
  <c r="AK66" i="52" s="1"/>
  <c r="O67" i="52"/>
  <c r="AL67" i="52" s="1"/>
  <c r="C39" i="52"/>
  <c r="Z39" i="52" s="1"/>
  <c r="D39" i="52"/>
  <c r="AA39" i="52" s="1"/>
  <c r="E39" i="52"/>
  <c r="AB39" i="52" s="1"/>
  <c r="F39" i="52"/>
  <c r="AC39" i="52" s="1"/>
  <c r="G39" i="52"/>
  <c r="AD39" i="52" s="1"/>
  <c r="H39" i="52"/>
  <c r="AE39" i="52" s="1"/>
  <c r="C40" i="52"/>
  <c r="Z40" i="52" s="1"/>
  <c r="D40" i="52"/>
  <c r="AA40" i="52" s="1"/>
  <c r="E40" i="52"/>
  <c r="AB40" i="52" s="1"/>
  <c r="F40" i="52"/>
  <c r="AC40" i="52" s="1"/>
  <c r="G40" i="52"/>
  <c r="AD40" i="52" s="1"/>
  <c r="H40" i="52"/>
  <c r="AE40" i="52" s="1"/>
  <c r="E41" i="52"/>
  <c r="AB41" i="52" s="1"/>
  <c r="F41" i="52"/>
  <c r="AC41" i="52" s="1"/>
  <c r="G41" i="52"/>
  <c r="AD41" i="52" s="1"/>
  <c r="H41" i="52"/>
  <c r="AE41" i="52" s="1"/>
  <c r="K41" i="52"/>
  <c r="N41" i="52"/>
  <c r="AK41" i="52" s="1"/>
  <c r="E42" i="52"/>
  <c r="AB42" i="52" s="1"/>
  <c r="F42" i="52"/>
  <c r="AC42" i="52" s="1"/>
  <c r="G42" i="52"/>
  <c r="AD42" i="52" s="1"/>
  <c r="H42" i="52"/>
  <c r="AE42" i="52" s="1"/>
  <c r="K42" i="52"/>
  <c r="N42" i="52"/>
  <c r="AK42" i="52" s="1"/>
  <c r="G43" i="52"/>
  <c r="AD43" i="52" s="1"/>
  <c r="H43" i="52"/>
  <c r="AE43" i="52" s="1"/>
  <c r="K43" i="52"/>
  <c r="N43" i="52"/>
  <c r="AK43" i="52" s="1"/>
  <c r="G44" i="52"/>
  <c r="AD44" i="52" s="1"/>
  <c r="H44" i="52"/>
  <c r="AE44" i="52" s="1"/>
  <c r="K44" i="52"/>
  <c r="N44" i="52"/>
  <c r="AK44" i="52" s="1"/>
  <c r="E45" i="52"/>
  <c r="AB45" i="52" s="1"/>
  <c r="F45" i="52"/>
  <c r="AC45" i="52" s="1"/>
  <c r="G45" i="52"/>
  <c r="AD45" i="52" s="1"/>
  <c r="H45" i="52"/>
  <c r="AE45" i="52" s="1"/>
  <c r="I45" i="52"/>
  <c r="AF45" i="52" s="1"/>
  <c r="AF52" i="52" s="1"/>
  <c r="K45" i="52"/>
  <c r="N45" i="52"/>
  <c r="AK45" i="52" s="1"/>
  <c r="J46" i="52"/>
  <c r="AG46" i="52" s="1"/>
  <c r="AG52" i="52" s="1"/>
  <c r="K47" i="52"/>
  <c r="R51" i="52" s="1"/>
  <c r="L48" i="52"/>
  <c r="S40" i="52" s="1"/>
  <c r="M160" i="52"/>
  <c r="M49" i="52"/>
  <c r="T51" i="52" s="1"/>
  <c r="K50" i="52"/>
  <c r="N50" i="52"/>
  <c r="AK50" i="52" s="1"/>
  <c r="O51" i="52"/>
  <c r="AL51" i="52" s="1"/>
  <c r="AM51" i="52" s="1"/>
  <c r="AA116" i="52" l="1"/>
  <c r="O180" i="53"/>
  <c r="M178" i="53"/>
  <c r="AB84" i="52"/>
  <c r="BH83" i="52" s="1"/>
  <c r="AA132" i="52"/>
  <c r="BG128" i="52" s="1"/>
  <c r="AA52" i="52"/>
  <c r="BG48" i="52" s="1"/>
  <c r="AG68" i="52"/>
  <c r="BM64" i="52" s="1"/>
  <c r="AA68" i="52"/>
  <c r="BG61" i="52" s="1"/>
  <c r="Z68" i="52"/>
  <c r="BF64" i="52" s="1"/>
  <c r="AF68" i="52"/>
  <c r="BL66" i="52" s="1"/>
  <c r="Z116" i="52"/>
  <c r="AK84" i="52"/>
  <c r="BQ83" i="52" s="1"/>
  <c r="AA84" i="52"/>
  <c r="BG82" i="52" s="1"/>
  <c r="AK52" i="52"/>
  <c r="BQ48" i="52" s="1"/>
  <c r="AB68" i="52"/>
  <c r="BH66" i="52" s="1"/>
  <c r="S43" i="52"/>
  <c r="R43" i="52"/>
  <c r="S76" i="52"/>
  <c r="AE52" i="52"/>
  <c r="BK48" i="52" s="1"/>
  <c r="BG109" i="52"/>
  <c r="BG114" i="52"/>
  <c r="BG111" i="52"/>
  <c r="BG116" i="52"/>
  <c r="BG113" i="52"/>
  <c r="BG115" i="52"/>
  <c r="BG112" i="52"/>
  <c r="BG110" i="52"/>
  <c r="AD52" i="52"/>
  <c r="Z84" i="52"/>
  <c r="BH80" i="52"/>
  <c r="BH77" i="52"/>
  <c r="AC52" i="52"/>
  <c r="AE68" i="52"/>
  <c r="AK68" i="52"/>
  <c r="AM115" i="52"/>
  <c r="AL116" i="52"/>
  <c r="AC116" i="52"/>
  <c r="AB52" i="52"/>
  <c r="AD84" i="52"/>
  <c r="BL107" i="52"/>
  <c r="BL105" i="52"/>
  <c r="BL103" i="52"/>
  <c r="BL116" i="52"/>
  <c r="BL113" i="52"/>
  <c r="BL110" i="52"/>
  <c r="BL115" i="52"/>
  <c r="BL112" i="52"/>
  <c r="BL114" i="52"/>
  <c r="BL111" i="52"/>
  <c r="BL109" i="52"/>
  <c r="BK45" i="52"/>
  <c r="BK51" i="52"/>
  <c r="BK50" i="52"/>
  <c r="BM43" i="52"/>
  <c r="BM41" i="52"/>
  <c r="BM39" i="52"/>
  <c r="BM47" i="52"/>
  <c r="BM46" i="52"/>
  <c r="BM45" i="52"/>
  <c r="BM50" i="52"/>
  <c r="BM52" i="52"/>
  <c r="BM49" i="52"/>
  <c r="BM51" i="52"/>
  <c r="BM48" i="52"/>
  <c r="AD68" i="52"/>
  <c r="BF62" i="52"/>
  <c r="BF65" i="52"/>
  <c r="BF67" i="52"/>
  <c r="BL75" i="52"/>
  <c r="BL73" i="52"/>
  <c r="BL71" i="52"/>
  <c r="BL84" i="52"/>
  <c r="BL81" i="52"/>
  <c r="BL78" i="52"/>
  <c r="BL83" i="52"/>
  <c r="BL80" i="52"/>
  <c r="BL82" i="52"/>
  <c r="BL79" i="52"/>
  <c r="BL77" i="52"/>
  <c r="AB116" i="52"/>
  <c r="BR75" i="52"/>
  <c r="BR73" i="52"/>
  <c r="BR71" i="52"/>
  <c r="BR78" i="52"/>
  <c r="BR83" i="52"/>
  <c r="BR80" i="52"/>
  <c r="BR77" i="52"/>
  <c r="BR82" i="52"/>
  <c r="BR84" i="52"/>
  <c r="BR81" i="52"/>
  <c r="BR79" i="52"/>
  <c r="AM67" i="52"/>
  <c r="AL68" i="52"/>
  <c r="AC68" i="52"/>
  <c r="AE116" i="52"/>
  <c r="AK116" i="52"/>
  <c r="Z52" i="52"/>
  <c r="AD116" i="52"/>
  <c r="BQ77" i="52"/>
  <c r="AC84" i="52"/>
  <c r="BL67" i="52"/>
  <c r="BL64" i="52"/>
  <c r="BL61" i="52"/>
  <c r="BL68" i="52"/>
  <c r="BL59" i="52"/>
  <c r="BL57" i="52"/>
  <c r="BL55" i="52"/>
  <c r="BF105" i="52"/>
  <c r="BF103" i="52"/>
  <c r="BF107" i="52"/>
  <c r="BF109" i="52"/>
  <c r="BF116" i="52"/>
  <c r="BF115" i="52"/>
  <c r="BF114" i="52"/>
  <c r="BF112" i="52"/>
  <c r="BF113" i="52"/>
  <c r="BF111" i="52"/>
  <c r="BF110" i="52"/>
  <c r="S50" i="52"/>
  <c r="T45" i="52"/>
  <c r="BG127" i="52"/>
  <c r="R50" i="52"/>
  <c r="S45" i="52"/>
  <c r="R44" i="52"/>
  <c r="R41" i="52"/>
  <c r="BG141" i="52"/>
  <c r="BG146" i="52"/>
  <c r="BG143" i="52"/>
  <c r="BG148" i="52"/>
  <c r="BG145" i="52"/>
  <c r="BG147" i="52"/>
  <c r="BG144" i="52"/>
  <c r="BG142" i="52"/>
  <c r="S42" i="52"/>
  <c r="BL41" i="52"/>
  <c r="BL43" i="52"/>
  <c r="BL39" i="52"/>
  <c r="BL46" i="52"/>
  <c r="BL47" i="52"/>
  <c r="BL50" i="52"/>
  <c r="BL52" i="52"/>
  <c r="BL49" i="52"/>
  <c r="BL45" i="52"/>
  <c r="BL48" i="52"/>
  <c r="BL51" i="52"/>
  <c r="R42" i="52"/>
  <c r="AZ69" i="53"/>
  <c r="M69" i="53"/>
  <c r="BA137" i="53"/>
  <c r="N137" i="53"/>
  <c r="N205" i="53" s="1"/>
  <c r="N183" i="53"/>
  <c r="AZ43" i="53"/>
  <c r="M43" i="53"/>
  <c r="P43" i="53" s="1"/>
  <c r="AZ62" i="53"/>
  <c r="M62" i="53"/>
  <c r="P62" i="53" s="1"/>
  <c r="AZ18" i="53"/>
  <c r="M18" i="53"/>
  <c r="BA26" i="53"/>
  <c r="N26" i="53"/>
  <c r="AZ28" i="53"/>
  <c r="M28" i="53"/>
  <c r="AZ111" i="53"/>
  <c r="M111" i="53"/>
  <c r="AZ115" i="53"/>
  <c r="M115" i="53"/>
  <c r="M166" i="53" s="1"/>
  <c r="BA126" i="53"/>
  <c r="N126" i="53"/>
  <c r="N194" i="53" s="1"/>
  <c r="AZ137" i="53"/>
  <c r="M137" i="53"/>
  <c r="M205" i="53" s="1"/>
  <c r="BA145" i="53"/>
  <c r="N145" i="53"/>
  <c r="BA149" i="53"/>
  <c r="N149" i="53"/>
  <c r="P149" i="53" s="1"/>
  <c r="BA28" i="53"/>
  <c r="N28" i="53"/>
  <c r="AZ35" i="53"/>
  <c r="M35" i="53"/>
  <c r="BA58" i="53"/>
  <c r="N58" i="53"/>
  <c r="BA69" i="53"/>
  <c r="N69" i="53"/>
  <c r="AZ136" i="53"/>
  <c r="M136" i="53"/>
  <c r="M170" i="53" s="1"/>
  <c r="BB137" i="53"/>
  <c r="O137" i="53"/>
  <c r="O171" i="53" s="1"/>
  <c r="AZ27" i="53"/>
  <c r="M27" i="53"/>
  <c r="P27" i="53" s="1"/>
  <c r="BB58" i="53"/>
  <c r="O58" i="53"/>
  <c r="AZ61" i="53"/>
  <c r="M61" i="53"/>
  <c r="P61" i="53" s="1"/>
  <c r="BA68" i="53"/>
  <c r="N68" i="53"/>
  <c r="AZ113" i="53"/>
  <c r="M113" i="53"/>
  <c r="BA147" i="53"/>
  <c r="N147" i="53"/>
  <c r="AZ26" i="53"/>
  <c r="M26" i="53"/>
  <c r="P26" i="53" s="1"/>
  <c r="BA34" i="53"/>
  <c r="N34" i="53"/>
  <c r="N170" i="53" s="1"/>
  <c r="AZ45" i="53"/>
  <c r="M45" i="53"/>
  <c r="BA57" i="53"/>
  <c r="N57" i="53"/>
  <c r="P57" i="53" s="1"/>
  <c r="AZ60" i="53"/>
  <c r="M60" i="53"/>
  <c r="P60" i="53" s="1"/>
  <c r="BB68" i="53"/>
  <c r="O68" i="53"/>
  <c r="O170" i="53" s="1"/>
  <c r="BA109" i="53"/>
  <c r="N109" i="53"/>
  <c r="N177" i="53" s="1"/>
  <c r="AZ146" i="53"/>
  <c r="M146" i="53"/>
  <c r="P146" i="53" s="1"/>
  <c r="BB147" i="53"/>
  <c r="O147" i="53"/>
  <c r="O164" i="53" s="1"/>
  <c r="BA41" i="53"/>
  <c r="N41" i="53"/>
  <c r="BA45" i="53"/>
  <c r="N45" i="53"/>
  <c r="BA60" i="53"/>
  <c r="N60" i="53"/>
  <c r="BB109" i="53"/>
  <c r="O109" i="53"/>
  <c r="O177" i="53" s="1"/>
  <c r="BA120" i="53"/>
  <c r="N120" i="53"/>
  <c r="P120" i="53" s="1"/>
  <c r="BB41" i="53"/>
  <c r="O41" i="53"/>
  <c r="AZ145" i="53"/>
  <c r="M145" i="53"/>
  <c r="D201" i="53"/>
  <c r="AB202" i="53"/>
  <c r="AD203" i="53"/>
  <c r="D205" i="53"/>
  <c r="AC178" i="53"/>
  <c r="C184" i="53"/>
  <c r="AC186" i="53"/>
  <c r="C195" i="53"/>
  <c r="E196" i="53"/>
  <c r="C199" i="53"/>
  <c r="E200" i="53"/>
  <c r="C203" i="53"/>
  <c r="AZ203" i="53" s="1"/>
  <c r="E204" i="53"/>
  <c r="AC205" i="53"/>
  <c r="M197" i="53"/>
  <c r="O187" i="53"/>
  <c r="O199" i="53"/>
  <c r="AC185" i="53"/>
  <c r="E188" i="53"/>
  <c r="AC196" i="53"/>
  <c r="C198" i="53"/>
  <c r="AZ198" i="53" s="1"/>
  <c r="E199" i="53"/>
  <c r="AC200" i="53"/>
  <c r="N204" i="53"/>
  <c r="O188" i="53"/>
  <c r="O200" i="53"/>
  <c r="Z132" i="52"/>
  <c r="AB176" i="53"/>
  <c r="AT176" i="53" s="1"/>
  <c r="AZ176" i="53" s="1"/>
  <c r="M180" i="53"/>
  <c r="O182" i="53"/>
  <c r="N197" i="53"/>
  <c r="N180" i="53"/>
  <c r="M195" i="53"/>
  <c r="N200" i="53"/>
  <c r="N178" i="53"/>
  <c r="O183" i="53"/>
  <c r="O195" i="53"/>
  <c r="N198" i="53"/>
  <c r="D181" i="53"/>
  <c r="AB182" i="53"/>
  <c r="P144" i="53"/>
  <c r="AD201" i="53"/>
  <c r="D203" i="53"/>
  <c r="AB204" i="53"/>
  <c r="AD205" i="53"/>
  <c r="D195" i="53"/>
  <c r="AD197" i="53"/>
  <c r="O181" i="53"/>
  <c r="N199" i="53"/>
  <c r="N179" i="53"/>
  <c r="M182" i="53"/>
  <c r="P7" i="53"/>
  <c r="E179" i="53"/>
  <c r="C182" i="53"/>
  <c r="E183" i="53"/>
  <c r="AD184" i="53"/>
  <c r="D186" i="53"/>
  <c r="AB187" i="53"/>
  <c r="AD188" i="53"/>
  <c r="AD195" i="53"/>
  <c r="D197" i="53"/>
  <c r="AD199" i="53"/>
  <c r="D178" i="53"/>
  <c r="P63" i="53"/>
  <c r="P128" i="53"/>
  <c r="AC177" i="53"/>
  <c r="C179" i="53"/>
  <c r="E180" i="53"/>
  <c r="C183" i="53"/>
  <c r="AB184" i="53"/>
  <c r="AD185" i="53"/>
  <c r="AD196" i="53"/>
  <c r="D198" i="53"/>
  <c r="P132" i="53"/>
  <c r="AZ96" i="53"/>
  <c r="P40" i="53"/>
  <c r="P29" i="53"/>
  <c r="AD202" i="53"/>
  <c r="D204" i="53"/>
  <c r="AB205" i="53"/>
  <c r="P8" i="53"/>
  <c r="O166" i="53"/>
  <c r="P25" i="53"/>
  <c r="P42" i="53"/>
  <c r="P52" i="53"/>
  <c r="P119" i="53"/>
  <c r="P142" i="53"/>
  <c r="AE42" i="53"/>
  <c r="P6" i="53"/>
  <c r="P23" i="53"/>
  <c r="P59" i="53"/>
  <c r="AE66" i="53"/>
  <c r="P9" i="53"/>
  <c r="P46" i="53"/>
  <c r="AC167" i="53"/>
  <c r="O165" i="53"/>
  <c r="O198" i="53"/>
  <c r="P129" i="53"/>
  <c r="C165" i="53"/>
  <c r="AE52" i="53"/>
  <c r="D182" i="53"/>
  <c r="AB183" i="53"/>
  <c r="E186" i="53"/>
  <c r="AC187" i="53"/>
  <c r="AC194" i="53"/>
  <c r="C196" i="53"/>
  <c r="AZ196" i="53" s="1"/>
  <c r="F110" i="53"/>
  <c r="N196" i="53"/>
  <c r="P130" i="53"/>
  <c r="D161" i="53"/>
  <c r="AE9" i="53"/>
  <c r="AE13" i="53"/>
  <c r="E178" i="53"/>
  <c r="AC179" i="53"/>
  <c r="C181" i="53"/>
  <c r="AZ181" i="53" s="1"/>
  <c r="E182" i="53"/>
  <c r="AC183" i="53"/>
  <c r="P44" i="53"/>
  <c r="P75" i="53"/>
  <c r="N187" i="53"/>
  <c r="P92" i="53"/>
  <c r="O196" i="53"/>
  <c r="AD171" i="53"/>
  <c r="AB178" i="53"/>
  <c r="D196" i="53"/>
  <c r="C200" i="53"/>
  <c r="E201" i="53"/>
  <c r="C204" i="53"/>
  <c r="E205" i="53"/>
  <c r="P10" i="53"/>
  <c r="P51" i="53"/>
  <c r="P64" i="53"/>
  <c r="O179" i="53"/>
  <c r="P94" i="53"/>
  <c r="P153" i="53"/>
  <c r="AE8" i="53"/>
  <c r="C180" i="53"/>
  <c r="E181" i="53"/>
  <c r="AC182" i="53"/>
  <c r="AE115" i="53"/>
  <c r="M161" i="53"/>
  <c r="O163" i="53"/>
  <c r="P13" i="53"/>
  <c r="P18" i="53"/>
  <c r="P47" i="53"/>
  <c r="N182" i="53"/>
  <c r="P85" i="53"/>
  <c r="M199" i="53"/>
  <c r="P114" i="53"/>
  <c r="P131" i="53"/>
  <c r="P143" i="53"/>
  <c r="P148" i="53"/>
  <c r="D168" i="53"/>
  <c r="AB169" i="53"/>
  <c r="AE7" i="53"/>
  <c r="AE129" i="53"/>
  <c r="M159" i="53"/>
  <c r="O161" i="53"/>
  <c r="P11" i="53"/>
  <c r="P30" i="53"/>
  <c r="P80" i="53"/>
  <c r="O204" i="53"/>
  <c r="P112" i="53"/>
  <c r="P127" i="53"/>
  <c r="P154" i="53"/>
  <c r="D179" i="53"/>
  <c r="AB180" i="53"/>
  <c r="D183" i="53"/>
  <c r="AC184" i="53"/>
  <c r="E187" i="53"/>
  <c r="O178" i="53"/>
  <c r="P78" i="53"/>
  <c r="P81" i="53"/>
  <c r="M188" i="53"/>
  <c r="O194" i="53"/>
  <c r="P98" i="53"/>
  <c r="P103" i="53"/>
  <c r="P125" i="53"/>
  <c r="AE6" i="53"/>
  <c r="AE11" i="53"/>
  <c r="C166" i="53"/>
  <c r="AE31" i="53"/>
  <c r="C178" i="53"/>
  <c r="AC195" i="53"/>
  <c r="C197" i="53"/>
  <c r="AD200" i="53"/>
  <c r="AB203" i="53"/>
  <c r="E121" i="53"/>
  <c r="AE114" i="53"/>
  <c r="AE132" i="53"/>
  <c r="O159" i="53"/>
  <c r="M165" i="53"/>
  <c r="P76" i="53"/>
  <c r="P79" i="53"/>
  <c r="O197" i="53"/>
  <c r="P110" i="53"/>
  <c r="AE12" i="53"/>
  <c r="AB163" i="53"/>
  <c r="F42" i="53"/>
  <c r="AE47" i="53"/>
  <c r="AC199" i="53"/>
  <c r="M160" i="53"/>
  <c r="O162" i="53"/>
  <c r="N165" i="53"/>
  <c r="P24" i="53"/>
  <c r="P74" i="53"/>
  <c r="P77" i="53"/>
  <c r="N181" i="53"/>
  <c r="N195" i="53"/>
  <c r="P96" i="53"/>
  <c r="P102" i="53"/>
  <c r="M176" i="53"/>
  <c r="M187" i="53"/>
  <c r="M194" i="53"/>
  <c r="M196" i="53"/>
  <c r="M198" i="53"/>
  <c r="M200" i="53"/>
  <c r="N176" i="53"/>
  <c r="O176" i="53"/>
  <c r="P17" i="53"/>
  <c r="P86" i="53"/>
  <c r="P91" i="53"/>
  <c r="P93" i="53"/>
  <c r="P95" i="53"/>
  <c r="P97" i="53"/>
  <c r="P108" i="53"/>
  <c r="M177" i="53"/>
  <c r="M193" i="53"/>
  <c r="N161" i="53"/>
  <c r="N163" i="53"/>
  <c r="N193" i="53"/>
  <c r="P12" i="53"/>
  <c r="O193" i="53"/>
  <c r="AE113" i="53"/>
  <c r="C36" i="53"/>
  <c r="AE68" i="53"/>
  <c r="AD170" i="53"/>
  <c r="AE112" i="53"/>
  <c r="F115" i="53"/>
  <c r="AE111" i="53"/>
  <c r="F47" i="53"/>
  <c r="AE84" i="53"/>
  <c r="C138" i="53"/>
  <c r="F43" i="53"/>
  <c r="AE49" i="53"/>
  <c r="AE58" i="53"/>
  <c r="D180" i="53"/>
  <c r="AB181" i="53"/>
  <c r="D188" i="53"/>
  <c r="C201" i="53"/>
  <c r="E202" i="53"/>
  <c r="C205" i="53"/>
  <c r="AE109" i="53"/>
  <c r="F134" i="53"/>
  <c r="AE10" i="53"/>
  <c r="AB167" i="53"/>
  <c r="AD168" i="53"/>
  <c r="AE32" i="53"/>
  <c r="AE43" i="53"/>
  <c r="AE48" i="53"/>
  <c r="AD194" i="53"/>
  <c r="E197" i="53"/>
  <c r="AC198" i="53"/>
  <c r="AD164" i="53"/>
  <c r="AD165" i="53"/>
  <c r="AD166" i="53"/>
  <c r="C168" i="53"/>
  <c r="E169" i="53"/>
  <c r="C53" i="53"/>
  <c r="F45" i="53"/>
  <c r="F46" i="53"/>
  <c r="AE50" i="53"/>
  <c r="AB179" i="53"/>
  <c r="AE100" i="53"/>
  <c r="AZ101" i="53"/>
  <c r="D121" i="53"/>
  <c r="AE130" i="53"/>
  <c r="C159" i="53"/>
  <c r="C161" i="53"/>
  <c r="C162" i="53"/>
  <c r="C163" i="53"/>
  <c r="C164" i="53"/>
  <c r="AZ164" i="53" s="1"/>
  <c r="C167" i="53"/>
  <c r="E168" i="53"/>
  <c r="AC169" i="53"/>
  <c r="C171" i="53"/>
  <c r="F44" i="53"/>
  <c r="E177" i="53"/>
  <c r="C202" i="53"/>
  <c r="D138" i="53"/>
  <c r="C155" i="53"/>
  <c r="F152" i="53"/>
  <c r="D159" i="53"/>
  <c r="D160" i="53"/>
  <c r="D162" i="53"/>
  <c r="D163" i="53"/>
  <c r="D164" i="53"/>
  <c r="D165" i="53"/>
  <c r="D166" i="53"/>
  <c r="AB168" i="53"/>
  <c r="AD169" i="53"/>
  <c r="D171" i="53"/>
  <c r="AB177" i="53"/>
  <c r="AT177" i="53" s="1"/>
  <c r="D185" i="53"/>
  <c r="AB186" i="53"/>
  <c r="AD198" i="53"/>
  <c r="D202" i="53"/>
  <c r="E203" i="53"/>
  <c r="AC121" i="53"/>
  <c r="AO112" i="53" s="1"/>
  <c r="F133" i="53"/>
  <c r="AZ143" i="53"/>
  <c r="F151" i="53"/>
  <c r="E167" i="53"/>
  <c r="AC168" i="53"/>
  <c r="E171" i="53"/>
  <c r="AB36" i="53"/>
  <c r="AN23" i="53" s="1"/>
  <c r="AE59" i="53"/>
  <c r="E176" i="53"/>
  <c r="AE76" i="53"/>
  <c r="AD187" i="53"/>
  <c r="AZ92" i="53"/>
  <c r="AC197" i="53"/>
  <c r="F6" i="53"/>
  <c r="F7" i="53"/>
  <c r="F8" i="53"/>
  <c r="F9" i="53"/>
  <c r="F10" i="53"/>
  <c r="F11" i="53"/>
  <c r="F12" i="53"/>
  <c r="F13" i="53"/>
  <c r="AB171" i="53"/>
  <c r="AC36" i="53"/>
  <c r="AO25" i="53" s="1"/>
  <c r="AC181" i="53"/>
  <c r="E195" i="53"/>
  <c r="F143" i="53"/>
  <c r="AB159" i="53"/>
  <c r="AB160" i="53"/>
  <c r="AB161" i="53"/>
  <c r="AB162" i="53"/>
  <c r="AB164" i="53"/>
  <c r="AB165" i="53"/>
  <c r="AB166" i="53"/>
  <c r="C169" i="53"/>
  <c r="E170" i="53"/>
  <c r="AC171" i="53"/>
  <c r="AD36" i="53"/>
  <c r="AP27" i="53" s="1"/>
  <c r="AE30" i="53"/>
  <c r="AE79" i="53"/>
  <c r="AD204" i="53"/>
  <c r="AE103" i="53"/>
  <c r="AD138" i="53"/>
  <c r="AP125" i="53" s="1"/>
  <c r="AC159" i="53"/>
  <c r="AC160" i="53"/>
  <c r="AC161" i="53"/>
  <c r="AC162" i="53"/>
  <c r="AC164" i="53"/>
  <c r="AC165" i="53"/>
  <c r="AC166" i="53"/>
  <c r="AD167" i="53"/>
  <c r="D169" i="53"/>
  <c r="AB170" i="53"/>
  <c r="AZ23" i="53"/>
  <c r="AE51" i="53"/>
  <c r="BB67" i="53"/>
  <c r="AC180" i="53"/>
  <c r="AZ94" i="53"/>
  <c r="AE101" i="53"/>
  <c r="AE102" i="53"/>
  <c r="F113" i="53"/>
  <c r="BA125" i="53"/>
  <c r="AE131" i="53"/>
  <c r="F135" i="53"/>
  <c r="AD155" i="53"/>
  <c r="AP142" i="53" s="1"/>
  <c r="AZ147" i="53"/>
  <c r="BA152" i="53"/>
  <c r="AD159" i="53"/>
  <c r="AD160" i="53"/>
  <c r="AD161" i="53"/>
  <c r="AD162" i="53"/>
  <c r="AD163" i="53"/>
  <c r="D167" i="53"/>
  <c r="D170" i="53"/>
  <c r="D19" i="53"/>
  <c r="D36" i="53"/>
  <c r="F31" i="53"/>
  <c r="AE45" i="53"/>
  <c r="AD179" i="53"/>
  <c r="AE77" i="53"/>
  <c r="AE136" i="53"/>
  <c r="AZ7" i="53"/>
  <c r="F14" i="53"/>
  <c r="F15" i="53"/>
  <c r="F16" i="53"/>
  <c r="F17" i="53"/>
  <c r="F18" i="53"/>
  <c r="F23" i="53"/>
  <c r="F24" i="53"/>
  <c r="F25" i="53"/>
  <c r="F26" i="53"/>
  <c r="F27" i="53"/>
  <c r="F28" i="53"/>
  <c r="F29" i="53"/>
  <c r="F30" i="53"/>
  <c r="AC176" i="53"/>
  <c r="AC87" i="53"/>
  <c r="AO74" i="53" s="1"/>
  <c r="AE74" i="53"/>
  <c r="AD177" i="53"/>
  <c r="AE75" i="53"/>
  <c r="AB19" i="53"/>
  <c r="AN6" i="53" s="1"/>
  <c r="F32" i="53"/>
  <c r="AE44" i="53"/>
  <c r="AE61" i="53"/>
  <c r="AE67" i="53"/>
  <c r="E19" i="53"/>
  <c r="AZ68" i="53"/>
  <c r="F68" i="53"/>
  <c r="E159" i="53"/>
  <c r="E160" i="53"/>
  <c r="E161" i="53"/>
  <c r="E162" i="53"/>
  <c r="E163" i="53"/>
  <c r="E164" i="53"/>
  <c r="E165" i="53"/>
  <c r="E166" i="53"/>
  <c r="AC170" i="53"/>
  <c r="AC19" i="53"/>
  <c r="AO8" i="53" s="1"/>
  <c r="AE33" i="53"/>
  <c r="AE35" i="53"/>
  <c r="AE41" i="53"/>
  <c r="D53" i="53"/>
  <c r="E70" i="53"/>
  <c r="BB57" i="53"/>
  <c r="F64" i="53"/>
  <c r="D70" i="53"/>
  <c r="AE34" i="53"/>
  <c r="E36" i="53"/>
  <c r="AC53" i="53"/>
  <c r="AO42" i="53" s="1"/>
  <c r="AE46" i="53"/>
  <c r="E53" i="53"/>
  <c r="AZ6" i="53"/>
  <c r="AZ9" i="53"/>
  <c r="AZ11" i="53"/>
  <c r="AE14" i="53"/>
  <c r="AE15" i="53"/>
  <c r="AE16" i="53"/>
  <c r="AE17" i="53"/>
  <c r="AE18" i="53"/>
  <c r="AE23" i="53"/>
  <c r="AE24" i="53"/>
  <c r="AE25" i="53"/>
  <c r="AE26" i="53"/>
  <c r="AE27" i="53"/>
  <c r="AE28" i="53"/>
  <c r="AE29" i="53"/>
  <c r="AZ33" i="53"/>
  <c r="F33" i="53"/>
  <c r="AD53" i="53"/>
  <c r="AP40" i="53" s="1"/>
  <c r="AC188" i="53"/>
  <c r="AD19" i="53"/>
  <c r="AP6" i="53" s="1"/>
  <c r="AC163" i="53"/>
  <c r="AZ16" i="53"/>
  <c r="C170" i="53"/>
  <c r="C19" i="53"/>
  <c r="AZ34" i="53"/>
  <c r="F34" i="53"/>
  <c r="AE40" i="53"/>
  <c r="F60" i="53"/>
  <c r="F61" i="53"/>
  <c r="AE63" i="53"/>
  <c r="F65" i="53"/>
  <c r="AE69" i="53"/>
  <c r="E184" i="53"/>
  <c r="AB188" i="53"/>
  <c r="AE86" i="53"/>
  <c r="F48" i="53"/>
  <c r="F49" i="53"/>
  <c r="F50" i="53"/>
  <c r="F51" i="53"/>
  <c r="F52" i="53"/>
  <c r="F57" i="53"/>
  <c r="F58" i="53"/>
  <c r="F59" i="53"/>
  <c r="AE62" i="53"/>
  <c r="AC70" i="53"/>
  <c r="AD176" i="53"/>
  <c r="AD87" i="53"/>
  <c r="AP78" i="53" s="1"/>
  <c r="AD182" i="53"/>
  <c r="E185" i="53"/>
  <c r="AZ50" i="53"/>
  <c r="AZ51" i="53"/>
  <c r="AB53" i="53"/>
  <c r="AN57" i="53" s="1"/>
  <c r="AB70" i="53"/>
  <c r="AZ58" i="53"/>
  <c r="F66" i="53"/>
  <c r="AD70" i="53"/>
  <c r="AE80" i="53"/>
  <c r="AB185" i="53"/>
  <c r="AE83" i="53"/>
  <c r="C187" i="53"/>
  <c r="F85" i="53"/>
  <c r="AZ91" i="53"/>
  <c r="F63" i="53"/>
  <c r="AD180" i="53"/>
  <c r="D187" i="53"/>
  <c r="F35" i="53"/>
  <c r="F40" i="53"/>
  <c r="F41" i="53"/>
  <c r="D177" i="53"/>
  <c r="AE78" i="53"/>
  <c r="AD183" i="53"/>
  <c r="D194" i="53"/>
  <c r="D199" i="53"/>
  <c r="AZ40" i="53"/>
  <c r="AE57" i="53"/>
  <c r="AE60" i="53"/>
  <c r="F62" i="53"/>
  <c r="AE64" i="53"/>
  <c r="AE65" i="53"/>
  <c r="F67" i="53"/>
  <c r="D176" i="53"/>
  <c r="D87" i="53"/>
  <c r="AD178" i="53"/>
  <c r="AE81" i="53"/>
  <c r="AB193" i="53"/>
  <c r="AB104" i="53"/>
  <c r="AN95" i="53" s="1"/>
  <c r="AE91" i="53"/>
  <c r="E194" i="53"/>
  <c r="C70" i="53"/>
  <c r="AD181" i="53"/>
  <c r="D184" i="53"/>
  <c r="AD186" i="53"/>
  <c r="AC193" i="53"/>
  <c r="AC104" i="53"/>
  <c r="AO95" i="53" s="1"/>
  <c r="AB201" i="53"/>
  <c r="AZ74" i="53"/>
  <c r="AZ177" i="53"/>
  <c r="F82" i="53"/>
  <c r="C87" i="53"/>
  <c r="AD193" i="53"/>
  <c r="AD104" i="53"/>
  <c r="AP91" i="53" s="1"/>
  <c r="AB194" i="53"/>
  <c r="AE92" i="53"/>
  <c r="AB199" i="53"/>
  <c r="AE97" i="53"/>
  <c r="F109" i="53"/>
  <c r="C186" i="53"/>
  <c r="F84" i="53"/>
  <c r="E198" i="53"/>
  <c r="AE99" i="53"/>
  <c r="F111" i="53"/>
  <c r="F114" i="53"/>
  <c r="AE135" i="53"/>
  <c r="AZ84" i="53"/>
  <c r="E87" i="53"/>
  <c r="AB195" i="53"/>
  <c r="AE93" i="53"/>
  <c r="AB196" i="53"/>
  <c r="AE94" i="53"/>
  <c r="AB197" i="53"/>
  <c r="AE95" i="53"/>
  <c r="AB198" i="53"/>
  <c r="AE96" i="53"/>
  <c r="D200" i="53"/>
  <c r="F98" i="53"/>
  <c r="F69" i="53"/>
  <c r="F74" i="53"/>
  <c r="F75" i="53"/>
  <c r="F76" i="53"/>
  <c r="F77" i="53"/>
  <c r="F78" i="53"/>
  <c r="F79" i="53"/>
  <c r="F80" i="53"/>
  <c r="F81" i="53"/>
  <c r="C188" i="53"/>
  <c r="F86" i="53"/>
  <c r="AB87" i="53"/>
  <c r="AN78" i="53" s="1"/>
  <c r="C193" i="53"/>
  <c r="C104" i="53"/>
  <c r="F91" i="53"/>
  <c r="AE134" i="53"/>
  <c r="AZ75" i="53"/>
  <c r="AZ79" i="53"/>
  <c r="AE82" i="53"/>
  <c r="C185" i="53"/>
  <c r="F83" i="53"/>
  <c r="AE85" i="53"/>
  <c r="D193" i="53"/>
  <c r="D104" i="53"/>
  <c r="AB200" i="53"/>
  <c r="AE98" i="53"/>
  <c r="BA77" i="53"/>
  <c r="BA79" i="53"/>
  <c r="E193" i="53"/>
  <c r="E104" i="53"/>
  <c r="C194" i="53"/>
  <c r="F92" i="53"/>
  <c r="C121" i="53"/>
  <c r="AZ108" i="53"/>
  <c r="F108" i="53"/>
  <c r="AE110" i="53"/>
  <c r="F93" i="53"/>
  <c r="F94" i="53"/>
  <c r="F95" i="53"/>
  <c r="F96" i="53"/>
  <c r="F97" i="53"/>
  <c r="AE108" i="53"/>
  <c r="F112" i="53"/>
  <c r="AE133" i="53"/>
  <c r="BB125" i="53"/>
  <c r="F125" i="53"/>
  <c r="F145" i="53"/>
  <c r="BB126" i="53"/>
  <c r="F126" i="53"/>
  <c r="BA108" i="53"/>
  <c r="F127" i="53"/>
  <c r="F128" i="53"/>
  <c r="F129" i="53"/>
  <c r="F130" i="53"/>
  <c r="F131" i="53"/>
  <c r="F132" i="53"/>
  <c r="E138" i="53"/>
  <c r="F99" i="53"/>
  <c r="F100" i="53"/>
  <c r="F101" i="53"/>
  <c r="F102" i="53"/>
  <c r="F103" i="53"/>
  <c r="BB119" i="53"/>
  <c r="F119" i="53"/>
  <c r="BB120" i="53"/>
  <c r="F120" i="53"/>
  <c r="AC201" i="53"/>
  <c r="AC202" i="53"/>
  <c r="AC203" i="53"/>
  <c r="AC204" i="53"/>
  <c r="AD121" i="53"/>
  <c r="AP110" i="53" s="1"/>
  <c r="AZ134" i="53"/>
  <c r="AZ135" i="53"/>
  <c r="AB155" i="53"/>
  <c r="AN142" i="53" s="1"/>
  <c r="AE142" i="53"/>
  <c r="AE146" i="53"/>
  <c r="F116" i="53"/>
  <c r="F117" i="53"/>
  <c r="F118" i="53"/>
  <c r="AZ117" i="53"/>
  <c r="AZ118" i="53"/>
  <c r="AZ120" i="53"/>
  <c r="AB121" i="53"/>
  <c r="AN110" i="53" s="1"/>
  <c r="AZ125" i="53"/>
  <c r="AZ126" i="53"/>
  <c r="AZ128" i="53"/>
  <c r="AZ130" i="53"/>
  <c r="AZ132" i="53"/>
  <c r="AB138" i="53"/>
  <c r="AN129" i="53" s="1"/>
  <c r="AE145" i="53"/>
  <c r="AC138" i="53"/>
  <c r="AO127" i="53" s="1"/>
  <c r="F137" i="53"/>
  <c r="F147" i="53"/>
  <c r="F148" i="53"/>
  <c r="AE137" i="53"/>
  <c r="D155" i="53"/>
  <c r="F144" i="53"/>
  <c r="AE147" i="53"/>
  <c r="AE116" i="53"/>
  <c r="AE117" i="53"/>
  <c r="AE118" i="53"/>
  <c r="AE119" i="53"/>
  <c r="AE120" i="53"/>
  <c r="AE125" i="53"/>
  <c r="AE126" i="53"/>
  <c r="AE127" i="53"/>
  <c r="AE128" i="53"/>
  <c r="E155" i="53"/>
  <c r="AE144" i="53"/>
  <c r="F136" i="53"/>
  <c r="F142" i="53"/>
  <c r="AE143" i="53"/>
  <c r="F146" i="53"/>
  <c r="AE148" i="53"/>
  <c r="AE149" i="53"/>
  <c r="BB151" i="53"/>
  <c r="BB152" i="53"/>
  <c r="F150" i="53"/>
  <c r="F153" i="53"/>
  <c r="F154" i="53"/>
  <c r="AZ151" i="53"/>
  <c r="AZ152" i="53"/>
  <c r="AZ154" i="53"/>
  <c r="AC155" i="53"/>
  <c r="AO144" i="53" s="1"/>
  <c r="F149" i="53"/>
  <c r="AE150" i="53"/>
  <c r="AE151" i="53"/>
  <c r="AE152" i="53"/>
  <c r="AE153" i="53"/>
  <c r="AE154" i="53"/>
  <c r="Z148" i="52"/>
  <c r="AE84" i="52"/>
  <c r="AG84" i="52"/>
  <c r="AG116" i="52"/>
  <c r="AM62" i="52"/>
  <c r="AL52" i="52"/>
  <c r="AM83" i="52"/>
  <c r="AM46" i="52"/>
  <c r="T43" i="52"/>
  <c r="S71" i="52"/>
  <c r="T47" i="52"/>
  <c r="S44" i="52"/>
  <c r="T39" i="52"/>
  <c r="T105" i="52"/>
  <c r="R55" i="52"/>
  <c r="R113" i="52"/>
  <c r="T40" i="52"/>
  <c r="AM40" i="52" s="1"/>
  <c r="R66" i="52"/>
  <c r="S110" i="52"/>
  <c r="T44" i="52"/>
  <c r="T50" i="52"/>
  <c r="T42" i="52"/>
  <c r="T41" i="52"/>
  <c r="R58" i="52"/>
  <c r="S63" i="52"/>
  <c r="T107" i="52"/>
  <c r="S41" i="52"/>
  <c r="T60" i="52"/>
  <c r="R105" i="52"/>
  <c r="R48" i="52"/>
  <c r="R40" i="52"/>
  <c r="S66" i="52"/>
  <c r="T63" i="52"/>
  <c r="R61" i="52"/>
  <c r="S58" i="52"/>
  <c r="R71" i="52"/>
  <c r="R82" i="52"/>
  <c r="S79" i="52"/>
  <c r="T76" i="52"/>
  <c r="R74" i="52"/>
  <c r="T103" i="52"/>
  <c r="S113" i="52"/>
  <c r="T110" i="52"/>
  <c r="R108" i="52"/>
  <c r="S105" i="52"/>
  <c r="R39" i="52"/>
  <c r="S47" i="52"/>
  <c r="S55" i="52"/>
  <c r="T65" i="52"/>
  <c r="R63" i="52"/>
  <c r="S60" i="52"/>
  <c r="T57" i="52"/>
  <c r="T71" i="52"/>
  <c r="S81" i="52"/>
  <c r="T78" i="52"/>
  <c r="R76" i="52"/>
  <c r="S73" i="52"/>
  <c r="S115" i="52"/>
  <c r="T112" i="52"/>
  <c r="R110" i="52"/>
  <c r="S107" i="52"/>
  <c r="T104" i="52"/>
  <c r="AM104" i="52" s="1"/>
  <c r="S39" i="52"/>
  <c r="T49" i="52"/>
  <c r="R47" i="52"/>
  <c r="T55" i="52"/>
  <c r="S65" i="52"/>
  <c r="T62" i="52"/>
  <c r="R60" i="52"/>
  <c r="S57" i="52"/>
  <c r="T83" i="52"/>
  <c r="R81" i="52"/>
  <c r="S78" i="52"/>
  <c r="T75" i="52"/>
  <c r="R73" i="52"/>
  <c r="R115" i="52"/>
  <c r="S112" i="52"/>
  <c r="T109" i="52"/>
  <c r="R107" i="52"/>
  <c r="S104" i="52"/>
  <c r="T81" i="52"/>
  <c r="S49" i="52"/>
  <c r="T46" i="52"/>
  <c r="T67" i="52"/>
  <c r="R65" i="52"/>
  <c r="S62" i="52"/>
  <c r="T59" i="52"/>
  <c r="R57" i="52"/>
  <c r="S83" i="52"/>
  <c r="T80" i="52"/>
  <c r="R78" i="52"/>
  <c r="S75" i="52"/>
  <c r="T72" i="52"/>
  <c r="AM72" i="52" s="1"/>
  <c r="T114" i="52"/>
  <c r="R112" i="52"/>
  <c r="S109" i="52"/>
  <c r="T106" i="52"/>
  <c r="R104" i="52"/>
  <c r="R49" i="52"/>
  <c r="S46" i="52"/>
  <c r="S67" i="52"/>
  <c r="T64" i="52"/>
  <c r="R62" i="52"/>
  <c r="S59" i="52"/>
  <c r="T56" i="52"/>
  <c r="AM56" i="52" s="1"/>
  <c r="R83" i="52"/>
  <c r="S80" i="52"/>
  <c r="T77" i="52"/>
  <c r="R75" i="52"/>
  <c r="S72" i="52"/>
  <c r="S114" i="52"/>
  <c r="T111" i="52"/>
  <c r="R109" i="52"/>
  <c r="S106" i="52"/>
  <c r="R45" i="52"/>
  <c r="S51" i="52"/>
  <c r="T48" i="52"/>
  <c r="R46" i="52"/>
  <c r="R67" i="52"/>
  <c r="S64" i="52"/>
  <c r="T61" i="52"/>
  <c r="R59" i="52"/>
  <c r="S56" i="52"/>
  <c r="T82" i="52"/>
  <c r="R80" i="52"/>
  <c r="S77" i="52"/>
  <c r="T74" i="52"/>
  <c r="R72" i="52"/>
  <c r="R103" i="52"/>
  <c r="R114" i="52"/>
  <c r="S111" i="52"/>
  <c r="T108" i="52"/>
  <c r="R106" i="52"/>
  <c r="T73" i="52"/>
  <c r="S48" i="52"/>
  <c r="T66" i="52"/>
  <c r="R64" i="52"/>
  <c r="S82" i="52"/>
  <c r="R77" i="52"/>
  <c r="S103" i="52"/>
  <c r="T113" i="52"/>
  <c r="BB67" i="52"/>
  <c r="BA67" i="52"/>
  <c r="AZ67" i="52"/>
  <c r="AY67" i="52"/>
  <c r="BB66" i="52"/>
  <c r="BA66" i="52"/>
  <c r="AZ66" i="52"/>
  <c r="AY66" i="52"/>
  <c r="BB65" i="52"/>
  <c r="BA65" i="52"/>
  <c r="AZ65" i="52"/>
  <c r="AY65" i="52"/>
  <c r="BB64" i="52"/>
  <c r="BA64" i="52"/>
  <c r="AZ64" i="52"/>
  <c r="AY64" i="52"/>
  <c r="BB63" i="52"/>
  <c r="BA63" i="52"/>
  <c r="AZ63" i="52"/>
  <c r="AY63" i="52"/>
  <c r="BB62" i="52"/>
  <c r="BA62" i="52"/>
  <c r="AZ62" i="52"/>
  <c r="AY62" i="52"/>
  <c r="BB61" i="52"/>
  <c r="BA61" i="52"/>
  <c r="AZ61" i="52"/>
  <c r="AY61" i="52"/>
  <c r="BB60" i="52"/>
  <c r="BA60" i="52"/>
  <c r="AZ60" i="52"/>
  <c r="AY60" i="52"/>
  <c r="BB59" i="52"/>
  <c r="BA59" i="52"/>
  <c r="AZ59" i="52"/>
  <c r="AY59" i="52"/>
  <c r="BB58" i="52"/>
  <c r="BA58" i="52"/>
  <c r="AZ58" i="52"/>
  <c r="AY58" i="52"/>
  <c r="BB57" i="52"/>
  <c r="BA57" i="52"/>
  <c r="AZ57" i="52"/>
  <c r="AY57" i="52"/>
  <c r="BB56" i="52"/>
  <c r="BA56" i="52"/>
  <c r="AZ56" i="52"/>
  <c r="AY56" i="52"/>
  <c r="BB55" i="52"/>
  <c r="BA55" i="52"/>
  <c r="AZ55" i="52"/>
  <c r="AY55" i="52"/>
  <c r="AX67" i="52"/>
  <c r="AX66" i="52"/>
  <c r="AX65" i="52"/>
  <c r="AX64" i="52"/>
  <c r="AX63" i="52"/>
  <c r="AX62" i="52"/>
  <c r="AX61" i="52"/>
  <c r="AX60" i="52"/>
  <c r="AX59" i="52"/>
  <c r="AX58" i="52"/>
  <c r="AX57" i="52"/>
  <c r="AX56" i="52"/>
  <c r="AX55" i="52"/>
  <c r="AW67" i="52"/>
  <c r="AV67" i="52"/>
  <c r="AU67" i="52"/>
  <c r="AT67" i="52"/>
  <c r="AS67" i="52"/>
  <c r="AR67" i="52"/>
  <c r="AQ67" i="52"/>
  <c r="AP67" i="52"/>
  <c r="AW66" i="52"/>
  <c r="AV66" i="52"/>
  <c r="AU66" i="52"/>
  <c r="AT66" i="52"/>
  <c r="AS66" i="52"/>
  <c r="AR66" i="52"/>
  <c r="AQ66" i="52"/>
  <c r="AP66" i="52"/>
  <c r="AW65" i="52"/>
  <c r="AV65" i="52"/>
  <c r="AU65" i="52"/>
  <c r="AT65" i="52"/>
  <c r="AS65" i="52"/>
  <c r="AR65" i="52"/>
  <c r="AQ65" i="52"/>
  <c r="AP65" i="52"/>
  <c r="AW64" i="52"/>
  <c r="AV64" i="52"/>
  <c r="AU64" i="52"/>
  <c r="AT64" i="52"/>
  <c r="AS64" i="52"/>
  <c r="AR64" i="52"/>
  <c r="AQ64" i="52"/>
  <c r="AP64" i="52"/>
  <c r="AW63" i="52"/>
  <c r="AV63" i="52"/>
  <c r="AU63" i="52"/>
  <c r="AT63" i="52"/>
  <c r="AS63" i="52"/>
  <c r="AR63" i="52"/>
  <c r="AQ63" i="52"/>
  <c r="AP63" i="52"/>
  <c r="AW62" i="52"/>
  <c r="AV62" i="52"/>
  <c r="AU62" i="52"/>
  <c r="AT62" i="52"/>
  <c r="AS62" i="52"/>
  <c r="AR62" i="52"/>
  <c r="AQ62" i="52"/>
  <c r="AP62" i="52"/>
  <c r="AW61" i="52"/>
  <c r="AV61" i="52"/>
  <c r="AU61" i="52"/>
  <c r="AT61" i="52"/>
  <c r="AS61" i="52"/>
  <c r="AR61" i="52"/>
  <c r="AQ61" i="52"/>
  <c r="AP61" i="52"/>
  <c r="AW60" i="52"/>
  <c r="AV60" i="52"/>
  <c r="AU60" i="52"/>
  <c r="AT60" i="52"/>
  <c r="AS60" i="52"/>
  <c r="AR60" i="52"/>
  <c r="AQ60" i="52"/>
  <c r="AP60" i="52"/>
  <c r="AW59" i="52"/>
  <c r="AV59" i="52"/>
  <c r="AU59" i="52"/>
  <c r="AT59" i="52"/>
  <c r="AS59" i="52"/>
  <c r="AR59" i="52"/>
  <c r="AQ59" i="52"/>
  <c r="AP59" i="52"/>
  <c r="AW58" i="52"/>
  <c r="AV58" i="52"/>
  <c r="AU58" i="52"/>
  <c r="AT58" i="52"/>
  <c r="AS58" i="52"/>
  <c r="AR58" i="52"/>
  <c r="AQ58" i="52"/>
  <c r="AP58" i="52"/>
  <c r="AW57" i="52"/>
  <c r="AV57" i="52"/>
  <c r="AU57" i="52"/>
  <c r="AT57" i="52"/>
  <c r="AS57" i="52"/>
  <c r="AR57" i="52"/>
  <c r="AQ57" i="52"/>
  <c r="AP57" i="52"/>
  <c r="AW56" i="52"/>
  <c r="AV56" i="52"/>
  <c r="AU56" i="52"/>
  <c r="AT56" i="52"/>
  <c r="AS56" i="52"/>
  <c r="AR56" i="52"/>
  <c r="AQ56" i="52"/>
  <c r="AP56" i="52"/>
  <c r="AW55" i="52"/>
  <c r="AV55" i="52"/>
  <c r="AU55" i="52"/>
  <c r="AT55" i="52"/>
  <c r="AS55" i="52"/>
  <c r="AR55" i="52"/>
  <c r="AQ55" i="52"/>
  <c r="AP55" i="52"/>
  <c r="N68" i="52"/>
  <c r="H68" i="52"/>
  <c r="E68" i="52"/>
  <c r="D68" i="52"/>
  <c r="M68" i="52"/>
  <c r="O68" i="52"/>
  <c r="J68" i="52"/>
  <c r="I68" i="52"/>
  <c r="G68" i="52"/>
  <c r="F68" i="52"/>
  <c r="AG71" i="26"/>
  <c r="AF71" i="26"/>
  <c r="AE71" i="26"/>
  <c r="AD71" i="26"/>
  <c r="AC71" i="26"/>
  <c r="AB71" i="26"/>
  <c r="AA71" i="26"/>
  <c r="Z71" i="26"/>
  <c r="Y71" i="26"/>
  <c r="X71" i="26"/>
  <c r="W71" i="26"/>
  <c r="V71" i="26"/>
  <c r="U71" i="26"/>
  <c r="T71" i="26"/>
  <c r="AG70" i="26"/>
  <c r="AF70" i="26"/>
  <c r="AE70" i="26"/>
  <c r="AD70" i="26"/>
  <c r="AC70" i="26"/>
  <c r="AB70" i="26"/>
  <c r="AA70" i="26"/>
  <c r="Z70" i="26"/>
  <c r="Y70" i="26"/>
  <c r="X70" i="26"/>
  <c r="W70" i="26"/>
  <c r="V70" i="26"/>
  <c r="U70" i="26"/>
  <c r="T70" i="26"/>
  <c r="AG69" i="26"/>
  <c r="AF69" i="26"/>
  <c r="AE69" i="26"/>
  <c r="AD69" i="26"/>
  <c r="AC69" i="26"/>
  <c r="AB69" i="26"/>
  <c r="AA69" i="26"/>
  <c r="Z69" i="26"/>
  <c r="Y69" i="26"/>
  <c r="X69" i="26"/>
  <c r="W69" i="26"/>
  <c r="V69" i="26"/>
  <c r="U69" i="26"/>
  <c r="T69" i="26"/>
  <c r="AG68" i="26"/>
  <c r="AF68" i="26"/>
  <c r="AE68" i="26"/>
  <c r="AD68" i="26"/>
  <c r="AC68" i="26"/>
  <c r="AB68" i="26"/>
  <c r="AA68" i="26"/>
  <c r="Z68" i="26"/>
  <c r="Y68" i="26"/>
  <c r="X68" i="26"/>
  <c r="W68" i="26"/>
  <c r="V68" i="26"/>
  <c r="U68" i="26"/>
  <c r="T68" i="26"/>
  <c r="AG67" i="26"/>
  <c r="AF67" i="26"/>
  <c r="AE67" i="26"/>
  <c r="AD67" i="26"/>
  <c r="AC67" i="26"/>
  <c r="AB67" i="26"/>
  <c r="AA67" i="26"/>
  <c r="Z67" i="26"/>
  <c r="Y67" i="26"/>
  <c r="X67" i="26"/>
  <c r="W67" i="26"/>
  <c r="V67" i="26"/>
  <c r="U67" i="26"/>
  <c r="T67" i="26"/>
  <c r="AG66" i="26"/>
  <c r="AF66" i="26"/>
  <c r="AE66" i="26"/>
  <c r="AD66" i="26"/>
  <c r="AC66" i="26"/>
  <c r="AB66" i="26"/>
  <c r="AA66" i="26"/>
  <c r="Z66" i="26"/>
  <c r="Y66" i="26"/>
  <c r="X66" i="26"/>
  <c r="W66" i="26"/>
  <c r="V66" i="26"/>
  <c r="U66" i="26"/>
  <c r="T66" i="26"/>
  <c r="AG65" i="26"/>
  <c r="AF65" i="26"/>
  <c r="AE65" i="26"/>
  <c r="AD65" i="26"/>
  <c r="AC65" i="26"/>
  <c r="AB65" i="26"/>
  <c r="AA65" i="26"/>
  <c r="Z65" i="26"/>
  <c r="Y65" i="26"/>
  <c r="X65" i="26"/>
  <c r="W65" i="26"/>
  <c r="V65" i="26"/>
  <c r="U65" i="26"/>
  <c r="T65" i="26"/>
  <c r="AG64" i="26"/>
  <c r="AF64" i="26"/>
  <c r="AE64" i="26"/>
  <c r="AD64" i="26"/>
  <c r="AC64" i="26"/>
  <c r="AB64" i="26"/>
  <c r="AA64" i="26"/>
  <c r="Z64" i="26"/>
  <c r="Y64" i="26"/>
  <c r="X64" i="26"/>
  <c r="W64" i="26"/>
  <c r="V64" i="26"/>
  <c r="U64" i="26"/>
  <c r="T64" i="26"/>
  <c r="AG63" i="26"/>
  <c r="AF63" i="26"/>
  <c r="AE63" i="26"/>
  <c r="AD63" i="26"/>
  <c r="AC63" i="26"/>
  <c r="AB63" i="26"/>
  <c r="AA63" i="26"/>
  <c r="Z63" i="26"/>
  <c r="Y63" i="26"/>
  <c r="X63" i="26"/>
  <c r="W63" i="26"/>
  <c r="V63" i="26"/>
  <c r="U63" i="26"/>
  <c r="T63" i="26"/>
  <c r="AG62" i="26"/>
  <c r="AF62" i="26"/>
  <c r="AE62" i="26"/>
  <c r="AD62" i="26"/>
  <c r="AC62" i="26"/>
  <c r="AB62" i="26"/>
  <c r="AA62" i="26"/>
  <c r="Z62" i="26"/>
  <c r="Y62" i="26"/>
  <c r="X62" i="26"/>
  <c r="W62" i="26"/>
  <c r="V62" i="26"/>
  <c r="U62" i="26"/>
  <c r="T62" i="26"/>
  <c r="AG61" i="26"/>
  <c r="AF61" i="26"/>
  <c r="AE61" i="26"/>
  <c r="AD61" i="26"/>
  <c r="AC61" i="26"/>
  <c r="AB61" i="26"/>
  <c r="AA61" i="26"/>
  <c r="Z61" i="26"/>
  <c r="Y61" i="26"/>
  <c r="X61" i="26"/>
  <c r="W61" i="26"/>
  <c r="V61" i="26"/>
  <c r="U61" i="26"/>
  <c r="T61" i="26"/>
  <c r="AG60" i="26"/>
  <c r="AF60" i="26"/>
  <c r="AE60" i="26"/>
  <c r="AD60" i="26"/>
  <c r="AC60" i="26"/>
  <c r="AB60" i="26"/>
  <c r="AA60" i="26"/>
  <c r="Z60" i="26"/>
  <c r="Y60" i="26"/>
  <c r="X60" i="26"/>
  <c r="W60" i="26"/>
  <c r="V60" i="26"/>
  <c r="U60" i="26"/>
  <c r="T60" i="26"/>
  <c r="AG59" i="26"/>
  <c r="AF59" i="26"/>
  <c r="AE59" i="26"/>
  <c r="AD59" i="26"/>
  <c r="AC59" i="26"/>
  <c r="AB59" i="26"/>
  <c r="AA59" i="26"/>
  <c r="Z59" i="26"/>
  <c r="Y59" i="26"/>
  <c r="X59" i="26"/>
  <c r="W59" i="26"/>
  <c r="V59" i="26"/>
  <c r="U59" i="26"/>
  <c r="T59" i="26"/>
  <c r="AG58" i="26"/>
  <c r="AF58" i="26"/>
  <c r="AE58" i="26"/>
  <c r="AD58" i="26"/>
  <c r="AC58" i="26"/>
  <c r="AB58" i="26"/>
  <c r="AA58" i="26"/>
  <c r="Z58" i="26"/>
  <c r="Y58" i="26"/>
  <c r="X58" i="26"/>
  <c r="W58" i="26"/>
  <c r="V58" i="26"/>
  <c r="U58" i="26"/>
  <c r="T58" i="26"/>
  <c r="P71" i="26"/>
  <c r="O71" i="26"/>
  <c r="N71" i="26"/>
  <c r="M71" i="26"/>
  <c r="L71" i="26"/>
  <c r="K71" i="26"/>
  <c r="J71" i="26"/>
  <c r="I71" i="26"/>
  <c r="H71" i="26"/>
  <c r="G71" i="26"/>
  <c r="F71" i="26"/>
  <c r="E71" i="26"/>
  <c r="D71" i="26"/>
  <c r="C71" i="26"/>
  <c r="P70" i="26"/>
  <c r="O70" i="26"/>
  <c r="N70" i="26"/>
  <c r="M70" i="26"/>
  <c r="L70" i="26"/>
  <c r="K70" i="26"/>
  <c r="J70" i="26"/>
  <c r="I70" i="26"/>
  <c r="H70" i="26"/>
  <c r="G70" i="26"/>
  <c r="F70" i="26"/>
  <c r="E70" i="26"/>
  <c r="D70" i="26"/>
  <c r="C70" i="26"/>
  <c r="P69" i="26"/>
  <c r="O69" i="26"/>
  <c r="N69" i="26"/>
  <c r="M69" i="26"/>
  <c r="L69" i="26"/>
  <c r="K69" i="26"/>
  <c r="J69" i="26"/>
  <c r="I69" i="26"/>
  <c r="H69" i="26"/>
  <c r="G69" i="26"/>
  <c r="F69" i="26"/>
  <c r="E69" i="26"/>
  <c r="D69" i="26"/>
  <c r="C69" i="26"/>
  <c r="P68" i="26"/>
  <c r="O68" i="26"/>
  <c r="N68" i="26"/>
  <c r="M68" i="26"/>
  <c r="L68" i="26"/>
  <c r="K68" i="26"/>
  <c r="J68" i="26"/>
  <c r="I68" i="26"/>
  <c r="H68" i="26"/>
  <c r="G68" i="26"/>
  <c r="F68" i="26"/>
  <c r="E68" i="26"/>
  <c r="D68" i="26"/>
  <c r="C68" i="26"/>
  <c r="P67" i="26"/>
  <c r="O67" i="26"/>
  <c r="N67" i="26"/>
  <c r="M67" i="26"/>
  <c r="L67" i="26"/>
  <c r="K67" i="26"/>
  <c r="J67" i="26"/>
  <c r="I67" i="26"/>
  <c r="H67" i="26"/>
  <c r="G67" i="26"/>
  <c r="F67" i="26"/>
  <c r="E67" i="26"/>
  <c r="D67" i="26"/>
  <c r="C67" i="26"/>
  <c r="P66" i="26"/>
  <c r="O66" i="26"/>
  <c r="N66" i="26"/>
  <c r="M66" i="26"/>
  <c r="L66" i="26"/>
  <c r="K66" i="26"/>
  <c r="J66" i="26"/>
  <c r="I66" i="26"/>
  <c r="H66" i="26"/>
  <c r="G66" i="26"/>
  <c r="F66" i="26"/>
  <c r="E66" i="26"/>
  <c r="D66" i="26"/>
  <c r="C66" i="26"/>
  <c r="P65" i="26"/>
  <c r="O65" i="26"/>
  <c r="N65" i="26"/>
  <c r="M65" i="26"/>
  <c r="L65" i="26"/>
  <c r="K65" i="26"/>
  <c r="J65" i="26"/>
  <c r="I65" i="26"/>
  <c r="H65" i="26"/>
  <c r="G65" i="26"/>
  <c r="F65" i="26"/>
  <c r="E65" i="26"/>
  <c r="D65" i="26"/>
  <c r="C65" i="26"/>
  <c r="P64" i="26"/>
  <c r="O64" i="26"/>
  <c r="N64" i="26"/>
  <c r="M64" i="26"/>
  <c r="L64" i="26"/>
  <c r="K64" i="26"/>
  <c r="J64" i="26"/>
  <c r="I64" i="26"/>
  <c r="H64" i="26"/>
  <c r="G64" i="26"/>
  <c r="F64" i="26"/>
  <c r="E64" i="26"/>
  <c r="D64" i="26"/>
  <c r="C64" i="26"/>
  <c r="P63" i="26"/>
  <c r="O63" i="26"/>
  <c r="N63" i="26"/>
  <c r="M63" i="26"/>
  <c r="L63" i="26"/>
  <c r="K63" i="26"/>
  <c r="J63" i="26"/>
  <c r="I63" i="26"/>
  <c r="H63" i="26"/>
  <c r="G63" i="26"/>
  <c r="F63" i="26"/>
  <c r="E63" i="26"/>
  <c r="D63" i="26"/>
  <c r="C63" i="26"/>
  <c r="P62" i="26"/>
  <c r="O62" i="26"/>
  <c r="N62" i="26"/>
  <c r="M62" i="26"/>
  <c r="L62" i="26"/>
  <c r="K62" i="26"/>
  <c r="J62" i="26"/>
  <c r="I62" i="26"/>
  <c r="H62" i="26"/>
  <c r="G62" i="26"/>
  <c r="F62" i="26"/>
  <c r="E62" i="26"/>
  <c r="D62" i="26"/>
  <c r="C62" i="26"/>
  <c r="P61" i="26"/>
  <c r="O61" i="26"/>
  <c r="N61" i="26"/>
  <c r="M61" i="26"/>
  <c r="L61" i="26"/>
  <c r="K61" i="26"/>
  <c r="J61" i="26"/>
  <c r="I61" i="26"/>
  <c r="H61" i="26"/>
  <c r="G61" i="26"/>
  <c r="F61" i="26"/>
  <c r="E61" i="26"/>
  <c r="D61" i="26"/>
  <c r="C61" i="26"/>
  <c r="P60" i="26"/>
  <c r="O60" i="26"/>
  <c r="N60" i="26"/>
  <c r="M60" i="26"/>
  <c r="L60" i="26"/>
  <c r="K60" i="26"/>
  <c r="J60" i="26"/>
  <c r="I60" i="26"/>
  <c r="H60" i="26"/>
  <c r="G60" i="26"/>
  <c r="F60" i="26"/>
  <c r="E60" i="26"/>
  <c r="D60" i="26"/>
  <c r="C60" i="26"/>
  <c r="P59" i="26"/>
  <c r="O59" i="26"/>
  <c r="N59" i="26"/>
  <c r="M59" i="26"/>
  <c r="L59" i="26"/>
  <c r="K59" i="26"/>
  <c r="J59" i="26"/>
  <c r="I59" i="26"/>
  <c r="H59" i="26"/>
  <c r="G59" i="26"/>
  <c r="F59" i="26"/>
  <c r="E59" i="26"/>
  <c r="D59" i="26"/>
  <c r="C59" i="26"/>
  <c r="P58" i="26"/>
  <c r="O58" i="26"/>
  <c r="N58" i="26"/>
  <c r="M58" i="26"/>
  <c r="L58" i="26"/>
  <c r="K58" i="26"/>
  <c r="J58" i="26"/>
  <c r="I58" i="26"/>
  <c r="H58" i="26"/>
  <c r="G58" i="26"/>
  <c r="F58" i="26"/>
  <c r="E58" i="26"/>
  <c r="D58" i="26"/>
  <c r="C58" i="26"/>
  <c r="G72" i="26" l="1"/>
  <c r="K72" i="26"/>
  <c r="Q64" i="26"/>
  <c r="BG46" i="52"/>
  <c r="BG47" i="52"/>
  <c r="O72" i="26"/>
  <c r="M72" i="26"/>
  <c r="BG51" i="52"/>
  <c r="BQ47" i="52"/>
  <c r="BG45" i="52"/>
  <c r="I72" i="26"/>
  <c r="BQ79" i="52"/>
  <c r="N166" i="53"/>
  <c r="P115" i="53"/>
  <c r="N159" i="53"/>
  <c r="M183" i="53"/>
  <c r="N162" i="53"/>
  <c r="P162" i="53" s="1"/>
  <c r="P58" i="53"/>
  <c r="L72" i="26"/>
  <c r="AI178" i="53"/>
  <c r="BG130" i="52"/>
  <c r="BG77" i="52"/>
  <c r="BG125" i="52"/>
  <c r="BQ73" i="52"/>
  <c r="AU181" i="53"/>
  <c r="BA181" i="53" s="1"/>
  <c r="BH78" i="52"/>
  <c r="BG131" i="52"/>
  <c r="BG67" i="52"/>
  <c r="BH84" i="52"/>
  <c r="Q70" i="26"/>
  <c r="N72" i="26"/>
  <c r="BG129" i="52"/>
  <c r="BF57" i="52"/>
  <c r="BH82" i="52"/>
  <c r="Q68" i="26"/>
  <c r="Q71" i="26"/>
  <c r="BQ45" i="52"/>
  <c r="F72" i="26"/>
  <c r="M204" i="53"/>
  <c r="P204" i="53" s="1"/>
  <c r="BQ41" i="52"/>
  <c r="BL65" i="52"/>
  <c r="BG50" i="52"/>
  <c r="Q62" i="26"/>
  <c r="Q65" i="26"/>
  <c r="J72" i="26"/>
  <c r="BL63" i="52"/>
  <c r="BM67" i="52"/>
  <c r="BG52" i="52"/>
  <c r="Q67" i="26"/>
  <c r="D72" i="26"/>
  <c r="BH67" i="52"/>
  <c r="BL62" i="52"/>
  <c r="BG49" i="52"/>
  <c r="BH63" i="52"/>
  <c r="Q63" i="26"/>
  <c r="Q66" i="26"/>
  <c r="BG64" i="52"/>
  <c r="N164" i="53"/>
  <c r="P147" i="53"/>
  <c r="O160" i="53"/>
  <c r="P109" i="53"/>
  <c r="P136" i="53"/>
  <c r="P126" i="53"/>
  <c r="P68" i="53"/>
  <c r="P28" i="53"/>
  <c r="P69" i="53"/>
  <c r="P45" i="53"/>
  <c r="AU178" i="53"/>
  <c r="BA178" i="53" s="1"/>
  <c r="BQ71" i="52"/>
  <c r="BQ84" i="52"/>
  <c r="BQ78" i="52"/>
  <c r="BQ82" i="52"/>
  <c r="BQ46" i="52"/>
  <c r="BQ43" i="52"/>
  <c r="BG132" i="52"/>
  <c r="BQ81" i="52"/>
  <c r="BQ75" i="52"/>
  <c r="BF61" i="52"/>
  <c r="BF63" i="52"/>
  <c r="BG63" i="52"/>
  <c r="BK46" i="52"/>
  <c r="BH79" i="52"/>
  <c r="BF66" i="52"/>
  <c r="BK49" i="52"/>
  <c r="BG126" i="52"/>
  <c r="BQ80" i="52"/>
  <c r="BF68" i="52"/>
  <c r="BK52" i="52"/>
  <c r="BH81" i="52"/>
  <c r="BH59" i="52"/>
  <c r="BF59" i="52"/>
  <c r="BK47" i="52"/>
  <c r="BH64" i="52"/>
  <c r="BM59" i="52"/>
  <c r="BM55" i="52"/>
  <c r="BG78" i="52"/>
  <c r="BG62" i="52"/>
  <c r="BQ39" i="52"/>
  <c r="BM63" i="52"/>
  <c r="BM65" i="52"/>
  <c r="BG80" i="52"/>
  <c r="BF55" i="52"/>
  <c r="BG65" i="52"/>
  <c r="BM68" i="52"/>
  <c r="BM62" i="52"/>
  <c r="BG83" i="52"/>
  <c r="BM66" i="52"/>
  <c r="BG81" i="52"/>
  <c r="BG66" i="52"/>
  <c r="BQ52" i="52"/>
  <c r="AV68" i="52"/>
  <c r="CB57" i="52" s="1"/>
  <c r="BM61" i="52"/>
  <c r="BG84" i="52"/>
  <c r="BG68" i="52"/>
  <c r="BQ50" i="52"/>
  <c r="BM57" i="52"/>
  <c r="BG79" i="52"/>
  <c r="AT68" i="52"/>
  <c r="AP74" i="53"/>
  <c r="BH62" i="52"/>
  <c r="BQ51" i="52"/>
  <c r="BH65" i="52"/>
  <c r="BQ49" i="52"/>
  <c r="BH68" i="52"/>
  <c r="BH61" i="52"/>
  <c r="AP23" i="53"/>
  <c r="AP76" i="53"/>
  <c r="AO129" i="53"/>
  <c r="AO10" i="53"/>
  <c r="AS68" i="52"/>
  <c r="BF137" i="52"/>
  <c r="BF135" i="52"/>
  <c r="BF139" i="52"/>
  <c r="BF141" i="52"/>
  <c r="BF148" i="52"/>
  <c r="BF144" i="52"/>
  <c r="BF147" i="52"/>
  <c r="BF146" i="52"/>
  <c r="BF145" i="52"/>
  <c r="BF143" i="52"/>
  <c r="BF142" i="52"/>
  <c r="BR61" i="52"/>
  <c r="BR66" i="52"/>
  <c r="BR68" i="52"/>
  <c r="BR63" i="52"/>
  <c r="BR64" i="52"/>
  <c r="BR65" i="52"/>
  <c r="BR59" i="52"/>
  <c r="BR57" i="52"/>
  <c r="BR55" i="52"/>
  <c r="BR62" i="52"/>
  <c r="BR67" i="52"/>
  <c r="BH55" i="52"/>
  <c r="BK81" i="52"/>
  <c r="BK78" i="52"/>
  <c r="BK83" i="52"/>
  <c r="BK80" i="52"/>
  <c r="BK77" i="52"/>
  <c r="BK79" i="52"/>
  <c r="BK84" i="52"/>
  <c r="BK82" i="52"/>
  <c r="BQ66" i="52"/>
  <c r="BQ68" i="52"/>
  <c r="BQ63" i="52"/>
  <c r="BQ61" i="52"/>
  <c r="BQ65" i="52"/>
  <c r="BQ59" i="52"/>
  <c r="BQ57" i="52"/>
  <c r="BQ55" i="52"/>
  <c r="BQ62" i="52"/>
  <c r="BQ67" i="52"/>
  <c r="BQ64" i="52"/>
  <c r="BI66" i="52"/>
  <c r="BI68" i="52"/>
  <c r="BI63" i="52"/>
  <c r="BI61" i="52"/>
  <c r="BI65" i="52"/>
  <c r="BI62" i="52"/>
  <c r="BI67" i="52"/>
  <c r="BI64" i="52"/>
  <c r="BK64" i="52"/>
  <c r="BK61" i="52"/>
  <c r="BK66" i="52"/>
  <c r="BK68" i="52"/>
  <c r="BK63" i="52"/>
  <c r="BK67" i="52"/>
  <c r="BK65" i="52"/>
  <c r="BK62" i="52"/>
  <c r="BM107" i="52"/>
  <c r="BM105" i="52"/>
  <c r="BM103" i="52"/>
  <c r="BM111" i="52"/>
  <c r="BM116" i="52"/>
  <c r="BM113" i="52"/>
  <c r="BM110" i="52"/>
  <c r="BM115" i="52"/>
  <c r="BM109" i="52"/>
  <c r="BM114" i="52"/>
  <c r="BM112" i="52"/>
  <c r="BM75" i="52"/>
  <c r="BM73" i="52"/>
  <c r="BM71" i="52"/>
  <c r="BM79" i="52"/>
  <c r="BM84" i="52"/>
  <c r="BM81" i="52"/>
  <c r="BM78" i="52"/>
  <c r="BM83" i="52"/>
  <c r="BM77" i="52"/>
  <c r="BM82" i="52"/>
  <c r="BM80" i="52"/>
  <c r="BJ103" i="52"/>
  <c r="BJ107" i="52"/>
  <c r="BJ105" i="52"/>
  <c r="BJ110" i="52"/>
  <c r="BJ115" i="52"/>
  <c r="BJ112" i="52"/>
  <c r="BJ109" i="52"/>
  <c r="BJ114" i="52"/>
  <c r="BJ116" i="52"/>
  <c r="BJ113" i="52"/>
  <c r="BJ111" i="52"/>
  <c r="BI48" i="52"/>
  <c r="BI45" i="52"/>
  <c r="BI49" i="52"/>
  <c r="BI46" i="52"/>
  <c r="BI47" i="52"/>
  <c r="BI51" i="52"/>
  <c r="BI50" i="52"/>
  <c r="BI52" i="52"/>
  <c r="BJ43" i="52"/>
  <c r="BJ41" i="52"/>
  <c r="BJ39" i="52"/>
  <c r="BJ46" i="52"/>
  <c r="BJ48" i="52"/>
  <c r="BJ45" i="52"/>
  <c r="BJ49" i="52"/>
  <c r="BJ52" i="52"/>
  <c r="BJ47" i="52"/>
  <c r="BJ51" i="52"/>
  <c r="BJ50" i="52"/>
  <c r="BR43" i="52"/>
  <c r="BR41" i="52"/>
  <c r="BR39" i="52"/>
  <c r="BR46" i="52"/>
  <c r="BR48" i="52"/>
  <c r="BR45" i="52"/>
  <c r="BR52" i="52"/>
  <c r="BR49" i="52"/>
  <c r="BR51" i="52"/>
  <c r="BR50" i="52"/>
  <c r="BR47" i="52"/>
  <c r="BF121" i="52"/>
  <c r="BF119" i="52"/>
  <c r="BF123" i="52"/>
  <c r="BF125" i="52"/>
  <c r="BF128" i="52"/>
  <c r="BF132" i="52"/>
  <c r="BF131" i="52"/>
  <c r="BF130" i="52"/>
  <c r="BF129" i="52"/>
  <c r="BF127" i="52"/>
  <c r="BF126" i="52"/>
  <c r="BF75" i="52"/>
  <c r="BF73" i="52"/>
  <c r="BF71" i="52"/>
  <c r="BF77" i="52"/>
  <c r="BF84" i="52"/>
  <c r="BF83" i="52"/>
  <c r="BF82" i="52"/>
  <c r="BF81" i="52"/>
  <c r="BF79" i="52"/>
  <c r="BF80" i="52"/>
  <c r="BF78" i="52"/>
  <c r="BI83" i="52"/>
  <c r="BI80" i="52"/>
  <c r="BI77" i="52"/>
  <c r="BI82" i="52"/>
  <c r="BI79" i="52"/>
  <c r="BI81" i="52"/>
  <c r="BI78" i="52"/>
  <c r="BI84" i="52"/>
  <c r="BF39" i="52"/>
  <c r="BF43" i="52"/>
  <c r="BF41" i="52"/>
  <c r="BF45" i="52"/>
  <c r="BF52" i="52"/>
  <c r="BF51" i="52"/>
  <c r="BF50" i="52"/>
  <c r="BF49" i="52"/>
  <c r="BF47" i="52"/>
  <c r="BF46" i="52"/>
  <c r="BF48" i="52"/>
  <c r="BJ61" i="52"/>
  <c r="BJ57" i="52"/>
  <c r="BJ66" i="52"/>
  <c r="BJ59" i="52"/>
  <c r="BJ68" i="52"/>
  <c r="BJ63" i="52"/>
  <c r="BJ65" i="52"/>
  <c r="BJ62" i="52"/>
  <c r="BJ55" i="52"/>
  <c r="BJ67" i="52"/>
  <c r="BJ64" i="52"/>
  <c r="BJ73" i="52"/>
  <c r="BJ71" i="52"/>
  <c r="BJ75" i="52"/>
  <c r="BJ78" i="52"/>
  <c r="BJ83" i="52"/>
  <c r="BJ80" i="52"/>
  <c r="BJ77" i="52"/>
  <c r="BJ82" i="52"/>
  <c r="BJ84" i="52"/>
  <c r="BJ81" i="52"/>
  <c r="BJ79" i="52"/>
  <c r="BH71" i="52"/>
  <c r="BR107" i="52"/>
  <c r="BR105" i="52"/>
  <c r="BR103" i="52"/>
  <c r="BR110" i="52"/>
  <c r="BR115" i="52"/>
  <c r="BR112" i="52"/>
  <c r="BR109" i="52"/>
  <c r="BR114" i="52"/>
  <c r="BR116" i="52"/>
  <c r="BR113" i="52"/>
  <c r="BR111" i="52"/>
  <c r="BQ107" i="52"/>
  <c r="BQ105" i="52"/>
  <c r="BQ103" i="52"/>
  <c r="BQ115" i="52"/>
  <c r="BQ112" i="52"/>
  <c r="BQ109" i="52"/>
  <c r="BQ114" i="52"/>
  <c r="BQ111" i="52"/>
  <c r="BQ113" i="52"/>
  <c r="BQ110" i="52"/>
  <c r="BQ116" i="52"/>
  <c r="BH105" i="52"/>
  <c r="BH103" i="52"/>
  <c r="BH107" i="52"/>
  <c r="BH112" i="52"/>
  <c r="BH109" i="52"/>
  <c r="BH114" i="52"/>
  <c r="BH111" i="52"/>
  <c r="BH116" i="52"/>
  <c r="BH110" i="52"/>
  <c r="BH115" i="52"/>
  <c r="BH113" i="52"/>
  <c r="BH39" i="52"/>
  <c r="BH43" i="52"/>
  <c r="BH41" i="52"/>
  <c r="BH48" i="52"/>
  <c r="BH45" i="52"/>
  <c r="BH47" i="52"/>
  <c r="BH46" i="52"/>
  <c r="BH49" i="52"/>
  <c r="BH51" i="52"/>
  <c r="BH50" i="52"/>
  <c r="BH52" i="52"/>
  <c r="BH75" i="52"/>
  <c r="BK113" i="52"/>
  <c r="BK110" i="52"/>
  <c r="BK115" i="52"/>
  <c r="BK112" i="52"/>
  <c r="BK109" i="52"/>
  <c r="BK111" i="52"/>
  <c r="BK116" i="52"/>
  <c r="BK114" i="52"/>
  <c r="BI115" i="52"/>
  <c r="BI112" i="52"/>
  <c r="BI109" i="52"/>
  <c r="BI114" i="52"/>
  <c r="BI111" i="52"/>
  <c r="BI113" i="52"/>
  <c r="BI110" i="52"/>
  <c r="BI116" i="52"/>
  <c r="BH73" i="52"/>
  <c r="BH57" i="52"/>
  <c r="AP8" i="53"/>
  <c r="AP44" i="53"/>
  <c r="AP10" i="53"/>
  <c r="AP146" i="53"/>
  <c r="AP144" i="53"/>
  <c r="AP112" i="53"/>
  <c r="AP61" i="53"/>
  <c r="AP108" i="53"/>
  <c r="BH108" i="53" s="1"/>
  <c r="AP42" i="53"/>
  <c r="AP129" i="53"/>
  <c r="AP93" i="53"/>
  <c r="AP127" i="53"/>
  <c r="AP95" i="53"/>
  <c r="AP59" i="53"/>
  <c r="AP57" i="53"/>
  <c r="AP25" i="53"/>
  <c r="AO44" i="53"/>
  <c r="AO108" i="53"/>
  <c r="BG108" i="53" s="1"/>
  <c r="AO91" i="53"/>
  <c r="AO40" i="53"/>
  <c r="AO93" i="53"/>
  <c r="AO76" i="53"/>
  <c r="AO57" i="53"/>
  <c r="AO78" i="53"/>
  <c r="AO27" i="53"/>
  <c r="AO6" i="53"/>
  <c r="AO23" i="53"/>
  <c r="AO142" i="53"/>
  <c r="AO146" i="53"/>
  <c r="AO110" i="53"/>
  <c r="AO125" i="53"/>
  <c r="BG125" i="53" s="1"/>
  <c r="AO61" i="53"/>
  <c r="AO59" i="53"/>
  <c r="AN25" i="53"/>
  <c r="AN74" i="53"/>
  <c r="BF74" i="53" s="1"/>
  <c r="AN144" i="53"/>
  <c r="AN146" i="53"/>
  <c r="AN8" i="53"/>
  <c r="AN61" i="53"/>
  <c r="AN125" i="53"/>
  <c r="BF125" i="53" s="1"/>
  <c r="AN112" i="53"/>
  <c r="AN42" i="53"/>
  <c r="AN59" i="53"/>
  <c r="AN108" i="53"/>
  <c r="BF108" i="53" s="1"/>
  <c r="AN127" i="53"/>
  <c r="AN44" i="53"/>
  <c r="AN93" i="53"/>
  <c r="AN91" i="53"/>
  <c r="BF91" i="53" s="1"/>
  <c r="AN40" i="53"/>
  <c r="BF40" i="53" s="1"/>
  <c r="AN76" i="53"/>
  <c r="AN27" i="53"/>
  <c r="AN10" i="53"/>
  <c r="M171" i="53"/>
  <c r="AE72" i="26"/>
  <c r="AG72" i="26"/>
  <c r="AA72" i="26"/>
  <c r="AH71" i="26"/>
  <c r="X72" i="26"/>
  <c r="AB72" i="26"/>
  <c r="AH64" i="26"/>
  <c r="AH68" i="26"/>
  <c r="AH69" i="26"/>
  <c r="AH63" i="26"/>
  <c r="AH60" i="26"/>
  <c r="Z72" i="26"/>
  <c r="AH59" i="26"/>
  <c r="U72" i="26"/>
  <c r="AC72" i="26"/>
  <c r="W72" i="26"/>
  <c r="Y72" i="26"/>
  <c r="AH62" i="26"/>
  <c r="AH66" i="26"/>
  <c r="AH67" i="26"/>
  <c r="AF72" i="26"/>
  <c r="AH65" i="26"/>
  <c r="M162" i="53"/>
  <c r="AV204" i="53"/>
  <c r="BB204" i="53" s="1"/>
  <c r="P35" i="53"/>
  <c r="P137" i="53"/>
  <c r="P34" i="53"/>
  <c r="O205" i="53"/>
  <c r="P205" i="53" s="1"/>
  <c r="P145" i="53"/>
  <c r="M163" i="53"/>
  <c r="P163" i="53" s="1"/>
  <c r="AN149" i="53"/>
  <c r="M164" i="53"/>
  <c r="M181" i="53"/>
  <c r="P181" i="53" s="1"/>
  <c r="P113" i="53"/>
  <c r="AF110" i="53"/>
  <c r="AN16" i="53"/>
  <c r="M179" i="53"/>
  <c r="P179" i="53" s="1"/>
  <c r="P111" i="53"/>
  <c r="AO132" i="53"/>
  <c r="N188" i="53"/>
  <c r="N171" i="53"/>
  <c r="M67" i="53"/>
  <c r="T67" i="53" s="1"/>
  <c r="O67" i="53"/>
  <c r="V67" i="53" s="1"/>
  <c r="N67" i="53"/>
  <c r="U67" i="53" s="1"/>
  <c r="N66" i="53"/>
  <c r="U66" i="53" s="1"/>
  <c r="M66" i="53"/>
  <c r="T66" i="53" s="1"/>
  <c r="O66" i="53"/>
  <c r="V66" i="53" s="1"/>
  <c r="F164" i="53"/>
  <c r="AN114" i="53"/>
  <c r="O152" i="53"/>
  <c r="V152" i="53" s="1"/>
  <c r="N152" i="53"/>
  <c r="U152" i="53" s="1"/>
  <c r="M152" i="53"/>
  <c r="T152" i="53" s="1"/>
  <c r="P41" i="53"/>
  <c r="N160" i="53"/>
  <c r="AN134" i="53"/>
  <c r="BG109" i="53"/>
  <c r="AT202" i="53"/>
  <c r="AZ202" i="53" s="1"/>
  <c r="P183" i="53"/>
  <c r="M151" i="53"/>
  <c r="T151" i="53" s="1"/>
  <c r="O151" i="53"/>
  <c r="V151" i="53" s="1"/>
  <c r="N151" i="53"/>
  <c r="U151" i="53" s="1"/>
  <c r="AP138" i="53"/>
  <c r="AZ160" i="53"/>
  <c r="AT203" i="53"/>
  <c r="AV196" i="53"/>
  <c r="BB196" i="53" s="1"/>
  <c r="AV205" i="53"/>
  <c r="BB205" i="53" s="1"/>
  <c r="P195" i="53"/>
  <c r="AE203" i="53"/>
  <c r="AU186" i="53"/>
  <c r="BA186" i="53" s="1"/>
  <c r="AU200" i="53"/>
  <c r="BA200" i="53" s="1"/>
  <c r="AV184" i="53"/>
  <c r="BB184" i="53" s="1"/>
  <c r="AU205" i="53"/>
  <c r="BA205" i="53" s="1"/>
  <c r="AT183" i="53"/>
  <c r="AZ183" i="53" s="1"/>
  <c r="AV199" i="53"/>
  <c r="BB199" i="53" s="1"/>
  <c r="AV188" i="53"/>
  <c r="BB188" i="53" s="1"/>
  <c r="AE205" i="53"/>
  <c r="AP82" i="53"/>
  <c r="P197" i="53"/>
  <c r="AU185" i="53"/>
  <c r="BA185" i="53" s="1"/>
  <c r="P180" i="53"/>
  <c r="AP150" i="53"/>
  <c r="P199" i="53"/>
  <c r="P182" i="53"/>
  <c r="F204" i="53"/>
  <c r="P177" i="53"/>
  <c r="P200" i="53"/>
  <c r="F205" i="53"/>
  <c r="P188" i="53"/>
  <c r="P178" i="53"/>
  <c r="AV201" i="53"/>
  <c r="BB201" i="53" s="1"/>
  <c r="AU179" i="53"/>
  <c r="BA179" i="53" s="1"/>
  <c r="AU197" i="53"/>
  <c r="BA197" i="53" s="1"/>
  <c r="AU180" i="53"/>
  <c r="BA180" i="53" s="1"/>
  <c r="AU184" i="53"/>
  <c r="BA184" i="53" s="1"/>
  <c r="F176" i="53"/>
  <c r="BF24" i="53"/>
  <c r="AT182" i="53"/>
  <c r="AZ182" i="53" s="1"/>
  <c r="AO81" i="53"/>
  <c r="AV195" i="53"/>
  <c r="BB195" i="53" s="1"/>
  <c r="AU195" i="53"/>
  <c r="BA195" i="53" s="1"/>
  <c r="AP133" i="53"/>
  <c r="AU182" i="53"/>
  <c r="BA182" i="53" s="1"/>
  <c r="AT205" i="53"/>
  <c r="AZ205" i="53" s="1"/>
  <c r="AT187" i="53"/>
  <c r="AZ187" i="53" s="1"/>
  <c r="AO182" i="53"/>
  <c r="AO179" i="53"/>
  <c r="AO196" i="53"/>
  <c r="AO80" i="53"/>
  <c r="AP137" i="53"/>
  <c r="BH137" i="53" s="1"/>
  <c r="P187" i="53"/>
  <c r="AO205" i="53"/>
  <c r="BG205" i="53" s="1"/>
  <c r="BG79" i="53"/>
  <c r="AO178" i="53"/>
  <c r="AO84" i="53"/>
  <c r="AO195" i="53"/>
  <c r="AO200" i="53"/>
  <c r="AO186" i="53"/>
  <c r="AO181" i="53"/>
  <c r="AO199" i="53"/>
  <c r="AO183" i="53"/>
  <c r="AE184" i="53"/>
  <c r="BH125" i="53"/>
  <c r="AT180" i="53"/>
  <c r="AZ180" i="53" s="1"/>
  <c r="AN31" i="53"/>
  <c r="F167" i="53"/>
  <c r="H48" i="53" s="1"/>
  <c r="F183" i="53"/>
  <c r="AP136" i="53"/>
  <c r="AT184" i="53"/>
  <c r="AZ184" i="53" s="1"/>
  <c r="AP135" i="53"/>
  <c r="AO180" i="53"/>
  <c r="AP134" i="53"/>
  <c r="AE180" i="53"/>
  <c r="AO99" i="53"/>
  <c r="AO101" i="53"/>
  <c r="F180" i="53"/>
  <c r="AN12" i="53"/>
  <c r="AE176" i="53"/>
  <c r="AT181" i="53"/>
  <c r="AO115" i="53"/>
  <c r="AP200" i="53"/>
  <c r="F178" i="53"/>
  <c r="F179" i="53"/>
  <c r="F198" i="53"/>
  <c r="AO177" i="53"/>
  <c r="AT204" i="53"/>
  <c r="AZ204" i="53" s="1"/>
  <c r="F195" i="53"/>
  <c r="AO198" i="53"/>
  <c r="AO185" i="53"/>
  <c r="BF11" i="53"/>
  <c r="BF6" i="53"/>
  <c r="P170" i="53"/>
  <c r="AE202" i="53"/>
  <c r="AV200" i="53"/>
  <c r="BB200" i="53" s="1"/>
  <c r="AU198" i="53"/>
  <c r="BA198" i="53" s="1"/>
  <c r="F197" i="53"/>
  <c r="AV202" i="53"/>
  <c r="BB202" i="53" s="1"/>
  <c r="P196" i="53"/>
  <c r="AO194" i="53"/>
  <c r="AE177" i="53"/>
  <c r="AO82" i="53"/>
  <c r="AT186" i="53"/>
  <c r="F201" i="53"/>
  <c r="P194" i="53"/>
  <c r="AO184" i="53"/>
  <c r="AU199" i="53"/>
  <c r="BA199" i="53" s="1"/>
  <c r="F181" i="53"/>
  <c r="AN13" i="53"/>
  <c r="AP151" i="53"/>
  <c r="BH151" i="53" s="1"/>
  <c r="AJ203" i="53"/>
  <c r="AP184" i="53"/>
  <c r="AP85" i="53"/>
  <c r="AV187" i="53"/>
  <c r="BB187" i="53" s="1"/>
  <c r="F196" i="53"/>
  <c r="AO187" i="53"/>
  <c r="AJ176" i="53"/>
  <c r="AP188" i="53"/>
  <c r="BH188" i="53" s="1"/>
  <c r="AB189" i="53"/>
  <c r="AN189" i="53" s="1"/>
  <c r="AO33" i="53"/>
  <c r="AT178" i="53"/>
  <c r="AZ178" i="53" s="1"/>
  <c r="F182" i="53"/>
  <c r="P161" i="53"/>
  <c r="AI203" i="53"/>
  <c r="AP195" i="53"/>
  <c r="P159" i="53"/>
  <c r="P198" i="53"/>
  <c r="AE181" i="53"/>
  <c r="AJ204" i="53"/>
  <c r="AV194" i="53"/>
  <c r="BB194" i="53" s="1"/>
  <c r="AO120" i="53"/>
  <c r="BG120" i="53" s="1"/>
  <c r="AP65" i="53"/>
  <c r="F200" i="53"/>
  <c r="AP66" i="53"/>
  <c r="AO114" i="53"/>
  <c r="AO119" i="53"/>
  <c r="AV197" i="53"/>
  <c r="BB197" i="53" s="1"/>
  <c r="AU187" i="53"/>
  <c r="BA187" i="53" s="1"/>
  <c r="F202" i="53"/>
  <c r="AE168" i="53"/>
  <c r="AO121" i="53"/>
  <c r="AO118" i="53"/>
  <c r="AE178" i="53"/>
  <c r="AE183" i="53"/>
  <c r="AP69" i="53"/>
  <c r="AP33" i="53"/>
  <c r="AZ169" i="53"/>
  <c r="AP48" i="53"/>
  <c r="AO117" i="53"/>
  <c r="AP68" i="53"/>
  <c r="AO30" i="53"/>
  <c r="AE166" i="53"/>
  <c r="AO116" i="53"/>
  <c r="AO34" i="53"/>
  <c r="AP31" i="53"/>
  <c r="AE165" i="53"/>
  <c r="AE179" i="53"/>
  <c r="P166" i="53"/>
  <c r="AU196" i="53"/>
  <c r="BA196" i="53" s="1"/>
  <c r="AO31" i="53"/>
  <c r="F203" i="53"/>
  <c r="AP152" i="53"/>
  <c r="BH152" i="53" s="1"/>
  <c r="AP149" i="53"/>
  <c r="AJ201" i="53"/>
  <c r="AV203" i="53"/>
  <c r="BB203" i="53" s="1"/>
  <c r="AU183" i="53"/>
  <c r="BA183" i="53" s="1"/>
  <c r="AN69" i="53"/>
  <c r="AP63" i="53"/>
  <c r="AP35" i="53"/>
  <c r="BH35" i="53" s="1"/>
  <c r="AE171" i="53"/>
  <c r="AO18" i="53"/>
  <c r="BG18" i="53" s="1"/>
  <c r="AP36" i="53"/>
  <c r="AO13" i="53"/>
  <c r="AP32" i="53"/>
  <c r="AV198" i="53"/>
  <c r="BB198" i="53" s="1"/>
  <c r="AE167" i="53"/>
  <c r="AJ181" i="53"/>
  <c r="AE187" i="53"/>
  <c r="AO86" i="53"/>
  <c r="BG86" i="53" s="1"/>
  <c r="AO16" i="53"/>
  <c r="AP30" i="53"/>
  <c r="AE162" i="53"/>
  <c r="AO12" i="53"/>
  <c r="P165" i="53"/>
  <c r="AP154" i="53"/>
  <c r="BH154" i="53" s="1"/>
  <c r="AP155" i="53"/>
  <c r="AJ200" i="53"/>
  <c r="AJ202" i="53"/>
  <c r="AJ188" i="53"/>
  <c r="AO15" i="53"/>
  <c r="AP34" i="53"/>
  <c r="AE160" i="53"/>
  <c r="AP153" i="53"/>
  <c r="AO154" i="53"/>
  <c r="BG154" i="53" s="1"/>
  <c r="AN203" i="53"/>
  <c r="AJ205" i="53"/>
  <c r="AP29" i="53"/>
  <c r="P176" i="53"/>
  <c r="P193" i="53"/>
  <c r="AO153" i="53"/>
  <c r="AN205" i="53"/>
  <c r="BF205" i="53" s="1"/>
  <c r="AN100" i="53"/>
  <c r="AP198" i="53"/>
  <c r="AO52" i="53"/>
  <c r="AB172" i="53"/>
  <c r="AN163" i="53" s="1"/>
  <c r="AE169" i="53"/>
  <c r="AN102" i="53"/>
  <c r="AN135" i="53"/>
  <c r="AN81" i="53"/>
  <c r="AN178" i="53"/>
  <c r="AO47" i="53"/>
  <c r="AE161" i="53"/>
  <c r="AN14" i="53"/>
  <c r="AO36" i="53"/>
  <c r="AN187" i="53"/>
  <c r="AO67" i="53"/>
  <c r="BF7" i="53"/>
  <c r="AE159" i="53"/>
  <c r="AO32" i="53"/>
  <c r="AN204" i="53"/>
  <c r="AN99" i="53"/>
  <c r="F163" i="53"/>
  <c r="AO29" i="53"/>
  <c r="BH126" i="53"/>
  <c r="F171" i="53"/>
  <c r="AZ159" i="53"/>
  <c r="AO137" i="53"/>
  <c r="BG137" i="53" s="1"/>
  <c r="AN101" i="53"/>
  <c r="AN97" i="53"/>
  <c r="AJ197" i="53"/>
  <c r="AO64" i="53"/>
  <c r="BF58" i="53"/>
  <c r="AN18" i="53"/>
  <c r="AN103" i="53"/>
  <c r="AT179" i="53"/>
  <c r="AZ179" i="53" s="1"/>
  <c r="AE164" i="53"/>
  <c r="AO35" i="53"/>
  <c r="BG35" i="53" s="1"/>
  <c r="AP132" i="53"/>
  <c r="AP131" i="53"/>
  <c r="AN154" i="53"/>
  <c r="AN150" i="53"/>
  <c r="AO151" i="53"/>
  <c r="BG151" i="53" s="1"/>
  <c r="AN132" i="53"/>
  <c r="AI204" i="53"/>
  <c r="AP204" i="53"/>
  <c r="AP201" i="53"/>
  <c r="AO135" i="53"/>
  <c r="AI197" i="53"/>
  <c r="F169" i="53"/>
  <c r="H67" i="53" s="1"/>
  <c r="AP17" i="53"/>
  <c r="F159" i="53"/>
  <c r="AN153" i="53"/>
  <c r="AN131" i="53"/>
  <c r="AO148" i="53"/>
  <c r="AO103" i="53"/>
  <c r="BG103" i="53" s="1"/>
  <c r="AI202" i="53"/>
  <c r="AP199" i="53"/>
  <c r="AP116" i="53"/>
  <c r="AN180" i="53"/>
  <c r="AO197" i="53"/>
  <c r="AJ179" i="53"/>
  <c r="AJ196" i="53"/>
  <c r="AI195" i="53"/>
  <c r="AJ187" i="53"/>
  <c r="AN86" i="53"/>
  <c r="AP15" i="53"/>
  <c r="BF23" i="53"/>
  <c r="D172" i="53"/>
  <c r="BF126" i="53"/>
  <c r="AP203" i="53"/>
  <c r="AI185" i="53"/>
  <c r="AP197" i="53"/>
  <c r="AI188" i="53"/>
  <c r="AN80" i="53"/>
  <c r="AJ195" i="53"/>
  <c r="AP185" i="53"/>
  <c r="F168" i="53"/>
  <c r="H134" i="53" s="1"/>
  <c r="AC172" i="53"/>
  <c r="AO161" i="53" s="1"/>
  <c r="AP14" i="53"/>
  <c r="AN30" i="53"/>
  <c r="BF41" i="53"/>
  <c r="F19" i="53"/>
  <c r="AN152" i="53"/>
  <c r="BF152" i="53" s="1"/>
  <c r="AN136" i="53"/>
  <c r="AO100" i="53"/>
  <c r="BG126" i="53"/>
  <c r="AI201" i="53"/>
  <c r="AP187" i="53"/>
  <c r="AI186" i="53"/>
  <c r="AJ183" i="53"/>
  <c r="AJ178" i="53"/>
  <c r="AN202" i="53"/>
  <c r="AN82" i="53"/>
  <c r="AI183" i="53"/>
  <c r="AP83" i="53"/>
  <c r="AP16" i="53"/>
  <c r="AN29" i="53"/>
  <c r="AN36" i="53"/>
  <c r="AN34" i="53"/>
  <c r="AN33" i="53"/>
  <c r="AP115" i="53"/>
  <c r="AP202" i="53"/>
  <c r="AP196" i="53"/>
  <c r="AH201" i="53"/>
  <c r="AJ186" i="53"/>
  <c r="AP194" i="53"/>
  <c r="AJ177" i="53"/>
  <c r="BF28" i="53"/>
  <c r="AP148" i="53"/>
  <c r="AN35" i="53"/>
  <c r="AN151" i="53"/>
  <c r="AO102" i="53"/>
  <c r="AI205" i="53"/>
  <c r="AP205" i="53"/>
  <c r="BH205" i="53" s="1"/>
  <c r="F184" i="53"/>
  <c r="AP117" i="53"/>
  <c r="AJ182" i="53"/>
  <c r="AN184" i="53"/>
  <c r="AI198" i="53"/>
  <c r="C172" i="53"/>
  <c r="AN32" i="53"/>
  <c r="BC109" i="53"/>
  <c r="AP104" i="53"/>
  <c r="AH180" i="53"/>
  <c r="AH177" i="53"/>
  <c r="AP186" i="53"/>
  <c r="AV186" i="53"/>
  <c r="BB186" i="53" s="1"/>
  <c r="AJ194" i="53"/>
  <c r="BC66" i="53"/>
  <c r="AJ185" i="53"/>
  <c r="AO70" i="53"/>
  <c r="AO152" i="53"/>
  <c r="BG152" i="53" s="1"/>
  <c r="AN119" i="53"/>
  <c r="BF113" i="53"/>
  <c r="AN148" i="53"/>
  <c r="AH204" i="53"/>
  <c r="AP103" i="53"/>
  <c r="BH103" i="53" s="1"/>
  <c r="AP101" i="53"/>
  <c r="AP99" i="53"/>
  <c r="AJ104" i="53"/>
  <c r="AP120" i="53"/>
  <c r="BH120" i="53" s="1"/>
  <c r="F185" i="53"/>
  <c r="AH185" i="53"/>
  <c r="AN181" i="53"/>
  <c r="AN176" i="53"/>
  <c r="BF176" i="53" s="1"/>
  <c r="BH109" i="53"/>
  <c r="F188" i="53"/>
  <c r="AH188" i="53"/>
  <c r="AD206" i="53"/>
  <c r="AP193" i="53"/>
  <c r="AV193" i="53"/>
  <c r="BB193" i="53" s="1"/>
  <c r="AH183" i="53"/>
  <c r="AP178" i="53"/>
  <c r="AV178" i="53"/>
  <c r="BB178" i="53" s="1"/>
  <c r="AP183" i="53"/>
  <c r="AV183" i="53"/>
  <c r="BB183" i="53" s="1"/>
  <c r="AP180" i="53"/>
  <c r="AV180" i="53"/>
  <c r="BB180" i="53" s="1"/>
  <c r="AE185" i="53"/>
  <c r="AN185" i="53"/>
  <c r="BF185" i="53" s="1"/>
  <c r="AT185" i="53"/>
  <c r="AZ185" i="53" s="1"/>
  <c r="AN51" i="53"/>
  <c r="AE188" i="53"/>
  <c r="AN188" i="53"/>
  <c r="BF188" i="53" s="1"/>
  <c r="AT188" i="53"/>
  <c r="AZ188" i="53" s="1"/>
  <c r="AN19" i="53"/>
  <c r="AP18" i="53"/>
  <c r="BH18" i="53" s="1"/>
  <c r="AE198" i="53"/>
  <c r="AN198" i="53"/>
  <c r="AT198" i="53"/>
  <c r="AH178" i="53"/>
  <c r="AE36" i="53"/>
  <c r="AQ25" i="53" s="1"/>
  <c r="BC67" i="53"/>
  <c r="AO150" i="53"/>
  <c r="AO138" i="53"/>
  <c r="AN118" i="53"/>
  <c r="AO149" i="53"/>
  <c r="AH199" i="53"/>
  <c r="AH197" i="53"/>
  <c r="AH195" i="53"/>
  <c r="BF143" i="53"/>
  <c r="BC126" i="53"/>
  <c r="BF109" i="53"/>
  <c r="AP97" i="53"/>
  <c r="AH202" i="53"/>
  <c r="AH184" i="53"/>
  <c r="D206" i="53"/>
  <c r="AI193" i="53"/>
  <c r="AN179" i="53"/>
  <c r="BF75" i="53"/>
  <c r="AH104" i="53"/>
  <c r="AJ180" i="53"/>
  <c r="AO98" i="53"/>
  <c r="AI181" i="53"/>
  <c r="AI179" i="53"/>
  <c r="AI196" i="53"/>
  <c r="AH181" i="53"/>
  <c r="AP119" i="53"/>
  <c r="AI184" i="53"/>
  <c r="AN104" i="53"/>
  <c r="AN98" i="53"/>
  <c r="BF92" i="53"/>
  <c r="BC41" i="53"/>
  <c r="AN68" i="53"/>
  <c r="AP70" i="53"/>
  <c r="BF57" i="53"/>
  <c r="AN50" i="53"/>
  <c r="AU188" i="53"/>
  <c r="BA188" i="53" s="1"/>
  <c r="AO188" i="53"/>
  <c r="BG188" i="53" s="1"/>
  <c r="AE19" i="53"/>
  <c r="AQ10" i="53" s="1"/>
  <c r="AE163" i="53"/>
  <c r="AO51" i="53"/>
  <c r="AO19" i="53"/>
  <c r="AN67" i="53"/>
  <c r="AV177" i="53"/>
  <c r="BB177" i="53" s="1"/>
  <c r="AP177" i="53"/>
  <c r="F162" i="53"/>
  <c r="AP13" i="53"/>
  <c r="AE104" i="53"/>
  <c r="AQ91" i="53" s="1"/>
  <c r="AP182" i="53"/>
  <c r="AV182" i="53"/>
  <c r="BB182" i="53" s="1"/>
  <c r="BC152" i="53"/>
  <c r="AO155" i="53"/>
  <c r="BG147" i="53"/>
  <c r="BC147" i="53"/>
  <c r="AN138" i="53"/>
  <c r="AN137" i="53"/>
  <c r="AU204" i="53"/>
  <c r="BA204" i="53" s="1"/>
  <c r="AO204" i="53"/>
  <c r="AE204" i="53"/>
  <c r="F199" i="53"/>
  <c r="AH205" i="53"/>
  <c r="AO133" i="53"/>
  <c r="AN186" i="53"/>
  <c r="AN182" i="53"/>
  <c r="AN177" i="53"/>
  <c r="BF177" i="53" s="1"/>
  <c r="F193" i="53"/>
  <c r="C206" i="53"/>
  <c r="AH193" i="53"/>
  <c r="AN84" i="53"/>
  <c r="AO104" i="53"/>
  <c r="AO97" i="53"/>
  <c r="AJ199" i="53"/>
  <c r="AE193" i="53"/>
  <c r="AB206" i="53"/>
  <c r="AN193" i="53"/>
  <c r="BF193" i="53" s="1"/>
  <c r="AT193" i="53"/>
  <c r="AZ193" i="53" s="1"/>
  <c r="AI177" i="53"/>
  <c r="F53" i="53"/>
  <c r="AN63" i="53"/>
  <c r="AN70" i="53"/>
  <c r="BC58" i="53"/>
  <c r="AJ184" i="53"/>
  <c r="AO63" i="53"/>
  <c r="AO53" i="53"/>
  <c r="AO69" i="53"/>
  <c r="AO68" i="53"/>
  <c r="AO65" i="53"/>
  <c r="E172" i="53"/>
  <c r="BC151" i="53"/>
  <c r="AN121" i="53"/>
  <c r="AN117" i="53"/>
  <c r="AE155" i="53"/>
  <c r="AQ146" i="53" s="1"/>
  <c r="AP121" i="53"/>
  <c r="AO201" i="53"/>
  <c r="AU201" i="53"/>
  <c r="BA201" i="53" s="1"/>
  <c r="AP114" i="53"/>
  <c r="AP102" i="53"/>
  <c r="AP100" i="53"/>
  <c r="AE186" i="53"/>
  <c r="AE182" i="53"/>
  <c r="AO134" i="53"/>
  <c r="AN87" i="53"/>
  <c r="F87" i="53"/>
  <c r="AZ186" i="53"/>
  <c r="F186" i="53"/>
  <c r="AH186" i="53"/>
  <c r="AE199" i="53"/>
  <c r="AN199" i="53"/>
  <c r="AT199" i="53"/>
  <c r="AZ199" i="53" s="1"/>
  <c r="AN85" i="53"/>
  <c r="AH179" i="53"/>
  <c r="AE201" i="53"/>
  <c r="AN201" i="53"/>
  <c r="AT201" i="53"/>
  <c r="AZ201" i="53" s="1"/>
  <c r="AU193" i="53"/>
  <c r="BA193" i="53" s="1"/>
  <c r="AO193" i="53"/>
  <c r="AC206" i="53"/>
  <c r="AP181" i="53"/>
  <c r="AV181" i="53"/>
  <c r="BB181" i="53" s="1"/>
  <c r="AN83" i="53"/>
  <c r="D189" i="53"/>
  <c r="AI176" i="53"/>
  <c r="AI194" i="53"/>
  <c r="AI187" i="53"/>
  <c r="AN66" i="53"/>
  <c r="AN53" i="53"/>
  <c r="AN64" i="53"/>
  <c r="AN65" i="53"/>
  <c r="AN49" i="53"/>
  <c r="F70" i="53"/>
  <c r="BC57" i="53"/>
  <c r="AP53" i="53"/>
  <c r="AP64" i="53"/>
  <c r="AP67" i="53"/>
  <c r="AP46" i="53"/>
  <c r="AP47" i="53"/>
  <c r="AO46" i="53"/>
  <c r="AP49" i="53"/>
  <c r="AE87" i="53"/>
  <c r="AQ76" i="53" s="1"/>
  <c r="AO50" i="53"/>
  <c r="F36" i="53"/>
  <c r="F165" i="53"/>
  <c r="AO49" i="53"/>
  <c r="AD172" i="53"/>
  <c r="AP163" i="53" s="1"/>
  <c r="AU202" i="53"/>
  <c r="BA202" i="53" s="1"/>
  <c r="AO202" i="53"/>
  <c r="F155" i="53"/>
  <c r="BC137" i="53"/>
  <c r="BC120" i="53"/>
  <c r="AH203" i="53"/>
  <c r="F121" i="53"/>
  <c r="AI200" i="53"/>
  <c r="AE197" i="53"/>
  <c r="AN197" i="53"/>
  <c r="AT197" i="53"/>
  <c r="AZ197" i="53" s="1"/>
  <c r="AE195" i="53"/>
  <c r="AN195" i="53"/>
  <c r="AT195" i="53"/>
  <c r="AZ195" i="53" s="1"/>
  <c r="AV185" i="53"/>
  <c r="BB185" i="53" s="1"/>
  <c r="AP118" i="53"/>
  <c r="AH182" i="53"/>
  <c r="AH176" i="53"/>
  <c r="AE70" i="53"/>
  <c r="F187" i="53"/>
  <c r="AH187" i="53"/>
  <c r="AP87" i="53"/>
  <c r="AP81" i="53"/>
  <c r="AP86" i="53"/>
  <c r="BH86" i="53" s="1"/>
  <c r="AU177" i="53"/>
  <c r="BA177" i="53" s="1"/>
  <c r="AE53" i="53"/>
  <c r="AQ59" i="53" s="1"/>
  <c r="F170" i="53"/>
  <c r="BF45" i="53"/>
  <c r="AN17" i="53"/>
  <c r="AN15" i="53"/>
  <c r="F160" i="53"/>
  <c r="AO136" i="53"/>
  <c r="AP12" i="53"/>
  <c r="AJ193" i="53"/>
  <c r="E206" i="53"/>
  <c r="AI104" i="53"/>
  <c r="F104" i="53"/>
  <c r="AK99" i="53" s="1"/>
  <c r="AE196" i="53"/>
  <c r="AN196" i="53"/>
  <c r="AT196" i="53"/>
  <c r="AI199" i="53"/>
  <c r="AO131" i="53"/>
  <c r="AN120" i="53"/>
  <c r="AN116" i="53"/>
  <c r="AN155" i="53"/>
  <c r="BF142" i="53"/>
  <c r="BF147" i="53"/>
  <c r="AN133" i="53"/>
  <c r="AU203" i="53"/>
  <c r="BA203" i="53" s="1"/>
  <c r="AO203" i="53"/>
  <c r="BG203" i="53" s="1"/>
  <c r="AN115" i="53"/>
  <c r="AH200" i="53"/>
  <c r="AH198" i="53"/>
  <c r="AH196" i="53"/>
  <c r="AP98" i="53"/>
  <c r="BC125" i="53"/>
  <c r="F138" i="53"/>
  <c r="AE121" i="53"/>
  <c r="AQ112" i="53" s="1"/>
  <c r="AE200" i="53"/>
  <c r="AN200" i="53"/>
  <c r="BF200" i="53" s="1"/>
  <c r="AT200" i="53"/>
  <c r="AZ200" i="53" s="1"/>
  <c r="AN183" i="53"/>
  <c r="E189" i="53"/>
  <c r="AJ198" i="53"/>
  <c r="AU194" i="53"/>
  <c r="BA194" i="53" s="1"/>
  <c r="AI182" i="53"/>
  <c r="AI180" i="53"/>
  <c r="AE194" i="53"/>
  <c r="AN194" i="53"/>
  <c r="BF194" i="53" s="1"/>
  <c r="AT194" i="53"/>
  <c r="AZ194" i="53" s="1"/>
  <c r="F177" i="53"/>
  <c r="C189" i="53"/>
  <c r="AP84" i="53"/>
  <c r="AP80" i="53"/>
  <c r="AN52" i="53"/>
  <c r="AN48" i="53"/>
  <c r="AD189" i="53"/>
  <c r="AV176" i="53"/>
  <c r="BB176" i="53" s="1"/>
  <c r="AP176" i="53"/>
  <c r="AP52" i="53"/>
  <c r="AP19" i="53"/>
  <c r="AO48" i="53"/>
  <c r="AO17" i="53"/>
  <c r="AO14" i="53"/>
  <c r="AO87" i="53"/>
  <c r="AO85" i="53"/>
  <c r="AO83" i="53"/>
  <c r="AN46" i="53"/>
  <c r="F166" i="53"/>
  <c r="F161" i="53"/>
  <c r="AE138" i="53"/>
  <c r="AQ127" i="53" s="1"/>
  <c r="F194" i="53"/>
  <c r="AH194" i="53"/>
  <c r="AN47" i="53"/>
  <c r="AP51" i="53"/>
  <c r="BC68" i="53"/>
  <c r="AP50" i="53"/>
  <c r="AE170" i="53"/>
  <c r="AU176" i="53"/>
  <c r="BA176" i="53" s="1"/>
  <c r="AO176" i="53"/>
  <c r="AC189" i="53"/>
  <c r="AO66" i="53"/>
  <c r="AP179" i="53"/>
  <c r="BH179" i="53" s="1"/>
  <c r="AV179" i="53"/>
  <c r="BB179" i="53" s="1"/>
  <c r="AM103" i="52"/>
  <c r="AM71" i="52"/>
  <c r="AM55" i="52"/>
  <c r="AM39" i="52"/>
  <c r="BB68" i="52"/>
  <c r="AQ68" i="52"/>
  <c r="AR68" i="52"/>
  <c r="BA68" i="52"/>
  <c r="AZ68" i="52"/>
  <c r="AY68" i="52"/>
  <c r="AX68" i="52"/>
  <c r="BC57" i="52"/>
  <c r="BC67" i="52"/>
  <c r="P66" i="52"/>
  <c r="BC59" i="52"/>
  <c r="BC55" i="52"/>
  <c r="BC65" i="52"/>
  <c r="BC56" i="52"/>
  <c r="BC58" i="52"/>
  <c r="BC64" i="52"/>
  <c r="BC66" i="52"/>
  <c r="BC62" i="52"/>
  <c r="BC63" i="52"/>
  <c r="BC60" i="52"/>
  <c r="BC61" i="52"/>
  <c r="AW68" i="52"/>
  <c r="AU68" i="52"/>
  <c r="P56" i="52"/>
  <c r="P57" i="52"/>
  <c r="P59" i="52"/>
  <c r="P65" i="52"/>
  <c r="P67" i="52"/>
  <c r="L68" i="52"/>
  <c r="P58" i="52"/>
  <c r="P64" i="52"/>
  <c r="P60" i="52"/>
  <c r="P61" i="52"/>
  <c r="P63" i="52"/>
  <c r="P62" i="52"/>
  <c r="K68" i="52"/>
  <c r="C68" i="52"/>
  <c r="P55" i="52"/>
  <c r="AP68" i="52"/>
  <c r="Q59" i="26"/>
  <c r="E72" i="26"/>
  <c r="AH61" i="26"/>
  <c r="AH70" i="26"/>
  <c r="Q58" i="26"/>
  <c r="V72" i="26"/>
  <c r="AD72" i="26"/>
  <c r="H72" i="26"/>
  <c r="P72" i="26"/>
  <c r="Q69" i="26"/>
  <c r="AH58" i="26"/>
  <c r="T72" i="26"/>
  <c r="Q60" i="26"/>
  <c r="Q61" i="26"/>
  <c r="C72" i="26"/>
  <c r="E130" i="27"/>
  <c r="F130" i="27"/>
  <c r="G130" i="27"/>
  <c r="H130" i="27"/>
  <c r="I130" i="27"/>
  <c r="J130" i="27"/>
  <c r="K130" i="27"/>
  <c r="L130" i="27"/>
  <c r="M130" i="27"/>
  <c r="N130" i="27"/>
  <c r="O130" i="27"/>
  <c r="D130" i="27"/>
  <c r="C130" i="27"/>
  <c r="B130" i="27"/>
  <c r="K143" i="52"/>
  <c r="K127" i="52"/>
  <c r="K95" i="52"/>
  <c r="K31" i="52"/>
  <c r="K15" i="52"/>
  <c r="K146" i="52"/>
  <c r="K141" i="52"/>
  <c r="K140" i="52"/>
  <c r="K139" i="52"/>
  <c r="K138" i="52"/>
  <c r="K137" i="52"/>
  <c r="K130" i="52"/>
  <c r="K125" i="52"/>
  <c r="K124" i="52"/>
  <c r="K123" i="52"/>
  <c r="K122" i="52"/>
  <c r="K121" i="52"/>
  <c r="K98" i="52"/>
  <c r="K93" i="52"/>
  <c r="K92" i="52"/>
  <c r="K91" i="52"/>
  <c r="K90" i="52"/>
  <c r="K89" i="52"/>
  <c r="K34" i="52"/>
  <c r="K29" i="52"/>
  <c r="K28" i="52"/>
  <c r="K27" i="52"/>
  <c r="K26" i="52"/>
  <c r="R26" i="52" s="1"/>
  <c r="K25" i="52"/>
  <c r="K9" i="52"/>
  <c r="R9" i="52" s="1"/>
  <c r="K10" i="52"/>
  <c r="R10" i="52" s="1"/>
  <c r="K11" i="52"/>
  <c r="K12" i="52"/>
  <c r="K13" i="52"/>
  <c r="K18" i="52"/>
  <c r="O147" i="52"/>
  <c r="AL147" i="52" s="1"/>
  <c r="N146" i="52"/>
  <c r="AK146" i="52" s="1"/>
  <c r="M145" i="52"/>
  <c r="L144" i="52"/>
  <c r="J142" i="52"/>
  <c r="AG142" i="52" s="1"/>
  <c r="N141" i="52"/>
  <c r="AK141" i="52" s="1"/>
  <c r="I141" i="52"/>
  <c r="AF141" i="52" s="1"/>
  <c r="AF148" i="52" s="1"/>
  <c r="H141" i="52"/>
  <c r="AE141" i="52" s="1"/>
  <c r="G141" i="52"/>
  <c r="AD141" i="52" s="1"/>
  <c r="F141" i="52"/>
  <c r="AC141" i="52" s="1"/>
  <c r="E141" i="52"/>
  <c r="AB141" i="52" s="1"/>
  <c r="N140" i="52"/>
  <c r="AK140" i="52" s="1"/>
  <c r="H140" i="52"/>
  <c r="AE140" i="52" s="1"/>
  <c r="G140" i="52"/>
  <c r="AD140" i="52" s="1"/>
  <c r="N139" i="52"/>
  <c r="AK139" i="52" s="1"/>
  <c r="H139" i="52"/>
  <c r="AE139" i="52" s="1"/>
  <c r="G139" i="52"/>
  <c r="AD139" i="52" s="1"/>
  <c r="N138" i="52"/>
  <c r="AK138" i="52" s="1"/>
  <c r="H138" i="52"/>
  <c r="AE138" i="52" s="1"/>
  <c r="G138" i="52"/>
  <c r="AD138" i="52" s="1"/>
  <c r="F138" i="52"/>
  <c r="AC138" i="52" s="1"/>
  <c r="E138" i="52"/>
  <c r="AB138" i="52" s="1"/>
  <c r="N137" i="52"/>
  <c r="AK137" i="52" s="1"/>
  <c r="H137" i="52"/>
  <c r="AE137" i="52" s="1"/>
  <c r="G137" i="52"/>
  <c r="AD137" i="52" s="1"/>
  <c r="F137" i="52"/>
  <c r="AC137" i="52" s="1"/>
  <c r="E137" i="52"/>
  <c r="AB137" i="52" s="1"/>
  <c r="H136" i="52"/>
  <c r="AE136" i="52" s="1"/>
  <c r="G136" i="52"/>
  <c r="AD136" i="52" s="1"/>
  <c r="F136" i="52"/>
  <c r="AC136" i="52" s="1"/>
  <c r="E136" i="52"/>
  <c r="AB136" i="52" s="1"/>
  <c r="H135" i="52"/>
  <c r="AE135" i="52" s="1"/>
  <c r="G135" i="52"/>
  <c r="AD135" i="52" s="1"/>
  <c r="F135" i="52"/>
  <c r="AC135" i="52" s="1"/>
  <c r="E135" i="52"/>
  <c r="AB135" i="52" s="1"/>
  <c r="BB131" i="52"/>
  <c r="BA131" i="52"/>
  <c r="AZ131" i="52"/>
  <c r="AY131" i="52"/>
  <c r="AX131" i="52"/>
  <c r="AW131" i="52"/>
  <c r="AV131" i="52"/>
  <c r="AU131" i="52"/>
  <c r="AT131" i="52"/>
  <c r="AS131" i="52"/>
  <c r="AR131" i="52"/>
  <c r="AQ131" i="52"/>
  <c r="AP131" i="52"/>
  <c r="O131" i="52"/>
  <c r="AL131" i="52" s="1"/>
  <c r="BB130" i="52"/>
  <c r="BA130" i="52"/>
  <c r="AZ130" i="52"/>
  <c r="AY130" i="52"/>
  <c r="AX130" i="52"/>
  <c r="AW130" i="52"/>
  <c r="AV130" i="52"/>
  <c r="AU130" i="52"/>
  <c r="AT130" i="52"/>
  <c r="AS130" i="52"/>
  <c r="AR130" i="52"/>
  <c r="AQ130" i="52"/>
  <c r="AP130" i="52"/>
  <c r="N130" i="52"/>
  <c r="AK130" i="52" s="1"/>
  <c r="BB129" i="52"/>
  <c r="BA129" i="52"/>
  <c r="AZ129" i="52"/>
  <c r="AY129" i="52"/>
  <c r="AX129" i="52"/>
  <c r="AW129" i="52"/>
  <c r="AV129" i="52"/>
  <c r="AU129" i="52"/>
  <c r="AT129" i="52"/>
  <c r="AS129" i="52"/>
  <c r="AR129" i="52"/>
  <c r="AQ129" i="52"/>
  <c r="AP129" i="52"/>
  <c r="M129" i="52"/>
  <c r="BB128" i="52"/>
  <c r="BA128" i="52"/>
  <c r="AZ128" i="52"/>
  <c r="AY128" i="52"/>
  <c r="AX128" i="52"/>
  <c r="AW128" i="52"/>
  <c r="AV128" i="52"/>
  <c r="AU128" i="52"/>
  <c r="AT128" i="52"/>
  <c r="AS128" i="52"/>
  <c r="AR128" i="52"/>
  <c r="AQ128" i="52"/>
  <c r="AP128" i="52"/>
  <c r="L128" i="52"/>
  <c r="BB127" i="52"/>
  <c r="BA127" i="52"/>
  <c r="AZ127" i="52"/>
  <c r="AY127" i="52"/>
  <c r="AX127" i="52"/>
  <c r="AW127" i="52"/>
  <c r="AV127" i="52"/>
  <c r="AU127" i="52"/>
  <c r="AT127" i="52"/>
  <c r="AS127" i="52"/>
  <c r="AR127" i="52"/>
  <c r="AQ127" i="52"/>
  <c r="AP127" i="52"/>
  <c r="BB126" i="52"/>
  <c r="BA126" i="52"/>
  <c r="AZ126" i="52"/>
  <c r="AY126" i="52"/>
  <c r="AX126" i="52"/>
  <c r="AW126" i="52"/>
  <c r="AV126" i="52"/>
  <c r="AU126" i="52"/>
  <c r="AT126" i="52"/>
  <c r="AS126" i="52"/>
  <c r="AR126" i="52"/>
  <c r="AQ126" i="52"/>
  <c r="AP126" i="52"/>
  <c r="J126" i="52"/>
  <c r="AG126" i="52" s="1"/>
  <c r="BB125" i="52"/>
  <c r="BA125" i="52"/>
  <c r="AZ125" i="52"/>
  <c r="AY125" i="52"/>
  <c r="AX125" i="52"/>
  <c r="AW125" i="52"/>
  <c r="AV125" i="52"/>
  <c r="AU125" i="52"/>
  <c r="AT125" i="52"/>
  <c r="AS125" i="52"/>
  <c r="AR125" i="52"/>
  <c r="AQ125" i="52"/>
  <c r="AP125" i="52"/>
  <c r="N125" i="52"/>
  <c r="AK125" i="52" s="1"/>
  <c r="I125" i="52"/>
  <c r="AF125" i="52" s="1"/>
  <c r="AF132" i="52" s="1"/>
  <c r="H125" i="52"/>
  <c r="AE125" i="52" s="1"/>
  <c r="G125" i="52"/>
  <c r="AD125" i="52" s="1"/>
  <c r="F125" i="52"/>
  <c r="AC125" i="52" s="1"/>
  <c r="E125" i="52"/>
  <c r="AB125" i="52" s="1"/>
  <c r="BB124" i="52"/>
  <c r="BA124" i="52"/>
  <c r="AZ124" i="52"/>
  <c r="AY124" i="52"/>
  <c r="AX124" i="52"/>
  <c r="AW124" i="52"/>
  <c r="AV124" i="52"/>
  <c r="AU124" i="52"/>
  <c r="AT124" i="52"/>
  <c r="AS124" i="52"/>
  <c r="AR124" i="52"/>
  <c r="AQ124" i="52"/>
  <c r="AP124" i="52"/>
  <c r="N124" i="52"/>
  <c r="AK124" i="52" s="1"/>
  <c r="H124" i="52"/>
  <c r="AE124" i="52" s="1"/>
  <c r="G124" i="52"/>
  <c r="AD124" i="52" s="1"/>
  <c r="BB123" i="52"/>
  <c r="BA123" i="52"/>
  <c r="AZ123" i="52"/>
  <c r="AY123" i="52"/>
  <c r="AX123" i="52"/>
  <c r="AW123" i="52"/>
  <c r="AV123" i="52"/>
  <c r="AU123" i="52"/>
  <c r="AT123" i="52"/>
  <c r="AS123" i="52"/>
  <c r="AR123" i="52"/>
  <c r="AQ123" i="52"/>
  <c r="AP123" i="52"/>
  <c r="N123" i="52"/>
  <c r="AK123" i="52" s="1"/>
  <c r="H123" i="52"/>
  <c r="AE123" i="52" s="1"/>
  <c r="G123" i="52"/>
  <c r="AD123" i="52" s="1"/>
  <c r="BB122" i="52"/>
  <c r="BA122" i="52"/>
  <c r="AZ122" i="52"/>
  <c r="AY122" i="52"/>
  <c r="AX122" i="52"/>
  <c r="AW122" i="52"/>
  <c r="AV122" i="52"/>
  <c r="AU122" i="52"/>
  <c r="AT122" i="52"/>
  <c r="AS122" i="52"/>
  <c r="AR122" i="52"/>
  <c r="AQ122" i="52"/>
  <c r="AP122" i="52"/>
  <c r="N122" i="52"/>
  <c r="AK122" i="52" s="1"/>
  <c r="H122" i="52"/>
  <c r="AE122" i="52" s="1"/>
  <c r="G122" i="52"/>
  <c r="AD122" i="52" s="1"/>
  <c r="F122" i="52"/>
  <c r="AC122" i="52" s="1"/>
  <c r="E122" i="52"/>
  <c r="AB122" i="52" s="1"/>
  <c r="BB121" i="52"/>
  <c r="BA121" i="52"/>
  <c r="AZ121" i="52"/>
  <c r="AY121" i="52"/>
  <c r="AX121" i="52"/>
  <c r="AW121" i="52"/>
  <c r="AV121" i="52"/>
  <c r="AU121" i="52"/>
  <c r="AT121" i="52"/>
  <c r="AS121" i="52"/>
  <c r="AR121" i="52"/>
  <c r="AQ121" i="52"/>
  <c r="AP121" i="52"/>
  <c r="N121" i="52"/>
  <c r="AK121" i="52" s="1"/>
  <c r="H121" i="52"/>
  <c r="AE121" i="52" s="1"/>
  <c r="G121" i="52"/>
  <c r="AD121" i="52" s="1"/>
  <c r="F121" i="52"/>
  <c r="AC121" i="52" s="1"/>
  <c r="E121" i="52"/>
  <c r="AB121" i="52" s="1"/>
  <c r="BB120" i="52"/>
  <c r="BA120" i="52"/>
  <c r="AZ120" i="52"/>
  <c r="AY120" i="52"/>
  <c r="AX120" i="52"/>
  <c r="AW120" i="52"/>
  <c r="AV120" i="52"/>
  <c r="AU120" i="52"/>
  <c r="AT120" i="52"/>
  <c r="AS120" i="52"/>
  <c r="AR120" i="52"/>
  <c r="AQ120" i="52"/>
  <c r="AP120" i="52"/>
  <c r="H120" i="52"/>
  <c r="AE120" i="52" s="1"/>
  <c r="G120" i="52"/>
  <c r="AD120" i="52" s="1"/>
  <c r="F120" i="52"/>
  <c r="AC120" i="52" s="1"/>
  <c r="E120" i="52"/>
  <c r="AB120" i="52" s="1"/>
  <c r="BB119" i="52"/>
  <c r="BA119" i="52"/>
  <c r="AZ119" i="52"/>
  <c r="AY119" i="52"/>
  <c r="AX119" i="52"/>
  <c r="AW119" i="52"/>
  <c r="AV119" i="52"/>
  <c r="AU119" i="52"/>
  <c r="AT119" i="52"/>
  <c r="AS119" i="52"/>
  <c r="AR119" i="52"/>
  <c r="AQ119" i="52"/>
  <c r="AP119" i="52"/>
  <c r="H119" i="52"/>
  <c r="AE119" i="52" s="1"/>
  <c r="G119" i="52"/>
  <c r="AD119" i="52" s="1"/>
  <c r="F119" i="52"/>
  <c r="AC119" i="52" s="1"/>
  <c r="E119" i="52"/>
  <c r="AB119" i="52" s="1"/>
  <c r="BB115" i="52"/>
  <c r="BA115" i="52"/>
  <c r="AZ115" i="52"/>
  <c r="AY115" i="52"/>
  <c r="AX115" i="52"/>
  <c r="AW115" i="52"/>
  <c r="AV115" i="52"/>
  <c r="AU115" i="52"/>
  <c r="AT115" i="52"/>
  <c r="AS115" i="52"/>
  <c r="AR115" i="52"/>
  <c r="AQ115" i="52"/>
  <c r="AP115" i="52"/>
  <c r="BB114" i="52"/>
  <c r="BA114" i="52"/>
  <c r="AZ114" i="52"/>
  <c r="AY114" i="52"/>
  <c r="AX114" i="52"/>
  <c r="AW114" i="52"/>
  <c r="AV114" i="52"/>
  <c r="AU114" i="52"/>
  <c r="AT114" i="52"/>
  <c r="AS114" i="52"/>
  <c r="AR114" i="52"/>
  <c r="AQ114" i="52"/>
  <c r="AP114" i="52"/>
  <c r="BB113" i="52"/>
  <c r="BA113" i="52"/>
  <c r="AZ113" i="52"/>
  <c r="AY113" i="52"/>
  <c r="AX113" i="52"/>
  <c r="AW113" i="52"/>
  <c r="AV113" i="52"/>
  <c r="AU113" i="52"/>
  <c r="AT113" i="52"/>
  <c r="AS113" i="52"/>
  <c r="AR113" i="52"/>
  <c r="AQ113" i="52"/>
  <c r="AP113" i="52"/>
  <c r="BB112" i="52"/>
  <c r="BA112" i="52"/>
  <c r="AZ112" i="52"/>
  <c r="AY112" i="52"/>
  <c r="AX112" i="52"/>
  <c r="AW112" i="52"/>
  <c r="AV112" i="52"/>
  <c r="AU112" i="52"/>
  <c r="AT112" i="52"/>
  <c r="AS112" i="52"/>
  <c r="AR112" i="52"/>
  <c r="AQ112" i="52"/>
  <c r="AP112" i="52"/>
  <c r="BB111" i="52"/>
  <c r="BA111" i="52"/>
  <c r="AZ111" i="52"/>
  <c r="AY111" i="52"/>
  <c r="AX111" i="52"/>
  <c r="AW111" i="52"/>
  <c r="AV111" i="52"/>
  <c r="AU111" i="52"/>
  <c r="AT111" i="52"/>
  <c r="AS111" i="52"/>
  <c r="AR111" i="52"/>
  <c r="AQ111" i="52"/>
  <c r="AP111" i="52"/>
  <c r="BB110" i="52"/>
  <c r="BA110" i="52"/>
  <c r="AZ110" i="52"/>
  <c r="AY110" i="52"/>
  <c r="AX110" i="52"/>
  <c r="AW110" i="52"/>
  <c r="AV110" i="52"/>
  <c r="AU110" i="52"/>
  <c r="AT110" i="52"/>
  <c r="AS110" i="52"/>
  <c r="AR110" i="52"/>
  <c r="AQ110" i="52"/>
  <c r="AP110" i="52"/>
  <c r="BB109" i="52"/>
  <c r="BA109" i="52"/>
  <c r="AZ109" i="52"/>
  <c r="AY109" i="52"/>
  <c r="AX109" i="52"/>
  <c r="AW109" i="52"/>
  <c r="AV109" i="52"/>
  <c r="AU109" i="52"/>
  <c r="AT109" i="52"/>
  <c r="AS109" i="52"/>
  <c r="AR109" i="52"/>
  <c r="AQ109" i="52"/>
  <c r="AP109" i="52"/>
  <c r="BB108" i="52"/>
  <c r="BA108" i="52"/>
  <c r="AZ108" i="52"/>
  <c r="AY108" i="52"/>
  <c r="AX108" i="52"/>
  <c r="AW108" i="52"/>
  <c r="AV108" i="52"/>
  <c r="AU108" i="52"/>
  <c r="AT108" i="52"/>
  <c r="AS108" i="52"/>
  <c r="AR108" i="52"/>
  <c r="AQ108" i="52"/>
  <c r="AP108" i="52"/>
  <c r="BB107" i="52"/>
  <c r="BA107" i="52"/>
  <c r="AZ107" i="52"/>
  <c r="AY107" i="52"/>
  <c r="AX107" i="52"/>
  <c r="AW107" i="52"/>
  <c r="AV107" i="52"/>
  <c r="AU107" i="52"/>
  <c r="AT107" i="52"/>
  <c r="AS107" i="52"/>
  <c r="AR107" i="52"/>
  <c r="AQ107" i="52"/>
  <c r="AP107" i="52"/>
  <c r="BB106" i="52"/>
  <c r="BA106" i="52"/>
  <c r="AZ106" i="52"/>
  <c r="AY106" i="52"/>
  <c r="AX106" i="52"/>
  <c r="AW106" i="52"/>
  <c r="AV106" i="52"/>
  <c r="AU106" i="52"/>
  <c r="AT106" i="52"/>
  <c r="AS106" i="52"/>
  <c r="AR106" i="52"/>
  <c r="AQ106" i="52"/>
  <c r="AP106" i="52"/>
  <c r="BB105" i="52"/>
  <c r="BA105" i="52"/>
  <c r="AZ105" i="52"/>
  <c r="AY105" i="52"/>
  <c r="AX105" i="52"/>
  <c r="AW105" i="52"/>
  <c r="AV105" i="52"/>
  <c r="AU105" i="52"/>
  <c r="AT105" i="52"/>
  <c r="AS105" i="52"/>
  <c r="AR105" i="52"/>
  <c r="AQ105" i="52"/>
  <c r="AP105" i="52"/>
  <c r="BB104" i="52"/>
  <c r="BA104" i="52"/>
  <c r="AZ104" i="52"/>
  <c r="AY104" i="52"/>
  <c r="AX104" i="52"/>
  <c r="AW104" i="52"/>
  <c r="AV104" i="52"/>
  <c r="AU104" i="52"/>
  <c r="AT104" i="52"/>
  <c r="AS104" i="52"/>
  <c r="AR104" i="52"/>
  <c r="AQ104" i="52"/>
  <c r="AP104" i="52"/>
  <c r="BB103" i="52"/>
  <c r="BA103" i="52"/>
  <c r="AZ103" i="52"/>
  <c r="AY103" i="52"/>
  <c r="AX103" i="52"/>
  <c r="AW103" i="52"/>
  <c r="AV103" i="52"/>
  <c r="AU103" i="52"/>
  <c r="AT103" i="52"/>
  <c r="AS103" i="52"/>
  <c r="AR103" i="52"/>
  <c r="AQ103" i="52"/>
  <c r="AP103" i="52"/>
  <c r="BB99" i="52"/>
  <c r="BA99" i="52"/>
  <c r="AZ99" i="52"/>
  <c r="AY99" i="52"/>
  <c r="AX99" i="52"/>
  <c r="AW99" i="52"/>
  <c r="AV99" i="52"/>
  <c r="AU99" i="52"/>
  <c r="AT99" i="52"/>
  <c r="AS99" i="52"/>
  <c r="AR99" i="52"/>
  <c r="AQ99" i="52"/>
  <c r="AP99" i="52"/>
  <c r="O99" i="52"/>
  <c r="AL99" i="52" s="1"/>
  <c r="BB98" i="52"/>
  <c r="BA98" i="52"/>
  <c r="AZ98" i="52"/>
  <c r="AY98" i="52"/>
  <c r="AX98" i="52"/>
  <c r="AW98" i="52"/>
  <c r="AV98" i="52"/>
  <c r="AU98" i="52"/>
  <c r="AT98" i="52"/>
  <c r="AS98" i="52"/>
  <c r="AR98" i="52"/>
  <c r="AQ98" i="52"/>
  <c r="AP98" i="52"/>
  <c r="N98" i="52"/>
  <c r="AK98" i="52" s="1"/>
  <c r="BB97" i="52"/>
  <c r="BA97" i="52"/>
  <c r="AZ97" i="52"/>
  <c r="AY97" i="52"/>
  <c r="AX97" i="52"/>
  <c r="AW97" i="52"/>
  <c r="AV97" i="52"/>
  <c r="AU97" i="52"/>
  <c r="AT97" i="52"/>
  <c r="AS97" i="52"/>
  <c r="AR97" i="52"/>
  <c r="AQ97" i="52"/>
  <c r="AP97" i="52"/>
  <c r="M97" i="52"/>
  <c r="BB96" i="52"/>
  <c r="BA96" i="52"/>
  <c r="AZ96" i="52"/>
  <c r="AY96" i="52"/>
  <c r="AX96" i="52"/>
  <c r="AW96" i="52"/>
  <c r="AV96" i="52"/>
  <c r="AU96" i="52"/>
  <c r="AT96" i="52"/>
  <c r="AS96" i="52"/>
  <c r="AR96" i="52"/>
  <c r="AQ96" i="52"/>
  <c r="AP96" i="52"/>
  <c r="L96" i="52"/>
  <c r="BB95" i="52"/>
  <c r="BA95" i="52"/>
  <c r="AZ95" i="52"/>
  <c r="AY95" i="52"/>
  <c r="AX95" i="52"/>
  <c r="AW95" i="52"/>
  <c r="AV95" i="52"/>
  <c r="AU95" i="52"/>
  <c r="AT95" i="52"/>
  <c r="AS95" i="52"/>
  <c r="AR95" i="52"/>
  <c r="AQ95" i="52"/>
  <c r="AP95" i="52"/>
  <c r="BB94" i="52"/>
  <c r="BA94" i="52"/>
  <c r="AZ94" i="52"/>
  <c r="AY94" i="52"/>
  <c r="AX94" i="52"/>
  <c r="AW94" i="52"/>
  <c r="AV94" i="52"/>
  <c r="AU94" i="52"/>
  <c r="AT94" i="52"/>
  <c r="AS94" i="52"/>
  <c r="AR94" i="52"/>
  <c r="AQ94" i="52"/>
  <c r="AP94" i="52"/>
  <c r="J94" i="52"/>
  <c r="AG94" i="52" s="1"/>
  <c r="BB93" i="52"/>
  <c r="BA93" i="52"/>
  <c r="AZ93" i="52"/>
  <c r="AY93" i="52"/>
  <c r="AX93" i="52"/>
  <c r="AW93" i="52"/>
  <c r="AV93" i="52"/>
  <c r="AU93" i="52"/>
  <c r="AT93" i="52"/>
  <c r="AS93" i="52"/>
  <c r="AR93" i="52"/>
  <c r="AQ93" i="52"/>
  <c r="AP93" i="52"/>
  <c r="N93" i="52"/>
  <c r="AK93" i="52" s="1"/>
  <c r="I93" i="52"/>
  <c r="AF93" i="52" s="1"/>
  <c r="H93" i="52"/>
  <c r="AE93" i="52" s="1"/>
  <c r="G93" i="52"/>
  <c r="AD93" i="52" s="1"/>
  <c r="F93" i="52"/>
  <c r="AC93" i="52" s="1"/>
  <c r="E93" i="52"/>
  <c r="AB93" i="52" s="1"/>
  <c r="BB92" i="52"/>
  <c r="BA92" i="52"/>
  <c r="AZ92" i="52"/>
  <c r="AY92" i="52"/>
  <c r="AX92" i="52"/>
  <c r="AW92" i="52"/>
  <c r="AV92" i="52"/>
  <c r="AU92" i="52"/>
  <c r="AT92" i="52"/>
  <c r="AS92" i="52"/>
  <c r="AR92" i="52"/>
  <c r="AQ92" i="52"/>
  <c r="AP92" i="52"/>
  <c r="N92" i="52"/>
  <c r="AK92" i="52" s="1"/>
  <c r="H92" i="52"/>
  <c r="AE92" i="52" s="1"/>
  <c r="G92" i="52"/>
  <c r="AD92" i="52" s="1"/>
  <c r="BB91" i="52"/>
  <c r="BA91" i="52"/>
  <c r="AZ91" i="52"/>
  <c r="AY91" i="52"/>
  <c r="AX91" i="52"/>
  <c r="AW91" i="52"/>
  <c r="AV91" i="52"/>
  <c r="AU91" i="52"/>
  <c r="AT91" i="52"/>
  <c r="AS91" i="52"/>
  <c r="AR91" i="52"/>
  <c r="AQ91" i="52"/>
  <c r="AP91" i="52"/>
  <c r="N91" i="52"/>
  <c r="AK91" i="52" s="1"/>
  <c r="H91" i="52"/>
  <c r="AE91" i="52" s="1"/>
  <c r="G91" i="52"/>
  <c r="AD91" i="52" s="1"/>
  <c r="BB90" i="52"/>
  <c r="BA90" i="52"/>
  <c r="AZ90" i="52"/>
  <c r="AY90" i="52"/>
  <c r="AX90" i="52"/>
  <c r="AW90" i="52"/>
  <c r="AV90" i="52"/>
  <c r="AU90" i="52"/>
  <c r="AT90" i="52"/>
  <c r="AS90" i="52"/>
  <c r="AR90" i="52"/>
  <c r="AQ90" i="52"/>
  <c r="AP90" i="52"/>
  <c r="N90" i="52"/>
  <c r="AK90" i="52" s="1"/>
  <c r="H90" i="52"/>
  <c r="AE90" i="52" s="1"/>
  <c r="G90" i="52"/>
  <c r="AD90" i="52" s="1"/>
  <c r="F90" i="52"/>
  <c r="AC90" i="52" s="1"/>
  <c r="E90" i="52"/>
  <c r="AB90" i="52" s="1"/>
  <c r="BB89" i="52"/>
  <c r="BA89" i="52"/>
  <c r="AZ89" i="52"/>
  <c r="AY89" i="52"/>
  <c r="AX89" i="52"/>
  <c r="AW89" i="52"/>
  <c r="AV89" i="52"/>
  <c r="AU89" i="52"/>
  <c r="AT89" i="52"/>
  <c r="AS89" i="52"/>
  <c r="AR89" i="52"/>
  <c r="AQ89" i="52"/>
  <c r="AP89" i="52"/>
  <c r="N89" i="52"/>
  <c r="AK89" i="52" s="1"/>
  <c r="H89" i="52"/>
  <c r="AE89" i="52" s="1"/>
  <c r="G89" i="52"/>
  <c r="AD89" i="52" s="1"/>
  <c r="F89" i="52"/>
  <c r="AC89" i="52" s="1"/>
  <c r="E89" i="52"/>
  <c r="AB89" i="52" s="1"/>
  <c r="BB88" i="52"/>
  <c r="BA88" i="52"/>
  <c r="AZ88" i="52"/>
  <c r="AY88" i="52"/>
  <c r="AX88" i="52"/>
  <c r="AW88" i="52"/>
  <c r="AV88" i="52"/>
  <c r="AU88" i="52"/>
  <c r="AT88" i="52"/>
  <c r="AS88" i="52"/>
  <c r="AR88" i="52"/>
  <c r="AQ88" i="52"/>
  <c r="AP88" i="52"/>
  <c r="H88" i="52"/>
  <c r="AE88" i="52" s="1"/>
  <c r="G88" i="52"/>
  <c r="AD88" i="52" s="1"/>
  <c r="F88" i="52"/>
  <c r="AC88" i="52" s="1"/>
  <c r="E88" i="52"/>
  <c r="AB88" i="52" s="1"/>
  <c r="D88" i="52"/>
  <c r="AA88" i="52" s="1"/>
  <c r="AA174" i="52" s="1"/>
  <c r="C88" i="52"/>
  <c r="Z88" i="52" s="1"/>
  <c r="Z174" i="52" s="1"/>
  <c r="BB87" i="52"/>
  <c r="BA87" i="52"/>
  <c r="AZ87" i="52"/>
  <c r="AY87" i="52"/>
  <c r="AX87" i="52"/>
  <c r="AW87" i="52"/>
  <c r="AV87" i="52"/>
  <c r="AU87" i="52"/>
  <c r="AT87" i="52"/>
  <c r="AS87" i="52"/>
  <c r="AR87" i="52"/>
  <c r="AQ87" i="52"/>
  <c r="AP87" i="52"/>
  <c r="H87" i="52"/>
  <c r="AE87" i="52" s="1"/>
  <c r="G87" i="52"/>
  <c r="AD87" i="52" s="1"/>
  <c r="F87" i="52"/>
  <c r="AC87" i="52" s="1"/>
  <c r="E87" i="52"/>
  <c r="AB87" i="52" s="1"/>
  <c r="D87" i="52"/>
  <c r="AA87" i="52" s="1"/>
  <c r="C87" i="52"/>
  <c r="Z87" i="52" s="1"/>
  <c r="Z173" i="52" s="1"/>
  <c r="BB83" i="52"/>
  <c r="BA83" i="52"/>
  <c r="AZ83" i="52"/>
  <c r="AY83" i="52"/>
  <c r="AX83" i="52"/>
  <c r="AW83" i="52"/>
  <c r="AV83" i="52"/>
  <c r="AU83" i="52"/>
  <c r="AT83" i="52"/>
  <c r="AS83" i="52"/>
  <c r="AR83" i="52"/>
  <c r="AQ83" i="52"/>
  <c r="AP83" i="52"/>
  <c r="BB82" i="52"/>
  <c r="BA82" i="52"/>
  <c r="AZ82" i="52"/>
  <c r="AY82" i="52"/>
  <c r="AX82" i="52"/>
  <c r="AW82" i="52"/>
  <c r="AV82" i="52"/>
  <c r="AU82" i="52"/>
  <c r="AT82" i="52"/>
  <c r="AS82" i="52"/>
  <c r="AR82" i="52"/>
  <c r="AQ82" i="52"/>
  <c r="AP82" i="52"/>
  <c r="BB81" i="52"/>
  <c r="BA81" i="52"/>
  <c r="AZ81" i="52"/>
  <c r="AY81" i="52"/>
  <c r="AX81" i="52"/>
  <c r="AW81" i="52"/>
  <c r="AV81" i="52"/>
  <c r="AU81" i="52"/>
  <c r="AT81" i="52"/>
  <c r="AS81" i="52"/>
  <c r="AR81" i="52"/>
  <c r="AQ81" i="52"/>
  <c r="AP81" i="52"/>
  <c r="BB80" i="52"/>
  <c r="BA80" i="52"/>
  <c r="AZ80" i="52"/>
  <c r="AY80" i="52"/>
  <c r="AX80" i="52"/>
  <c r="AW80" i="52"/>
  <c r="AV80" i="52"/>
  <c r="AU80" i="52"/>
  <c r="AT80" i="52"/>
  <c r="AS80" i="52"/>
  <c r="AR80" i="52"/>
  <c r="AQ80" i="52"/>
  <c r="AP80" i="52"/>
  <c r="BB79" i="52"/>
  <c r="BA79" i="52"/>
  <c r="AZ79" i="52"/>
  <c r="AY79" i="52"/>
  <c r="AX79" i="52"/>
  <c r="AW79" i="52"/>
  <c r="AV79" i="52"/>
  <c r="AU79" i="52"/>
  <c r="AT79" i="52"/>
  <c r="AS79" i="52"/>
  <c r="AR79" i="52"/>
  <c r="AQ79" i="52"/>
  <c r="AP79" i="52"/>
  <c r="BB78" i="52"/>
  <c r="BA78" i="52"/>
  <c r="AZ78" i="52"/>
  <c r="AY78" i="52"/>
  <c r="AX78" i="52"/>
  <c r="AW78" i="52"/>
  <c r="AV78" i="52"/>
  <c r="AU78" i="52"/>
  <c r="AT78" i="52"/>
  <c r="AS78" i="52"/>
  <c r="AR78" i="52"/>
  <c r="AQ78" i="52"/>
  <c r="AP78" i="52"/>
  <c r="BB77" i="52"/>
  <c r="BA77" i="52"/>
  <c r="AZ77" i="52"/>
  <c r="AY77" i="52"/>
  <c r="AX77" i="52"/>
  <c r="AW77" i="52"/>
  <c r="AV77" i="52"/>
  <c r="AU77" i="52"/>
  <c r="AT77" i="52"/>
  <c r="AS77" i="52"/>
  <c r="AR77" i="52"/>
  <c r="AQ77" i="52"/>
  <c r="AP77" i="52"/>
  <c r="BB76" i="52"/>
  <c r="BA76" i="52"/>
  <c r="AZ76" i="52"/>
  <c r="AY76" i="52"/>
  <c r="AX76" i="52"/>
  <c r="AW76" i="52"/>
  <c r="AV76" i="52"/>
  <c r="AU76" i="52"/>
  <c r="AT76" i="52"/>
  <c r="AS76" i="52"/>
  <c r="AR76" i="52"/>
  <c r="AQ76" i="52"/>
  <c r="AP76" i="52"/>
  <c r="BB75" i="52"/>
  <c r="BA75" i="52"/>
  <c r="AZ75" i="52"/>
  <c r="AY75" i="52"/>
  <c r="AX75" i="52"/>
  <c r="AW75" i="52"/>
  <c r="AV75" i="52"/>
  <c r="AU75" i="52"/>
  <c r="AT75" i="52"/>
  <c r="AS75" i="52"/>
  <c r="AR75" i="52"/>
  <c r="AQ75" i="52"/>
  <c r="AP75" i="52"/>
  <c r="BB74" i="52"/>
  <c r="BA74" i="52"/>
  <c r="AZ74" i="52"/>
  <c r="AY74" i="52"/>
  <c r="AX74" i="52"/>
  <c r="AW74" i="52"/>
  <c r="AV74" i="52"/>
  <c r="AU74" i="52"/>
  <c r="AT74" i="52"/>
  <c r="AS74" i="52"/>
  <c r="AR74" i="52"/>
  <c r="AQ74" i="52"/>
  <c r="AP74" i="52"/>
  <c r="BB73" i="52"/>
  <c r="BA73" i="52"/>
  <c r="AZ73" i="52"/>
  <c r="AY73" i="52"/>
  <c r="AX73" i="52"/>
  <c r="AW73" i="52"/>
  <c r="AV73" i="52"/>
  <c r="AU73" i="52"/>
  <c r="AT73" i="52"/>
  <c r="AS73" i="52"/>
  <c r="AR73" i="52"/>
  <c r="AQ73" i="52"/>
  <c r="AP73" i="52"/>
  <c r="BB72" i="52"/>
  <c r="BA72" i="52"/>
  <c r="AZ72" i="52"/>
  <c r="AY72" i="52"/>
  <c r="AX72" i="52"/>
  <c r="AW72" i="52"/>
  <c r="AV72" i="52"/>
  <c r="AU72" i="52"/>
  <c r="AT72" i="52"/>
  <c r="AS72" i="52"/>
  <c r="AR72" i="52"/>
  <c r="AQ72" i="52"/>
  <c r="AP72" i="52"/>
  <c r="BB71" i="52"/>
  <c r="BA71" i="52"/>
  <c r="AZ71" i="52"/>
  <c r="AY71" i="52"/>
  <c r="AX71" i="52"/>
  <c r="AW71" i="52"/>
  <c r="AV71" i="52"/>
  <c r="AU71" i="52"/>
  <c r="AT71" i="52"/>
  <c r="AS71" i="52"/>
  <c r="AR71" i="52"/>
  <c r="AQ71" i="52"/>
  <c r="AP71" i="52"/>
  <c r="BB51" i="52"/>
  <c r="BA51" i="52"/>
  <c r="AZ51" i="52"/>
  <c r="AY51" i="52"/>
  <c r="AX51" i="52"/>
  <c r="AW51" i="52"/>
  <c r="AV51" i="52"/>
  <c r="AU51" i="52"/>
  <c r="AT51" i="52"/>
  <c r="AS51" i="52"/>
  <c r="AR51" i="52"/>
  <c r="AQ51" i="52"/>
  <c r="AP51" i="52"/>
  <c r="BB50" i="52"/>
  <c r="BA50" i="52"/>
  <c r="AZ50" i="52"/>
  <c r="AY50" i="52"/>
  <c r="AX50" i="52"/>
  <c r="AW50" i="52"/>
  <c r="AV50" i="52"/>
  <c r="AU50" i="52"/>
  <c r="AT50" i="52"/>
  <c r="AS50" i="52"/>
  <c r="AR50" i="52"/>
  <c r="AQ50" i="52"/>
  <c r="AP50" i="52"/>
  <c r="BB49" i="52"/>
  <c r="BA49" i="52"/>
  <c r="AZ49" i="52"/>
  <c r="AY49" i="52"/>
  <c r="AX49" i="52"/>
  <c r="AW49" i="52"/>
  <c r="AV49" i="52"/>
  <c r="AU49" i="52"/>
  <c r="AT49" i="52"/>
  <c r="AS49" i="52"/>
  <c r="AR49" i="52"/>
  <c r="AQ49" i="52"/>
  <c r="AP49" i="52"/>
  <c r="BB48" i="52"/>
  <c r="BA48" i="52"/>
  <c r="AZ48" i="52"/>
  <c r="AY48" i="52"/>
  <c r="AX48" i="52"/>
  <c r="AW48" i="52"/>
  <c r="AV48" i="52"/>
  <c r="AU48" i="52"/>
  <c r="AT48" i="52"/>
  <c r="AS48" i="52"/>
  <c r="AR48" i="52"/>
  <c r="AQ48" i="52"/>
  <c r="AP48" i="52"/>
  <c r="BB47" i="52"/>
  <c r="BA47" i="52"/>
  <c r="AZ47" i="52"/>
  <c r="AY47" i="52"/>
  <c r="AX47" i="52"/>
  <c r="AW47" i="52"/>
  <c r="AV47" i="52"/>
  <c r="AU47" i="52"/>
  <c r="AT47" i="52"/>
  <c r="AS47" i="52"/>
  <c r="AR47" i="52"/>
  <c r="AQ47" i="52"/>
  <c r="AP47" i="52"/>
  <c r="BB46" i="52"/>
  <c r="BA46" i="52"/>
  <c r="AZ46" i="52"/>
  <c r="AY46" i="52"/>
  <c r="AX46" i="52"/>
  <c r="AW46" i="52"/>
  <c r="AV46" i="52"/>
  <c r="AU46" i="52"/>
  <c r="AT46" i="52"/>
  <c r="AS46" i="52"/>
  <c r="AR46" i="52"/>
  <c r="AQ46" i="52"/>
  <c r="AP46" i="52"/>
  <c r="BB45" i="52"/>
  <c r="BA45" i="52"/>
  <c r="AZ45" i="52"/>
  <c r="AY45" i="52"/>
  <c r="AX45" i="52"/>
  <c r="AW45" i="52"/>
  <c r="AV45" i="52"/>
  <c r="AU45" i="52"/>
  <c r="AT45" i="52"/>
  <c r="AS45" i="52"/>
  <c r="AR45" i="52"/>
  <c r="AQ45" i="52"/>
  <c r="AP45" i="52"/>
  <c r="BB44" i="52"/>
  <c r="BA44" i="52"/>
  <c r="AZ44" i="52"/>
  <c r="AY44" i="52"/>
  <c r="AX44" i="52"/>
  <c r="AW44" i="52"/>
  <c r="AV44" i="52"/>
  <c r="AU44" i="52"/>
  <c r="AT44" i="52"/>
  <c r="AS44" i="52"/>
  <c r="AR44" i="52"/>
  <c r="AQ44" i="52"/>
  <c r="AP44" i="52"/>
  <c r="BB43" i="52"/>
  <c r="BA43" i="52"/>
  <c r="AZ43" i="52"/>
  <c r="AY43" i="52"/>
  <c r="AX43" i="52"/>
  <c r="AW43" i="52"/>
  <c r="AV43" i="52"/>
  <c r="AU43" i="52"/>
  <c r="AT43" i="52"/>
  <c r="AS43" i="52"/>
  <c r="AR43" i="52"/>
  <c r="AQ43" i="52"/>
  <c r="AP43" i="52"/>
  <c r="BB42" i="52"/>
  <c r="BA42" i="52"/>
  <c r="AZ42" i="52"/>
  <c r="AY42" i="52"/>
  <c r="AX42" i="52"/>
  <c r="AW42" i="52"/>
  <c r="AV42" i="52"/>
  <c r="AU42" i="52"/>
  <c r="AT42" i="52"/>
  <c r="AS42" i="52"/>
  <c r="AR42" i="52"/>
  <c r="AQ42" i="52"/>
  <c r="AP42" i="52"/>
  <c r="BB41" i="52"/>
  <c r="BA41" i="52"/>
  <c r="AZ41" i="52"/>
  <c r="AY41" i="52"/>
  <c r="AX41" i="52"/>
  <c r="AW41" i="52"/>
  <c r="AV41" i="52"/>
  <c r="AU41" i="52"/>
  <c r="AT41" i="52"/>
  <c r="AS41" i="52"/>
  <c r="AR41" i="52"/>
  <c r="AQ41" i="52"/>
  <c r="AP41" i="52"/>
  <c r="BB40" i="52"/>
  <c r="BA40" i="52"/>
  <c r="AZ40" i="52"/>
  <c r="AY40" i="52"/>
  <c r="AX40" i="52"/>
  <c r="AW40" i="52"/>
  <c r="AV40" i="52"/>
  <c r="AU40" i="52"/>
  <c r="AT40" i="52"/>
  <c r="AS40" i="52"/>
  <c r="AR40" i="52"/>
  <c r="AQ40" i="52"/>
  <c r="AP40" i="52"/>
  <c r="BB39" i="52"/>
  <c r="BA39" i="52"/>
  <c r="AZ39" i="52"/>
  <c r="AY39" i="52"/>
  <c r="AX39" i="52"/>
  <c r="AW39" i="52"/>
  <c r="AV39" i="52"/>
  <c r="AU39" i="52"/>
  <c r="AT39" i="52"/>
  <c r="AS39" i="52"/>
  <c r="AR39" i="52"/>
  <c r="AQ39" i="52"/>
  <c r="AP39" i="52"/>
  <c r="BB35" i="52"/>
  <c r="BA35" i="52"/>
  <c r="AZ35" i="52"/>
  <c r="AY35" i="52"/>
  <c r="AX35" i="52"/>
  <c r="AW35" i="52"/>
  <c r="AV35" i="52"/>
  <c r="AU35" i="52"/>
  <c r="AT35" i="52"/>
  <c r="AS35" i="52"/>
  <c r="AR35" i="52"/>
  <c r="AQ35" i="52"/>
  <c r="AP35" i="52"/>
  <c r="O35" i="52"/>
  <c r="AL35" i="52" s="1"/>
  <c r="BB34" i="52"/>
  <c r="BA34" i="52"/>
  <c r="AZ34" i="52"/>
  <c r="AY34" i="52"/>
  <c r="AX34" i="52"/>
  <c r="AW34" i="52"/>
  <c r="AV34" i="52"/>
  <c r="AU34" i="52"/>
  <c r="AT34" i="52"/>
  <c r="AS34" i="52"/>
  <c r="AR34" i="52"/>
  <c r="AQ34" i="52"/>
  <c r="AP34" i="52"/>
  <c r="N34" i="52"/>
  <c r="AK34" i="52" s="1"/>
  <c r="BB33" i="52"/>
  <c r="BA33" i="52"/>
  <c r="AZ33" i="52"/>
  <c r="AY33" i="52"/>
  <c r="AX33" i="52"/>
  <c r="AW33" i="52"/>
  <c r="AV33" i="52"/>
  <c r="AU33" i="52"/>
  <c r="AT33" i="52"/>
  <c r="AS33" i="52"/>
  <c r="AR33" i="52"/>
  <c r="AQ33" i="52"/>
  <c r="AP33" i="52"/>
  <c r="M33" i="52"/>
  <c r="BB32" i="52"/>
  <c r="BA32" i="52"/>
  <c r="AZ32" i="52"/>
  <c r="AY32" i="52"/>
  <c r="AX32" i="52"/>
  <c r="AW32" i="52"/>
  <c r="AV32" i="52"/>
  <c r="AU32" i="52"/>
  <c r="AT32" i="52"/>
  <c r="AS32" i="52"/>
  <c r="AR32" i="52"/>
  <c r="AQ32" i="52"/>
  <c r="AP32" i="52"/>
  <c r="L32" i="52"/>
  <c r="BB31" i="52"/>
  <c r="BA31" i="52"/>
  <c r="AZ31" i="52"/>
  <c r="AY31" i="52"/>
  <c r="AX31" i="52"/>
  <c r="AW31" i="52"/>
  <c r="AV31" i="52"/>
  <c r="AU31" i="52"/>
  <c r="AT31" i="52"/>
  <c r="AS31" i="52"/>
  <c r="AR31" i="52"/>
  <c r="AQ31" i="52"/>
  <c r="AP31" i="52"/>
  <c r="BB30" i="52"/>
  <c r="BA30" i="52"/>
  <c r="AZ30" i="52"/>
  <c r="AY30" i="52"/>
  <c r="AX30" i="52"/>
  <c r="AW30" i="52"/>
  <c r="AV30" i="52"/>
  <c r="AU30" i="52"/>
  <c r="AT30" i="52"/>
  <c r="AS30" i="52"/>
  <c r="AR30" i="52"/>
  <c r="AQ30" i="52"/>
  <c r="AP30" i="52"/>
  <c r="J30" i="52"/>
  <c r="AG30" i="52" s="1"/>
  <c r="BB29" i="52"/>
  <c r="BA29" i="52"/>
  <c r="AZ29" i="52"/>
  <c r="AY29" i="52"/>
  <c r="AX29" i="52"/>
  <c r="AW29" i="52"/>
  <c r="AV29" i="52"/>
  <c r="AU29" i="52"/>
  <c r="AT29" i="52"/>
  <c r="AS29" i="52"/>
  <c r="AR29" i="52"/>
  <c r="AQ29" i="52"/>
  <c r="AP29" i="52"/>
  <c r="N29" i="52"/>
  <c r="AK29" i="52" s="1"/>
  <c r="I29" i="52"/>
  <c r="AF29" i="52" s="1"/>
  <c r="AF36" i="52" s="1"/>
  <c r="H29" i="52"/>
  <c r="AE29" i="52" s="1"/>
  <c r="G29" i="52"/>
  <c r="AD29" i="52" s="1"/>
  <c r="F29" i="52"/>
  <c r="AC29" i="52" s="1"/>
  <c r="E29" i="52"/>
  <c r="AB29" i="52" s="1"/>
  <c r="BB28" i="52"/>
  <c r="BA28" i="52"/>
  <c r="AZ28" i="52"/>
  <c r="AY28" i="52"/>
  <c r="AX28" i="52"/>
  <c r="AW28" i="52"/>
  <c r="AV28" i="52"/>
  <c r="AU28" i="52"/>
  <c r="AT28" i="52"/>
  <c r="AS28" i="52"/>
  <c r="AR28" i="52"/>
  <c r="AQ28" i="52"/>
  <c r="AP28" i="52"/>
  <c r="N28" i="52"/>
  <c r="AK28" i="52" s="1"/>
  <c r="H28" i="52"/>
  <c r="AE28" i="52" s="1"/>
  <c r="G28" i="52"/>
  <c r="AD28" i="52" s="1"/>
  <c r="BB27" i="52"/>
  <c r="BA27" i="52"/>
  <c r="AZ27" i="52"/>
  <c r="AY27" i="52"/>
  <c r="AX27" i="52"/>
  <c r="AW27" i="52"/>
  <c r="AV27" i="52"/>
  <c r="AU27" i="52"/>
  <c r="AT27" i="52"/>
  <c r="AS27" i="52"/>
  <c r="AR27" i="52"/>
  <c r="AQ27" i="52"/>
  <c r="AP27" i="52"/>
  <c r="N27" i="52"/>
  <c r="AK27" i="52" s="1"/>
  <c r="H27" i="52"/>
  <c r="AE27" i="52" s="1"/>
  <c r="G27" i="52"/>
  <c r="AD27" i="52" s="1"/>
  <c r="BB26" i="52"/>
  <c r="BA26" i="52"/>
  <c r="AZ26" i="52"/>
  <c r="AY26" i="52"/>
  <c r="AX26" i="52"/>
  <c r="AW26" i="52"/>
  <c r="AV26" i="52"/>
  <c r="AU26" i="52"/>
  <c r="AT26" i="52"/>
  <c r="AS26" i="52"/>
  <c r="AR26" i="52"/>
  <c r="AQ26" i="52"/>
  <c r="AP26" i="52"/>
  <c r="N26" i="52"/>
  <c r="AK26" i="52" s="1"/>
  <c r="H26" i="52"/>
  <c r="AE26" i="52" s="1"/>
  <c r="G26" i="52"/>
  <c r="AD26" i="52" s="1"/>
  <c r="F26" i="52"/>
  <c r="AC26" i="52" s="1"/>
  <c r="E26" i="52"/>
  <c r="AB26" i="52" s="1"/>
  <c r="BB25" i="52"/>
  <c r="BA25" i="52"/>
  <c r="AZ25" i="52"/>
  <c r="AY25" i="52"/>
  <c r="AX25" i="52"/>
  <c r="AW25" i="52"/>
  <c r="AV25" i="52"/>
  <c r="AU25" i="52"/>
  <c r="AT25" i="52"/>
  <c r="AS25" i="52"/>
  <c r="AR25" i="52"/>
  <c r="AQ25" i="52"/>
  <c r="AP25" i="52"/>
  <c r="N25" i="52"/>
  <c r="AK25" i="52" s="1"/>
  <c r="H25" i="52"/>
  <c r="AE25" i="52" s="1"/>
  <c r="G25" i="52"/>
  <c r="AD25" i="52" s="1"/>
  <c r="F25" i="52"/>
  <c r="AC25" i="52" s="1"/>
  <c r="E25" i="52"/>
  <c r="AB25" i="52" s="1"/>
  <c r="BB24" i="52"/>
  <c r="BA24" i="52"/>
  <c r="AZ24" i="52"/>
  <c r="AY24" i="52"/>
  <c r="AX24" i="52"/>
  <c r="AW24" i="52"/>
  <c r="AV24" i="52"/>
  <c r="AU24" i="52"/>
  <c r="AT24" i="52"/>
  <c r="AS24" i="52"/>
  <c r="AR24" i="52"/>
  <c r="AQ24" i="52"/>
  <c r="AP24" i="52"/>
  <c r="H24" i="52"/>
  <c r="AE24" i="52" s="1"/>
  <c r="G24" i="52"/>
  <c r="AD24" i="52" s="1"/>
  <c r="F24" i="52"/>
  <c r="AC24" i="52" s="1"/>
  <c r="E24" i="52"/>
  <c r="AB24" i="52" s="1"/>
  <c r="D24" i="52"/>
  <c r="AA24" i="52" s="1"/>
  <c r="C24" i="52"/>
  <c r="Z24" i="52" s="1"/>
  <c r="BB23" i="52"/>
  <c r="BA23" i="52"/>
  <c r="AZ23" i="52"/>
  <c r="AY23" i="52"/>
  <c r="AX23" i="52"/>
  <c r="AW23" i="52"/>
  <c r="AV23" i="52"/>
  <c r="AU23" i="52"/>
  <c r="AT23" i="52"/>
  <c r="AS23" i="52"/>
  <c r="AR23" i="52"/>
  <c r="AQ23" i="52"/>
  <c r="AP23" i="52"/>
  <c r="H23" i="52"/>
  <c r="AE23" i="52" s="1"/>
  <c r="G23" i="52"/>
  <c r="AD23" i="52" s="1"/>
  <c r="F23" i="52"/>
  <c r="AC23" i="52" s="1"/>
  <c r="E23" i="52"/>
  <c r="AB23" i="52" s="1"/>
  <c r="D23" i="52"/>
  <c r="AA23" i="52" s="1"/>
  <c r="C23" i="52"/>
  <c r="Z23" i="52" s="1"/>
  <c r="BB19" i="52"/>
  <c r="BA19" i="52"/>
  <c r="AZ19" i="52"/>
  <c r="AY19" i="52"/>
  <c r="AX19" i="52"/>
  <c r="AW19" i="52"/>
  <c r="AV19" i="52"/>
  <c r="AU19" i="52"/>
  <c r="AT19" i="52"/>
  <c r="AS19" i="52"/>
  <c r="AR19" i="52"/>
  <c r="AQ19" i="52"/>
  <c r="AP19" i="52"/>
  <c r="O19" i="52"/>
  <c r="AL19" i="52" s="1"/>
  <c r="BB18" i="52"/>
  <c r="BA18" i="52"/>
  <c r="AZ18" i="52"/>
  <c r="AY18" i="52"/>
  <c r="AX18" i="52"/>
  <c r="AW18" i="52"/>
  <c r="AV18" i="52"/>
  <c r="AU18" i="52"/>
  <c r="AT18" i="52"/>
  <c r="AS18" i="52"/>
  <c r="AR18" i="52"/>
  <c r="AQ18" i="52"/>
  <c r="AP18" i="52"/>
  <c r="N18" i="52"/>
  <c r="AK18" i="52" s="1"/>
  <c r="BB17" i="52"/>
  <c r="BA17" i="52"/>
  <c r="AZ17" i="52"/>
  <c r="AY17" i="52"/>
  <c r="AX17" i="52"/>
  <c r="AW17" i="52"/>
  <c r="AV17" i="52"/>
  <c r="AU17" i="52"/>
  <c r="AT17" i="52"/>
  <c r="AS17" i="52"/>
  <c r="AR17" i="52"/>
  <c r="AQ17" i="52"/>
  <c r="AP17" i="52"/>
  <c r="M17" i="52"/>
  <c r="BB16" i="52"/>
  <c r="BA16" i="52"/>
  <c r="AZ16" i="52"/>
  <c r="AY16" i="52"/>
  <c r="AX16" i="52"/>
  <c r="AW16" i="52"/>
  <c r="AV16" i="52"/>
  <c r="AU16" i="52"/>
  <c r="AT16" i="52"/>
  <c r="AS16" i="52"/>
  <c r="AR16" i="52"/>
  <c r="AQ16" i="52"/>
  <c r="AP16" i="52"/>
  <c r="L16" i="52"/>
  <c r="BB15" i="52"/>
  <c r="BA15" i="52"/>
  <c r="AZ15" i="52"/>
  <c r="AY15" i="52"/>
  <c r="AX15" i="52"/>
  <c r="AW15" i="52"/>
  <c r="AV15" i="52"/>
  <c r="AU15" i="52"/>
  <c r="AT15" i="52"/>
  <c r="AS15" i="52"/>
  <c r="AR15" i="52"/>
  <c r="AQ15" i="52"/>
  <c r="AP15" i="52"/>
  <c r="BB14" i="52"/>
  <c r="BA14" i="52"/>
  <c r="AZ14" i="52"/>
  <c r="AY14" i="52"/>
  <c r="AX14" i="52"/>
  <c r="AW14" i="52"/>
  <c r="AV14" i="52"/>
  <c r="AU14" i="52"/>
  <c r="AT14" i="52"/>
  <c r="AS14" i="52"/>
  <c r="AR14" i="52"/>
  <c r="AQ14" i="52"/>
  <c r="AP14" i="52"/>
  <c r="J14" i="52"/>
  <c r="AG14" i="52" s="1"/>
  <c r="BB13" i="52"/>
  <c r="BA13" i="52"/>
  <c r="AZ13" i="52"/>
  <c r="AY13" i="52"/>
  <c r="AX13" i="52"/>
  <c r="AW13" i="52"/>
  <c r="AV13" i="52"/>
  <c r="AU13" i="52"/>
  <c r="AT13" i="52"/>
  <c r="AS13" i="52"/>
  <c r="AR13" i="52"/>
  <c r="AQ13" i="52"/>
  <c r="AP13" i="52"/>
  <c r="N13" i="52"/>
  <c r="AK13" i="52" s="1"/>
  <c r="I13" i="52"/>
  <c r="AF13" i="52" s="1"/>
  <c r="H13" i="52"/>
  <c r="AE13" i="52" s="1"/>
  <c r="G13" i="52"/>
  <c r="AD13" i="52" s="1"/>
  <c r="F13" i="52"/>
  <c r="AC13" i="52" s="1"/>
  <c r="E13" i="52"/>
  <c r="AB13" i="52" s="1"/>
  <c r="BB12" i="52"/>
  <c r="BA12" i="52"/>
  <c r="AZ12" i="52"/>
  <c r="AY12" i="52"/>
  <c r="AX12" i="52"/>
  <c r="AW12" i="52"/>
  <c r="AV12" i="52"/>
  <c r="AU12" i="52"/>
  <c r="AT12" i="52"/>
  <c r="AS12" i="52"/>
  <c r="AR12" i="52"/>
  <c r="AQ12" i="52"/>
  <c r="AP12" i="52"/>
  <c r="N12" i="52"/>
  <c r="AK12" i="52" s="1"/>
  <c r="H12" i="52"/>
  <c r="AE12" i="52" s="1"/>
  <c r="G12" i="52"/>
  <c r="AD12" i="52" s="1"/>
  <c r="BB11" i="52"/>
  <c r="BA11" i="52"/>
  <c r="AZ11" i="52"/>
  <c r="AY11" i="52"/>
  <c r="AX11" i="52"/>
  <c r="AW11" i="52"/>
  <c r="AV11" i="52"/>
  <c r="AU11" i="52"/>
  <c r="AT11" i="52"/>
  <c r="AS11" i="52"/>
  <c r="AR11" i="52"/>
  <c r="AQ11" i="52"/>
  <c r="AP11" i="52"/>
  <c r="N11" i="52"/>
  <c r="AK11" i="52" s="1"/>
  <c r="H11" i="52"/>
  <c r="AE11" i="52" s="1"/>
  <c r="G11" i="52"/>
  <c r="BB10" i="52"/>
  <c r="BA10" i="52"/>
  <c r="AZ10" i="52"/>
  <c r="AY10" i="52"/>
  <c r="AX10" i="52"/>
  <c r="AW10" i="52"/>
  <c r="AV10" i="52"/>
  <c r="AU10" i="52"/>
  <c r="AT10" i="52"/>
  <c r="AS10" i="52"/>
  <c r="AR10" i="52"/>
  <c r="AQ10" i="52"/>
  <c r="AP10" i="52"/>
  <c r="N10" i="52"/>
  <c r="H10" i="52"/>
  <c r="AE10" i="52" s="1"/>
  <c r="G10" i="52"/>
  <c r="AD10" i="52" s="1"/>
  <c r="F10" i="52"/>
  <c r="AC10" i="52" s="1"/>
  <c r="E10" i="52"/>
  <c r="AB10" i="52" s="1"/>
  <c r="BB9" i="52"/>
  <c r="BA9" i="52"/>
  <c r="AZ9" i="52"/>
  <c r="AY9" i="52"/>
  <c r="AX9" i="52"/>
  <c r="AW9" i="52"/>
  <c r="AV9" i="52"/>
  <c r="AU9" i="52"/>
  <c r="AT9" i="52"/>
  <c r="AS9" i="52"/>
  <c r="AR9" i="52"/>
  <c r="AQ9" i="52"/>
  <c r="AP9" i="52"/>
  <c r="N9" i="52"/>
  <c r="AK9" i="52" s="1"/>
  <c r="H9" i="52"/>
  <c r="AE9" i="52" s="1"/>
  <c r="G9" i="52"/>
  <c r="AD9" i="52" s="1"/>
  <c r="F9" i="52"/>
  <c r="AC9" i="52" s="1"/>
  <c r="E9" i="52"/>
  <c r="AB9" i="52" s="1"/>
  <c r="BB8" i="52"/>
  <c r="BA8" i="52"/>
  <c r="AZ8" i="52"/>
  <c r="AY8" i="52"/>
  <c r="AX8" i="52"/>
  <c r="AW8" i="52"/>
  <c r="AV8" i="52"/>
  <c r="AU8" i="52"/>
  <c r="AT8" i="52"/>
  <c r="AS8" i="52"/>
  <c r="AR8" i="52"/>
  <c r="AQ8" i="52"/>
  <c r="AP8" i="52"/>
  <c r="H8" i="52"/>
  <c r="AE8" i="52" s="1"/>
  <c r="G8" i="52"/>
  <c r="AD8" i="52" s="1"/>
  <c r="F8" i="52"/>
  <c r="AC8" i="52" s="1"/>
  <c r="E8" i="52"/>
  <c r="AB8" i="52" s="1"/>
  <c r="D8" i="52"/>
  <c r="AA8" i="52" s="1"/>
  <c r="C8" i="52"/>
  <c r="Z8" i="52" s="1"/>
  <c r="BB7" i="52"/>
  <c r="BA7" i="52"/>
  <c r="AZ7" i="52"/>
  <c r="AY7" i="52"/>
  <c r="AX7" i="52"/>
  <c r="AW7" i="52"/>
  <c r="AV7" i="52"/>
  <c r="AU7" i="52"/>
  <c r="AT7" i="52"/>
  <c r="AS7" i="52"/>
  <c r="AR7" i="52"/>
  <c r="AQ7" i="52"/>
  <c r="AP7" i="52"/>
  <c r="H7" i="52"/>
  <c r="AE7" i="52" s="1"/>
  <c r="G7" i="52"/>
  <c r="AD7" i="52" s="1"/>
  <c r="F7" i="52"/>
  <c r="AC7" i="52" s="1"/>
  <c r="E7" i="52"/>
  <c r="D7" i="52"/>
  <c r="AA7" i="52" s="1"/>
  <c r="C7" i="52"/>
  <c r="Z7" i="52" s="1"/>
  <c r="AE177" i="52" l="1"/>
  <c r="AD173" i="52"/>
  <c r="AE178" i="52"/>
  <c r="BG178" i="53"/>
  <c r="P160" i="53"/>
  <c r="BG202" i="53"/>
  <c r="BH187" i="53"/>
  <c r="BG197" i="53"/>
  <c r="AW184" i="53"/>
  <c r="BC184" i="53" s="1"/>
  <c r="AK184" i="52"/>
  <c r="BG176" i="53"/>
  <c r="BS188" i="53" s="1"/>
  <c r="CK178" i="53" s="1"/>
  <c r="BZ59" i="52"/>
  <c r="AE174" i="52"/>
  <c r="AD175" i="52"/>
  <c r="R18" i="52"/>
  <c r="BH178" i="53"/>
  <c r="AE175" i="52"/>
  <c r="AC176" i="52"/>
  <c r="R13" i="52"/>
  <c r="BH177" i="53"/>
  <c r="P164" i="53"/>
  <c r="AK162" i="52"/>
  <c r="AD177" i="52"/>
  <c r="AD178" i="52"/>
  <c r="AB179" i="52"/>
  <c r="AL185" i="52"/>
  <c r="R12" i="52"/>
  <c r="AB175" i="52"/>
  <c r="AE176" i="52"/>
  <c r="AC179" i="52"/>
  <c r="R11" i="52"/>
  <c r="BH202" i="53"/>
  <c r="AW174" i="52"/>
  <c r="AS178" i="52"/>
  <c r="BA178" i="52"/>
  <c r="AW182" i="52"/>
  <c r="AU185" i="52"/>
  <c r="AP179" i="52"/>
  <c r="AX179" i="52"/>
  <c r="AU175" i="52"/>
  <c r="AS177" i="52"/>
  <c r="BA177" i="52"/>
  <c r="AR180" i="52"/>
  <c r="AZ180" i="52"/>
  <c r="AU181" i="52"/>
  <c r="CB55" i="52"/>
  <c r="AP174" i="52"/>
  <c r="AX174" i="52"/>
  <c r="AT178" i="52"/>
  <c r="BB178" i="52"/>
  <c r="AQ179" i="52"/>
  <c r="AY179" i="52"/>
  <c r="AP182" i="52"/>
  <c r="AX182" i="52"/>
  <c r="AR183" i="52"/>
  <c r="AZ183" i="52"/>
  <c r="AT180" i="52"/>
  <c r="AS183" i="52"/>
  <c r="BB180" i="52"/>
  <c r="BA183" i="52"/>
  <c r="AW181" i="52"/>
  <c r="AW185" i="52"/>
  <c r="AV181" i="52"/>
  <c r="AQ174" i="52"/>
  <c r="AY174" i="52"/>
  <c r="AU178" i="52"/>
  <c r="AQ182" i="52"/>
  <c r="AY182" i="52"/>
  <c r="AS180" i="52"/>
  <c r="BA180" i="52"/>
  <c r="CB59" i="52"/>
  <c r="AV176" i="52"/>
  <c r="AV178" i="52"/>
  <c r="AR182" i="52"/>
  <c r="AZ182" i="52"/>
  <c r="AT183" i="52"/>
  <c r="BB183" i="52"/>
  <c r="AV184" i="52"/>
  <c r="AX176" i="52"/>
  <c r="AX184" i="52"/>
  <c r="AZ185" i="52"/>
  <c r="AV175" i="52"/>
  <c r="BA174" i="52"/>
  <c r="BF201" i="53"/>
  <c r="BH176" i="53"/>
  <c r="BT179" i="53" s="1"/>
  <c r="CA179" i="53" s="1"/>
  <c r="BF183" i="53"/>
  <c r="BH204" i="53"/>
  <c r="BH181" i="53"/>
  <c r="AW176" i="53"/>
  <c r="BC176" i="53" s="1"/>
  <c r="BF195" i="53"/>
  <c r="BR200" i="53" s="1"/>
  <c r="CE194" i="53" s="1"/>
  <c r="BG193" i="53"/>
  <c r="BS203" i="53" s="1"/>
  <c r="CI195" i="53" s="1"/>
  <c r="BH197" i="53"/>
  <c r="BG200" i="53"/>
  <c r="BG201" i="53"/>
  <c r="AS185" i="52"/>
  <c r="BA185" i="52"/>
  <c r="BA175" i="52"/>
  <c r="AQ177" i="52"/>
  <c r="AT175" i="52"/>
  <c r="AR177" i="52"/>
  <c r="AW179" i="52"/>
  <c r="BB181" i="52"/>
  <c r="AZ184" i="52"/>
  <c r="AS175" i="52"/>
  <c r="AV173" i="52"/>
  <c r="AY177" i="52"/>
  <c r="AU179" i="52"/>
  <c r="AW180" i="52"/>
  <c r="AR181" i="52"/>
  <c r="AU174" i="52"/>
  <c r="AQ178" i="52"/>
  <c r="AY178" i="52"/>
  <c r="AP180" i="52"/>
  <c r="AX180" i="52"/>
  <c r="AS181" i="52"/>
  <c r="BA181" i="52"/>
  <c r="AU182" i="52"/>
  <c r="AV177" i="52"/>
  <c r="AR173" i="52"/>
  <c r="AZ173" i="52"/>
  <c r="AS176" i="52"/>
  <c r="BA176" i="52"/>
  <c r="AQ183" i="52"/>
  <c r="AY183" i="52"/>
  <c r="AS184" i="52"/>
  <c r="BA184" i="52"/>
  <c r="BA173" i="52"/>
  <c r="AT176" i="52"/>
  <c r="BB176" i="52"/>
  <c r="AT184" i="52"/>
  <c r="BB184" i="52"/>
  <c r="AV185" i="52"/>
  <c r="AS173" i="52"/>
  <c r="AT177" i="52"/>
  <c r="AA152" i="52"/>
  <c r="AK155" i="52"/>
  <c r="AK156" i="52"/>
  <c r="AB173" i="52"/>
  <c r="AT173" i="52"/>
  <c r="BB173" i="52"/>
  <c r="AK175" i="52"/>
  <c r="AW175" i="52"/>
  <c r="AD176" i="52"/>
  <c r="AU176" i="52"/>
  <c r="AU177" i="52"/>
  <c r="AR179" i="52"/>
  <c r="AZ179" i="52"/>
  <c r="AU184" i="52"/>
  <c r="AZ181" i="52"/>
  <c r="AU173" i="52"/>
  <c r="AP176" i="52"/>
  <c r="AV183" i="52"/>
  <c r="AP184" i="52"/>
  <c r="AR185" i="52"/>
  <c r="AR174" i="52"/>
  <c r="AZ174" i="52"/>
  <c r="AP175" i="52"/>
  <c r="AX175" i="52"/>
  <c r="AS179" i="52"/>
  <c r="BA179" i="52"/>
  <c r="AU180" i="52"/>
  <c r="AP181" i="52"/>
  <c r="AX181" i="52"/>
  <c r="AP185" i="52"/>
  <c r="AX185" i="52"/>
  <c r="AQ175" i="52"/>
  <c r="AW176" i="52"/>
  <c r="AW177" i="52"/>
  <c r="AK178" i="52"/>
  <c r="AW178" i="52"/>
  <c r="AD179" i="52"/>
  <c r="AT179" i="52"/>
  <c r="BB179" i="52"/>
  <c r="AV180" i="52"/>
  <c r="AQ181" i="52"/>
  <c r="AY181" i="52"/>
  <c r="AU183" i="52"/>
  <c r="AW184" i="52"/>
  <c r="AQ185" i="52"/>
  <c r="AY185" i="52"/>
  <c r="AK177" i="52"/>
  <c r="AE173" i="52"/>
  <c r="AW173" i="52"/>
  <c r="AT174" i="52"/>
  <c r="BB174" i="52"/>
  <c r="AR175" i="52"/>
  <c r="AZ175" i="52"/>
  <c r="AP177" i="52"/>
  <c r="AX177" i="52"/>
  <c r="AP178" i="52"/>
  <c r="AX178" i="52"/>
  <c r="AT182" i="52"/>
  <c r="BB182" i="52"/>
  <c r="BB177" i="52"/>
  <c r="AY175" i="52"/>
  <c r="AS182" i="52"/>
  <c r="AE152" i="52"/>
  <c r="Z36" i="52"/>
  <c r="BF32" i="52" s="1"/>
  <c r="AP173" i="52"/>
  <c r="AX173" i="52"/>
  <c r="AQ176" i="52"/>
  <c r="AY176" i="52"/>
  <c r="AV179" i="52"/>
  <c r="AW183" i="52"/>
  <c r="AQ184" i="52"/>
  <c r="AY184" i="52"/>
  <c r="AS174" i="52"/>
  <c r="AK176" i="52"/>
  <c r="BA182" i="52"/>
  <c r="AE153" i="52"/>
  <c r="AQ173" i="52"/>
  <c r="AY173" i="52"/>
  <c r="AD174" i="52"/>
  <c r="AV174" i="52"/>
  <c r="AC175" i="52"/>
  <c r="BB175" i="52"/>
  <c r="AR176" i="52"/>
  <c r="AZ176" i="52"/>
  <c r="AZ177" i="52"/>
  <c r="AR178" i="52"/>
  <c r="AZ178" i="52"/>
  <c r="AQ180" i="52"/>
  <c r="AY180" i="52"/>
  <c r="AT181" i="52"/>
  <c r="AV182" i="52"/>
  <c r="AP183" i="52"/>
  <c r="AX183" i="52"/>
  <c r="AR184" i="52"/>
  <c r="AT185" i="52"/>
  <c r="BB185" i="52"/>
  <c r="AK132" i="52"/>
  <c r="BQ123" i="52" s="1"/>
  <c r="AB152" i="52"/>
  <c r="AE157" i="52"/>
  <c r="AC173" i="52"/>
  <c r="AL186" i="52"/>
  <c r="AM185" i="52"/>
  <c r="AB174" i="52"/>
  <c r="AE179" i="52"/>
  <c r="AG180" i="52"/>
  <c r="AB154" i="52"/>
  <c r="AC174" i="52"/>
  <c r="AF100" i="52"/>
  <c r="BL96" i="52" s="1"/>
  <c r="AF179" i="52"/>
  <c r="AF186" i="52" s="1"/>
  <c r="AK179" i="52"/>
  <c r="AK36" i="52"/>
  <c r="BQ35" i="52" s="1"/>
  <c r="Z186" i="52"/>
  <c r="AB176" i="52"/>
  <c r="DF59" i="52"/>
  <c r="AA100" i="52"/>
  <c r="BG93" i="52" s="1"/>
  <c r="AA173" i="52"/>
  <c r="AA186" i="52" s="1"/>
  <c r="AK148" i="52"/>
  <c r="BQ147" i="52" s="1"/>
  <c r="AD154" i="52"/>
  <c r="AD156" i="52"/>
  <c r="AB157" i="52"/>
  <c r="AD157" i="52"/>
  <c r="AE36" i="52"/>
  <c r="BK36" i="52" s="1"/>
  <c r="AC100" i="52"/>
  <c r="BI98" i="52" s="1"/>
  <c r="AE100" i="52"/>
  <c r="BK99" i="52" s="1"/>
  <c r="AC153" i="52"/>
  <c r="AK157" i="52"/>
  <c r="AD153" i="52"/>
  <c r="CH59" i="52"/>
  <c r="CH57" i="52"/>
  <c r="CH55" i="52"/>
  <c r="BZ55" i="52"/>
  <c r="DF55" i="52" s="1"/>
  <c r="BZ57" i="52"/>
  <c r="DF57" i="52" s="1"/>
  <c r="BX55" i="52"/>
  <c r="DD55" i="52" s="1"/>
  <c r="BX59" i="52"/>
  <c r="BX57" i="52"/>
  <c r="DD57" i="52" s="1"/>
  <c r="BV55" i="52"/>
  <c r="DB55" i="52" s="1"/>
  <c r="BV59" i="52"/>
  <c r="BV57" i="52"/>
  <c r="CD57" i="52"/>
  <c r="CD55" i="52"/>
  <c r="CD59" i="52"/>
  <c r="CC57" i="52"/>
  <c r="CC59" i="52"/>
  <c r="CC55" i="52"/>
  <c r="CE55" i="52"/>
  <c r="CE57" i="52"/>
  <c r="CE59" i="52"/>
  <c r="CF59" i="52"/>
  <c r="CF57" i="52"/>
  <c r="CF55" i="52"/>
  <c r="CG55" i="52"/>
  <c r="CG59" i="52"/>
  <c r="DM59" i="52" s="1"/>
  <c r="CG57" i="52"/>
  <c r="DM57" i="52" s="1"/>
  <c r="Z151" i="52"/>
  <c r="Z20" i="52"/>
  <c r="AA20" i="52"/>
  <c r="AA151" i="52"/>
  <c r="AC154" i="52"/>
  <c r="AA36" i="52"/>
  <c r="BQ128" i="52"/>
  <c r="BQ130" i="52"/>
  <c r="AL132" i="52"/>
  <c r="AM131" i="52"/>
  <c r="AD148" i="52"/>
  <c r="AM147" i="52"/>
  <c r="AL148" i="52"/>
  <c r="Z100" i="52"/>
  <c r="AE132" i="52"/>
  <c r="AE148" i="52"/>
  <c r="AK153" i="52"/>
  <c r="AL20" i="52"/>
  <c r="AL163" i="52"/>
  <c r="AM19" i="52"/>
  <c r="AC151" i="52"/>
  <c r="AC20" i="52"/>
  <c r="Z152" i="52"/>
  <c r="AE154" i="52"/>
  <c r="AE155" i="52"/>
  <c r="AE156" i="52"/>
  <c r="AC157" i="52"/>
  <c r="AC36" i="52"/>
  <c r="AB132" i="52"/>
  <c r="BQ137" i="52"/>
  <c r="BQ135" i="52"/>
  <c r="BQ142" i="52"/>
  <c r="BQ148" i="52"/>
  <c r="BL139" i="52"/>
  <c r="BL137" i="52"/>
  <c r="BL135" i="52"/>
  <c r="BL148" i="52"/>
  <c r="BL145" i="52"/>
  <c r="BL142" i="52"/>
  <c r="BL147" i="52"/>
  <c r="BL144" i="52"/>
  <c r="BL146" i="52"/>
  <c r="BL143" i="52"/>
  <c r="BL141" i="52"/>
  <c r="AE20" i="52"/>
  <c r="AE151" i="52"/>
  <c r="AM14" i="52"/>
  <c r="AG158" i="52"/>
  <c r="AG20" i="52"/>
  <c r="E151" i="52"/>
  <c r="AB7" i="52"/>
  <c r="G155" i="52"/>
  <c r="AD11" i="52"/>
  <c r="AD155" i="52" s="1"/>
  <c r="AB36" i="52"/>
  <c r="AM35" i="52"/>
  <c r="AL36" i="52"/>
  <c r="AD151" i="52"/>
  <c r="N154" i="52"/>
  <c r="AK10" i="52"/>
  <c r="AK154" i="52" s="1"/>
  <c r="AD36" i="52"/>
  <c r="AK100" i="52"/>
  <c r="AL100" i="52"/>
  <c r="AM99" i="52"/>
  <c r="AC132" i="52"/>
  <c r="AM126" i="52"/>
  <c r="AG132" i="52"/>
  <c r="R29" i="52"/>
  <c r="BK94" i="52"/>
  <c r="BL123" i="52"/>
  <c r="BL121" i="52"/>
  <c r="BL119" i="52"/>
  <c r="BL132" i="52"/>
  <c r="BL129" i="52"/>
  <c r="BL126" i="52"/>
  <c r="BL131" i="52"/>
  <c r="BL128" i="52"/>
  <c r="BL130" i="52"/>
  <c r="BL127" i="52"/>
  <c r="BL125" i="52"/>
  <c r="AM142" i="52"/>
  <c r="AG148" i="52"/>
  <c r="AM30" i="52"/>
  <c r="AG36" i="52"/>
  <c r="AB153" i="52"/>
  <c r="AF157" i="52"/>
  <c r="AF164" i="52" s="1"/>
  <c r="AF20" i="52"/>
  <c r="BL27" i="52"/>
  <c r="BL25" i="52"/>
  <c r="BL23" i="52"/>
  <c r="BL34" i="52"/>
  <c r="BL35" i="52"/>
  <c r="BL31" i="52"/>
  <c r="BL36" i="52"/>
  <c r="BL33" i="52"/>
  <c r="BL30" i="52"/>
  <c r="BL32" i="52"/>
  <c r="BL29" i="52"/>
  <c r="AD100" i="52"/>
  <c r="AC152" i="52"/>
  <c r="AD152" i="52"/>
  <c r="AM94" i="52"/>
  <c r="AG100" i="52"/>
  <c r="AD132" i="52"/>
  <c r="AB148" i="52"/>
  <c r="AB100" i="52"/>
  <c r="AC148" i="52"/>
  <c r="AP161" i="53"/>
  <c r="AP159" i="53"/>
  <c r="AO163" i="53"/>
  <c r="AO159" i="53"/>
  <c r="AN159" i="53"/>
  <c r="BF159" i="53" s="1"/>
  <c r="AQ144" i="53"/>
  <c r="AQ78" i="53"/>
  <c r="AQ108" i="53"/>
  <c r="AQ23" i="53"/>
  <c r="AQ61" i="53"/>
  <c r="AQ125" i="53"/>
  <c r="AQ95" i="53"/>
  <c r="AQ42" i="53"/>
  <c r="AQ27" i="53"/>
  <c r="AQ110" i="53"/>
  <c r="AQ8" i="53"/>
  <c r="AQ93" i="53"/>
  <c r="AQ142" i="53"/>
  <c r="AN161" i="53"/>
  <c r="AQ6" i="53"/>
  <c r="AQ129" i="53"/>
  <c r="AQ44" i="53"/>
  <c r="AQ40" i="53"/>
  <c r="AQ74" i="53"/>
  <c r="AQ57" i="53"/>
  <c r="P171" i="53"/>
  <c r="BH196" i="53"/>
  <c r="BH199" i="53"/>
  <c r="BH186" i="53"/>
  <c r="BY128" i="53"/>
  <c r="BS120" i="53"/>
  <c r="BY111" i="53"/>
  <c r="AW203" i="53"/>
  <c r="BC203" i="53" s="1"/>
  <c r="BT137" i="53"/>
  <c r="BS137" i="53"/>
  <c r="BY110" i="53"/>
  <c r="AW205" i="53"/>
  <c r="BC205" i="53" s="1"/>
  <c r="BF203" i="53"/>
  <c r="BH185" i="53"/>
  <c r="BH195" i="53"/>
  <c r="BG185" i="53"/>
  <c r="BG180" i="53"/>
  <c r="BG195" i="53"/>
  <c r="BF199" i="53"/>
  <c r="BG198" i="53"/>
  <c r="BG196" i="53"/>
  <c r="BG204" i="53"/>
  <c r="BH193" i="53"/>
  <c r="BT205" i="53" s="1"/>
  <c r="CK196" i="53" s="1"/>
  <c r="BF181" i="53"/>
  <c r="BG187" i="53"/>
  <c r="BG179" i="53"/>
  <c r="BF196" i="53"/>
  <c r="BF197" i="53"/>
  <c r="BF182" i="53"/>
  <c r="BF198" i="53"/>
  <c r="BH180" i="53"/>
  <c r="BH194" i="53"/>
  <c r="BY127" i="53"/>
  <c r="BH200" i="53"/>
  <c r="BG183" i="53"/>
  <c r="BG182" i="53"/>
  <c r="BF186" i="53"/>
  <c r="BF179" i="53"/>
  <c r="BF202" i="53"/>
  <c r="BF187" i="53"/>
  <c r="BF178" i="53"/>
  <c r="BR185" i="53" s="1"/>
  <c r="CH177" i="53" s="1"/>
  <c r="BG199" i="53"/>
  <c r="BH182" i="53"/>
  <c r="BH183" i="53"/>
  <c r="BT120" i="53"/>
  <c r="BF184" i="53"/>
  <c r="BF180" i="53"/>
  <c r="BH201" i="53"/>
  <c r="BF204" i="53"/>
  <c r="BR204" i="53" s="1"/>
  <c r="CJ194" i="53" s="1"/>
  <c r="BH198" i="53"/>
  <c r="BG184" i="53"/>
  <c r="BG194" i="53"/>
  <c r="BG181" i="53"/>
  <c r="BH203" i="53"/>
  <c r="BH184" i="53"/>
  <c r="BG177" i="53"/>
  <c r="BG186" i="53"/>
  <c r="AU66" i="53"/>
  <c r="AN170" i="53"/>
  <c r="AT151" i="53"/>
  <c r="AV66" i="53"/>
  <c r="AT66" i="53"/>
  <c r="AQ133" i="53"/>
  <c r="AQ118" i="53"/>
  <c r="AU67" i="53"/>
  <c r="AV67" i="53"/>
  <c r="AT152" i="53"/>
  <c r="AT67" i="53"/>
  <c r="AQ16" i="53"/>
  <c r="AU151" i="53"/>
  <c r="AU152" i="53"/>
  <c r="AV151" i="53"/>
  <c r="AV152" i="53"/>
  <c r="H14" i="53"/>
  <c r="P152" i="53"/>
  <c r="W67" i="53"/>
  <c r="W66" i="53"/>
  <c r="P66" i="53"/>
  <c r="W152" i="53"/>
  <c r="W151" i="53"/>
  <c r="H150" i="53"/>
  <c r="H82" i="53"/>
  <c r="H49" i="53"/>
  <c r="H99" i="53"/>
  <c r="H31" i="53"/>
  <c r="P67" i="53"/>
  <c r="H66" i="53"/>
  <c r="H100" i="53"/>
  <c r="H101" i="53"/>
  <c r="H117" i="53"/>
  <c r="H116" i="53"/>
  <c r="H133" i="53"/>
  <c r="H65" i="53"/>
  <c r="H84" i="53"/>
  <c r="H118" i="53"/>
  <c r="H83" i="53"/>
  <c r="H151" i="53"/>
  <c r="H135" i="53"/>
  <c r="H152" i="53"/>
  <c r="P151" i="53"/>
  <c r="H50" i="53"/>
  <c r="H33" i="53"/>
  <c r="H16" i="53"/>
  <c r="H32" i="53"/>
  <c r="H15" i="53"/>
  <c r="AQ202" i="53"/>
  <c r="AW181" i="53"/>
  <c r="BC181" i="53" s="1"/>
  <c r="AW178" i="53"/>
  <c r="BC178" i="53" s="1"/>
  <c r="AW180" i="53"/>
  <c r="BC180" i="53" s="1"/>
  <c r="AW187" i="53"/>
  <c r="BC187" i="53" s="1"/>
  <c r="AW183" i="53"/>
  <c r="BC183" i="53" s="1"/>
  <c r="AQ83" i="53"/>
  <c r="AW202" i="53"/>
  <c r="BC202" i="53" s="1"/>
  <c r="AW179" i="53"/>
  <c r="BC179" i="53" s="1"/>
  <c r="AK196" i="53"/>
  <c r="AQ205" i="53"/>
  <c r="AQ180" i="53"/>
  <c r="AQ98" i="53"/>
  <c r="AO171" i="53"/>
  <c r="AQ80" i="53"/>
  <c r="AQ136" i="53"/>
  <c r="AQ81" i="53"/>
  <c r="AO170" i="53"/>
  <c r="AQ176" i="53"/>
  <c r="AO166" i="53"/>
  <c r="AO168" i="53"/>
  <c r="AO169" i="53"/>
  <c r="AN172" i="53"/>
  <c r="AQ181" i="53"/>
  <c r="AQ99" i="53"/>
  <c r="AQ183" i="53"/>
  <c r="AN169" i="53"/>
  <c r="AQ120" i="53"/>
  <c r="AO167" i="53"/>
  <c r="AN168" i="53"/>
  <c r="AN171" i="53"/>
  <c r="AO172" i="53"/>
  <c r="BF160" i="53"/>
  <c r="AO165" i="53"/>
  <c r="AK103" i="53"/>
  <c r="AK97" i="53"/>
  <c r="AQ82" i="53"/>
  <c r="AQ29" i="53"/>
  <c r="AK198" i="53"/>
  <c r="AQ33" i="53"/>
  <c r="AQ35" i="53"/>
  <c r="AQ34" i="53"/>
  <c r="AN167" i="53"/>
  <c r="AN165" i="53"/>
  <c r="AN166" i="53"/>
  <c r="AK101" i="53"/>
  <c r="AQ137" i="53"/>
  <c r="AQ85" i="53"/>
  <c r="AQ17" i="53"/>
  <c r="AQ119" i="53"/>
  <c r="AE189" i="53"/>
  <c r="AQ189" i="53" s="1"/>
  <c r="AQ154" i="53"/>
  <c r="AQ194" i="53"/>
  <c r="AW194" i="53"/>
  <c r="BC194" i="53" s="1"/>
  <c r="AQ138" i="53"/>
  <c r="AQ131" i="53"/>
  <c r="AQ132" i="53"/>
  <c r="AH189" i="53"/>
  <c r="AK104" i="53"/>
  <c r="AK186" i="53"/>
  <c r="AQ18" i="53"/>
  <c r="AQ179" i="53"/>
  <c r="AQ184" i="53"/>
  <c r="AQ149" i="53"/>
  <c r="AQ65" i="53"/>
  <c r="AK200" i="53"/>
  <c r="AQ201" i="53"/>
  <c r="AW201" i="53"/>
  <c r="BC201" i="53" s="1"/>
  <c r="AK197" i="53"/>
  <c r="AQ14" i="53"/>
  <c r="AK177" i="53"/>
  <c r="AQ86" i="53"/>
  <c r="AQ134" i="53"/>
  <c r="AQ148" i="53"/>
  <c r="AU206" i="53"/>
  <c r="BA206" i="53" s="1"/>
  <c r="AO206" i="53"/>
  <c r="AQ151" i="53"/>
  <c r="AK176" i="53"/>
  <c r="AH206" i="53"/>
  <c r="AK202" i="53"/>
  <c r="AK199" i="53"/>
  <c r="AQ188" i="53"/>
  <c r="AW188" i="53"/>
  <c r="BC188" i="53" s="1"/>
  <c r="AK185" i="53"/>
  <c r="AN206" i="53"/>
  <c r="AT206" i="53"/>
  <c r="AZ206" i="53" s="1"/>
  <c r="AQ67" i="53"/>
  <c r="AP189" i="53"/>
  <c r="AV189" i="53"/>
  <c r="BB189" i="53" s="1"/>
  <c r="AQ200" i="53"/>
  <c r="AW200" i="53"/>
  <c r="BC200" i="53" s="1"/>
  <c r="AQ121" i="53"/>
  <c r="AQ115" i="53"/>
  <c r="AQ114" i="53"/>
  <c r="AK204" i="53"/>
  <c r="AQ197" i="53"/>
  <c r="AW197" i="53"/>
  <c r="BC197" i="53" s="1"/>
  <c r="AK98" i="53"/>
  <c r="AW177" i="53"/>
  <c r="BC177" i="53" s="1"/>
  <c r="F206" i="53"/>
  <c r="AK193" i="53"/>
  <c r="AQ117" i="53"/>
  <c r="AQ187" i="53"/>
  <c r="AK201" i="53"/>
  <c r="AI206" i="53"/>
  <c r="F172" i="53"/>
  <c r="AQ64" i="53"/>
  <c r="AQ198" i="53"/>
  <c r="AW198" i="53"/>
  <c r="BC198" i="53" s="1"/>
  <c r="AP206" i="53"/>
  <c r="AV206" i="53"/>
  <c r="BB206" i="53" s="1"/>
  <c r="AQ19" i="53"/>
  <c r="AQ13" i="53"/>
  <c r="AQ12" i="53"/>
  <c r="AQ15" i="53"/>
  <c r="AK182" i="53"/>
  <c r="AQ70" i="53"/>
  <c r="AQ46" i="53"/>
  <c r="AQ177" i="53"/>
  <c r="F189" i="53"/>
  <c r="AK100" i="53"/>
  <c r="AQ36" i="53"/>
  <c r="AQ30" i="53"/>
  <c r="AQ31" i="53"/>
  <c r="AQ32" i="53"/>
  <c r="AQ203" i="53"/>
  <c r="AQ199" i="53"/>
  <c r="AW199" i="53"/>
  <c r="BC199" i="53" s="1"/>
  <c r="AJ189" i="53"/>
  <c r="AQ155" i="53"/>
  <c r="AE206" i="53"/>
  <c r="AQ193" i="53"/>
  <c r="AW193" i="53"/>
  <c r="BC193" i="53" s="1"/>
  <c r="AQ185" i="53"/>
  <c r="AW185" i="53"/>
  <c r="BC185" i="53" s="1"/>
  <c r="AK194" i="53"/>
  <c r="AQ69" i="53"/>
  <c r="AK203" i="53"/>
  <c r="AQ150" i="53"/>
  <c r="AQ182" i="53"/>
  <c r="AW182" i="53"/>
  <c r="BC182" i="53" s="1"/>
  <c r="AT189" i="53"/>
  <c r="AZ189" i="53" s="1"/>
  <c r="AQ152" i="53"/>
  <c r="AQ100" i="53"/>
  <c r="AQ104" i="53"/>
  <c r="AQ103" i="53"/>
  <c r="AQ102" i="53"/>
  <c r="AQ101" i="53"/>
  <c r="AK102" i="53"/>
  <c r="AQ97" i="53"/>
  <c r="AQ135" i="53"/>
  <c r="AK183" i="53"/>
  <c r="AQ53" i="53"/>
  <c r="AQ51" i="53"/>
  <c r="AQ52" i="53"/>
  <c r="AQ68" i="53"/>
  <c r="AQ50" i="53"/>
  <c r="AQ66" i="53"/>
  <c r="AQ49" i="53"/>
  <c r="AQ47" i="53"/>
  <c r="AQ48" i="53"/>
  <c r="AQ63" i="53"/>
  <c r="AQ195" i="53"/>
  <c r="AW195" i="53"/>
  <c r="BC195" i="53" s="1"/>
  <c r="AP172" i="53"/>
  <c r="AP165" i="53"/>
  <c r="AP167" i="53"/>
  <c r="AP168" i="53"/>
  <c r="AP169" i="53"/>
  <c r="AP166" i="53"/>
  <c r="AP170" i="53"/>
  <c r="AP171" i="53"/>
  <c r="AK178" i="53"/>
  <c r="AK188" i="53"/>
  <c r="AU189" i="53"/>
  <c r="BA189" i="53" s="1"/>
  <c r="AO189" i="53"/>
  <c r="AQ196" i="53"/>
  <c r="AW196" i="53"/>
  <c r="BC196" i="53" s="1"/>
  <c r="AJ206" i="53"/>
  <c r="AK187" i="53"/>
  <c r="AK179" i="53"/>
  <c r="AQ87" i="53"/>
  <c r="AQ84" i="53"/>
  <c r="AI189" i="53"/>
  <c r="AQ186" i="53"/>
  <c r="AW186" i="53"/>
  <c r="BC186" i="53" s="1"/>
  <c r="AK205" i="53"/>
  <c r="AQ116" i="53"/>
  <c r="AK181" i="53"/>
  <c r="AK184" i="53"/>
  <c r="AK195" i="53"/>
  <c r="AQ204" i="53"/>
  <c r="AW204" i="53"/>
  <c r="BC204" i="53" s="1"/>
  <c r="AQ153" i="53"/>
  <c r="AE172" i="53"/>
  <c r="AQ161" i="53" s="1"/>
  <c r="AK180" i="53"/>
  <c r="AQ178" i="53"/>
  <c r="H154" i="52"/>
  <c r="S95" i="52"/>
  <c r="S90" i="52"/>
  <c r="S98" i="52"/>
  <c r="S93" i="52"/>
  <c r="S88" i="52"/>
  <c r="S96" i="52"/>
  <c r="S89" i="52"/>
  <c r="S91" i="52"/>
  <c r="S99" i="52"/>
  <c r="S94" i="52"/>
  <c r="S97" i="52"/>
  <c r="S92" i="52"/>
  <c r="S87" i="52"/>
  <c r="T139" i="52"/>
  <c r="T147" i="52"/>
  <c r="T141" i="52"/>
  <c r="T142" i="52"/>
  <c r="T135" i="52"/>
  <c r="AM135" i="52" s="1"/>
  <c r="T137" i="52"/>
  <c r="T145" i="52"/>
  <c r="T140" i="52"/>
  <c r="T143" i="52"/>
  <c r="T138" i="52"/>
  <c r="T146" i="52"/>
  <c r="T136" i="52"/>
  <c r="AM136" i="52" s="1"/>
  <c r="T144" i="52"/>
  <c r="R34" i="52"/>
  <c r="T19" i="52"/>
  <c r="T14" i="52"/>
  <c r="T9" i="52"/>
  <c r="T17" i="52"/>
  <c r="T16" i="52"/>
  <c r="T11" i="52"/>
  <c r="T10" i="52"/>
  <c r="T8" i="52"/>
  <c r="T7" i="52"/>
  <c r="T15" i="52"/>
  <c r="T18" i="52"/>
  <c r="T12" i="52"/>
  <c r="T13" i="52"/>
  <c r="T32" i="52"/>
  <c r="T35" i="52"/>
  <c r="T30" i="52"/>
  <c r="T33" i="52"/>
  <c r="T26" i="52"/>
  <c r="T24" i="52"/>
  <c r="AM24" i="52" s="1"/>
  <c r="T23" i="52"/>
  <c r="AM23" i="52" s="1"/>
  <c r="T28" i="52"/>
  <c r="T25" i="52"/>
  <c r="T29" i="52"/>
  <c r="T27" i="52"/>
  <c r="T31" i="52"/>
  <c r="R25" i="52"/>
  <c r="R17" i="52"/>
  <c r="R15" i="52"/>
  <c r="R19" i="52"/>
  <c r="R7" i="52"/>
  <c r="R14" i="52"/>
  <c r="R8" i="52"/>
  <c r="R16" i="52"/>
  <c r="M162" i="52"/>
  <c r="T34" i="52"/>
  <c r="T126" i="52"/>
  <c r="T119" i="52"/>
  <c r="AM119" i="52" s="1"/>
  <c r="T121" i="52"/>
  <c r="T129" i="52"/>
  <c r="T124" i="52"/>
  <c r="T127" i="52"/>
  <c r="T128" i="52"/>
  <c r="T122" i="52"/>
  <c r="T130" i="52"/>
  <c r="T120" i="52"/>
  <c r="AM120" i="52" s="1"/>
  <c r="T125" i="52"/>
  <c r="T123" i="52"/>
  <c r="T131" i="52"/>
  <c r="R30" i="52"/>
  <c r="R33" i="52"/>
  <c r="R31" i="52"/>
  <c r="R23" i="52"/>
  <c r="R24" i="52"/>
  <c r="R35" i="52"/>
  <c r="R32" i="52"/>
  <c r="S14" i="52"/>
  <c r="S12" i="52"/>
  <c r="S8" i="52"/>
  <c r="S16" i="52"/>
  <c r="S17" i="52"/>
  <c r="S19" i="52"/>
  <c r="S7" i="52"/>
  <c r="S18" i="52"/>
  <c r="S15" i="52"/>
  <c r="S10" i="52"/>
  <c r="S11" i="52"/>
  <c r="S9" i="52"/>
  <c r="S13" i="52"/>
  <c r="S35" i="52"/>
  <c r="S30" i="52"/>
  <c r="S29" i="52"/>
  <c r="S33" i="52"/>
  <c r="S23" i="52"/>
  <c r="S24" i="52"/>
  <c r="S32" i="52"/>
  <c r="S31" i="52"/>
  <c r="S28" i="52"/>
  <c r="S25" i="52"/>
  <c r="S27" i="52"/>
  <c r="S26" i="52"/>
  <c r="S34" i="52"/>
  <c r="R27" i="52"/>
  <c r="R90" i="52"/>
  <c r="R98" i="52"/>
  <c r="R87" i="52"/>
  <c r="R93" i="52"/>
  <c r="R88" i="52"/>
  <c r="R96" i="52"/>
  <c r="R91" i="52"/>
  <c r="R99" i="52"/>
  <c r="R92" i="52"/>
  <c r="R94" i="52"/>
  <c r="R89" i="52"/>
  <c r="R97" i="52"/>
  <c r="R95" i="52"/>
  <c r="T92" i="52"/>
  <c r="T95" i="52"/>
  <c r="T94" i="52"/>
  <c r="T90" i="52"/>
  <c r="T98" i="52"/>
  <c r="T93" i="52"/>
  <c r="T87" i="52"/>
  <c r="AM87" i="52" s="1"/>
  <c r="T88" i="52"/>
  <c r="AM88" i="52" s="1"/>
  <c r="T96" i="52"/>
  <c r="T91" i="52"/>
  <c r="T99" i="52"/>
  <c r="T89" i="52"/>
  <c r="T97" i="52"/>
  <c r="S121" i="52"/>
  <c r="S129" i="52"/>
  <c r="S131" i="52"/>
  <c r="S124" i="52"/>
  <c r="S119" i="52"/>
  <c r="S123" i="52"/>
  <c r="S127" i="52"/>
  <c r="S122" i="52"/>
  <c r="S130" i="52"/>
  <c r="S125" i="52"/>
  <c r="S120" i="52"/>
  <c r="S128" i="52"/>
  <c r="S126" i="52"/>
  <c r="R28" i="52"/>
  <c r="R124" i="52"/>
  <c r="R127" i="52"/>
  <c r="R122" i="52"/>
  <c r="R130" i="52"/>
  <c r="R119" i="52"/>
  <c r="R125" i="52"/>
  <c r="R120" i="52"/>
  <c r="R128" i="52"/>
  <c r="R123" i="52"/>
  <c r="R131" i="52"/>
  <c r="R121" i="52"/>
  <c r="R129" i="52"/>
  <c r="R126" i="52"/>
  <c r="R137" i="52"/>
  <c r="R145" i="52"/>
  <c r="R140" i="52"/>
  <c r="R143" i="52"/>
  <c r="R139" i="52"/>
  <c r="R138" i="52"/>
  <c r="R146" i="52"/>
  <c r="R135" i="52"/>
  <c r="R141" i="52"/>
  <c r="R136" i="52"/>
  <c r="R144" i="52"/>
  <c r="R147" i="52"/>
  <c r="R142" i="52"/>
  <c r="S142" i="52"/>
  <c r="S136" i="52"/>
  <c r="S144" i="52"/>
  <c r="S137" i="52"/>
  <c r="S145" i="52"/>
  <c r="S140" i="52"/>
  <c r="S135" i="52"/>
  <c r="S143" i="52"/>
  <c r="S138" i="52"/>
  <c r="S146" i="52"/>
  <c r="S141" i="52"/>
  <c r="S139" i="52"/>
  <c r="S147" i="52"/>
  <c r="N153" i="52"/>
  <c r="G154" i="52"/>
  <c r="G156" i="52"/>
  <c r="L162" i="52"/>
  <c r="D151" i="52"/>
  <c r="F154" i="52"/>
  <c r="O163" i="52"/>
  <c r="P163" i="52" s="1"/>
  <c r="G157" i="52"/>
  <c r="C151" i="52"/>
  <c r="H152" i="52"/>
  <c r="G153" i="52"/>
  <c r="E157" i="52"/>
  <c r="C152" i="52"/>
  <c r="F157" i="52"/>
  <c r="G151" i="52"/>
  <c r="N155" i="52"/>
  <c r="D152" i="52"/>
  <c r="E153" i="52"/>
  <c r="M161" i="52"/>
  <c r="F152" i="52"/>
  <c r="I157" i="52"/>
  <c r="I164" i="52" s="1"/>
  <c r="G152" i="52"/>
  <c r="F153" i="52"/>
  <c r="E154" i="52"/>
  <c r="L160" i="52"/>
  <c r="V16" i="52" s="1"/>
  <c r="K162" i="52"/>
  <c r="H153" i="52"/>
  <c r="K157" i="52"/>
  <c r="K156" i="52"/>
  <c r="K155" i="52"/>
  <c r="H155" i="52"/>
  <c r="N156" i="52"/>
  <c r="N162" i="52"/>
  <c r="K154" i="52"/>
  <c r="H156" i="52"/>
  <c r="H151" i="52"/>
  <c r="H157" i="52"/>
  <c r="J158" i="52"/>
  <c r="P158" i="52" s="1"/>
  <c r="K153" i="52"/>
  <c r="E152" i="52"/>
  <c r="K159" i="52"/>
  <c r="U95" i="52" s="1"/>
  <c r="F151" i="52"/>
  <c r="N157" i="52"/>
  <c r="BC68" i="52"/>
  <c r="P68" i="52"/>
  <c r="Q72" i="26"/>
  <c r="AH72" i="26"/>
  <c r="K36" i="52"/>
  <c r="BA84" i="52"/>
  <c r="AT84" i="52"/>
  <c r="BC106" i="52"/>
  <c r="K148" i="52"/>
  <c r="CT136" i="52" s="1"/>
  <c r="P111" i="52"/>
  <c r="N84" i="52"/>
  <c r="CW81" i="52" s="1"/>
  <c r="BB20" i="52"/>
  <c r="G36" i="52"/>
  <c r="BC131" i="52"/>
  <c r="BC161" i="52"/>
  <c r="BC9" i="52"/>
  <c r="BC16" i="52"/>
  <c r="AU84" i="52"/>
  <c r="P104" i="52"/>
  <c r="AY132" i="52"/>
  <c r="P120" i="52"/>
  <c r="J132" i="52"/>
  <c r="AR132" i="52"/>
  <c r="AZ132" i="52"/>
  <c r="BC90" i="52"/>
  <c r="AV20" i="52"/>
  <c r="J36" i="52"/>
  <c r="AR36" i="52"/>
  <c r="AW116" i="52"/>
  <c r="K132" i="52"/>
  <c r="AS132" i="52"/>
  <c r="C36" i="52"/>
  <c r="CL24" i="52" s="1"/>
  <c r="G52" i="52"/>
  <c r="BB100" i="52"/>
  <c r="BC93" i="52"/>
  <c r="BC145" i="52"/>
  <c r="AS20" i="52"/>
  <c r="P15" i="52"/>
  <c r="AY36" i="52"/>
  <c r="BC78" i="52"/>
  <c r="N20" i="52"/>
  <c r="BC80" i="52"/>
  <c r="M100" i="52"/>
  <c r="AU100" i="52"/>
  <c r="P107" i="52"/>
  <c r="F20" i="52"/>
  <c r="P48" i="52"/>
  <c r="AV164" i="52"/>
  <c r="O20" i="52"/>
  <c r="CX10" i="52" s="1"/>
  <c r="P9" i="52"/>
  <c r="M36" i="52"/>
  <c r="P25" i="52"/>
  <c r="P30" i="52"/>
  <c r="BC30" i="52"/>
  <c r="P33" i="52"/>
  <c r="AR52" i="52"/>
  <c r="AY52" i="52"/>
  <c r="P44" i="52"/>
  <c r="BC44" i="52"/>
  <c r="P46" i="52"/>
  <c r="BC46" i="52"/>
  <c r="AW84" i="52"/>
  <c r="BC72" i="52"/>
  <c r="BC82" i="52"/>
  <c r="P83" i="52"/>
  <c r="P88" i="52"/>
  <c r="BC94" i="52"/>
  <c r="P97" i="52"/>
  <c r="J116" i="52"/>
  <c r="BC108" i="52"/>
  <c r="E132" i="52"/>
  <c r="CN122" i="52" s="1"/>
  <c r="BC123" i="52"/>
  <c r="BC125" i="52"/>
  <c r="N148" i="52"/>
  <c r="BC140" i="52"/>
  <c r="BC141" i="52"/>
  <c r="BC144" i="52"/>
  <c r="AR164" i="52"/>
  <c r="AY164" i="52"/>
  <c r="BC153" i="52"/>
  <c r="AX20" i="52"/>
  <c r="BC11" i="52"/>
  <c r="P12" i="52"/>
  <c r="P16" i="52"/>
  <c r="P19" i="52"/>
  <c r="F36" i="52"/>
  <c r="N36" i="52"/>
  <c r="AV36" i="52"/>
  <c r="P29" i="52"/>
  <c r="C52" i="52"/>
  <c r="K52" i="52"/>
  <c r="P43" i="52"/>
  <c r="P45" i="52"/>
  <c r="I84" i="52"/>
  <c r="BC74" i="52"/>
  <c r="P79" i="52"/>
  <c r="AQ100" i="52"/>
  <c r="AX100" i="52"/>
  <c r="AV100" i="52"/>
  <c r="BC92" i="52"/>
  <c r="P103" i="52"/>
  <c r="AS116" i="52"/>
  <c r="BY111" i="52" s="1"/>
  <c r="P115" i="52"/>
  <c r="BC126" i="52"/>
  <c r="G148" i="52"/>
  <c r="O148" i="52"/>
  <c r="AW148" i="52"/>
  <c r="BC139" i="52"/>
  <c r="BC157" i="52"/>
  <c r="AQ20" i="52"/>
  <c r="C20" i="52"/>
  <c r="BC8" i="52"/>
  <c r="BC15" i="52"/>
  <c r="O36" i="52"/>
  <c r="CX24" i="52" s="1"/>
  <c r="P26" i="52"/>
  <c r="P27" i="52"/>
  <c r="BC28" i="52"/>
  <c r="D52" i="52"/>
  <c r="BC40" i="52"/>
  <c r="BC48" i="52"/>
  <c r="P51" i="52"/>
  <c r="J84" i="52"/>
  <c r="AQ84" i="52"/>
  <c r="BW83" i="52" s="1"/>
  <c r="AX84" i="52"/>
  <c r="BC75" i="52"/>
  <c r="BC77" i="52"/>
  <c r="P78" i="52"/>
  <c r="P82" i="52"/>
  <c r="J100" i="52"/>
  <c r="P105" i="52"/>
  <c r="P112" i="52"/>
  <c r="BC113" i="52"/>
  <c r="BC114" i="52"/>
  <c r="O132" i="52"/>
  <c r="P121" i="52"/>
  <c r="BC129" i="52"/>
  <c r="P131" i="52"/>
  <c r="H148" i="52"/>
  <c r="AP148" i="52"/>
  <c r="BC152" i="52"/>
  <c r="I20" i="52"/>
  <c r="AZ20" i="52"/>
  <c r="L20" i="52"/>
  <c r="AT20" i="52"/>
  <c r="BA20" i="52"/>
  <c r="P17" i="52"/>
  <c r="BC18" i="52"/>
  <c r="H36" i="52"/>
  <c r="AP36" i="52"/>
  <c r="P24" i="52"/>
  <c r="P32" i="52"/>
  <c r="P35" i="52"/>
  <c r="BC35" i="52"/>
  <c r="BB52" i="52"/>
  <c r="BC49" i="52"/>
  <c r="C84" i="52"/>
  <c r="AR84" i="52"/>
  <c r="AY84" i="52"/>
  <c r="P75" i="52"/>
  <c r="P76" i="52"/>
  <c r="P77" i="52"/>
  <c r="C100" i="52"/>
  <c r="K100" i="52"/>
  <c r="BC98" i="52"/>
  <c r="BC99" i="52"/>
  <c r="BC109" i="52"/>
  <c r="H132" i="52"/>
  <c r="I148" i="52"/>
  <c r="AU164" i="52"/>
  <c r="BB164" i="52"/>
  <c r="BC158" i="52"/>
  <c r="BC162" i="52"/>
  <c r="E20" i="52"/>
  <c r="M20" i="52"/>
  <c r="AU20" i="52"/>
  <c r="J20" i="52"/>
  <c r="P10" i="52"/>
  <c r="BC10" i="52"/>
  <c r="P13" i="52"/>
  <c r="BC14" i="52"/>
  <c r="AQ36" i="52"/>
  <c r="BW32" i="52" s="1"/>
  <c r="AX36" i="52"/>
  <c r="P28" i="52"/>
  <c r="P42" i="52"/>
  <c r="D84" i="52"/>
  <c r="K84" i="52"/>
  <c r="AS84" i="52"/>
  <c r="BY82" i="52" s="1"/>
  <c r="AZ84" i="52"/>
  <c r="BB84" i="52"/>
  <c r="BC79" i="52"/>
  <c r="P81" i="52"/>
  <c r="D100" i="52"/>
  <c r="AT100" i="52"/>
  <c r="BA100" i="52"/>
  <c r="BC96" i="52"/>
  <c r="P99" i="52"/>
  <c r="BC107" i="52"/>
  <c r="P109" i="52"/>
  <c r="BC110" i="52"/>
  <c r="BC127" i="52"/>
  <c r="BC128" i="52"/>
  <c r="P129" i="52"/>
  <c r="AY148" i="52"/>
  <c r="P144" i="52"/>
  <c r="G20" i="52"/>
  <c r="P8" i="52"/>
  <c r="P11" i="52"/>
  <c r="BC12" i="52"/>
  <c r="BC17" i="52"/>
  <c r="BC19" i="52"/>
  <c r="P23" i="52"/>
  <c r="BC25" i="52"/>
  <c r="BC27" i="52"/>
  <c r="P31" i="52"/>
  <c r="BC33" i="52"/>
  <c r="P41" i="52"/>
  <c r="BC41" i="52"/>
  <c r="F84" i="52"/>
  <c r="M84" i="52"/>
  <c r="G84" i="52"/>
  <c r="BC76" i="52"/>
  <c r="BC83" i="52"/>
  <c r="N100" i="52"/>
  <c r="BC88" i="52"/>
  <c r="BC91" i="52"/>
  <c r="P96" i="52"/>
  <c r="D116" i="52"/>
  <c r="CM115" i="52" s="1"/>
  <c r="P110" i="52"/>
  <c r="P113" i="52"/>
  <c r="P119" i="52"/>
  <c r="BC120" i="52"/>
  <c r="P126" i="52"/>
  <c r="L148" i="52"/>
  <c r="BC137" i="52"/>
  <c r="P141" i="52"/>
  <c r="BC143" i="52"/>
  <c r="BC146" i="52"/>
  <c r="AP164" i="52"/>
  <c r="BC159" i="52"/>
  <c r="BC29" i="52"/>
  <c r="AW20" i="52"/>
  <c r="H20" i="52"/>
  <c r="AP20" i="52"/>
  <c r="BC13" i="52"/>
  <c r="P14" i="52"/>
  <c r="P18" i="52"/>
  <c r="D36" i="52"/>
  <c r="AT36" i="52"/>
  <c r="BA36" i="52"/>
  <c r="AQ52" i="52"/>
  <c r="BW52" i="52" s="1"/>
  <c r="AX52" i="52"/>
  <c r="AU52" i="52"/>
  <c r="BC43" i="52"/>
  <c r="BC45" i="52"/>
  <c r="P47" i="52"/>
  <c r="BC47" i="52"/>
  <c r="BC50" i="52"/>
  <c r="P73" i="52"/>
  <c r="G100" i="52"/>
  <c r="BC89" i="52"/>
  <c r="P90" i="52"/>
  <c r="BC95" i="52"/>
  <c r="I116" i="52"/>
  <c r="AQ116" i="52"/>
  <c r="BW110" i="52" s="1"/>
  <c r="AX116" i="52"/>
  <c r="D132" i="52"/>
  <c r="CM132" i="52" s="1"/>
  <c r="L132" i="52"/>
  <c r="P122" i="52"/>
  <c r="AU148" i="52"/>
  <c r="BB148" i="52"/>
  <c r="BC136" i="52"/>
  <c r="P139" i="52"/>
  <c r="BC142" i="52"/>
  <c r="P143" i="52"/>
  <c r="P145" i="52"/>
  <c r="BC147" i="52"/>
  <c r="AX164" i="52"/>
  <c r="P7" i="52"/>
  <c r="E36" i="52"/>
  <c r="L36" i="52"/>
  <c r="AS36" i="52"/>
  <c r="AZ36" i="52"/>
  <c r="BC26" i="52"/>
  <c r="BC31" i="52"/>
  <c r="BC32" i="52"/>
  <c r="BC24" i="52"/>
  <c r="AS52" i="52"/>
  <c r="BC39" i="52"/>
  <c r="AZ52" i="52"/>
  <c r="P40" i="52"/>
  <c r="BC7" i="52"/>
  <c r="AU36" i="52"/>
  <c r="BB36" i="52"/>
  <c r="BC34" i="52"/>
  <c r="E52" i="52"/>
  <c r="P39" i="52"/>
  <c r="L52" i="52"/>
  <c r="BC42" i="52"/>
  <c r="P71" i="52"/>
  <c r="D20" i="52"/>
  <c r="AR20" i="52"/>
  <c r="BC23" i="52"/>
  <c r="P49" i="52"/>
  <c r="K20" i="52"/>
  <c r="AY20" i="52"/>
  <c r="I36" i="52"/>
  <c r="AW36" i="52"/>
  <c r="P34" i="52"/>
  <c r="N52" i="52"/>
  <c r="AV52" i="52"/>
  <c r="H52" i="52"/>
  <c r="O52" i="52"/>
  <c r="F52" i="52"/>
  <c r="M52" i="52"/>
  <c r="AT52" i="52"/>
  <c r="BA52" i="52"/>
  <c r="BC71" i="52"/>
  <c r="AP84" i="52"/>
  <c r="P74" i="52"/>
  <c r="I52" i="52"/>
  <c r="AW52" i="52"/>
  <c r="BC51" i="52"/>
  <c r="E84" i="52"/>
  <c r="L84" i="52"/>
  <c r="J52" i="52"/>
  <c r="AP52" i="52"/>
  <c r="P72" i="52"/>
  <c r="F100" i="52"/>
  <c r="P87" i="52"/>
  <c r="P50" i="52"/>
  <c r="H84" i="52"/>
  <c r="O84" i="52"/>
  <c r="AV84" i="52"/>
  <c r="BC73" i="52"/>
  <c r="P80" i="52"/>
  <c r="BC81" i="52"/>
  <c r="H100" i="52"/>
  <c r="O100" i="52"/>
  <c r="I100" i="52"/>
  <c r="AW100" i="52"/>
  <c r="AP100" i="52"/>
  <c r="BC87" i="52"/>
  <c r="P91" i="52"/>
  <c r="P92" i="52"/>
  <c r="P93" i="52"/>
  <c r="P94" i="52"/>
  <c r="P95" i="52"/>
  <c r="AR100" i="52"/>
  <c r="AY100" i="52"/>
  <c r="P89" i="52"/>
  <c r="BC105" i="52"/>
  <c r="P106" i="52"/>
  <c r="BC97" i="52"/>
  <c r="AP116" i="52"/>
  <c r="BC103" i="52"/>
  <c r="C116" i="52"/>
  <c r="P108" i="52"/>
  <c r="E116" i="52"/>
  <c r="L116" i="52"/>
  <c r="E100" i="52"/>
  <c r="L100" i="52"/>
  <c r="AS100" i="52"/>
  <c r="AZ100" i="52"/>
  <c r="P98" i="52"/>
  <c r="BC104" i="52"/>
  <c r="P114" i="52"/>
  <c r="K116" i="52"/>
  <c r="AR116" i="52"/>
  <c r="AY116" i="52"/>
  <c r="BC112" i="52"/>
  <c r="BC121" i="52"/>
  <c r="BC122" i="52"/>
  <c r="AZ116" i="52"/>
  <c r="BC124" i="52"/>
  <c r="P125" i="52"/>
  <c r="F116" i="52"/>
  <c r="M116" i="52"/>
  <c r="AT116" i="52"/>
  <c r="BA116" i="52"/>
  <c r="BC111" i="52"/>
  <c r="G116" i="52"/>
  <c r="N116" i="52"/>
  <c r="AU116" i="52"/>
  <c r="BB116" i="52"/>
  <c r="H116" i="52"/>
  <c r="O116" i="52"/>
  <c r="AV116" i="52"/>
  <c r="BC115" i="52"/>
  <c r="AP132" i="52"/>
  <c r="P123" i="52"/>
  <c r="F132" i="52"/>
  <c r="M132" i="52"/>
  <c r="AT132" i="52"/>
  <c r="BA132" i="52"/>
  <c r="P127" i="52"/>
  <c r="BC130" i="52"/>
  <c r="G132" i="52"/>
  <c r="N132" i="52"/>
  <c r="AU132" i="52"/>
  <c r="BB132" i="52"/>
  <c r="P128" i="52"/>
  <c r="AV148" i="52"/>
  <c r="CT138" i="52"/>
  <c r="AV132" i="52"/>
  <c r="BC119" i="52"/>
  <c r="P130" i="52"/>
  <c r="I132" i="52"/>
  <c r="AW132" i="52"/>
  <c r="P124" i="52"/>
  <c r="C132" i="52"/>
  <c r="AQ132" i="52"/>
  <c r="AX132" i="52"/>
  <c r="AR148" i="52"/>
  <c r="BC135" i="52"/>
  <c r="D148" i="52"/>
  <c r="P135" i="52"/>
  <c r="E148" i="52"/>
  <c r="AS148" i="52"/>
  <c r="AZ148" i="52"/>
  <c r="P137" i="52"/>
  <c r="P140" i="52"/>
  <c r="P142" i="52"/>
  <c r="P146" i="52"/>
  <c r="F148" i="52"/>
  <c r="M148" i="52"/>
  <c r="AT148" i="52"/>
  <c r="BA148" i="52"/>
  <c r="P138" i="52"/>
  <c r="P147" i="52"/>
  <c r="CH145" i="52"/>
  <c r="P136" i="52"/>
  <c r="J148" i="52"/>
  <c r="C148" i="52"/>
  <c r="AQ148" i="52"/>
  <c r="AX148" i="52"/>
  <c r="BC138" i="52"/>
  <c r="AQ164" i="52"/>
  <c r="BC151" i="52"/>
  <c r="BC163" i="52"/>
  <c r="AS164" i="52"/>
  <c r="AZ164" i="52"/>
  <c r="BC154" i="52"/>
  <c r="AT164" i="52"/>
  <c r="BA164" i="52"/>
  <c r="BC156" i="52"/>
  <c r="BC160" i="52"/>
  <c r="BC155" i="52"/>
  <c r="AW164" i="52"/>
  <c r="L161" i="26"/>
  <c r="L162" i="26"/>
  <c r="L163" i="26"/>
  <c r="L164" i="26"/>
  <c r="L165" i="26"/>
  <c r="L166" i="26"/>
  <c r="L167" i="26"/>
  <c r="L168" i="26"/>
  <c r="L169" i="26"/>
  <c r="L170" i="26"/>
  <c r="L171" i="26"/>
  <c r="L172" i="26"/>
  <c r="L173" i="26"/>
  <c r="L160" i="26"/>
  <c r="E153" i="20"/>
  <c r="D153" i="20"/>
  <c r="C153" i="20"/>
  <c r="E136" i="20"/>
  <c r="D136" i="20"/>
  <c r="C136" i="20"/>
  <c r="E119" i="20"/>
  <c r="D119" i="20"/>
  <c r="C119" i="20"/>
  <c r="E102" i="20"/>
  <c r="D102" i="20"/>
  <c r="C102" i="20"/>
  <c r="E85" i="20"/>
  <c r="D85" i="20"/>
  <c r="C85" i="20"/>
  <c r="E68" i="20"/>
  <c r="D68" i="20"/>
  <c r="C68" i="20"/>
  <c r="E51" i="20"/>
  <c r="D51" i="20"/>
  <c r="C51" i="20"/>
  <c r="E33" i="20"/>
  <c r="D33" i="20"/>
  <c r="C33" i="20"/>
  <c r="E15" i="20"/>
  <c r="D15" i="20"/>
  <c r="C15" i="20"/>
  <c r="BF27" i="52" l="1"/>
  <c r="AA164" i="52"/>
  <c r="BQ119" i="52"/>
  <c r="BF30" i="52"/>
  <c r="BF35" i="52"/>
  <c r="BQ129" i="52"/>
  <c r="CW129" i="52" s="1"/>
  <c r="BQ127" i="52"/>
  <c r="CW127" i="52" s="1"/>
  <c r="BS178" i="53"/>
  <c r="BZ178" i="53" s="1"/>
  <c r="BR198" i="53"/>
  <c r="CC194" i="53" s="1"/>
  <c r="BR196" i="53"/>
  <c r="CA194" i="53" s="1"/>
  <c r="BR205" i="53"/>
  <c r="CK194" i="53" s="1"/>
  <c r="BR201" i="53"/>
  <c r="CG194" i="53" s="1"/>
  <c r="BT184" i="53"/>
  <c r="CG179" i="53" s="1"/>
  <c r="BT185" i="53"/>
  <c r="CH179" i="53" s="1"/>
  <c r="BS202" i="53"/>
  <c r="CH195" i="53" s="1"/>
  <c r="BS205" i="53"/>
  <c r="CK195" i="53" s="1"/>
  <c r="BS181" i="53"/>
  <c r="CC178" i="53" s="1"/>
  <c r="BS179" i="53"/>
  <c r="CA178" i="53" s="1"/>
  <c r="BS184" i="53"/>
  <c r="CG178" i="53" s="1"/>
  <c r="BS185" i="53"/>
  <c r="CH178" i="53" s="1"/>
  <c r="BS186" i="53"/>
  <c r="CI178" i="53" s="1"/>
  <c r="BS199" i="53"/>
  <c r="CD195" i="53" s="1"/>
  <c r="BS182" i="53"/>
  <c r="CD178" i="53" s="1"/>
  <c r="BS177" i="53"/>
  <c r="BY178" i="53" s="1"/>
  <c r="BS183" i="53"/>
  <c r="CE178" i="53" s="1"/>
  <c r="BS187" i="53"/>
  <c r="CJ178" i="53" s="1"/>
  <c r="BS180" i="53"/>
  <c r="CB178" i="53" s="1"/>
  <c r="BF36" i="52"/>
  <c r="AK186" i="52"/>
  <c r="AD186" i="52"/>
  <c r="BF29" i="52"/>
  <c r="BI93" i="52"/>
  <c r="AE186" i="52"/>
  <c r="BF25" i="52"/>
  <c r="BF23" i="52"/>
  <c r="BF33" i="52"/>
  <c r="BI96" i="52"/>
  <c r="BF34" i="52"/>
  <c r="CL34" i="52" s="1"/>
  <c r="BF31" i="52"/>
  <c r="CL31" i="52" s="1"/>
  <c r="BS204" i="53"/>
  <c r="CJ195" i="53" s="1"/>
  <c r="BI99" i="52"/>
  <c r="BK98" i="52"/>
  <c r="BG94" i="52"/>
  <c r="BR197" i="53"/>
  <c r="CB194" i="53" s="1"/>
  <c r="BS196" i="53"/>
  <c r="CA195" i="53" s="1"/>
  <c r="BR203" i="53"/>
  <c r="CI194" i="53" s="1"/>
  <c r="BI100" i="52"/>
  <c r="BK100" i="52"/>
  <c r="BG100" i="52"/>
  <c r="AB186" i="52"/>
  <c r="BK97" i="52"/>
  <c r="BS198" i="53"/>
  <c r="CC195" i="53" s="1"/>
  <c r="BK95" i="52"/>
  <c r="AD20" i="52"/>
  <c r="BJ13" i="52" s="1"/>
  <c r="BR202" i="53"/>
  <c r="CH194" i="53" s="1"/>
  <c r="BR199" i="53"/>
  <c r="CD194" i="53" s="1"/>
  <c r="BI97" i="52"/>
  <c r="BK93" i="52"/>
  <c r="BS197" i="53"/>
  <c r="CB195" i="53" s="1"/>
  <c r="BI94" i="52"/>
  <c r="AM173" i="52"/>
  <c r="BS194" i="53"/>
  <c r="BY195" i="53" s="1"/>
  <c r="BS195" i="53"/>
  <c r="BZ195" i="53" s="1"/>
  <c r="BI95" i="52"/>
  <c r="CO95" i="52" s="1"/>
  <c r="BK96" i="52"/>
  <c r="BS201" i="53"/>
  <c r="CG195" i="53" s="1"/>
  <c r="BS200" i="53"/>
  <c r="CE195" i="53" s="1"/>
  <c r="BT181" i="53"/>
  <c r="CC179" i="53" s="1"/>
  <c r="BT177" i="53"/>
  <c r="BY179" i="53" s="1"/>
  <c r="BT188" i="53"/>
  <c r="CK179" i="53" s="1"/>
  <c r="BT186" i="53"/>
  <c r="CI179" i="53" s="1"/>
  <c r="BT187" i="53"/>
  <c r="CJ179" i="53" s="1"/>
  <c r="BT178" i="53"/>
  <c r="BZ179" i="53" s="1"/>
  <c r="BT183" i="53"/>
  <c r="CE179" i="53" s="1"/>
  <c r="BT182" i="53"/>
  <c r="CD179" i="53" s="1"/>
  <c r="BT180" i="53"/>
  <c r="CB179" i="53" s="1"/>
  <c r="CE177" i="52"/>
  <c r="DK177" i="52" s="1"/>
  <c r="BQ145" i="52"/>
  <c r="CW145" i="52" s="1"/>
  <c r="BQ139" i="52"/>
  <c r="BQ143" i="52"/>
  <c r="CW143" i="52" s="1"/>
  <c r="BQ146" i="52"/>
  <c r="CW147" i="52"/>
  <c r="BQ141" i="52"/>
  <c r="BQ144" i="52"/>
  <c r="CW144" i="52" s="1"/>
  <c r="BQ125" i="52"/>
  <c r="BQ131" i="52"/>
  <c r="CW131" i="52" s="1"/>
  <c r="BQ132" i="52"/>
  <c r="BQ121" i="52"/>
  <c r="CW121" i="52" s="1"/>
  <c r="BQ126" i="52"/>
  <c r="BQ33" i="52"/>
  <c r="BQ36" i="52"/>
  <c r="BQ23" i="52"/>
  <c r="CW23" i="52" s="1"/>
  <c r="BQ31" i="52"/>
  <c r="CW31" i="52" s="1"/>
  <c r="BQ25" i="52"/>
  <c r="CW25" i="52" s="1"/>
  <c r="BQ30" i="52"/>
  <c r="BQ29" i="52"/>
  <c r="BQ27" i="52"/>
  <c r="BQ32" i="52"/>
  <c r="BQ34" i="52"/>
  <c r="BX181" i="52"/>
  <c r="DD181" i="52" s="1"/>
  <c r="BC173" i="52"/>
  <c r="CH179" i="52"/>
  <c r="DN179" i="52" s="1"/>
  <c r="BC181" i="52"/>
  <c r="BY184" i="52"/>
  <c r="DE184" i="52" s="1"/>
  <c r="BV183" i="52"/>
  <c r="DB183" i="52" s="1"/>
  <c r="BC180" i="52"/>
  <c r="BA186" i="52"/>
  <c r="CG186" i="52" s="1"/>
  <c r="BC177" i="52"/>
  <c r="BC179" i="52"/>
  <c r="BC185" i="52"/>
  <c r="AZ186" i="52"/>
  <c r="CF186" i="52" s="1"/>
  <c r="BB186" i="52"/>
  <c r="CH186" i="52" s="1"/>
  <c r="BC175" i="52"/>
  <c r="AT186" i="52"/>
  <c r="BZ186" i="52" s="1"/>
  <c r="BC183" i="52"/>
  <c r="AY186" i="52"/>
  <c r="CE186" i="52" s="1"/>
  <c r="CD183" i="52"/>
  <c r="DJ183" i="52" s="1"/>
  <c r="AV186" i="52"/>
  <c r="CB186" i="52" s="1"/>
  <c r="AR186" i="52"/>
  <c r="BX186" i="52" s="1"/>
  <c r="AQ186" i="52"/>
  <c r="BW186" i="52" s="1"/>
  <c r="BC184" i="52"/>
  <c r="AU186" i="52"/>
  <c r="CA186" i="52" s="1"/>
  <c r="BC174" i="52"/>
  <c r="AX186" i="52"/>
  <c r="CD186" i="52" s="1"/>
  <c r="AW186" i="52"/>
  <c r="CC186" i="52" s="1"/>
  <c r="AS186" i="52"/>
  <c r="BY186" i="52" s="1"/>
  <c r="BK31" i="52"/>
  <c r="BC176" i="52"/>
  <c r="BK30" i="52"/>
  <c r="BL99" i="52"/>
  <c r="BG186" i="52"/>
  <c r="AM174" i="52"/>
  <c r="BC182" i="52"/>
  <c r="BC178" i="52"/>
  <c r="AP186" i="52"/>
  <c r="BV186" i="52" s="1"/>
  <c r="EM60" i="52"/>
  <c r="FC60" i="52" s="1"/>
  <c r="CG183" i="52"/>
  <c r="DM183" i="52" s="1"/>
  <c r="CG181" i="52"/>
  <c r="DM181" i="52" s="1"/>
  <c r="CG180" i="52"/>
  <c r="DM180" i="52" s="1"/>
  <c r="CG182" i="52"/>
  <c r="DM182" i="52" s="1"/>
  <c r="CG179" i="52"/>
  <c r="CG185" i="52"/>
  <c r="DM185" i="52" s="1"/>
  <c r="CG177" i="52"/>
  <c r="CG175" i="52"/>
  <c r="CG173" i="52"/>
  <c r="DM173" i="52" s="1"/>
  <c r="BL94" i="52"/>
  <c r="BK34" i="52"/>
  <c r="BG96" i="52"/>
  <c r="CM96" i="52" s="1"/>
  <c r="BG183" i="52"/>
  <c r="CM183" i="52" s="1"/>
  <c r="BG181" i="52"/>
  <c r="CM181" i="52" s="1"/>
  <c r="BG184" i="52"/>
  <c r="CM184" i="52" s="1"/>
  <c r="BG185" i="52"/>
  <c r="CM185" i="52" s="1"/>
  <c r="BG180" i="52"/>
  <c r="BG179" i="52"/>
  <c r="BG182" i="52"/>
  <c r="CM182" i="52" s="1"/>
  <c r="BV175" i="52"/>
  <c r="DB175" i="52" s="1"/>
  <c r="CG184" i="52"/>
  <c r="BV177" i="52"/>
  <c r="DB177" i="52" s="1"/>
  <c r="BZ182" i="52"/>
  <c r="DF182" i="52" s="1"/>
  <c r="BZ185" i="52"/>
  <c r="DF185" i="52" s="1"/>
  <c r="BZ177" i="52"/>
  <c r="BZ184" i="52"/>
  <c r="DF184" i="52" s="1"/>
  <c r="BZ183" i="52"/>
  <c r="DF183" i="52" s="1"/>
  <c r="BZ181" i="52"/>
  <c r="DF181" i="52" s="1"/>
  <c r="BZ173" i="52"/>
  <c r="BZ175" i="52"/>
  <c r="BZ180" i="52"/>
  <c r="DF180" i="52" s="1"/>
  <c r="BZ179" i="52"/>
  <c r="BL97" i="52"/>
  <c r="BK29" i="52"/>
  <c r="BG99" i="52"/>
  <c r="CM99" i="52" s="1"/>
  <c r="CH184" i="52"/>
  <c r="DN184" i="52" s="1"/>
  <c r="CH180" i="52"/>
  <c r="DN180" i="52" s="1"/>
  <c r="CH183" i="52"/>
  <c r="DN183" i="52" s="1"/>
  <c r="CH175" i="52"/>
  <c r="DN175" i="52" s="1"/>
  <c r="CH185" i="52"/>
  <c r="DN185" i="52" s="1"/>
  <c r="CH177" i="52"/>
  <c r="DN177" i="52" s="1"/>
  <c r="CH182" i="52"/>
  <c r="DN182" i="52" s="1"/>
  <c r="CH173" i="52"/>
  <c r="DN173" i="52" s="1"/>
  <c r="CH181" i="52"/>
  <c r="DN181" i="52" s="1"/>
  <c r="BL100" i="52"/>
  <c r="BK35" i="52"/>
  <c r="BG97" i="52"/>
  <c r="CM97" i="52" s="1"/>
  <c r="CA183" i="52"/>
  <c r="DG183" i="52" s="1"/>
  <c r="CA181" i="52"/>
  <c r="DG181" i="52" s="1"/>
  <c r="CA179" i="52"/>
  <c r="CA180" i="52"/>
  <c r="DG180" i="52" s="1"/>
  <c r="CA184" i="52"/>
  <c r="DG184" i="52" s="1"/>
  <c r="CA185" i="52"/>
  <c r="DG185" i="52" s="1"/>
  <c r="BL93" i="52"/>
  <c r="BL87" i="52"/>
  <c r="AM180" i="52"/>
  <c r="AG186" i="52"/>
  <c r="BW182" i="52"/>
  <c r="DC182" i="52" s="1"/>
  <c r="BW180" i="52"/>
  <c r="DC180" i="52" s="1"/>
  <c r="BW185" i="52"/>
  <c r="DC185" i="52" s="1"/>
  <c r="BW184" i="52"/>
  <c r="DC184" i="52" s="1"/>
  <c r="BW183" i="52"/>
  <c r="DC183" i="52" s="1"/>
  <c r="BW181" i="52"/>
  <c r="DC181" i="52" s="1"/>
  <c r="BW179" i="52"/>
  <c r="DC179" i="52" s="1"/>
  <c r="CD185" i="52"/>
  <c r="CD179" i="52"/>
  <c r="CD177" i="52"/>
  <c r="CD184" i="52"/>
  <c r="CD180" i="52"/>
  <c r="DJ180" i="52" s="1"/>
  <c r="CD181" i="52"/>
  <c r="CD182" i="52"/>
  <c r="CD173" i="52"/>
  <c r="DJ173" i="52" s="1"/>
  <c r="CF175" i="52"/>
  <c r="DL175" i="52" s="1"/>
  <c r="CF183" i="52"/>
  <c r="CF180" i="52"/>
  <c r="DL180" i="52" s="1"/>
  <c r="CF182" i="52"/>
  <c r="DL182" i="52" s="1"/>
  <c r="CF181" i="52"/>
  <c r="DL181" i="52" s="1"/>
  <c r="CF185" i="52"/>
  <c r="DL185" i="52" s="1"/>
  <c r="CF177" i="52"/>
  <c r="DL177" i="52" s="1"/>
  <c r="CF184" i="52"/>
  <c r="DL184" i="52" s="1"/>
  <c r="CF179" i="52"/>
  <c r="DL179" i="52" s="1"/>
  <c r="CF173" i="52"/>
  <c r="DL173" i="52" s="1"/>
  <c r="CC184" i="52"/>
  <c r="DI184" i="52" s="1"/>
  <c r="CC185" i="52"/>
  <c r="DI185" i="52" s="1"/>
  <c r="CC179" i="52"/>
  <c r="CC177" i="52"/>
  <c r="DI177" i="52" s="1"/>
  <c r="CC183" i="52"/>
  <c r="DI183" i="52" s="1"/>
  <c r="CC175" i="52"/>
  <c r="DI175" i="52" s="1"/>
  <c r="CC182" i="52"/>
  <c r="DI182" i="52" s="1"/>
  <c r="CC181" i="52"/>
  <c r="DI181" i="52" s="1"/>
  <c r="CC173" i="52"/>
  <c r="DI173" i="52" s="1"/>
  <c r="BY182" i="52"/>
  <c r="DE182" i="52" s="1"/>
  <c r="BY185" i="52"/>
  <c r="DE185" i="52" s="1"/>
  <c r="BY179" i="52"/>
  <c r="BY180" i="52"/>
  <c r="DE180" i="52" s="1"/>
  <c r="BY183" i="52"/>
  <c r="DE183" i="52" s="1"/>
  <c r="BY181" i="52"/>
  <c r="DE181" i="52" s="1"/>
  <c r="CB184" i="52"/>
  <c r="DH184" i="52" s="1"/>
  <c r="CB181" i="52"/>
  <c r="DH181" i="52" s="1"/>
  <c r="CB179" i="52"/>
  <c r="CB183" i="52"/>
  <c r="DH183" i="52" s="1"/>
  <c r="CB175" i="52"/>
  <c r="DH175" i="52" s="1"/>
  <c r="CB173" i="52"/>
  <c r="CB180" i="52"/>
  <c r="DH180" i="52" s="1"/>
  <c r="CB182" i="52"/>
  <c r="DH182" i="52" s="1"/>
  <c r="BL95" i="52"/>
  <c r="BL89" i="52"/>
  <c r="BL183" i="52"/>
  <c r="BL180" i="52"/>
  <c r="BL181" i="52"/>
  <c r="BL182" i="52"/>
  <c r="BL179" i="52"/>
  <c r="BL177" i="52"/>
  <c r="BL175" i="52"/>
  <c r="BL184" i="52"/>
  <c r="BL173" i="52"/>
  <c r="BL185" i="52"/>
  <c r="BK33" i="52"/>
  <c r="BG95" i="52"/>
  <c r="CM95" i="52" s="1"/>
  <c r="BL98" i="52"/>
  <c r="BL91" i="52"/>
  <c r="BK32" i="52"/>
  <c r="BG98" i="52"/>
  <c r="AC186" i="52"/>
  <c r="CB177" i="52"/>
  <c r="DH177" i="52" s="1"/>
  <c r="CA182" i="52"/>
  <c r="DG182" i="52" s="1"/>
  <c r="CC180" i="52"/>
  <c r="CE181" i="52"/>
  <c r="DK181" i="52" s="1"/>
  <c r="CE175" i="52"/>
  <c r="DK175" i="52" s="1"/>
  <c r="CE184" i="52"/>
  <c r="DK184" i="52" s="1"/>
  <c r="CE183" i="52"/>
  <c r="DK183" i="52" s="1"/>
  <c r="CE180" i="52"/>
  <c r="DK180" i="52" s="1"/>
  <c r="CE185" i="52"/>
  <c r="DK185" i="52" s="1"/>
  <c r="CE182" i="52"/>
  <c r="CE179" i="52"/>
  <c r="DK179" i="52" s="1"/>
  <c r="CE173" i="52"/>
  <c r="DK173" i="52" s="1"/>
  <c r="BV184" i="52"/>
  <c r="DB184" i="52" s="1"/>
  <c r="BV185" i="52"/>
  <c r="DB185" i="52" s="1"/>
  <c r="BV181" i="52"/>
  <c r="DB181" i="52" s="1"/>
  <c r="BV179" i="52"/>
  <c r="DB179" i="52" s="1"/>
  <c r="BV182" i="52"/>
  <c r="DB182" i="52" s="1"/>
  <c r="BV180" i="52"/>
  <c r="DB180" i="52" s="1"/>
  <c r="BV173" i="52"/>
  <c r="BX182" i="52"/>
  <c r="DD182" i="52" s="1"/>
  <c r="BX180" i="52"/>
  <c r="DD180" i="52" s="1"/>
  <c r="BX184" i="52"/>
  <c r="DD184" i="52" s="1"/>
  <c r="BX177" i="52"/>
  <c r="DD177" i="52" s="1"/>
  <c r="BX185" i="52"/>
  <c r="DD185" i="52" s="1"/>
  <c r="BX179" i="52"/>
  <c r="BX183" i="52"/>
  <c r="DD183" i="52" s="1"/>
  <c r="BX173" i="52"/>
  <c r="BX175" i="52"/>
  <c r="AE164" i="52"/>
  <c r="BK186" i="52" s="1"/>
  <c r="BL186" i="52"/>
  <c r="CD175" i="52"/>
  <c r="CB185" i="52"/>
  <c r="DH185" i="52" s="1"/>
  <c r="J164" i="52"/>
  <c r="CW35" i="52"/>
  <c r="EJ58" i="52"/>
  <c r="FA57" i="52" s="1"/>
  <c r="EK58" i="52"/>
  <c r="FA58" i="52" s="1"/>
  <c r="EK57" i="52"/>
  <c r="EZ58" i="52" s="1"/>
  <c r="EJ57" i="52"/>
  <c r="EZ57" i="52" s="1"/>
  <c r="EL59" i="52"/>
  <c r="FB59" i="52" s="1"/>
  <c r="EM59" i="52"/>
  <c r="FB60" i="52" s="1"/>
  <c r="EL60" i="52"/>
  <c r="FC59" i="52" s="1"/>
  <c r="CI59" i="52"/>
  <c r="CI57" i="52"/>
  <c r="CI55" i="52"/>
  <c r="EM57" i="52"/>
  <c r="EZ60" i="52" s="1"/>
  <c r="EL57" i="52"/>
  <c r="EZ59" i="52" s="1"/>
  <c r="EM58" i="52"/>
  <c r="FA60" i="52" s="1"/>
  <c r="EL58" i="52"/>
  <c r="FA59" i="52" s="1"/>
  <c r="BZ151" i="52"/>
  <c r="BZ155" i="52"/>
  <c r="BZ153" i="52"/>
  <c r="BV163" i="52"/>
  <c r="DB163" i="52" s="1"/>
  <c r="BV153" i="52"/>
  <c r="DB153" i="52" s="1"/>
  <c r="BV151" i="52"/>
  <c r="BV155" i="52"/>
  <c r="DB155" i="52" s="1"/>
  <c r="CD155" i="52"/>
  <c r="CD151" i="52"/>
  <c r="DJ151" i="52" s="1"/>
  <c r="CD153" i="52"/>
  <c r="CF153" i="52"/>
  <c r="DL153" i="52" s="1"/>
  <c r="CF151" i="52"/>
  <c r="DL151" i="52" s="1"/>
  <c r="CF155" i="52"/>
  <c r="DL155" i="52" s="1"/>
  <c r="CH151" i="52"/>
  <c r="CH155" i="52"/>
  <c r="CH153" i="52"/>
  <c r="CC155" i="52"/>
  <c r="DI155" i="52" s="1"/>
  <c r="CC151" i="52"/>
  <c r="DI151" i="52" s="1"/>
  <c r="CC153" i="52"/>
  <c r="DI153" i="52" s="1"/>
  <c r="CE153" i="52"/>
  <c r="DK153" i="52" s="1"/>
  <c r="CE155" i="52"/>
  <c r="DK155" i="52" s="1"/>
  <c r="CE151" i="52"/>
  <c r="DK151" i="52" s="1"/>
  <c r="BX160" i="52"/>
  <c r="DD160" i="52" s="1"/>
  <c r="BX151" i="52"/>
  <c r="BX153" i="52"/>
  <c r="BX155" i="52"/>
  <c r="DD155" i="52" s="1"/>
  <c r="CG153" i="52"/>
  <c r="CG155" i="52"/>
  <c r="CG151" i="52"/>
  <c r="DM151" i="52" s="1"/>
  <c r="CB161" i="52"/>
  <c r="DH161" i="52" s="1"/>
  <c r="CB151" i="52"/>
  <c r="DH151" i="52" s="1"/>
  <c r="CB155" i="52"/>
  <c r="DH155" i="52" s="1"/>
  <c r="CB153" i="52"/>
  <c r="DH153" i="52" s="1"/>
  <c r="BX137" i="52"/>
  <c r="BX135" i="52"/>
  <c r="DD135" i="52" s="1"/>
  <c r="BX139" i="52"/>
  <c r="DD139" i="52" s="1"/>
  <c r="CD135" i="52"/>
  <c r="DJ135" i="52" s="1"/>
  <c r="CD139" i="52"/>
  <c r="CD137" i="52"/>
  <c r="CG139" i="52"/>
  <c r="CG137" i="52"/>
  <c r="DM137" i="52" s="1"/>
  <c r="CG135" i="52"/>
  <c r="DM135" i="52" s="1"/>
  <c r="CF137" i="52"/>
  <c r="DL137" i="52" s="1"/>
  <c r="CF139" i="52"/>
  <c r="DL139" i="52" s="1"/>
  <c r="CF135" i="52"/>
  <c r="DL135" i="52" s="1"/>
  <c r="CE145" i="52"/>
  <c r="DK145" i="52" s="1"/>
  <c r="CE139" i="52"/>
  <c r="DK139" i="52" s="1"/>
  <c r="CE137" i="52"/>
  <c r="DK137" i="52" s="1"/>
  <c r="CE135" i="52"/>
  <c r="DK135" i="52" s="1"/>
  <c r="BV137" i="52"/>
  <c r="DB137" i="52" s="1"/>
  <c r="BV135" i="52"/>
  <c r="DB135" i="52" s="1"/>
  <c r="BV139" i="52"/>
  <c r="DB139" i="52" s="1"/>
  <c r="CC144" i="52"/>
  <c r="DI144" i="52" s="1"/>
  <c r="CC135" i="52"/>
  <c r="DI135" i="52" s="1"/>
  <c r="CC139" i="52"/>
  <c r="DI139" i="52" s="1"/>
  <c r="CC137" i="52"/>
  <c r="DI137" i="52" s="1"/>
  <c r="BZ135" i="52"/>
  <c r="DF135" i="52" s="1"/>
  <c r="BZ139" i="52"/>
  <c r="BZ137" i="52"/>
  <c r="CB137" i="52"/>
  <c r="DH137" i="52" s="1"/>
  <c r="CB135" i="52"/>
  <c r="DH135" i="52" s="1"/>
  <c r="CB139" i="52"/>
  <c r="DH139" i="52" s="1"/>
  <c r="CH137" i="52"/>
  <c r="CH135" i="52"/>
  <c r="CH139" i="52"/>
  <c r="BV119" i="52"/>
  <c r="DB119" i="52" s="1"/>
  <c r="BV123" i="52"/>
  <c r="BV121" i="52"/>
  <c r="BX119" i="52"/>
  <c r="DD119" i="52" s="1"/>
  <c r="BX123" i="52"/>
  <c r="BX121" i="52"/>
  <c r="CD121" i="52"/>
  <c r="CD119" i="52"/>
  <c r="CD123" i="52"/>
  <c r="CB123" i="52"/>
  <c r="CB121" i="52"/>
  <c r="CB119" i="52"/>
  <c r="CE121" i="52"/>
  <c r="CE119" i="52"/>
  <c r="CE123" i="52"/>
  <c r="CG119" i="52"/>
  <c r="CG121" i="52"/>
  <c r="CG123" i="52"/>
  <c r="DM123" i="52" s="1"/>
  <c r="BZ121" i="52"/>
  <c r="BZ119" i="52"/>
  <c r="DF119" i="52" s="1"/>
  <c r="BZ123" i="52"/>
  <c r="BX126" i="52"/>
  <c r="CC121" i="52"/>
  <c r="CC119" i="52"/>
  <c r="CC123" i="52"/>
  <c r="CH119" i="52"/>
  <c r="CH123" i="52"/>
  <c r="CH121" i="52"/>
  <c r="BX131" i="52"/>
  <c r="CF129" i="52"/>
  <c r="CF119" i="52"/>
  <c r="CF123" i="52"/>
  <c r="CF121" i="52"/>
  <c r="CC115" i="52"/>
  <c r="CC103" i="52"/>
  <c r="CC107" i="52"/>
  <c r="CC105" i="52"/>
  <c r="CB103" i="52"/>
  <c r="CB107" i="52"/>
  <c r="CB105" i="52"/>
  <c r="CF105" i="52"/>
  <c r="CF103" i="52"/>
  <c r="CF107" i="52"/>
  <c r="BZ103" i="52"/>
  <c r="DF103" i="52" s="1"/>
  <c r="BZ105" i="52"/>
  <c r="DF105" i="52" s="1"/>
  <c r="BZ107" i="52"/>
  <c r="DF107" i="52" s="1"/>
  <c r="BV105" i="52"/>
  <c r="BV103" i="52"/>
  <c r="DB103" i="52" s="1"/>
  <c r="BV107" i="52"/>
  <c r="CG105" i="52"/>
  <c r="DM105" i="52" s="1"/>
  <c r="CG103" i="52"/>
  <c r="CG107" i="52"/>
  <c r="DM107" i="52" s="1"/>
  <c r="CE107" i="52"/>
  <c r="CE105" i="52"/>
  <c r="CE103" i="52"/>
  <c r="CD110" i="52"/>
  <c r="CD107" i="52"/>
  <c r="CD105" i="52"/>
  <c r="CD103" i="52"/>
  <c r="CH105" i="52"/>
  <c r="CH103" i="52"/>
  <c r="CH107" i="52"/>
  <c r="BX105" i="52"/>
  <c r="DD105" i="52" s="1"/>
  <c r="BX103" i="52"/>
  <c r="DD103" i="52" s="1"/>
  <c r="BX107" i="52"/>
  <c r="CE87" i="52"/>
  <c r="CE89" i="52"/>
  <c r="CE91" i="52"/>
  <c r="BV91" i="52"/>
  <c r="BV89" i="52"/>
  <c r="BV87" i="52"/>
  <c r="CC91" i="52"/>
  <c r="CC87" i="52"/>
  <c r="CC89" i="52"/>
  <c r="CF87" i="52"/>
  <c r="CF91" i="52"/>
  <c r="CF89" i="52"/>
  <c r="CB89" i="52"/>
  <c r="CB91" i="52"/>
  <c r="CB87" i="52"/>
  <c r="CG99" i="52"/>
  <c r="CG91" i="52"/>
  <c r="CG89" i="52"/>
  <c r="CG87" i="52"/>
  <c r="CD96" i="52"/>
  <c r="CD87" i="52"/>
  <c r="CD91" i="52"/>
  <c r="CD89" i="52"/>
  <c r="BX89" i="52"/>
  <c r="BX87" i="52"/>
  <c r="BX91" i="52"/>
  <c r="BZ89" i="52"/>
  <c r="BZ87" i="52"/>
  <c r="BZ91" i="52"/>
  <c r="CH95" i="52"/>
  <c r="CH89" i="52"/>
  <c r="CH87" i="52"/>
  <c r="CH91" i="52"/>
  <c r="CE73" i="52"/>
  <c r="CE75" i="52"/>
  <c r="CE71" i="52"/>
  <c r="BZ78" i="52"/>
  <c r="BZ73" i="52"/>
  <c r="DF73" i="52" s="1"/>
  <c r="BZ75" i="52"/>
  <c r="DF75" i="52" s="1"/>
  <c r="BZ71" i="52"/>
  <c r="DF71" i="52" s="1"/>
  <c r="CB75" i="52"/>
  <c r="CB73" i="52"/>
  <c r="CB71" i="52"/>
  <c r="CH71" i="52"/>
  <c r="CH73" i="52"/>
  <c r="CH75" i="52"/>
  <c r="BX79" i="52"/>
  <c r="BX71" i="52"/>
  <c r="DD71" i="52" s="1"/>
  <c r="BX75" i="52"/>
  <c r="BX73" i="52"/>
  <c r="DD73" i="52" s="1"/>
  <c r="CC77" i="52"/>
  <c r="CC73" i="52"/>
  <c r="CC71" i="52"/>
  <c r="CC75" i="52"/>
  <c r="CG78" i="52"/>
  <c r="CG71" i="52"/>
  <c r="CG75" i="52"/>
  <c r="DM75" i="52" s="1"/>
  <c r="CG73" i="52"/>
  <c r="DM73" i="52" s="1"/>
  <c r="CD82" i="52"/>
  <c r="CD73" i="52"/>
  <c r="CD71" i="52"/>
  <c r="CD75" i="52"/>
  <c r="CF82" i="52"/>
  <c r="CF71" i="52"/>
  <c r="CF75" i="52"/>
  <c r="CF73" i="52"/>
  <c r="BV71" i="52"/>
  <c r="DB71" i="52" s="1"/>
  <c r="BV75" i="52"/>
  <c r="BV73" i="52"/>
  <c r="BV39" i="52"/>
  <c r="DB39" i="52" s="1"/>
  <c r="BV41" i="52"/>
  <c r="BV43" i="52"/>
  <c r="CB39" i="52"/>
  <c r="CB43" i="52"/>
  <c r="CB41" i="52"/>
  <c r="CG43" i="52"/>
  <c r="DM43" i="52" s="1"/>
  <c r="CG41" i="52"/>
  <c r="DM41" i="52" s="1"/>
  <c r="CG39" i="52"/>
  <c r="BZ41" i="52"/>
  <c r="DF41" i="52" s="1"/>
  <c r="BZ43" i="52"/>
  <c r="DF43" i="52" s="1"/>
  <c r="BZ39" i="52"/>
  <c r="DF39" i="52" s="1"/>
  <c r="CD39" i="52"/>
  <c r="CD41" i="52"/>
  <c r="CD43" i="52"/>
  <c r="CH50" i="52"/>
  <c r="CH41" i="52"/>
  <c r="CH39" i="52"/>
  <c r="CH43" i="52"/>
  <c r="CC39" i="52"/>
  <c r="CC43" i="52"/>
  <c r="CC41" i="52"/>
  <c r="CF43" i="52"/>
  <c r="CF41" i="52"/>
  <c r="CF39" i="52"/>
  <c r="CE39" i="52"/>
  <c r="CE43" i="52"/>
  <c r="CE41" i="52"/>
  <c r="BX41" i="52"/>
  <c r="DD41" i="52" s="1"/>
  <c r="BX39" i="52"/>
  <c r="DD39" i="52" s="1"/>
  <c r="BX43" i="52"/>
  <c r="CD34" i="52"/>
  <c r="CD23" i="52"/>
  <c r="CD27" i="52"/>
  <c r="CD25" i="52"/>
  <c r="CH27" i="52"/>
  <c r="CH25" i="52"/>
  <c r="CH23" i="52"/>
  <c r="BV25" i="52"/>
  <c r="BV27" i="52"/>
  <c r="BV23" i="52"/>
  <c r="CC27" i="52"/>
  <c r="CC23" i="52"/>
  <c r="CC25" i="52"/>
  <c r="BX36" i="52"/>
  <c r="BX25" i="52"/>
  <c r="BX27" i="52"/>
  <c r="BX23" i="52"/>
  <c r="CG35" i="52"/>
  <c r="CG27" i="52"/>
  <c r="CG25" i="52"/>
  <c r="CG23" i="52"/>
  <c r="CE27" i="52"/>
  <c r="CE23" i="52"/>
  <c r="CE25" i="52"/>
  <c r="BZ29" i="52"/>
  <c r="BZ25" i="52"/>
  <c r="BZ23" i="52"/>
  <c r="BZ27" i="52"/>
  <c r="CB23" i="52"/>
  <c r="CB25" i="52"/>
  <c r="CB27" i="52"/>
  <c r="CF27" i="52"/>
  <c r="CF25" i="52"/>
  <c r="CF23" i="52"/>
  <c r="BX7" i="52"/>
  <c r="BX11" i="52"/>
  <c r="BX9" i="52"/>
  <c r="CF7" i="52"/>
  <c r="DL7" i="52" s="1"/>
  <c r="CF11" i="52"/>
  <c r="DL11" i="52" s="1"/>
  <c r="CF9" i="52"/>
  <c r="DL9" i="52" s="1"/>
  <c r="BV7" i="52"/>
  <c r="BV11" i="52"/>
  <c r="BV9" i="52"/>
  <c r="CH7" i="52"/>
  <c r="CH11" i="52"/>
  <c r="CH9" i="52"/>
  <c r="CE9" i="52"/>
  <c r="CE7" i="52"/>
  <c r="CE11" i="52"/>
  <c r="CC9" i="52"/>
  <c r="CC7" i="52"/>
  <c r="CC11" i="52"/>
  <c r="CG7" i="52"/>
  <c r="CG11" i="52"/>
  <c r="CG9" i="52"/>
  <c r="CD9" i="52"/>
  <c r="CD7" i="52"/>
  <c r="CD11" i="52"/>
  <c r="CB11" i="52"/>
  <c r="CB9" i="52"/>
  <c r="CB7" i="52"/>
  <c r="BZ20" i="52"/>
  <c r="BZ11" i="52"/>
  <c r="BZ9" i="52"/>
  <c r="BZ7" i="52"/>
  <c r="BH89" i="52"/>
  <c r="BH87" i="52"/>
  <c r="BH91" i="52"/>
  <c r="BH96" i="52"/>
  <c r="CN96" i="52" s="1"/>
  <c r="BH93" i="52"/>
  <c r="BH98" i="52"/>
  <c r="CN98" i="52" s="1"/>
  <c r="BH95" i="52"/>
  <c r="BH100" i="52"/>
  <c r="BH94" i="52"/>
  <c r="BH99" i="52"/>
  <c r="CN99" i="52" s="1"/>
  <c r="BH97" i="52"/>
  <c r="CN97" i="52" s="1"/>
  <c r="BK129" i="52"/>
  <c r="BK126" i="52"/>
  <c r="BK131" i="52"/>
  <c r="BK128" i="52"/>
  <c r="BK125" i="52"/>
  <c r="BK127" i="52"/>
  <c r="BK132" i="52"/>
  <c r="BK130" i="52"/>
  <c r="BH27" i="52"/>
  <c r="BH25" i="52"/>
  <c r="BH23" i="52"/>
  <c r="BH30" i="52"/>
  <c r="BH35" i="52"/>
  <c r="CN35" i="52" s="1"/>
  <c r="BH32" i="52"/>
  <c r="CN32" i="52" s="1"/>
  <c r="BH31" i="52"/>
  <c r="BH29" i="52"/>
  <c r="BH34" i="52"/>
  <c r="CN34" i="52" s="1"/>
  <c r="BH36" i="52"/>
  <c r="BH33" i="52"/>
  <c r="CN33" i="52" s="1"/>
  <c r="BH119" i="52"/>
  <c r="BH121" i="52"/>
  <c r="BH123" i="52"/>
  <c r="BH128" i="52"/>
  <c r="CN128" i="52" s="1"/>
  <c r="BH125" i="52"/>
  <c r="BH130" i="52"/>
  <c r="CN130" i="52" s="1"/>
  <c r="BH127" i="52"/>
  <c r="CN127" i="52" s="1"/>
  <c r="BH132" i="52"/>
  <c r="BH126" i="52"/>
  <c r="BH131" i="52"/>
  <c r="CN131" i="52" s="1"/>
  <c r="BH129" i="52"/>
  <c r="CN129" i="52" s="1"/>
  <c r="AC164" i="52"/>
  <c r="BF91" i="52"/>
  <c r="BF89" i="52"/>
  <c r="BF87" i="52"/>
  <c r="BF93" i="52"/>
  <c r="BF100" i="52"/>
  <c r="BF99" i="52"/>
  <c r="CL99" i="52" s="1"/>
  <c r="BF98" i="52"/>
  <c r="CL98" i="52" s="1"/>
  <c r="BF97" i="52"/>
  <c r="CL97" i="52" s="1"/>
  <c r="BF96" i="52"/>
  <c r="CL96" i="52" s="1"/>
  <c r="BF95" i="52"/>
  <c r="BF94" i="52"/>
  <c r="BM123" i="52"/>
  <c r="BM121" i="52"/>
  <c r="BM119" i="52"/>
  <c r="BM127" i="52"/>
  <c r="BM132" i="52"/>
  <c r="BM129" i="52"/>
  <c r="BM126" i="52"/>
  <c r="BM131" i="52"/>
  <c r="BM125" i="52"/>
  <c r="BM130" i="52"/>
  <c r="BM128" i="52"/>
  <c r="CH16" i="52"/>
  <c r="BJ89" i="52"/>
  <c r="BJ87" i="52"/>
  <c r="BJ91" i="52"/>
  <c r="BJ94" i="52"/>
  <c r="BJ99" i="52"/>
  <c r="BJ96" i="52"/>
  <c r="BJ93" i="52"/>
  <c r="BJ98" i="52"/>
  <c r="BJ100" i="52"/>
  <c r="BJ97" i="52"/>
  <c r="BJ95" i="52"/>
  <c r="BJ11" i="52"/>
  <c r="BJ15" i="52"/>
  <c r="BJ19" i="52"/>
  <c r="BI33" i="52"/>
  <c r="CO33" i="52" s="1"/>
  <c r="BI30" i="52"/>
  <c r="BI35" i="52"/>
  <c r="CO35" i="52" s="1"/>
  <c r="BI32" i="52"/>
  <c r="CO32" i="52" s="1"/>
  <c r="BI29" i="52"/>
  <c r="BI31" i="52"/>
  <c r="CO31" i="52" s="1"/>
  <c r="BI34" i="52"/>
  <c r="CO34" i="52" s="1"/>
  <c r="BI36" i="52"/>
  <c r="BR137" i="52"/>
  <c r="CX137" i="52" s="1"/>
  <c r="BR139" i="52"/>
  <c r="BR135" i="52"/>
  <c r="CX135" i="52" s="1"/>
  <c r="BR142" i="52"/>
  <c r="BR147" i="52"/>
  <c r="BR144" i="52"/>
  <c r="CX144" i="52" s="1"/>
  <c r="BR141" i="52"/>
  <c r="BR146" i="52"/>
  <c r="CX146" i="52" s="1"/>
  <c r="BR148" i="52"/>
  <c r="BR145" i="52"/>
  <c r="DN145" i="52" s="1"/>
  <c r="BR143" i="52"/>
  <c r="CX143" i="52" s="1"/>
  <c r="BG35" i="52"/>
  <c r="BG32" i="52"/>
  <c r="CM32" i="52" s="1"/>
  <c r="BG29" i="52"/>
  <c r="BG34" i="52"/>
  <c r="CM34" i="52" s="1"/>
  <c r="BG36" i="52"/>
  <c r="BG31" i="52"/>
  <c r="CM31" i="52" s="1"/>
  <c r="BG33" i="52"/>
  <c r="CM33" i="52" s="1"/>
  <c r="BG30" i="52"/>
  <c r="BY20" i="52"/>
  <c r="BM139" i="52"/>
  <c r="BM137" i="52"/>
  <c r="BM135" i="52"/>
  <c r="BM143" i="52"/>
  <c r="BM148" i="52"/>
  <c r="BM145" i="52"/>
  <c r="BM142" i="52"/>
  <c r="BM147" i="52"/>
  <c r="BM141" i="52"/>
  <c r="BM146" i="52"/>
  <c r="BM144" i="52"/>
  <c r="BI131" i="52"/>
  <c r="CO131" i="52" s="1"/>
  <c r="BI128" i="52"/>
  <c r="CO128" i="52" s="1"/>
  <c r="BI125" i="52"/>
  <c r="BI130" i="52"/>
  <c r="CO130" i="52" s="1"/>
  <c r="BI127" i="52"/>
  <c r="BI129" i="52"/>
  <c r="BI126" i="52"/>
  <c r="BI132" i="52"/>
  <c r="AD164" i="52"/>
  <c r="BJ186" i="52" s="1"/>
  <c r="AM163" i="52"/>
  <c r="AL164" i="52"/>
  <c r="BR186" i="52" s="1"/>
  <c r="CG17" i="52"/>
  <c r="CD18" i="52"/>
  <c r="CB17" i="52"/>
  <c r="BI147" i="52"/>
  <c r="CO147" i="52" s="1"/>
  <c r="BI144" i="52"/>
  <c r="CO144" i="52" s="1"/>
  <c r="BI141" i="52"/>
  <c r="BI146" i="52"/>
  <c r="CO146" i="52" s="1"/>
  <c r="BI143" i="52"/>
  <c r="CO143" i="52" s="1"/>
  <c r="BI145" i="52"/>
  <c r="CO145" i="52" s="1"/>
  <c r="BI142" i="52"/>
  <c r="BI148" i="52"/>
  <c r="BH135" i="52"/>
  <c r="BH139" i="52"/>
  <c r="BH137" i="52"/>
  <c r="BH144" i="52"/>
  <c r="CN144" i="52" s="1"/>
  <c r="BH141" i="52"/>
  <c r="BH146" i="52"/>
  <c r="CN146" i="52" s="1"/>
  <c r="BH143" i="52"/>
  <c r="BH148" i="52"/>
  <c r="BH142" i="52"/>
  <c r="BH147" i="52"/>
  <c r="CN147" i="52" s="1"/>
  <c r="BH145" i="52"/>
  <c r="CN145" i="52" s="1"/>
  <c r="BR27" i="52"/>
  <c r="BR25" i="52"/>
  <c r="CX25" i="52" s="1"/>
  <c r="BR23" i="52"/>
  <c r="CX23" i="52" s="1"/>
  <c r="BR36" i="52"/>
  <c r="BR33" i="52"/>
  <c r="CX33" i="52" s="1"/>
  <c r="BR30" i="52"/>
  <c r="BR35" i="52"/>
  <c r="BR32" i="52"/>
  <c r="CX32" i="52" s="1"/>
  <c r="BR29" i="52"/>
  <c r="BR34" i="52"/>
  <c r="CX34" i="52" s="1"/>
  <c r="BR31" i="52"/>
  <c r="CX31" i="52" s="1"/>
  <c r="AB20" i="52"/>
  <c r="AB151" i="52"/>
  <c r="AB164" i="52" s="1"/>
  <c r="BR11" i="52"/>
  <c r="BR9" i="52"/>
  <c r="CX9" i="52" s="1"/>
  <c r="BR7" i="52"/>
  <c r="BR13" i="52"/>
  <c r="BR17" i="52"/>
  <c r="CX17" i="52" s="1"/>
  <c r="BR15" i="52"/>
  <c r="CX15" i="52" s="1"/>
  <c r="BR14" i="52"/>
  <c r="BR18" i="52"/>
  <c r="CX18" i="52" s="1"/>
  <c r="BR16" i="52"/>
  <c r="CX16" i="52" s="1"/>
  <c r="BR20" i="52"/>
  <c r="BR19" i="52"/>
  <c r="BJ135" i="52"/>
  <c r="BJ139" i="52"/>
  <c r="BJ137" i="52"/>
  <c r="BJ142" i="52"/>
  <c r="BJ147" i="52"/>
  <c r="BJ144" i="52"/>
  <c r="BJ141" i="52"/>
  <c r="BJ146" i="52"/>
  <c r="BJ148" i="52"/>
  <c r="BJ145" i="52"/>
  <c r="BJ143" i="52"/>
  <c r="BG157" i="52"/>
  <c r="BG162" i="52"/>
  <c r="BG159" i="52"/>
  <c r="CM159" i="52" s="1"/>
  <c r="BG164" i="52"/>
  <c r="BG161" i="52"/>
  <c r="CM161" i="52" s="1"/>
  <c r="BG163" i="52"/>
  <c r="CM163" i="52" s="1"/>
  <c r="BG160" i="52"/>
  <c r="CM160" i="52" s="1"/>
  <c r="BG158" i="52"/>
  <c r="BM27" i="52"/>
  <c r="BM25" i="52"/>
  <c r="BM23" i="52"/>
  <c r="BM29" i="52"/>
  <c r="BM34" i="52"/>
  <c r="BM31" i="52"/>
  <c r="BM36" i="52"/>
  <c r="BM30" i="52"/>
  <c r="BM33" i="52"/>
  <c r="BM35" i="52"/>
  <c r="BM32" i="52"/>
  <c r="BJ119" i="52"/>
  <c r="BJ123" i="52"/>
  <c r="BJ121" i="52"/>
  <c r="BJ126" i="52"/>
  <c r="BJ131" i="52"/>
  <c r="BJ128" i="52"/>
  <c r="BJ125" i="52"/>
  <c r="BJ130" i="52"/>
  <c r="BJ132" i="52"/>
  <c r="BJ129" i="52"/>
  <c r="BJ127" i="52"/>
  <c r="BR91" i="52"/>
  <c r="BR89" i="52"/>
  <c r="CX89" i="52" s="1"/>
  <c r="BR87" i="52"/>
  <c r="BR94" i="52"/>
  <c r="BR99" i="52"/>
  <c r="BR96" i="52"/>
  <c r="CX96" i="52" s="1"/>
  <c r="BR93" i="52"/>
  <c r="BR98" i="52"/>
  <c r="CX98" i="52" s="1"/>
  <c r="BR100" i="52"/>
  <c r="BR97" i="52"/>
  <c r="CX97" i="52" s="1"/>
  <c r="BR95" i="52"/>
  <c r="AK164" i="52"/>
  <c r="CA13" i="52"/>
  <c r="DG13" i="52" s="1"/>
  <c r="BM91" i="52"/>
  <c r="BM89" i="52"/>
  <c r="BM87" i="52"/>
  <c r="BM95" i="52"/>
  <c r="BM100" i="52"/>
  <c r="BM97" i="52"/>
  <c r="BM94" i="52"/>
  <c r="BM99" i="52"/>
  <c r="BM93" i="52"/>
  <c r="BM98" i="52"/>
  <c r="BM96" i="52"/>
  <c r="BL13" i="52"/>
  <c r="BL11" i="52"/>
  <c r="BL9" i="52"/>
  <c r="BL7" i="52"/>
  <c r="BL16" i="52"/>
  <c r="BL20" i="52"/>
  <c r="BL18" i="52"/>
  <c r="BL17" i="52"/>
  <c r="BL14" i="52"/>
  <c r="BL15" i="52"/>
  <c r="BL19" i="52"/>
  <c r="BQ91" i="52"/>
  <c r="BQ89" i="52"/>
  <c r="BQ87" i="52"/>
  <c r="CW87" i="52" s="1"/>
  <c r="BQ99" i="52"/>
  <c r="CW99" i="52" s="1"/>
  <c r="BQ96" i="52"/>
  <c r="CW96" i="52" s="1"/>
  <c r="BQ93" i="52"/>
  <c r="BQ98" i="52"/>
  <c r="BQ95" i="52"/>
  <c r="BQ97" i="52"/>
  <c r="CW97" i="52" s="1"/>
  <c r="BQ94" i="52"/>
  <c r="BQ100" i="52"/>
  <c r="BM11" i="52"/>
  <c r="BM9" i="52"/>
  <c r="BM7" i="52"/>
  <c r="BM15" i="52"/>
  <c r="BM19" i="52"/>
  <c r="BM16" i="52"/>
  <c r="BM20" i="52"/>
  <c r="BM13" i="52"/>
  <c r="BM17" i="52"/>
  <c r="BM14" i="52"/>
  <c r="BM18" i="52"/>
  <c r="AK20" i="52"/>
  <c r="BR123" i="52"/>
  <c r="BR121" i="52"/>
  <c r="BR119" i="52"/>
  <c r="CX119" i="52" s="1"/>
  <c r="BR126" i="52"/>
  <c r="BR131" i="52"/>
  <c r="CX131" i="52" s="1"/>
  <c r="BR128" i="52"/>
  <c r="CX128" i="52" s="1"/>
  <c r="BR125" i="52"/>
  <c r="BR130" i="52"/>
  <c r="CX130" i="52" s="1"/>
  <c r="BR132" i="52"/>
  <c r="BR129" i="52"/>
  <c r="CX129" i="52" s="1"/>
  <c r="BR127" i="52"/>
  <c r="CX127" i="52" s="1"/>
  <c r="BF11" i="52"/>
  <c r="BF9" i="52"/>
  <c r="CL9" i="52" s="1"/>
  <c r="BF7" i="52"/>
  <c r="BF13" i="52"/>
  <c r="BF20" i="52"/>
  <c r="BF16" i="52"/>
  <c r="BF19" i="52"/>
  <c r="CL19" i="52" s="1"/>
  <c r="BF18" i="52"/>
  <c r="CL18" i="52" s="1"/>
  <c r="BF17" i="52"/>
  <c r="CL17" i="52" s="1"/>
  <c r="BF15" i="52"/>
  <c r="CL15" i="52" s="1"/>
  <c r="BF14" i="52"/>
  <c r="BW15" i="52"/>
  <c r="BL155" i="52"/>
  <c r="BL153" i="52"/>
  <c r="BL151" i="52"/>
  <c r="BL164" i="52"/>
  <c r="BL161" i="52"/>
  <c r="BL158" i="52"/>
  <c r="BL163" i="52"/>
  <c r="BL160" i="52"/>
  <c r="BL162" i="52"/>
  <c r="BL159" i="52"/>
  <c r="BL157" i="52"/>
  <c r="BJ27" i="52"/>
  <c r="BJ25" i="52"/>
  <c r="BJ23" i="52"/>
  <c r="BJ36" i="52"/>
  <c r="BJ33" i="52"/>
  <c r="BJ30" i="52"/>
  <c r="BJ35" i="52"/>
  <c r="BJ32" i="52"/>
  <c r="BJ34" i="52"/>
  <c r="BJ29" i="52"/>
  <c r="BJ31" i="52"/>
  <c r="AG164" i="52"/>
  <c r="BM180" i="52" s="1"/>
  <c r="AM158" i="52"/>
  <c r="BK145" i="52"/>
  <c r="BK142" i="52"/>
  <c r="BK147" i="52"/>
  <c r="BK144" i="52"/>
  <c r="BK141" i="52"/>
  <c r="BK143" i="52"/>
  <c r="BK148" i="52"/>
  <c r="BK146" i="52"/>
  <c r="Z164" i="52"/>
  <c r="BF186" i="52" s="1"/>
  <c r="CB33" i="52"/>
  <c r="AQ163" i="53"/>
  <c r="AQ159" i="53"/>
  <c r="CH99" i="52"/>
  <c r="CH97" i="52"/>
  <c r="CB35" i="52"/>
  <c r="BR180" i="53"/>
  <c r="CB177" i="53" s="1"/>
  <c r="BR182" i="53"/>
  <c r="CD177" i="53" s="1"/>
  <c r="BR186" i="53"/>
  <c r="CI177" i="53" s="1"/>
  <c r="BR187" i="53"/>
  <c r="CJ177" i="53" s="1"/>
  <c r="CE157" i="52"/>
  <c r="DK157" i="52" s="1"/>
  <c r="BT198" i="53"/>
  <c r="CC196" i="53" s="1"/>
  <c r="BR188" i="53"/>
  <c r="CK177" i="53" s="1"/>
  <c r="BT200" i="53"/>
  <c r="CE196" i="53" s="1"/>
  <c r="BT201" i="53"/>
  <c r="CG196" i="53" s="1"/>
  <c r="BR179" i="53"/>
  <c r="CA177" i="53" s="1"/>
  <c r="BT202" i="53"/>
  <c r="CH196" i="53" s="1"/>
  <c r="BT196" i="53"/>
  <c r="CA196" i="53" s="1"/>
  <c r="BT204" i="53"/>
  <c r="CJ196" i="53" s="1"/>
  <c r="BT194" i="53"/>
  <c r="BY196" i="53" s="1"/>
  <c r="BT203" i="53"/>
  <c r="CI196" i="53" s="1"/>
  <c r="BR184" i="53"/>
  <c r="CG177" i="53" s="1"/>
  <c r="BT197" i="53"/>
  <c r="CB196" i="53" s="1"/>
  <c r="CF132" i="52"/>
  <c r="BT199" i="53"/>
  <c r="CD196" i="53" s="1"/>
  <c r="BR183" i="53"/>
  <c r="CE177" i="53" s="1"/>
  <c r="BR181" i="53"/>
  <c r="CC177" i="53" s="1"/>
  <c r="BT195" i="53"/>
  <c r="BZ196" i="53" s="1"/>
  <c r="AW151" i="53"/>
  <c r="AW152" i="53"/>
  <c r="AW66" i="53"/>
  <c r="AW67" i="53"/>
  <c r="AW189" i="53"/>
  <c r="BC189" i="53" s="1"/>
  <c r="D164" i="52"/>
  <c r="AQ206" i="53"/>
  <c r="AW206" i="53"/>
  <c r="BC206" i="53" s="1"/>
  <c r="AQ172" i="53"/>
  <c r="AQ169" i="53"/>
  <c r="AQ168" i="53"/>
  <c r="AQ167" i="53"/>
  <c r="AQ171" i="53"/>
  <c r="AQ166" i="53"/>
  <c r="AQ165" i="53"/>
  <c r="AK189" i="53"/>
  <c r="AK206" i="53"/>
  <c r="AQ170" i="53"/>
  <c r="AM7" i="52"/>
  <c r="AM152" i="52"/>
  <c r="AM8" i="52"/>
  <c r="CV90" i="52"/>
  <c r="BX34" i="52"/>
  <c r="BX29" i="52"/>
  <c r="BX33" i="52"/>
  <c r="BX30" i="52"/>
  <c r="BX31" i="52"/>
  <c r="BX32" i="52"/>
  <c r="BX35" i="52"/>
  <c r="CV88" i="52"/>
  <c r="P159" i="52"/>
  <c r="U159" i="52" s="1"/>
  <c r="U111" i="52"/>
  <c r="U63" i="52"/>
  <c r="U47" i="52"/>
  <c r="U79" i="52"/>
  <c r="P161" i="52"/>
  <c r="W49" i="52"/>
  <c r="W65" i="52"/>
  <c r="W113" i="52"/>
  <c r="W81" i="52"/>
  <c r="U127" i="52"/>
  <c r="W145" i="52"/>
  <c r="P160" i="52"/>
  <c r="V80" i="52"/>
  <c r="V112" i="52"/>
  <c r="V64" i="52"/>
  <c r="V48" i="52"/>
  <c r="V144" i="52"/>
  <c r="U143" i="52"/>
  <c r="W97" i="52"/>
  <c r="M164" i="52"/>
  <c r="V128" i="52"/>
  <c r="U31" i="52"/>
  <c r="W129" i="52"/>
  <c r="W33" i="52"/>
  <c r="CM122" i="52"/>
  <c r="V32" i="52"/>
  <c r="U15" i="52"/>
  <c r="W17" i="52"/>
  <c r="V96" i="52"/>
  <c r="L164" i="52"/>
  <c r="C164" i="52"/>
  <c r="CH93" i="52"/>
  <c r="CH98" i="52"/>
  <c r="CH96" i="52"/>
  <c r="CO20" i="52"/>
  <c r="CH100" i="52"/>
  <c r="CH94" i="52"/>
  <c r="CG81" i="52"/>
  <c r="CT26" i="52"/>
  <c r="BX130" i="52"/>
  <c r="CF126" i="52"/>
  <c r="CA142" i="52"/>
  <c r="DG142" i="52" s="1"/>
  <c r="CF127" i="52"/>
  <c r="BY126" i="52"/>
  <c r="P151" i="52"/>
  <c r="P154" i="52"/>
  <c r="O164" i="52"/>
  <c r="BX132" i="52"/>
  <c r="CF130" i="52"/>
  <c r="BY130" i="52"/>
  <c r="CF16" i="52"/>
  <c r="BY131" i="52"/>
  <c r="CF125" i="52"/>
  <c r="CE81" i="52"/>
  <c r="CL8" i="52"/>
  <c r="CF131" i="52"/>
  <c r="CF128" i="52"/>
  <c r="BX158" i="52"/>
  <c r="DD158" i="52" s="1"/>
  <c r="CG84" i="52"/>
  <c r="CW84" i="52" s="1"/>
  <c r="BX161" i="52"/>
  <c r="DD161" i="52" s="1"/>
  <c r="CC78" i="52"/>
  <c r="DI78" i="52" s="1"/>
  <c r="CC79" i="52"/>
  <c r="CT24" i="52"/>
  <c r="CC81" i="52"/>
  <c r="G164" i="52"/>
  <c r="P157" i="52"/>
  <c r="CH147" i="52"/>
  <c r="DN147" i="52" s="1"/>
  <c r="CC113" i="52"/>
  <c r="CG79" i="52"/>
  <c r="CH146" i="52"/>
  <c r="CC112" i="52"/>
  <c r="CG83" i="52"/>
  <c r="BZ17" i="52"/>
  <c r="F164" i="52"/>
  <c r="P162" i="52"/>
  <c r="P152" i="52"/>
  <c r="P156" i="52"/>
  <c r="P155" i="52"/>
  <c r="P153" i="52"/>
  <c r="BV164" i="52"/>
  <c r="CC116" i="52"/>
  <c r="CC114" i="52"/>
  <c r="CC110" i="52"/>
  <c r="DI110" i="52" s="1"/>
  <c r="H164" i="52"/>
  <c r="BV160" i="52"/>
  <c r="DB160" i="52" s="1"/>
  <c r="CC111" i="52"/>
  <c r="CH141" i="52"/>
  <c r="CC109" i="52"/>
  <c r="CG77" i="52"/>
  <c r="DM77" i="52" s="1"/>
  <c r="BV158" i="52"/>
  <c r="DB158" i="52" s="1"/>
  <c r="BV157" i="52"/>
  <c r="DB157" i="52" s="1"/>
  <c r="CH144" i="52"/>
  <c r="BY114" i="52"/>
  <c r="CB32" i="52"/>
  <c r="K164" i="52"/>
  <c r="BV161" i="52"/>
  <c r="DB161" i="52" s="1"/>
  <c r="BV162" i="52"/>
  <c r="DB162" i="52" s="1"/>
  <c r="CH148" i="52"/>
  <c r="CB36" i="52"/>
  <c r="N164" i="52"/>
  <c r="BV159" i="52"/>
  <c r="DB159" i="52" s="1"/>
  <c r="CW88" i="52"/>
  <c r="BZ93" i="52"/>
  <c r="DF93" i="52" s="1"/>
  <c r="CH142" i="52"/>
  <c r="BY115" i="52"/>
  <c r="CB34" i="52"/>
  <c r="CH162" i="52"/>
  <c r="CH143" i="52"/>
  <c r="DN143" i="52" s="1"/>
  <c r="CD84" i="52"/>
  <c r="CB30" i="52"/>
  <c r="CT88" i="52"/>
  <c r="CB29" i="52"/>
  <c r="DH29" i="52" s="1"/>
  <c r="CB31" i="52"/>
  <c r="E164" i="52"/>
  <c r="CN154" i="52" s="1"/>
  <c r="CM35" i="52"/>
  <c r="CW95" i="52"/>
  <c r="CO16" i="52"/>
  <c r="BX127" i="52"/>
  <c r="BY127" i="52"/>
  <c r="BX128" i="52"/>
  <c r="BX125" i="52"/>
  <c r="CO122" i="52"/>
  <c r="BY125" i="52"/>
  <c r="DE125" i="52" s="1"/>
  <c r="BX129" i="52"/>
  <c r="BY128" i="52"/>
  <c r="BY129" i="52"/>
  <c r="BY132" i="52"/>
  <c r="CA95" i="52"/>
  <c r="BZ83" i="52"/>
  <c r="CG80" i="52"/>
  <c r="CG82" i="52"/>
  <c r="DM82" i="52" s="1"/>
  <c r="BZ77" i="52"/>
  <c r="DF77" i="52" s="1"/>
  <c r="CD77" i="52"/>
  <c r="CL90" i="52"/>
  <c r="CM82" i="52"/>
  <c r="CM80" i="52"/>
  <c r="CA94" i="52"/>
  <c r="BZ79" i="52"/>
  <c r="CD20" i="52"/>
  <c r="CT120" i="52"/>
  <c r="CA99" i="52"/>
  <c r="BZ81" i="52"/>
  <c r="BZ84" i="52"/>
  <c r="CA97" i="52"/>
  <c r="BZ80" i="52"/>
  <c r="CT122" i="52"/>
  <c r="CA98" i="52"/>
  <c r="CA93" i="52"/>
  <c r="CA96" i="52"/>
  <c r="BZ82" i="52"/>
  <c r="CA100" i="52"/>
  <c r="BV67" i="52"/>
  <c r="BV63" i="52"/>
  <c r="BV62" i="52"/>
  <c r="BV61" i="52"/>
  <c r="BV64" i="52"/>
  <c r="BV66" i="52"/>
  <c r="BV68" i="52"/>
  <c r="BV65" i="52"/>
  <c r="CF80" i="52"/>
  <c r="CE82" i="52"/>
  <c r="CO65" i="52"/>
  <c r="CO64" i="52"/>
  <c r="CO67" i="52"/>
  <c r="CO63" i="52"/>
  <c r="CO66" i="52"/>
  <c r="BW45" i="52"/>
  <c r="CF20" i="52"/>
  <c r="CM66" i="52"/>
  <c r="CM58" i="52"/>
  <c r="CM65" i="52"/>
  <c r="CM57" i="52"/>
  <c r="CM68" i="52"/>
  <c r="CM64" i="52"/>
  <c r="CM56" i="52"/>
  <c r="CM67" i="52"/>
  <c r="CM63" i="52"/>
  <c r="CM55" i="52"/>
  <c r="CM127" i="52"/>
  <c r="CE80" i="52"/>
  <c r="CE84" i="52"/>
  <c r="BW47" i="52"/>
  <c r="BW49" i="52"/>
  <c r="CF18" i="52"/>
  <c r="DL18" i="52" s="1"/>
  <c r="CV56" i="52"/>
  <c r="CV58" i="52"/>
  <c r="CM131" i="52"/>
  <c r="CM128" i="52"/>
  <c r="CM120" i="52"/>
  <c r="CM130" i="52"/>
  <c r="CF78" i="52"/>
  <c r="CC68" i="52"/>
  <c r="CC64" i="52"/>
  <c r="CC67" i="52"/>
  <c r="CC63" i="52"/>
  <c r="CC62" i="52"/>
  <c r="DI62" i="52" s="1"/>
  <c r="CC61" i="52"/>
  <c r="CC66" i="52"/>
  <c r="CC65" i="52"/>
  <c r="BW48" i="52"/>
  <c r="CU58" i="52"/>
  <c r="CU56" i="52"/>
  <c r="CF14" i="52"/>
  <c r="CH65" i="52"/>
  <c r="CH68" i="52"/>
  <c r="CH64" i="52"/>
  <c r="CH66" i="52"/>
  <c r="CH67" i="52"/>
  <c r="DN67" i="52" s="1"/>
  <c r="CH63" i="52"/>
  <c r="CH62" i="52"/>
  <c r="CH61" i="52"/>
  <c r="CM121" i="52"/>
  <c r="CF79" i="52"/>
  <c r="CE78" i="52"/>
  <c r="CB68" i="52"/>
  <c r="CB64" i="52"/>
  <c r="CB65" i="52"/>
  <c r="CB67" i="52"/>
  <c r="CB63" i="52"/>
  <c r="CB62" i="52"/>
  <c r="CB61" i="52"/>
  <c r="DH61" i="52" s="1"/>
  <c r="CB66" i="52"/>
  <c r="CF67" i="52"/>
  <c r="CF66" i="52"/>
  <c r="DL66" i="52" s="1"/>
  <c r="CF63" i="52"/>
  <c r="CF61" i="52"/>
  <c r="CF65" i="52"/>
  <c r="DL65" i="52" s="1"/>
  <c r="CF62" i="52"/>
  <c r="CF68" i="52"/>
  <c r="CF64" i="52"/>
  <c r="CF13" i="52"/>
  <c r="DL13" i="52" s="1"/>
  <c r="CF15" i="52"/>
  <c r="DL15" i="52" s="1"/>
  <c r="BW46" i="52"/>
  <c r="BW67" i="52"/>
  <c r="BW63" i="52"/>
  <c r="BW62" i="52"/>
  <c r="BW61" i="52"/>
  <c r="BW66" i="52"/>
  <c r="BW65" i="52"/>
  <c r="BW68" i="52"/>
  <c r="BW64" i="52"/>
  <c r="CM129" i="52"/>
  <c r="CF77" i="52"/>
  <c r="CF83" i="52"/>
  <c r="CE79" i="52"/>
  <c r="CG66" i="52"/>
  <c r="DM66" i="52" s="1"/>
  <c r="CG65" i="52"/>
  <c r="CG68" i="52"/>
  <c r="CG64" i="52"/>
  <c r="CG67" i="52"/>
  <c r="CG63" i="52"/>
  <c r="CG62" i="52"/>
  <c r="CG61" i="52"/>
  <c r="DM61" i="52" s="1"/>
  <c r="BW51" i="52"/>
  <c r="BW50" i="52"/>
  <c r="CW65" i="52"/>
  <c r="CW57" i="52"/>
  <c r="CW64" i="52"/>
  <c r="CW56" i="52"/>
  <c r="CW67" i="52"/>
  <c r="CW63" i="52"/>
  <c r="CW55" i="52"/>
  <c r="CW66" i="52"/>
  <c r="CW58" i="52"/>
  <c r="CN58" i="52"/>
  <c r="CN64" i="52"/>
  <c r="CN56" i="52"/>
  <c r="CN67" i="52"/>
  <c r="CN63" i="52"/>
  <c r="CF17" i="52"/>
  <c r="CF19" i="52"/>
  <c r="CA46" i="52"/>
  <c r="CA65" i="52"/>
  <c r="CA68" i="52"/>
  <c r="CA64" i="52"/>
  <c r="CA67" i="52"/>
  <c r="CA63" i="52"/>
  <c r="CA62" i="52"/>
  <c r="CA61" i="52"/>
  <c r="DG61" i="52" s="1"/>
  <c r="CA66" i="52"/>
  <c r="CE50" i="52"/>
  <c r="DK50" i="52" s="1"/>
  <c r="CE67" i="52"/>
  <c r="CE63" i="52"/>
  <c r="CE62" i="52"/>
  <c r="CE61" i="52"/>
  <c r="CE66" i="52"/>
  <c r="DK66" i="52" s="1"/>
  <c r="CE65" i="52"/>
  <c r="CE68" i="52"/>
  <c r="CE64" i="52"/>
  <c r="DK64" i="52" s="1"/>
  <c r="CL66" i="52"/>
  <c r="CL58" i="52"/>
  <c r="CL55" i="52"/>
  <c r="CL65" i="52"/>
  <c r="CL57" i="52"/>
  <c r="CL67" i="52"/>
  <c r="CL63" i="52"/>
  <c r="CL68" i="52"/>
  <c r="CL64" i="52"/>
  <c r="CL56" i="52"/>
  <c r="CF81" i="52"/>
  <c r="CF84" i="52"/>
  <c r="CE77" i="52"/>
  <c r="CE83" i="52"/>
  <c r="BZ65" i="52"/>
  <c r="BZ66" i="52"/>
  <c r="BZ68" i="52"/>
  <c r="BZ64" i="52"/>
  <c r="BZ67" i="52"/>
  <c r="BZ63" i="52"/>
  <c r="BZ62" i="52"/>
  <c r="BZ61" i="52"/>
  <c r="DF61" i="52" s="1"/>
  <c r="CX68" i="52"/>
  <c r="CX64" i="52"/>
  <c r="CX56" i="52"/>
  <c r="CX63" i="52"/>
  <c r="CX65" i="52"/>
  <c r="CX66" i="52"/>
  <c r="CX58" i="52"/>
  <c r="CX57" i="52"/>
  <c r="BY66" i="52"/>
  <c r="BY65" i="52"/>
  <c r="BY68" i="52"/>
  <c r="BY64" i="52"/>
  <c r="BY67" i="52"/>
  <c r="BY63" i="52"/>
  <c r="BY62" i="52"/>
  <c r="BY61" i="52"/>
  <c r="DE61" i="52" s="1"/>
  <c r="CD52" i="52"/>
  <c r="CD67" i="52"/>
  <c r="CD63" i="52"/>
  <c r="DJ63" i="52" s="1"/>
  <c r="CD62" i="52"/>
  <c r="CD61" i="52"/>
  <c r="CD64" i="52"/>
  <c r="CD66" i="52"/>
  <c r="DJ66" i="52" s="1"/>
  <c r="CD65" i="52"/>
  <c r="CD68" i="52"/>
  <c r="CT58" i="52"/>
  <c r="CT56" i="52"/>
  <c r="BX48" i="52"/>
  <c r="BX61" i="52"/>
  <c r="DD61" i="52" s="1"/>
  <c r="BX66" i="52"/>
  <c r="BX67" i="52"/>
  <c r="BX65" i="52"/>
  <c r="BX63" i="52"/>
  <c r="BX68" i="52"/>
  <c r="BX64" i="52"/>
  <c r="BX62" i="52"/>
  <c r="CX8" i="52"/>
  <c r="BZ19" i="52"/>
  <c r="CE45" i="52"/>
  <c r="CW10" i="52"/>
  <c r="CE46" i="52"/>
  <c r="CE48" i="52"/>
  <c r="CE47" i="52"/>
  <c r="CE51" i="52"/>
  <c r="CW8" i="52"/>
  <c r="CE52" i="52"/>
  <c r="CE49" i="52"/>
  <c r="CA45" i="52"/>
  <c r="DG45" i="52" s="1"/>
  <c r="CT40" i="52"/>
  <c r="BX51" i="52"/>
  <c r="BX52" i="52"/>
  <c r="CB93" i="52"/>
  <c r="CB94" i="52"/>
  <c r="CN8" i="52"/>
  <c r="CN10" i="52"/>
  <c r="BW36" i="52"/>
  <c r="CD109" i="52"/>
  <c r="BX159" i="52"/>
  <c r="DD159" i="52" s="1"/>
  <c r="BX164" i="52"/>
  <c r="BX157" i="52"/>
  <c r="CE143" i="52"/>
  <c r="DK143" i="52" s="1"/>
  <c r="BW111" i="52"/>
  <c r="CC83" i="52"/>
  <c r="CC16" i="52"/>
  <c r="BX162" i="52"/>
  <c r="DD162" i="52" s="1"/>
  <c r="CE147" i="52"/>
  <c r="DK147" i="52" s="1"/>
  <c r="CU136" i="52"/>
  <c r="BX77" i="52"/>
  <c r="DD77" i="52" s="1"/>
  <c r="CC18" i="52"/>
  <c r="CE146" i="52"/>
  <c r="DK146" i="52" s="1"/>
  <c r="BX83" i="52"/>
  <c r="CW73" i="52"/>
  <c r="CC80" i="52"/>
  <c r="CC82" i="52"/>
  <c r="BX163" i="52"/>
  <c r="DD163" i="52" s="1"/>
  <c r="CE144" i="52"/>
  <c r="CU138" i="52"/>
  <c r="CC84" i="52"/>
  <c r="CE148" i="52"/>
  <c r="CE141" i="52"/>
  <c r="DK141" i="52" s="1"/>
  <c r="BZ33" i="52"/>
  <c r="CE142" i="52"/>
  <c r="DK142" i="52" s="1"/>
  <c r="BY78" i="52"/>
  <c r="BX81" i="52"/>
  <c r="CE30" i="52"/>
  <c r="BZ30" i="52"/>
  <c r="CB19" i="52"/>
  <c r="BY79" i="52"/>
  <c r="BX82" i="52"/>
  <c r="BZ31" i="52"/>
  <c r="CA82" i="52"/>
  <c r="BY77" i="52"/>
  <c r="DE77" i="52" s="1"/>
  <c r="BY83" i="52"/>
  <c r="BX80" i="52"/>
  <c r="BX84" i="52"/>
  <c r="CN84" i="52" s="1"/>
  <c r="BZ35" i="52"/>
  <c r="BY81" i="52"/>
  <c r="BY84" i="52"/>
  <c r="BW19" i="52"/>
  <c r="CE162" i="52"/>
  <c r="DK162" i="52" s="1"/>
  <c r="BZ34" i="52"/>
  <c r="CD98" i="52"/>
  <c r="BY80" i="52"/>
  <c r="BX78" i="52"/>
  <c r="BZ32" i="52"/>
  <c r="CD163" i="52"/>
  <c r="DJ163" i="52" s="1"/>
  <c r="CO73" i="52"/>
  <c r="BV36" i="52"/>
  <c r="BZ36" i="52"/>
  <c r="CE31" i="52"/>
  <c r="CE35" i="52"/>
  <c r="CE36" i="52"/>
  <c r="CW82" i="52"/>
  <c r="CW80" i="52"/>
  <c r="CB18" i="52"/>
  <c r="CB15" i="52"/>
  <c r="CA15" i="52"/>
  <c r="CE32" i="52"/>
  <c r="CW72" i="52"/>
  <c r="BY112" i="52"/>
  <c r="BY113" i="52"/>
  <c r="CA77" i="52"/>
  <c r="DG77" i="52" s="1"/>
  <c r="CE34" i="52"/>
  <c r="DK34" i="52" s="1"/>
  <c r="CW83" i="52"/>
  <c r="CB16" i="52"/>
  <c r="CA17" i="52"/>
  <c r="CO17" i="52"/>
  <c r="BZ18" i="52"/>
  <c r="BZ15" i="52"/>
  <c r="CD14" i="52"/>
  <c r="CA83" i="52"/>
  <c r="CW71" i="52"/>
  <c r="CB14" i="52"/>
  <c r="CB20" i="52"/>
  <c r="CO19" i="52"/>
  <c r="CO15" i="52"/>
  <c r="CD13" i="52"/>
  <c r="CD15" i="52"/>
  <c r="CW74" i="52"/>
  <c r="CA161" i="52"/>
  <c r="DG161" i="52" s="1"/>
  <c r="CA81" i="52"/>
  <c r="BZ14" i="52"/>
  <c r="BZ16" i="52"/>
  <c r="CD17" i="52"/>
  <c r="CD19" i="52"/>
  <c r="CB13" i="52"/>
  <c r="BY116" i="52"/>
  <c r="CE29" i="52"/>
  <c r="CX26" i="52"/>
  <c r="CO18" i="52"/>
  <c r="CA84" i="52"/>
  <c r="BY109" i="52"/>
  <c r="DE109" i="52" s="1"/>
  <c r="CA80" i="52"/>
  <c r="CE33" i="52"/>
  <c r="CW79" i="52"/>
  <c r="BZ13" i="52"/>
  <c r="CD16" i="52"/>
  <c r="CA164" i="52"/>
  <c r="CM114" i="52"/>
  <c r="BV18" i="52"/>
  <c r="CA19" i="52"/>
  <c r="CA157" i="52"/>
  <c r="BV20" i="52"/>
  <c r="CA20" i="52"/>
  <c r="CA16" i="52"/>
  <c r="CM113" i="52"/>
  <c r="CH14" i="52"/>
  <c r="BV14" i="52"/>
  <c r="CA159" i="52"/>
  <c r="DG159" i="52" s="1"/>
  <c r="CA163" i="52"/>
  <c r="DG163" i="52" s="1"/>
  <c r="CM111" i="52"/>
  <c r="CM112" i="52"/>
  <c r="BV15" i="52"/>
  <c r="CA18" i="52"/>
  <c r="CA162" i="52"/>
  <c r="DG162" i="52" s="1"/>
  <c r="CM105" i="52"/>
  <c r="BV17" i="52"/>
  <c r="BV19" i="52"/>
  <c r="CM106" i="52"/>
  <c r="CA160" i="52"/>
  <c r="DG160" i="52" s="1"/>
  <c r="BV13" i="52"/>
  <c r="CA158" i="52"/>
  <c r="DG158" i="52" s="1"/>
  <c r="CD50" i="52"/>
  <c r="BV16" i="52"/>
  <c r="CA14" i="52"/>
  <c r="BW82" i="52"/>
  <c r="CD114" i="52"/>
  <c r="BW81" i="52"/>
  <c r="CO79" i="52"/>
  <c r="BW80" i="52"/>
  <c r="BW84" i="52"/>
  <c r="CH18" i="52"/>
  <c r="CO81" i="52"/>
  <c r="CO83" i="52"/>
  <c r="CH17" i="52"/>
  <c r="CD115" i="52"/>
  <c r="CD113" i="52"/>
  <c r="CO74" i="52"/>
  <c r="CH20" i="52"/>
  <c r="CH13" i="52"/>
  <c r="CD29" i="52"/>
  <c r="CD112" i="52"/>
  <c r="CM71" i="52"/>
  <c r="CO80" i="52"/>
  <c r="BW78" i="52"/>
  <c r="CB164" i="52"/>
  <c r="CD116" i="52"/>
  <c r="CO82" i="52"/>
  <c r="BW79" i="52"/>
  <c r="CH19" i="52"/>
  <c r="BW77" i="52"/>
  <c r="CH15" i="52"/>
  <c r="CT42" i="52"/>
  <c r="CL74" i="52"/>
  <c r="CL72" i="52"/>
  <c r="BV34" i="52"/>
  <c r="CA47" i="52"/>
  <c r="CG93" i="52"/>
  <c r="CL81" i="52"/>
  <c r="CL80" i="52"/>
  <c r="BV30" i="52"/>
  <c r="BV29" i="52"/>
  <c r="BV31" i="52"/>
  <c r="CG94" i="52"/>
  <c r="CG97" i="52"/>
  <c r="BV35" i="52"/>
  <c r="CG95" i="52"/>
  <c r="CG98" i="52"/>
  <c r="BV33" i="52"/>
  <c r="CG96" i="52"/>
  <c r="CG100" i="52"/>
  <c r="CT72" i="52"/>
  <c r="CT74" i="52"/>
  <c r="BV32" i="52"/>
  <c r="CB95" i="52"/>
  <c r="CM47" i="52"/>
  <c r="CM42" i="52"/>
  <c r="CL10" i="52"/>
  <c r="CX136" i="52"/>
  <c r="BZ94" i="52"/>
  <c r="BZ100" i="52"/>
  <c r="CM73" i="52"/>
  <c r="CD45" i="52"/>
  <c r="CM49" i="52"/>
  <c r="CM48" i="52"/>
  <c r="CL16" i="52"/>
  <c r="CX138" i="52"/>
  <c r="CU120" i="52"/>
  <c r="CB99" i="52"/>
  <c r="BZ95" i="52"/>
  <c r="BZ99" i="52"/>
  <c r="CD47" i="52"/>
  <c r="CM40" i="52"/>
  <c r="CM52" i="52"/>
  <c r="CA78" i="52"/>
  <c r="CB97" i="52"/>
  <c r="CB96" i="52"/>
  <c r="CM51" i="52"/>
  <c r="CM50" i="52"/>
  <c r="CU122" i="52"/>
  <c r="CB98" i="52"/>
  <c r="CB100" i="52"/>
  <c r="BZ96" i="52"/>
  <c r="CM79" i="52"/>
  <c r="CD48" i="52"/>
  <c r="CM39" i="52"/>
  <c r="CT90" i="52"/>
  <c r="BZ97" i="52"/>
  <c r="CM81" i="52"/>
  <c r="CM83" i="52"/>
  <c r="CD46" i="52"/>
  <c r="CD51" i="52"/>
  <c r="CM41" i="52"/>
  <c r="BZ98" i="52"/>
  <c r="CD49" i="52"/>
  <c r="BV148" i="52"/>
  <c r="BW96" i="52"/>
  <c r="BW100" i="52"/>
  <c r="BX50" i="52"/>
  <c r="CL42" i="52"/>
  <c r="BY18" i="52"/>
  <c r="CA79" i="52"/>
  <c r="CE163" i="52"/>
  <c r="DK163" i="52" s="1"/>
  <c r="CA141" i="52"/>
  <c r="DG141" i="52" s="1"/>
  <c r="CA147" i="52"/>
  <c r="DG147" i="52" s="1"/>
  <c r="BW94" i="52"/>
  <c r="CL49" i="52"/>
  <c r="CL48" i="52"/>
  <c r="CD35" i="52"/>
  <c r="CD33" i="52"/>
  <c r="CA148" i="52"/>
  <c r="BW93" i="52"/>
  <c r="BW95" i="52"/>
  <c r="CD78" i="52"/>
  <c r="CM26" i="52"/>
  <c r="BY16" i="52"/>
  <c r="BX45" i="52"/>
  <c r="DD45" i="52" s="1"/>
  <c r="CL40" i="52"/>
  <c r="CV10" i="52"/>
  <c r="CD30" i="52"/>
  <c r="CD32" i="52"/>
  <c r="CA145" i="52"/>
  <c r="DG145" i="52" s="1"/>
  <c r="CA146" i="52"/>
  <c r="DG146" i="52" s="1"/>
  <c r="BW98" i="52"/>
  <c r="CD79" i="52"/>
  <c r="BY19" i="52"/>
  <c r="CL51" i="52"/>
  <c r="CL50" i="52"/>
  <c r="CM25" i="52"/>
  <c r="CD36" i="52"/>
  <c r="BW99" i="52"/>
  <c r="CD83" i="52"/>
  <c r="BY15" i="52"/>
  <c r="CL47" i="52"/>
  <c r="BY17" i="52"/>
  <c r="BX46" i="52"/>
  <c r="BX49" i="52"/>
  <c r="CA143" i="52"/>
  <c r="DG143" i="52" s="1"/>
  <c r="CE160" i="52"/>
  <c r="CE161" i="52"/>
  <c r="DK161" i="52" s="1"/>
  <c r="CA144" i="52"/>
  <c r="DG144" i="52" s="1"/>
  <c r="CN120" i="52"/>
  <c r="BY14" i="52"/>
  <c r="BX47" i="52"/>
  <c r="CD31" i="52"/>
  <c r="CE158" i="52"/>
  <c r="DK158" i="52" s="1"/>
  <c r="CE159" i="52"/>
  <c r="DK159" i="52" s="1"/>
  <c r="CE164" i="52"/>
  <c r="BW97" i="52"/>
  <c r="CD80" i="52"/>
  <c r="CO10" i="52"/>
  <c r="BY13" i="52"/>
  <c r="DE13" i="52" s="1"/>
  <c r="CH159" i="52"/>
  <c r="DN159" i="52" s="1"/>
  <c r="CH163" i="52"/>
  <c r="CB157" i="52"/>
  <c r="CC146" i="52"/>
  <c r="DI146" i="52" s="1"/>
  <c r="CE126" i="52"/>
  <c r="BW115" i="52"/>
  <c r="BW114" i="52"/>
  <c r="CM90" i="52"/>
  <c r="CV72" i="52"/>
  <c r="CV74" i="52"/>
  <c r="CL26" i="52"/>
  <c r="CH48" i="52"/>
  <c r="CG34" i="52"/>
  <c r="CW24" i="52"/>
  <c r="CC20" i="52"/>
  <c r="CB163" i="52"/>
  <c r="DH163" i="52" s="1"/>
  <c r="CB162" i="52"/>
  <c r="DH162" i="52" s="1"/>
  <c r="CC142" i="52"/>
  <c r="CW138" i="52"/>
  <c r="CE127" i="52"/>
  <c r="CE132" i="52"/>
  <c r="CH52" i="52"/>
  <c r="CW32" i="52"/>
  <c r="CG32" i="52"/>
  <c r="CH160" i="52"/>
  <c r="DN160" i="52" s="1"/>
  <c r="CD158" i="52"/>
  <c r="DJ158" i="52" s="1"/>
  <c r="CD160" i="52"/>
  <c r="DJ160" i="52" s="1"/>
  <c r="CB159" i="52"/>
  <c r="DH159" i="52" s="1"/>
  <c r="CC143" i="52"/>
  <c r="DI143" i="52" s="1"/>
  <c r="CW136" i="52"/>
  <c r="CE131" i="52"/>
  <c r="BW113" i="52"/>
  <c r="CL88" i="52"/>
  <c r="CL89" i="52"/>
  <c r="BC20" i="52"/>
  <c r="CG36" i="52"/>
  <c r="CG29" i="52"/>
  <c r="CV26" i="52"/>
  <c r="CC13" i="52"/>
  <c r="CH158" i="52"/>
  <c r="CD161" i="52"/>
  <c r="DJ161" i="52" s="1"/>
  <c r="CC141" i="52"/>
  <c r="DI141" i="52" s="1"/>
  <c r="CC147" i="52"/>
  <c r="DI147" i="52" s="1"/>
  <c r="CE130" i="52"/>
  <c r="DK130" i="52" s="1"/>
  <c r="BW112" i="52"/>
  <c r="CM98" i="52"/>
  <c r="CH46" i="52"/>
  <c r="CL35" i="52"/>
  <c r="CC14" i="52"/>
  <c r="CH161" i="52"/>
  <c r="DN161" i="52" s="1"/>
  <c r="CD164" i="52"/>
  <c r="CD157" i="52"/>
  <c r="CC148" i="52"/>
  <c r="CE125" i="52"/>
  <c r="BW116" i="52"/>
  <c r="CM87" i="52"/>
  <c r="CH51" i="52"/>
  <c r="DN51" i="52" s="1"/>
  <c r="CH47" i="52"/>
  <c r="CG30" i="52"/>
  <c r="CG33" i="52"/>
  <c r="CC15" i="52"/>
  <c r="CC17" i="52"/>
  <c r="CH164" i="52"/>
  <c r="CD162" i="52"/>
  <c r="CB158" i="52"/>
  <c r="DH158" i="52" s="1"/>
  <c r="CC145" i="52"/>
  <c r="DI145" i="52" s="1"/>
  <c r="CX132" i="52"/>
  <c r="BW109" i="52"/>
  <c r="P116" i="52"/>
  <c r="CL95" i="52"/>
  <c r="CH45" i="52"/>
  <c r="CL25" i="52"/>
  <c r="CG31" i="52"/>
  <c r="CL33" i="52"/>
  <c r="CC19" i="52"/>
  <c r="CE128" i="52"/>
  <c r="CH157" i="52"/>
  <c r="CD159" i="52"/>
  <c r="CB160" i="52"/>
  <c r="DH160" i="52" s="1"/>
  <c r="CX120" i="52"/>
  <c r="CE129" i="52"/>
  <c r="CX121" i="52"/>
  <c r="CH49" i="52"/>
  <c r="CL32" i="52"/>
  <c r="BV145" i="52"/>
  <c r="DB145" i="52" s="1"/>
  <c r="CD97" i="52"/>
  <c r="BC36" i="52"/>
  <c r="CH78" i="52"/>
  <c r="CH81" i="52"/>
  <c r="CA51" i="52"/>
  <c r="CG18" i="52"/>
  <c r="BW17" i="52"/>
  <c r="BW20" i="52"/>
  <c r="CD81" i="52"/>
  <c r="BV147" i="52"/>
  <c r="DB147" i="52" s="1"/>
  <c r="BV142" i="52"/>
  <c r="DB142" i="52" s="1"/>
  <c r="BV143" i="52"/>
  <c r="DB143" i="52" s="1"/>
  <c r="BV141" i="52"/>
  <c r="DB141" i="52" s="1"/>
  <c r="CD100" i="52"/>
  <c r="CH79" i="52"/>
  <c r="CH84" i="52"/>
  <c r="P20" i="52"/>
  <c r="CG15" i="52"/>
  <c r="CG16" i="52"/>
  <c r="BW30" i="52"/>
  <c r="CM119" i="52"/>
  <c r="CL41" i="52"/>
  <c r="BV144" i="52"/>
  <c r="DB144" i="52" s="1"/>
  <c r="CA50" i="52"/>
  <c r="BW34" i="52"/>
  <c r="BW16" i="52"/>
  <c r="BW18" i="52"/>
  <c r="CD111" i="52"/>
  <c r="P36" i="52"/>
  <c r="CH82" i="52"/>
  <c r="CH80" i="52"/>
  <c r="CA48" i="52"/>
  <c r="CA52" i="52"/>
  <c r="CG20" i="52"/>
  <c r="BW29" i="52"/>
  <c r="BY110" i="52"/>
  <c r="CD99" i="52"/>
  <c r="CG13" i="52"/>
  <c r="CM89" i="52"/>
  <c r="CD94" i="52"/>
  <c r="CA49" i="52"/>
  <c r="CG14" i="52"/>
  <c r="BW35" i="52"/>
  <c r="BW33" i="52"/>
  <c r="BW14" i="52"/>
  <c r="CX122" i="52"/>
  <c r="BV146" i="52"/>
  <c r="DB146" i="52" s="1"/>
  <c r="P132" i="52"/>
  <c r="CD93" i="52"/>
  <c r="CD95" i="52"/>
  <c r="CH83" i="52"/>
  <c r="DN83" i="52" s="1"/>
  <c r="CH77" i="52"/>
  <c r="CG19" i="52"/>
  <c r="BW31" i="52"/>
  <c r="BW13" i="52"/>
  <c r="CW33" i="52"/>
  <c r="CW26" i="52"/>
  <c r="CW135" i="52"/>
  <c r="CU106" i="52"/>
  <c r="CU104" i="52"/>
  <c r="CL144" i="52"/>
  <c r="CL138" i="52"/>
  <c r="CL145" i="52"/>
  <c r="CL146" i="52"/>
  <c r="CL136" i="52"/>
  <c r="CL147" i="52"/>
  <c r="CL143" i="52"/>
  <c r="CL137" i="52"/>
  <c r="CL135" i="52"/>
  <c r="BZ146" i="52"/>
  <c r="DF146" i="52" s="1"/>
  <c r="BZ148" i="52"/>
  <c r="BZ147" i="52"/>
  <c r="DF147" i="52" s="1"/>
  <c r="BZ144" i="52"/>
  <c r="DF144" i="52" s="1"/>
  <c r="BZ145" i="52"/>
  <c r="DF145" i="52" s="1"/>
  <c r="BZ141" i="52"/>
  <c r="BZ143" i="52"/>
  <c r="DF143" i="52" s="1"/>
  <c r="BZ142" i="52"/>
  <c r="DF142" i="52" s="1"/>
  <c r="BC148" i="52"/>
  <c r="CB148" i="52"/>
  <c r="CB147" i="52"/>
  <c r="DH147" i="52" s="1"/>
  <c r="CB143" i="52"/>
  <c r="DH143" i="52" s="1"/>
  <c r="CB142" i="52"/>
  <c r="DH142" i="52" s="1"/>
  <c r="CB144" i="52"/>
  <c r="DH144" i="52" s="1"/>
  <c r="CB145" i="52"/>
  <c r="DH145" i="52" s="1"/>
  <c r="CB141" i="52"/>
  <c r="DH141" i="52" s="1"/>
  <c r="CB146" i="52"/>
  <c r="DH146" i="52" s="1"/>
  <c r="CG113" i="52"/>
  <c r="CG114" i="52"/>
  <c r="DM114" i="52" s="1"/>
  <c r="CG115" i="52"/>
  <c r="CG111" i="52"/>
  <c r="CG110" i="52"/>
  <c r="CG116" i="52"/>
  <c r="CG109" i="52"/>
  <c r="DM109" i="52" s="1"/>
  <c r="CG112" i="52"/>
  <c r="BX116" i="52"/>
  <c r="BX112" i="52"/>
  <c r="BX113" i="52"/>
  <c r="BX114" i="52"/>
  <c r="BX110" i="52"/>
  <c r="BX109" i="52"/>
  <c r="DD109" i="52" s="1"/>
  <c r="BX115" i="52"/>
  <c r="BX111" i="52"/>
  <c r="CF99" i="52"/>
  <c r="CF98" i="52"/>
  <c r="DL98" i="52" s="1"/>
  <c r="CF100" i="52"/>
  <c r="CF97" i="52"/>
  <c r="CF93" i="52"/>
  <c r="CF96" i="52"/>
  <c r="CF95" i="52"/>
  <c r="CF94" i="52"/>
  <c r="CN113" i="52"/>
  <c r="CN114" i="52"/>
  <c r="CN115" i="52"/>
  <c r="CN111" i="52"/>
  <c r="CN106" i="52"/>
  <c r="CN112" i="52"/>
  <c r="CN104" i="52"/>
  <c r="BX98" i="52"/>
  <c r="BX100" i="52"/>
  <c r="BX97" i="52"/>
  <c r="BX99" i="52"/>
  <c r="BX93" i="52"/>
  <c r="BX96" i="52"/>
  <c r="BX95" i="52"/>
  <c r="BX94" i="52"/>
  <c r="CX80" i="52"/>
  <c r="CX74" i="52"/>
  <c r="CX81" i="52"/>
  <c r="CX82" i="52"/>
  <c r="CX72" i="52"/>
  <c r="CX79" i="52"/>
  <c r="CX73" i="52"/>
  <c r="CX71" i="52"/>
  <c r="CG51" i="52"/>
  <c r="CG45" i="52"/>
  <c r="DM45" i="52" s="1"/>
  <c r="CG49" i="52"/>
  <c r="CG50" i="52"/>
  <c r="DM50" i="52" s="1"/>
  <c r="CG52" i="52"/>
  <c r="CG47" i="52"/>
  <c r="CG46" i="52"/>
  <c r="CG48" i="52"/>
  <c r="CX40" i="52"/>
  <c r="CX47" i="52"/>
  <c r="CX50" i="52"/>
  <c r="CX49" i="52"/>
  <c r="CX48" i="52"/>
  <c r="CX42" i="52"/>
  <c r="BX20" i="52"/>
  <c r="BX19" i="52"/>
  <c r="BX15" i="52"/>
  <c r="BX14" i="52"/>
  <c r="BX16" i="52"/>
  <c r="BX17" i="52"/>
  <c r="BX13" i="52"/>
  <c r="BX18" i="52"/>
  <c r="CU40" i="52"/>
  <c r="CU42" i="52"/>
  <c r="CA34" i="52"/>
  <c r="CA35" i="52"/>
  <c r="CA31" i="52"/>
  <c r="CA30" i="52"/>
  <c r="CA36" i="52"/>
  <c r="CA32" i="52"/>
  <c r="CA29" i="52"/>
  <c r="DG29" i="52" s="1"/>
  <c r="CA33" i="52"/>
  <c r="BC52" i="52"/>
  <c r="CC49" i="52"/>
  <c r="CC51" i="52"/>
  <c r="CC47" i="52"/>
  <c r="CC46" i="52"/>
  <c r="DI46" i="52" s="1"/>
  <c r="CC48" i="52"/>
  <c r="CC45" i="52"/>
  <c r="CC50" i="52"/>
  <c r="CC52" i="52"/>
  <c r="CH34" i="52"/>
  <c r="CH35" i="52"/>
  <c r="DN35" i="52" s="1"/>
  <c r="CH31" i="52"/>
  <c r="CH30" i="52"/>
  <c r="CH36" i="52"/>
  <c r="CH32" i="52"/>
  <c r="CH29" i="52"/>
  <c r="CH33" i="52"/>
  <c r="CF51" i="52"/>
  <c r="CF49" i="52"/>
  <c r="CF45" i="52"/>
  <c r="CF50" i="52"/>
  <c r="DL50" i="52" s="1"/>
  <c r="CF52" i="52"/>
  <c r="CF47" i="52"/>
  <c r="CF46" i="52"/>
  <c r="CF48" i="52"/>
  <c r="CV138" i="52"/>
  <c r="CV136" i="52"/>
  <c r="BX145" i="52"/>
  <c r="DD145" i="52" s="1"/>
  <c r="BX141" i="52"/>
  <c r="BX148" i="52"/>
  <c r="BX146" i="52"/>
  <c r="DD146" i="52" s="1"/>
  <c r="BX147" i="52"/>
  <c r="DD147" i="52" s="1"/>
  <c r="BX143" i="52"/>
  <c r="DD143" i="52" s="1"/>
  <c r="BX142" i="52"/>
  <c r="DD142" i="52" s="1"/>
  <c r="BX144" i="52"/>
  <c r="DD144" i="52" s="1"/>
  <c r="CB114" i="52"/>
  <c r="CB115" i="52"/>
  <c r="CB111" i="52"/>
  <c r="CB116" i="52"/>
  <c r="CB112" i="52"/>
  <c r="CB113" i="52"/>
  <c r="CB109" i="52"/>
  <c r="DH109" i="52" s="1"/>
  <c r="CB110" i="52"/>
  <c r="BZ113" i="52"/>
  <c r="BZ114" i="52"/>
  <c r="BZ115" i="52"/>
  <c r="BZ111" i="52"/>
  <c r="BZ110" i="52"/>
  <c r="BZ116" i="52"/>
  <c r="BZ112" i="52"/>
  <c r="BZ109" i="52"/>
  <c r="DF109" i="52" s="1"/>
  <c r="CT104" i="52"/>
  <c r="BY99" i="52"/>
  <c r="BY97" i="52"/>
  <c r="BY93" i="52"/>
  <c r="BY96" i="52"/>
  <c r="BY100" i="52"/>
  <c r="BY95" i="52"/>
  <c r="BY94" i="52"/>
  <c r="BY98" i="52"/>
  <c r="CC97" i="52"/>
  <c r="CC96" i="52"/>
  <c r="CC95" i="52"/>
  <c r="CC94" i="52"/>
  <c r="CC98" i="52"/>
  <c r="CC100" i="52"/>
  <c r="CC93" i="52"/>
  <c r="CC99" i="52"/>
  <c r="BV81" i="52"/>
  <c r="BV77" i="52"/>
  <c r="BV84" i="52"/>
  <c r="BV82" i="52"/>
  <c r="BV83" i="52"/>
  <c r="CL83" i="52" s="1"/>
  <c r="BV79" i="52"/>
  <c r="CL79" i="52" s="1"/>
  <c r="BV78" i="52"/>
  <c r="BV80" i="52"/>
  <c r="BZ51" i="52"/>
  <c r="BZ52" i="52"/>
  <c r="BZ50" i="52"/>
  <c r="BZ49" i="52"/>
  <c r="BZ45" i="52"/>
  <c r="DF45" i="52" s="1"/>
  <c r="BZ47" i="52"/>
  <c r="BZ46" i="52"/>
  <c r="BZ48" i="52"/>
  <c r="CM19" i="52"/>
  <c r="CM15" i="52"/>
  <c r="CM9" i="52"/>
  <c r="CM18" i="52"/>
  <c r="CM16" i="52"/>
  <c r="CM10" i="52"/>
  <c r="CM17" i="52"/>
  <c r="P52" i="52"/>
  <c r="BY51" i="52"/>
  <c r="BY49" i="52"/>
  <c r="BY52" i="52"/>
  <c r="BY50" i="52"/>
  <c r="BY45" i="52"/>
  <c r="DE45" i="52" s="1"/>
  <c r="BY47" i="52"/>
  <c r="BY46" i="52"/>
  <c r="BY48" i="52"/>
  <c r="CF33" i="52"/>
  <c r="CF29" i="52"/>
  <c r="CF34" i="52"/>
  <c r="DL34" i="52" s="1"/>
  <c r="CF35" i="52"/>
  <c r="CF31" i="52"/>
  <c r="CF30" i="52"/>
  <c r="CF36" i="52"/>
  <c r="CV24" i="52"/>
  <c r="CF32" i="52"/>
  <c r="CE116" i="52"/>
  <c r="CE112" i="52"/>
  <c r="CE113" i="52"/>
  <c r="CE114" i="52"/>
  <c r="DK114" i="52" s="1"/>
  <c r="CE109" i="52"/>
  <c r="CE110" i="52"/>
  <c r="CE115" i="52"/>
  <c r="CE111" i="52"/>
  <c r="BC164" i="52"/>
  <c r="CO136" i="52"/>
  <c r="CF148" i="52"/>
  <c r="CF145" i="52"/>
  <c r="CF141" i="52"/>
  <c r="DL141" i="52" s="1"/>
  <c r="CF146" i="52"/>
  <c r="DL146" i="52" s="1"/>
  <c r="CF147" i="52"/>
  <c r="DL147" i="52" s="1"/>
  <c r="CF143" i="52"/>
  <c r="DL143" i="52" s="1"/>
  <c r="CF142" i="52"/>
  <c r="DL142" i="52" s="1"/>
  <c r="CF144" i="52"/>
  <c r="DL144" i="52" s="1"/>
  <c r="P148" i="52"/>
  <c r="CC131" i="52"/>
  <c r="CC127" i="52"/>
  <c r="CC126" i="52"/>
  <c r="CC132" i="52"/>
  <c r="CC128" i="52"/>
  <c r="CC129" i="52"/>
  <c r="CC125" i="52"/>
  <c r="CC130" i="52"/>
  <c r="CG130" i="52"/>
  <c r="DM130" i="52" s="1"/>
  <c r="EP130" i="52" s="1"/>
  <c r="FJ127" i="52" s="1"/>
  <c r="CG131" i="52"/>
  <c r="CG127" i="52"/>
  <c r="CG126" i="52"/>
  <c r="CG132" i="52"/>
  <c r="CG128" i="52"/>
  <c r="CG125" i="52"/>
  <c r="DM125" i="52" s="1"/>
  <c r="CG129" i="52"/>
  <c r="CX114" i="52"/>
  <c r="CX111" i="52"/>
  <c r="CX112" i="52"/>
  <c r="CX106" i="52"/>
  <c r="CX104" i="52"/>
  <c r="CX113" i="52"/>
  <c r="CV106" i="52"/>
  <c r="CU90" i="52"/>
  <c r="CU88" i="52"/>
  <c r="P100" i="52"/>
  <c r="BC84" i="52"/>
  <c r="CV40" i="52"/>
  <c r="CV42" i="52"/>
  <c r="CN51" i="52"/>
  <c r="CN49" i="52"/>
  <c r="CN50" i="52"/>
  <c r="CN40" i="52"/>
  <c r="CN47" i="52"/>
  <c r="CN48" i="52"/>
  <c r="CN42" i="52"/>
  <c r="BY33" i="52"/>
  <c r="BY29" i="52"/>
  <c r="DE29" i="52" s="1"/>
  <c r="BY34" i="52"/>
  <c r="BY35" i="52"/>
  <c r="BY31" i="52"/>
  <c r="BY30" i="52"/>
  <c r="BY36" i="52"/>
  <c r="BY32" i="52"/>
  <c r="CC164" i="52"/>
  <c r="CC161" i="52"/>
  <c r="DI161" i="52" s="1"/>
  <c r="CC158" i="52"/>
  <c r="CC159" i="52"/>
  <c r="DI159" i="52" s="1"/>
  <c r="CC162" i="52"/>
  <c r="DI162" i="52" s="1"/>
  <c r="CC157" i="52"/>
  <c r="CC160" i="52"/>
  <c r="DI160" i="52" s="1"/>
  <c r="CC163" i="52"/>
  <c r="DI163" i="52" s="1"/>
  <c r="CG146" i="52"/>
  <c r="CG147" i="52"/>
  <c r="DM147" i="52" s="1"/>
  <c r="CG148" i="52"/>
  <c r="CG144" i="52"/>
  <c r="DM144" i="52" s="1"/>
  <c r="CG145" i="52"/>
  <c r="DM145" i="52" s="1"/>
  <c r="CG141" i="52"/>
  <c r="DM141" i="52" s="1"/>
  <c r="CG143" i="52"/>
  <c r="DM143" i="52" s="1"/>
  <c r="CG142" i="52"/>
  <c r="DM142" i="52" s="1"/>
  <c r="CX88" i="52"/>
  <c r="CX95" i="52"/>
  <c r="CX90" i="52"/>
  <c r="CX87" i="52"/>
  <c r="CC35" i="52"/>
  <c r="CC31" i="52"/>
  <c r="CC30" i="52"/>
  <c r="CC36" i="52"/>
  <c r="CC32" i="52"/>
  <c r="CC33" i="52"/>
  <c r="CC29" i="52"/>
  <c r="CC34" i="52"/>
  <c r="BW159" i="52"/>
  <c r="DC159" i="52" s="1"/>
  <c r="BW162" i="52"/>
  <c r="DC162" i="52" s="1"/>
  <c r="BW157" i="52"/>
  <c r="DC157" i="52" s="1"/>
  <c r="BW160" i="52"/>
  <c r="DC160" i="52" s="1"/>
  <c r="BW163" i="52"/>
  <c r="DC163" i="52" s="1"/>
  <c r="BW164" i="52"/>
  <c r="BW161" i="52"/>
  <c r="DC161" i="52" s="1"/>
  <c r="BW158" i="52"/>
  <c r="DC158" i="52" s="1"/>
  <c r="BY148" i="52"/>
  <c r="BY145" i="52"/>
  <c r="DE145" i="52" s="1"/>
  <c r="BY141" i="52"/>
  <c r="DE141" i="52" s="1"/>
  <c r="BY146" i="52"/>
  <c r="DE146" i="52" s="1"/>
  <c r="BY147" i="52"/>
  <c r="DE147" i="52" s="1"/>
  <c r="BY143" i="52"/>
  <c r="DE143" i="52" s="1"/>
  <c r="BY142" i="52"/>
  <c r="DE142" i="52" s="1"/>
  <c r="BY144" i="52"/>
  <c r="DE144" i="52" s="1"/>
  <c r="CM145" i="52"/>
  <c r="CM146" i="52"/>
  <c r="CM147" i="52"/>
  <c r="CM143" i="52"/>
  <c r="CM137" i="52"/>
  <c r="CM148" i="52"/>
  <c r="CM135" i="52"/>
  <c r="CM138" i="52"/>
  <c r="CM144" i="52"/>
  <c r="CM136" i="52"/>
  <c r="BC132" i="52"/>
  <c r="BZ130" i="52"/>
  <c r="BZ131" i="52"/>
  <c r="BZ127" i="52"/>
  <c r="BZ126" i="52"/>
  <c r="BZ132" i="52"/>
  <c r="BZ128" i="52"/>
  <c r="BZ125" i="52"/>
  <c r="BZ129" i="52"/>
  <c r="CH114" i="52"/>
  <c r="CH115" i="52"/>
  <c r="DN115" i="52" s="1"/>
  <c r="CH111" i="52"/>
  <c r="CH116" i="52"/>
  <c r="CH112" i="52"/>
  <c r="CH110" i="52"/>
  <c r="CH113" i="52"/>
  <c r="CH109" i="52"/>
  <c r="CO113" i="52"/>
  <c r="CO114" i="52"/>
  <c r="CO115" i="52"/>
  <c r="CO111" i="52"/>
  <c r="CO112" i="52"/>
  <c r="CN90" i="52"/>
  <c r="CN88" i="52"/>
  <c r="CN95" i="52"/>
  <c r="CO99" i="52"/>
  <c r="CO98" i="52"/>
  <c r="CO97" i="52"/>
  <c r="CO96" i="52"/>
  <c r="CO51" i="52"/>
  <c r="CO39" i="52"/>
  <c r="CO50" i="52"/>
  <c r="CO40" i="52"/>
  <c r="CO49" i="52"/>
  <c r="CO47" i="52"/>
  <c r="CO48" i="52"/>
  <c r="CE19" i="52"/>
  <c r="CE15" i="52"/>
  <c r="DK15" i="52" s="1"/>
  <c r="CE14" i="52"/>
  <c r="CE18" i="52"/>
  <c r="DK18" i="52" s="1"/>
  <c r="CE20" i="52"/>
  <c r="CE16" i="52"/>
  <c r="CU10" i="52"/>
  <c r="CE17" i="52"/>
  <c r="CE13" i="52"/>
  <c r="DK13" i="52" s="1"/>
  <c r="CU26" i="52"/>
  <c r="CU24" i="52"/>
  <c r="CL128" i="52"/>
  <c r="CL129" i="52"/>
  <c r="CL130" i="52"/>
  <c r="CL131" i="52"/>
  <c r="CL127" i="52"/>
  <c r="CL122" i="52"/>
  <c r="CL120" i="52"/>
  <c r="CL121" i="52"/>
  <c r="BV132" i="52"/>
  <c r="BV128" i="52"/>
  <c r="BV129" i="52"/>
  <c r="BV125" i="52"/>
  <c r="BV130" i="52"/>
  <c r="BV131" i="52"/>
  <c r="BV127" i="52"/>
  <c r="BV126" i="52"/>
  <c r="CE98" i="52"/>
  <c r="DK98" i="52" s="1"/>
  <c r="CE100" i="52"/>
  <c r="CE97" i="52"/>
  <c r="CE93" i="52"/>
  <c r="CE99" i="52"/>
  <c r="CE96" i="52"/>
  <c r="CE95" i="52"/>
  <c r="CE94" i="52"/>
  <c r="BV97" i="52"/>
  <c r="BV100" i="52"/>
  <c r="BV98" i="52"/>
  <c r="BV95" i="52"/>
  <c r="BV94" i="52"/>
  <c r="BV99" i="52"/>
  <c r="BV93" i="52"/>
  <c r="BV96" i="52"/>
  <c r="CB84" i="52"/>
  <c r="CB80" i="52"/>
  <c r="CB81" i="52"/>
  <c r="CB77" i="52"/>
  <c r="DH77" i="52" s="1"/>
  <c r="CB82" i="52"/>
  <c r="CB83" i="52"/>
  <c r="CB79" i="52"/>
  <c r="CB78" i="52"/>
  <c r="CN143" i="52"/>
  <c r="CN138" i="52"/>
  <c r="CN136" i="52"/>
  <c r="CD132" i="52"/>
  <c r="CD128" i="52"/>
  <c r="CD129" i="52"/>
  <c r="CD130" i="52"/>
  <c r="CD131" i="52"/>
  <c r="CD127" i="52"/>
  <c r="CD126" i="52"/>
  <c r="CD125" i="52"/>
  <c r="CB131" i="52"/>
  <c r="CB127" i="52"/>
  <c r="CB126" i="52"/>
  <c r="CB132" i="52"/>
  <c r="CB128" i="52"/>
  <c r="CB129" i="52"/>
  <c r="CB125" i="52"/>
  <c r="DH125" i="52" s="1"/>
  <c r="CB130" i="52"/>
  <c r="CV122" i="52"/>
  <c r="CV120" i="52"/>
  <c r="CA114" i="52"/>
  <c r="CA115" i="52"/>
  <c r="CA111" i="52"/>
  <c r="CA116" i="52"/>
  <c r="CA112" i="52"/>
  <c r="CA113" i="52"/>
  <c r="CA109" i="52"/>
  <c r="DG109" i="52" s="1"/>
  <c r="CA110" i="52"/>
  <c r="CU74" i="52"/>
  <c r="CU72" i="52"/>
  <c r="CB52" i="52"/>
  <c r="CB51" i="52"/>
  <c r="CB47" i="52"/>
  <c r="CB46" i="52"/>
  <c r="CB48" i="52"/>
  <c r="CB49" i="52"/>
  <c r="CB45" i="52"/>
  <c r="DH45" i="52" s="1"/>
  <c r="CB50" i="52"/>
  <c r="CT8" i="52"/>
  <c r="CT10" i="52"/>
  <c r="CN31" i="52"/>
  <c r="CN24" i="52"/>
  <c r="CN26" i="52"/>
  <c r="CF160" i="52"/>
  <c r="DL160" i="52" s="1"/>
  <c r="CF163" i="52"/>
  <c r="DL163" i="52" s="1"/>
  <c r="CF164" i="52"/>
  <c r="CF161" i="52"/>
  <c r="CF158" i="52"/>
  <c r="DL158" i="52" s="1"/>
  <c r="CF159" i="52"/>
  <c r="DL159" i="52" s="1"/>
  <c r="CF157" i="52"/>
  <c r="DL157" i="52" s="1"/>
  <c r="CF162" i="52"/>
  <c r="DL162" i="52" s="1"/>
  <c r="CG160" i="52"/>
  <c r="DM160" i="52" s="1"/>
  <c r="CG163" i="52"/>
  <c r="DM163" i="52" s="1"/>
  <c r="CG164" i="52"/>
  <c r="CG161" i="52"/>
  <c r="DM161" i="52" s="1"/>
  <c r="CG158" i="52"/>
  <c r="DM158" i="52" s="1"/>
  <c r="CG159" i="52"/>
  <c r="DM159" i="52" s="1"/>
  <c r="CG162" i="52"/>
  <c r="CG157" i="52"/>
  <c r="BY160" i="52"/>
  <c r="DE160" i="52" s="1"/>
  <c r="BY163" i="52"/>
  <c r="DE163" i="52" s="1"/>
  <c r="CO154" i="52"/>
  <c r="BY164" i="52"/>
  <c r="BY161" i="52"/>
  <c r="DE161" i="52" s="1"/>
  <c r="BY158" i="52"/>
  <c r="DE158" i="52" s="1"/>
  <c r="BY159" i="52"/>
  <c r="DE159" i="52" s="1"/>
  <c r="BY157" i="52"/>
  <c r="BY162" i="52"/>
  <c r="DE162" i="52" s="1"/>
  <c r="CD148" i="52"/>
  <c r="CD144" i="52"/>
  <c r="DJ144" i="52" s="1"/>
  <c r="CD145" i="52"/>
  <c r="DJ145" i="52" s="1"/>
  <c r="CD141" i="52"/>
  <c r="CD146" i="52"/>
  <c r="CD147" i="52"/>
  <c r="DJ147" i="52" s="1"/>
  <c r="CD143" i="52"/>
  <c r="CD142" i="52"/>
  <c r="DJ142" i="52" s="1"/>
  <c r="BW132" i="52"/>
  <c r="BW128" i="52"/>
  <c r="BW129" i="52"/>
  <c r="BW130" i="52"/>
  <c r="BW131" i="52"/>
  <c r="BW127" i="52"/>
  <c r="BW126" i="52"/>
  <c r="BW125" i="52"/>
  <c r="CH130" i="52"/>
  <c r="CH131" i="52"/>
  <c r="CH132" i="52"/>
  <c r="CH128" i="52"/>
  <c r="CH129" i="52"/>
  <c r="CH125" i="52"/>
  <c r="CH127" i="52"/>
  <c r="CH126" i="52"/>
  <c r="CO127" i="52"/>
  <c r="CO119" i="52"/>
  <c r="CO129" i="52"/>
  <c r="CO120" i="52"/>
  <c r="CO121" i="52"/>
  <c r="CW115" i="52"/>
  <c r="CW111" i="52"/>
  <c r="CW112" i="52"/>
  <c r="CW106" i="52"/>
  <c r="CW103" i="52"/>
  <c r="CW113" i="52"/>
  <c r="CL112" i="52"/>
  <c r="CL113" i="52"/>
  <c r="CL114" i="52"/>
  <c r="CL104" i="52"/>
  <c r="CL115" i="52"/>
  <c r="CL105" i="52"/>
  <c r="CL111" i="52"/>
  <c r="CL106" i="52"/>
  <c r="BC116" i="52"/>
  <c r="CN83" i="52"/>
  <c r="CN79" i="52"/>
  <c r="CN80" i="52"/>
  <c r="CN74" i="52"/>
  <c r="CN72" i="52"/>
  <c r="CW40" i="52"/>
  <c r="CW47" i="52"/>
  <c r="CW49" i="52"/>
  <c r="CW48" i="52"/>
  <c r="CW42" i="52"/>
  <c r="CW51" i="52"/>
  <c r="CW39" i="52"/>
  <c r="P84" i="52"/>
  <c r="CW128" i="52"/>
  <c r="CW120" i="52"/>
  <c r="CW119" i="52"/>
  <c r="CW122" i="52"/>
  <c r="BZ160" i="52"/>
  <c r="DF160" i="52" s="1"/>
  <c r="BZ163" i="52"/>
  <c r="DF163" i="52" s="1"/>
  <c r="BZ164" i="52"/>
  <c r="BZ161" i="52"/>
  <c r="DF161" i="52" s="1"/>
  <c r="BZ158" i="52"/>
  <c r="DF158" i="52" s="1"/>
  <c r="BZ159" i="52"/>
  <c r="DF159" i="52" s="1"/>
  <c r="BZ162" i="52"/>
  <c r="DF162" i="52" s="1"/>
  <c r="BZ157" i="52"/>
  <c r="BW144" i="52"/>
  <c r="DC144" i="52" s="1"/>
  <c r="BW145" i="52"/>
  <c r="DC145" i="52" s="1"/>
  <c r="BW141" i="52"/>
  <c r="DC141" i="52" s="1"/>
  <c r="BW148" i="52"/>
  <c r="BW146" i="52"/>
  <c r="DC146" i="52" s="1"/>
  <c r="BW147" i="52"/>
  <c r="DC147" i="52" s="1"/>
  <c r="BW143" i="52"/>
  <c r="DC143" i="52" s="1"/>
  <c r="BW142" i="52"/>
  <c r="DC142" i="52" s="1"/>
  <c r="CA130" i="52"/>
  <c r="CA131" i="52"/>
  <c r="CA132" i="52"/>
  <c r="CA128" i="52"/>
  <c r="CA129" i="52"/>
  <c r="CA125" i="52"/>
  <c r="CA127" i="52"/>
  <c r="CA126" i="52"/>
  <c r="CF113" i="52"/>
  <c r="CF114" i="52"/>
  <c r="DL114" i="52" s="1"/>
  <c r="CF115" i="52"/>
  <c r="CF111" i="52"/>
  <c r="CF116" i="52"/>
  <c r="CF112" i="52"/>
  <c r="CF109" i="52"/>
  <c r="CF110" i="52"/>
  <c r="BV115" i="52"/>
  <c r="BV111" i="52"/>
  <c r="BV116" i="52"/>
  <c r="BV112" i="52"/>
  <c r="BV113" i="52"/>
  <c r="BV109" i="52"/>
  <c r="BV110" i="52"/>
  <c r="BV114" i="52"/>
  <c r="BC100" i="52"/>
  <c r="BV51" i="52"/>
  <c r="BV47" i="52"/>
  <c r="BV46" i="52"/>
  <c r="BV52" i="52"/>
  <c r="BV50" i="52"/>
  <c r="BV48" i="52"/>
  <c r="BV49" i="52"/>
  <c r="BV45" i="52"/>
  <c r="D9" i="51"/>
  <c r="W161" i="52" s="1"/>
  <c r="D8" i="51"/>
  <c r="V160" i="52" s="1"/>
  <c r="AI16" i="52" s="1"/>
  <c r="BJ17" i="52" l="1"/>
  <c r="DN131" i="52"/>
  <c r="BJ20" i="52"/>
  <c r="BJ18" i="52"/>
  <c r="DI126" i="52"/>
  <c r="BJ7" i="52"/>
  <c r="DF7" i="52" s="1"/>
  <c r="EM13" i="52" s="1"/>
  <c r="FD12" i="52" s="1"/>
  <c r="DM121" i="52"/>
  <c r="EP121" i="52" s="1"/>
  <c r="EZ127" i="52" s="1"/>
  <c r="DI14" i="52"/>
  <c r="BJ9" i="52"/>
  <c r="AI96" i="52"/>
  <c r="AM96" i="52" s="1"/>
  <c r="AI128" i="52"/>
  <c r="AM128" i="52" s="1"/>
  <c r="AI80" i="52"/>
  <c r="CN25" i="52"/>
  <c r="D10" i="51"/>
  <c r="F20" i="51" s="1"/>
  <c r="DM29" i="52"/>
  <c r="ES29" i="52" s="1"/>
  <c r="FD34" i="52" s="1"/>
  <c r="BJ16" i="52"/>
  <c r="AI32" i="52"/>
  <c r="AM32" i="52" s="1"/>
  <c r="DE93" i="52"/>
  <c r="DB23" i="52"/>
  <c r="DM139" i="52"/>
  <c r="DH179" i="52"/>
  <c r="AJ129" i="52"/>
  <c r="AM129" i="52" s="1"/>
  <c r="AI64" i="52"/>
  <c r="AI66" i="52" s="1"/>
  <c r="AI68" i="52" s="1"/>
  <c r="AJ65" i="52"/>
  <c r="AM65" i="52" s="1"/>
  <c r="BJ14" i="52"/>
  <c r="BK157" i="52"/>
  <c r="DM34" i="52"/>
  <c r="CM36" i="52"/>
  <c r="BK162" i="52"/>
  <c r="AJ33" i="52"/>
  <c r="AM33" i="52" s="1"/>
  <c r="AI48" i="52"/>
  <c r="AM48" i="52" s="1"/>
  <c r="AJ113" i="52"/>
  <c r="AJ114" i="52" s="1"/>
  <c r="AJ116" i="52" s="1"/>
  <c r="CW89" i="52"/>
  <c r="BK164" i="52"/>
  <c r="DF13" i="52"/>
  <c r="DG93" i="52"/>
  <c r="DN146" i="52"/>
  <c r="BK158" i="52"/>
  <c r="AI18" i="52"/>
  <c r="AI20" i="52" s="1"/>
  <c r="AM16" i="52"/>
  <c r="F10" i="51"/>
  <c r="DF125" i="52"/>
  <c r="EL125" i="52" s="1"/>
  <c r="FD123" i="52" s="1"/>
  <c r="DH157" i="52"/>
  <c r="DN142" i="52"/>
  <c r="AI144" i="52"/>
  <c r="AM144" i="52" s="1"/>
  <c r="AJ81" i="52"/>
  <c r="AM81" i="52" s="1"/>
  <c r="DD29" i="52"/>
  <c r="BK161" i="52"/>
  <c r="CN121" i="52"/>
  <c r="DG125" i="52"/>
  <c r="DN19" i="52"/>
  <c r="DG157" i="52"/>
  <c r="AI112" i="52"/>
  <c r="AI114" i="52" s="1"/>
  <c r="AI116" i="52" s="1"/>
  <c r="AJ49" i="52"/>
  <c r="AJ50" i="52" s="1"/>
  <c r="AJ52" i="52" s="1"/>
  <c r="BK159" i="52"/>
  <c r="DD125" i="52"/>
  <c r="EJ125" i="52" s="1"/>
  <c r="FD121" i="52" s="1"/>
  <c r="AJ17" i="52"/>
  <c r="AJ18" i="52" s="1"/>
  <c r="BK160" i="52"/>
  <c r="DM25" i="52"/>
  <c r="CM186" i="52"/>
  <c r="DI94" i="52"/>
  <c r="AJ97" i="52"/>
  <c r="AM97" i="52" s="1"/>
  <c r="AJ145" i="52"/>
  <c r="AM145" i="52" s="1"/>
  <c r="BK163" i="52"/>
  <c r="CN23" i="52"/>
  <c r="CN36" i="52"/>
  <c r="F7" i="51"/>
  <c r="F8" i="51"/>
  <c r="DM27" i="52"/>
  <c r="ES28" i="52" s="1"/>
  <c r="FC34" i="52" s="1"/>
  <c r="BC186" i="52"/>
  <c r="CI186" i="52" s="1"/>
  <c r="CL186" i="52"/>
  <c r="CX186" i="52"/>
  <c r="DH173" i="52"/>
  <c r="CI184" i="52"/>
  <c r="CX145" i="52"/>
  <c r="CX20" i="52"/>
  <c r="DF89" i="52"/>
  <c r="DF141" i="52"/>
  <c r="EL141" i="52" s="1"/>
  <c r="CO132" i="52"/>
  <c r="CX148" i="52"/>
  <c r="ES61" i="52"/>
  <c r="FD66" i="52" s="1"/>
  <c r="BM181" i="52"/>
  <c r="BM179" i="52"/>
  <c r="DI179" i="52" s="1"/>
  <c r="BM182" i="52"/>
  <c r="BM177" i="52"/>
  <c r="BM183" i="52"/>
  <c r="BM184" i="52"/>
  <c r="BM175" i="52"/>
  <c r="BM185" i="52"/>
  <c r="BM173" i="52"/>
  <c r="BJ173" i="52"/>
  <c r="DF173" i="52" s="1"/>
  <c r="BJ184" i="52"/>
  <c r="BJ181" i="52"/>
  <c r="BJ177" i="52"/>
  <c r="DF177" i="52" s="1"/>
  <c r="BJ185" i="52"/>
  <c r="BJ179" i="52"/>
  <c r="DF179" i="52" s="1"/>
  <c r="BJ175" i="52"/>
  <c r="DF175" i="52" s="1"/>
  <c r="BJ183" i="52"/>
  <c r="BJ180" i="52"/>
  <c r="BJ182" i="52"/>
  <c r="DI142" i="52"/>
  <c r="DN141" i="52"/>
  <c r="BI181" i="52"/>
  <c r="CO181" i="52" s="1"/>
  <c r="BI183" i="52"/>
  <c r="CO183" i="52" s="1"/>
  <c r="BI184" i="52"/>
  <c r="CO184" i="52" s="1"/>
  <c r="BI180" i="52"/>
  <c r="BI182" i="52"/>
  <c r="CO182" i="52" s="1"/>
  <c r="BI185" i="52"/>
  <c r="CO185" i="52" s="1"/>
  <c r="BI179" i="52"/>
  <c r="DE179" i="52" s="1"/>
  <c r="DD89" i="52"/>
  <c r="BI186" i="52"/>
  <c r="CO186" i="52" s="1"/>
  <c r="CI181" i="52"/>
  <c r="CI179" i="52"/>
  <c r="CI182" i="52"/>
  <c r="DM98" i="52"/>
  <c r="BK183" i="52"/>
  <c r="BK181" i="52"/>
  <c r="BK185" i="52"/>
  <c r="BK179" i="52"/>
  <c r="DG179" i="52" s="1"/>
  <c r="BK180" i="52"/>
  <c r="BK184" i="52"/>
  <c r="BK182" i="52"/>
  <c r="DI30" i="52"/>
  <c r="CI173" i="52"/>
  <c r="CI177" i="52"/>
  <c r="BQ183" i="52"/>
  <c r="CW183" i="52" s="1"/>
  <c r="BQ179" i="52"/>
  <c r="DM179" i="52" s="1"/>
  <c r="BQ182" i="52"/>
  <c r="CW182" i="52" s="1"/>
  <c r="BQ177" i="52"/>
  <c r="DM177" i="52" s="1"/>
  <c r="BQ180" i="52"/>
  <c r="BQ181" i="52"/>
  <c r="CW181" i="52" s="1"/>
  <c r="BQ185" i="52"/>
  <c r="CW185" i="52" s="1"/>
  <c r="BQ173" i="52"/>
  <c r="CW173" i="52" s="1"/>
  <c r="BQ175" i="52"/>
  <c r="CW175" i="52" s="1"/>
  <c r="BQ184" i="52"/>
  <c r="CW184" i="52" s="1"/>
  <c r="BH175" i="52"/>
  <c r="CN175" i="52" s="1"/>
  <c r="BH180" i="52"/>
  <c r="BH179" i="52"/>
  <c r="DD179" i="52" s="1"/>
  <c r="BH183" i="52"/>
  <c r="CN183" i="52" s="1"/>
  <c r="BH184" i="52"/>
  <c r="CN184" i="52" s="1"/>
  <c r="BH182" i="52"/>
  <c r="CN182" i="52" s="1"/>
  <c r="BH177" i="52"/>
  <c r="BH185" i="52"/>
  <c r="CN185" i="52" s="1"/>
  <c r="BH181" i="52"/>
  <c r="CN181" i="52" s="1"/>
  <c r="BH173" i="52"/>
  <c r="CN173" i="52" s="1"/>
  <c r="CI185" i="52"/>
  <c r="CI183" i="52"/>
  <c r="CI175" i="52"/>
  <c r="BF173" i="52"/>
  <c r="CL173" i="52" s="1"/>
  <c r="BF179" i="52"/>
  <c r="BF184" i="52"/>
  <c r="CL184" i="52" s="1"/>
  <c r="BF183" i="52"/>
  <c r="CL183" i="52" s="1"/>
  <c r="BF182" i="52"/>
  <c r="CL182" i="52" s="1"/>
  <c r="BF185" i="52"/>
  <c r="CL185" i="52" s="1"/>
  <c r="BF175" i="52"/>
  <c r="CL175" i="52" s="1"/>
  <c r="BF177" i="52"/>
  <c r="BF180" i="52"/>
  <c r="BF181" i="52"/>
  <c r="CL181" i="52" s="1"/>
  <c r="BR184" i="52"/>
  <c r="CX184" i="52" s="1"/>
  <c r="BR182" i="52"/>
  <c r="CX182" i="52" s="1"/>
  <c r="BR180" i="52"/>
  <c r="BR181" i="52"/>
  <c r="CX181" i="52" s="1"/>
  <c r="BR177" i="52"/>
  <c r="BR175" i="52"/>
  <c r="CX175" i="52" s="1"/>
  <c r="BR183" i="52"/>
  <c r="CX183" i="52" s="1"/>
  <c r="BR185" i="52"/>
  <c r="CX185" i="52" s="1"/>
  <c r="BR179" i="52"/>
  <c r="BR173" i="52"/>
  <c r="CX173" i="52" s="1"/>
  <c r="DD141" i="52"/>
  <c r="EJ141" i="52" s="1"/>
  <c r="DM93" i="52"/>
  <c r="DD23" i="52"/>
  <c r="CI180" i="52"/>
  <c r="DD173" i="52"/>
  <c r="DB173" i="52"/>
  <c r="DI180" i="52"/>
  <c r="BM186" i="52"/>
  <c r="BH186" i="52"/>
  <c r="CN186" i="52" s="1"/>
  <c r="BQ186" i="52"/>
  <c r="CW186" i="52" s="1"/>
  <c r="ER66" i="52"/>
  <c r="FJ65" i="52" s="1"/>
  <c r="CL23" i="52"/>
  <c r="DB7" i="52"/>
  <c r="DD25" i="52"/>
  <c r="DN144" i="52"/>
  <c r="DM89" i="52"/>
  <c r="DF121" i="52"/>
  <c r="EM122" i="52" s="1"/>
  <c r="FA124" i="52" s="1"/>
  <c r="DD87" i="52"/>
  <c r="DM91" i="52"/>
  <c r="DF137" i="52"/>
  <c r="EM138" i="52" s="1"/>
  <c r="ES109" i="52"/>
  <c r="FD114" i="52" s="1"/>
  <c r="AI146" i="52"/>
  <c r="DF27" i="52"/>
  <c r="DF139" i="52"/>
  <c r="EM139" i="52" s="1"/>
  <c r="DD137" i="52"/>
  <c r="EK138" i="52" s="1"/>
  <c r="DF23" i="52"/>
  <c r="DN139" i="52"/>
  <c r="DF25" i="52"/>
  <c r="DB87" i="52"/>
  <c r="DN135" i="52"/>
  <c r="DD93" i="52"/>
  <c r="DF29" i="52"/>
  <c r="DF91" i="52"/>
  <c r="DD121" i="52"/>
  <c r="EJ122" i="52" s="1"/>
  <c r="FA121" i="52" s="1"/>
  <c r="DN137" i="52"/>
  <c r="DF87" i="52"/>
  <c r="EL93" i="52" s="1"/>
  <c r="FD91" i="52" s="1"/>
  <c r="DF123" i="52"/>
  <c r="EL124" i="52" s="1"/>
  <c r="FC123" i="52" s="1"/>
  <c r="CI151" i="52"/>
  <c r="CI155" i="52"/>
  <c r="CI153" i="52"/>
  <c r="CW146" i="52"/>
  <c r="DM146" i="52"/>
  <c r="ES140" i="52" s="1"/>
  <c r="CI135" i="52"/>
  <c r="CI137" i="52"/>
  <c r="CI139" i="52"/>
  <c r="EM125" i="52"/>
  <c r="FD124" i="52" s="1"/>
  <c r="ES125" i="52"/>
  <c r="FD130" i="52" s="1"/>
  <c r="EP125" i="52"/>
  <c r="FD127" i="52" s="1"/>
  <c r="ES124" i="52"/>
  <c r="FC130" i="52" s="1"/>
  <c r="EP124" i="52"/>
  <c r="FC127" i="52" s="1"/>
  <c r="ES123" i="52"/>
  <c r="FB130" i="52" s="1"/>
  <c r="EP123" i="52"/>
  <c r="FB127" i="52" s="1"/>
  <c r="CI121" i="52"/>
  <c r="CI119" i="52"/>
  <c r="CI123" i="52"/>
  <c r="EK109" i="52"/>
  <c r="FD106" i="52" s="1"/>
  <c r="EJ109" i="52"/>
  <c r="FD105" i="52" s="1"/>
  <c r="EL109" i="52"/>
  <c r="FD107" i="52" s="1"/>
  <c r="EM109" i="52"/>
  <c r="FD108" i="52" s="1"/>
  <c r="EK106" i="52"/>
  <c r="FA106" i="52" s="1"/>
  <c r="EJ106" i="52"/>
  <c r="FA105" i="52" s="1"/>
  <c r="EK105" i="52"/>
  <c r="EZ106" i="52" s="1"/>
  <c r="EJ105" i="52"/>
  <c r="EZ105" i="52" s="1"/>
  <c r="EL108" i="52"/>
  <c r="FC107" i="52" s="1"/>
  <c r="EM108" i="52"/>
  <c r="FC108" i="52" s="1"/>
  <c r="EL107" i="52"/>
  <c r="FB107" i="52" s="1"/>
  <c r="EM107" i="52"/>
  <c r="FB108" i="52" s="1"/>
  <c r="EL105" i="52"/>
  <c r="EZ107" i="52" s="1"/>
  <c r="EM106" i="52"/>
  <c r="FA108" i="52" s="1"/>
  <c r="EL106" i="52"/>
  <c r="FA107" i="52" s="1"/>
  <c r="EM105" i="52"/>
  <c r="EZ108" i="52" s="1"/>
  <c r="ES108" i="52"/>
  <c r="FC114" i="52" s="1"/>
  <c r="ES107" i="52"/>
  <c r="FB114" i="52" s="1"/>
  <c r="CI103" i="52"/>
  <c r="CI105" i="52"/>
  <c r="CI107" i="52"/>
  <c r="ES106" i="52"/>
  <c r="FA114" i="52" s="1"/>
  <c r="ES105" i="52"/>
  <c r="EZ114" i="52" s="1"/>
  <c r="CI89" i="52"/>
  <c r="CI87" i="52"/>
  <c r="CI91" i="52"/>
  <c r="CX99" i="52"/>
  <c r="DN99" i="52"/>
  <c r="CI75" i="52"/>
  <c r="CI71" i="52"/>
  <c r="CI73" i="52"/>
  <c r="EK77" i="52"/>
  <c r="FD74" i="52" s="1"/>
  <c r="EJ77" i="52"/>
  <c r="FD73" i="52" s="1"/>
  <c r="ES75" i="52"/>
  <c r="FB82" i="52" s="1"/>
  <c r="ES76" i="52"/>
  <c r="FC82" i="52" s="1"/>
  <c r="EL75" i="52"/>
  <c r="FB75" i="52" s="1"/>
  <c r="EL76" i="52"/>
  <c r="FC75" i="52" s="1"/>
  <c r="EM76" i="52"/>
  <c r="FC76" i="52" s="1"/>
  <c r="EM75" i="52"/>
  <c r="FB76" i="52" s="1"/>
  <c r="EM77" i="52"/>
  <c r="FD76" i="52" s="1"/>
  <c r="EL77" i="52"/>
  <c r="FD75" i="52" s="1"/>
  <c r="ES77" i="52"/>
  <c r="FD82" i="52" s="1"/>
  <c r="EM73" i="52"/>
  <c r="EZ76" i="52" s="1"/>
  <c r="EL74" i="52"/>
  <c r="FA75" i="52" s="1"/>
  <c r="EM74" i="52"/>
  <c r="FA76" i="52" s="1"/>
  <c r="EL73" i="52"/>
  <c r="EZ75" i="52" s="1"/>
  <c r="ES74" i="52"/>
  <c r="FA82" i="52" s="1"/>
  <c r="ES73" i="52"/>
  <c r="EZ82" i="52" s="1"/>
  <c r="EJ74" i="52"/>
  <c r="FA73" i="52" s="1"/>
  <c r="EK73" i="52"/>
  <c r="EZ74" i="52" s="1"/>
  <c r="EJ73" i="52"/>
  <c r="EZ73" i="52" s="1"/>
  <c r="EK74" i="52"/>
  <c r="FA74" i="52" s="1"/>
  <c r="ES44" i="52"/>
  <c r="FC50" i="52" s="1"/>
  <c r="ES43" i="52"/>
  <c r="FB50" i="52" s="1"/>
  <c r="ES45" i="52"/>
  <c r="FD50" i="52" s="1"/>
  <c r="EL61" i="52"/>
  <c r="FD59" i="52" s="1"/>
  <c r="EM61" i="52"/>
  <c r="FD60" i="52" s="1"/>
  <c r="EJ42" i="52"/>
  <c r="FA41" i="52" s="1"/>
  <c r="EK42" i="52"/>
  <c r="FA42" i="52" s="1"/>
  <c r="EK41" i="52"/>
  <c r="EZ42" i="52" s="1"/>
  <c r="EJ41" i="52"/>
  <c r="EZ41" i="52" s="1"/>
  <c r="CI41" i="52"/>
  <c r="CI39" i="52"/>
  <c r="CI43" i="52"/>
  <c r="EP66" i="52"/>
  <c r="FJ63" i="52" s="1"/>
  <c r="EQ66" i="52"/>
  <c r="FJ64" i="52" s="1"/>
  <c r="ES57" i="52"/>
  <c r="EZ66" i="52" s="1"/>
  <c r="ES60" i="52"/>
  <c r="FC66" i="52" s="1"/>
  <c r="ES59" i="52"/>
  <c r="FB66" i="52" s="1"/>
  <c r="ES58" i="52"/>
  <c r="FA66" i="52" s="1"/>
  <c r="EL44" i="52"/>
  <c r="FC43" i="52" s="1"/>
  <c r="EM43" i="52"/>
  <c r="FB44" i="52" s="1"/>
  <c r="EL43" i="52"/>
  <c r="FB43" i="52" s="1"/>
  <c r="EM44" i="52"/>
  <c r="FC44" i="52" s="1"/>
  <c r="ES42" i="52"/>
  <c r="FA50" i="52" s="1"/>
  <c r="ES41" i="52"/>
  <c r="EZ50" i="52" s="1"/>
  <c r="EK61" i="52"/>
  <c r="FD58" i="52" s="1"/>
  <c r="EJ61" i="52"/>
  <c r="FD57" i="52" s="1"/>
  <c r="EL41" i="52"/>
  <c r="EZ43" i="52" s="1"/>
  <c r="EM42" i="52"/>
  <c r="FA44" i="52" s="1"/>
  <c r="EM41" i="52"/>
  <c r="EZ44" i="52" s="1"/>
  <c r="EL42" i="52"/>
  <c r="FA43" i="52" s="1"/>
  <c r="EM45" i="52"/>
  <c r="FD44" i="52" s="1"/>
  <c r="EL45" i="52"/>
  <c r="FD43" i="52" s="1"/>
  <c r="EJ45" i="52"/>
  <c r="FD41" i="52" s="1"/>
  <c r="EK45" i="52"/>
  <c r="FD42" i="52" s="1"/>
  <c r="CI35" i="52"/>
  <c r="CI25" i="52"/>
  <c r="CI23" i="52"/>
  <c r="CI27" i="52"/>
  <c r="ES26" i="52"/>
  <c r="FA34" i="52" s="1"/>
  <c r="ES25" i="52"/>
  <c r="EZ34" i="52" s="1"/>
  <c r="CI13" i="52"/>
  <c r="CI11" i="52"/>
  <c r="CI9" i="52"/>
  <c r="CI7" i="52"/>
  <c r="AI50" i="52"/>
  <c r="AI52" i="52" s="1"/>
  <c r="AM64" i="52"/>
  <c r="DH13" i="52"/>
  <c r="BH7" i="52"/>
  <c r="CN7" i="52" s="1"/>
  <c r="BH9" i="52"/>
  <c r="CN9" i="52" s="1"/>
  <c r="BH11" i="52"/>
  <c r="BH17" i="52"/>
  <c r="CN17" i="52" s="1"/>
  <c r="BH13" i="52"/>
  <c r="DD13" i="52" s="1"/>
  <c r="BH14" i="52"/>
  <c r="BH18" i="52"/>
  <c r="CN18" i="52" s="1"/>
  <c r="BH19" i="52"/>
  <c r="CN19" i="52" s="1"/>
  <c r="BH15" i="52"/>
  <c r="CN15" i="52" s="1"/>
  <c r="BH16" i="52"/>
  <c r="CN16" i="52" s="1"/>
  <c r="BH20" i="52"/>
  <c r="CN20" i="52" s="1"/>
  <c r="CW98" i="52"/>
  <c r="AM112" i="52"/>
  <c r="AM49" i="52"/>
  <c r="BM155" i="52"/>
  <c r="BM153" i="52"/>
  <c r="BM151" i="52"/>
  <c r="BM159" i="52"/>
  <c r="BM164" i="52"/>
  <c r="BM161" i="52"/>
  <c r="BM158" i="52"/>
  <c r="DI158" i="52" s="1"/>
  <c r="BM163" i="52"/>
  <c r="BM157" i="52"/>
  <c r="DI157" i="52" s="1"/>
  <c r="BM162" i="52"/>
  <c r="BM160" i="52"/>
  <c r="BJ151" i="52"/>
  <c r="DF151" i="52" s="1"/>
  <c r="BJ155" i="52"/>
  <c r="DF155" i="52" s="1"/>
  <c r="BJ153" i="52"/>
  <c r="DF153" i="52" s="1"/>
  <c r="BJ158" i="52"/>
  <c r="BJ163" i="52"/>
  <c r="BJ160" i="52"/>
  <c r="BJ157" i="52"/>
  <c r="DF157" i="52" s="1"/>
  <c r="BJ162" i="52"/>
  <c r="BJ164" i="52"/>
  <c r="BJ161" i="52"/>
  <c r="BJ159" i="52"/>
  <c r="BQ11" i="52"/>
  <c r="DM11" i="52" s="1"/>
  <c r="BQ7" i="52"/>
  <c r="CW7" i="52" s="1"/>
  <c r="BQ9" i="52"/>
  <c r="CW9" i="52" s="1"/>
  <c r="BQ13" i="52"/>
  <c r="DM13" i="52" s="1"/>
  <c r="BQ17" i="52"/>
  <c r="CW17" i="52" s="1"/>
  <c r="BQ14" i="52"/>
  <c r="BQ18" i="52"/>
  <c r="CW18" i="52" s="1"/>
  <c r="BQ15" i="52"/>
  <c r="CW15" i="52" s="1"/>
  <c r="BQ19" i="52"/>
  <c r="CW19" i="52" s="1"/>
  <c r="BQ16" i="52"/>
  <c r="CW16" i="52" s="1"/>
  <c r="BQ20" i="52"/>
  <c r="CW20" i="52" s="1"/>
  <c r="AM80" i="52"/>
  <c r="AI82" i="52"/>
  <c r="AI84" i="52" s="1"/>
  <c r="AI98" i="52"/>
  <c r="AI100" i="52" s="1"/>
  <c r="BI163" i="52"/>
  <c r="BI160" i="52"/>
  <c r="CO160" i="52" s="1"/>
  <c r="BI157" i="52"/>
  <c r="DE157" i="52" s="1"/>
  <c r="BI162" i="52"/>
  <c r="CO162" i="52" s="1"/>
  <c r="BI159" i="52"/>
  <c r="BI161" i="52"/>
  <c r="CO161" i="52" s="1"/>
  <c r="BI158" i="52"/>
  <c r="BI164" i="52"/>
  <c r="CO164" i="52" s="1"/>
  <c r="AJ146" i="52"/>
  <c r="AJ148" i="52" s="1"/>
  <c r="BF151" i="52"/>
  <c r="CL151" i="52" s="1"/>
  <c r="BF155" i="52"/>
  <c r="BF153" i="52"/>
  <c r="CL153" i="52" s="1"/>
  <c r="BF157" i="52"/>
  <c r="BF164" i="52"/>
  <c r="CL164" i="52" s="1"/>
  <c r="BF163" i="52"/>
  <c r="CL163" i="52" s="1"/>
  <c r="BF160" i="52"/>
  <c r="CL160" i="52" s="1"/>
  <c r="BF162" i="52"/>
  <c r="CL162" i="52" s="1"/>
  <c r="BF161" i="52"/>
  <c r="CL161" i="52" s="1"/>
  <c r="BF159" i="52"/>
  <c r="CL159" i="52" s="1"/>
  <c r="BF158" i="52"/>
  <c r="BH151" i="52"/>
  <c r="DD151" i="52" s="1"/>
  <c r="BH155" i="52"/>
  <c r="BH153" i="52"/>
  <c r="CN153" i="52" s="1"/>
  <c r="BH160" i="52"/>
  <c r="CN160" i="52" s="1"/>
  <c r="BH157" i="52"/>
  <c r="DD157" i="52" s="1"/>
  <c r="BH162" i="52"/>
  <c r="CN162" i="52" s="1"/>
  <c r="BH159" i="52"/>
  <c r="CN159" i="52" s="1"/>
  <c r="BH164" i="52"/>
  <c r="CN164" i="52" s="1"/>
  <c r="BH158" i="52"/>
  <c r="BH163" i="52"/>
  <c r="CN163" i="52" s="1"/>
  <c r="BH161" i="52"/>
  <c r="CN161" i="52" s="1"/>
  <c r="BR155" i="52"/>
  <c r="DN155" i="52" s="1"/>
  <c r="BR153" i="52"/>
  <c r="DN153" i="52" s="1"/>
  <c r="BR151" i="52"/>
  <c r="CX151" i="52" s="1"/>
  <c r="BR158" i="52"/>
  <c r="DN158" i="52" s="1"/>
  <c r="BR163" i="52"/>
  <c r="DN163" i="52" s="1"/>
  <c r="BR160" i="52"/>
  <c r="CX160" i="52" s="1"/>
  <c r="BR157" i="52"/>
  <c r="DN157" i="52" s="1"/>
  <c r="BR162" i="52"/>
  <c r="CX162" i="52" s="1"/>
  <c r="BR164" i="52"/>
  <c r="CX164" i="52" s="1"/>
  <c r="BR161" i="52"/>
  <c r="CX161" i="52" s="1"/>
  <c r="BR159" i="52"/>
  <c r="CX159" i="52" s="1"/>
  <c r="BQ155" i="52"/>
  <c r="DM155" i="52" s="1"/>
  <c r="BQ153" i="52"/>
  <c r="DM153" i="52" s="1"/>
  <c r="BQ151" i="52"/>
  <c r="CW151" i="52" s="1"/>
  <c r="BQ163" i="52"/>
  <c r="CW163" i="52" s="1"/>
  <c r="BQ160" i="52"/>
  <c r="CW160" i="52" s="1"/>
  <c r="BQ157" i="52"/>
  <c r="DM157" i="52" s="1"/>
  <c r="BQ162" i="52"/>
  <c r="DM162" i="52" s="1"/>
  <c r="BQ159" i="52"/>
  <c r="CW159" i="52" s="1"/>
  <c r="BQ161" i="52"/>
  <c r="CW161" i="52" s="1"/>
  <c r="BQ158" i="52"/>
  <c r="BQ164" i="52"/>
  <c r="CW164" i="52" s="1"/>
  <c r="AI130" i="52"/>
  <c r="AI132" i="52" s="1"/>
  <c r="DF9" i="52"/>
  <c r="U163" i="52"/>
  <c r="V163" i="52"/>
  <c r="AJ82" i="52"/>
  <c r="AJ84" i="52" s="1"/>
  <c r="DF11" i="52"/>
  <c r="CU154" i="52"/>
  <c r="AH95" i="52"/>
  <c r="AH47" i="52"/>
  <c r="AH31" i="52"/>
  <c r="AH111" i="52"/>
  <c r="AH127" i="52"/>
  <c r="AH63" i="52"/>
  <c r="AH15" i="52"/>
  <c r="AH143" i="52"/>
  <c r="AH79" i="52"/>
  <c r="AM151" i="52"/>
  <c r="CN52" i="52"/>
  <c r="CI34" i="52"/>
  <c r="CL154" i="52"/>
  <c r="CL152" i="52"/>
  <c r="CX152" i="52"/>
  <c r="CX100" i="52"/>
  <c r="CU8" i="52"/>
  <c r="CL73" i="52"/>
  <c r="CM104" i="52"/>
  <c r="CO106" i="52"/>
  <c r="CO163" i="52"/>
  <c r="CN152" i="52"/>
  <c r="CX19" i="52"/>
  <c r="CT152" i="52"/>
  <c r="CN71" i="52"/>
  <c r="CO153" i="52"/>
  <c r="CO159" i="52"/>
  <c r="CV8" i="52"/>
  <c r="CN132" i="52"/>
  <c r="CO71" i="52"/>
  <c r="CL20" i="52"/>
  <c r="CX154" i="52"/>
  <c r="P164" i="52"/>
  <c r="CX147" i="52"/>
  <c r="CW52" i="52"/>
  <c r="CO84" i="52"/>
  <c r="CL36" i="52"/>
  <c r="CM88" i="52"/>
  <c r="CO104" i="52"/>
  <c r="CW90" i="52"/>
  <c r="CX7" i="52"/>
  <c r="CL87" i="52"/>
  <c r="CW100" i="52"/>
  <c r="CO9" i="52"/>
  <c r="CO8" i="52"/>
  <c r="CO23" i="52"/>
  <c r="CM103" i="52"/>
  <c r="CL148" i="52"/>
  <c r="CW152" i="52"/>
  <c r="CN119" i="52"/>
  <c r="CW116" i="52"/>
  <c r="CO87" i="52"/>
  <c r="CO72" i="52"/>
  <c r="CN39" i="52"/>
  <c r="CO41" i="52"/>
  <c r="CX39" i="52"/>
  <c r="CL84" i="52"/>
  <c r="CO152" i="52"/>
  <c r="CX36" i="52"/>
  <c r="CO105" i="52"/>
  <c r="CX55" i="52"/>
  <c r="CN81" i="52"/>
  <c r="CN41" i="52"/>
  <c r="CM8" i="52"/>
  <c r="CN57" i="52"/>
  <c r="CO68" i="52"/>
  <c r="CO58" i="52"/>
  <c r="CN65" i="52"/>
  <c r="CO57" i="52"/>
  <c r="CM100" i="52"/>
  <c r="CN55" i="52"/>
  <c r="CI65" i="52"/>
  <c r="CI68" i="52"/>
  <c r="CI64" i="52"/>
  <c r="CI67" i="52"/>
  <c r="CI63" i="52"/>
  <c r="CI62" i="52"/>
  <c r="CI61" i="52"/>
  <c r="CI66" i="52"/>
  <c r="CX67" i="52"/>
  <c r="CN68" i="52"/>
  <c r="CW68" i="52"/>
  <c r="CO56" i="52"/>
  <c r="CN73" i="52"/>
  <c r="CN66" i="52"/>
  <c r="CO55" i="52"/>
  <c r="CM24" i="52"/>
  <c r="CM116" i="52"/>
  <c r="CN82" i="52"/>
  <c r="CW154" i="52"/>
  <c r="CM74" i="52"/>
  <c r="CL71" i="52"/>
  <c r="CO116" i="52"/>
  <c r="CM23" i="52"/>
  <c r="CX35" i="52"/>
  <c r="CO7" i="52"/>
  <c r="CM84" i="52"/>
  <c r="CM72" i="52"/>
  <c r="CU152" i="52"/>
  <c r="CL82" i="52"/>
  <c r="CO24" i="52"/>
  <c r="CT154" i="52"/>
  <c r="CL7" i="52"/>
  <c r="CI19" i="52"/>
  <c r="CW130" i="52"/>
  <c r="CO151" i="52"/>
  <c r="CN137" i="52"/>
  <c r="CX83" i="52"/>
  <c r="CO103" i="52"/>
  <c r="CT106" i="52"/>
  <c r="CX84" i="52"/>
  <c r="CX51" i="52"/>
  <c r="CN100" i="52"/>
  <c r="CO42" i="52"/>
  <c r="CI17" i="52"/>
  <c r="CW34" i="52"/>
  <c r="CI16" i="52"/>
  <c r="CI20" i="52"/>
  <c r="CX41" i="52"/>
  <c r="CL39" i="52"/>
  <c r="CL52" i="52"/>
  <c r="CI18" i="52"/>
  <c r="CI14" i="52"/>
  <c r="CI15" i="52"/>
  <c r="CI32" i="52"/>
  <c r="CI36" i="52"/>
  <c r="CN89" i="52"/>
  <c r="CN148" i="52"/>
  <c r="CM7" i="52"/>
  <c r="CN116" i="52"/>
  <c r="CL119" i="52"/>
  <c r="CI29" i="52"/>
  <c r="CI30" i="52"/>
  <c r="CW41" i="52"/>
  <c r="CI31" i="52"/>
  <c r="CL132" i="52"/>
  <c r="CI33" i="52"/>
  <c r="CO88" i="52"/>
  <c r="CO25" i="52"/>
  <c r="CW132" i="52"/>
  <c r="CW104" i="52"/>
  <c r="CO90" i="52"/>
  <c r="CN103" i="52"/>
  <c r="CY26" i="52"/>
  <c r="CN87" i="52"/>
  <c r="CL100" i="52"/>
  <c r="CO36" i="52"/>
  <c r="CW148" i="52"/>
  <c r="CW36" i="52"/>
  <c r="CW105" i="52"/>
  <c r="CN105" i="52"/>
  <c r="CM20" i="52"/>
  <c r="CX52" i="52"/>
  <c r="CO26" i="52"/>
  <c r="CN135" i="52"/>
  <c r="CY120" i="52"/>
  <c r="CO52" i="52"/>
  <c r="CM153" i="52"/>
  <c r="CV104" i="52"/>
  <c r="CW50" i="52"/>
  <c r="CO100" i="52"/>
  <c r="CW137" i="52"/>
  <c r="CX105" i="52"/>
  <c r="CO148" i="52"/>
  <c r="CM164" i="52"/>
  <c r="CV154" i="52"/>
  <c r="CO138" i="52"/>
  <c r="CM154" i="52"/>
  <c r="CM162" i="52"/>
  <c r="CI147" i="52"/>
  <c r="CI143" i="52"/>
  <c r="CI142" i="52"/>
  <c r="CI148" i="52"/>
  <c r="CI144" i="52"/>
  <c r="CI145" i="52"/>
  <c r="CI141" i="52"/>
  <c r="CI146" i="52"/>
  <c r="CI52" i="52"/>
  <c r="CI49" i="52"/>
  <c r="CI50" i="52"/>
  <c r="CI47" i="52"/>
  <c r="CI46" i="52"/>
  <c r="CI48" i="52"/>
  <c r="CI51" i="52"/>
  <c r="CI45" i="52"/>
  <c r="CL116" i="52"/>
  <c r="CW114" i="52"/>
  <c r="CX116" i="52"/>
  <c r="CI100" i="52"/>
  <c r="CI96" i="52"/>
  <c r="CI99" i="52"/>
  <c r="CI95" i="52"/>
  <c r="CI94" i="52"/>
  <c r="CI98" i="52"/>
  <c r="CI97" i="52"/>
  <c r="CI93" i="52"/>
  <c r="CI114" i="52"/>
  <c r="CI115" i="52"/>
  <c r="CI111" i="52"/>
  <c r="CI116" i="52"/>
  <c r="CI112" i="52"/>
  <c r="CI113" i="52"/>
  <c r="CI109" i="52"/>
  <c r="CI110" i="52"/>
  <c r="CL103" i="52"/>
  <c r="CX115" i="52"/>
  <c r="CO137" i="52"/>
  <c r="CM151" i="52"/>
  <c r="CI131" i="52"/>
  <c r="CI127" i="52"/>
  <c r="CI126" i="52"/>
  <c r="CI132" i="52"/>
  <c r="CI128" i="52"/>
  <c r="CI129" i="52"/>
  <c r="CI125" i="52"/>
  <c r="CI130" i="52"/>
  <c r="CV152" i="52"/>
  <c r="CO89" i="52"/>
  <c r="CI164" i="52"/>
  <c r="CI161" i="52"/>
  <c r="CI158" i="52"/>
  <c r="CI159" i="52"/>
  <c r="CI162" i="52"/>
  <c r="CI157" i="52"/>
  <c r="CI160" i="52"/>
  <c r="CI163" i="52"/>
  <c r="CY40" i="52"/>
  <c r="CM152" i="52"/>
  <c r="CI84" i="52"/>
  <c r="CI80" i="52"/>
  <c r="CI81" i="52"/>
  <c r="CI77" i="52"/>
  <c r="CI82" i="52"/>
  <c r="CI83" i="52"/>
  <c r="CI79" i="52"/>
  <c r="CI78" i="52"/>
  <c r="CX103" i="52"/>
  <c r="CO135" i="52"/>
  <c r="AJ34" i="52" l="1"/>
  <c r="EP122" i="52"/>
  <c r="FA127" i="52" s="1"/>
  <c r="ES121" i="52"/>
  <c r="EZ130" i="52" s="1"/>
  <c r="ES122" i="52"/>
  <c r="FA130" i="52" s="1"/>
  <c r="AJ130" i="52"/>
  <c r="AJ132" i="52" s="1"/>
  <c r="BP123" i="52" s="1"/>
  <c r="AM113" i="52"/>
  <c r="DM18" i="52"/>
  <c r="ES13" i="52" s="1"/>
  <c r="FD18" i="52" s="1"/>
  <c r="F22" i="51"/>
  <c r="AI34" i="52"/>
  <c r="AI36" i="52" s="1"/>
  <c r="AJ66" i="52"/>
  <c r="F21" i="51"/>
  <c r="F23" i="51"/>
  <c r="F9" i="51"/>
  <c r="AJ20" i="52"/>
  <c r="BP18" i="52" s="1"/>
  <c r="CV18" i="52" s="1"/>
  <c r="AJ98" i="52"/>
  <c r="AJ100" i="52" s="1"/>
  <c r="BP87" i="52" s="1"/>
  <c r="CV87" i="52" s="1"/>
  <c r="AM17" i="52"/>
  <c r="AJ183" i="52"/>
  <c r="AI148" i="52"/>
  <c r="BO135" i="52" s="1"/>
  <c r="CU135" i="52" s="1"/>
  <c r="AI160" i="52"/>
  <c r="EK125" i="52"/>
  <c r="FD122" i="52" s="1"/>
  <c r="EM91" i="52"/>
  <c r="FB92" i="52" s="1"/>
  <c r="AJ161" i="52"/>
  <c r="CX163" i="52"/>
  <c r="AI182" i="52"/>
  <c r="AM182" i="52" s="1"/>
  <c r="EM141" i="52"/>
  <c r="ES27" i="52"/>
  <c r="FB34" i="52" s="1"/>
  <c r="EJ89" i="52"/>
  <c r="EZ89" i="52" s="1"/>
  <c r="EL140" i="52"/>
  <c r="FC139" i="52" s="1"/>
  <c r="EL28" i="52"/>
  <c r="FC27" i="52" s="1"/>
  <c r="EK141" i="52"/>
  <c r="FD138" i="52" s="1"/>
  <c r="EM89" i="52"/>
  <c r="EZ92" i="52" s="1"/>
  <c r="EM27" i="52"/>
  <c r="FB28" i="52" s="1"/>
  <c r="EM140" i="52"/>
  <c r="FC140" i="52" s="1"/>
  <c r="EL139" i="52"/>
  <c r="FB139" i="52" s="1"/>
  <c r="EK122" i="52"/>
  <c r="FA122" i="52" s="1"/>
  <c r="EL90" i="52"/>
  <c r="FA91" i="52" s="1"/>
  <c r="EM92" i="52"/>
  <c r="FC92" i="52" s="1"/>
  <c r="ES91" i="52"/>
  <c r="FB98" i="52" s="1"/>
  <c r="ES92" i="52"/>
  <c r="FC98" i="52" s="1"/>
  <c r="EM90" i="52"/>
  <c r="FA92" i="52" s="1"/>
  <c r="EJ93" i="52"/>
  <c r="FD89" i="52" s="1"/>
  <c r="ES93" i="52"/>
  <c r="FD98" i="52" s="1"/>
  <c r="EL27" i="52"/>
  <c r="FB27" i="52" s="1"/>
  <c r="EM26" i="52"/>
  <c r="FA28" i="52" s="1"/>
  <c r="EK25" i="52"/>
  <c r="EZ26" i="52" s="1"/>
  <c r="EL29" i="52"/>
  <c r="FD27" i="52" s="1"/>
  <c r="EL89" i="52"/>
  <c r="EZ91" i="52" s="1"/>
  <c r="EM93" i="52"/>
  <c r="FD92" i="52" s="1"/>
  <c r="EL92" i="52"/>
  <c r="FC91" i="52" s="1"/>
  <c r="EM29" i="52"/>
  <c r="FD28" i="52" s="1"/>
  <c r="EJ29" i="52"/>
  <c r="FD25" i="52" s="1"/>
  <c r="EK29" i="52"/>
  <c r="FD26" i="52" s="1"/>
  <c r="EJ26" i="52"/>
  <c r="FA25" i="52" s="1"/>
  <c r="EM28" i="52"/>
  <c r="FC28" i="52" s="1"/>
  <c r="EL13" i="52"/>
  <c r="FD11" i="52" s="1"/>
  <c r="CN151" i="52"/>
  <c r="EL26" i="52"/>
  <c r="FA27" i="52" s="1"/>
  <c r="DM184" i="52"/>
  <c r="ES179" i="52" s="1"/>
  <c r="FD184" i="52" s="1"/>
  <c r="CW153" i="52"/>
  <c r="AH181" i="52"/>
  <c r="AM181" i="52" s="1"/>
  <c r="EL179" i="52"/>
  <c r="FD177" i="52" s="1"/>
  <c r="EM179" i="52"/>
  <c r="FD178" i="52" s="1"/>
  <c r="FB140" i="52"/>
  <c r="FC146" i="52"/>
  <c r="DD175" i="52"/>
  <c r="EM176" i="52"/>
  <c r="FA178" i="52" s="1"/>
  <c r="EL175" i="52"/>
  <c r="EZ177" i="52" s="1"/>
  <c r="EM175" i="52"/>
  <c r="EZ178" i="52" s="1"/>
  <c r="EL176" i="52"/>
  <c r="FA177" i="52" s="1"/>
  <c r="CW162" i="52"/>
  <c r="EM123" i="52"/>
  <c r="FB124" i="52" s="1"/>
  <c r="EM137" i="52"/>
  <c r="ES89" i="52"/>
  <c r="EZ98" i="52" s="1"/>
  <c r="AJ68" i="52"/>
  <c r="BP63" i="52" s="1"/>
  <c r="CV63" i="52" s="1"/>
  <c r="EL138" i="52"/>
  <c r="FD139" i="52"/>
  <c r="FD137" i="52"/>
  <c r="EL91" i="52"/>
  <c r="FB91" i="52" s="1"/>
  <c r="FD140" i="52"/>
  <c r="EJ25" i="52"/>
  <c r="EZ25" i="52" s="1"/>
  <c r="DM175" i="52"/>
  <c r="AI184" i="52"/>
  <c r="FA140" i="52"/>
  <c r="EK179" i="52"/>
  <c r="FD176" i="52" s="1"/>
  <c r="EJ179" i="52"/>
  <c r="FD175" i="52" s="1"/>
  <c r="FA138" i="52"/>
  <c r="DN162" i="52"/>
  <c r="AM183" i="52"/>
  <c r="EM178" i="52"/>
  <c r="FC178" i="52" s="1"/>
  <c r="EM177" i="52"/>
  <c r="FB178" i="52" s="1"/>
  <c r="EL178" i="52"/>
  <c r="FC177" i="52" s="1"/>
  <c r="EL177" i="52"/>
  <c r="FB177" i="52" s="1"/>
  <c r="EK137" i="52"/>
  <c r="EJ138" i="52"/>
  <c r="ES137" i="52"/>
  <c r="EL121" i="52"/>
  <c r="EZ123" i="52" s="1"/>
  <c r="EL122" i="52"/>
  <c r="FA123" i="52" s="1"/>
  <c r="EL123" i="52"/>
  <c r="FB123" i="52" s="1"/>
  <c r="EK89" i="52"/>
  <c r="EZ90" i="52" s="1"/>
  <c r="EK90" i="52"/>
  <c r="FA90" i="52" s="1"/>
  <c r="EJ90" i="52"/>
  <c r="FA89" i="52" s="1"/>
  <c r="EK93" i="52"/>
  <c r="FD90" i="52" s="1"/>
  <c r="EM25" i="52"/>
  <c r="EZ28" i="52" s="1"/>
  <c r="EK26" i="52"/>
  <c r="FA26" i="52" s="1"/>
  <c r="EL25" i="52"/>
  <c r="EZ27" i="52" s="1"/>
  <c r="W163" i="52"/>
  <c r="EM124" i="52"/>
  <c r="FC124" i="52" s="1"/>
  <c r="DB151" i="52"/>
  <c r="DN151" i="52"/>
  <c r="DD153" i="52"/>
  <c r="ES90" i="52"/>
  <c r="FA98" i="52" s="1"/>
  <c r="EM121" i="52"/>
  <c r="EZ124" i="52" s="1"/>
  <c r="EJ137" i="52"/>
  <c r="EL137" i="52"/>
  <c r="CX153" i="52"/>
  <c r="EJ121" i="52"/>
  <c r="EZ121" i="52" s="1"/>
  <c r="EK121" i="52"/>
  <c r="EZ122" i="52" s="1"/>
  <c r="DM9" i="52"/>
  <c r="ES138" i="52"/>
  <c r="ES141" i="52"/>
  <c r="ES139" i="52"/>
  <c r="EM12" i="52"/>
  <c r="FC12" i="52" s="1"/>
  <c r="EL12" i="52"/>
  <c r="FC11" i="52" s="1"/>
  <c r="EM11" i="52"/>
  <c r="FB12" i="52" s="1"/>
  <c r="EL11" i="52"/>
  <c r="FB11" i="52" s="1"/>
  <c r="EM9" i="52"/>
  <c r="EZ12" i="52" s="1"/>
  <c r="EL9" i="52"/>
  <c r="EZ11" i="52" s="1"/>
  <c r="EM10" i="52"/>
  <c r="FA12" i="52" s="1"/>
  <c r="EL10" i="52"/>
  <c r="FA11" i="52" s="1"/>
  <c r="BO123" i="52"/>
  <c r="BO121" i="52"/>
  <c r="CU121" i="52" s="1"/>
  <c r="BO119" i="52"/>
  <c r="CU119" i="52" s="1"/>
  <c r="BO125" i="52"/>
  <c r="BO130" i="52"/>
  <c r="CU130" i="52" s="1"/>
  <c r="BO127" i="52"/>
  <c r="CU127" i="52" s="1"/>
  <c r="BO132" i="52"/>
  <c r="CU132" i="52" s="1"/>
  <c r="BO129" i="52"/>
  <c r="CU129" i="52" s="1"/>
  <c r="BO131" i="52"/>
  <c r="CU131" i="52" s="1"/>
  <c r="BO128" i="52"/>
  <c r="BO126" i="52"/>
  <c r="BP75" i="52"/>
  <c r="BP73" i="52"/>
  <c r="CV73" i="52" s="1"/>
  <c r="BP71" i="52"/>
  <c r="CV71" i="52" s="1"/>
  <c r="BP80" i="52"/>
  <c r="CV80" i="52" s="1"/>
  <c r="BP77" i="52"/>
  <c r="BP82" i="52"/>
  <c r="BP79" i="52"/>
  <c r="CV79" i="52" s="1"/>
  <c r="BP84" i="52"/>
  <c r="CV84" i="52" s="1"/>
  <c r="BP78" i="52"/>
  <c r="BP83" i="52"/>
  <c r="CV83" i="52" s="1"/>
  <c r="BP81" i="52"/>
  <c r="AM160" i="52"/>
  <c r="BO27" i="52"/>
  <c r="BO25" i="52"/>
  <c r="CU25" i="52" s="1"/>
  <c r="BO23" i="52"/>
  <c r="CU23" i="52" s="1"/>
  <c r="BO35" i="52"/>
  <c r="CU35" i="52" s="1"/>
  <c r="BO32" i="52"/>
  <c r="BO36" i="52"/>
  <c r="CU36" i="52" s="1"/>
  <c r="BO29" i="52"/>
  <c r="BO34" i="52"/>
  <c r="CU34" i="52" s="1"/>
  <c r="BO31" i="52"/>
  <c r="CU31" i="52" s="1"/>
  <c r="BO33" i="52"/>
  <c r="CU33" i="52" s="1"/>
  <c r="BO30" i="52"/>
  <c r="BP107" i="52"/>
  <c r="BP103" i="52"/>
  <c r="CV103" i="52" s="1"/>
  <c r="BP105" i="52"/>
  <c r="CV105" i="52" s="1"/>
  <c r="BP112" i="52"/>
  <c r="CV112" i="52" s="1"/>
  <c r="BP109" i="52"/>
  <c r="BP114" i="52"/>
  <c r="CV114" i="52" s="1"/>
  <c r="BP111" i="52"/>
  <c r="CV111" i="52" s="1"/>
  <c r="BP116" i="52"/>
  <c r="CV116" i="52" s="1"/>
  <c r="BP110" i="52"/>
  <c r="BP115" i="52"/>
  <c r="CV115" i="52" s="1"/>
  <c r="BP113" i="52"/>
  <c r="BO145" i="52"/>
  <c r="CU145" i="52" s="1"/>
  <c r="BO147" i="52"/>
  <c r="CU147" i="52" s="1"/>
  <c r="BO75" i="52"/>
  <c r="BO73" i="52"/>
  <c r="CU73" i="52" s="1"/>
  <c r="BO71" i="52"/>
  <c r="CU71" i="52" s="1"/>
  <c r="BO77" i="52"/>
  <c r="BO82" i="52"/>
  <c r="BO79" i="52"/>
  <c r="CU79" i="52" s="1"/>
  <c r="BO84" i="52"/>
  <c r="CU84" i="52" s="1"/>
  <c r="BO81" i="52"/>
  <c r="CU81" i="52" s="1"/>
  <c r="BO83" i="52"/>
  <c r="CU83" i="52" s="1"/>
  <c r="BO80" i="52"/>
  <c r="BO78" i="52"/>
  <c r="BO107" i="52"/>
  <c r="BO105" i="52"/>
  <c r="CU105" i="52" s="1"/>
  <c r="BO103" i="52"/>
  <c r="CU103" i="52" s="1"/>
  <c r="BO109" i="52"/>
  <c r="BO114" i="52"/>
  <c r="CU114" i="52" s="1"/>
  <c r="BO111" i="52"/>
  <c r="CU111" i="52" s="1"/>
  <c r="BO116" i="52"/>
  <c r="CU116" i="52" s="1"/>
  <c r="BO113" i="52"/>
  <c r="CU113" i="52" s="1"/>
  <c r="BO115" i="52"/>
  <c r="CU115" i="52" s="1"/>
  <c r="BO112" i="52"/>
  <c r="BO110" i="52"/>
  <c r="AM161" i="52"/>
  <c r="BP139" i="52"/>
  <c r="BP137" i="52"/>
  <c r="CV137" i="52" s="1"/>
  <c r="BP135" i="52"/>
  <c r="CV135" i="52" s="1"/>
  <c r="BP144" i="52"/>
  <c r="CV144" i="52" s="1"/>
  <c r="BP141" i="52"/>
  <c r="BP146" i="52"/>
  <c r="CV146" i="52" s="1"/>
  <c r="BP143" i="52"/>
  <c r="CV143" i="52" s="1"/>
  <c r="BP148" i="52"/>
  <c r="CV148" i="52" s="1"/>
  <c r="BP142" i="52"/>
  <c r="BP147" i="52"/>
  <c r="CV147" i="52" s="1"/>
  <c r="BP145" i="52"/>
  <c r="BP7" i="52"/>
  <c r="CV7" i="52" s="1"/>
  <c r="BP16" i="52"/>
  <c r="CV16" i="52" s="1"/>
  <c r="BP14" i="52"/>
  <c r="BP17" i="52"/>
  <c r="AJ36" i="52"/>
  <c r="AI162" i="52"/>
  <c r="AI164" i="52" s="1"/>
  <c r="BP125" i="52"/>
  <c r="BP130" i="52"/>
  <c r="BP127" i="52"/>
  <c r="CV127" i="52" s="1"/>
  <c r="BP132" i="52"/>
  <c r="CV132" i="52" s="1"/>
  <c r="BO43" i="52"/>
  <c r="BO41" i="52"/>
  <c r="CU41" i="52" s="1"/>
  <c r="BO39" i="52"/>
  <c r="CU39" i="52" s="1"/>
  <c r="BO45" i="52"/>
  <c r="BO47" i="52"/>
  <c r="CU47" i="52" s="1"/>
  <c r="BO48" i="52"/>
  <c r="BO51" i="52"/>
  <c r="CU51" i="52" s="1"/>
  <c r="BO46" i="52"/>
  <c r="BO52" i="52"/>
  <c r="CU52" i="52" s="1"/>
  <c r="BO50" i="52"/>
  <c r="CU50" i="52" s="1"/>
  <c r="BO49" i="52"/>
  <c r="CU49" i="52" s="1"/>
  <c r="BO11" i="52"/>
  <c r="DK11" i="52" s="1"/>
  <c r="BO9" i="52"/>
  <c r="BO7" i="52"/>
  <c r="CU7" i="52" s="1"/>
  <c r="BO14" i="52"/>
  <c r="BO18" i="52"/>
  <c r="CU18" i="52" s="1"/>
  <c r="BO15" i="52"/>
  <c r="CU15" i="52" s="1"/>
  <c r="BO19" i="52"/>
  <c r="CU19" i="52" s="1"/>
  <c r="BO16" i="52"/>
  <c r="BO20" i="52"/>
  <c r="CU20" i="52" s="1"/>
  <c r="BO13" i="52"/>
  <c r="BO17" i="52"/>
  <c r="CU17" i="52" s="1"/>
  <c r="BP43" i="52"/>
  <c r="BP41" i="52"/>
  <c r="CV41" i="52" s="1"/>
  <c r="BP39" i="52"/>
  <c r="CV39" i="52" s="1"/>
  <c r="BP48" i="52"/>
  <c r="CV48" i="52" s="1"/>
  <c r="BP45" i="52"/>
  <c r="BP47" i="52"/>
  <c r="CV47" i="52" s="1"/>
  <c r="BP46" i="52"/>
  <c r="BP51" i="52"/>
  <c r="CV51" i="52" s="1"/>
  <c r="BP50" i="52"/>
  <c r="CV50" i="52" s="1"/>
  <c r="BP52" i="52"/>
  <c r="CV52" i="52" s="1"/>
  <c r="BP49" i="52"/>
  <c r="DD9" i="52"/>
  <c r="DD7" i="52"/>
  <c r="EK13" i="52" s="1"/>
  <c r="FD10" i="52" s="1"/>
  <c r="BO65" i="52"/>
  <c r="CU65" i="52" s="1"/>
  <c r="BO59" i="52"/>
  <c r="BO57" i="52"/>
  <c r="CU57" i="52" s="1"/>
  <c r="BO55" i="52"/>
  <c r="CU55" i="52" s="1"/>
  <c r="BO62" i="52"/>
  <c r="BO67" i="52"/>
  <c r="CU67" i="52" s="1"/>
  <c r="BO64" i="52"/>
  <c r="CU64" i="52" s="1"/>
  <c r="BO61" i="52"/>
  <c r="BO63" i="52"/>
  <c r="CU63" i="52" s="1"/>
  <c r="BO66" i="52"/>
  <c r="CU66" i="52" s="1"/>
  <c r="BO68" i="52"/>
  <c r="CU68" i="52" s="1"/>
  <c r="BO91" i="52"/>
  <c r="BO89" i="52"/>
  <c r="CU89" i="52" s="1"/>
  <c r="BO87" i="52"/>
  <c r="CU87" i="52" s="1"/>
  <c r="BO93" i="52"/>
  <c r="BO98" i="52"/>
  <c r="CU98" i="52" s="1"/>
  <c r="BO95" i="52"/>
  <c r="CU95" i="52" s="1"/>
  <c r="BO100" i="52"/>
  <c r="CU100" i="52" s="1"/>
  <c r="BO97" i="52"/>
  <c r="CU97" i="52" s="1"/>
  <c r="BO99" i="52"/>
  <c r="CU99" i="52" s="1"/>
  <c r="BO96" i="52"/>
  <c r="BO94" i="52"/>
  <c r="BP68" i="52"/>
  <c r="CV68" i="52" s="1"/>
  <c r="BP55" i="52"/>
  <c r="CV55" i="52" s="1"/>
  <c r="AH58" i="52"/>
  <c r="AM63" i="52"/>
  <c r="AH59" i="52"/>
  <c r="AH61" i="52"/>
  <c r="AH60" i="52"/>
  <c r="AH57" i="52"/>
  <c r="AH66" i="52"/>
  <c r="AH122" i="52"/>
  <c r="AM122" i="52" s="1"/>
  <c r="AH123" i="52"/>
  <c r="AM123" i="52" s="1"/>
  <c r="AM127" i="52"/>
  <c r="AH125" i="52"/>
  <c r="AM125" i="52" s="1"/>
  <c r="AH124" i="52"/>
  <c r="AM124" i="52" s="1"/>
  <c r="AH121" i="52"/>
  <c r="AH130" i="52"/>
  <c r="AM130" i="52" s="1"/>
  <c r="AH114" i="52"/>
  <c r="AM114" i="52" s="1"/>
  <c r="AH106" i="52"/>
  <c r="AM106" i="52" s="1"/>
  <c r="AH109" i="52"/>
  <c r="AM109" i="52" s="1"/>
  <c r="AM111" i="52"/>
  <c r="AH107" i="52"/>
  <c r="AM107" i="52" s="1"/>
  <c r="AH105" i="52"/>
  <c r="AH108" i="52"/>
  <c r="AM108" i="52" s="1"/>
  <c r="AH26" i="52"/>
  <c r="AM26" i="52" s="1"/>
  <c r="AH29" i="52"/>
  <c r="AM29" i="52" s="1"/>
  <c r="AM31" i="52"/>
  <c r="AH27" i="52"/>
  <c r="AM27" i="52" s="1"/>
  <c r="AH25" i="52"/>
  <c r="AH34" i="52"/>
  <c r="AM34" i="52" s="1"/>
  <c r="AH28" i="52"/>
  <c r="AM28" i="52" s="1"/>
  <c r="AH42" i="52"/>
  <c r="AM42" i="52" s="1"/>
  <c r="AM47" i="52"/>
  <c r="AH45" i="52"/>
  <c r="AM45" i="52" s="1"/>
  <c r="AH43" i="52"/>
  <c r="AM43" i="52" s="1"/>
  <c r="AH50" i="52"/>
  <c r="AM50" i="52" s="1"/>
  <c r="AH41" i="52"/>
  <c r="AH44" i="52"/>
  <c r="AM44" i="52" s="1"/>
  <c r="AH74" i="52"/>
  <c r="AM74" i="52" s="1"/>
  <c r="AH77" i="52"/>
  <c r="AM77" i="52" s="1"/>
  <c r="AM79" i="52"/>
  <c r="AH75" i="52"/>
  <c r="AM75" i="52" s="1"/>
  <c r="AH82" i="52"/>
  <c r="AM82" i="52" s="1"/>
  <c r="AH73" i="52"/>
  <c r="AH76" i="52"/>
  <c r="AM76" i="52" s="1"/>
  <c r="AH91" i="52"/>
  <c r="AM91" i="52" s="1"/>
  <c r="AH98" i="52"/>
  <c r="AH93" i="52"/>
  <c r="AM93" i="52" s="1"/>
  <c r="AH92" i="52"/>
  <c r="AH89" i="52"/>
  <c r="AM89" i="52" s="1"/>
  <c r="AH90" i="52"/>
  <c r="AM90" i="52" s="1"/>
  <c r="AM95" i="52"/>
  <c r="AH138" i="52"/>
  <c r="AM138" i="52" s="1"/>
  <c r="AM143" i="52"/>
  <c r="AH139" i="52"/>
  <c r="AM139" i="52" s="1"/>
  <c r="AH140" i="52"/>
  <c r="AM140" i="52" s="1"/>
  <c r="AH141" i="52"/>
  <c r="AM141" i="52" s="1"/>
  <c r="AH137" i="52"/>
  <c r="AH146" i="52"/>
  <c r="AM146" i="52" s="1"/>
  <c r="AH11" i="52"/>
  <c r="AH9" i="52"/>
  <c r="AH10" i="52"/>
  <c r="AH13" i="52"/>
  <c r="AH159" i="52"/>
  <c r="AH18" i="52"/>
  <c r="AH12" i="52"/>
  <c r="AM15" i="52"/>
  <c r="CY152" i="52"/>
  <c r="CY104" i="52"/>
  <c r="CY58" i="52"/>
  <c r="CY56" i="52"/>
  <c r="CY24" i="52"/>
  <c r="CY10" i="52"/>
  <c r="CY8" i="52"/>
  <c r="CY122" i="52"/>
  <c r="CY106" i="52"/>
  <c r="CY136" i="52"/>
  <c r="CY42" i="52"/>
  <c r="CY138" i="52"/>
  <c r="CY154" i="52"/>
  <c r="CY72" i="52"/>
  <c r="CY74" i="52"/>
  <c r="CY88" i="52"/>
  <c r="CY90" i="52"/>
  <c r="D605" i="50"/>
  <c r="D606" i="50"/>
  <c r="D607" i="50"/>
  <c r="D608" i="50"/>
  <c r="D609" i="50"/>
  <c r="D610" i="50"/>
  <c r="D611" i="50"/>
  <c r="D612" i="50"/>
  <c r="D613" i="50"/>
  <c r="D614" i="50"/>
  <c r="D615" i="50"/>
  <c r="D616" i="50"/>
  <c r="D617" i="50"/>
  <c r="D618" i="50"/>
  <c r="D619" i="50"/>
  <c r="D620" i="50"/>
  <c r="D621" i="50"/>
  <c r="D622" i="50"/>
  <c r="D623" i="50"/>
  <c r="D624" i="50"/>
  <c r="D625" i="50"/>
  <c r="D626" i="50"/>
  <c r="D627" i="50"/>
  <c r="D628" i="50"/>
  <c r="D604" i="50"/>
  <c r="D580" i="50"/>
  <c r="D581" i="50"/>
  <c r="D582" i="50"/>
  <c r="D583" i="50"/>
  <c r="D584" i="50"/>
  <c r="D585" i="50"/>
  <c r="D586" i="50"/>
  <c r="D587" i="50"/>
  <c r="D588" i="50"/>
  <c r="D589" i="50"/>
  <c r="D590" i="50"/>
  <c r="D591" i="50"/>
  <c r="D592" i="50"/>
  <c r="D593" i="50"/>
  <c r="D594" i="50"/>
  <c r="D595" i="50"/>
  <c r="D596" i="50"/>
  <c r="D597" i="50"/>
  <c r="D598" i="50"/>
  <c r="D599" i="50"/>
  <c r="D600" i="50"/>
  <c r="D601" i="50"/>
  <c r="D602" i="50"/>
  <c r="D603" i="50"/>
  <c r="D579" i="50"/>
  <c r="D555" i="50"/>
  <c r="D556" i="50"/>
  <c r="D557" i="50"/>
  <c r="D558" i="50"/>
  <c r="D559" i="50"/>
  <c r="D560" i="50"/>
  <c r="D561" i="50"/>
  <c r="D562" i="50"/>
  <c r="D563" i="50"/>
  <c r="D564" i="50"/>
  <c r="D565" i="50"/>
  <c r="D566" i="50"/>
  <c r="D567" i="50"/>
  <c r="D568" i="50"/>
  <c r="D569" i="50"/>
  <c r="D570" i="50"/>
  <c r="D571" i="50"/>
  <c r="D572" i="50"/>
  <c r="D573" i="50"/>
  <c r="D574" i="50"/>
  <c r="D575" i="50"/>
  <c r="D576" i="50"/>
  <c r="D577" i="50"/>
  <c r="D578" i="50"/>
  <c r="D554" i="50"/>
  <c r="D530" i="50"/>
  <c r="D531" i="50"/>
  <c r="D532" i="50"/>
  <c r="D533" i="50"/>
  <c r="D534" i="50"/>
  <c r="D535" i="50"/>
  <c r="D536" i="50"/>
  <c r="D537" i="50"/>
  <c r="D538" i="50"/>
  <c r="D539" i="50"/>
  <c r="D540" i="50"/>
  <c r="D541" i="50"/>
  <c r="D542" i="50"/>
  <c r="D543" i="50"/>
  <c r="D544" i="50"/>
  <c r="D545" i="50"/>
  <c r="D546" i="50"/>
  <c r="D547" i="50"/>
  <c r="D548" i="50"/>
  <c r="D549" i="50"/>
  <c r="D550" i="50"/>
  <c r="D551" i="50"/>
  <c r="D552" i="50"/>
  <c r="D553" i="50"/>
  <c r="D529" i="50"/>
  <c r="D505" i="50"/>
  <c r="D506" i="50"/>
  <c r="D507" i="50"/>
  <c r="D508" i="50"/>
  <c r="D509" i="50"/>
  <c r="D510" i="50"/>
  <c r="D511" i="50"/>
  <c r="D512" i="50"/>
  <c r="D513" i="50"/>
  <c r="D514" i="50"/>
  <c r="D515" i="50"/>
  <c r="D516" i="50"/>
  <c r="D517" i="50"/>
  <c r="D518" i="50"/>
  <c r="D519" i="50"/>
  <c r="D520" i="50"/>
  <c r="D521" i="50"/>
  <c r="D522" i="50"/>
  <c r="D523" i="50"/>
  <c r="D524" i="50"/>
  <c r="D525" i="50"/>
  <c r="D526" i="50"/>
  <c r="D527" i="50"/>
  <c r="D528" i="50"/>
  <c r="D504" i="50"/>
  <c r="D480" i="50"/>
  <c r="D481" i="50"/>
  <c r="D482" i="50"/>
  <c r="D483" i="50"/>
  <c r="D484" i="50"/>
  <c r="D485" i="50"/>
  <c r="D486" i="50"/>
  <c r="D487" i="50"/>
  <c r="D488" i="50"/>
  <c r="D489" i="50"/>
  <c r="D490" i="50"/>
  <c r="D491" i="50"/>
  <c r="D492" i="50"/>
  <c r="D493" i="50"/>
  <c r="D494" i="50"/>
  <c r="D495" i="50"/>
  <c r="D496" i="50"/>
  <c r="D497" i="50"/>
  <c r="D498" i="50"/>
  <c r="D499" i="50"/>
  <c r="D500" i="50"/>
  <c r="D501" i="50"/>
  <c r="D502" i="50"/>
  <c r="D503" i="50"/>
  <c r="D479" i="50"/>
  <c r="D455" i="50"/>
  <c r="D456" i="50"/>
  <c r="D457" i="50"/>
  <c r="D458" i="50"/>
  <c r="D459" i="50"/>
  <c r="D460" i="50"/>
  <c r="D461" i="50"/>
  <c r="D462" i="50"/>
  <c r="D463" i="50"/>
  <c r="D464" i="50"/>
  <c r="D465" i="50"/>
  <c r="D466" i="50"/>
  <c r="D467" i="50"/>
  <c r="D468" i="50"/>
  <c r="D469" i="50"/>
  <c r="D470" i="50"/>
  <c r="D471" i="50"/>
  <c r="D472" i="50"/>
  <c r="D473" i="50"/>
  <c r="D474" i="50"/>
  <c r="D475" i="50"/>
  <c r="D476" i="50"/>
  <c r="D477" i="50"/>
  <c r="D478" i="50"/>
  <c r="D454" i="50"/>
  <c r="D430" i="50"/>
  <c r="D431" i="50"/>
  <c r="D432" i="50"/>
  <c r="D433" i="50"/>
  <c r="D434" i="50"/>
  <c r="D435" i="50"/>
  <c r="D436" i="50"/>
  <c r="D437" i="50"/>
  <c r="D438" i="50"/>
  <c r="D439" i="50"/>
  <c r="D440" i="50"/>
  <c r="D441" i="50"/>
  <c r="D442" i="50"/>
  <c r="D443" i="50"/>
  <c r="D444" i="50"/>
  <c r="D445" i="50"/>
  <c r="D446" i="50"/>
  <c r="D447" i="50"/>
  <c r="D448" i="50"/>
  <c r="D449" i="50"/>
  <c r="D450" i="50"/>
  <c r="D451" i="50"/>
  <c r="D452" i="50"/>
  <c r="D453" i="50"/>
  <c r="D429" i="50"/>
  <c r="D405" i="50"/>
  <c r="D406" i="50"/>
  <c r="D407" i="50"/>
  <c r="D408" i="50"/>
  <c r="D409" i="50"/>
  <c r="D410" i="50"/>
  <c r="D411" i="50"/>
  <c r="D412" i="50"/>
  <c r="D413" i="50"/>
  <c r="D414" i="50"/>
  <c r="D415" i="50"/>
  <c r="D416" i="50"/>
  <c r="D417" i="50"/>
  <c r="D418" i="50"/>
  <c r="D419" i="50"/>
  <c r="D420" i="50"/>
  <c r="D421" i="50"/>
  <c r="D422" i="50"/>
  <c r="D423" i="50"/>
  <c r="D424" i="50"/>
  <c r="D425" i="50"/>
  <c r="D426" i="50"/>
  <c r="D427" i="50"/>
  <c r="D428" i="50"/>
  <c r="D404" i="50"/>
  <c r="D380" i="50"/>
  <c r="D381" i="50"/>
  <c r="D382" i="50"/>
  <c r="D383" i="50"/>
  <c r="D384" i="50"/>
  <c r="D385" i="50"/>
  <c r="D386" i="50"/>
  <c r="D387" i="50"/>
  <c r="D388" i="50"/>
  <c r="D389" i="50"/>
  <c r="D390" i="50"/>
  <c r="D391" i="50"/>
  <c r="D392" i="50"/>
  <c r="D393" i="50"/>
  <c r="D394" i="50"/>
  <c r="D395" i="50"/>
  <c r="D396" i="50"/>
  <c r="D397" i="50"/>
  <c r="D398" i="50"/>
  <c r="D399" i="50"/>
  <c r="D400" i="50"/>
  <c r="D401" i="50"/>
  <c r="D402" i="50"/>
  <c r="D403" i="50"/>
  <c r="D379" i="50"/>
  <c r="D355" i="50"/>
  <c r="D356" i="50"/>
  <c r="D357" i="50"/>
  <c r="D358" i="50"/>
  <c r="D359" i="50"/>
  <c r="D360" i="50"/>
  <c r="D361" i="50"/>
  <c r="D362" i="50"/>
  <c r="D363" i="50"/>
  <c r="D364" i="50"/>
  <c r="D365" i="50"/>
  <c r="D366" i="50"/>
  <c r="D367" i="50"/>
  <c r="D368" i="50"/>
  <c r="D369" i="50"/>
  <c r="D370" i="50"/>
  <c r="D371" i="50"/>
  <c r="D372" i="50"/>
  <c r="D373" i="50"/>
  <c r="D374" i="50"/>
  <c r="D375" i="50"/>
  <c r="D376" i="50"/>
  <c r="D377" i="50"/>
  <c r="D378" i="50"/>
  <c r="D354" i="50"/>
  <c r="D330" i="50"/>
  <c r="D331" i="50"/>
  <c r="D332" i="50"/>
  <c r="D333" i="50"/>
  <c r="D334" i="50"/>
  <c r="D335" i="50"/>
  <c r="D336" i="50"/>
  <c r="D337" i="50"/>
  <c r="D338" i="50"/>
  <c r="D339" i="50"/>
  <c r="D340" i="50"/>
  <c r="D341" i="50"/>
  <c r="D342" i="50"/>
  <c r="D343" i="50"/>
  <c r="D344" i="50"/>
  <c r="D345" i="50"/>
  <c r="D346" i="50"/>
  <c r="D347" i="50"/>
  <c r="D348" i="50"/>
  <c r="D349" i="50"/>
  <c r="D350" i="50"/>
  <c r="D351" i="50"/>
  <c r="D352" i="50"/>
  <c r="D353" i="50"/>
  <c r="D329" i="50"/>
  <c r="D305" i="50"/>
  <c r="D306" i="50"/>
  <c r="D307" i="50"/>
  <c r="D308" i="50"/>
  <c r="D309" i="50"/>
  <c r="D310" i="50"/>
  <c r="D311" i="50"/>
  <c r="D312" i="50"/>
  <c r="D313" i="50"/>
  <c r="D314" i="50"/>
  <c r="D315" i="50"/>
  <c r="D316" i="50"/>
  <c r="D317" i="50"/>
  <c r="D318" i="50"/>
  <c r="D319" i="50"/>
  <c r="D320" i="50"/>
  <c r="D321" i="50"/>
  <c r="D322" i="50"/>
  <c r="D323" i="50"/>
  <c r="D324" i="50"/>
  <c r="D325" i="50"/>
  <c r="D326" i="50"/>
  <c r="D327" i="50"/>
  <c r="D328" i="50"/>
  <c r="D304" i="50"/>
  <c r="D280" i="50"/>
  <c r="D281" i="50"/>
  <c r="D282" i="50"/>
  <c r="D283" i="50"/>
  <c r="D284" i="50"/>
  <c r="D285" i="50"/>
  <c r="D286" i="50"/>
  <c r="D287" i="50"/>
  <c r="D288" i="50"/>
  <c r="D289" i="50"/>
  <c r="D290" i="50"/>
  <c r="D291" i="50"/>
  <c r="D292" i="50"/>
  <c r="D293" i="50"/>
  <c r="D294" i="50"/>
  <c r="D295" i="50"/>
  <c r="D296" i="50"/>
  <c r="D297" i="50"/>
  <c r="D298" i="50"/>
  <c r="D299" i="50"/>
  <c r="D300" i="50"/>
  <c r="D301" i="50"/>
  <c r="D302" i="50"/>
  <c r="D303" i="50"/>
  <c r="D279" i="50"/>
  <c r="D255" i="50"/>
  <c r="D256" i="50"/>
  <c r="D257" i="50"/>
  <c r="D258" i="50"/>
  <c r="D259" i="50"/>
  <c r="D260" i="50"/>
  <c r="D261" i="50"/>
  <c r="D262" i="50"/>
  <c r="D263" i="50"/>
  <c r="D264" i="50"/>
  <c r="D265" i="50"/>
  <c r="D266" i="50"/>
  <c r="D267" i="50"/>
  <c r="D268" i="50"/>
  <c r="D269" i="50"/>
  <c r="D270" i="50"/>
  <c r="D271" i="50"/>
  <c r="D272" i="50"/>
  <c r="D273" i="50"/>
  <c r="D274" i="50"/>
  <c r="D275" i="50"/>
  <c r="D276" i="50"/>
  <c r="D277" i="50"/>
  <c r="D278" i="50"/>
  <c r="D254" i="50"/>
  <c r="D230" i="50"/>
  <c r="D231" i="50"/>
  <c r="D232" i="50"/>
  <c r="D233" i="50"/>
  <c r="D234" i="50"/>
  <c r="D235" i="50"/>
  <c r="D236" i="50"/>
  <c r="D237" i="50"/>
  <c r="D238" i="50"/>
  <c r="D239" i="50"/>
  <c r="D240" i="50"/>
  <c r="D241" i="50"/>
  <c r="D242" i="50"/>
  <c r="D243" i="50"/>
  <c r="D244" i="50"/>
  <c r="D245" i="50"/>
  <c r="D246" i="50"/>
  <c r="D247" i="50"/>
  <c r="D248" i="50"/>
  <c r="D249" i="50"/>
  <c r="D250" i="50"/>
  <c r="D251" i="50"/>
  <c r="D252" i="50"/>
  <c r="D253" i="50"/>
  <c r="D229" i="50"/>
  <c r="D205" i="50"/>
  <c r="D206" i="50"/>
  <c r="D207" i="50"/>
  <c r="D208" i="50"/>
  <c r="D209" i="50"/>
  <c r="D210" i="50"/>
  <c r="D211" i="50"/>
  <c r="D212" i="50"/>
  <c r="D213" i="50"/>
  <c r="D214" i="50"/>
  <c r="D215" i="50"/>
  <c r="D216" i="50"/>
  <c r="D217" i="50"/>
  <c r="D218" i="50"/>
  <c r="D219" i="50"/>
  <c r="D220" i="50"/>
  <c r="D221" i="50"/>
  <c r="D222" i="50"/>
  <c r="D223" i="50"/>
  <c r="D224" i="50"/>
  <c r="D225" i="50"/>
  <c r="D226" i="50"/>
  <c r="D227" i="50"/>
  <c r="D228" i="50"/>
  <c r="D204" i="50"/>
  <c r="D180" i="50"/>
  <c r="D181" i="50"/>
  <c r="D182" i="50"/>
  <c r="D183" i="50"/>
  <c r="D184" i="50"/>
  <c r="D185" i="50"/>
  <c r="D186" i="50"/>
  <c r="D187" i="50"/>
  <c r="D188" i="50"/>
  <c r="D189" i="50"/>
  <c r="D190" i="50"/>
  <c r="D191" i="50"/>
  <c r="D192" i="50"/>
  <c r="D193" i="50"/>
  <c r="D194" i="50"/>
  <c r="D195" i="50"/>
  <c r="D196" i="50"/>
  <c r="D197" i="50"/>
  <c r="D198" i="50"/>
  <c r="D199" i="50"/>
  <c r="D200" i="50"/>
  <c r="D201" i="50"/>
  <c r="D202" i="50"/>
  <c r="D203" i="50"/>
  <c r="D179" i="50"/>
  <c r="D155" i="50"/>
  <c r="D156" i="50"/>
  <c r="D157" i="50"/>
  <c r="D158" i="50"/>
  <c r="D159" i="50"/>
  <c r="D160" i="50"/>
  <c r="D161" i="50"/>
  <c r="D162" i="50"/>
  <c r="D163" i="50"/>
  <c r="D164" i="50"/>
  <c r="D165" i="50"/>
  <c r="D166" i="50"/>
  <c r="D167" i="50"/>
  <c r="D168" i="50"/>
  <c r="D169" i="50"/>
  <c r="D170" i="50"/>
  <c r="D171" i="50"/>
  <c r="D172" i="50"/>
  <c r="D173" i="50"/>
  <c r="D174" i="50"/>
  <c r="D175" i="50"/>
  <c r="D176" i="50"/>
  <c r="D177" i="50"/>
  <c r="D178" i="50"/>
  <c r="D154" i="50"/>
  <c r="D130" i="50"/>
  <c r="D131" i="50"/>
  <c r="D132" i="50"/>
  <c r="D133" i="50"/>
  <c r="D134" i="50"/>
  <c r="D135" i="50"/>
  <c r="D136" i="50"/>
  <c r="D137" i="50"/>
  <c r="D138" i="50"/>
  <c r="D139" i="50"/>
  <c r="D140" i="50"/>
  <c r="D141" i="50"/>
  <c r="D142" i="50"/>
  <c r="D143" i="50"/>
  <c r="D144" i="50"/>
  <c r="D145" i="50"/>
  <c r="D146" i="50"/>
  <c r="D147" i="50"/>
  <c r="D148" i="50"/>
  <c r="D149" i="50"/>
  <c r="D150" i="50"/>
  <c r="D151" i="50"/>
  <c r="D152" i="50"/>
  <c r="D153" i="50"/>
  <c r="D129" i="50"/>
  <c r="D105" i="50"/>
  <c r="D106" i="50"/>
  <c r="D107" i="50"/>
  <c r="D108" i="50"/>
  <c r="D109" i="50"/>
  <c r="D110" i="50"/>
  <c r="D111" i="50"/>
  <c r="D112" i="50"/>
  <c r="D113" i="50"/>
  <c r="D114" i="50"/>
  <c r="D115" i="50"/>
  <c r="D116" i="50"/>
  <c r="D117" i="50"/>
  <c r="D118" i="50"/>
  <c r="D119" i="50"/>
  <c r="D120" i="50"/>
  <c r="D121" i="50"/>
  <c r="D122" i="50"/>
  <c r="D123" i="50"/>
  <c r="D124" i="50"/>
  <c r="D125" i="50"/>
  <c r="D126" i="50"/>
  <c r="D127" i="50"/>
  <c r="D128" i="50"/>
  <c r="D104" i="50"/>
  <c r="D80" i="50"/>
  <c r="D81" i="50"/>
  <c r="D82" i="50"/>
  <c r="D83" i="50"/>
  <c r="D84" i="50"/>
  <c r="D85" i="50"/>
  <c r="D86" i="50"/>
  <c r="D87" i="50"/>
  <c r="D88" i="50"/>
  <c r="D89" i="50"/>
  <c r="D90" i="50"/>
  <c r="D91" i="50"/>
  <c r="D92" i="50"/>
  <c r="D93" i="50"/>
  <c r="D94" i="50"/>
  <c r="D95" i="50"/>
  <c r="D96" i="50"/>
  <c r="D97" i="50"/>
  <c r="D98" i="50"/>
  <c r="D99" i="50"/>
  <c r="D100" i="50"/>
  <c r="D101" i="50"/>
  <c r="D102" i="50"/>
  <c r="D103" i="50"/>
  <c r="D79" i="50"/>
  <c r="D55" i="50"/>
  <c r="D56" i="50"/>
  <c r="D57" i="50"/>
  <c r="D58" i="50"/>
  <c r="D59" i="50"/>
  <c r="D60" i="50"/>
  <c r="D61" i="50"/>
  <c r="D62" i="50"/>
  <c r="D63" i="50"/>
  <c r="D64" i="50"/>
  <c r="D65" i="50"/>
  <c r="D66" i="50"/>
  <c r="D67" i="50"/>
  <c r="D68" i="50"/>
  <c r="D69" i="50"/>
  <c r="D70" i="50"/>
  <c r="D71" i="50"/>
  <c r="D72" i="50"/>
  <c r="D73" i="50"/>
  <c r="D74" i="50"/>
  <c r="D75" i="50"/>
  <c r="D76" i="50"/>
  <c r="D77" i="50"/>
  <c r="D78" i="50"/>
  <c r="D54" i="50"/>
  <c r="D30" i="50"/>
  <c r="D31" i="50"/>
  <c r="D32" i="50"/>
  <c r="D33" i="50"/>
  <c r="D34" i="50"/>
  <c r="D35" i="50"/>
  <c r="D36" i="50"/>
  <c r="D37" i="50"/>
  <c r="D38" i="50"/>
  <c r="D39" i="50"/>
  <c r="D40" i="50"/>
  <c r="D41" i="50"/>
  <c r="D42" i="50"/>
  <c r="D43" i="50"/>
  <c r="D44" i="50"/>
  <c r="D45" i="50"/>
  <c r="D46" i="50"/>
  <c r="D47" i="50"/>
  <c r="D48" i="50"/>
  <c r="D49" i="50"/>
  <c r="D50" i="50"/>
  <c r="D51" i="50"/>
  <c r="D52" i="50"/>
  <c r="D53" i="50"/>
  <c r="D29" i="50"/>
  <c r="D4" i="50"/>
  <c r="D5" i="50"/>
  <c r="D6" i="50"/>
  <c r="D7" i="50"/>
  <c r="D8" i="50"/>
  <c r="D9" i="50"/>
  <c r="D10" i="50"/>
  <c r="D11" i="50"/>
  <c r="D12" i="50"/>
  <c r="D13" i="50"/>
  <c r="D14" i="50"/>
  <c r="D15" i="50"/>
  <c r="D16" i="50"/>
  <c r="D17" i="50"/>
  <c r="D18" i="50"/>
  <c r="D19" i="50"/>
  <c r="D20" i="50"/>
  <c r="D21" i="50"/>
  <c r="D22" i="50"/>
  <c r="D23" i="50"/>
  <c r="D24" i="50"/>
  <c r="D25" i="50"/>
  <c r="D26" i="50"/>
  <c r="D27" i="50"/>
  <c r="D28" i="50"/>
  <c r="BP94" i="52" l="1"/>
  <c r="BP9" i="52"/>
  <c r="CV9" i="52" s="1"/>
  <c r="BP20" i="52"/>
  <c r="CV20" i="52" s="1"/>
  <c r="BP98" i="52"/>
  <c r="CV98" i="52" s="1"/>
  <c r="BP129" i="52"/>
  <c r="DL129" i="52" s="1"/>
  <c r="BP119" i="52"/>
  <c r="CV119" i="52" s="1"/>
  <c r="BP19" i="52"/>
  <c r="CV19" i="52" s="1"/>
  <c r="AJ162" i="52"/>
  <c r="AJ164" i="52" s="1"/>
  <c r="BP184" i="52" s="1"/>
  <c r="CV184" i="52" s="1"/>
  <c r="AM98" i="52"/>
  <c r="BP13" i="52"/>
  <c r="BP95" i="52"/>
  <c r="CV95" i="52" s="1"/>
  <c r="BP91" i="52"/>
  <c r="BP131" i="52"/>
  <c r="CV131" i="52" s="1"/>
  <c r="BP121" i="52"/>
  <c r="CV121" i="52" s="1"/>
  <c r="BP15" i="52"/>
  <c r="CV15" i="52" s="1"/>
  <c r="AJ184" i="52"/>
  <c r="AJ186" i="52" s="1"/>
  <c r="BP128" i="52"/>
  <c r="CV128" i="52" s="1"/>
  <c r="BP11" i="52"/>
  <c r="BP126" i="52"/>
  <c r="BP62" i="52"/>
  <c r="BP99" i="52"/>
  <c r="CV99" i="52" s="1"/>
  <c r="BP89" i="52"/>
  <c r="CV89" i="52" s="1"/>
  <c r="BP57" i="52"/>
  <c r="CV57" i="52" s="1"/>
  <c r="BP100" i="52"/>
  <c r="CV100" i="52" s="1"/>
  <c r="BO144" i="52"/>
  <c r="BP93" i="52"/>
  <c r="BO148" i="52"/>
  <c r="CU148" i="52" s="1"/>
  <c r="BP96" i="52"/>
  <c r="CV96" i="52" s="1"/>
  <c r="BO137" i="52"/>
  <c r="CU137" i="52" s="1"/>
  <c r="ES12" i="52"/>
  <c r="FC18" i="52" s="1"/>
  <c r="BP67" i="52"/>
  <c r="CV67" i="52" s="1"/>
  <c r="BP97" i="52"/>
  <c r="CV97" i="52" s="1"/>
  <c r="BO139" i="52"/>
  <c r="ES11" i="52"/>
  <c r="FB18" i="52" s="1"/>
  <c r="AI186" i="52"/>
  <c r="BP59" i="52"/>
  <c r="BO143" i="52"/>
  <c r="CU143" i="52" s="1"/>
  <c r="BP65" i="52"/>
  <c r="CV65" i="52" s="1"/>
  <c r="BO146" i="52"/>
  <c r="CU146" i="52" s="1"/>
  <c r="BP61" i="52"/>
  <c r="BP66" i="52"/>
  <c r="CV66" i="52" s="1"/>
  <c r="BO141" i="52"/>
  <c r="BP64" i="52"/>
  <c r="CV64" i="52" s="1"/>
  <c r="BO142" i="52"/>
  <c r="ES177" i="52"/>
  <c r="FB184" i="52" s="1"/>
  <c r="ES178" i="52"/>
  <c r="FC184" i="52" s="1"/>
  <c r="BP185" i="52"/>
  <c r="CV185" i="52" s="1"/>
  <c r="BP181" i="52"/>
  <c r="CV181" i="52" s="1"/>
  <c r="BO185" i="52"/>
  <c r="CU185" i="52" s="1"/>
  <c r="BO184" i="52"/>
  <c r="CU184" i="52" s="1"/>
  <c r="BO179" i="52"/>
  <c r="BO183" i="52"/>
  <c r="CU183" i="52" s="1"/>
  <c r="BO181" i="52"/>
  <c r="CU181" i="52" s="1"/>
  <c r="BO180" i="52"/>
  <c r="BO175" i="52"/>
  <c r="CU175" i="52" s="1"/>
  <c r="BO173" i="52"/>
  <c r="CU173" i="52" s="1"/>
  <c r="BO182" i="52"/>
  <c r="BO177" i="52"/>
  <c r="BO186" i="52"/>
  <c r="CU186" i="52" s="1"/>
  <c r="AM61" i="52"/>
  <c r="AH179" i="52"/>
  <c r="AM179" i="52" s="1"/>
  <c r="AM59" i="52"/>
  <c r="AH177" i="52"/>
  <c r="AM177" i="52" s="1"/>
  <c r="FD146" i="52"/>
  <c r="FA146" i="52"/>
  <c r="ES176" i="52"/>
  <c r="FA184" i="52" s="1"/>
  <c r="ES175" i="52"/>
  <c r="EZ184" i="52" s="1"/>
  <c r="AM58" i="52"/>
  <c r="AH176" i="52"/>
  <c r="AM176" i="52" s="1"/>
  <c r="FA139" i="52"/>
  <c r="EZ140" i="52"/>
  <c r="FB146" i="52"/>
  <c r="AM66" i="52"/>
  <c r="AH184" i="52"/>
  <c r="EZ146" i="52"/>
  <c r="AM60" i="52"/>
  <c r="AH178" i="52"/>
  <c r="AM178" i="52" s="1"/>
  <c r="EZ139" i="52"/>
  <c r="EZ138" i="52"/>
  <c r="EZ137" i="52"/>
  <c r="AH175" i="52"/>
  <c r="FA137" i="52"/>
  <c r="EK176" i="52"/>
  <c r="FA176" i="52" s="1"/>
  <c r="EK175" i="52"/>
  <c r="EZ176" i="52" s="1"/>
  <c r="EJ176" i="52"/>
  <c r="FA175" i="52" s="1"/>
  <c r="EJ175" i="52"/>
  <c r="EZ175" i="52" s="1"/>
  <c r="CV129" i="52"/>
  <c r="CV145" i="52"/>
  <c r="DL145" i="52"/>
  <c r="ER146" i="52" s="1"/>
  <c r="CU80" i="52"/>
  <c r="DK80" i="52"/>
  <c r="ES10" i="52"/>
  <c r="FA18" i="52" s="1"/>
  <c r="ES9" i="52"/>
  <c r="EZ18" i="52" s="1"/>
  <c r="CU48" i="52"/>
  <c r="DK48" i="52"/>
  <c r="EQ50" i="52" s="1"/>
  <c r="FJ48" i="52" s="1"/>
  <c r="CU128" i="52"/>
  <c r="DK128" i="52"/>
  <c r="EQ130" i="52" s="1"/>
  <c r="FJ128" i="52" s="1"/>
  <c r="CV82" i="52"/>
  <c r="DL82" i="52"/>
  <c r="CV49" i="52"/>
  <c r="DL49" i="52"/>
  <c r="ER50" i="52" s="1"/>
  <c r="FJ49" i="52" s="1"/>
  <c r="CU144" i="52"/>
  <c r="DK144" i="52"/>
  <c r="EQ146" i="52" s="1"/>
  <c r="CU96" i="52"/>
  <c r="DK96" i="52"/>
  <c r="EQ98" i="52" s="1"/>
  <c r="FJ96" i="52" s="1"/>
  <c r="CV130" i="52"/>
  <c r="DL130" i="52"/>
  <c r="CU32" i="52"/>
  <c r="DK32" i="52"/>
  <c r="EQ34" i="52" s="1"/>
  <c r="FJ32" i="52" s="1"/>
  <c r="CU112" i="52"/>
  <c r="DK112" i="52"/>
  <c r="EQ114" i="52" s="1"/>
  <c r="FJ112" i="52" s="1"/>
  <c r="CU82" i="52"/>
  <c r="DK82" i="52"/>
  <c r="CV113" i="52"/>
  <c r="DL113" i="52"/>
  <c r="ER114" i="52" s="1"/>
  <c r="FJ113" i="52" s="1"/>
  <c r="CV81" i="52"/>
  <c r="DL81" i="52"/>
  <c r="EJ9" i="52"/>
  <c r="EZ9" i="52" s="1"/>
  <c r="EK10" i="52"/>
  <c r="FA10" i="52" s="1"/>
  <c r="EJ10" i="52"/>
  <c r="FA9" i="52" s="1"/>
  <c r="EK9" i="52"/>
  <c r="EZ10" i="52" s="1"/>
  <c r="EJ13" i="52"/>
  <c r="FD9" i="52" s="1"/>
  <c r="BP27" i="52"/>
  <c r="BP25" i="52"/>
  <c r="CV25" i="52" s="1"/>
  <c r="BP23" i="52"/>
  <c r="CV23" i="52" s="1"/>
  <c r="BP30" i="52"/>
  <c r="BP31" i="52"/>
  <c r="CV31" i="52" s="1"/>
  <c r="BP35" i="52"/>
  <c r="CV35" i="52" s="1"/>
  <c r="BP32" i="52"/>
  <c r="CV32" i="52" s="1"/>
  <c r="BP29" i="52"/>
  <c r="BP34" i="52"/>
  <c r="CV34" i="52" s="1"/>
  <c r="BP36" i="52"/>
  <c r="CV36" i="52" s="1"/>
  <c r="BP33" i="52"/>
  <c r="CU16" i="52"/>
  <c r="DK16" i="52"/>
  <c r="EQ11" i="52" s="1"/>
  <c r="FB16" i="52" s="1"/>
  <c r="BO155" i="52"/>
  <c r="BO153" i="52"/>
  <c r="CU153" i="52" s="1"/>
  <c r="BO151" i="52"/>
  <c r="CU151" i="52" s="1"/>
  <c r="BO157" i="52"/>
  <c r="BO162" i="52"/>
  <c r="CU162" i="52" s="1"/>
  <c r="BO159" i="52"/>
  <c r="CU159" i="52" s="1"/>
  <c r="BO164" i="52"/>
  <c r="CU164" i="52" s="1"/>
  <c r="BO161" i="52"/>
  <c r="CU161" i="52" s="1"/>
  <c r="BO163" i="52"/>
  <c r="CU163" i="52" s="1"/>
  <c r="BO160" i="52"/>
  <c r="BO158" i="52"/>
  <c r="AH162" i="52"/>
  <c r="BP151" i="52"/>
  <c r="CV151" i="52" s="1"/>
  <c r="BP161" i="52"/>
  <c r="CV17" i="52"/>
  <c r="DL17" i="52"/>
  <c r="CU9" i="52"/>
  <c r="DK9" i="52"/>
  <c r="AH156" i="52"/>
  <c r="AM156" i="52" s="1"/>
  <c r="AM12" i="52"/>
  <c r="AH148" i="52"/>
  <c r="AM137" i="52"/>
  <c r="AM148" i="52" s="1"/>
  <c r="AM159" i="52"/>
  <c r="AM57" i="52"/>
  <c r="AH68" i="52"/>
  <c r="AH157" i="52"/>
  <c r="AM157" i="52" s="1"/>
  <c r="AM13" i="52"/>
  <c r="AM105" i="52"/>
  <c r="AM116" i="52" s="1"/>
  <c r="AH116" i="52"/>
  <c r="AM121" i="52"/>
  <c r="AM132" i="52" s="1"/>
  <c r="AH132" i="52"/>
  <c r="AH154" i="52"/>
  <c r="AM154" i="52" s="1"/>
  <c r="AM10" i="52"/>
  <c r="AH153" i="52"/>
  <c r="AM153" i="52" s="1"/>
  <c r="AM9" i="52"/>
  <c r="AM41" i="52"/>
  <c r="AM52" i="52" s="1"/>
  <c r="AH52" i="52"/>
  <c r="AM25" i="52"/>
  <c r="AM36" i="52" s="1"/>
  <c r="AH36" i="52"/>
  <c r="AH100" i="52"/>
  <c r="AM92" i="52"/>
  <c r="AM100" i="52" s="1"/>
  <c r="AH155" i="52"/>
  <c r="AM155" i="52" s="1"/>
  <c r="AM11" i="52"/>
  <c r="AM73" i="52"/>
  <c r="AM84" i="52" s="1"/>
  <c r="AH84" i="52"/>
  <c r="K157" i="20"/>
  <c r="J157" i="20"/>
  <c r="I157" i="20"/>
  <c r="K156" i="20"/>
  <c r="J156" i="20"/>
  <c r="I156" i="20"/>
  <c r="K155" i="20"/>
  <c r="J155" i="20"/>
  <c r="I155" i="20"/>
  <c r="K154" i="20"/>
  <c r="J154" i="20"/>
  <c r="I154" i="20"/>
  <c r="K153" i="20"/>
  <c r="J153" i="20"/>
  <c r="I153" i="20"/>
  <c r="K152" i="20"/>
  <c r="J152" i="20"/>
  <c r="I152" i="20"/>
  <c r="K151" i="20"/>
  <c r="J151" i="20"/>
  <c r="I151" i="20"/>
  <c r="K150" i="20"/>
  <c r="J150" i="20"/>
  <c r="I150" i="20"/>
  <c r="K149" i="20"/>
  <c r="J149" i="20"/>
  <c r="I149" i="20"/>
  <c r="K148" i="20"/>
  <c r="J148" i="20"/>
  <c r="I148" i="20"/>
  <c r="K147" i="20"/>
  <c r="J147" i="20"/>
  <c r="I147" i="20"/>
  <c r="K146" i="20"/>
  <c r="J146" i="20"/>
  <c r="I146" i="20"/>
  <c r="K145" i="20"/>
  <c r="J145" i="20"/>
  <c r="I145" i="20"/>
  <c r="K144" i="20"/>
  <c r="J144" i="20"/>
  <c r="I144" i="20"/>
  <c r="K140" i="20"/>
  <c r="J140" i="20"/>
  <c r="I140" i="20"/>
  <c r="K139" i="20"/>
  <c r="J139" i="20"/>
  <c r="I139" i="20"/>
  <c r="K138" i="20"/>
  <c r="J138" i="20"/>
  <c r="I138" i="20"/>
  <c r="K137" i="20"/>
  <c r="J137" i="20"/>
  <c r="I137" i="20"/>
  <c r="K136" i="20"/>
  <c r="J136" i="20"/>
  <c r="I136" i="20"/>
  <c r="K135" i="20"/>
  <c r="J135" i="20"/>
  <c r="I135" i="20"/>
  <c r="K134" i="20"/>
  <c r="J134" i="20"/>
  <c r="I134" i="20"/>
  <c r="K133" i="20"/>
  <c r="J133" i="20"/>
  <c r="I133" i="20"/>
  <c r="K132" i="20"/>
  <c r="J132" i="20"/>
  <c r="I132" i="20"/>
  <c r="K131" i="20"/>
  <c r="J131" i="20"/>
  <c r="I131" i="20"/>
  <c r="K130" i="20"/>
  <c r="J130" i="20"/>
  <c r="I130" i="20"/>
  <c r="K129" i="20"/>
  <c r="J129" i="20"/>
  <c r="I129" i="20"/>
  <c r="K128" i="20"/>
  <c r="J128" i="20"/>
  <c r="I128" i="20"/>
  <c r="K127" i="20"/>
  <c r="J127" i="20"/>
  <c r="I127" i="20"/>
  <c r="K123" i="20"/>
  <c r="J123" i="20"/>
  <c r="I123" i="20"/>
  <c r="K122" i="20"/>
  <c r="J122" i="20"/>
  <c r="I122" i="20"/>
  <c r="K121" i="20"/>
  <c r="J121" i="20"/>
  <c r="I121" i="20"/>
  <c r="K120" i="20"/>
  <c r="J120" i="20"/>
  <c r="I120" i="20"/>
  <c r="K119" i="20"/>
  <c r="J119" i="20"/>
  <c r="I119" i="20"/>
  <c r="K118" i="20"/>
  <c r="J118" i="20"/>
  <c r="I118" i="20"/>
  <c r="K117" i="20"/>
  <c r="J117" i="20"/>
  <c r="I117" i="20"/>
  <c r="K116" i="20"/>
  <c r="J116" i="20"/>
  <c r="I116" i="20"/>
  <c r="K115" i="20"/>
  <c r="J115" i="20"/>
  <c r="I115" i="20"/>
  <c r="K114" i="20"/>
  <c r="J114" i="20"/>
  <c r="I114" i="20"/>
  <c r="K113" i="20"/>
  <c r="J113" i="20"/>
  <c r="I113" i="20"/>
  <c r="K112" i="20"/>
  <c r="J112" i="20"/>
  <c r="I112" i="20"/>
  <c r="K111" i="20"/>
  <c r="J111" i="20"/>
  <c r="I111" i="20"/>
  <c r="K110" i="20"/>
  <c r="J110" i="20"/>
  <c r="I110" i="20"/>
  <c r="K106" i="20"/>
  <c r="J106" i="20"/>
  <c r="I106" i="20"/>
  <c r="K105" i="20"/>
  <c r="J105" i="20"/>
  <c r="I105" i="20"/>
  <c r="K104" i="20"/>
  <c r="J104" i="20"/>
  <c r="I104" i="20"/>
  <c r="K103" i="20"/>
  <c r="J103" i="20"/>
  <c r="I103" i="20"/>
  <c r="K102" i="20"/>
  <c r="J102" i="20"/>
  <c r="I102" i="20"/>
  <c r="K101" i="20"/>
  <c r="J101" i="20"/>
  <c r="I101" i="20"/>
  <c r="K100" i="20"/>
  <c r="J100" i="20"/>
  <c r="I100" i="20"/>
  <c r="K99" i="20"/>
  <c r="J99" i="20"/>
  <c r="I99" i="20"/>
  <c r="K98" i="20"/>
  <c r="J98" i="20"/>
  <c r="I98" i="20"/>
  <c r="K97" i="20"/>
  <c r="J97" i="20"/>
  <c r="I97" i="20"/>
  <c r="K96" i="20"/>
  <c r="J96" i="20"/>
  <c r="I96" i="20"/>
  <c r="K95" i="20"/>
  <c r="J95" i="20"/>
  <c r="I95" i="20"/>
  <c r="K94" i="20"/>
  <c r="J94" i="20"/>
  <c r="I94" i="20"/>
  <c r="K93" i="20"/>
  <c r="J93" i="20"/>
  <c r="I93" i="20"/>
  <c r="K89" i="20"/>
  <c r="J89" i="20"/>
  <c r="I89" i="20"/>
  <c r="K88" i="20"/>
  <c r="J88" i="20"/>
  <c r="I88" i="20"/>
  <c r="K87" i="20"/>
  <c r="J87" i="20"/>
  <c r="I87" i="20"/>
  <c r="K86" i="20"/>
  <c r="J86" i="20"/>
  <c r="I86" i="20"/>
  <c r="K85" i="20"/>
  <c r="J85" i="20"/>
  <c r="I85" i="20"/>
  <c r="K84" i="20"/>
  <c r="J84" i="20"/>
  <c r="I84" i="20"/>
  <c r="K83" i="20"/>
  <c r="J83" i="20"/>
  <c r="I83" i="20"/>
  <c r="K82" i="20"/>
  <c r="J82" i="20"/>
  <c r="I82" i="20"/>
  <c r="K81" i="20"/>
  <c r="J81" i="20"/>
  <c r="I81" i="20"/>
  <c r="K80" i="20"/>
  <c r="J80" i="20"/>
  <c r="I80" i="20"/>
  <c r="K79" i="20"/>
  <c r="J79" i="20"/>
  <c r="I79" i="20"/>
  <c r="K78" i="20"/>
  <c r="J78" i="20"/>
  <c r="I78" i="20"/>
  <c r="K77" i="20"/>
  <c r="J77" i="20"/>
  <c r="I77" i="20"/>
  <c r="K76" i="20"/>
  <c r="J76" i="20"/>
  <c r="I76" i="20"/>
  <c r="K72" i="20"/>
  <c r="J72" i="20"/>
  <c r="I72" i="20"/>
  <c r="K71" i="20"/>
  <c r="J71" i="20"/>
  <c r="I71" i="20"/>
  <c r="K70" i="20"/>
  <c r="J70" i="20"/>
  <c r="I70" i="20"/>
  <c r="K69" i="20"/>
  <c r="J69" i="20"/>
  <c r="I69" i="20"/>
  <c r="K68" i="20"/>
  <c r="J68" i="20"/>
  <c r="AB68" i="20" s="1"/>
  <c r="AH68" i="20" s="1"/>
  <c r="I68" i="20"/>
  <c r="K67" i="20"/>
  <c r="J67" i="20"/>
  <c r="I67" i="20"/>
  <c r="K66" i="20"/>
  <c r="J66" i="20"/>
  <c r="I66" i="20"/>
  <c r="K65" i="20"/>
  <c r="J65" i="20"/>
  <c r="I65" i="20"/>
  <c r="K64" i="20"/>
  <c r="J64" i="20"/>
  <c r="I64" i="20"/>
  <c r="K63" i="20"/>
  <c r="J63" i="20"/>
  <c r="I63" i="20"/>
  <c r="K62" i="20"/>
  <c r="J62" i="20"/>
  <c r="I62" i="20"/>
  <c r="K61" i="20"/>
  <c r="J61" i="20"/>
  <c r="I61" i="20"/>
  <c r="K60" i="20"/>
  <c r="J60" i="20"/>
  <c r="I60" i="20"/>
  <c r="K59" i="20"/>
  <c r="J59" i="20"/>
  <c r="I59" i="20"/>
  <c r="K55" i="20"/>
  <c r="J55" i="20"/>
  <c r="I55" i="20"/>
  <c r="K54" i="20"/>
  <c r="J54" i="20"/>
  <c r="I54" i="20"/>
  <c r="K53" i="20"/>
  <c r="J53" i="20"/>
  <c r="I53" i="20"/>
  <c r="K52" i="20"/>
  <c r="J52" i="20"/>
  <c r="I52" i="20"/>
  <c r="K51" i="20"/>
  <c r="J51" i="20"/>
  <c r="I51" i="20"/>
  <c r="K50" i="20"/>
  <c r="J50" i="20"/>
  <c r="I50" i="20"/>
  <c r="K49" i="20"/>
  <c r="J49" i="20"/>
  <c r="I49" i="20"/>
  <c r="K48" i="20"/>
  <c r="J48" i="20"/>
  <c r="I48" i="20"/>
  <c r="K47" i="20"/>
  <c r="J47" i="20"/>
  <c r="I47" i="20"/>
  <c r="K46" i="20"/>
  <c r="J46" i="20"/>
  <c r="I46" i="20"/>
  <c r="K45" i="20"/>
  <c r="J45" i="20"/>
  <c r="I45" i="20"/>
  <c r="K44" i="20"/>
  <c r="J44" i="20"/>
  <c r="I44" i="20"/>
  <c r="K43" i="20"/>
  <c r="J43" i="20"/>
  <c r="I43" i="20"/>
  <c r="K42" i="20"/>
  <c r="J42" i="20"/>
  <c r="I42" i="20"/>
  <c r="K37" i="20"/>
  <c r="J37" i="20"/>
  <c r="I37" i="20"/>
  <c r="K36" i="20"/>
  <c r="J36" i="20"/>
  <c r="I36" i="20"/>
  <c r="K35" i="20"/>
  <c r="J35" i="20"/>
  <c r="I35" i="20"/>
  <c r="K34" i="20"/>
  <c r="J34" i="20"/>
  <c r="I34" i="20"/>
  <c r="K33" i="20"/>
  <c r="J33" i="20"/>
  <c r="I33" i="20"/>
  <c r="K32" i="20"/>
  <c r="J32" i="20"/>
  <c r="I32" i="20"/>
  <c r="K31" i="20"/>
  <c r="J31" i="20"/>
  <c r="I31" i="20"/>
  <c r="K30" i="20"/>
  <c r="J30" i="20"/>
  <c r="I30" i="20"/>
  <c r="K29" i="20"/>
  <c r="J29" i="20"/>
  <c r="I29" i="20"/>
  <c r="K28" i="20"/>
  <c r="J28" i="20"/>
  <c r="I28" i="20"/>
  <c r="K27" i="20"/>
  <c r="J27" i="20"/>
  <c r="I27" i="20"/>
  <c r="K26" i="20"/>
  <c r="J26" i="20"/>
  <c r="I26" i="20"/>
  <c r="K25" i="20"/>
  <c r="J25" i="20"/>
  <c r="I25" i="20"/>
  <c r="K24" i="20"/>
  <c r="J24" i="20"/>
  <c r="I24" i="20"/>
  <c r="K7" i="20"/>
  <c r="K8" i="20"/>
  <c r="K9" i="20"/>
  <c r="K10" i="20"/>
  <c r="K11" i="20"/>
  <c r="K12" i="20"/>
  <c r="K13" i="20"/>
  <c r="K14" i="20"/>
  <c r="K15" i="20"/>
  <c r="K16" i="20"/>
  <c r="K17" i="20"/>
  <c r="K18" i="20"/>
  <c r="K19" i="20"/>
  <c r="K6" i="20"/>
  <c r="J7" i="20"/>
  <c r="J8" i="20"/>
  <c r="J9" i="20"/>
  <c r="J10" i="20"/>
  <c r="J11" i="20"/>
  <c r="J12" i="20"/>
  <c r="J13" i="20"/>
  <c r="J14" i="20"/>
  <c r="J15" i="20"/>
  <c r="J16" i="20"/>
  <c r="J17" i="20"/>
  <c r="J18" i="20"/>
  <c r="J19" i="20"/>
  <c r="J6" i="20"/>
  <c r="I7" i="20"/>
  <c r="I8" i="20"/>
  <c r="I9" i="20"/>
  <c r="I10" i="20"/>
  <c r="I11" i="20"/>
  <c r="I12" i="20"/>
  <c r="I13" i="20"/>
  <c r="I14" i="20"/>
  <c r="I15" i="20"/>
  <c r="I16" i="20"/>
  <c r="I17" i="20"/>
  <c r="I18" i="20"/>
  <c r="I19" i="20"/>
  <c r="I6" i="20"/>
  <c r="E171" i="20"/>
  <c r="D171" i="20"/>
  <c r="C171" i="20"/>
  <c r="E170" i="20"/>
  <c r="D170" i="20"/>
  <c r="C170" i="20"/>
  <c r="E157" i="20"/>
  <c r="D157" i="20"/>
  <c r="C157" i="20"/>
  <c r="E156" i="20"/>
  <c r="D156" i="20"/>
  <c r="C156" i="20"/>
  <c r="E155" i="20"/>
  <c r="D155" i="20"/>
  <c r="C155" i="20"/>
  <c r="E154" i="20"/>
  <c r="D154" i="20"/>
  <c r="C154" i="20"/>
  <c r="E151" i="20"/>
  <c r="D151" i="20"/>
  <c r="C151" i="20"/>
  <c r="E150" i="20"/>
  <c r="D150" i="20"/>
  <c r="C150" i="20"/>
  <c r="E149" i="20"/>
  <c r="D149" i="20"/>
  <c r="C149" i="20"/>
  <c r="E148" i="20"/>
  <c r="D148" i="20"/>
  <c r="C148" i="20"/>
  <c r="E147" i="20"/>
  <c r="D147" i="20"/>
  <c r="C147" i="20"/>
  <c r="E146" i="20"/>
  <c r="D146" i="20"/>
  <c r="C146" i="20"/>
  <c r="E145" i="20"/>
  <c r="D145" i="20"/>
  <c r="C145" i="20"/>
  <c r="E144" i="20"/>
  <c r="D144" i="20"/>
  <c r="C144" i="20"/>
  <c r="E140" i="20"/>
  <c r="D140" i="20"/>
  <c r="C140" i="20"/>
  <c r="E139" i="20"/>
  <c r="D139" i="20"/>
  <c r="C139" i="20"/>
  <c r="E138" i="20"/>
  <c r="D138" i="20"/>
  <c r="C138" i="20"/>
  <c r="E137" i="20"/>
  <c r="D137" i="20"/>
  <c r="C137" i="20"/>
  <c r="E134" i="20"/>
  <c r="D134" i="20"/>
  <c r="C134" i="20"/>
  <c r="E133" i="20"/>
  <c r="D133" i="20"/>
  <c r="C133" i="20"/>
  <c r="E132" i="20"/>
  <c r="D132" i="20"/>
  <c r="C132" i="20"/>
  <c r="E131" i="20"/>
  <c r="D131" i="20"/>
  <c r="C131" i="20"/>
  <c r="E130" i="20"/>
  <c r="D130" i="20"/>
  <c r="C130" i="20"/>
  <c r="E129" i="20"/>
  <c r="D129" i="20"/>
  <c r="C129" i="20"/>
  <c r="E128" i="20"/>
  <c r="D128" i="20"/>
  <c r="C128" i="20"/>
  <c r="E127" i="20"/>
  <c r="D127" i="20"/>
  <c r="C127" i="20"/>
  <c r="E123" i="20"/>
  <c r="D123" i="20"/>
  <c r="C123" i="20"/>
  <c r="E122" i="20"/>
  <c r="D122" i="20"/>
  <c r="C122" i="20"/>
  <c r="E121" i="20"/>
  <c r="D121" i="20"/>
  <c r="C121" i="20"/>
  <c r="E120" i="20"/>
  <c r="D120" i="20"/>
  <c r="C120" i="20"/>
  <c r="E117" i="20"/>
  <c r="D117" i="20"/>
  <c r="C117" i="20"/>
  <c r="E116" i="20"/>
  <c r="D116" i="20"/>
  <c r="C116" i="20"/>
  <c r="E115" i="20"/>
  <c r="D115" i="20"/>
  <c r="C115" i="20"/>
  <c r="E114" i="20"/>
  <c r="D114" i="20"/>
  <c r="C114" i="20"/>
  <c r="E113" i="20"/>
  <c r="D113" i="20"/>
  <c r="C113" i="20"/>
  <c r="E112" i="20"/>
  <c r="D112" i="20"/>
  <c r="C112" i="20"/>
  <c r="E111" i="20"/>
  <c r="D111" i="20"/>
  <c r="C111" i="20"/>
  <c r="E110" i="20"/>
  <c r="D110" i="20"/>
  <c r="C110" i="20"/>
  <c r="E106" i="20"/>
  <c r="D106" i="20"/>
  <c r="C106" i="20"/>
  <c r="E105" i="20"/>
  <c r="D105" i="20"/>
  <c r="C105" i="20"/>
  <c r="E104" i="20"/>
  <c r="D104" i="20"/>
  <c r="C104" i="20"/>
  <c r="E103" i="20"/>
  <c r="D103" i="20"/>
  <c r="C103" i="20"/>
  <c r="E100" i="20"/>
  <c r="D100" i="20"/>
  <c r="C100" i="20"/>
  <c r="E99" i="20"/>
  <c r="D99" i="20"/>
  <c r="C99" i="20"/>
  <c r="E98" i="20"/>
  <c r="D98" i="20"/>
  <c r="C98" i="20"/>
  <c r="E97" i="20"/>
  <c r="D97" i="20"/>
  <c r="C97" i="20"/>
  <c r="E96" i="20"/>
  <c r="D96" i="20"/>
  <c r="C96" i="20"/>
  <c r="E95" i="20"/>
  <c r="D95" i="20"/>
  <c r="C95" i="20"/>
  <c r="E94" i="20"/>
  <c r="D94" i="20"/>
  <c r="C94" i="20"/>
  <c r="E93" i="20"/>
  <c r="D93" i="20"/>
  <c r="C93" i="20"/>
  <c r="E89" i="20"/>
  <c r="D89" i="20"/>
  <c r="C89" i="20"/>
  <c r="E88" i="20"/>
  <c r="D88" i="20"/>
  <c r="C88" i="20"/>
  <c r="E87" i="20"/>
  <c r="D87" i="20"/>
  <c r="C87" i="20"/>
  <c r="E86" i="20"/>
  <c r="D86" i="20"/>
  <c r="C86" i="20"/>
  <c r="E83" i="20"/>
  <c r="D83" i="20"/>
  <c r="C83" i="20"/>
  <c r="E82" i="20"/>
  <c r="D82" i="20"/>
  <c r="C82" i="20"/>
  <c r="E81" i="20"/>
  <c r="D81" i="20"/>
  <c r="C81" i="20"/>
  <c r="E80" i="20"/>
  <c r="D80" i="20"/>
  <c r="C80" i="20"/>
  <c r="E79" i="20"/>
  <c r="D79" i="20"/>
  <c r="C79" i="20"/>
  <c r="E78" i="20"/>
  <c r="D78" i="20"/>
  <c r="C78" i="20"/>
  <c r="E77" i="20"/>
  <c r="D77" i="20"/>
  <c r="C77" i="20"/>
  <c r="E76" i="20"/>
  <c r="D76" i="20"/>
  <c r="C76" i="20"/>
  <c r="E72" i="20"/>
  <c r="D72" i="20"/>
  <c r="C72" i="20"/>
  <c r="E71" i="20"/>
  <c r="D71" i="20"/>
  <c r="C71" i="20"/>
  <c r="AG71" i="20" s="1"/>
  <c r="E70" i="20"/>
  <c r="D70" i="20"/>
  <c r="C70" i="20"/>
  <c r="AG70" i="20" s="1"/>
  <c r="E69" i="20"/>
  <c r="D69" i="20"/>
  <c r="C69" i="20"/>
  <c r="E66" i="20"/>
  <c r="D66" i="20"/>
  <c r="C66" i="20"/>
  <c r="E65" i="20"/>
  <c r="D65" i="20"/>
  <c r="C65" i="20"/>
  <c r="E64" i="20"/>
  <c r="D64" i="20"/>
  <c r="C64" i="20"/>
  <c r="AG64" i="20" s="1"/>
  <c r="E63" i="20"/>
  <c r="D63" i="20"/>
  <c r="C63" i="20"/>
  <c r="E62" i="20"/>
  <c r="D62" i="20"/>
  <c r="C62" i="20"/>
  <c r="AG62" i="20" s="1"/>
  <c r="E61" i="20"/>
  <c r="D61" i="20"/>
  <c r="C61" i="20"/>
  <c r="E60" i="20"/>
  <c r="AI60" i="20" s="1"/>
  <c r="D60" i="20"/>
  <c r="AH60" i="20" s="1"/>
  <c r="C60" i="20"/>
  <c r="AG60" i="20" s="1"/>
  <c r="E59" i="20"/>
  <c r="D59" i="20"/>
  <c r="C59" i="20"/>
  <c r="AG59" i="20" s="1"/>
  <c r="E55" i="20"/>
  <c r="D55" i="20"/>
  <c r="C55" i="20"/>
  <c r="E54" i="20"/>
  <c r="D54" i="20"/>
  <c r="C54" i="20"/>
  <c r="E53" i="20"/>
  <c r="D53" i="20"/>
  <c r="C53" i="20"/>
  <c r="E52" i="20"/>
  <c r="D52" i="20"/>
  <c r="C52" i="20"/>
  <c r="E49" i="20"/>
  <c r="D49" i="20"/>
  <c r="C49" i="20"/>
  <c r="E48" i="20"/>
  <c r="D48" i="20"/>
  <c r="C48" i="20"/>
  <c r="E47" i="20"/>
  <c r="D47" i="20"/>
  <c r="C47" i="20"/>
  <c r="E46" i="20"/>
  <c r="D46" i="20"/>
  <c r="C46" i="20"/>
  <c r="E45" i="20"/>
  <c r="D45" i="20"/>
  <c r="C45" i="20"/>
  <c r="E44" i="20"/>
  <c r="D44" i="20"/>
  <c r="C44" i="20"/>
  <c r="E43" i="20"/>
  <c r="D43" i="20"/>
  <c r="C43" i="20"/>
  <c r="E42" i="20"/>
  <c r="D42" i="20"/>
  <c r="C42" i="20"/>
  <c r="E37" i="20"/>
  <c r="D37" i="20"/>
  <c r="C37" i="20"/>
  <c r="E36" i="20"/>
  <c r="D36" i="20"/>
  <c r="C36" i="20"/>
  <c r="E35" i="20"/>
  <c r="D35" i="20"/>
  <c r="C35" i="20"/>
  <c r="E34" i="20"/>
  <c r="D34" i="20"/>
  <c r="C34" i="20"/>
  <c r="E31" i="20"/>
  <c r="D31" i="20"/>
  <c r="C31" i="20"/>
  <c r="E30" i="20"/>
  <c r="D30" i="20"/>
  <c r="C30" i="20"/>
  <c r="E29" i="20"/>
  <c r="D29" i="20"/>
  <c r="C29" i="20"/>
  <c r="E28" i="20"/>
  <c r="D28" i="20"/>
  <c r="C28" i="20"/>
  <c r="E27" i="20"/>
  <c r="D27" i="20"/>
  <c r="C27" i="20"/>
  <c r="E26" i="20"/>
  <c r="D26" i="20"/>
  <c r="C26" i="20"/>
  <c r="E25" i="20"/>
  <c r="D25" i="20"/>
  <c r="C25" i="20"/>
  <c r="E24" i="20"/>
  <c r="D24" i="20"/>
  <c r="C24" i="20"/>
  <c r="E7" i="20"/>
  <c r="E8" i="20"/>
  <c r="E9" i="20"/>
  <c r="E10" i="20"/>
  <c r="E11" i="20"/>
  <c r="E12" i="20"/>
  <c r="E13" i="20"/>
  <c r="E16" i="20"/>
  <c r="E17" i="20"/>
  <c r="E18" i="20"/>
  <c r="E19" i="20"/>
  <c r="E6" i="20"/>
  <c r="D7" i="20"/>
  <c r="D8" i="20"/>
  <c r="D9" i="20"/>
  <c r="D10" i="20"/>
  <c r="D11" i="20"/>
  <c r="D12" i="20"/>
  <c r="D13" i="20"/>
  <c r="D16" i="20"/>
  <c r="D17" i="20"/>
  <c r="D18" i="20"/>
  <c r="D19" i="20"/>
  <c r="D6" i="20"/>
  <c r="C7" i="20"/>
  <c r="C8" i="20"/>
  <c r="C9" i="20"/>
  <c r="C10" i="20"/>
  <c r="C11" i="20"/>
  <c r="C12" i="20"/>
  <c r="C13" i="20"/>
  <c r="C16" i="20"/>
  <c r="C17" i="20"/>
  <c r="C18" i="20"/>
  <c r="C19" i="20"/>
  <c r="C6" i="20"/>
  <c r="BP180" i="52" l="1"/>
  <c r="BP164" i="52"/>
  <c r="CV164" i="52" s="1"/>
  <c r="BP186" i="52"/>
  <c r="CV186" i="52" s="1"/>
  <c r="BP183" i="52"/>
  <c r="CV183" i="52" s="1"/>
  <c r="BP162" i="52"/>
  <c r="CV162" i="52" s="1"/>
  <c r="BP179" i="52"/>
  <c r="BP163" i="52"/>
  <c r="CV163" i="52" s="1"/>
  <c r="BP153" i="52"/>
  <c r="CV153" i="52" s="1"/>
  <c r="BP155" i="52"/>
  <c r="BP175" i="52"/>
  <c r="CV175" i="52" s="1"/>
  <c r="BP159" i="52"/>
  <c r="CV159" i="52" s="1"/>
  <c r="BP157" i="52"/>
  <c r="AM184" i="52"/>
  <c r="BP182" i="52"/>
  <c r="CV182" i="52" s="1"/>
  <c r="BP173" i="52"/>
  <c r="CV173" i="52" s="1"/>
  <c r="BP177" i="52"/>
  <c r="BP158" i="52"/>
  <c r="BP160" i="52"/>
  <c r="CV160" i="52" s="1"/>
  <c r="C172" i="20"/>
  <c r="DL97" i="52"/>
  <c r="ER98" i="52" s="1"/>
  <c r="FJ97" i="52" s="1"/>
  <c r="D175" i="20"/>
  <c r="C173" i="20"/>
  <c r="C163" i="20"/>
  <c r="D162" i="20"/>
  <c r="D166" i="20"/>
  <c r="E172" i="20"/>
  <c r="D165" i="20"/>
  <c r="C167" i="20"/>
  <c r="D174" i="20"/>
  <c r="E175" i="20"/>
  <c r="E165" i="20"/>
  <c r="D168" i="20"/>
  <c r="C168" i="20"/>
  <c r="E168" i="20"/>
  <c r="D173" i="20"/>
  <c r="D163" i="20"/>
  <c r="E167" i="20"/>
  <c r="C169" i="20"/>
  <c r="C166" i="20"/>
  <c r="C162" i="20"/>
  <c r="E162" i="20"/>
  <c r="C175" i="20"/>
  <c r="E174" i="20"/>
  <c r="D172" i="20"/>
  <c r="C165" i="20"/>
  <c r="C174" i="20"/>
  <c r="E164" i="20"/>
  <c r="D167" i="20"/>
  <c r="E173" i="20"/>
  <c r="E163" i="20"/>
  <c r="D164" i="20"/>
  <c r="C164" i="20"/>
  <c r="E166" i="20"/>
  <c r="D169" i="20"/>
  <c r="E169" i="20"/>
  <c r="E73" i="20"/>
  <c r="D73" i="20"/>
  <c r="AM68" i="52"/>
  <c r="BS65" i="52" s="1"/>
  <c r="CY65" i="52" s="1"/>
  <c r="ER130" i="52"/>
  <c r="FJ129" i="52" s="1"/>
  <c r="ER82" i="52"/>
  <c r="FJ81" i="52" s="1"/>
  <c r="AH186" i="52"/>
  <c r="AM175" i="52"/>
  <c r="AM186" i="52" s="1"/>
  <c r="CU182" i="52"/>
  <c r="DK182" i="52"/>
  <c r="EQ184" i="52" s="1"/>
  <c r="FJ182" i="52" s="1"/>
  <c r="FJ144" i="52"/>
  <c r="FJ145" i="52"/>
  <c r="CU160" i="52"/>
  <c r="DK160" i="52"/>
  <c r="EQ82" i="52"/>
  <c r="FJ80" i="52" s="1"/>
  <c r="CV161" i="52"/>
  <c r="DL161" i="52"/>
  <c r="CV33" i="52"/>
  <c r="DL33" i="52"/>
  <c r="ER34" i="52" s="1"/>
  <c r="FJ33" i="52" s="1"/>
  <c r="ER8" i="52"/>
  <c r="EY17" i="52" s="1"/>
  <c r="ER11" i="52"/>
  <c r="FB17" i="52" s="1"/>
  <c r="ER7" i="52"/>
  <c r="EX17" i="52" s="1"/>
  <c r="ER13" i="52"/>
  <c r="FD17" i="52" s="1"/>
  <c r="ER12" i="52"/>
  <c r="FC17" i="52" s="1"/>
  <c r="ER18" i="52"/>
  <c r="FJ17" i="52" s="1"/>
  <c r="ER9" i="52"/>
  <c r="EZ17" i="52" s="1"/>
  <c r="ER10" i="52"/>
  <c r="FA17" i="52" s="1"/>
  <c r="ER15" i="52"/>
  <c r="FG17" i="52" s="1"/>
  <c r="EQ12" i="52"/>
  <c r="FC16" i="52" s="1"/>
  <c r="EQ15" i="52"/>
  <c r="FG16" i="52" s="1"/>
  <c r="EQ13" i="52"/>
  <c r="FD16" i="52" s="1"/>
  <c r="EQ18" i="52"/>
  <c r="FJ16" i="52" s="1"/>
  <c r="EQ10" i="52"/>
  <c r="FA16" i="52" s="1"/>
  <c r="EQ9" i="52"/>
  <c r="EZ16" i="52" s="1"/>
  <c r="BS25" i="52"/>
  <c r="CY25" i="52" s="1"/>
  <c r="BS23" i="52"/>
  <c r="CY23" i="52" s="1"/>
  <c r="BS27" i="52"/>
  <c r="BS31" i="52"/>
  <c r="CY31" i="52" s="1"/>
  <c r="BS36" i="52"/>
  <c r="CY36" i="52" s="1"/>
  <c r="BS33" i="52"/>
  <c r="CY33" i="52" s="1"/>
  <c r="BS30" i="52"/>
  <c r="BS35" i="52"/>
  <c r="CY35" i="52" s="1"/>
  <c r="BS29" i="52"/>
  <c r="BS34" i="52"/>
  <c r="CY34" i="52" s="1"/>
  <c r="BS32" i="52"/>
  <c r="CY32" i="52" s="1"/>
  <c r="BS123" i="52"/>
  <c r="BS121" i="52"/>
  <c r="CY121" i="52" s="1"/>
  <c r="BS119" i="52"/>
  <c r="CY119" i="52" s="1"/>
  <c r="BS129" i="52"/>
  <c r="CY129" i="52" s="1"/>
  <c r="BS126" i="52"/>
  <c r="BS131" i="52"/>
  <c r="CY131" i="52" s="1"/>
  <c r="BS128" i="52"/>
  <c r="CY128" i="52" s="1"/>
  <c r="BS125" i="52"/>
  <c r="BS127" i="52"/>
  <c r="CY127" i="52" s="1"/>
  <c r="BS132" i="52"/>
  <c r="CY132" i="52" s="1"/>
  <c r="BS130" i="52"/>
  <c r="CY130" i="52" s="1"/>
  <c r="BN73" i="52"/>
  <c r="BN75" i="52"/>
  <c r="DJ75" i="52" s="1"/>
  <c r="BN71" i="52"/>
  <c r="CT71" i="52" s="1"/>
  <c r="BN82" i="52"/>
  <c r="BN79" i="52"/>
  <c r="BN84" i="52"/>
  <c r="CT84" i="52" s="1"/>
  <c r="BN81" i="52"/>
  <c r="CT81" i="52" s="1"/>
  <c r="BN78" i="52"/>
  <c r="BN80" i="52"/>
  <c r="CT80" i="52" s="1"/>
  <c r="BN77" i="52"/>
  <c r="DJ77" i="52" s="1"/>
  <c r="BN83" i="52"/>
  <c r="CT83" i="52" s="1"/>
  <c r="BN43" i="52"/>
  <c r="DJ43" i="52" s="1"/>
  <c r="BN41" i="52"/>
  <c r="BN39" i="52"/>
  <c r="CT39" i="52" s="1"/>
  <c r="BN47" i="52"/>
  <c r="BN48" i="52"/>
  <c r="CT48" i="52" s="1"/>
  <c r="BN45" i="52"/>
  <c r="DJ45" i="52" s="1"/>
  <c r="BN46" i="52"/>
  <c r="BN49" i="52"/>
  <c r="CT49" i="52" s="1"/>
  <c r="BN50" i="52"/>
  <c r="BN52" i="52"/>
  <c r="CT52" i="52" s="1"/>
  <c r="BN51" i="52"/>
  <c r="CT51" i="52" s="1"/>
  <c r="BN107" i="52"/>
  <c r="DJ107" i="52" s="1"/>
  <c r="BN105" i="52"/>
  <c r="BN103" i="52"/>
  <c r="CT103" i="52" s="1"/>
  <c r="BN114" i="52"/>
  <c r="BN111" i="52"/>
  <c r="BN116" i="52"/>
  <c r="CT116" i="52" s="1"/>
  <c r="BN113" i="52"/>
  <c r="CT113" i="52" s="1"/>
  <c r="BN110" i="52"/>
  <c r="BN112" i="52"/>
  <c r="CT112" i="52" s="1"/>
  <c r="BN109" i="52"/>
  <c r="DJ109" i="52" s="1"/>
  <c r="BN115" i="52"/>
  <c r="CT115" i="52" s="1"/>
  <c r="BS139" i="52"/>
  <c r="BS137" i="52"/>
  <c r="CY137" i="52" s="1"/>
  <c r="BS135" i="52"/>
  <c r="CY135" i="52" s="1"/>
  <c r="BS145" i="52"/>
  <c r="CY145" i="52" s="1"/>
  <c r="BS142" i="52"/>
  <c r="BS147" i="52"/>
  <c r="CY147" i="52" s="1"/>
  <c r="BS144" i="52"/>
  <c r="CY144" i="52" s="1"/>
  <c r="BS141" i="52"/>
  <c r="BS143" i="52"/>
  <c r="CY143" i="52" s="1"/>
  <c r="BS148" i="52"/>
  <c r="CY148" i="52" s="1"/>
  <c r="BS146" i="52"/>
  <c r="CY146" i="52" s="1"/>
  <c r="BN27" i="52"/>
  <c r="DJ27" i="52" s="1"/>
  <c r="BN25" i="52"/>
  <c r="BN23" i="52"/>
  <c r="CT23" i="52" s="1"/>
  <c r="BN32" i="52"/>
  <c r="CT32" i="52" s="1"/>
  <c r="BN29" i="52"/>
  <c r="DJ29" i="52" s="1"/>
  <c r="BN34" i="52"/>
  <c r="BN31" i="52"/>
  <c r="BN36" i="52"/>
  <c r="CT36" i="52" s="1"/>
  <c r="BN33" i="52"/>
  <c r="CT33" i="52" s="1"/>
  <c r="BN30" i="52"/>
  <c r="BN35" i="52"/>
  <c r="CT35" i="52" s="1"/>
  <c r="BS75" i="52"/>
  <c r="BS73" i="52"/>
  <c r="CY73" i="52" s="1"/>
  <c r="BS71" i="52"/>
  <c r="CY71" i="52" s="1"/>
  <c r="BS81" i="52"/>
  <c r="CY81" i="52" s="1"/>
  <c r="BS78" i="52"/>
  <c r="BS83" i="52"/>
  <c r="CY83" i="52" s="1"/>
  <c r="BS80" i="52"/>
  <c r="CY80" i="52" s="1"/>
  <c r="BS77" i="52"/>
  <c r="BS79" i="52"/>
  <c r="CY79" i="52" s="1"/>
  <c r="BS84" i="52"/>
  <c r="CY84" i="52" s="1"/>
  <c r="BS82" i="52"/>
  <c r="CY82" i="52" s="1"/>
  <c r="BS43" i="52"/>
  <c r="BS41" i="52"/>
  <c r="CY41" i="52" s="1"/>
  <c r="BS39" i="52"/>
  <c r="CY39" i="52" s="1"/>
  <c r="BS46" i="52"/>
  <c r="BS48" i="52"/>
  <c r="CY48" i="52" s="1"/>
  <c r="BS45" i="52"/>
  <c r="BS47" i="52"/>
  <c r="CY47" i="52" s="1"/>
  <c r="BS52" i="52"/>
  <c r="CY52" i="52" s="1"/>
  <c r="BS49" i="52"/>
  <c r="CY49" i="52" s="1"/>
  <c r="BS51" i="52"/>
  <c r="CY51" i="52" s="1"/>
  <c r="BS50" i="52"/>
  <c r="CY50" i="52" s="1"/>
  <c r="BS107" i="52"/>
  <c r="BS105" i="52"/>
  <c r="CY105" i="52" s="1"/>
  <c r="BS103" i="52"/>
  <c r="CY103" i="52" s="1"/>
  <c r="BS113" i="52"/>
  <c r="CY113" i="52" s="1"/>
  <c r="BS110" i="52"/>
  <c r="BS115" i="52"/>
  <c r="CY115" i="52" s="1"/>
  <c r="BS112" i="52"/>
  <c r="CY112" i="52" s="1"/>
  <c r="BS109" i="52"/>
  <c r="BS111" i="52"/>
  <c r="CY111" i="52" s="1"/>
  <c r="BS116" i="52"/>
  <c r="CY116" i="52" s="1"/>
  <c r="BS114" i="52"/>
  <c r="CY114" i="52" s="1"/>
  <c r="BN139" i="52"/>
  <c r="DJ139" i="52" s="1"/>
  <c r="BN137" i="52"/>
  <c r="BN135" i="52"/>
  <c r="CT135" i="52" s="1"/>
  <c r="BN146" i="52"/>
  <c r="BN143" i="52"/>
  <c r="BN148" i="52"/>
  <c r="CT148" i="52" s="1"/>
  <c r="BN145" i="52"/>
  <c r="CT145" i="52" s="1"/>
  <c r="BN142" i="52"/>
  <c r="BN144" i="52"/>
  <c r="CT144" i="52" s="1"/>
  <c r="BN141" i="52"/>
  <c r="DJ141" i="52" s="1"/>
  <c r="BN147" i="52"/>
  <c r="CT147" i="52" s="1"/>
  <c r="BS91" i="52"/>
  <c r="BS89" i="52"/>
  <c r="CY89" i="52" s="1"/>
  <c r="BS87" i="52"/>
  <c r="CY87" i="52" s="1"/>
  <c r="BS97" i="52"/>
  <c r="CY97" i="52" s="1"/>
  <c r="BS94" i="52"/>
  <c r="BS99" i="52"/>
  <c r="CY99" i="52" s="1"/>
  <c r="BS96" i="52"/>
  <c r="CY96" i="52" s="1"/>
  <c r="BS93" i="52"/>
  <c r="BS95" i="52"/>
  <c r="CY95" i="52" s="1"/>
  <c r="BS100" i="52"/>
  <c r="CY100" i="52" s="1"/>
  <c r="BS98" i="52"/>
  <c r="CY98" i="52" s="1"/>
  <c r="BN65" i="52"/>
  <c r="CT65" i="52" s="1"/>
  <c r="BN59" i="52"/>
  <c r="DJ59" i="52" s="1"/>
  <c r="BN57" i="52"/>
  <c r="BN55" i="52"/>
  <c r="CT55" i="52" s="1"/>
  <c r="BN62" i="52"/>
  <c r="BN67" i="52"/>
  <c r="CT67" i="52" s="1"/>
  <c r="BN64" i="52"/>
  <c r="CT64" i="52" s="1"/>
  <c r="BN61" i="52"/>
  <c r="DJ61" i="52" s="1"/>
  <c r="EP61" i="52" s="1"/>
  <c r="FD63" i="52" s="1"/>
  <c r="BN66" i="52"/>
  <c r="CT66" i="52" s="1"/>
  <c r="BN68" i="52"/>
  <c r="CT68" i="52" s="1"/>
  <c r="BN63" i="52"/>
  <c r="CT63" i="52" s="1"/>
  <c r="BN123" i="52"/>
  <c r="DJ123" i="52" s="1"/>
  <c r="BN121" i="52"/>
  <c r="BN119" i="52"/>
  <c r="CT119" i="52" s="1"/>
  <c r="BN130" i="52"/>
  <c r="BN127" i="52"/>
  <c r="BN132" i="52"/>
  <c r="CT132" i="52" s="1"/>
  <c r="BN129" i="52"/>
  <c r="CT129" i="52" s="1"/>
  <c r="BN126" i="52"/>
  <c r="BN128" i="52"/>
  <c r="CT128" i="52" s="1"/>
  <c r="BN125" i="52"/>
  <c r="DJ125" i="52" s="1"/>
  <c r="BN131" i="52"/>
  <c r="CT131" i="52" s="1"/>
  <c r="BN91" i="52"/>
  <c r="DJ91" i="52" s="1"/>
  <c r="BN89" i="52"/>
  <c r="BN87" i="52"/>
  <c r="CT87" i="52" s="1"/>
  <c r="BN98" i="52"/>
  <c r="BN95" i="52"/>
  <c r="BN100" i="52"/>
  <c r="CT100" i="52" s="1"/>
  <c r="BN97" i="52"/>
  <c r="CT97" i="52" s="1"/>
  <c r="BN94" i="52"/>
  <c r="BN96" i="52"/>
  <c r="CT96" i="52" s="1"/>
  <c r="BN93" i="52"/>
  <c r="DJ93" i="52" s="1"/>
  <c r="BN99" i="52"/>
  <c r="CT99" i="52" s="1"/>
  <c r="BS59" i="52"/>
  <c r="K171" i="20"/>
  <c r="K163" i="20"/>
  <c r="J168" i="20"/>
  <c r="J174" i="20"/>
  <c r="J166" i="20"/>
  <c r="I165" i="20"/>
  <c r="K175" i="20"/>
  <c r="K167" i="20"/>
  <c r="K173" i="20"/>
  <c r="I174" i="20"/>
  <c r="I166" i="20"/>
  <c r="K162" i="20"/>
  <c r="K168" i="20"/>
  <c r="J171" i="20"/>
  <c r="J163" i="20"/>
  <c r="I73" i="20"/>
  <c r="K170" i="20"/>
  <c r="L71" i="20"/>
  <c r="K169" i="20"/>
  <c r="K174" i="20"/>
  <c r="K166" i="20"/>
  <c r="K165" i="20"/>
  <c r="K172" i="20"/>
  <c r="K164" i="20"/>
  <c r="K73" i="20"/>
  <c r="AC73" i="20" s="1"/>
  <c r="AI73" i="20" s="1"/>
  <c r="J170" i="20"/>
  <c r="J169" i="20"/>
  <c r="J162" i="20"/>
  <c r="L64" i="20"/>
  <c r="J175" i="20"/>
  <c r="J167" i="20"/>
  <c r="J173" i="20"/>
  <c r="J165" i="20"/>
  <c r="L65" i="20"/>
  <c r="J172" i="20"/>
  <c r="J164" i="20"/>
  <c r="I172" i="20"/>
  <c r="I171" i="20"/>
  <c r="I170" i="20"/>
  <c r="I173" i="20"/>
  <c r="I164" i="20"/>
  <c r="I169" i="20"/>
  <c r="I162" i="20"/>
  <c r="I168" i="20"/>
  <c r="I163" i="20"/>
  <c r="I175" i="20"/>
  <c r="I167" i="20"/>
  <c r="AB60" i="20"/>
  <c r="F59" i="20"/>
  <c r="AA60" i="20"/>
  <c r="AA62" i="20"/>
  <c r="AA63" i="20"/>
  <c r="AG63" i="20" s="1"/>
  <c r="AA64" i="20"/>
  <c r="AA65" i="20"/>
  <c r="AG65" i="20" s="1"/>
  <c r="AA66" i="20"/>
  <c r="AG66" i="20" s="1"/>
  <c r="AA67" i="20"/>
  <c r="AG67" i="20" s="1"/>
  <c r="AA68" i="20"/>
  <c r="AG68" i="20" s="1"/>
  <c r="AA69" i="20"/>
  <c r="AG69" i="20" s="1"/>
  <c r="AA70" i="20"/>
  <c r="AA71" i="20"/>
  <c r="AA72" i="20"/>
  <c r="AG72" i="20" s="1"/>
  <c r="C73" i="20"/>
  <c r="J73" i="20"/>
  <c r="L59" i="20"/>
  <c r="L63" i="20"/>
  <c r="L68" i="20"/>
  <c r="L69" i="20"/>
  <c r="AB59" i="20"/>
  <c r="AH59" i="20" s="1"/>
  <c r="AB62" i="20"/>
  <c r="AH62" i="20" s="1"/>
  <c r="AB63" i="20"/>
  <c r="AH63" i="20" s="1"/>
  <c r="AB64" i="20"/>
  <c r="AH64" i="20" s="1"/>
  <c r="AB65" i="20"/>
  <c r="AH65" i="20" s="1"/>
  <c r="AB66" i="20"/>
  <c r="AH66" i="20" s="1"/>
  <c r="AB67" i="20"/>
  <c r="AH67" i="20" s="1"/>
  <c r="AB69" i="20"/>
  <c r="AH69" i="20" s="1"/>
  <c r="AB70" i="20"/>
  <c r="AH70" i="20" s="1"/>
  <c r="AB71" i="20"/>
  <c r="AH71" i="20" s="1"/>
  <c r="AB72" i="20"/>
  <c r="AH72" i="20" s="1"/>
  <c r="L60" i="20"/>
  <c r="L67" i="20"/>
  <c r="AA59" i="20"/>
  <c r="AC59" i="20"/>
  <c r="AI59" i="20" s="1"/>
  <c r="AC61" i="20"/>
  <c r="AI61" i="20" s="1"/>
  <c r="AC63" i="20"/>
  <c r="AI63" i="20" s="1"/>
  <c r="AC65" i="20"/>
  <c r="AI65" i="20" s="1"/>
  <c r="AC66" i="20"/>
  <c r="AI66" i="20" s="1"/>
  <c r="AC67" i="20"/>
  <c r="AI67" i="20" s="1"/>
  <c r="AC69" i="20"/>
  <c r="AI69" i="20" s="1"/>
  <c r="AC70" i="20"/>
  <c r="AI70" i="20" s="1"/>
  <c r="AC71" i="20"/>
  <c r="AI71" i="20" s="1"/>
  <c r="AC72" i="20"/>
  <c r="AI72" i="20" s="1"/>
  <c r="L62" i="20"/>
  <c r="L66" i="20"/>
  <c r="L70" i="20"/>
  <c r="L72" i="20"/>
  <c r="AA61" i="20"/>
  <c r="AG61" i="20" s="1"/>
  <c r="AB61" i="20"/>
  <c r="AH61" i="20" s="1"/>
  <c r="AC60" i="20"/>
  <c r="AC62" i="20"/>
  <c r="AI62" i="20" s="1"/>
  <c r="AC64" i="20"/>
  <c r="AI64" i="20" s="1"/>
  <c r="AC68" i="20"/>
  <c r="AI68" i="20" s="1"/>
  <c r="F60" i="20"/>
  <c r="F61" i="20"/>
  <c r="F62" i="20"/>
  <c r="F63" i="20"/>
  <c r="F64" i="20"/>
  <c r="F65" i="20"/>
  <c r="F66" i="20"/>
  <c r="F67" i="20"/>
  <c r="F68" i="20"/>
  <c r="F69" i="20"/>
  <c r="F70" i="20"/>
  <c r="F71" i="20"/>
  <c r="F72" i="20"/>
  <c r="L61" i="20"/>
  <c r="G25" i="1"/>
  <c r="H25" i="1"/>
  <c r="I25" i="1"/>
  <c r="E25" i="1"/>
  <c r="F25" i="1"/>
  <c r="D25" i="1"/>
  <c r="DL183" i="52" l="1"/>
  <c r="ER184" i="52" s="1"/>
  <c r="FJ183" i="52" s="1"/>
  <c r="CT146" i="52"/>
  <c r="DJ146" i="52"/>
  <c r="CT82" i="52"/>
  <c r="DJ82" i="52"/>
  <c r="BS63" i="52"/>
  <c r="CY63" i="52" s="1"/>
  <c r="CT114" i="52"/>
  <c r="DJ114" i="52"/>
  <c r="BS66" i="52"/>
  <c r="CY66" i="52" s="1"/>
  <c r="BS68" i="52"/>
  <c r="CY68" i="52" s="1"/>
  <c r="CT34" i="52"/>
  <c r="DJ34" i="52"/>
  <c r="BS64" i="52"/>
  <c r="CY64" i="52" s="1"/>
  <c r="CT98" i="52"/>
  <c r="DJ98" i="52"/>
  <c r="CT50" i="52"/>
  <c r="DJ50" i="52"/>
  <c r="BS55" i="52"/>
  <c r="CY55" i="52" s="1"/>
  <c r="BS62" i="52"/>
  <c r="BS57" i="52"/>
  <c r="CY57" i="52" s="1"/>
  <c r="CT130" i="52"/>
  <c r="DJ130" i="52"/>
  <c r="BS67" i="52"/>
  <c r="CY67" i="52" s="1"/>
  <c r="BS61" i="52"/>
  <c r="CT121" i="52"/>
  <c r="DJ121" i="52"/>
  <c r="CT31" i="52"/>
  <c r="DJ31" i="52"/>
  <c r="EP34" i="52" s="1"/>
  <c r="FJ31" i="52" s="1"/>
  <c r="CT111" i="52"/>
  <c r="DJ111" i="52"/>
  <c r="CT95" i="52"/>
  <c r="DJ95" i="52"/>
  <c r="EP98" i="52" s="1"/>
  <c r="FJ95" i="52" s="1"/>
  <c r="CT57" i="52"/>
  <c r="DJ57" i="52"/>
  <c r="CT73" i="52"/>
  <c r="DJ73" i="52"/>
  <c r="EP60" i="52"/>
  <c r="FC63" i="52" s="1"/>
  <c r="EP59" i="52"/>
  <c r="FB63" i="52" s="1"/>
  <c r="CT105" i="52"/>
  <c r="DJ105" i="52"/>
  <c r="CT137" i="52"/>
  <c r="DJ137" i="52"/>
  <c r="CT47" i="52"/>
  <c r="DJ47" i="52"/>
  <c r="CT89" i="52"/>
  <c r="DJ89" i="52"/>
  <c r="CT127" i="52"/>
  <c r="DJ127" i="52"/>
  <c r="CT25" i="52"/>
  <c r="DJ25" i="52"/>
  <c r="CT143" i="52"/>
  <c r="DJ143" i="52"/>
  <c r="EP146" i="52" s="1"/>
  <c r="CT41" i="52"/>
  <c r="DJ41" i="52"/>
  <c r="CT79" i="52"/>
  <c r="DJ79" i="52"/>
  <c r="EP82" i="52" s="1"/>
  <c r="FJ79" i="52" s="1"/>
  <c r="AD65" i="20"/>
  <c r="AJ65" i="20" s="1"/>
  <c r="AD64" i="20"/>
  <c r="AJ64" i="20" s="1"/>
  <c r="F73" i="20"/>
  <c r="AD62" i="20"/>
  <c r="AJ62" i="20" s="1"/>
  <c r="AD68" i="20"/>
  <c r="AJ68" i="20" s="1"/>
  <c r="AJ60" i="20"/>
  <c r="AD72" i="20"/>
  <c r="AJ72" i="20" s="1"/>
  <c r="AD67" i="20"/>
  <c r="AJ67" i="20" s="1"/>
  <c r="AD61" i="20"/>
  <c r="AJ61" i="20" s="1"/>
  <c r="AD59" i="20"/>
  <c r="AJ59" i="20" s="1"/>
  <c r="L73" i="20"/>
  <c r="AD70" i="20"/>
  <c r="AJ70" i="20" s="1"/>
  <c r="AD60" i="20"/>
  <c r="AD71" i="20"/>
  <c r="AJ71" i="20" s="1"/>
  <c r="AD66" i="20"/>
  <c r="AJ66" i="20" s="1"/>
  <c r="AD63" i="20"/>
  <c r="AJ63" i="20" s="1"/>
  <c r="AA73" i="20"/>
  <c r="AG73" i="20" s="1"/>
  <c r="AD69" i="20"/>
  <c r="AJ69" i="20" s="1"/>
  <c r="AB73" i="20"/>
  <c r="AH73" i="20" s="1"/>
  <c r="E12" i="38"/>
  <c r="EP50" i="52" l="1"/>
  <c r="FJ47" i="52" s="1"/>
  <c r="EP114" i="52"/>
  <c r="FJ111" i="52" s="1"/>
  <c r="FJ143" i="52"/>
  <c r="EP107" i="52"/>
  <c r="FB111" i="52" s="1"/>
  <c r="EP141" i="52"/>
  <c r="EP139" i="52"/>
  <c r="EP109" i="52"/>
  <c r="FD111" i="52" s="1"/>
  <c r="EP108" i="52"/>
  <c r="FC111" i="52" s="1"/>
  <c r="EP92" i="52"/>
  <c r="FC95" i="52" s="1"/>
  <c r="EP76" i="52"/>
  <c r="FC79" i="52" s="1"/>
  <c r="EP28" i="52"/>
  <c r="FC31" i="52" s="1"/>
  <c r="EP57" i="52"/>
  <c r="EZ63" i="52" s="1"/>
  <c r="EP58" i="52"/>
  <c r="FA63" i="52" s="1"/>
  <c r="EP43" i="52"/>
  <c r="FB47" i="52" s="1"/>
  <c r="EP44" i="52"/>
  <c r="FC47" i="52" s="1"/>
  <c r="EP74" i="52"/>
  <c r="FA79" i="52" s="1"/>
  <c r="EP73" i="52"/>
  <c r="EZ79" i="52" s="1"/>
  <c r="EP25" i="52"/>
  <c r="EZ31" i="52" s="1"/>
  <c r="EP26" i="52"/>
  <c r="FA31" i="52" s="1"/>
  <c r="EP27" i="52"/>
  <c r="FB31" i="52" s="1"/>
  <c r="EP138" i="52"/>
  <c r="EP137" i="52"/>
  <c r="EP41" i="52"/>
  <c r="EZ47" i="52" s="1"/>
  <c r="EP42" i="52"/>
  <c r="FA47" i="52" s="1"/>
  <c r="EP89" i="52"/>
  <c r="EZ95" i="52" s="1"/>
  <c r="EP90" i="52"/>
  <c r="FA95" i="52" s="1"/>
  <c r="EP106" i="52"/>
  <c r="FA111" i="52" s="1"/>
  <c r="EP105" i="52"/>
  <c r="EZ111" i="52" s="1"/>
  <c r="EP29" i="52"/>
  <c r="FD31" i="52" s="1"/>
  <c r="EP75" i="52"/>
  <c r="FB79" i="52" s="1"/>
  <c r="EP45" i="52"/>
  <c r="FD47" i="52" s="1"/>
  <c r="EP91" i="52"/>
  <c r="FB95" i="52" s="1"/>
  <c r="EP93" i="52"/>
  <c r="FD95" i="52" s="1"/>
  <c r="EP140" i="52"/>
  <c r="EP77" i="52"/>
  <c r="FD79" i="52" s="1"/>
  <c r="AD73" i="20"/>
  <c r="AJ73" i="20" s="1"/>
  <c r="O45" i="17"/>
  <c r="B3" i="46"/>
  <c r="C29" i="46"/>
  <c r="D29" i="46"/>
  <c r="E29" i="46"/>
  <c r="F29" i="46"/>
  <c r="G29" i="46"/>
  <c r="H29" i="46"/>
  <c r="I29" i="46"/>
  <c r="J29" i="46"/>
  <c r="K29" i="46"/>
  <c r="L29" i="46"/>
  <c r="M29" i="46"/>
  <c r="N29" i="46"/>
  <c r="O29" i="46"/>
  <c r="P29" i="46"/>
  <c r="Q29" i="46"/>
  <c r="R29" i="46"/>
  <c r="S29" i="46"/>
  <c r="T29" i="46"/>
  <c r="U29" i="46"/>
  <c r="V29" i="46"/>
  <c r="W29" i="46"/>
  <c r="X29" i="46"/>
  <c r="Y29" i="46"/>
  <c r="Z29" i="46"/>
  <c r="C30" i="46"/>
  <c r="D30" i="46"/>
  <c r="E30" i="46"/>
  <c r="F30" i="46"/>
  <c r="G30" i="46"/>
  <c r="H30" i="46"/>
  <c r="I30" i="46"/>
  <c r="J30" i="46"/>
  <c r="K30" i="46"/>
  <c r="L30" i="46"/>
  <c r="M30" i="46"/>
  <c r="N30" i="46"/>
  <c r="O30" i="46"/>
  <c r="P30" i="46"/>
  <c r="Q30" i="46"/>
  <c r="R30" i="46"/>
  <c r="S30" i="46"/>
  <c r="T30" i="46"/>
  <c r="U30" i="46"/>
  <c r="V30" i="46"/>
  <c r="W30" i="46"/>
  <c r="X30" i="46"/>
  <c r="Y30" i="46"/>
  <c r="Z30" i="46"/>
  <c r="C31" i="46"/>
  <c r="D31" i="46"/>
  <c r="E31" i="46"/>
  <c r="F31" i="46"/>
  <c r="G31" i="46"/>
  <c r="H31" i="46"/>
  <c r="I31" i="46"/>
  <c r="J31" i="46"/>
  <c r="K31" i="46"/>
  <c r="L31" i="46"/>
  <c r="M31" i="46"/>
  <c r="N31" i="46"/>
  <c r="O31" i="46"/>
  <c r="P31" i="46"/>
  <c r="Q31" i="46"/>
  <c r="R31" i="46"/>
  <c r="S31" i="46"/>
  <c r="T31" i="46"/>
  <c r="U31" i="46"/>
  <c r="V31" i="46"/>
  <c r="W31" i="46"/>
  <c r="X31" i="46"/>
  <c r="Y31" i="46"/>
  <c r="Z31" i="46"/>
  <c r="C32" i="46"/>
  <c r="D32" i="46"/>
  <c r="E32" i="46"/>
  <c r="F32" i="46"/>
  <c r="G32" i="46"/>
  <c r="H32" i="46"/>
  <c r="I32" i="46"/>
  <c r="J32" i="46"/>
  <c r="K32" i="46"/>
  <c r="L32" i="46"/>
  <c r="M32" i="46"/>
  <c r="N32" i="46"/>
  <c r="O32" i="46"/>
  <c r="P32" i="46"/>
  <c r="Q32" i="46"/>
  <c r="R32" i="46"/>
  <c r="S32" i="46"/>
  <c r="T32" i="46"/>
  <c r="U32" i="46"/>
  <c r="V32" i="46"/>
  <c r="W32" i="46"/>
  <c r="X32" i="46"/>
  <c r="Y32" i="46"/>
  <c r="Z32" i="46"/>
  <c r="C33" i="46"/>
  <c r="D33" i="46"/>
  <c r="E33" i="46"/>
  <c r="F33" i="46"/>
  <c r="G33" i="46"/>
  <c r="H33" i="46"/>
  <c r="I33" i="46"/>
  <c r="J33" i="46"/>
  <c r="K33" i="46"/>
  <c r="L33" i="46"/>
  <c r="M33" i="46"/>
  <c r="N33" i="46"/>
  <c r="O33" i="46"/>
  <c r="P33" i="46"/>
  <c r="Q33" i="46"/>
  <c r="R33" i="46"/>
  <c r="S33" i="46"/>
  <c r="T33" i="46"/>
  <c r="U33" i="46"/>
  <c r="V33" i="46"/>
  <c r="W33" i="46"/>
  <c r="X33" i="46"/>
  <c r="Y33" i="46"/>
  <c r="Z33" i="46"/>
  <c r="C34" i="46"/>
  <c r="D34" i="46"/>
  <c r="E34" i="46"/>
  <c r="F34" i="46"/>
  <c r="G34" i="46"/>
  <c r="H34" i="46"/>
  <c r="I34" i="46"/>
  <c r="J34" i="46"/>
  <c r="K34" i="46"/>
  <c r="L34" i="46"/>
  <c r="M34" i="46"/>
  <c r="N34" i="46"/>
  <c r="O34" i="46"/>
  <c r="P34" i="46"/>
  <c r="Q34" i="46"/>
  <c r="R34" i="46"/>
  <c r="S34" i="46"/>
  <c r="T34" i="46"/>
  <c r="U34" i="46"/>
  <c r="V34" i="46"/>
  <c r="W34" i="46"/>
  <c r="X34" i="46"/>
  <c r="Y34" i="46"/>
  <c r="Z34" i="46"/>
  <c r="C35" i="46"/>
  <c r="D35" i="46"/>
  <c r="E35" i="46"/>
  <c r="F35" i="46"/>
  <c r="G35" i="46"/>
  <c r="H35" i="46"/>
  <c r="I35" i="46"/>
  <c r="J35" i="46"/>
  <c r="K35" i="46"/>
  <c r="L35" i="46"/>
  <c r="M35" i="46"/>
  <c r="N35" i="46"/>
  <c r="O35" i="46"/>
  <c r="P35" i="46"/>
  <c r="Q35" i="46"/>
  <c r="R35" i="46"/>
  <c r="S35" i="46"/>
  <c r="T35" i="46"/>
  <c r="U35" i="46"/>
  <c r="V35" i="46"/>
  <c r="W35" i="46"/>
  <c r="X35" i="46"/>
  <c r="Y35" i="46"/>
  <c r="Z35" i="46"/>
  <c r="C36" i="46"/>
  <c r="D36" i="46"/>
  <c r="E36" i="46"/>
  <c r="F36" i="46"/>
  <c r="G36" i="46"/>
  <c r="H36" i="46"/>
  <c r="I36" i="46"/>
  <c r="J36" i="46"/>
  <c r="K36" i="46"/>
  <c r="L36" i="46"/>
  <c r="M36" i="46"/>
  <c r="N36" i="46"/>
  <c r="O36" i="46"/>
  <c r="P36" i="46"/>
  <c r="Q36" i="46"/>
  <c r="R36" i="46"/>
  <c r="S36" i="46"/>
  <c r="T36" i="46"/>
  <c r="U36" i="46"/>
  <c r="V36" i="46"/>
  <c r="W36" i="46"/>
  <c r="X36" i="46"/>
  <c r="Y36" i="46"/>
  <c r="Z36" i="46"/>
  <c r="C37" i="46"/>
  <c r="D37" i="46"/>
  <c r="E37" i="46"/>
  <c r="F37" i="46"/>
  <c r="G37" i="46"/>
  <c r="H37" i="46"/>
  <c r="I37" i="46"/>
  <c r="J37" i="46"/>
  <c r="K37" i="46"/>
  <c r="L37" i="46"/>
  <c r="M37" i="46"/>
  <c r="N37" i="46"/>
  <c r="O37" i="46"/>
  <c r="P37" i="46"/>
  <c r="Q37" i="46"/>
  <c r="R37" i="46"/>
  <c r="S37" i="46"/>
  <c r="T37" i="46"/>
  <c r="U37" i="46"/>
  <c r="V37" i="46"/>
  <c r="W37" i="46"/>
  <c r="X37" i="46"/>
  <c r="Y37" i="46"/>
  <c r="Z37" i="46"/>
  <c r="C38" i="46"/>
  <c r="D38" i="46"/>
  <c r="E38" i="46"/>
  <c r="F38" i="46"/>
  <c r="G38" i="46"/>
  <c r="H38" i="46"/>
  <c r="I38" i="46"/>
  <c r="J38" i="46"/>
  <c r="K38" i="46"/>
  <c r="L38" i="46"/>
  <c r="M38" i="46"/>
  <c r="N38" i="46"/>
  <c r="O38" i="46"/>
  <c r="P38" i="46"/>
  <c r="Q38" i="46"/>
  <c r="R38" i="46"/>
  <c r="S38" i="46"/>
  <c r="T38" i="46"/>
  <c r="U38" i="46"/>
  <c r="V38" i="46"/>
  <c r="W38" i="46"/>
  <c r="X38" i="46"/>
  <c r="Y38" i="46"/>
  <c r="Z38" i="46"/>
  <c r="C39" i="46"/>
  <c r="D39" i="46"/>
  <c r="E39" i="46"/>
  <c r="F39" i="46"/>
  <c r="G39" i="46"/>
  <c r="H39" i="46"/>
  <c r="I39" i="46"/>
  <c r="J39" i="46"/>
  <c r="K39" i="46"/>
  <c r="L39" i="46"/>
  <c r="M39" i="46"/>
  <c r="N39" i="46"/>
  <c r="O39" i="46"/>
  <c r="P39" i="46"/>
  <c r="Q39" i="46"/>
  <c r="R39" i="46"/>
  <c r="S39" i="46"/>
  <c r="T39" i="46"/>
  <c r="U39" i="46"/>
  <c r="V39" i="46"/>
  <c r="W39" i="46"/>
  <c r="X39" i="46"/>
  <c r="Y39" i="46"/>
  <c r="Z39" i="46"/>
  <c r="C40" i="46"/>
  <c r="D40" i="46"/>
  <c r="E40" i="46"/>
  <c r="F40" i="46"/>
  <c r="G40" i="46"/>
  <c r="H40" i="46"/>
  <c r="I40" i="46"/>
  <c r="J40" i="46"/>
  <c r="K40" i="46"/>
  <c r="L40" i="46"/>
  <c r="M40" i="46"/>
  <c r="N40" i="46"/>
  <c r="O40" i="46"/>
  <c r="P40" i="46"/>
  <c r="Q40" i="46"/>
  <c r="R40" i="46"/>
  <c r="S40" i="46"/>
  <c r="T40" i="46"/>
  <c r="U40" i="46"/>
  <c r="V40" i="46"/>
  <c r="W40" i="46"/>
  <c r="X40" i="46"/>
  <c r="Y40" i="46"/>
  <c r="Z40" i="46"/>
  <c r="C41" i="46"/>
  <c r="D41" i="46"/>
  <c r="E41" i="46"/>
  <c r="F41" i="46"/>
  <c r="G41" i="46"/>
  <c r="H41" i="46"/>
  <c r="I41" i="46"/>
  <c r="J41" i="46"/>
  <c r="K41" i="46"/>
  <c r="L41" i="46"/>
  <c r="M41" i="46"/>
  <c r="N41" i="46"/>
  <c r="O41" i="46"/>
  <c r="P41" i="46"/>
  <c r="Q41" i="46"/>
  <c r="R41" i="46"/>
  <c r="S41" i="46"/>
  <c r="T41" i="46"/>
  <c r="U41" i="46"/>
  <c r="V41" i="46"/>
  <c r="W41" i="46"/>
  <c r="X41" i="46"/>
  <c r="Y41" i="46"/>
  <c r="Z41" i="46"/>
  <c r="C42" i="46"/>
  <c r="D42" i="46"/>
  <c r="E42" i="46"/>
  <c r="F42" i="46"/>
  <c r="G42" i="46"/>
  <c r="H42" i="46"/>
  <c r="I42" i="46"/>
  <c r="J42" i="46"/>
  <c r="K42" i="46"/>
  <c r="L42" i="46"/>
  <c r="M42" i="46"/>
  <c r="N42" i="46"/>
  <c r="O42" i="46"/>
  <c r="P42" i="46"/>
  <c r="Q42" i="46"/>
  <c r="R42" i="46"/>
  <c r="S42" i="46"/>
  <c r="T42" i="46"/>
  <c r="U42" i="46"/>
  <c r="V42" i="46"/>
  <c r="W42" i="46"/>
  <c r="X42" i="46"/>
  <c r="Y42" i="46"/>
  <c r="Z42" i="46"/>
  <c r="C43" i="46"/>
  <c r="D43" i="46"/>
  <c r="E43" i="46"/>
  <c r="F43" i="46"/>
  <c r="G43" i="46"/>
  <c r="H43" i="46"/>
  <c r="I43" i="46"/>
  <c r="J43" i="46"/>
  <c r="K43" i="46"/>
  <c r="L43" i="46"/>
  <c r="M43" i="46"/>
  <c r="N43" i="46"/>
  <c r="O43" i="46"/>
  <c r="P43" i="46"/>
  <c r="Q43" i="46"/>
  <c r="R43" i="46"/>
  <c r="S43" i="46"/>
  <c r="T43" i="46"/>
  <c r="U43" i="46"/>
  <c r="V43" i="46"/>
  <c r="W43" i="46"/>
  <c r="X43" i="46"/>
  <c r="Y43" i="46"/>
  <c r="Z43" i="46"/>
  <c r="C44" i="46"/>
  <c r="D44" i="46"/>
  <c r="E44" i="46"/>
  <c r="F44" i="46"/>
  <c r="G44" i="46"/>
  <c r="H44" i="46"/>
  <c r="I44" i="46"/>
  <c r="J44" i="46"/>
  <c r="K44" i="46"/>
  <c r="L44" i="46"/>
  <c r="M44" i="46"/>
  <c r="N44" i="46"/>
  <c r="O44" i="46"/>
  <c r="P44" i="46"/>
  <c r="Q44" i="46"/>
  <c r="R44" i="46"/>
  <c r="S44" i="46"/>
  <c r="T44" i="46"/>
  <c r="U44" i="46"/>
  <c r="V44" i="46"/>
  <c r="W44" i="46"/>
  <c r="X44" i="46"/>
  <c r="Y44" i="46"/>
  <c r="Z44" i="46"/>
  <c r="C45" i="46"/>
  <c r="D45" i="46"/>
  <c r="E45" i="46"/>
  <c r="F45" i="46"/>
  <c r="G45" i="46"/>
  <c r="H45" i="46"/>
  <c r="I45" i="46"/>
  <c r="J45" i="46"/>
  <c r="K45" i="46"/>
  <c r="L45" i="46"/>
  <c r="M45" i="46"/>
  <c r="N45" i="46"/>
  <c r="O45" i="46"/>
  <c r="P45" i="46"/>
  <c r="Q45" i="46"/>
  <c r="R45" i="46"/>
  <c r="S45" i="46"/>
  <c r="T45" i="46"/>
  <c r="U45" i="46"/>
  <c r="V45" i="46"/>
  <c r="W45" i="46"/>
  <c r="X45" i="46"/>
  <c r="Y45" i="46"/>
  <c r="Z45" i="46"/>
  <c r="C46" i="46"/>
  <c r="D46" i="46"/>
  <c r="E46" i="46"/>
  <c r="F46" i="46"/>
  <c r="G46" i="46"/>
  <c r="H46" i="46"/>
  <c r="I46" i="46"/>
  <c r="J46" i="46"/>
  <c r="K46" i="46"/>
  <c r="L46" i="46"/>
  <c r="M46" i="46"/>
  <c r="N46" i="46"/>
  <c r="O46" i="46"/>
  <c r="P46" i="46"/>
  <c r="Q46" i="46"/>
  <c r="R46" i="46"/>
  <c r="S46" i="46"/>
  <c r="T46" i="46"/>
  <c r="U46" i="46"/>
  <c r="V46" i="46"/>
  <c r="W46" i="46"/>
  <c r="X46" i="46"/>
  <c r="Y46" i="46"/>
  <c r="Z46" i="46"/>
  <c r="C47" i="46"/>
  <c r="D47" i="46"/>
  <c r="E47" i="46"/>
  <c r="F47" i="46"/>
  <c r="G47" i="46"/>
  <c r="H47" i="46"/>
  <c r="I47" i="46"/>
  <c r="J47" i="46"/>
  <c r="K47" i="46"/>
  <c r="L47" i="46"/>
  <c r="M47" i="46"/>
  <c r="N47" i="46"/>
  <c r="O47" i="46"/>
  <c r="P47" i="46"/>
  <c r="Q47" i="46"/>
  <c r="R47" i="46"/>
  <c r="S47" i="46"/>
  <c r="T47" i="46"/>
  <c r="U47" i="46"/>
  <c r="V47" i="46"/>
  <c r="W47" i="46"/>
  <c r="X47" i="46"/>
  <c r="Y47" i="46"/>
  <c r="Z47" i="46"/>
  <c r="C48" i="46"/>
  <c r="D48" i="46"/>
  <c r="E48" i="46"/>
  <c r="F48" i="46"/>
  <c r="G48" i="46"/>
  <c r="H48" i="46"/>
  <c r="I48" i="46"/>
  <c r="J48" i="46"/>
  <c r="K48" i="46"/>
  <c r="L48" i="46"/>
  <c r="M48" i="46"/>
  <c r="N48" i="46"/>
  <c r="O48" i="46"/>
  <c r="P48" i="46"/>
  <c r="Q48" i="46"/>
  <c r="R48" i="46"/>
  <c r="S48" i="46"/>
  <c r="T48" i="46"/>
  <c r="U48" i="46"/>
  <c r="V48" i="46"/>
  <c r="W48" i="46"/>
  <c r="X48" i="46"/>
  <c r="Y48" i="46"/>
  <c r="Z48" i="46"/>
  <c r="C49" i="46"/>
  <c r="D49" i="46"/>
  <c r="E49" i="46"/>
  <c r="F49" i="46"/>
  <c r="G49" i="46"/>
  <c r="H49" i="46"/>
  <c r="I49" i="46"/>
  <c r="J49" i="46"/>
  <c r="K49" i="46"/>
  <c r="L49" i="46"/>
  <c r="M49" i="46"/>
  <c r="N49" i="46"/>
  <c r="O49" i="46"/>
  <c r="P49" i="46"/>
  <c r="Q49" i="46"/>
  <c r="R49" i="46"/>
  <c r="S49" i="46"/>
  <c r="T49" i="46"/>
  <c r="U49" i="46"/>
  <c r="V49" i="46"/>
  <c r="W49" i="46"/>
  <c r="X49" i="46"/>
  <c r="Y49" i="46"/>
  <c r="Z49" i="46"/>
  <c r="C50" i="46"/>
  <c r="D50" i="46"/>
  <c r="E50" i="46"/>
  <c r="F50" i="46"/>
  <c r="G50" i="46"/>
  <c r="H50" i="46"/>
  <c r="I50" i="46"/>
  <c r="J50" i="46"/>
  <c r="K50" i="46"/>
  <c r="L50" i="46"/>
  <c r="M50" i="46"/>
  <c r="N50" i="46"/>
  <c r="O50" i="46"/>
  <c r="P50" i="46"/>
  <c r="Q50" i="46"/>
  <c r="R50" i="46"/>
  <c r="S50" i="46"/>
  <c r="T50" i="46"/>
  <c r="U50" i="46"/>
  <c r="V50" i="46"/>
  <c r="W50" i="46"/>
  <c r="X50" i="46"/>
  <c r="Y50" i="46"/>
  <c r="Z50" i="46"/>
  <c r="C51" i="46"/>
  <c r="D51" i="46"/>
  <c r="E51" i="46"/>
  <c r="F51" i="46"/>
  <c r="G51" i="46"/>
  <c r="H51" i="46"/>
  <c r="I51" i="46"/>
  <c r="J51" i="46"/>
  <c r="K51" i="46"/>
  <c r="L51" i="46"/>
  <c r="M51" i="46"/>
  <c r="N51" i="46"/>
  <c r="O51" i="46"/>
  <c r="P51" i="46"/>
  <c r="Q51" i="46"/>
  <c r="R51" i="46"/>
  <c r="S51" i="46"/>
  <c r="T51" i="46"/>
  <c r="U51" i="46"/>
  <c r="V51" i="46"/>
  <c r="W51" i="46"/>
  <c r="X51" i="46"/>
  <c r="Y51" i="46"/>
  <c r="Z51" i="46"/>
  <c r="C52" i="46"/>
  <c r="D52" i="46"/>
  <c r="E52" i="46"/>
  <c r="F52" i="46"/>
  <c r="G52" i="46"/>
  <c r="H52" i="46"/>
  <c r="I52" i="46"/>
  <c r="J52" i="46"/>
  <c r="K52" i="46"/>
  <c r="L52" i="46"/>
  <c r="M52" i="46"/>
  <c r="N52" i="46"/>
  <c r="O52" i="46"/>
  <c r="P52" i="46"/>
  <c r="Q52" i="46"/>
  <c r="R52" i="46"/>
  <c r="S52" i="46"/>
  <c r="T52" i="46"/>
  <c r="U52" i="46"/>
  <c r="V52" i="46"/>
  <c r="W52" i="46"/>
  <c r="X52" i="46"/>
  <c r="Y52" i="46"/>
  <c r="Z52" i="46"/>
  <c r="C53" i="46"/>
  <c r="D53" i="46"/>
  <c r="E53" i="46"/>
  <c r="F53" i="46"/>
  <c r="G53" i="46"/>
  <c r="H53" i="46"/>
  <c r="I53" i="46"/>
  <c r="J53" i="46"/>
  <c r="K53" i="46"/>
  <c r="L53" i="46"/>
  <c r="M53" i="46"/>
  <c r="N53" i="46"/>
  <c r="O53" i="46"/>
  <c r="P53" i="46"/>
  <c r="Q53" i="46"/>
  <c r="R53" i="46"/>
  <c r="S53" i="46"/>
  <c r="T53" i="46"/>
  <c r="U53" i="46"/>
  <c r="V53" i="46"/>
  <c r="W53" i="46"/>
  <c r="X53" i="46"/>
  <c r="Y53" i="46"/>
  <c r="Z53" i="46"/>
  <c r="B30" i="46"/>
  <c r="B31" i="46"/>
  <c r="B32" i="46"/>
  <c r="B33" i="46"/>
  <c r="B34" i="46"/>
  <c r="B35" i="46"/>
  <c r="B36" i="46"/>
  <c r="B37" i="46"/>
  <c r="B38" i="46"/>
  <c r="B39" i="46"/>
  <c r="B40" i="46"/>
  <c r="B41" i="46"/>
  <c r="B42" i="46"/>
  <c r="B43" i="46"/>
  <c r="B44" i="46"/>
  <c r="B45" i="46"/>
  <c r="B46" i="46"/>
  <c r="B47" i="46"/>
  <c r="B48" i="46"/>
  <c r="B49" i="46"/>
  <c r="B50" i="46"/>
  <c r="B51" i="46"/>
  <c r="B52" i="46"/>
  <c r="B53" i="46"/>
  <c r="B29" i="46"/>
  <c r="C3" i="46"/>
  <c r="D3" i="46"/>
  <c r="E3" i="46"/>
  <c r="F3" i="46"/>
  <c r="G3" i="46"/>
  <c r="H3" i="46"/>
  <c r="I3" i="46"/>
  <c r="J3" i="46"/>
  <c r="K3" i="46"/>
  <c r="L3" i="46"/>
  <c r="M3" i="46"/>
  <c r="N3" i="46"/>
  <c r="O3" i="46"/>
  <c r="P3" i="46"/>
  <c r="Q3" i="46"/>
  <c r="R3" i="46"/>
  <c r="S3" i="46"/>
  <c r="T3" i="46"/>
  <c r="U3" i="46"/>
  <c r="V3" i="46"/>
  <c r="W3" i="46"/>
  <c r="X3" i="46"/>
  <c r="Y3" i="46"/>
  <c r="Z3" i="46"/>
  <c r="C4" i="46"/>
  <c r="D4" i="46"/>
  <c r="E4" i="46"/>
  <c r="F4" i="46"/>
  <c r="G4" i="46"/>
  <c r="H4" i="46"/>
  <c r="I4" i="46"/>
  <c r="J4" i="46"/>
  <c r="K4" i="46"/>
  <c r="L4" i="46"/>
  <c r="M4" i="46"/>
  <c r="N4" i="46"/>
  <c r="O4" i="46"/>
  <c r="P4" i="46"/>
  <c r="Q4" i="46"/>
  <c r="R4" i="46"/>
  <c r="S4" i="46"/>
  <c r="T4" i="46"/>
  <c r="U4" i="46"/>
  <c r="V4" i="46"/>
  <c r="W4" i="46"/>
  <c r="X4" i="46"/>
  <c r="Y4" i="46"/>
  <c r="Z4" i="46"/>
  <c r="C5" i="46"/>
  <c r="D5" i="46"/>
  <c r="E5" i="46"/>
  <c r="F5" i="46"/>
  <c r="G5" i="46"/>
  <c r="H5" i="46"/>
  <c r="I5" i="46"/>
  <c r="J5" i="46"/>
  <c r="K5" i="46"/>
  <c r="L5" i="46"/>
  <c r="M5" i="46"/>
  <c r="N5" i="46"/>
  <c r="O5" i="46"/>
  <c r="P5" i="46"/>
  <c r="Q5" i="46"/>
  <c r="R5" i="46"/>
  <c r="S5" i="46"/>
  <c r="T5" i="46"/>
  <c r="U5" i="46"/>
  <c r="V5" i="46"/>
  <c r="W5" i="46"/>
  <c r="X5" i="46"/>
  <c r="Y5" i="46"/>
  <c r="Z5" i="46"/>
  <c r="C6" i="46"/>
  <c r="D6" i="46"/>
  <c r="E6" i="46"/>
  <c r="F6" i="46"/>
  <c r="G6" i="46"/>
  <c r="H6" i="46"/>
  <c r="I6" i="46"/>
  <c r="J6" i="46"/>
  <c r="K6" i="46"/>
  <c r="L6" i="46"/>
  <c r="M6" i="46"/>
  <c r="N6" i="46"/>
  <c r="O6" i="46"/>
  <c r="P6" i="46"/>
  <c r="Q6" i="46"/>
  <c r="R6" i="46"/>
  <c r="S6" i="46"/>
  <c r="T6" i="46"/>
  <c r="U6" i="46"/>
  <c r="V6" i="46"/>
  <c r="W6" i="46"/>
  <c r="X6" i="46"/>
  <c r="Y6" i="46"/>
  <c r="Z6" i="46"/>
  <c r="C7" i="46"/>
  <c r="D7" i="46"/>
  <c r="E7" i="46"/>
  <c r="F7" i="46"/>
  <c r="G7" i="46"/>
  <c r="H7" i="46"/>
  <c r="I7" i="46"/>
  <c r="J7" i="46"/>
  <c r="K7" i="46"/>
  <c r="L7" i="46"/>
  <c r="M7" i="46"/>
  <c r="N7" i="46"/>
  <c r="O7" i="46"/>
  <c r="P7" i="46"/>
  <c r="Q7" i="46"/>
  <c r="R7" i="46"/>
  <c r="S7" i="46"/>
  <c r="T7" i="46"/>
  <c r="U7" i="46"/>
  <c r="V7" i="46"/>
  <c r="W7" i="46"/>
  <c r="X7" i="46"/>
  <c r="Y7" i="46"/>
  <c r="Z7" i="46"/>
  <c r="C8" i="46"/>
  <c r="D8" i="46"/>
  <c r="E8" i="46"/>
  <c r="F8" i="46"/>
  <c r="G8" i="46"/>
  <c r="H8" i="46"/>
  <c r="I8" i="46"/>
  <c r="J8" i="46"/>
  <c r="K8" i="46"/>
  <c r="L8" i="46"/>
  <c r="M8" i="46"/>
  <c r="N8" i="46"/>
  <c r="O8" i="46"/>
  <c r="P8" i="46"/>
  <c r="Q8" i="46"/>
  <c r="R8" i="46"/>
  <c r="S8" i="46"/>
  <c r="T8" i="46"/>
  <c r="U8" i="46"/>
  <c r="V8" i="46"/>
  <c r="W8" i="46"/>
  <c r="X8" i="46"/>
  <c r="Y8" i="46"/>
  <c r="Z8" i="46"/>
  <c r="C9" i="46"/>
  <c r="D9" i="46"/>
  <c r="E9" i="46"/>
  <c r="F9" i="46"/>
  <c r="G9" i="46"/>
  <c r="H9" i="46"/>
  <c r="I9" i="46"/>
  <c r="J9" i="46"/>
  <c r="K9" i="46"/>
  <c r="L9" i="46"/>
  <c r="M9" i="46"/>
  <c r="N9" i="46"/>
  <c r="O9" i="46"/>
  <c r="P9" i="46"/>
  <c r="Q9" i="46"/>
  <c r="R9" i="46"/>
  <c r="S9" i="46"/>
  <c r="T9" i="46"/>
  <c r="U9" i="46"/>
  <c r="V9" i="46"/>
  <c r="W9" i="46"/>
  <c r="X9" i="46"/>
  <c r="Y9" i="46"/>
  <c r="Z9" i="46"/>
  <c r="C10" i="46"/>
  <c r="D10" i="46"/>
  <c r="E10" i="46"/>
  <c r="F10" i="46"/>
  <c r="G10" i="46"/>
  <c r="H10" i="46"/>
  <c r="I10" i="46"/>
  <c r="J10" i="46"/>
  <c r="K10" i="46"/>
  <c r="L10" i="46"/>
  <c r="M10" i="46"/>
  <c r="N10" i="46"/>
  <c r="O10" i="46"/>
  <c r="P10" i="46"/>
  <c r="Q10" i="46"/>
  <c r="R10" i="46"/>
  <c r="S10" i="46"/>
  <c r="T10" i="46"/>
  <c r="U10" i="46"/>
  <c r="V10" i="46"/>
  <c r="W10" i="46"/>
  <c r="X10" i="46"/>
  <c r="Y10" i="46"/>
  <c r="Z10" i="46"/>
  <c r="C11" i="46"/>
  <c r="D11" i="46"/>
  <c r="E11" i="46"/>
  <c r="F11" i="46"/>
  <c r="G11" i="46"/>
  <c r="H11" i="46"/>
  <c r="I11" i="46"/>
  <c r="J11" i="46"/>
  <c r="K11" i="46"/>
  <c r="L11" i="46"/>
  <c r="M11" i="46"/>
  <c r="N11" i="46"/>
  <c r="O11" i="46"/>
  <c r="P11" i="46"/>
  <c r="Q11" i="46"/>
  <c r="R11" i="46"/>
  <c r="S11" i="46"/>
  <c r="T11" i="46"/>
  <c r="U11" i="46"/>
  <c r="V11" i="46"/>
  <c r="W11" i="46"/>
  <c r="X11" i="46"/>
  <c r="Y11" i="46"/>
  <c r="Z11" i="46"/>
  <c r="C12" i="46"/>
  <c r="D12" i="46"/>
  <c r="E12" i="46"/>
  <c r="F12" i="46"/>
  <c r="G12" i="46"/>
  <c r="H12" i="46"/>
  <c r="I12" i="46"/>
  <c r="J12" i="46"/>
  <c r="K12" i="46"/>
  <c r="L12" i="46"/>
  <c r="M12" i="46"/>
  <c r="N12" i="46"/>
  <c r="O12" i="46"/>
  <c r="P12" i="46"/>
  <c r="Q12" i="46"/>
  <c r="R12" i="46"/>
  <c r="S12" i="46"/>
  <c r="T12" i="46"/>
  <c r="U12" i="46"/>
  <c r="V12" i="46"/>
  <c r="W12" i="46"/>
  <c r="X12" i="46"/>
  <c r="Y12" i="46"/>
  <c r="Z12" i="46"/>
  <c r="C13" i="46"/>
  <c r="D13" i="46"/>
  <c r="E13" i="46"/>
  <c r="F13" i="46"/>
  <c r="G13" i="46"/>
  <c r="H13" i="46"/>
  <c r="I13" i="46"/>
  <c r="J13" i="46"/>
  <c r="K13" i="46"/>
  <c r="L13" i="46"/>
  <c r="M13" i="46"/>
  <c r="N13" i="46"/>
  <c r="O13" i="46"/>
  <c r="P13" i="46"/>
  <c r="Q13" i="46"/>
  <c r="R13" i="46"/>
  <c r="S13" i="46"/>
  <c r="T13" i="46"/>
  <c r="U13" i="46"/>
  <c r="V13" i="46"/>
  <c r="W13" i="46"/>
  <c r="X13" i="46"/>
  <c r="Y13" i="46"/>
  <c r="Z13" i="46"/>
  <c r="C14" i="46"/>
  <c r="D14" i="46"/>
  <c r="E14" i="46"/>
  <c r="F14" i="46"/>
  <c r="G14" i="46"/>
  <c r="H14" i="46"/>
  <c r="I14" i="46"/>
  <c r="J14" i="46"/>
  <c r="K14" i="46"/>
  <c r="L14" i="46"/>
  <c r="M14" i="46"/>
  <c r="N14" i="46"/>
  <c r="O14" i="46"/>
  <c r="P14" i="46"/>
  <c r="Q14" i="46"/>
  <c r="R14" i="46"/>
  <c r="S14" i="46"/>
  <c r="T14" i="46"/>
  <c r="U14" i="46"/>
  <c r="V14" i="46"/>
  <c r="W14" i="46"/>
  <c r="X14" i="46"/>
  <c r="Y14" i="46"/>
  <c r="Z14" i="46"/>
  <c r="C15" i="46"/>
  <c r="D15" i="46"/>
  <c r="E15" i="46"/>
  <c r="F15" i="46"/>
  <c r="G15" i="46"/>
  <c r="H15" i="46"/>
  <c r="I15" i="46"/>
  <c r="J15" i="46"/>
  <c r="K15" i="46"/>
  <c r="L15" i="46"/>
  <c r="M15" i="46"/>
  <c r="N15" i="46"/>
  <c r="O15" i="46"/>
  <c r="P15" i="46"/>
  <c r="Q15" i="46"/>
  <c r="R15" i="46"/>
  <c r="S15" i="46"/>
  <c r="T15" i="46"/>
  <c r="U15" i="46"/>
  <c r="V15" i="46"/>
  <c r="W15" i="46"/>
  <c r="X15" i="46"/>
  <c r="Y15" i="46"/>
  <c r="Z15" i="46"/>
  <c r="C16" i="46"/>
  <c r="D16" i="46"/>
  <c r="E16" i="46"/>
  <c r="F16" i="46"/>
  <c r="G16" i="46"/>
  <c r="H16" i="46"/>
  <c r="I16" i="46"/>
  <c r="J16" i="46"/>
  <c r="K16" i="46"/>
  <c r="L16" i="46"/>
  <c r="M16" i="46"/>
  <c r="N16" i="46"/>
  <c r="O16" i="46"/>
  <c r="P16" i="46"/>
  <c r="Q16" i="46"/>
  <c r="R16" i="46"/>
  <c r="S16" i="46"/>
  <c r="T16" i="46"/>
  <c r="U16" i="46"/>
  <c r="V16" i="46"/>
  <c r="W16" i="46"/>
  <c r="X16" i="46"/>
  <c r="Y16" i="46"/>
  <c r="Z16" i="46"/>
  <c r="C17" i="46"/>
  <c r="D17" i="46"/>
  <c r="E17" i="46"/>
  <c r="F17" i="46"/>
  <c r="G17" i="46"/>
  <c r="H17" i="46"/>
  <c r="I17" i="46"/>
  <c r="J17" i="46"/>
  <c r="K17" i="46"/>
  <c r="L17" i="46"/>
  <c r="M17" i="46"/>
  <c r="N17" i="46"/>
  <c r="O17" i="46"/>
  <c r="P17" i="46"/>
  <c r="Q17" i="46"/>
  <c r="R17" i="46"/>
  <c r="S17" i="46"/>
  <c r="T17" i="46"/>
  <c r="U17" i="46"/>
  <c r="V17" i="46"/>
  <c r="W17" i="46"/>
  <c r="X17" i="46"/>
  <c r="Y17" i="46"/>
  <c r="Z17" i="46"/>
  <c r="C18" i="46"/>
  <c r="D18" i="46"/>
  <c r="E18" i="46"/>
  <c r="F18" i="46"/>
  <c r="G18" i="46"/>
  <c r="H18" i="46"/>
  <c r="I18" i="46"/>
  <c r="J18" i="46"/>
  <c r="K18" i="46"/>
  <c r="L18" i="46"/>
  <c r="M18" i="46"/>
  <c r="N18" i="46"/>
  <c r="O18" i="46"/>
  <c r="P18" i="46"/>
  <c r="Q18" i="46"/>
  <c r="R18" i="46"/>
  <c r="S18" i="46"/>
  <c r="T18" i="46"/>
  <c r="U18" i="46"/>
  <c r="V18" i="46"/>
  <c r="W18" i="46"/>
  <c r="X18" i="46"/>
  <c r="Y18" i="46"/>
  <c r="Z18" i="46"/>
  <c r="C19" i="46"/>
  <c r="D19" i="46"/>
  <c r="E19" i="46"/>
  <c r="F19" i="46"/>
  <c r="G19" i="46"/>
  <c r="H19" i="46"/>
  <c r="I19" i="46"/>
  <c r="J19" i="46"/>
  <c r="K19" i="46"/>
  <c r="L19" i="46"/>
  <c r="M19" i="46"/>
  <c r="N19" i="46"/>
  <c r="O19" i="46"/>
  <c r="P19" i="46"/>
  <c r="Q19" i="46"/>
  <c r="R19" i="46"/>
  <c r="S19" i="46"/>
  <c r="T19" i="46"/>
  <c r="U19" i="46"/>
  <c r="V19" i="46"/>
  <c r="W19" i="46"/>
  <c r="X19" i="46"/>
  <c r="Y19" i="46"/>
  <c r="Z19" i="46"/>
  <c r="C20" i="46"/>
  <c r="D20" i="46"/>
  <c r="E20" i="46"/>
  <c r="F20" i="46"/>
  <c r="G20" i="46"/>
  <c r="H20" i="46"/>
  <c r="I20" i="46"/>
  <c r="J20" i="46"/>
  <c r="K20" i="46"/>
  <c r="L20" i="46"/>
  <c r="M20" i="46"/>
  <c r="N20" i="46"/>
  <c r="O20" i="46"/>
  <c r="P20" i="46"/>
  <c r="Q20" i="46"/>
  <c r="R20" i="46"/>
  <c r="S20" i="46"/>
  <c r="T20" i="46"/>
  <c r="U20" i="46"/>
  <c r="V20" i="46"/>
  <c r="W20" i="46"/>
  <c r="X20" i="46"/>
  <c r="Y20" i="46"/>
  <c r="Z20" i="46"/>
  <c r="C21" i="46"/>
  <c r="D21" i="46"/>
  <c r="E21" i="46"/>
  <c r="F21" i="46"/>
  <c r="G21" i="46"/>
  <c r="H21" i="46"/>
  <c r="I21" i="46"/>
  <c r="J21" i="46"/>
  <c r="K21" i="46"/>
  <c r="L21" i="46"/>
  <c r="M21" i="46"/>
  <c r="N21" i="46"/>
  <c r="O21" i="46"/>
  <c r="P21" i="46"/>
  <c r="Q21" i="46"/>
  <c r="R21" i="46"/>
  <c r="S21" i="46"/>
  <c r="T21" i="46"/>
  <c r="U21" i="46"/>
  <c r="V21" i="46"/>
  <c r="W21" i="46"/>
  <c r="X21" i="46"/>
  <c r="Y21" i="46"/>
  <c r="Z21" i="46"/>
  <c r="C22" i="46"/>
  <c r="D22" i="46"/>
  <c r="E22" i="46"/>
  <c r="F22" i="46"/>
  <c r="G22" i="46"/>
  <c r="H22" i="46"/>
  <c r="I22" i="46"/>
  <c r="J22" i="46"/>
  <c r="K22" i="46"/>
  <c r="L22" i="46"/>
  <c r="M22" i="46"/>
  <c r="N22" i="46"/>
  <c r="O22" i="46"/>
  <c r="P22" i="46"/>
  <c r="Q22" i="46"/>
  <c r="R22" i="46"/>
  <c r="S22" i="46"/>
  <c r="T22" i="46"/>
  <c r="U22" i="46"/>
  <c r="V22" i="46"/>
  <c r="W22" i="46"/>
  <c r="X22" i="46"/>
  <c r="Y22" i="46"/>
  <c r="Z22" i="46"/>
  <c r="C23" i="46"/>
  <c r="D23" i="46"/>
  <c r="E23" i="46"/>
  <c r="F23" i="46"/>
  <c r="G23" i="46"/>
  <c r="H23" i="46"/>
  <c r="I23" i="46"/>
  <c r="J23" i="46"/>
  <c r="K23" i="46"/>
  <c r="L23" i="46"/>
  <c r="M23" i="46"/>
  <c r="N23" i="46"/>
  <c r="O23" i="46"/>
  <c r="P23" i="46"/>
  <c r="Q23" i="46"/>
  <c r="R23" i="46"/>
  <c r="S23" i="46"/>
  <c r="T23" i="46"/>
  <c r="U23" i="46"/>
  <c r="V23" i="46"/>
  <c r="W23" i="46"/>
  <c r="X23" i="46"/>
  <c r="Y23" i="46"/>
  <c r="Z23" i="46"/>
  <c r="C24" i="46"/>
  <c r="D24" i="46"/>
  <c r="E24" i="46"/>
  <c r="F24" i="46"/>
  <c r="G24" i="46"/>
  <c r="H24" i="46"/>
  <c r="I24" i="46"/>
  <c r="J24" i="46"/>
  <c r="K24" i="46"/>
  <c r="L24" i="46"/>
  <c r="M24" i="46"/>
  <c r="N24" i="46"/>
  <c r="O24" i="46"/>
  <c r="P24" i="46"/>
  <c r="Q24" i="46"/>
  <c r="R24" i="46"/>
  <c r="S24" i="46"/>
  <c r="T24" i="46"/>
  <c r="U24" i="46"/>
  <c r="V24" i="46"/>
  <c r="W24" i="46"/>
  <c r="X24" i="46"/>
  <c r="Y24" i="46"/>
  <c r="Z24" i="46"/>
  <c r="C25" i="46"/>
  <c r="D25" i="46"/>
  <c r="E25" i="46"/>
  <c r="F25" i="46"/>
  <c r="G25" i="46"/>
  <c r="H25" i="46"/>
  <c r="I25" i="46"/>
  <c r="J25" i="46"/>
  <c r="K25" i="46"/>
  <c r="L25" i="46"/>
  <c r="M25" i="46"/>
  <c r="N25" i="46"/>
  <c r="O25" i="46"/>
  <c r="P25" i="46"/>
  <c r="Q25" i="46"/>
  <c r="R25" i="46"/>
  <c r="S25" i="46"/>
  <c r="T25" i="46"/>
  <c r="U25" i="46"/>
  <c r="V25" i="46"/>
  <c r="W25" i="46"/>
  <c r="X25" i="46"/>
  <c r="Y25" i="46"/>
  <c r="Z25" i="46"/>
  <c r="C26" i="46"/>
  <c r="D26" i="46"/>
  <c r="E26" i="46"/>
  <c r="F26" i="46"/>
  <c r="G26" i="46"/>
  <c r="H26" i="46"/>
  <c r="I26" i="46"/>
  <c r="J26" i="46"/>
  <c r="K26" i="46"/>
  <c r="L26" i="46"/>
  <c r="M26" i="46"/>
  <c r="N26" i="46"/>
  <c r="O26" i="46"/>
  <c r="P26" i="46"/>
  <c r="Q26" i="46"/>
  <c r="R26" i="46"/>
  <c r="S26" i="46"/>
  <c r="T26" i="46"/>
  <c r="U26" i="46"/>
  <c r="V26" i="46"/>
  <c r="W26" i="46"/>
  <c r="X26" i="46"/>
  <c r="Y26" i="46"/>
  <c r="Z26" i="46"/>
  <c r="C27" i="46"/>
  <c r="D27" i="46"/>
  <c r="E27" i="46"/>
  <c r="F27" i="46"/>
  <c r="G27" i="46"/>
  <c r="H27" i="46"/>
  <c r="I27" i="46"/>
  <c r="J27" i="46"/>
  <c r="K27" i="46"/>
  <c r="L27" i="46"/>
  <c r="M27" i="46"/>
  <c r="N27" i="46"/>
  <c r="O27" i="46"/>
  <c r="P27" i="46"/>
  <c r="Q27" i="46"/>
  <c r="R27" i="46"/>
  <c r="S27" i="46"/>
  <c r="T27" i="46"/>
  <c r="U27" i="46"/>
  <c r="V27" i="46"/>
  <c r="W27" i="46"/>
  <c r="X27" i="46"/>
  <c r="Y27" i="46"/>
  <c r="Z27" i="46"/>
  <c r="B4" i="46"/>
  <c r="B5" i="46"/>
  <c r="B6" i="46"/>
  <c r="B7" i="46"/>
  <c r="B8" i="46"/>
  <c r="B9" i="46"/>
  <c r="B10" i="46"/>
  <c r="B11" i="46"/>
  <c r="B12" i="46"/>
  <c r="B13" i="46"/>
  <c r="B14" i="46"/>
  <c r="B15" i="46"/>
  <c r="B16" i="46"/>
  <c r="B17" i="46"/>
  <c r="B18" i="46"/>
  <c r="B19" i="46"/>
  <c r="B20" i="46"/>
  <c r="B21" i="46"/>
  <c r="B22" i="46"/>
  <c r="B23" i="46"/>
  <c r="B24" i="46"/>
  <c r="B25" i="46"/>
  <c r="B26" i="46"/>
  <c r="B27" i="46"/>
  <c r="C32" i="42"/>
  <c r="FB143" i="52" l="1"/>
  <c r="EZ143" i="52"/>
  <c r="FA143" i="52"/>
  <c r="FD143" i="52"/>
  <c r="FC143" i="52"/>
  <c r="AA60" i="45" l="1"/>
  <c r="Z60" i="45"/>
  <c r="Y60" i="45"/>
  <c r="X60" i="45"/>
  <c r="W60" i="45"/>
  <c r="V60" i="45"/>
  <c r="U60" i="45"/>
  <c r="T60" i="45"/>
  <c r="S60" i="45"/>
  <c r="R60" i="45"/>
  <c r="Q60" i="45"/>
  <c r="P60" i="45"/>
  <c r="O60" i="45"/>
  <c r="N60" i="45"/>
  <c r="M60" i="45"/>
  <c r="L60" i="45"/>
  <c r="K60" i="45"/>
  <c r="J60" i="45"/>
  <c r="I60" i="45"/>
  <c r="H60" i="45"/>
  <c r="G60" i="45"/>
  <c r="F60" i="45"/>
  <c r="E60" i="45"/>
  <c r="AA59" i="45"/>
  <c r="Z59" i="45"/>
  <c r="Y59" i="45"/>
  <c r="X59" i="45"/>
  <c r="W59" i="45"/>
  <c r="V59" i="45"/>
  <c r="U59" i="45"/>
  <c r="T59" i="45"/>
  <c r="S59" i="45"/>
  <c r="R59" i="45"/>
  <c r="Q59" i="45"/>
  <c r="P59" i="45"/>
  <c r="O59" i="45"/>
  <c r="N59" i="45"/>
  <c r="M59" i="45"/>
  <c r="L59" i="45"/>
  <c r="K59" i="45"/>
  <c r="J59" i="45"/>
  <c r="I59" i="45"/>
  <c r="H59" i="45"/>
  <c r="G59" i="45"/>
  <c r="F59" i="45"/>
  <c r="E59" i="45"/>
  <c r="AA58" i="45"/>
  <c r="Z58" i="45"/>
  <c r="Y58" i="45"/>
  <c r="X58" i="45"/>
  <c r="W58" i="45"/>
  <c r="V58" i="45"/>
  <c r="U58" i="45"/>
  <c r="T58" i="45"/>
  <c r="S58" i="45"/>
  <c r="R58" i="45"/>
  <c r="Q58" i="45"/>
  <c r="P58" i="45"/>
  <c r="O58" i="45"/>
  <c r="N58" i="45"/>
  <c r="M58" i="45"/>
  <c r="L58" i="45"/>
  <c r="K58" i="45"/>
  <c r="J58" i="45"/>
  <c r="I58" i="45"/>
  <c r="H58" i="45"/>
  <c r="G58" i="45"/>
  <c r="F58" i="45"/>
  <c r="E58" i="45"/>
  <c r="AA57" i="45"/>
  <c r="Z57" i="45"/>
  <c r="Y57" i="45"/>
  <c r="X57" i="45"/>
  <c r="W57" i="45"/>
  <c r="V57" i="45"/>
  <c r="U57" i="45"/>
  <c r="T57" i="45"/>
  <c r="S57" i="45"/>
  <c r="R57" i="45"/>
  <c r="Q57" i="45"/>
  <c r="P57" i="45"/>
  <c r="O57" i="45"/>
  <c r="N57" i="45"/>
  <c r="M57" i="45"/>
  <c r="L57" i="45"/>
  <c r="K57" i="45"/>
  <c r="J57" i="45"/>
  <c r="I57" i="45"/>
  <c r="H57" i="45"/>
  <c r="G57" i="45"/>
  <c r="F57" i="45"/>
  <c r="E57" i="45"/>
  <c r="AA56" i="45"/>
  <c r="Z56" i="45"/>
  <c r="Y56" i="45"/>
  <c r="X56" i="45"/>
  <c r="W56" i="45"/>
  <c r="V56" i="45"/>
  <c r="U56" i="45"/>
  <c r="T56" i="45"/>
  <c r="S56" i="45"/>
  <c r="R56" i="45"/>
  <c r="Q56" i="45"/>
  <c r="P56" i="45"/>
  <c r="O56" i="45"/>
  <c r="N56" i="45"/>
  <c r="M56" i="45"/>
  <c r="L56" i="45"/>
  <c r="K56" i="45"/>
  <c r="J56" i="45"/>
  <c r="I56" i="45"/>
  <c r="H56" i="45"/>
  <c r="G56" i="45"/>
  <c r="F56" i="45"/>
  <c r="E56" i="45"/>
  <c r="AA55" i="45"/>
  <c r="Z55" i="45"/>
  <c r="Y55" i="45"/>
  <c r="X55" i="45"/>
  <c r="W55" i="45"/>
  <c r="V55" i="45"/>
  <c r="U55" i="45"/>
  <c r="T55" i="45"/>
  <c r="S55" i="45"/>
  <c r="R55" i="45"/>
  <c r="Q55" i="45"/>
  <c r="P55" i="45"/>
  <c r="O55" i="45"/>
  <c r="N55" i="45"/>
  <c r="M55" i="45"/>
  <c r="L55" i="45"/>
  <c r="K55" i="45"/>
  <c r="J55" i="45"/>
  <c r="I55" i="45"/>
  <c r="H55" i="45"/>
  <c r="G55" i="45"/>
  <c r="F55" i="45"/>
  <c r="E55" i="45"/>
  <c r="AA54" i="45"/>
  <c r="Z54" i="45"/>
  <c r="Y54" i="45"/>
  <c r="X54" i="45"/>
  <c r="W54" i="45"/>
  <c r="V54" i="45"/>
  <c r="U54" i="45"/>
  <c r="T54" i="45"/>
  <c r="S54" i="45"/>
  <c r="R54" i="45"/>
  <c r="Q54" i="45"/>
  <c r="P54" i="45"/>
  <c r="O54" i="45"/>
  <c r="N54" i="45"/>
  <c r="M54" i="45"/>
  <c r="L54" i="45"/>
  <c r="K54" i="45"/>
  <c r="J54" i="45"/>
  <c r="I54" i="45"/>
  <c r="H54" i="45"/>
  <c r="G54" i="45"/>
  <c r="F54" i="45"/>
  <c r="E54" i="45"/>
  <c r="AA53" i="45"/>
  <c r="Z53" i="45"/>
  <c r="Y53" i="45"/>
  <c r="X53" i="45"/>
  <c r="W53" i="45"/>
  <c r="V53" i="45"/>
  <c r="U53" i="45"/>
  <c r="T53" i="45"/>
  <c r="S53" i="45"/>
  <c r="R53" i="45"/>
  <c r="Q53" i="45"/>
  <c r="P53" i="45"/>
  <c r="O53" i="45"/>
  <c r="N53" i="45"/>
  <c r="M53" i="45"/>
  <c r="L53" i="45"/>
  <c r="K53" i="45"/>
  <c r="J53" i="45"/>
  <c r="I53" i="45"/>
  <c r="H53" i="45"/>
  <c r="G53" i="45"/>
  <c r="F53" i="45"/>
  <c r="E53" i="45"/>
  <c r="AA52" i="45"/>
  <c r="Z52" i="45"/>
  <c r="Y52" i="45"/>
  <c r="X52" i="45"/>
  <c r="W52" i="45"/>
  <c r="V52" i="45"/>
  <c r="U52" i="45"/>
  <c r="T52" i="45"/>
  <c r="S52" i="45"/>
  <c r="R52" i="45"/>
  <c r="Q52" i="45"/>
  <c r="P52" i="45"/>
  <c r="O52" i="45"/>
  <c r="N52" i="45"/>
  <c r="M52" i="45"/>
  <c r="L52" i="45"/>
  <c r="K52" i="45"/>
  <c r="J52" i="45"/>
  <c r="I52" i="45"/>
  <c r="H52" i="45"/>
  <c r="G52" i="45"/>
  <c r="F52" i="45"/>
  <c r="E52" i="45"/>
  <c r="AA51" i="45"/>
  <c r="Z51" i="45"/>
  <c r="Y51" i="45"/>
  <c r="X51" i="45"/>
  <c r="W51" i="45"/>
  <c r="V51" i="45"/>
  <c r="U51" i="45"/>
  <c r="T51" i="45"/>
  <c r="S51" i="45"/>
  <c r="R51" i="45"/>
  <c r="Q51" i="45"/>
  <c r="P51" i="45"/>
  <c r="O51" i="45"/>
  <c r="N51" i="45"/>
  <c r="M51" i="45"/>
  <c r="L51" i="45"/>
  <c r="K51" i="45"/>
  <c r="J51" i="45"/>
  <c r="I51" i="45"/>
  <c r="H51" i="45"/>
  <c r="G51" i="45"/>
  <c r="F51" i="45"/>
  <c r="E51" i="45"/>
  <c r="AA50" i="45"/>
  <c r="Z50" i="45"/>
  <c r="Y50" i="45"/>
  <c r="X50" i="45"/>
  <c r="W50" i="45"/>
  <c r="V50" i="45"/>
  <c r="U50" i="45"/>
  <c r="T50" i="45"/>
  <c r="S50" i="45"/>
  <c r="R50" i="45"/>
  <c r="Q50" i="45"/>
  <c r="P50" i="45"/>
  <c r="O50" i="45"/>
  <c r="N50" i="45"/>
  <c r="M50" i="45"/>
  <c r="L50" i="45"/>
  <c r="K50" i="45"/>
  <c r="J50" i="45"/>
  <c r="I50" i="45"/>
  <c r="H50" i="45"/>
  <c r="G50" i="45"/>
  <c r="F50" i="45"/>
  <c r="E50" i="45"/>
  <c r="AA49" i="45"/>
  <c r="Z49" i="45"/>
  <c r="Y49" i="45"/>
  <c r="X49" i="45"/>
  <c r="W49" i="45"/>
  <c r="V49" i="45"/>
  <c r="U49" i="45"/>
  <c r="T49" i="45"/>
  <c r="S49" i="45"/>
  <c r="R49" i="45"/>
  <c r="Q49" i="45"/>
  <c r="P49" i="45"/>
  <c r="O49" i="45"/>
  <c r="N49" i="45"/>
  <c r="M49" i="45"/>
  <c r="L49" i="45"/>
  <c r="K49" i="45"/>
  <c r="J49" i="45"/>
  <c r="I49" i="45"/>
  <c r="H49" i="45"/>
  <c r="G49" i="45"/>
  <c r="F49" i="45"/>
  <c r="E49" i="45"/>
  <c r="AA48" i="45"/>
  <c r="Z48" i="45"/>
  <c r="Y48" i="45"/>
  <c r="X48" i="45"/>
  <c r="W48" i="45"/>
  <c r="V48" i="45"/>
  <c r="U48" i="45"/>
  <c r="T48" i="45"/>
  <c r="S48" i="45"/>
  <c r="R48" i="45"/>
  <c r="Q48" i="45"/>
  <c r="P48" i="45"/>
  <c r="O48" i="45"/>
  <c r="N48" i="45"/>
  <c r="M48" i="45"/>
  <c r="L48" i="45"/>
  <c r="K48" i="45"/>
  <c r="J48" i="45"/>
  <c r="I48" i="45"/>
  <c r="H48" i="45"/>
  <c r="G48" i="45"/>
  <c r="F48" i="45"/>
  <c r="E48" i="45"/>
  <c r="AA47" i="45"/>
  <c r="Z47" i="45"/>
  <c r="Y47" i="45"/>
  <c r="X47" i="45"/>
  <c r="W47" i="45"/>
  <c r="V47" i="45"/>
  <c r="U47" i="45"/>
  <c r="T47" i="45"/>
  <c r="S47" i="45"/>
  <c r="R47" i="45"/>
  <c r="Q47" i="45"/>
  <c r="P47" i="45"/>
  <c r="O47" i="45"/>
  <c r="N47" i="45"/>
  <c r="M47" i="45"/>
  <c r="L47" i="45"/>
  <c r="K47" i="45"/>
  <c r="J47" i="45"/>
  <c r="I47" i="45"/>
  <c r="H47" i="45"/>
  <c r="G47" i="45"/>
  <c r="F47" i="45"/>
  <c r="E47" i="45"/>
  <c r="AA46" i="45"/>
  <c r="Z46" i="45"/>
  <c r="Y46" i="45"/>
  <c r="X46" i="45"/>
  <c r="W46" i="45"/>
  <c r="V46" i="45"/>
  <c r="U46" i="45"/>
  <c r="T46" i="45"/>
  <c r="S46" i="45"/>
  <c r="R46" i="45"/>
  <c r="Q46" i="45"/>
  <c r="P46" i="45"/>
  <c r="O46" i="45"/>
  <c r="N46" i="45"/>
  <c r="M46" i="45"/>
  <c r="L46" i="45"/>
  <c r="K46" i="45"/>
  <c r="J46" i="45"/>
  <c r="I46" i="45"/>
  <c r="H46" i="45"/>
  <c r="G46" i="45"/>
  <c r="F46" i="45"/>
  <c r="E46" i="45"/>
  <c r="AA45" i="45"/>
  <c r="Z45" i="45"/>
  <c r="Y45" i="45"/>
  <c r="X45" i="45"/>
  <c r="W45" i="45"/>
  <c r="V45" i="45"/>
  <c r="U45" i="45"/>
  <c r="T45" i="45"/>
  <c r="S45" i="45"/>
  <c r="R45" i="45"/>
  <c r="Q45" i="45"/>
  <c r="P45" i="45"/>
  <c r="O45" i="45"/>
  <c r="N45" i="45"/>
  <c r="M45" i="45"/>
  <c r="L45" i="45"/>
  <c r="K45" i="45"/>
  <c r="J45" i="45"/>
  <c r="I45" i="45"/>
  <c r="H45" i="45"/>
  <c r="G45" i="45"/>
  <c r="F45" i="45"/>
  <c r="E45" i="45"/>
  <c r="AA44" i="45"/>
  <c r="Z44" i="45"/>
  <c r="Y44" i="45"/>
  <c r="X44" i="45"/>
  <c r="W44" i="45"/>
  <c r="V44" i="45"/>
  <c r="U44" i="45"/>
  <c r="T44" i="45"/>
  <c r="S44" i="45"/>
  <c r="R44" i="45"/>
  <c r="Q44" i="45"/>
  <c r="P44" i="45"/>
  <c r="O44" i="45"/>
  <c r="N44" i="45"/>
  <c r="M44" i="45"/>
  <c r="L44" i="45"/>
  <c r="K44" i="45"/>
  <c r="J44" i="45"/>
  <c r="I44" i="45"/>
  <c r="H44" i="45"/>
  <c r="G44" i="45"/>
  <c r="F44" i="45"/>
  <c r="E44" i="45"/>
  <c r="AA43" i="45"/>
  <c r="Z43" i="45"/>
  <c r="Y43" i="45"/>
  <c r="X43" i="45"/>
  <c r="W43" i="45"/>
  <c r="V43" i="45"/>
  <c r="U43" i="45"/>
  <c r="T43" i="45"/>
  <c r="S43" i="45"/>
  <c r="R43" i="45"/>
  <c r="Q43" i="45"/>
  <c r="P43" i="45"/>
  <c r="O43" i="45"/>
  <c r="N43" i="45"/>
  <c r="M43" i="45"/>
  <c r="L43" i="45"/>
  <c r="K43" i="45"/>
  <c r="J43" i="45"/>
  <c r="I43" i="45"/>
  <c r="H43" i="45"/>
  <c r="G43" i="45"/>
  <c r="F43" i="45"/>
  <c r="E43" i="45"/>
  <c r="AA42" i="45"/>
  <c r="Z42" i="45"/>
  <c r="Y42" i="45"/>
  <c r="X42" i="45"/>
  <c r="W42" i="45"/>
  <c r="V42" i="45"/>
  <c r="U42" i="45"/>
  <c r="T42" i="45"/>
  <c r="S42" i="45"/>
  <c r="R42" i="45"/>
  <c r="Q42" i="45"/>
  <c r="P42" i="45"/>
  <c r="O42" i="45"/>
  <c r="N42" i="45"/>
  <c r="M42" i="45"/>
  <c r="L42" i="45"/>
  <c r="K42" i="45"/>
  <c r="J42" i="45"/>
  <c r="I42" i="45"/>
  <c r="H42" i="45"/>
  <c r="G42" i="45"/>
  <c r="F42" i="45"/>
  <c r="E42" i="45"/>
  <c r="AA41" i="45"/>
  <c r="Z41" i="45"/>
  <c r="Y41" i="45"/>
  <c r="X41" i="45"/>
  <c r="W41" i="45"/>
  <c r="V41" i="45"/>
  <c r="U41" i="45"/>
  <c r="T41" i="45"/>
  <c r="S41" i="45"/>
  <c r="R41" i="45"/>
  <c r="Q41" i="45"/>
  <c r="P41" i="45"/>
  <c r="O41" i="45"/>
  <c r="N41" i="45"/>
  <c r="M41" i="45"/>
  <c r="L41" i="45"/>
  <c r="K41" i="45"/>
  <c r="J41" i="45"/>
  <c r="I41" i="45"/>
  <c r="H41" i="45"/>
  <c r="G41" i="45"/>
  <c r="F41" i="45"/>
  <c r="E41" i="45"/>
  <c r="AA40" i="45"/>
  <c r="Z40" i="45"/>
  <c r="Y40" i="45"/>
  <c r="X40" i="45"/>
  <c r="W40" i="45"/>
  <c r="V40" i="45"/>
  <c r="U40" i="45"/>
  <c r="T40" i="45"/>
  <c r="S40" i="45"/>
  <c r="R40" i="45"/>
  <c r="Q40" i="45"/>
  <c r="P40" i="45"/>
  <c r="O40" i="45"/>
  <c r="N40" i="45"/>
  <c r="M40" i="45"/>
  <c r="L40" i="45"/>
  <c r="K40" i="45"/>
  <c r="J40" i="45"/>
  <c r="I40" i="45"/>
  <c r="H40" i="45"/>
  <c r="G40" i="45"/>
  <c r="F40" i="45"/>
  <c r="E40" i="45"/>
  <c r="AA39" i="45"/>
  <c r="Z39" i="45"/>
  <c r="Y39" i="45"/>
  <c r="X39" i="45"/>
  <c r="W39" i="45"/>
  <c r="V39" i="45"/>
  <c r="U39" i="45"/>
  <c r="T39" i="45"/>
  <c r="S39" i="45"/>
  <c r="R39" i="45"/>
  <c r="Q39" i="45"/>
  <c r="P39" i="45"/>
  <c r="O39" i="45"/>
  <c r="N39" i="45"/>
  <c r="M39" i="45"/>
  <c r="L39" i="45"/>
  <c r="K39" i="45"/>
  <c r="J39" i="45"/>
  <c r="I39" i="45"/>
  <c r="H39" i="45"/>
  <c r="G39" i="45"/>
  <c r="F39" i="45"/>
  <c r="E39" i="45"/>
  <c r="AA38" i="45"/>
  <c r="Z38" i="45"/>
  <c r="Y38" i="45"/>
  <c r="X38" i="45"/>
  <c r="W38" i="45"/>
  <c r="V38" i="45"/>
  <c r="U38" i="45"/>
  <c r="T38" i="45"/>
  <c r="S38" i="45"/>
  <c r="R38" i="45"/>
  <c r="Q38" i="45"/>
  <c r="P38" i="45"/>
  <c r="O38" i="45"/>
  <c r="N38" i="45"/>
  <c r="M38" i="45"/>
  <c r="L38" i="45"/>
  <c r="K38" i="45"/>
  <c r="J38" i="45"/>
  <c r="I38" i="45"/>
  <c r="H38" i="45"/>
  <c r="G38" i="45"/>
  <c r="F38" i="45"/>
  <c r="E38" i="45"/>
  <c r="AA37" i="45"/>
  <c r="Z37" i="45"/>
  <c r="Y37" i="45"/>
  <c r="X37" i="45"/>
  <c r="W37" i="45"/>
  <c r="V37" i="45"/>
  <c r="U37" i="45"/>
  <c r="T37" i="45"/>
  <c r="S37" i="45"/>
  <c r="R37" i="45"/>
  <c r="Q37" i="45"/>
  <c r="P37" i="45"/>
  <c r="O37" i="45"/>
  <c r="N37" i="45"/>
  <c r="M37" i="45"/>
  <c r="L37" i="45"/>
  <c r="K37" i="45"/>
  <c r="J37" i="45"/>
  <c r="I37" i="45"/>
  <c r="H37" i="45"/>
  <c r="G37" i="45"/>
  <c r="F37" i="45"/>
  <c r="E37" i="45"/>
  <c r="AA36" i="45"/>
  <c r="Z36" i="45"/>
  <c r="Y36" i="45"/>
  <c r="X36" i="45"/>
  <c r="W36" i="45"/>
  <c r="V36" i="45"/>
  <c r="U36" i="45"/>
  <c r="T36" i="45"/>
  <c r="S36" i="45"/>
  <c r="R36" i="45"/>
  <c r="Q36" i="45"/>
  <c r="P36" i="45"/>
  <c r="O36" i="45"/>
  <c r="N36" i="45"/>
  <c r="M36" i="45"/>
  <c r="L36" i="45"/>
  <c r="K36" i="45"/>
  <c r="J36" i="45"/>
  <c r="I36" i="45"/>
  <c r="H36" i="45"/>
  <c r="G36" i="45"/>
  <c r="F36" i="45"/>
  <c r="E36" i="45"/>
  <c r="C7" i="45"/>
  <c r="AA31" i="45"/>
  <c r="Z31" i="45"/>
  <c r="Y31" i="45"/>
  <c r="Y118" i="45" s="1"/>
  <c r="X31" i="45"/>
  <c r="X118" i="45" s="1"/>
  <c r="W31" i="45"/>
  <c r="W118" i="45" s="1"/>
  <c r="V31" i="45"/>
  <c r="V118" i="45" s="1"/>
  <c r="U31" i="45"/>
  <c r="U118" i="45" s="1"/>
  <c r="T31" i="45"/>
  <c r="T118" i="45" s="1"/>
  <c r="S31" i="45"/>
  <c r="R31" i="45"/>
  <c r="R118" i="45" s="1"/>
  <c r="Q31" i="45"/>
  <c r="P31" i="45"/>
  <c r="O31" i="45"/>
  <c r="N31" i="45"/>
  <c r="M31" i="45"/>
  <c r="M118" i="45" s="1"/>
  <c r="L31" i="45"/>
  <c r="L118" i="45" s="1"/>
  <c r="K31" i="45"/>
  <c r="K118" i="45" s="1"/>
  <c r="J31" i="45"/>
  <c r="J118" i="45" s="1"/>
  <c r="I31" i="45"/>
  <c r="I118" i="45" s="1"/>
  <c r="H31" i="45"/>
  <c r="H118" i="45" s="1"/>
  <c r="G31" i="45"/>
  <c r="G118" i="45" s="1"/>
  <c r="F31" i="45"/>
  <c r="F118" i="45" s="1"/>
  <c r="E31" i="45"/>
  <c r="E118" i="45" s="1"/>
  <c r="D31" i="45"/>
  <c r="D118" i="45" s="1"/>
  <c r="C31" i="45"/>
  <c r="AA30" i="45"/>
  <c r="Z30" i="45"/>
  <c r="Y30" i="45"/>
  <c r="Y117" i="45" s="1"/>
  <c r="X30" i="45"/>
  <c r="X117" i="45" s="1"/>
  <c r="W30" i="45"/>
  <c r="W117" i="45" s="1"/>
  <c r="V30" i="45"/>
  <c r="V117" i="45" s="1"/>
  <c r="U30" i="45"/>
  <c r="U117" i="45" s="1"/>
  <c r="T30" i="45"/>
  <c r="T117" i="45" s="1"/>
  <c r="S30" i="45"/>
  <c r="S117" i="45" s="1"/>
  <c r="R30" i="45"/>
  <c r="R117" i="45" s="1"/>
  <c r="Q30" i="45"/>
  <c r="Q117" i="45" s="1"/>
  <c r="P30" i="45"/>
  <c r="P117" i="45" s="1"/>
  <c r="O30" i="45"/>
  <c r="N30" i="45"/>
  <c r="N117" i="45" s="1"/>
  <c r="M30" i="45"/>
  <c r="L30" i="45"/>
  <c r="L117" i="45" s="1"/>
  <c r="K30" i="45"/>
  <c r="K117" i="45" s="1"/>
  <c r="J30" i="45"/>
  <c r="I30" i="45"/>
  <c r="I117" i="45" s="1"/>
  <c r="H30" i="45"/>
  <c r="H117" i="45" s="1"/>
  <c r="G30" i="45"/>
  <c r="G117" i="45" s="1"/>
  <c r="F30" i="45"/>
  <c r="F117" i="45" s="1"/>
  <c r="E30" i="45"/>
  <c r="E117" i="45" s="1"/>
  <c r="D30" i="45"/>
  <c r="D117" i="45" s="1"/>
  <c r="C30" i="45"/>
  <c r="AA29" i="45"/>
  <c r="AA116" i="45" s="1"/>
  <c r="Z29" i="45"/>
  <c r="Z116" i="45" s="1"/>
  <c r="Y29" i="45"/>
  <c r="X29" i="45"/>
  <c r="X116" i="45" s="1"/>
  <c r="W29" i="45"/>
  <c r="W116" i="45" s="1"/>
  <c r="V29" i="45"/>
  <c r="V116" i="45" s="1"/>
  <c r="U29" i="45"/>
  <c r="U116" i="45" s="1"/>
  <c r="T29" i="45"/>
  <c r="T116" i="45" s="1"/>
  <c r="S29" i="45"/>
  <c r="S116" i="45" s="1"/>
  <c r="R29" i="45"/>
  <c r="R116" i="45" s="1"/>
  <c r="Q29" i="45"/>
  <c r="Q116" i="45" s="1"/>
  <c r="P29" i="45"/>
  <c r="P116" i="45" s="1"/>
  <c r="O29" i="45"/>
  <c r="O116" i="45" s="1"/>
  <c r="N29" i="45"/>
  <c r="N116" i="45" s="1"/>
  <c r="M29" i="45"/>
  <c r="M116" i="45" s="1"/>
  <c r="L29" i="45"/>
  <c r="L116" i="45" s="1"/>
  <c r="K29" i="45"/>
  <c r="K116" i="45" s="1"/>
  <c r="J29" i="45"/>
  <c r="J116" i="45" s="1"/>
  <c r="I29" i="45"/>
  <c r="I116" i="45" s="1"/>
  <c r="H29" i="45"/>
  <c r="H116" i="45" s="1"/>
  <c r="G29" i="45"/>
  <c r="G116" i="45" s="1"/>
  <c r="F29" i="45"/>
  <c r="F116" i="45" s="1"/>
  <c r="E29" i="45"/>
  <c r="E116" i="45" s="1"/>
  <c r="D29" i="45"/>
  <c r="D116" i="45" s="1"/>
  <c r="C29" i="45"/>
  <c r="AA28" i="45"/>
  <c r="AA115" i="45" s="1"/>
  <c r="Z28" i="45"/>
  <c r="Z115" i="45" s="1"/>
  <c r="Y28" i="45"/>
  <c r="Y115" i="45" s="1"/>
  <c r="X28" i="45"/>
  <c r="W28" i="45"/>
  <c r="W115" i="45" s="1"/>
  <c r="V28" i="45"/>
  <c r="V115" i="45" s="1"/>
  <c r="U28" i="45"/>
  <c r="U115" i="45" s="1"/>
  <c r="T28" i="45"/>
  <c r="T115" i="45" s="1"/>
  <c r="S28" i="45"/>
  <c r="S115" i="45" s="1"/>
  <c r="R28" i="45"/>
  <c r="R115" i="45" s="1"/>
  <c r="Q28" i="45"/>
  <c r="Q115" i="45" s="1"/>
  <c r="P28" i="45"/>
  <c r="P115" i="45" s="1"/>
  <c r="O28" i="45"/>
  <c r="O115" i="45" s="1"/>
  <c r="N28" i="45"/>
  <c r="N115" i="45" s="1"/>
  <c r="M28" i="45"/>
  <c r="M115" i="45" s="1"/>
  <c r="L28" i="45"/>
  <c r="L115" i="45" s="1"/>
  <c r="K28" i="45"/>
  <c r="K115" i="45" s="1"/>
  <c r="J28" i="45"/>
  <c r="J115" i="45" s="1"/>
  <c r="I28" i="45"/>
  <c r="I115" i="45" s="1"/>
  <c r="H28" i="45"/>
  <c r="H115" i="45" s="1"/>
  <c r="G28" i="45"/>
  <c r="G115" i="45" s="1"/>
  <c r="F28" i="45"/>
  <c r="E28" i="45"/>
  <c r="E115" i="45" s="1"/>
  <c r="D28" i="45"/>
  <c r="D115" i="45" s="1"/>
  <c r="C28" i="45"/>
  <c r="AA27" i="45"/>
  <c r="AA114" i="45" s="1"/>
  <c r="Z27" i="45"/>
  <c r="Z114" i="45" s="1"/>
  <c r="Y27" i="45"/>
  <c r="Y114" i="45" s="1"/>
  <c r="X27" i="45"/>
  <c r="X114" i="45" s="1"/>
  <c r="W27" i="45"/>
  <c r="V27" i="45"/>
  <c r="U27" i="45"/>
  <c r="U114" i="45" s="1"/>
  <c r="T27" i="45"/>
  <c r="T114" i="45" s="1"/>
  <c r="S27" i="45"/>
  <c r="S114" i="45" s="1"/>
  <c r="R27" i="45"/>
  <c r="R114" i="45" s="1"/>
  <c r="Q27" i="45"/>
  <c r="Q114" i="45" s="1"/>
  <c r="P27" i="45"/>
  <c r="P114" i="45" s="1"/>
  <c r="O27" i="45"/>
  <c r="N27" i="45"/>
  <c r="N114" i="45" s="1"/>
  <c r="M27" i="45"/>
  <c r="M114" i="45" s="1"/>
  <c r="L27" i="45"/>
  <c r="L114" i="45" s="1"/>
  <c r="K27" i="45"/>
  <c r="K114" i="45" s="1"/>
  <c r="J27" i="45"/>
  <c r="J114" i="45" s="1"/>
  <c r="I27" i="45"/>
  <c r="I114" i="45" s="1"/>
  <c r="H27" i="45"/>
  <c r="H114" i="45" s="1"/>
  <c r="G27" i="45"/>
  <c r="G114" i="45" s="1"/>
  <c r="F27" i="45"/>
  <c r="F114" i="45" s="1"/>
  <c r="E27" i="45"/>
  <c r="E114" i="45" s="1"/>
  <c r="D27" i="45"/>
  <c r="C27" i="45"/>
  <c r="AA26" i="45"/>
  <c r="AA113" i="45" s="1"/>
  <c r="Z26" i="45"/>
  <c r="Z113" i="45" s="1"/>
  <c r="Y26" i="45"/>
  <c r="Y113" i="45" s="1"/>
  <c r="X26" i="45"/>
  <c r="X113" i="45" s="1"/>
  <c r="W26" i="45"/>
  <c r="V26" i="45"/>
  <c r="U26" i="45"/>
  <c r="U113" i="45" s="1"/>
  <c r="T26" i="45"/>
  <c r="T113" i="45" s="1"/>
  <c r="S26" i="45"/>
  <c r="S113" i="45" s="1"/>
  <c r="R26" i="45"/>
  <c r="R113" i="45" s="1"/>
  <c r="Q26" i="45"/>
  <c r="Q113" i="45" s="1"/>
  <c r="P26" i="45"/>
  <c r="P113" i="45" s="1"/>
  <c r="O26" i="45"/>
  <c r="O113" i="45" s="1"/>
  <c r="N26" i="45"/>
  <c r="N113" i="45" s="1"/>
  <c r="M26" i="45"/>
  <c r="L26" i="45"/>
  <c r="K26" i="45"/>
  <c r="J26" i="45"/>
  <c r="J113" i="45" s="1"/>
  <c r="I26" i="45"/>
  <c r="H26" i="45"/>
  <c r="H113" i="45" s="1"/>
  <c r="G26" i="45"/>
  <c r="F26" i="45"/>
  <c r="E26" i="45"/>
  <c r="D26" i="45"/>
  <c r="C26" i="45"/>
  <c r="AA25" i="45"/>
  <c r="AA112" i="45" s="1"/>
  <c r="Z25" i="45"/>
  <c r="Z112" i="45" s="1"/>
  <c r="Y25" i="45"/>
  <c r="Y112" i="45" s="1"/>
  <c r="X25" i="45"/>
  <c r="X112" i="45" s="1"/>
  <c r="W25" i="45"/>
  <c r="W112" i="45" s="1"/>
  <c r="V25" i="45"/>
  <c r="V112" i="45" s="1"/>
  <c r="U25" i="45"/>
  <c r="U112" i="45" s="1"/>
  <c r="T25" i="45"/>
  <c r="T112" i="45" s="1"/>
  <c r="S25" i="45"/>
  <c r="S112" i="45" s="1"/>
  <c r="R25" i="45"/>
  <c r="R112" i="45" s="1"/>
  <c r="Q25" i="45"/>
  <c r="Q112" i="45" s="1"/>
  <c r="P25" i="45"/>
  <c r="P112" i="45" s="1"/>
  <c r="O25" i="45"/>
  <c r="O112" i="45" s="1"/>
  <c r="N25" i="45"/>
  <c r="N112" i="45" s="1"/>
  <c r="M25" i="45"/>
  <c r="M112" i="45" s="1"/>
  <c r="L25" i="45"/>
  <c r="L112" i="45" s="1"/>
  <c r="K25" i="45"/>
  <c r="K112" i="45" s="1"/>
  <c r="J25" i="45"/>
  <c r="J112" i="45" s="1"/>
  <c r="I25" i="45"/>
  <c r="I112" i="45" s="1"/>
  <c r="H25" i="45"/>
  <c r="H112" i="45" s="1"/>
  <c r="G25" i="45"/>
  <c r="G112" i="45" s="1"/>
  <c r="F25" i="45"/>
  <c r="F112" i="45" s="1"/>
  <c r="E25" i="45"/>
  <c r="E112" i="45" s="1"/>
  <c r="D25" i="45"/>
  <c r="D112" i="45" s="1"/>
  <c r="C25" i="45"/>
  <c r="C112" i="45" s="1"/>
  <c r="AA24" i="45"/>
  <c r="AA111" i="45" s="1"/>
  <c r="Z24" i="45"/>
  <c r="Z111" i="45" s="1"/>
  <c r="Y24" i="45"/>
  <c r="Y111" i="45" s="1"/>
  <c r="X24" i="45"/>
  <c r="X111" i="45" s="1"/>
  <c r="W24" i="45"/>
  <c r="W111" i="45" s="1"/>
  <c r="V24" i="45"/>
  <c r="V111" i="45" s="1"/>
  <c r="U24" i="45"/>
  <c r="U111" i="45" s="1"/>
  <c r="T24" i="45"/>
  <c r="T111" i="45" s="1"/>
  <c r="S24" i="45"/>
  <c r="S111" i="45" s="1"/>
  <c r="R24" i="45"/>
  <c r="R111" i="45" s="1"/>
  <c r="Q24" i="45"/>
  <c r="Q111" i="45" s="1"/>
  <c r="P24" i="45"/>
  <c r="O24" i="45"/>
  <c r="O111" i="45" s="1"/>
  <c r="N24" i="45"/>
  <c r="N111" i="45" s="1"/>
  <c r="M24" i="45"/>
  <c r="M111" i="45" s="1"/>
  <c r="L24" i="45"/>
  <c r="L111" i="45" s="1"/>
  <c r="K24" i="45"/>
  <c r="K111" i="45" s="1"/>
  <c r="J24" i="45"/>
  <c r="I24" i="45"/>
  <c r="H24" i="45"/>
  <c r="H111" i="45" s="1"/>
  <c r="G24" i="45"/>
  <c r="G111" i="45" s="1"/>
  <c r="F24" i="45"/>
  <c r="F111" i="45" s="1"/>
  <c r="E24" i="45"/>
  <c r="D24" i="45"/>
  <c r="C24" i="45"/>
  <c r="AA23" i="45"/>
  <c r="AA110" i="45" s="1"/>
  <c r="Z23" i="45"/>
  <c r="Z110" i="45" s="1"/>
  <c r="Y23" i="45"/>
  <c r="Y110" i="45" s="1"/>
  <c r="X23" i="45"/>
  <c r="X110" i="45" s="1"/>
  <c r="W23" i="45"/>
  <c r="W110" i="45" s="1"/>
  <c r="V23" i="45"/>
  <c r="V110" i="45" s="1"/>
  <c r="U23" i="45"/>
  <c r="U110" i="45" s="1"/>
  <c r="T23" i="45"/>
  <c r="T110" i="45" s="1"/>
  <c r="S23" i="45"/>
  <c r="S110" i="45" s="1"/>
  <c r="R23" i="45"/>
  <c r="R110" i="45" s="1"/>
  <c r="Q23" i="45"/>
  <c r="Q110" i="45" s="1"/>
  <c r="P23" i="45"/>
  <c r="P110" i="45" s="1"/>
  <c r="O23" i="45"/>
  <c r="O110" i="45" s="1"/>
  <c r="N23" i="45"/>
  <c r="N110" i="45" s="1"/>
  <c r="M23" i="45"/>
  <c r="M110" i="45" s="1"/>
  <c r="L23" i="45"/>
  <c r="L110" i="45" s="1"/>
  <c r="K23" i="45"/>
  <c r="K110" i="45" s="1"/>
  <c r="J23" i="45"/>
  <c r="J110" i="45" s="1"/>
  <c r="I23" i="45"/>
  <c r="I110" i="45" s="1"/>
  <c r="H23" i="45"/>
  <c r="H110" i="45" s="1"/>
  <c r="G23" i="45"/>
  <c r="G110" i="45" s="1"/>
  <c r="F23" i="45"/>
  <c r="F110" i="45" s="1"/>
  <c r="E23" i="45"/>
  <c r="E110" i="45" s="1"/>
  <c r="D23" i="45"/>
  <c r="D110" i="45" s="1"/>
  <c r="C23" i="45"/>
  <c r="C110" i="45" s="1"/>
  <c r="AA22" i="45"/>
  <c r="AA109" i="45" s="1"/>
  <c r="Z22" i="45"/>
  <c r="Z109" i="45" s="1"/>
  <c r="Y22" i="45"/>
  <c r="Y109" i="45" s="1"/>
  <c r="X22" i="45"/>
  <c r="X109" i="45" s="1"/>
  <c r="W22" i="45"/>
  <c r="W109" i="45" s="1"/>
  <c r="V22" i="45"/>
  <c r="V109" i="45" s="1"/>
  <c r="U22" i="45"/>
  <c r="U109" i="45" s="1"/>
  <c r="T22" i="45"/>
  <c r="T109" i="45" s="1"/>
  <c r="S22" i="45"/>
  <c r="S109" i="45" s="1"/>
  <c r="R22" i="45"/>
  <c r="R109" i="45" s="1"/>
  <c r="Q22" i="45"/>
  <c r="Q109" i="45" s="1"/>
  <c r="P22" i="45"/>
  <c r="P109" i="45" s="1"/>
  <c r="O22" i="45"/>
  <c r="O109" i="45" s="1"/>
  <c r="N22" i="45"/>
  <c r="N109" i="45" s="1"/>
  <c r="M22" i="45"/>
  <c r="M109" i="45" s="1"/>
  <c r="L22" i="45"/>
  <c r="L109" i="45" s="1"/>
  <c r="K22" i="45"/>
  <c r="K109" i="45" s="1"/>
  <c r="J22" i="45"/>
  <c r="J109" i="45" s="1"/>
  <c r="I22" i="45"/>
  <c r="I109" i="45" s="1"/>
  <c r="H22" i="45"/>
  <c r="H109" i="45" s="1"/>
  <c r="G22" i="45"/>
  <c r="G109" i="45" s="1"/>
  <c r="F22" i="45"/>
  <c r="F109" i="45" s="1"/>
  <c r="E22" i="45"/>
  <c r="E109" i="45" s="1"/>
  <c r="D22" i="45"/>
  <c r="D109" i="45" s="1"/>
  <c r="C22" i="45"/>
  <c r="C109" i="45" s="1"/>
  <c r="AA21" i="45"/>
  <c r="Z21" i="45"/>
  <c r="Z108" i="45" s="1"/>
  <c r="Y21" i="45"/>
  <c r="Y108" i="45" s="1"/>
  <c r="X21" i="45"/>
  <c r="X108" i="45" s="1"/>
  <c r="W21" i="45"/>
  <c r="W108" i="45" s="1"/>
  <c r="V21" i="45"/>
  <c r="V108" i="45" s="1"/>
  <c r="U21" i="45"/>
  <c r="U108" i="45" s="1"/>
  <c r="T21" i="45"/>
  <c r="T108" i="45" s="1"/>
  <c r="S21" i="45"/>
  <c r="R21" i="45"/>
  <c r="R108" i="45" s="1"/>
  <c r="Q21" i="45"/>
  <c r="P21" i="45"/>
  <c r="P108" i="45" s="1"/>
  <c r="O21" i="45"/>
  <c r="O108" i="45" s="1"/>
  <c r="N21" i="45"/>
  <c r="N108" i="45" s="1"/>
  <c r="M21" i="45"/>
  <c r="M108" i="45" s="1"/>
  <c r="L21" i="45"/>
  <c r="L108" i="45" s="1"/>
  <c r="K21" i="45"/>
  <c r="K108" i="45" s="1"/>
  <c r="J21" i="45"/>
  <c r="I21" i="45"/>
  <c r="H21" i="45"/>
  <c r="H108" i="45" s="1"/>
  <c r="G21" i="45"/>
  <c r="G108" i="45" s="1"/>
  <c r="F21" i="45"/>
  <c r="F108" i="45" s="1"/>
  <c r="E21" i="45"/>
  <c r="E108" i="45" s="1"/>
  <c r="D21" i="45"/>
  <c r="D108" i="45" s="1"/>
  <c r="C21" i="45"/>
  <c r="AA20" i="45"/>
  <c r="Z20" i="45"/>
  <c r="Z107" i="45" s="1"/>
  <c r="Y20" i="45"/>
  <c r="Y107" i="45" s="1"/>
  <c r="X20" i="45"/>
  <c r="X107" i="45" s="1"/>
  <c r="W20" i="45"/>
  <c r="W107" i="45" s="1"/>
  <c r="V20" i="45"/>
  <c r="V107" i="45" s="1"/>
  <c r="U20" i="45"/>
  <c r="T20" i="45"/>
  <c r="S20" i="45"/>
  <c r="S107" i="45" s="1"/>
  <c r="R20" i="45"/>
  <c r="R107" i="45" s="1"/>
  <c r="Q20" i="45"/>
  <c r="Q107" i="45" s="1"/>
  <c r="P20" i="45"/>
  <c r="P107" i="45" s="1"/>
  <c r="O20" i="45"/>
  <c r="N20" i="45"/>
  <c r="N107" i="45" s="1"/>
  <c r="M20" i="45"/>
  <c r="M107" i="45" s="1"/>
  <c r="L20" i="45"/>
  <c r="L107" i="45" s="1"/>
  <c r="K20" i="45"/>
  <c r="K107" i="45" s="1"/>
  <c r="J20" i="45"/>
  <c r="I20" i="45"/>
  <c r="H20" i="45"/>
  <c r="G20" i="45"/>
  <c r="G107" i="45" s="1"/>
  <c r="F20" i="45"/>
  <c r="E20" i="45"/>
  <c r="E107" i="45" s="1"/>
  <c r="D20" i="45"/>
  <c r="D107" i="45" s="1"/>
  <c r="C20" i="45"/>
  <c r="AA19" i="45"/>
  <c r="Z19" i="45"/>
  <c r="Y19" i="45"/>
  <c r="Y106" i="45" s="1"/>
  <c r="X19" i="45"/>
  <c r="X106" i="45" s="1"/>
  <c r="W19" i="45"/>
  <c r="V19" i="45"/>
  <c r="V106" i="45" s="1"/>
  <c r="U19" i="45"/>
  <c r="U106" i="45" s="1"/>
  <c r="T19" i="45"/>
  <c r="T106" i="45" s="1"/>
  <c r="S19" i="45"/>
  <c r="S106" i="45" s="1"/>
  <c r="R19" i="45"/>
  <c r="R106" i="45" s="1"/>
  <c r="Q19" i="45"/>
  <c r="Q106" i="45" s="1"/>
  <c r="P19" i="45"/>
  <c r="O19" i="45"/>
  <c r="N19" i="45"/>
  <c r="M19" i="45"/>
  <c r="L19" i="45"/>
  <c r="L106" i="45" s="1"/>
  <c r="K19" i="45"/>
  <c r="K106" i="45" s="1"/>
  <c r="J19" i="45"/>
  <c r="J106" i="45" s="1"/>
  <c r="I19" i="45"/>
  <c r="H19" i="45"/>
  <c r="H106" i="45" s="1"/>
  <c r="G19" i="45"/>
  <c r="F19" i="45"/>
  <c r="E19" i="45"/>
  <c r="E106" i="45" s="1"/>
  <c r="D19" i="45"/>
  <c r="C19" i="45"/>
  <c r="AA18" i="45"/>
  <c r="Z18" i="45"/>
  <c r="Z105" i="45" s="1"/>
  <c r="Y18" i="45"/>
  <c r="X18" i="45"/>
  <c r="X105" i="45" s="1"/>
  <c r="W18" i="45"/>
  <c r="W105" i="45" s="1"/>
  <c r="V18" i="45"/>
  <c r="V105" i="45" s="1"/>
  <c r="U18" i="45"/>
  <c r="U105" i="45" s="1"/>
  <c r="T18" i="45"/>
  <c r="T105" i="45" s="1"/>
  <c r="S18" i="45"/>
  <c r="S105" i="45" s="1"/>
  <c r="R18" i="45"/>
  <c r="R105" i="45" s="1"/>
  <c r="Q18" i="45"/>
  <c r="Q105" i="45" s="1"/>
  <c r="P18" i="45"/>
  <c r="P105" i="45" s="1"/>
  <c r="O18" i="45"/>
  <c r="N18" i="45"/>
  <c r="M18" i="45"/>
  <c r="L18" i="45"/>
  <c r="L105" i="45" s="1"/>
  <c r="K18" i="45"/>
  <c r="K105" i="45" s="1"/>
  <c r="J18" i="45"/>
  <c r="I18" i="45"/>
  <c r="I105" i="45" s="1"/>
  <c r="H18" i="45"/>
  <c r="H105" i="45" s="1"/>
  <c r="G18" i="45"/>
  <c r="F18" i="45"/>
  <c r="E18" i="45"/>
  <c r="E105" i="45" s="1"/>
  <c r="D18" i="45"/>
  <c r="C18" i="45"/>
  <c r="AA17" i="45"/>
  <c r="AA104" i="45" s="1"/>
  <c r="Z17" i="45"/>
  <c r="Z104" i="45" s="1"/>
  <c r="Y17" i="45"/>
  <c r="Y104" i="45" s="1"/>
  <c r="X17" i="45"/>
  <c r="X104" i="45" s="1"/>
  <c r="W17" i="45"/>
  <c r="W104" i="45" s="1"/>
  <c r="V17" i="45"/>
  <c r="U17" i="45"/>
  <c r="U104" i="45" s="1"/>
  <c r="T17" i="45"/>
  <c r="T104" i="45" s="1"/>
  <c r="S17" i="45"/>
  <c r="S104" i="45" s="1"/>
  <c r="R17" i="45"/>
  <c r="R104" i="45" s="1"/>
  <c r="Q17" i="45"/>
  <c r="Q104" i="45" s="1"/>
  <c r="P17" i="45"/>
  <c r="P104" i="45" s="1"/>
  <c r="O17" i="45"/>
  <c r="N17" i="45"/>
  <c r="M17" i="45"/>
  <c r="L17" i="45"/>
  <c r="K17" i="45"/>
  <c r="K104" i="45" s="1"/>
  <c r="J17" i="45"/>
  <c r="J104" i="45" s="1"/>
  <c r="I17" i="45"/>
  <c r="I104" i="45" s="1"/>
  <c r="H17" i="45"/>
  <c r="H104" i="45" s="1"/>
  <c r="G17" i="45"/>
  <c r="F17" i="45"/>
  <c r="F104" i="45" s="1"/>
  <c r="E17" i="45"/>
  <c r="D17" i="45"/>
  <c r="D104" i="45" s="1"/>
  <c r="C17" i="45"/>
  <c r="AA16" i="45"/>
  <c r="AA103" i="45" s="1"/>
  <c r="Z16" i="45"/>
  <c r="Z103" i="45" s="1"/>
  <c r="Y16" i="45"/>
  <c r="Y103" i="45" s="1"/>
  <c r="X16" i="45"/>
  <c r="X103" i="45" s="1"/>
  <c r="W16" i="45"/>
  <c r="W103" i="45" s="1"/>
  <c r="V16" i="45"/>
  <c r="U16" i="45"/>
  <c r="U103" i="45" s="1"/>
  <c r="T16" i="45"/>
  <c r="T103" i="45" s="1"/>
  <c r="S16" i="45"/>
  <c r="S103" i="45" s="1"/>
  <c r="R16" i="45"/>
  <c r="R103" i="45" s="1"/>
  <c r="Q16" i="45"/>
  <c r="Q103" i="45" s="1"/>
  <c r="P16" i="45"/>
  <c r="P103" i="45" s="1"/>
  <c r="O16" i="45"/>
  <c r="O103" i="45" s="1"/>
  <c r="N16" i="45"/>
  <c r="N103" i="45" s="1"/>
  <c r="M16" i="45"/>
  <c r="L16" i="45"/>
  <c r="K16" i="45"/>
  <c r="K103" i="45" s="1"/>
  <c r="J16" i="45"/>
  <c r="I16" i="45"/>
  <c r="H16" i="45"/>
  <c r="G16" i="45"/>
  <c r="G103" i="45" s="1"/>
  <c r="F16" i="45"/>
  <c r="E16" i="45"/>
  <c r="E103" i="45" s="1"/>
  <c r="D16" i="45"/>
  <c r="C16" i="45"/>
  <c r="AA15" i="45"/>
  <c r="AA102" i="45" s="1"/>
  <c r="Z15" i="45"/>
  <c r="Z102" i="45" s="1"/>
  <c r="Y15" i="45"/>
  <c r="Y102" i="45" s="1"/>
  <c r="X15" i="45"/>
  <c r="X102" i="45" s="1"/>
  <c r="W15" i="45"/>
  <c r="W102" i="45" s="1"/>
  <c r="V15" i="45"/>
  <c r="U15" i="45"/>
  <c r="U102" i="45" s="1"/>
  <c r="T15" i="45"/>
  <c r="T102" i="45" s="1"/>
  <c r="S15" i="45"/>
  <c r="S102" i="45" s="1"/>
  <c r="R15" i="45"/>
  <c r="R102" i="45" s="1"/>
  <c r="Q15" i="45"/>
  <c r="Q102" i="45" s="1"/>
  <c r="P15" i="45"/>
  <c r="P102" i="45" s="1"/>
  <c r="O15" i="45"/>
  <c r="O102" i="45" s="1"/>
  <c r="N15" i="45"/>
  <c r="N102" i="45" s="1"/>
  <c r="M15" i="45"/>
  <c r="M102" i="45" s="1"/>
  <c r="L15" i="45"/>
  <c r="K15" i="45"/>
  <c r="J15" i="45"/>
  <c r="I15" i="45"/>
  <c r="H15" i="45"/>
  <c r="H102" i="45" s="1"/>
  <c r="G15" i="45"/>
  <c r="G102" i="45" s="1"/>
  <c r="F15" i="45"/>
  <c r="F102" i="45" s="1"/>
  <c r="E15" i="45"/>
  <c r="E102" i="45" s="1"/>
  <c r="D15" i="45"/>
  <c r="C15" i="45"/>
  <c r="AA14" i="45"/>
  <c r="AA101" i="45" s="1"/>
  <c r="Z14" i="45"/>
  <c r="Y14" i="45"/>
  <c r="Y101" i="45" s="1"/>
  <c r="X14" i="45"/>
  <c r="X101" i="45" s="1"/>
  <c r="W14" i="45"/>
  <c r="W101" i="45" s="1"/>
  <c r="V14" i="45"/>
  <c r="V101" i="45" s="1"/>
  <c r="U14" i="45"/>
  <c r="T14" i="45"/>
  <c r="S14" i="45"/>
  <c r="R14" i="45"/>
  <c r="R101" i="45" s="1"/>
  <c r="Q14" i="45"/>
  <c r="P14" i="45"/>
  <c r="O14" i="45"/>
  <c r="N14" i="45"/>
  <c r="M14" i="45"/>
  <c r="M101" i="45" s="1"/>
  <c r="L14" i="45"/>
  <c r="K14" i="45"/>
  <c r="J14" i="45"/>
  <c r="I14" i="45"/>
  <c r="H14" i="45"/>
  <c r="G14" i="45"/>
  <c r="F14" i="45"/>
  <c r="E14" i="45"/>
  <c r="D14" i="45"/>
  <c r="C14" i="45"/>
  <c r="AA13" i="45"/>
  <c r="AA100" i="45" s="1"/>
  <c r="Z13" i="45"/>
  <c r="Z100" i="45" s="1"/>
  <c r="Y13" i="45"/>
  <c r="Y100" i="45" s="1"/>
  <c r="X13" i="45"/>
  <c r="X100" i="45" s="1"/>
  <c r="W13" i="45"/>
  <c r="W100" i="45" s="1"/>
  <c r="V13" i="45"/>
  <c r="U13" i="45"/>
  <c r="T13" i="45"/>
  <c r="S13" i="45"/>
  <c r="R13" i="45"/>
  <c r="R100" i="45" s="1"/>
  <c r="Q13" i="45"/>
  <c r="P13" i="45"/>
  <c r="O13" i="45"/>
  <c r="O100" i="45" s="1"/>
  <c r="N13" i="45"/>
  <c r="N100" i="45" s="1"/>
  <c r="M13" i="45"/>
  <c r="M100" i="45" s="1"/>
  <c r="L13" i="45"/>
  <c r="K13" i="45"/>
  <c r="J13" i="45"/>
  <c r="I13" i="45"/>
  <c r="H13" i="45"/>
  <c r="G13" i="45"/>
  <c r="F13" i="45"/>
  <c r="F100" i="45" s="1"/>
  <c r="E13" i="45"/>
  <c r="D13" i="45"/>
  <c r="C13" i="45"/>
  <c r="AA12" i="45"/>
  <c r="AA99" i="45" s="1"/>
  <c r="Z12" i="45"/>
  <c r="Z99" i="45" s="1"/>
  <c r="Y12" i="45"/>
  <c r="Y99" i="45" s="1"/>
  <c r="X12" i="45"/>
  <c r="X99" i="45" s="1"/>
  <c r="W12" i="45"/>
  <c r="W99" i="45" s="1"/>
  <c r="V12" i="45"/>
  <c r="V99" i="45" s="1"/>
  <c r="U12" i="45"/>
  <c r="U99" i="45" s="1"/>
  <c r="T12" i="45"/>
  <c r="T99" i="45" s="1"/>
  <c r="S12" i="45"/>
  <c r="S99" i="45" s="1"/>
  <c r="R12" i="45"/>
  <c r="R99" i="45" s="1"/>
  <c r="Q12" i="45"/>
  <c r="Q99" i="45" s="1"/>
  <c r="P12" i="45"/>
  <c r="O12" i="45"/>
  <c r="O99" i="45" s="1"/>
  <c r="N12" i="45"/>
  <c r="N99" i="45" s="1"/>
  <c r="M12" i="45"/>
  <c r="M99" i="45" s="1"/>
  <c r="L12" i="45"/>
  <c r="L99" i="45" s="1"/>
  <c r="K12" i="45"/>
  <c r="K99" i="45" s="1"/>
  <c r="J12" i="45"/>
  <c r="I12" i="45"/>
  <c r="H12" i="45"/>
  <c r="G12" i="45"/>
  <c r="F12" i="45"/>
  <c r="F99" i="45" s="1"/>
  <c r="E12" i="45"/>
  <c r="D12" i="45"/>
  <c r="C12" i="45"/>
  <c r="AA11" i="45"/>
  <c r="AA98" i="45" s="1"/>
  <c r="Z11" i="45"/>
  <c r="Z98" i="45" s="1"/>
  <c r="Y11" i="45"/>
  <c r="Y98" i="45" s="1"/>
  <c r="X11" i="45"/>
  <c r="X98" i="45" s="1"/>
  <c r="W11" i="45"/>
  <c r="W98" i="45" s="1"/>
  <c r="V11" i="45"/>
  <c r="U11" i="45"/>
  <c r="U98" i="45" s="1"/>
  <c r="T11" i="45"/>
  <c r="T98" i="45" s="1"/>
  <c r="S11" i="45"/>
  <c r="S98" i="45" s="1"/>
  <c r="R11" i="45"/>
  <c r="R98" i="45" s="1"/>
  <c r="Q11" i="45"/>
  <c r="Q98" i="45" s="1"/>
  <c r="P11" i="45"/>
  <c r="O11" i="45"/>
  <c r="N11" i="45"/>
  <c r="M11" i="45"/>
  <c r="L11" i="45"/>
  <c r="L98" i="45" s="1"/>
  <c r="K11" i="45"/>
  <c r="K98" i="45" s="1"/>
  <c r="J11" i="45"/>
  <c r="I11" i="45"/>
  <c r="H11" i="45"/>
  <c r="G11" i="45"/>
  <c r="F11" i="45"/>
  <c r="E11" i="45"/>
  <c r="D11" i="45"/>
  <c r="C11" i="45"/>
  <c r="AA10" i="45"/>
  <c r="AA97" i="45" s="1"/>
  <c r="Z10" i="45"/>
  <c r="Z97" i="45" s="1"/>
  <c r="Y10" i="45"/>
  <c r="Y97" i="45" s="1"/>
  <c r="X10" i="45"/>
  <c r="W10" i="45"/>
  <c r="W97" i="45" s="1"/>
  <c r="V10" i="45"/>
  <c r="U10" i="45"/>
  <c r="U97" i="45" s="1"/>
  <c r="T10" i="45"/>
  <c r="T97" i="45" s="1"/>
  <c r="S10" i="45"/>
  <c r="S97" i="45" s="1"/>
  <c r="R10" i="45"/>
  <c r="R97" i="45" s="1"/>
  <c r="Q10" i="45"/>
  <c r="Q97" i="45" s="1"/>
  <c r="P10" i="45"/>
  <c r="O10" i="45"/>
  <c r="N10" i="45"/>
  <c r="M10" i="45"/>
  <c r="M97" i="45" s="1"/>
  <c r="L10" i="45"/>
  <c r="K10" i="45"/>
  <c r="K97" i="45" s="1"/>
  <c r="J10" i="45"/>
  <c r="I10" i="45"/>
  <c r="I97" i="45" s="1"/>
  <c r="H10" i="45"/>
  <c r="H97" i="45" s="1"/>
  <c r="G10" i="45"/>
  <c r="F10" i="45"/>
  <c r="E10" i="45"/>
  <c r="D10" i="45"/>
  <c r="C10" i="45"/>
  <c r="AA9" i="45"/>
  <c r="AA96" i="45" s="1"/>
  <c r="Z9" i="45"/>
  <c r="Z96" i="45" s="1"/>
  <c r="Y9" i="45"/>
  <c r="Y96" i="45" s="1"/>
  <c r="X9" i="45"/>
  <c r="X96" i="45" s="1"/>
  <c r="W9" i="45"/>
  <c r="W96" i="45" s="1"/>
  <c r="V9" i="45"/>
  <c r="U9" i="45"/>
  <c r="U96" i="45" s="1"/>
  <c r="T9" i="45"/>
  <c r="S9" i="45"/>
  <c r="S96" i="45" s="1"/>
  <c r="R9" i="45"/>
  <c r="R96" i="45" s="1"/>
  <c r="Q9" i="45"/>
  <c r="Q96" i="45" s="1"/>
  <c r="P9" i="45"/>
  <c r="P96" i="45" s="1"/>
  <c r="O9" i="45"/>
  <c r="O96" i="45" s="1"/>
  <c r="N9" i="45"/>
  <c r="N96" i="45" s="1"/>
  <c r="M9" i="45"/>
  <c r="L9" i="45"/>
  <c r="L96" i="45" s="1"/>
  <c r="K9" i="45"/>
  <c r="J9" i="45"/>
  <c r="I9" i="45"/>
  <c r="H9" i="45"/>
  <c r="G9" i="45"/>
  <c r="F9" i="45"/>
  <c r="E9" i="45"/>
  <c r="D9" i="45"/>
  <c r="C9" i="45"/>
  <c r="AA8" i="45"/>
  <c r="AA95" i="45" s="1"/>
  <c r="Z8" i="45"/>
  <c r="Z95" i="45" s="1"/>
  <c r="Y8" i="45"/>
  <c r="Y95" i="45" s="1"/>
  <c r="X8" i="45"/>
  <c r="X95" i="45" s="1"/>
  <c r="W8" i="45"/>
  <c r="V8" i="45"/>
  <c r="U8" i="45"/>
  <c r="T8" i="45"/>
  <c r="S8" i="45"/>
  <c r="S95" i="45" s="1"/>
  <c r="R8" i="45"/>
  <c r="R95" i="45" s="1"/>
  <c r="Q8" i="45"/>
  <c r="Q95" i="45" s="1"/>
  <c r="P8" i="45"/>
  <c r="P95" i="45" s="1"/>
  <c r="O8" i="45"/>
  <c r="N8" i="45"/>
  <c r="M8" i="45"/>
  <c r="M95" i="45" s="1"/>
  <c r="L8" i="45"/>
  <c r="K8" i="45"/>
  <c r="J8" i="45"/>
  <c r="I8" i="45"/>
  <c r="H8" i="45"/>
  <c r="G8" i="45"/>
  <c r="F8" i="45"/>
  <c r="E8" i="45"/>
  <c r="D8" i="45"/>
  <c r="C8" i="45"/>
  <c r="AA7" i="45"/>
  <c r="Z7" i="45"/>
  <c r="Y7" i="45"/>
  <c r="X7" i="45"/>
  <c r="W7" i="45"/>
  <c r="V7" i="45"/>
  <c r="U7" i="45"/>
  <c r="T7" i="45"/>
  <c r="S7" i="45"/>
  <c r="R7" i="45"/>
  <c r="R94" i="45" s="1"/>
  <c r="Q7" i="45"/>
  <c r="P7" i="45"/>
  <c r="O7" i="45"/>
  <c r="N7" i="45"/>
  <c r="M7" i="45"/>
  <c r="L7" i="45"/>
  <c r="K7" i="45"/>
  <c r="J7" i="45"/>
  <c r="I7" i="45"/>
  <c r="H7" i="45"/>
  <c r="G7" i="45"/>
  <c r="F7" i="45"/>
  <c r="E7" i="45"/>
  <c r="D7" i="45"/>
  <c r="D65" i="45" l="1"/>
  <c r="D94" i="45" s="1"/>
  <c r="L65" i="45"/>
  <c r="L94" i="45" s="1"/>
  <c r="T65" i="45"/>
  <c r="K66" i="45"/>
  <c r="K95" i="45" s="1"/>
  <c r="S66" i="45"/>
  <c r="AA66" i="45"/>
  <c r="J67" i="45"/>
  <c r="J96" i="45" s="1"/>
  <c r="R67" i="45"/>
  <c r="Z67" i="45"/>
  <c r="I68" i="45"/>
  <c r="Q68" i="45"/>
  <c r="Y68" i="45"/>
  <c r="H69" i="45"/>
  <c r="H98" i="45" s="1"/>
  <c r="P69" i="45"/>
  <c r="P98" i="45" s="1"/>
  <c r="X69" i="45"/>
  <c r="G70" i="45"/>
  <c r="G99" i="45" s="1"/>
  <c r="O70" i="45"/>
  <c r="W70" i="45"/>
  <c r="F71" i="45"/>
  <c r="N71" i="45"/>
  <c r="V71" i="45"/>
  <c r="V100" i="45" s="1"/>
  <c r="E72" i="45"/>
  <c r="E101" i="45" s="1"/>
  <c r="M72" i="45"/>
  <c r="U72" i="45"/>
  <c r="U101" i="45" s="1"/>
  <c r="D73" i="45"/>
  <c r="D102" i="45" s="1"/>
  <c r="L73" i="45"/>
  <c r="L102" i="45" s="1"/>
  <c r="T73" i="45"/>
  <c r="K74" i="45"/>
  <c r="S74" i="45"/>
  <c r="AA74" i="45"/>
  <c r="J75" i="45"/>
  <c r="R75" i="45"/>
  <c r="Z75" i="45"/>
  <c r="I76" i="45"/>
  <c r="Q76" i="45"/>
  <c r="Y76" i="45"/>
  <c r="Y105" i="45" s="1"/>
  <c r="H77" i="45"/>
  <c r="P77" i="45"/>
  <c r="P106" i="45" s="1"/>
  <c r="X77" i="45"/>
  <c r="G78" i="45"/>
  <c r="O78" i="45"/>
  <c r="O107" i="45" s="1"/>
  <c r="W78" i="45"/>
  <c r="F79" i="45"/>
  <c r="N79" i="45"/>
  <c r="V79" i="45"/>
  <c r="E80" i="45"/>
  <c r="M80" i="45"/>
  <c r="U80" i="45"/>
  <c r="D81" i="45"/>
  <c r="L81" i="45"/>
  <c r="T81" i="45"/>
  <c r="K82" i="45"/>
  <c r="S82" i="45"/>
  <c r="AA82" i="45"/>
  <c r="J83" i="45"/>
  <c r="R83" i="45"/>
  <c r="Z83" i="45"/>
  <c r="I84" i="45"/>
  <c r="I113" i="45" s="1"/>
  <c r="Q84" i="45"/>
  <c r="Y84" i="45"/>
  <c r="H85" i="45"/>
  <c r="P85" i="45"/>
  <c r="X85" i="45"/>
  <c r="G86" i="45"/>
  <c r="O86" i="45"/>
  <c r="W86" i="45"/>
  <c r="F87" i="45"/>
  <c r="N87" i="45"/>
  <c r="V87" i="45"/>
  <c r="E88" i="45"/>
  <c r="M88" i="45"/>
  <c r="U88" i="45"/>
  <c r="D89" i="45"/>
  <c r="L89" i="45"/>
  <c r="T89" i="45"/>
  <c r="C66" i="45"/>
  <c r="C95" i="45" s="1"/>
  <c r="C74" i="45"/>
  <c r="C103" i="45" s="1"/>
  <c r="C82" i="45"/>
  <c r="C111" i="45" s="1"/>
  <c r="M117" i="45"/>
  <c r="E65" i="45"/>
  <c r="E94" i="45" s="1"/>
  <c r="M65" i="45"/>
  <c r="M94" i="45" s="1"/>
  <c r="U65" i="45"/>
  <c r="U94" i="45" s="1"/>
  <c r="D66" i="45"/>
  <c r="D95" i="45" s="1"/>
  <c r="L66" i="45"/>
  <c r="L95" i="45" s="1"/>
  <c r="T66" i="45"/>
  <c r="T95" i="45" s="1"/>
  <c r="K67" i="45"/>
  <c r="K96" i="45" s="1"/>
  <c r="S67" i="45"/>
  <c r="AA67" i="45"/>
  <c r="J68" i="45"/>
  <c r="J97" i="45" s="1"/>
  <c r="R68" i="45"/>
  <c r="Z68" i="45"/>
  <c r="I69" i="45"/>
  <c r="I98" i="45" s="1"/>
  <c r="Q69" i="45"/>
  <c r="Y69" i="45"/>
  <c r="H70" i="45"/>
  <c r="H99" i="45" s="1"/>
  <c r="P70" i="45"/>
  <c r="P99" i="45" s="1"/>
  <c r="X70" i="45"/>
  <c r="G71" i="45"/>
  <c r="G100" i="45" s="1"/>
  <c r="O71" i="45"/>
  <c r="W71" i="45"/>
  <c r="F72" i="45"/>
  <c r="F101" i="45" s="1"/>
  <c r="N72" i="45"/>
  <c r="N101" i="45" s="1"/>
  <c r="V72" i="45"/>
  <c r="E73" i="45"/>
  <c r="M73" i="45"/>
  <c r="U73" i="45"/>
  <c r="D74" i="45"/>
  <c r="D103" i="45" s="1"/>
  <c r="L74" i="45"/>
  <c r="L103" i="45" s="1"/>
  <c r="T74" i="45"/>
  <c r="K75" i="45"/>
  <c r="S75" i="45"/>
  <c r="AA75" i="45"/>
  <c r="J76" i="45"/>
  <c r="J105" i="45" s="1"/>
  <c r="R76" i="45"/>
  <c r="Z76" i="45"/>
  <c r="I77" i="45"/>
  <c r="I106" i="45" s="1"/>
  <c r="Q77" i="45"/>
  <c r="Y77" i="45"/>
  <c r="H78" i="45"/>
  <c r="H107" i="45" s="1"/>
  <c r="P78" i="45"/>
  <c r="X78" i="45"/>
  <c r="G79" i="45"/>
  <c r="O79" i="45"/>
  <c r="W79" i="45"/>
  <c r="F80" i="45"/>
  <c r="N80" i="45"/>
  <c r="V80" i="45"/>
  <c r="E81" i="45"/>
  <c r="M81" i="45"/>
  <c r="U81" i="45"/>
  <c r="D82" i="45"/>
  <c r="D111" i="45" s="1"/>
  <c r="L82" i="45"/>
  <c r="T82" i="45"/>
  <c r="K83" i="45"/>
  <c r="S83" i="45"/>
  <c r="AA83" i="45"/>
  <c r="J84" i="45"/>
  <c r="R84" i="45"/>
  <c r="Z84" i="45"/>
  <c r="I85" i="45"/>
  <c r="Q85" i="45"/>
  <c r="Y85" i="45"/>
  <c r="H86" i="45"/>
  <c r="P86" i="45"/>
  <c r="X86" i="45"/>
  <c r="X115" i="45" s="1"/>
  <c r="G87" i="45"/>
  <c r="O87" i="45"/>
  <c r="W87" i="45"/>
  <c r="F88" i="45"/>
  <c r="N88" i="45"/>
  <c r="V88" i="45"/>
  <c r="E89" i="45"/>
  <c r="M89" i="45"/>
  <c r="U89" i="45"/>
  <c r="T94" i="45"/>
  <c r="C67" i="45"/>
  <c r="C96" i="45" s="1"/>
  <c r="C75" i="45"/>
  <c r="C104" i="45" s="1"/>
  <c r="C83" i="45"/>
  <c r="F65" i="45"/>
  <c r="F94" i="45" s="1"/>
  <c r="N65" i="45"/>
  <c r="N94" i="45" s="1"/>
  <c r="V65" i="45"/>
  <c r="V94" i="45" s="1"/>
  <c r="E66" i="45"/>
  <c r="E95" i="45" s="1"/>
  <c r="M66" i="45"/>
  <c r="U66" i="45"/>
  <c r="U95" i="45" s="1"/>
  <c r="D67" i="45"/>
  <c r="D96" i="45" s="1"/>
  <c r="L67" i="45"/>
  <c r="T67" i="45"/>
  <c r="T96" i="45" s="1"/>
  <c r="C68" i="45"/>
  <c r="C97" i="45" s="1"/>
  <c r="K68" i="45"/>
  <c r="S68" i="45"/>
  <c r="AA68" i="45"/>
  <c r="J69" i="45"/>
  <c r="J98" i="45" s="1"/>
  <c r="R69" i="45"/>
  <c r="Z69" i="45"/>
  <c r="I70" i="45"/>
  <c r="I99" i="45" s="1"/>
  <c r="Q70" i="45"/>
  <c r="Y70" i="45"/>
  <c r="H71" i="45"/>
  <c r="H100" i="45" s="1"/>
  <c r="P71" i="45"/>
  <c r="P100" i="45" s="1"/>
  <c r="X71" i="45"/>
  <c r="G72" i="45"/>
  <c r="G101" i="45" s="1"/>
  <c r="O72" i="45"/>
  <c r="O101" i="45" s="1"/>
  <c r="W72" i="45"/>
  <c r="F73" i="45"/>
  <c r="N73" i="45"/>
  <c r="V73" i="45"/>
  <c r="V102" i="45" s="1"/>
  <c r="E74" i="45"/>
  <c r="M74" i="45"/>
  <c r="M103" i="45" s="1"/>
  <c r="U74" i="45"/>
  <c r="D75" i="45"/>
  <c r="L75" i="45"/>
  <c r="L104" i="45" s="1"/>
  <c r="T75" i="45"/>
  <c r="C76" i="45"/>
  <c r="C105" i="45" s="1"/>
  <c r="K76" i="45"/>
  <c r="S76" i="45"/>
  <c r="AA76" i="45"/>
  <c r="AA105" i="45" s="1"/>
  <c r="J77" i="45"/>
  <c r="R77" i="45"/>
  <c r="Z77" i="45"/>
  <c r="Z106" i="45" s="1"/>
  <c r="I78" i="45"/>
  <c r="I107" i="45" s="1"/>
  <c r="Q78" i="45"/>
  <c r="Y78" i="45"/>
  <c r="H79" i="45"/>
  <c r="P79" i="45"/>
  <c r="X79" i="45"/>
  <c r="G80" i="45"/>
  <c r="O80" i="45"/>
  <c r="W80" i="45"/>
  <c r="F81" i="45"/>
  <c r="N81" i="45"/>
  <c r="V81" i="45"/>
  <c r="E82" i="45"/>
  <c r="E111" i="45" s="1"/>
  <c r="M82" i="45"/>
  <c r="U82" i="45"/>
  <c r="D83" i="45"/>
  <c r="L83" i="45"/>
  <c r="T83" i="45"/>
  <c r="C84" i="45"/>
  <c r="C113" i="45" s="1"/>
  <c r="K84" i="45"/>
  <c r="K113" i="45" s="1"/>
  <c r="S84" i="45"/>
  <c r="AA84" i="45"/>
  <c r="J85" i="45"/>
  <c r="R85" i="45"/>
  <c r="Z85" i="45"/>
  <c r="I86" i="45"/>
  <c r="Q86" i="45"/>
  <c r="Y86" i="45"/>
  <c r="H87" i="45"/>
  <c r="P87" i="45"/>
  <c r="X87" i="45"/>
  <c r="G88" i="45"/>
  <c r="O88" i="45"/>
  <c r="O117" i="45" s="1"/>
  <c r="W88" i="45"/>
  <c r="F89" i="45"/>
  <c r="N89" i="45"/>
  <c r="N118" i="45" s="1"/>
  <c r="V89" i="45"/>
  <c r="G65" i="45"/>
  <c r="G94" i="45" s="1"/>
  <c r="O65" i="45"/>
  <c r="O94" i="45" s="1"/>
  <c r="W65" i="45"/>
  <c r="W94" i="45" s="1"/>
  <c r="F66" i="45"/>
  <c r="F95" i="45" s="1"/>
  <c r="N66" i="45"/>
  <c r="N95" i="45" s="1"/>
  <c r="V66" i="45"/>
  <c r="V95" i="45" s="1"/>
  <c r="E67" i="45"/>
  <c r="E96" i="45" s="1"/>
  <c r="M67" i="45"/>
  <c r="M96" i="45" s="1"/>
  <c r="U67" i="45"/>
  <c r="D68" i="45"/>
  <c r="D97" i="45" s="1"/>
  <c r="L68" i="45"/>
  <c r="L97" i="45" s="1"/>
  <c r="T68" i="45"/>
  <c r="C69" i="45"/>
  <c r="C98" i="45" s="1"/>
  <c r="K69" i="45"/>
  <c r="S69" i="45"/>
  <c r="AA69" i="45"/>
  <c r="J70" i="45"/>
  <c r="J99" i="45" s="1"/>
  <c r="R70" i="45"/>
  <c r="Z70" i="45"/>
  <c r="I71" i="45"/>
  <c r="I100" i="45" s="1"/>
  <c r="Q71" i="45"/>
  <c r="Q100" i="45" s="1"/>
  <c r="Y71" i="45"/>
  <c r="H72" i="45"/>
  <c r="H101" i="45" s="1"/>
  <c r="P72" i="45"/>
  <c r="P101" i="45" s="1"/>
  <c r="X72" i="45"/>
  <c r="G73" i="45"/>
  <c r="O73" i="45"/>
  <c r="W73" i="45"/>
  <c r="F74" i="45"/>
  <c r="F103" i="45" s="1"/>
  <c r="N74" i="45"/>
  <c r="V74" i="45"/>
  <c r="V103" i="45" s="1"/>
  <c r="E75" i="45"/>
  <c r="E104" i="45" s="1"/>
  <c r="M75" i="45"/>
  <c r="M104" i="45" s="1"/>
  <c r="U75" i="45"/>
  <c r="D76" i="45"/>
  <c r="D105" i="45" s="1"/>
  <c r="L76" i="45"/>
  <c r="T76" i="45"/>
  <c r="C77" i="45"/>
  <c r="C106" i="45" s="1"/>
  <c r="K77" i="45"/>
  <c r="S77" i="45"/>
  <c r="AA77" i="45"/>
  <c r="AA106" i="45" s="1"/>
  <c r="J78" i="45"/>
  <c r="J107" i="45" s="1"/>
  <c r="R78" i="45"/>
  <c r="Z78" i="45"/>
  <c r="I79" i="45"/>
  <c r="I108" i="45" s="1"/>
  <c r="Q79" i="45"/>
  <c r="Q108" i="45" s="1"/>
  <c r="Y79" i="45"/>
  <c r="H80" i="45"/>
  <c r="P80" i="45"/>
  <c r="X80" i="45"/>
  <c r="G81" i="45"/>
  <c r="O81" i="45"/>
  <c r="W81" i="45"/>
  <c r="F82" i="45"/>
  <c r="N82" i="45"/>
  <c r="V82" i="45"/>
  <c r="E83" i="45"/>
  <c r="M83" i="45"/>
  <c r="U83" i="45"/>
  <c r="D84" i="45"/>
  <c r="D113" i="45" s="1"/>
  <c r="L84" i="45"/>
  <c r="L113" i="45" s="1"/>
  <c r="T84" i="45"/>
  <c r="C85" i="45"/>
  <c r="C114" i="45" s="1"/>
  <c r="K85" i="45"/>
  <c r="S85" i="45"/>
  <c r="AA85" i="45"/>
  <c r="J86" i="45"/>
  <c r="R86" i="45"/>
  <c r="Z86" i="45"/>
  <c r="I87" i="45"/>
  <c r="Q87" i="45"/>
  <c r="Y87" i="45"/>
  <c r="Y116" i="45" s="1"/>
  <c r="H88" i="45"/>
  <c r="P88" i="45"/>
  <c r="X88" i="45"/>
  <c r="G89" i="45"/>
  <c r="O89" i="45"/>
  <c r="O118" i="45" s="1"/>
  <c r="W89" i="45"/>
  <c r="H65" i="45"/>
  <c r="H94" i="45" s="1"/>
  <c r="P65" i="45"/>
  <c r="P94" i="45" s="1"/>
  <c r="X65" i="45"/>
  <c r="X94" i="45" s="1"/>
  <c r="G66" i="45"/>
  <c r="G95" i="45" s="1"/>
  <c r="O66" i="45"/>
  <c r="O95" i="45" s="1"/>
  <c r="W66" i="45"/>
  <c r="W95" i="45" s="1"/>
  <c r="F67" i="45"/>
  <c r="F96" i="45" s="1"/>
  <c r="N67" i="45"/>
  <c r="V67" i="45"/>
  <c r="V96" i="45" s="1"/>
  <c r="E68" i="45"/>
  <c r="E97" i="45" s="1"/>
  <c r="M68" i="45"/>
  <c r="U68" i="45"/>
  <c r="D69" i="45"/>
  <c r="D98" i="45" s="1"/>
  <c r="L69" i="45"/>
  <c r="T69" i="45"/>
  <c r="C70" i="45"/>
  <c r="C99" i="45" s="1"/>
  <c r="K70" i="45"/>
  <c r="S70" i="45"/>
  <c r="AA70" i="45"/>
  <c r="J71" i="45"/>
  <c r="J100" i="45" s="1"/>
  <c r="R71" i="45"/>
  <c r="Z71" i="45"/>
  <c r="I72" i="45"/>
  <c r="I101" i="45" s="1"/>
  <c r="Q72" i="45"/>
  <c r="Q101" i="45" s="1"/>
  <c r="Y72" i="45"/>
  <c r="H73" i="45"/>
  <c r="P73" i="45"/>
  <c r="X73" i="45"/>
  <c r="G74" i="45"/>
  <c r="O74" i="45"/>
  <c r="W74" i="45"/>
  <c r="F75" i="45"/>
  <c r="N75" i="45"/>
  <c r="N104" i="45" s="1"/>
  <c r="V75" i="45"/>
  <c r="V104" i="45" s="1"/>
  <c r="E76" i="45"/>
  <c r="M76" i="45"/>
  <c r="M105" i="45" s="1"/>
  <c r="U76" i="45"/>
  <c r="D77" i="45"/>
  <c r="D106" i="45" s="1"/>
  <c r="L77" i="45"/>
  <c r="T77" i="45"/>
  <c r="C78" i="45"/>
  <c r="C107" i="45" s="1"/>
  <c r="K78" i="45"/>
  <c r="S78" i="45"/>
  <c r="AA78" i="45"/>
  <c r="AA107" i="45" s="1"/>
  <c r="J79" i="45"/>
  <c r="J108" i="45" s="1"/>
  <c r="R79" i="45"/>
  <c r="Z79" i="45"/>
  <c r="I80" i="45"/>
  <c r="Q80" i="45"/>
  <c r="Y80" i="45"/>
  <c r="H81" i="45"/>
  <c r="P81" i="45"/>
  <c r="X81" i="45"/>
  <c r="G82" i="45"/>
  <c r="O82" i="45"/>
  <c r="W82" i="45"/>
  <c r="F83" i="45"/>
  <c r="N83" i="45"/>
  <c r="V83" i="45"/>
  <c r="E84" i="45"/>
  <c r="E113" i="45" s="1"/>
  <c r="M84" i="45"/>
  <c r="M113" i="45" s="1"/>
  <c r="U84" i="45"/>
  <c r="D85" i="45"/>
  <c r="D114" i="45" s="1"/>
  <c r="L85" i="45"/>
  <c r="T85" i="45"/>
  <c r="C86" i="45"/>
  <c r="C115" i="45" s="1"/>
  <c r="K86" i="45"/>
  <c r="S86" i="45"/>
  <c r="AA86" i="45"/>
  <c r="J87" i="45"/>
  <c r="R87" i="45"/>
  <c r="Z87" i="45"/>
  <c r="I88" i="45"/>
  <c r="Q88" i="45"/>
  <c r="Y88" i="45"/>
  <c r="H89" i="45"/>
  <c r="P89" i="45"/>
  <c r="P118" i="45" s="1"/>
  <c r="X89" i="45"/>
  <c r="I65" i="45"/>
  <c r="I94" i="45" s="1"/>
  <c r="Q65" i="45"/>
  <c r="Q94" i="45" s="1"/>
  <c r="Y65" i="45"/>
  <c r="Y94" i="45" s="1"/>
  <c r="H66" i="45"/>
  <c r="H95" i="45" s="1"/>
  <c r="P66" i="45"/>
  <c r="X66" i="45"/>
  <c r="G67" i="45"/>
  <c r="G96" i="45" s="1"/>
  <c r="O67" i="45"/>
  <c r="W67" i="45"/>
  <c r="F68" i="45"/>
  <c r="F97" i="45" s="1"/>
  <c r="N68" i="45"/>
  <c r="N97" i="45" s="1"/>
  <c r="V68" i="45"/>
  <c r="V97" i="45" s="1"/>
  <c r="E69" i="45"/>
  <c r="E98" i="45" s="1"/>
  <c r="M69" i="45"/>
  <c r="M98" i="45" s="1"/>
  <c r="U69" i="45"/>
  <c r="D70" i="45"/>
  <c r="D99" i="45" s="1"/>
  <c r="L70" i="45"/>
  <c r="T70" i="45"/>
  <c r="C71" i="45"/>
  <c r="C100" i="45" s="1"/>
  <c r="K71" i="45"/>
  <c r="K100" i="45" s="1"/>
  <c r="S71" i="45"/>
  <c r="S100" i="45" s="1"/>
  <c r="AA71" i="45"/>
  <c r="J72" i="45"/>
  <c r="J101" i="45" s="1"/>
  <c r="R72" i="45"/>
  <c r="Z72" i="45"/>
  <c r="Z101" i="45" s="1"/>
  <c r="I73" i="45"/>
  <c r="I102" i="45" s="1"/>
  <c r="Q73" i="45"/>
  <c r="Y73" i="45"/>
  <c r="H74" i="45"/>
  <c r="H103" i="45" s="1"/>
  <c r="P74" i="45"/>
  <c r="X74" i="45"/>
  <c r="G75" i="45"/>
  <c r="G104" i="45" s="1"/>
  <c r="O75" i="45"/>
  <c r="O104" i="45" s="1"/>
  <c r="W75" i="45"/>
  <c r="F76" i="45"/>
  <c r="F105" i="45" s="1"/>
  <c r="N76" i="45"/>
  <c r="N105" i="45" s="1"/>
  <c r="V76" i="45"/>
  <c r="E77" i="45"/>
  <c r="M77" i="45"/>
  <c r="M106" i="45" s="1"/>
  <c r="U77" i="45"/>
  <c r="D78" i="45"/>
  <c r="L78" i="45"/>
  <c r="T78" i="45"/>
  <c r="T107" i="45" s="1"/>
  <c r="C79" i="45"/>
  <c r="C108" i="45" s="1"/>
  <c r="K79" i="45"/>
  <c r="S79" i="45"/>
  <c r="S108" i="45" s="1"/>
  <c r="AA79" i="45"/>
  <c r="AA108" i="45" s="1"/>
  <c r="J80" i="45"/>
  <c r="R80" i="45"/>
  <c r="Z80" i="45"/>
  <c r="I81" i="45"/>
  <c r="Q81" i="45"/>
  <c r="Y81" i="45"/>
  <c r="H82" i="45"/>
  <c r="P82" i="45"/>
  <c r="P111" i="45" s="1"/>
  <c r="X82" i="45"/>
  <c r="G83" i="45"/>
  <c r="O83" i="45"/>
  <c r="W83" i="45"/>
  <c r="F84" i="45"/>
  <c r="F113" i="45" s="1"/>
  <c r="N84" i="45"/>
  <c r="V84" i="45"/>
  <c r="V113" i="45" s="1"/>
  <c r="E85" i="45"/>
  <c r="M85" i="45"/>
  <c r="U85" i="45"/>
  <c r="D86" i="45"/>
  <c r="L86" i="45"/>
  <c r="T86" i="45"/>
  <c r="C87" i="45"/>
  <c r="C116" i="45" s="1"/>
  <c r="K87" i="45"/>
  <c r="S87" i="45"/>
  <c r="AA87" i="45"/>
  <c r="J88" i="45"/>
  <c r="J117" i="45" s="1"/>
  <c r="R88" i="45"/>
  <c r="Z88" i="45"/>
  <c r="Z117" i="45" s="1"/>
  <c r="I89" i="45"/>
  <c r="Q89" i="45"/>
  <c r="Q118" i="45" s="1"/>
  <c r="Y89" i="45"/>
  <c r="J65" i="45"/>
  <c r="J94" i="45" s="1"/>
  <c r="R65" i="45"/>
  <c r="Z65" i="45"/>
  <c r="Z94" i="45" s="1"/>
  <c r="I66" i="45"/>
  <c r="I95" i="45" s="1"/>
  <c r="Q66" i="45"/>
  <c r="Y66" i="45"/>
  <c r="H67" i="45"/>
  <c r="H96" i="45" s="1"/>
  <c r="P67" i="45"/>
  <c r="X67" i="45"/>
  <c r="G68" i="45"/>
  <c r="G97" i="45" s="1"/>
  <c r="O68" i="45"/>
  <c r="O97" i="45" s="1"/>
  <c r="W68" i="45"/>
  <c r="F69" i="45"/>
  <c r="F98" i="45" s="1"/>
  <c r="N69" i="45"/>
  <c r="N98" i="45" s="1"/>
  <c r="V69" i="45"/>
  <c r="V98" i="45" s="1"/>
  <c r="E70" i="45"/>
  <c r="E99" i="45" s="1"/>
  <c r="M70" i="45"/>
  <c r="U70" i="45"/>
  <c r="D71" i="45"/>
  <c r="D100" i="45" s="1"/>
  <c r="L71" i="45"/>
  <c r="L100" i="45" s="1"/>
  <c r="T71" i="45"/>
  <c r="T100" i="45" s="1"/>
  <c r="C72" i="45"/>
  <c r="C101" i="45" s="1"/>
  <c r="K72" i="45"/>
  <c r="K101" i="45" s="1"/>
  <c r="S72" i="45"/>
  <c r="S101" i="45" s="1"/>
  <c r="AA72" i="45"/>
  <c r="J73" i="45"/>
  <c r="J102" i="45" s="1"/>
  <c r="R73" i="45"/>
  <c r="Z73" i="45"/>
  <c r="I74" i="45"/>
  <c r="I103" i="45" s="1"/>
  <c r="Q74" i="45"/>
  <c r="Y74" i="45"/>
  <c r="H75" i="45"/>
  <c r="P75" i="45"/>
  <c r="X75" i="45"/>
  <c r="G76" i="45"/>
  <c r="G105" i="45" s="1"/>
  <c r="O76" i="45"/>
  <c r="O105" i="45" s="1"/>
  <c r="W76" i="45"/>
  <c r="F77" i="45"/>
  <c r="F106" i="45" s="1"/>
  <c r="N77" i="45"/>
  <c r="N106" i="45" s="1"/>
  <c r="V77" i="45"/>
  <c r="E78" i="45"/>
  <c r="M78" i="45"/>
  <c r="U78" i="45"/>
  <c r="U107" i="45" s="1"/>
  <c r="D79" i="45"/>
  <c r="L79" i="45"/>
  <c r="T79" i="45"/>
  <c r="C80" i="45"/>
  <c r="K80" i="45"/>
  <c r="S80" i="45"/>
  <c r="AA80" i="45"/>
  <c r="J81" i="45"/>
  <c r="R81" i="45"/>
  <c r="Z81" i="45"/>
  <c r="I82" i="45"/>
  <c r="I111" i="45" s="1"/>
  <c r="Q82" i="45"/>
  <c r="Y82" i="45"/>
  <c r="H83" i="45"/>
  <c r="P83" i="45"/>
  <c r="X83" i="45"/>
  <c r="G84" i="45"/>
  <c r="G113" i="45" s="1"/>
  <c r="O84" i="45"/>
  <c r="W84" i="45"/>
  <c r="W113" i="45" s="1"/>
  <c r="F85" i="45"/>
  <c r="N85" i="45"/>
  <c r="V85" i="45"/>
  <c r="V114" i="45" s="1"/>
  <c r="E86" i="45"/>
  <c r="M86" i="45"/>
  <c r="U86" i="45"/>
  <c r="D87" i="45"/>
  <c r="L87" i="45"/>
  <c r="T87" i="45"/>
  <c r="C88" i="45"/>
  <c r="C117" i="45" s="1"/>
  <c r="K88" i="45"/>
  <c r="S88" i="45"/>
  <c r="AA88" i="45"/>
  <c r="AA117" i="45" s="1"/>
  <c r="J89" i="45"/>
  <c r="R89" i="45"/>
  <c r="Z89" i="45"/>
  <c r="Z118" i="45" s="1"/>
  <c r="K65" i="45"/>
  <c r="K94" i="45" s="1"/>
  <c r="S65" i="45"/>
  <c r="S94" i="45" s="1"/>
  <c r="AA65" i="45"/>
  <c r="AA94" i="45" s="1"/>
  <c r="J66" i="45"/>
  <c r="J95" i="45" s="1"/>
  <c r="R66" i="45"/>
  <c r="Z66" i="45"/>
  <c r="I67" i="45"/>
  <c r="I96" i="45" s="1"/>
  <c r="Q67" i="45"/>
  <c r="Y67" i="45"/>
  <c r="H68" i="45"/>
  <c r="P68" i="45"/>
  <c r="P97" i="45" s="1"/>
  <c r="X68" i="45"/>
  <c r="X97" i="45" s="1"/>
  <c r="G69" i="45"/>
  <c r="G98" i="45" s="1"/>
  <c r="O69" i="45"/>
  <c r="O98" i="45" s="1"/>
  <c r="W69" i="45"/>
  <c r="F70" i="45"/>
  <c r="N70" i="45"/>
  <c r="V70" i="45"/>
  <c r="E71" i="45"/>
  <c r="E100" i="45" s="1"/>
  <c r="M71" i="45"/>
  <c r="U71" i="45"/>
  <c r="U100" i="45" s="1"/>
  <c r="D72" i="45"/>
  <c r="D101" i="45" s="1"/>
  <c r="L72" i="45"/>
  <c r="L101" i="45" s="1"/>
  <c r="T72" i="45"/>
  <c r="T101" i="45" s="1"/>
  <c r="C73" i="45"/>
  <c r="C102" i="45" s="1"/>
  <c r="K73" i="45"/>
  <c r="K102" i="45" s="1"/>
  <c r="S73" i="45"/>
  <c r="AA73" i="45"/>
  <c r="J74" i="45"/>
  <c r="J103" i="45" s="1"/>
  <c r="R74" i="45"/>
  <c r="Z74" i="45"/>
  <c r="I75" i="45"/>
  <c r="Q75" i="45"/>
  <c r="Y75" i="45"/>
  <c r="H76" i="45"/>
  <c r="P76" i="45"/>
  <c r="X76" i="45"/>
  <c r="G77" i="45"/>
  <c r="G106" i="45" s="1"/>
  <c r="O77" i="45"/>
  <c r="O106" i="45" s="1"/>
  <c r="W77" i="45"/>
  <c r="W106" i="45" s="1"/>
  <c r="F78" i="45"/>
  <c r="F107" i="45" s="1"/>
  <c r="N78" i="45"/>
  <c r="V78" i="45"/>
  <c r="E79" i="45"/>
  <c r="M79" i="45"/>
  <c r="U79" i="45"/>
  <c r="D80" i="45"/>
  <c r="L80" i="45"/>
  <c r="T80" i="45"/>
  <c r="C81" i="45"/>
  <c r="K81" i="45"/>
  <c r="S81" i="45"/>
  <c r="AA81" i="45"/>
  <c r="J82" i="45"/>
  <c r="J111" i="45" s="1"/>
  <c r="R82" i="45"/>
  <c r="Z82" i="45"/>
  <c r="I83" i="45"/>
  <c r="Q83" i="45"/>
  <c r="Y83" i="45"/>
  <c r="H84" i="45"/>
  <c r="P84" i="45"/>
  <c r="X84" i="45"/>
  <c r="G85" i="45"/>
  <c r="O85" i="45"/>
  <c r="O114" i="45" s="1"/>
  <c r="W85" i="45"/>
  <c r="W114" i="45" s="1"/>
  <c r="F86" i="45"/>
  <c r="F115" i="45" s="1"/>
  <c r="N86" i="45"/>
  <c r="V86" i="45"/>
  <c r="E87" i="45"/>
  <c r="M87" i="45"/>
  <c r="U87" i="45"/>
  <c r="D88" i="45"/>
  <c r="L88" i="45"/>
  <c r="T88" i="45"/>
  <c r="C89" i="45"/>
  <c r="C118" i="45" s="1"/>
  <c r="K89" i="45"/>
  <c r="S89" i="45"/>
  <c r="S118" i="45" s="1"/>
  <c r="AA89" i="45"/>
  <c r="AA118" i="45" s="1"/>
  <c r="AB8" i="45"/>
  <c r="AB9" i="45"/>
  <c r="AB7" i="45"/>
  <c r="AB47" i="45"/>
  <c r="F61" i="45"/>
  <c r="N61" i="45"/>
  <c r="V61" i="45"/>
  <c r="AB51" i="45"/>
  <c r="I61" i="45"/>
  <c r="Q61" i="45"/>
  <c r="Y61" i="45"/>
  <c r="AB38" i="45"/>
  <c r="AB40" i="45"/>
  <c r="AB42" i="45"/>
  <c r="AB44" i="45"/>
  <c r="K61" i="45"/>
  <c r="S61" i="45"/>
  <c r="AA61" i="45"/>
  <c r="D61" i="45"/>
  <c r="L61" i="45"/>
  <c r="T61" i="45"/>
  <c r="AB49" i="45"/>
  <c r="E61" i="45"/>
  <c r="M61" i="45"/>
  <c r="U61" i="45"/>
  <c r="AB48" i="45"/>
  <c r="AB46" i="45"/>
  <c r="G61" i="45"/>
  <c r="O61" i="45"/>
  <c r="W61" i="45"/>
  <c r="H61" i="45"/>
  <c r="P61" i="45"/>
  <c r="X61" i="45"/>
  <c r="AB37" i="45"/>
  <c r="AB39" i="45"/>
  <c r="AB41" i="45"/>
  <c r="AB43" i="45"/>
  <c r="AB45" i="45"/>
  <c r="J61" i="45"/>
  <c r="R61" i="45"/>
  <c r="Z61" i="45"/>
  <c r="AB50" i="45"/>
  <c r="AB58" i="45"/>
  <c r="AB53" i="45"/>
  <c r="AB55" i="45"/>
  <c r="AB56" i="45"/>
  <c r="AB59" i="45"/>
  <c r="AB52" i="45"/>
  <c r="AB54" i="45"/>
  <c r="AB57" i="45"/>
  <c r="AB60" i="45"/>
  <c r="AB63" i="4"/>
  <c r="AB32" i="4"/>
  <c r="X54" i="42"/>
  <c r="X28" i="42"/>
  <c r="AE9" i="45" l="1"/>
  <c r="BA8" i="45"/>
  <c r="AY8" i="45"/>
  <c r="AH8" i="45"/>
  <c r="AI9" i="45"/>
  <c r="AQ8" i="45"/>
  <c r="AQ9" i="45"/>
  <c r="AK9" i="45"/>
  <c r="AG9" i="45"/>
  <c r="AL9" i="45"/>
  <c r="AZ9" i="45"/>
  <c r="BB9" i="45"/>
  <c r="AJ9" i="45"/>
  <c r="BC9" i="45"/>
  <c r="AX9" i="45"/>
  <c r="AZ8" i="45"/>
  <c r="BB8" i="45"/>
  <c r="BC8" i="45"/>
  <c r="AG8" i="45"/>
  <c r="AL8" i="45"/>
  <c r="AO8" i="45"/>
  <c r="AJ8" i="45"/>
  <c r="AR9" i="45"/>
  <c r="AT8" i="45"/>
  <c r="AW8" i="45"/>
  <c r="AR8" i="45"/>
  <c r="AK8" i="45"/>
  <c r="AN8" i="45"/>
  <c r="AE8" i="45"/>
  <c r="AP8" i="45"/>
  <c r="AM8" i="45"/>
  <c r="AX8" i="45"/>
  <c r="AF8" i="45"/>
  <c r="AU8" i="45"/>
  <c r="AI8" i="45"/>
  <c r="AV8" i="45"/>
  <c r="AT9" i="45"/>
  <c r="AP9" i="45"/>
  <c r="AO9" i="45"/>
  <c r="AU9" i="45"/>
  <c r="AS9" i="45"/>
  <c r="AS8" i="45"/>
  <c r="AV9" i="45"/>
  <c r="AY9" i="45"/>
  <c r="AM9" i="45"/>
  <c r="AB11" i="45"/>
  <c r="AN9" i="45"/>
  <c r="AH9" i="45"/>
  <c r="BA9" i="45"/>
  <c r="AF9" i="45"/>
  <c r="AW9" i="45"/>
  <c r="AB66" i="45"/>
  <c r="AB95" i="45" s="1"/>
  <c r="BB54" i="45"/>
  <c r="AT54" i="45"/>
  <c r="AL54" i="45"/>
  <c r="BA54" i="45"/>
  <c r="AS54" i="45"/>
  <c r="AK54" i="45"/>
  <c r="AZ54" i="45"/>
  <c r="AR54" i="45"/>
  <c r="AJ54" i="45"/>
  <c r="AY54" i="45"/>
  <c r="AQ54" i="45"/>
  <c r="AI54" i="45"/>
  <c r="AX54" i="45"/>
  <c r="AP54" i="45"/>
  <c r="AH54" i="45"/>
  <c r="AW54" i="45"/>
  <c r="AO54" i="45"/>
  <c r="AG54" i="45"/>
  <c r="AV54" i="45"/>
  <c r="AN54" i="45"/>
  <c r="AF54" i="45"/>
  <c r="AU54" i="45"/>
  <c r="AM54" i="45"/>
  <c r="AE54" i="45"/>
  <c r="BC54" i="45"/>
  <c r="BA55" i="45"/>
  <c r="AS55" i="45"/>
  <c r="AY55" i="45"/>
  <c r="AP55" i="45"/>
  <c r="AH55" i="45"/>
  <c r="AX55" i="45"/>
  <c r="AO55" i="45"/>
  <c r="AG55" i="45"/>
  <c r="AW55" i="45"/>
  <c r="AN55" i="45"/>
  <c r="AF55" i="45"/>
  <c r="AV55" i="45"/>
  <c r="AM55" i="45"/>
  <c r="AE55" i="45"/>
  <c r="AU55" i="45"/>
  <c r="AL55" i="45"/>
  <c r="BC55" i="45"/>
  <c r="AT55" i="45"/>
  <c r="AK55" i="45"/>
  <c r="BB55" i="45"/>
  <c r="AR55" i="45"/>
  <c r="AJ55" i="45"/>
  <c r="AZ55" i="45"/>
  <c r="AQ55" i="45"/>
  <c r="AI55" i="45"/>
  <c r="AV39" i="45"/>
  <c r="AN39" i="45"/>
  <c r="AF39" i="45"/>
  <c r="BC39" i="45"/>
  <c r="AU39" i="45"/>
  <c r="AM39" i="45"/>
  <c r="AE39" i="45"/>
  <c r="BB39" i="45"/>
  <c r="AT39" i="45"/>
  <c r="AL39" i="45"/>
  <c r="BA39" i="45"/>
  <c r="AS39" i="45"/>
  <c r="AK39" i="45"/>
  <c r="AZ39" i="45"/>
  <c r="AR39" i="45"/>
  <c r="AJ39" i="45"/>
  <c r="AY39" i="45"/>
  <c r="AQ39" i="45"/>
  <c r="AI39" i="45"/>
  <c r="AX39" i="45"/>
  <c r="AP39" i="45"/>
  <c r="AH39" i="45"/>
  <c r="AW39" i="45"/>
  <c r="AO39" i="45"/>
  <c r="AG39" i="45"/>
  <c r="AV37" i="45"/>
  <c r="AN37" i="45"/>
  <c r="AF37" i="45"/>
  <c r="BC37" i="45"/>
  <c r="AU37" i="45"/>
  <c r="AM37" i="45"/>
  <c r="AE37" i="45"/>
  <c r="BB37" i="45"/>
  <c r="AT37" i="45"/>
  <c r="AL37" i="45"/>
  <c r="BA37" i="45"/>
  <c r="AS37" i="45"/>
  <c r="AK37" i="45"/>
  <c r="AZ37" i="45"/>
  <c r="AY37" i="45"/>
  <c r="AQ37" i="45"/>
  <c r="AI37" i="45"/>
  <c r="AX37" i="45"/>
  <c r="AP37" i="45"/>
  <c r="AH37" i="45"/>
  <c r="AW37" i="45"/>
  <c r="AR37" i="45"/>
  <c r="AO37" i="45"/>
  <c r="AJ37" i="45"/>
  <c r="AG37" i="45"/>
  <c r="AW57" i="45"/>
  <c r="AO57" i="45"/>
  <c r="AG57" i="45"/>
  <c r="AV57" i="45"/>
  <c r="AN57" i="45"/>
  <c r="AF57" i="45"/>
  <c r="BA57" i="45"/>
  <c r="AS57" i="45"/>
  <c r="AK57" i="45"/>
  <c r="BC57" i="45"/>
  <c r="AQ57" i="45"/>
  <c r="BB57" i="45"/>
  <c r="AP57" i="45"/>
  <c r="AZ57" i="45"/>
  <c r="AM57" i="45"/>
  <c r="AY57" i="45"/>
  <c r="AL57" i="45"/>
  <c r="AX57" i="45"/>
  <c r="AJ57" i="45"/>
  <c r="AU57" i="45"/>
  <c r="AI57" i="45"/>
  <c r="AT57" i="45"/>
  <c r="AH57" i="45"/>
  <c r="AR57" i="45"/>
  <c r="AE57" i="45"/>
  <c r="AV41" i="45"/>
  <c r="AN41" i="45"/>
  <c r="AF41" i="45"/>
  <c r="BC41" i="45"/>
  <c r="AU41" i="45"/>
  <c r="AM41" i="45"/>
  <c r="AE41" i="45"/>
  <c r="BB41" i="45"/>
  <c r="AT41" i="45"/>
  <c r="AL41" i="45"/>
  <c r="BA41" i="45"/>
  <c r="AS41" i="45"/>
  <c r="AK41" i="45"/>
  <c r="AZ41" i="45"/>
  <c r="AR41" i="45"/>
  <c r="AJ41" i="45"/>
  <c r="AY41" i="45"/>
  <c r="AQ41" i="45"/>
  <c r="AI41" i="45"/>
  <c r="AX41" i="45"/>
  <c r="AP41" i="45"/>
  <c r="AH41" i="45"/>
  <c r="AW41" i="45"/>
  <c r="AO41" i="45"/>
  <c r="AG41" i="45"/>
  <c r="BB48" i="45"/>
  <c r="AT48" i="45"/>
  <c r="AL48" i="45"/>
  <c r="AZ48" i="45"/>
  <c r="AR48" i="45"/>
  <c r="AJ48" i="45"/>
  <c r="AW48" i="45"/>
  <c r="AO48" i="45"/>
  <c r="AG48" i="45"/>
  <c r="AV48" i="45"/>
  <c r="AN48" i="45"/>
  <c r="AF48" i="45"/>
  <c r="BC48" i="45"/>
  <c r="AM48" i="45"/>
  <c r="BA48" i="45"/>
  <c r="AK48" i="45"/>
  <c r="AY48" i="45"/>
  <c r="AI48" i="45"/>
  <c r="AX48" i="45"/>
  <c r="AH48" i="45"/>
  <c r="AU48" i="45"/>
  <c r="AE48" i="45"/>
  <c r="AS48" i="45"/>
  <c r="AQ48" i="45"/>
  <c r="AP48" i="45"/>
  <c r="BC58" i="45"/>
  <c r="AU58" i="45"/>
  <c r="AM58" i="45"/>
  <c r="AE58" i="45"/>
  <c r="BA58" i="45"/>
  <c r="AS58" i="45"/>
  <c r="AK58" i="45"/>
  <c r="AZ58" i="45"/>
  <c r="AR58" i="45"/>
  <c r="AJ58" i="45"/>
  <c r="AY58" i="45"/>
  <c r="AQ58" i="45"/>
  <c r="AI58" i="45"/>
  <c r="AW58" i="45"/>
  <c r="AO58" i="45"/>
  <c r="AG58" i="45"/>
  <c r="AT58" i="45"/>
  <c r="AP58" i="45"/>
  <c r="AN58" i="45"/>
  <c r="AL58" i="45"/>
  <c r="AH58" i="45"/>
  <c r="BB58" i="45"/>
  <c r="AF58" i="45"/>
  <c r="AX58" i="45"/>
  <c r="AV58" i="45"/>
  <c r="AV43" i="45"/>
  <c r="AN43" i="45"/>
  <c r="AF43" i="45"/>
  <c r="BC43" i="45"/>
  <c r="AU43" i="45"/>
  <c r="AM43" i="45"/>
  <c r="AE43" i="45"/>
  <c r="BB43" i="45"/>
  <c r="AT43" i="45"/>
  <c r="AL43" i="45"/>
  <c r="BA43" i="45"/>
  <c r="AS43" i="45"/>
  <c r="AK43" i="45"/>
  <c r="AZ43" i="45"/>
  <c r="AR43" i="45"/>
  <c r="AJ43" i="45"/>
  <c r="AY43" i="45"/>
  <c r="AQ43" i="45"/>
  <c r="AI43" i="45"/>
  <c r="AX43" i="45"/>
  <c r="AP43" i="45"/>
  <c r="AH43" i="45"/>
  <c r="AW43" i="45"/>
  <c r="AO43" i="45"/>
  <c r="AG43" i="45"/>
  <c r="AW46" i="45"/>
  <c r="AO46" i="45"/>
  <c r="AG46" i="45"/>
  <c r="AV46" i="45"/>
  <c r="AN46" i="45"/>
  <c r="AF46" i="45"/>
  <c r="AT46" i="45"/>
  <c r="AJ46" i="45"/>
  <c r="BC46" i="45"/>
  <c r="AS46" i="45"/>
  <c r="AI46" i="45"/>
  <c r="BB46" i="45"/>
  <c r="AR46" i="45"/>
  <c r="AH46" i="45"/>
  <c r="BA46" i="45"/>
  <c r="AQ46" i="45"/>
  <c r="AE46" i="45"/>
  <c r="AZ46" i="45"/>
  <c r="AP46" i="45"/>
  <c r="AY46" i="45"/>
  <c r="AM46" i="45"/>
  <c r="AX46" i="45"/>
  <c r="AL46" i="45"/>
  <c r="AU46" i="45"/>
  <c r="AK46" i="45"/>
  <c r="AZ44" i="45"/>
  <c r="AR44" i="45"/>
  <c r="AJ44" i="45"/>
  <c r="AY44" i="45"/>
  <c r="AQ44" i="45"/>
  <c r="AI44" i="45"/>
  <c r="AX44" i="45"/>
  <c r="AP44" i="45"/>
  <c r="AH44" i="45"/>
  <c r="AW44" i="45"/>
  <c r="AO44" i="45"/>
  <c r="AG44" i="45"/>
  <c r="AV44" i="45"/>
  <c r="AN44" i="45"/>
  <c r="AF44" i="45"/>
  <c r="BC44" i="45"/>
  <c r="AU44" i="45"/>
  <c r="AM44" i="45"/>
  <c r="AE44" i="45"/>
  <c r="BB44" i="45"/>
  <c r="AT44" i="45"/>
  <c r="AL44" i="45"/>
  <c r="AS44" i="45"/>
  <c r="AK44" i="45"/>
  <c r="BA44" i="45"/>
  <c r="AZ42" i="45"/>
  <c r="AR42" i="45"/>
  <c r="AJ42" i="45"/>
  <c r="AY42" i="45"/>
  <c r="AQ42" i="45"/>
  <c r="AI42" i="45"/>
  <c r="AX42" i="45"/>
  <c r="AP42" i="45"/>
  <c r="AH42" i="45"/>
  <c r="AW42" i="45"/>
  <c r="AO42" i="45"/>
  <c r="AG42" i="45"/>
  <c r="AV42" i="45"/>
  <c r="AN42" i="45"/>
  <c r="AF42" i="45"/>
  <c r="BC42" i="45"/>
  <c r="AU42" i="45"/>
  <c r="AM42" i="45"/>
  <c r="AE42" i="45"/>
  <c r="BB42" i="45"/>
  <c r="AT42" i="45"/>
  <c r="AL42" i="45"/>
  <c r="AS42" i="45"/>
  <c r="AK42" i="45"/>
  <c r="BA42" i="45"/>
  <c r="AZ40" i="45"/>
  <c r="AR40" i="45"/>
  <c r="AJ40" i="45"/>
  <c r="AY40" i="45"/>
  <c r="AQ40" i="45"/>
  <c r="AI40" i="45"/>
  <c r="AX40" i="45"/>
  <c r="AP40" i="45"/>
  <c r="AH40" i="45"/>
  <c r="AW40" i="45"/>
  <c r="AO40" i="45"/>
  <c r="AG40" i="45"/>
  <c r="AV40" i="45"/>
  <c r="AN40" i="45"/>
  <c r="AF40" i="45"/>
  <c r="BC40" i="45"/>
  <c r="AU40" i="45"/>
  <c r="AM40" i="45"/>
  <c r="AE40" i="45"/>
  <c r="BB40" i="45"/>
  <c r="AT40" i="45"/>
  <c r="AL40" i="45"/>
  <c r="AS40" i="45"/>
  <c r="AK40" i="45"/>
  <c r="BA40" i="45"/>
  <c r="AZ38" i="45"/>
  <c r="AR38" i="45"/>
  <c r="AJ38" i="45"/>
  <c r="AY38" i="45"/>
  <c r="AQ38" i="45"/>
  <c r="AI38" i="45"/>
  <c r="AX38" i="45"/>
  <c r="AP38" i="45"/>
  <c r="AH38" i="45"/>
  <c r="AW38" i="45"/>
  <c r="AO38" i="45"/>
  <c r="AG38" i="45"/>
  <c r="AV38" i="45"/>
  <c r="AN38" i="45"/>
  <c r="AF38" i="45"/>
  <c r="BC38" i="45"/>
  <c r="AU38" i="45"/>
  <c r="AM38" i="45"/>
  <c r="AE38" i="45"/>
  <c r="BB38" i="45"/>
  <c r="AT38" i="45"/>
  <c r="AL38" i="45"/>
  <c r="AS38" i="45"/>
  <c r="AK38" i="45"/>
  <c r="BA38" i="45"/>
  <c r="AX51" i="45"/>
  <c r="AP51" i="45"/>
  <c r="AH51" i="45"/>
  <c r="AW51" i="45"/>
  <c r="AO51" i="45"/>
  <c r="AG51" i="45"/>
  <c r="AV51" i="45"/>
  <c r="AN51" i="45"/>
  <c r="AF51" i="45"/>
  <c r="BC51" i="45"/>
  <c r="AU51" i="45"/>
  <c r="AM51" i="45"/>
  <c r="AE51" i="45"/>
  <c r="BB51" i="45"/>
  <c r="AT51" i="45"/>
  <c r="AL51" i="45"/>
  <c r="BA51" i="45"/>
  <c r="AS51" i="45"/>
  <c r="AK51" i="45"/>
  <c r="AZ51" i="45"/>
  <c r="AR51" i="45"/>
  <c r="AJ51" i="45"/>
  <c r="AY51" i="45"/>
  <c r="AQ51" i="45"/>
  <c r="AI51" i="45"/>
  <c r="AV7" i="45"/>
  <c r="AN7" i="45"/>
  <c r="AF7" i="45"/>
  <c r="AM7" i="45"/>
  <c r="BC7" i="45"/>
  <c r="AU7" i="45"/>
  <c r="AE7" i="45"/>
  <c r="BB7" i="45"/>
  <c r="AT7" i="45"/>
  <c r="AL7" i="45"/>
  <c r="BA7" i="45"/>
  <c r="AS7" i="45"/>
  <c r="AK7" i="45"/>
  <c r="AY7" i="45"/>
  <c r="AQ7" i="45"/>
  <c r="AI7" i="45"/>
  <c r="AX7" i="45"/>
  <c r="AP7" i="45"/>
  <c r="AH7" i="45"/>
  <c r="AZ7" i="45"/>
  <c r="AW7" i="45"/>
  <c r="AR7" i="45"/>
  <c r="AG7" i="45"/>
  <c r="AO7" i="45"/>
  <c r="AJ7" i="45"/>
  <c r="BB50" i="45"/>
  <c r="AT50" i="45"/>
  <c r="AL50" i="45"/>
  <c r="BA50" i="45"/>
  <c r="AS50" i="45"/>
  <c r="AK50" i="45"/>
  <c r="AZ50" i="45"/>
  <c r="AR50" i="45"/>
  <c r="AJ50" i="45"/>
  <c r="AY50" i="45"/>
  <c r="AQ50" i="45"/>
  <c r="AI50" i="45"/>
  <c r="AW50" i="45"/>
  <c r="AO50" i="45"/>
  <c r="AG50" i="45"/>
  <c r="AV50" i="45"/>
  <c r="AN50" i="45"/>
  <c r="AF50" i="45"/>
  <c r="BC50" i="45"/>
  <c r="AX50" i="45"/>
  <c r="AU50" i="45"/>
  <c r="AP50" i="45"/>
  <c r="AM50" i="45"/>
  <c r="AH50" i="45"/>
  <c r="AE50" i="45"/>
  <c r="BA45" i="45"/>
  <c r="AS45" i="45"/>
  <c r="AK45" i="45"/>
  <c r="AZ45" i="45"/>
  <c r="AR45" i="45"/>
  <c r="AJ45" i="45"/>
  <c r="BB45" i="45"/>
  <c r="AP45" i="45"/>
  <c r="AF45" i="45"/>
  <c r="AY45" i="45"/>
  <c r="AO45" i="45"/>
  <c r="AE45" i="45"/>
  <c r="AX45" i="45"/>
  <c r="AN45" i="45"/>
  <c r="AW45" i="45"/>
  <c r="AM45" i="45"/>
  <c r="AV45" i="45"/>
  <c r="AL45" i="45"/>
  <c r="AU45" i="45"/>
  <c r="AI45" i="45"/>
  <c r="AT45" i="45"/>
  <c r="AH45" i="45"/>
  <c r="BC45" i="45"/>
  <c r="AQ45" i="45"/>
  <c r="AG45" i="45"/>
  <c r="AB69" i="45"/>
  <c r="AB67" i="45"/>
  <c r="AB96" i="45" s="1"/>
  <c r="AY59" i="45"/>
  <c r="AQ59" i="45"/>
  <c r="AI59" i="45"/>
  <c r="AW59" i="45"/>
  <c r="AO59" i="45"/>
  <c r="AG59" i="45"/>
  <c r="AV59" i="45"/>
  <c r="AN59" i="45"/>
  <c r="AF59" i="45"/>
  <c r="BC59" i="45"/>
  <c r="AU59" i="45"/>
  <c r="AM59" i="45"/>
  <c r="AE59" i="45"/>
  <c r="BA59" i="45"/>
  <c r="AS59" i="45"/>
  <c r="AK59" i="45"/>
  <c r="AJ59" i="45"/>
  <c r="BB59" i="45"/>
  <c r="AH59" i="45"/>
  <c r="AZ59" i="45"/>
  <c r="AX59" i="45"/>
  <c r="AT59" i="45"/>
  <c r="AR59" i="45"/>
  <c r="AP59" i="45"/>
  <c r="AL59" i="45"/>
  <c r="AX49" i="45"/>
  <c r="AP49" i="45"/>
  <c r="AH49" i="45"/>
  <c r="AV49" i="45"/>
  <c r="AN49" i="45"/>
  <c r="AF49" i="45"/>
  <c r="BA49" i="45"/>
  <c r="AS49" i="45"/>
  <c r="AK49" i="45"/>
  <c r="AZ49" i="45"/>
  <c r="AR49" i="45"/>
  <c r="AJ49" i="45"/>
  <c r="AO49" i="45"/>
  <c r="BC49" i="45"/>
  <c r="AM49" i="45"/>
  <c r="BB49" i="45"/>
  <c r="AL49" i="45"/>
  <c r="AY49" i="45"/>
  <c r="AI49" i="45"/>
  <c r="AW49" i="45"/>
  <c r="AG49" i="45"/>
  <c r="AU49" i="45"/>
  <c r="AE49" i="45"/>
  <c r="AT49" i="45"/>
  <c r="AQ49" i="45"/>
  <c r="AX53" i="45"/>
  <c r="AP53" i="45"/>
  <c r="AH53" i="45"/>
  <c r="AW53" i="45"/>
  <c r="AO53" i="45"/>
  <c r="AG53" i="45"/>
  <c r="AV53" i="45"/>
  <c r="AN53" i="45"/>
  <c r="AF53" i="45"/>
  <c r="BC53" i="45"/>
  <c r="AU53" i="45"/>
  <c r="AM53" i="45"/>
  <c r="AE53" i="45"/>
  <c r="BB53" i="45"/>
  <c r="AT53" i="45"/>
  <c r="AL53" i="45"/>
  <c r="BA53" i="45"/>
  <c r="AS53" i="45"/>
  <c r="AK53" i="45"/>
  <c r="AZ53" i="45"/>
  <c r="AR53" i="45"/>
  <c r="AJ53" i="45"/>
  <c r="AY53" i="45"/>
  <c r="AQ53" i="45"/>
  <c r="AI53" i="45"/>
  <c r="BC60" i="45"/>
  <c r="AU60" i="45"/>
  <c r="AM60" i="45"/>
  <c r="AE60" i="45"/>
  <c r="BB60" i="45"/>
  <c r="AT60" i="45"/>
  <c r="AL60" i="45"/>
  <c r="BA60" i="45"/>
  <c r="AS60" i="45"/>
  <c r="AK60" i="45"/>
  <c r="AZ60" i="45"/>
  <c r="AR60" i="45"/>
  <c r="AJ60" i="45"/>
  <c r="AY60" i="45"/>
  <c r="AQ60" i="45"/>
  <c r="AI60" i="45"/>
  <c r="AX60" i="45"/>
  <c r="AP60" i="45"/>
  <c r="AH60" i="45"/>
  <c r="AW60" i="45"/>
  <c r="AO60" i="45"/>
  <c r="AG60" i="45"/>
  <c r="AV60" i="45"/>
  <c r="AN60" i="45"/>
  <c r="AF60" i="45"/>
  <c r="BB52" i="45"/>
  <c r="AT52" i="45"/>
  <c r="AL52" i="45"/>
  <c r="BA52" i="45"/>
  <c r="AS52" i="45"/>
  <c r="AK52" i="45"/>
  <c r="AZ52" i="45"/>
  <c r="AR52" i="45"/>
  <c r="AJ52" i="45"/>
  <c r="AY52" i="45"/>
  <c r="AQ52" i="45"/>
  <c r="AI52" i="45"/>
  <c r="AX52" i="45"/>
  <c r="AP52" i="45"/>
  <c r="AH52" i="45"/>
  <c r="AW52" i="45"/>
  <c r="AO52" i="45"/>
  <c r="AG52" i="45"/>
  <c r="AV52" i="45"/>
  <c r="AN52" i="45"/>
  <c r="AF52" i="45"/>
  <c r="BC52" i="45"/>
  <c r="AU52" i="45"/>
  <c r="AM52" i="45"/>
  <c r="AE52" i="45"/>
  <c r="BA56" i="45"/>
  <c r="AS56" i="45"/>
  <c r="AK56" i="45"/>
  <c r="AZ56" i="45"/>
  <c r="AR56" i="45"/>
  <c r="AJ56" i="45"/>
  <c r="AW56" i="45"/>
  <c r="AO56" i="45"/>
  <c r="AG56" i="45"/>
  <c r="AU56" i="45"/>
  <c r="AH56" i="45"/>
  <c r="AT56" i="45"/>
  <c r="AF56" i="45"/>
  <c r="AQ56" i="45"/>
  <c r="AE56" i="45"/>
  <c r="BC56" i="45"/>
  <c r="AP56" i="45"/>
  <c r="BB56" i="45"/>
  <c r="AN56" i="45"/>
  <c r="AY56" i="45"/>
  <c r="AM56" i="45"/>
  <c r="AX56" i="45"/>
  <c r="AL56" i="45"/>
  <c r="AV56" i="45"/>
  <c r="AI56" i="45"/>
  <c r="AX47" i="45"/>
  <c r="AP47" i="45"/>
  <c r="BA47" i="45"/>
  <c r="AS47" i="45"/>
  <c r="AK47" i="45"/>
  <c r="AZ47" i="45"/>
  <c r="AR47" i="45"/>
  <c r="AJ47" i="45"/>
  <c r="AY47" i="45"/>
  <c r="AM47" i="45"/>
  <c r="AW47" i="45"/>
  <c r="AL47" i="45"/>
  <c r="AV47" i="45"/>
  <c r="AI47" i="45"/>
  <c r="AU47" i="45"/>
  <c r="AH47" i="45"/>
  <c r="AT47" i="45"/>
  <c r="AG47" i="45"/>
  <c r="AQ47" i="45"/>
  <c r="AF47" i="45"/>
  <c r="BC47" i="45"/>
  <c r="AO47" i="45"/>
  <c r="AE47" i="45"/>
  <c r="BB47" i="45"/>
  <c r="AN47" i="45"/>
  <c r="Q46" i="17"/>
  <c r="E39" i="7"/>
  <c r="E38" i="7"/>
  <c r="E37" i="7"/>
  <c r="E36" i="7"/>
  <c r="D39" i="7"/>
  <c r="D36" i="7"/>
  <c r="AI67" i="45" l="1"/>
  <c r="AJ67" i="45"/>
  <c r="BA66" i="45"/>
  <c r="AT67" i="45"/>
  <c r="BB67" i="45"/>
  <c r="AK67" i="45"/>
  <c r="AX67" i="45"/>
  <c r="BB11" i="45"/>
  <c r="BB69" i="45" s="1"/>
  <c r="AB98" i="45"/>
  <c r="AW66" i="45"/>
  <c r="AO66" i="45"/>
  <c r="BC67" i="45"/>
  <c r="AU67" i="45"/>
  <c r="AF67" i="45"/>
  <c r="AY67" i="45"/>
  <c r="AZ66" i="45"/>
  <c r="AQ66" i="45"/>
  <c r="AX66" i="45"/>
  <c r="AP66" i="45"/>
  <c r="AF66" i="45"/>
  <c r="BB66" i="45"/>
  <c r="AG67" i="45"/>
  <c r="AH67" i="45"/>
  <c r="AJ66" i="45"/>
  <c r="BA67" i="45"/>
  <c r="AQ67" i="45"/>
  <c r="AY66" i="45"/>
  <c r="AU66" i="45"/>
  <c r="AH66" i="45"/>
  <c r="AW11" i="45"/>
  <c r="AW69" i="45" s="1"/>
  <c r="AE11" i="45"/>
  <c r="AE69" i="45" s="1"/>
  <c r="AT66" i="45"/>
  <c r="AH11" i="45"/>
  <c r="AH69" i="45" s="1"/>
  <c r="AM11" i="45"/>
  <c r="AM69" i="45" s="1"/>
  <c r="BC66" i="45"/>
  <c r="AX11" i="45"/>
  <c r="AX69" i="45" s="1"/>
  <c r="BC11" i="45"/>
  <c r="BC69" i="45" s="1"/>
  <c r="AI11" i="45"/>
  <c r="AI69" i="45" s="1"/>
  <c r="AF11" i="45"/>
  <c r="AF69" i="45" s="1"/>
  <c r="AZ11" i="45"/>
  <c r="AZ69" i="45" s="1"/>
  <c r="AL67" i="45"/>
  <c r="AJ11" i="45"/>
  <c r="AJ69" i="45" s="1"/>
  <c r="AS11" i="45"/>
  <c r="AS69" i="45" s="1"/>
  <c r="BA11" i="45"/>
  <c r="BA69" i="45" s="1"/>
  <c r="AR66" i="45"/>
  <c r="AZ67" i="45"/>
  <c r="AG66" i="45"/>
  <c r="AL66" i="45"/>
  <c r="AN66" i="45"/>
  <c r="AV66" i="45"/>
  <c r="AO67" i="45"/>
  <c r="AM66" i="45"/>
  <c r="BD8" i="45"/>
  <c r="AW67" i="45"/>
  <c r="AR67" i="45"/>
  <c r="AK66" i="45"/>
  <c r="AI66" i="45"/>
  <c r="AP11" i="45"/>
  <c r="AP69" i="45" s="1"/>
  <c r="AK11" i="45"/>
  <c r="AK69" i="45" s="1"/>
  <c r="AU11" i="45"/>
  <c r="AU69" i="45" s="1"/>
  <c r="AS66" i="45"/>
  <c r="AQ11" i="45"/>
  <c r="AQ69" i="45" s="1"/>
  <c r="AL11" i="45"/>
  <c r="AL69" i="45" s="1"/>
  <c r="AN11" i="45"/>
  <c r="AN69" i="45" s="1"/>
  <c r="AP67" i="45"/>
  <c r="AG11" i="45"/>
  <c r="AG69" i="45" s="1"/>
  <c r="AY11" i="45"/>
  <c r="AY69" i="45" s="1"/>
  <c r="AT11" i="45"/>
  <c r="AT69" i="45" s="1"/>
  <c r="AV11" i="45"/>
  <c r="AV69" i="45" s="1"/>
  <c r="AS67" i="45"/>
  <c r="AO11" i="45"/>
  <c r="AO69" i="45" s="1"/>
  <c r="AR11" i="45"/>
  <c r="AR69" i="45" s="1"/>
  <c r="AV67" i="45"/>
  <c r="AB12" i="45"/>
  <c r="BD9" i="45"/>
  <c r="AN67" i="45"/>
  <c r="AB14" i="45"/>
  <c r="AM67" i="45"/>
  <c r="AB10" i="45"/>
  <c r="AE67" i="45"/>
  <c r="BD38" i="45"/>
  <c r="BD39" i="45"/>
  <c r="BD47" i="45"/>
  <c r="BD50" i="45"/>
  <c r="BD7" i="45"/>
  <c r="BD40" i="45"/>
  <c r="BD42" i="45"/>
  <c r="BD46" i="45"/>
  <c r="BD43" i="45"/>
  <c r="AE66" i="45"/>
  <c r="BD37" i="45"/>
  <c r="BD60" i="45"/>
  <c r="BD53" i="45"/>
  <c r="BD59" i="45"/>
  <c r="BD44" i="45"/>
  <c r="BD48" i="45"/>
  <c r="BD57" i="45"/>
  <c r="BD55" i="45"/>
  <c r="BD54" i="45"/>
  <c r="BD52" i="45"/>
  <c r="BD45" i="45"/>
  <c r="BD58" i="45"/>
  <c r="BD41" i="45"/>
  <c r="BD56" i="45"/>
  <c r="BD49" i="45"/>
  <c r="BD51" i="45"/>
  <c r="AS12" i="45" l="1"/>
  <c r="AS70" i="45" s="1"/>
  <c r="AR12" i="45"/>
  <c r="AR70" i="45" s="1"/>
  <c r="AL12" i="45"/>
  <c r="AL70" i="45" s="1"/>
  <c r="BA12" i="45"/>
  <c r="BA70" i="45" s="1"/>
  <c r="AQ12" i="45"/>
  <c r="AQ70" i="45" s="1"/>
  <c r="AH12" i="45"/>
  <c r="AH70" i="45" s="1"/>
  <c r="AX12" i="45"/>
  <c r="AX70" i="45" s="1"/>
  <c r="BD66" i="45"/>
  <c r="AY12" i="45"/>
  <c r="AY70" i="45" s="1"/>
  <c r="BB12" i="45"/>
  <c r="BB70" i="45" s="1"/>
  <c r="AW12" i="45"/>
  <c r="AW70" i="45" s="1"/>
  <c r="AF12" i="45"/>
  <c r="AF70" i="45" s="1"/>
  <c r="AG12" i="45"/>
  <c r="AG70" i="45" s="1"/>
  <c r="AU12" i="45"/>
  <c r="AU70" i="45" s="1"/>
  <c r="AK12" i="45"/>
  <c r="AK70" i="45" s="1"/>
  <c r="AZ12" i="45"/>
  <c r="AZ70" i="45" s="1"/>
  <c r="BD11" i="45"/>
  <c r="AE12" i="45"/>
  <c r="AE70" i="45" s="1"/>
  <c r="AI12" i="45"/>
  <c r="AI70" i="45" s="1"/>
  <c r="AO12" i="45"/>
  <c r="AO70" i="45" s="1"/>
  <c r="BC12" i="45"/>
  <c r="BC70" i="45" s="1"/>
  <c r="AT12" i="45"/>
  <c r="AT70" i="45" s="1"/>
  <c r="AJ12" i="45"/>
  <c r="AJ70" i="45" s="1"/>
  <c r="AP12" i="45"/>
  <c r="AP70" i="45" s="1"/>
  <c r="AN12" i="45"/>
  <c r="AN70" i="45" s="1"/>
  <c r="AV12" i="45"/>
  <c r="AV70" i="45" s="1"/>
  <c r="AM12" i="45"/>
  <c r="AM70" i="45" s="1"/>
  <c r="BD67" i="45"/>
  <c r="AB70" i="45"/>
  <c r="AB99" i="45" s="1"/>
  <c r="AS14" i="45"/>
  <c r="AS72" i="45" s="1"/>
  <c r="AK14" i="45"/>
  <c r="AK72" i="45" s="1"/>
  <c r="AZ14" i="45"/>
  <c r="AZ72" i="45" s="1"/>
  <c r="AH14" i="45"/>
  <c r="AH72" i="45" s="1"/>
  <c r="AU14" i="45"/>
  <c r="AU72" i="45" s="1"/>
  <c r="AR14" i="45"/>
  <c r="AR72" i="45" s="1"/>
  <c r="AW14" i="45"/>
  <c r="AW72" i="45" s="1"/>
  <c r="AM14" i="45"/>
  <c r="AM72" i="45" s="1"/>
  <c r="AJ14" i="45"/>
  <c r="AJ72" i="45" s="1"/>
  <c r="AO14" i="45"/>
  <c r="AO72" i="45" s="1"/>
  <c r="AE14" i="45"/>
  <c r="AY14" i="45"/>
  <c r="AY72" i="45" s="1"/>
  <c r="AG14" i="45"/>
  <c r="AG72" i="45" s="1"/>
  <c r="BB14" i="45"/>
  <c r="BB72" i="45" s="1"/>
  <c r="BA14" i="45"/>
  <c r="BA72" i="45" s="1"/>
  <c r="AQ14" i="45"/>
  <c r="AQ72" i="45" s="1"/>
  <c r="AV14" i="45"/>
  <c r="AV72" i="45" s="1"/>
  <c r="AT14" i="45"/>
  <c r="AT72" i="45" s="1"/>
  <c r="AI14" i="45"/>
  <c r="AI72" i="45" s="1"/>
  <c r="AN14" i="45"/>
  <c r="AN72" i="45" s="1"/>
  <c r="AL14" i="45"/>
  <c r="AL72" i="45" s="1"/>
  <c r="AX14" i="45"/>
  <c r="AX72" i="45" s="1"/>
  <c r="AF14" i="45"/>
  <c r="AF72" i="45" s="1"/>
  <c r="BC14" i="45"/>
  <c r="BC72" i="45" s="1"/>
  <c r="AP14" i="45"/>
  <c r="AP72" i="45" s="1"/>
  <c r="AR10" i="45"/>
  <c r="AR68" i="45" s="1"/>
  <c r="AW10" i="45"/>
  <c r="AW68" i="45" s="1"/>
  <c r="AE10" i="45"/>
  <c r="AJ10" i="45"/>
  <c r="AJ68" i="45" s="1"/>
  <c r="AO10" i="45"/>
  <c r="AO68" i="45" s="1"/>
  <c r="BB10" i="45"/>
  <c r="BB68" i="45" s="1"/>
  <c r="AY10" i="45"/>
  <c r="AY68" i="45" s="1"/>
  <c r="AG10" i="45"/>
  <c r="AG68" i="45" s="1"/>
  <c r="AT10" i="45"/>
  <c r="AT68" i="45" s="1"/>
  <c r="AQ10" i="45"/>
  <c r="AQ68" i="45" s="1"/>
  <c r="AV10" i="45"/>
  <c r="AV68" i="45" s="1"/>
  <c r="AL10" i="45"/>
  <c r="AL68" i="45" s="1"/>
  <c r="AI10" i="45"/>
  <c r="AI68" i="45" s="1"/>
  <c r="AN10" i="45"/>
  <c r="AN68" i="45" s="1"/>
  <c r="AF10" i="45"/>
  <c r="AF68" i="45" s="1"/>
  <c r="AX10" i="45"/>
  <c r="AX68" i="45" s="1"/>
  <c r="BC10" i="45"/>
  <c r="BC68" i="45" s="1"/>
  <c r="AS10" i="45"/>
  <c r="AS68" i="45" s="1"/>
  <c r="AP10" i="45"/>
  <c r="AP68" i="45" s="1"/>
  <c r="AU10" i="45"/>
  <c r="AU68" i="45" s="1"/>
  <c r="BA10" i="45"/>
  <c r="BA68" i="45" s="1"/>
  <c r="AK10" i="45"/>
  <c r="AK68" i="45" s="1"/>
  <c r="AZ10" i="45"/>
  <c r="AZ68" i="45" s="1"/>
  <c r="AH10" i="45"/>
  <c r="AH68" i="45" s="1"/>
  <c r="AM10" i="45"/>
  <c r="AM68" i="45" s="1"/>
  <c r="AB68" i="45"/>
  <c r="AB97" i="45" s="1"/>
  <c r="AB15" i="45"/>
  <c r="BD69" i="45"/>
  <c r="D12" i="38"/>
  <c r="D6" i="38"/>
  <c r="D7" i="38"/>
  <c r="D8" i="38"/>
  <c r="D9" i="38"/>
  <c r="D10" i="38"/>
  <c r="D11" i="38"/>
  <c r="D5" i="38"/>
  <c r="F5" i="38" s="1"/>
  <c r="AB72" i="45" l="1"/>
  <c r="AB101" i="45" s="1"/>
  <c r="BD70" i="45"/>
  <c r="BD12" i="45"/>
  <c r="AB73" i="45"/>
  <c r="AB102" i="45" s="1"/>
  <c r="AB13" i="45"/>
  <c r="AB17" i="45"/>
  <c r="AN17" i="45" s="1"/>
  <c r="AN75" i="45" s="1"/>
  <c r="BD14" i="45"/>
  <c r="AE72" i="45"/>
  <c r="BD72" i="45" s="1"/>
  <c r="BD10" i="45"/>
  <c r="AE68" i="45"/>
  <c r="BD68" i="45" s="1"/>
  <c r="BB15" i="45"/>
  <c r="BB73" i="45" s="1"/>
  <c r="AJ15" i="45"/>
  <c r="AJ73" i="45" s="1"/>
  <c r="AO15" i="45"/>
  <c r="AO73" i="45" s="1"/>
  <c r="AV15" i="45"/>
  <c r="AV73" i="45" s="1"/>
  <c r="AT15" i="45"/>
  <c r="AT73" i="45" s="1"/>
  <c r="AY15" i="45"/>
  <c r="AY73" i="45" s="1"/>
  <c r="AG15" i="45"/>
  <c r="AG73" i="45" s="1"/>
  <c r="AN15" i="45"/>
  <c r="AN73" i="45" s="1"/>
  <c r="AL15" i="45"/>
  <c r="AL73" i="45" s="1"/>
  <c r="AQ15" i="45"/>
  <c r="AQ73" i="45" s="1"/>
  <c r="AF15" i="45"/>
  <c r="AF73" i="45" s="1"/>
  <c r="BA15" i="45"/>
  <c r="BA73" i="45" s="1"/>
  <c r="AI15" i="45"/>
  <c r="AI73" i="45" s="1"/>
  <c r="BC15" i="45"/>
  <c r="BC73" i="45" s="1"/>
  <c r="AS15" i="45"/>
  <c r="AS73" i="45" s="1"/>
  <c r="AX15" i="45"/>
  <c r="AX73" i="45" s="1"/>
  <c r="AU15" i="45"/>
  <c r="AU73" i="45" s="1"/>
  <c r="AK15" i="45"/>
  <c r="AK73" i="45" s="1"/>
  <c r="AP15" i="45"/>
  <c r="AP73" i="45" s="1"/>
  <c r="AM15" i="45"/>
  <c r="AM73" i="45" s="1"/>
  <c r="AZ15" i="45"/>
  <c r="AZ73" i="45" s="1"/>
  <c r="AH15" i="45"/>
  <c r="AH73" i="45" s="1"/>
  <c r="AE15" i="45"/>
  <c r="AR15" i="45"/>
  <c r="AR73" i="45" s="1"/>
  <c r="AW15" i="45"/>
  <c r="AW73" i="45" s="1"/>
  <c r="C7" i="6"/>
  <c r="D7" i="6"/>
  <c r="E7" i="6"/>
  <c r="F7" i="6"/>
  <c r="C8" i="6"/>
  <c r="D8" i="6"/>
  <c r="E8" i="6"/>
  <c r="F8" i="6"/>
  <c r="C9" i="6"/>
  <c r="D9" i="6"/>
  <c r="E9" i="6"/>
  <c r="F9" i="6"/>
  <c r="C10" i="6"/>
  <c r="D10" i="6"/>
  <c r="E10" i="6"/>
  <c r="F10" i="6"/>
  <c r="D6" i="6"/>
  <c r="E6" i="6"/>
  <c r="F6" i="6"/>
  <c r="F16" i="6"/>
  <c r="F17" i="6"/>
  <c r="F18" i="6"/>
  <c r="F19" i="6"/>
  <c r="F15" i="6"/>
  <c r="C25" i="6"/>
  <c r="D25" i="6"/>
  <c r="E25" i="6"/>
  <c r="F25" i="6"/>
  <c r="C26" i="6"/>
  <c r="D26" i="6"/>
  <c r="E26" i="6"/>
  <c r="F26" i="6"/>
  <c r="C27" i="6"/>
  <c r="D27" i="6"/>
  <c r="E27" i="6"/>
  <c r="F27" i="6"/>
  <c r="C28" i="6"/>
  <c r="D28" i="6"/>
  <c r="E28" i="6"/>
  <c r="F28" i="6"/>
  <c r="D24" i="6"/>
  <c r="E24" i="6"/>
  <c r="F24" i="6"/>
  <c r="C24" i="6"/>
  <c r="C16" i="6"/>
  <c r="D16" i="6"/>
  <c r="E16" i="6"/>
  <c r="C17" i="6"/>
  <c r="D17" i="6"/>
  <c r="E17" i="6"/>
  <c r="C18" i="6"/>
  <c r="D18" i="6"/>
  <c r="E18" i="6"/>
  <c r="C19" i="6"/>
  <c r="D19" i="6"/>
  <c r="E19" i="6"/>
  <c r="D15" i="6"/>
  <c r="E15" i="6"/>
  <c r="C15" i="6"/>
  <c r="C6" i="6"/>
  <c r="C58" i="42" l="1"/>
  <c r="C83" i="42" s="1"/>
  <c r="W25" i="6"/>
  <c r="W17" i="6"/>
  <c r="U11" i="6"/>
  <c r="T29" i="6"/>
  <c r="W8" i="6"/>
  <c r="W18" i="6"/>
  <c r="W10" i="6"/>
  <c r="AX17" i="45"/>
  <c r="AX75" i="45" s="1"/>
  <c r="AM13" i="45"/>
  <c r="AM71" i="45" s="1"/>
  <c r="AB71" i="45"/>
  <c r="AB100" i="45" s="1"/>
  <c r="AF13" i="45"/>
  <c r="AF71" i="45" s="1"/>
  <c r="AL13" i="45"/>
  <c r="AL71" i="45" s="1"/>
  <c r="AN13" i="45"/>
  <c r="AN71" i="45" s="1"/>
  <c r="AG17" i="45"/>
  <c r="AG75" i="45" s="1"/>
  <c r="AR17" i="45"/>
  <c r="AR75" i="45" s="1"/>
  <c r="AS13" i="45"/>
  <c r="AS71" i="45" s="1"/>
  <c r="AY17" i="45"/>
  <c r="AY75" i="45" s="1"/>
  <c r="AE17" i="45"/>
  <c r="AE75" i="45" s="1"/>
  <c r="AS17" i="45"/>
  <c r="AS75" i="45" s="1"/>
  <c r="AG13" i="45"/>
  <c r="AG71" i="45" s="1"/>
  <c r="AI17" i="45"/>
  <c r="AI75" i="45" s="1"/>
  <c r="AT17" i="45"/>
  <c r="AT75" i="45" s="1"/>
  <c r="AH17" i="45"/>
  <c r="AH75" i="45" s="1"/>
  <c r="BC17" i="45"/>
  <c r="BC75" i="45" s="1"/>
  <c r="AY13" i="45"/>
  <c r="AY71" i="45" s="1"/>
  <c r="AU17" i="45"/>
  <c r="AU75" i="45" s="1"/>
  <c r="BA17" i="45"/>
  <c r="BA75" i="45" s="1"/>
  <c r="AV17" i="45"/>
  <c r="AV75" i="45" s="1"/>
  <c r="AZ17" i="45"/>
  <c r="AZ75" i="45" s="1"/>
  <c r="AO13" i="45"/>
  <c r="AO71" i="45" s="1"/>
  <c r="AW17" i="45"/>
  <c r="AW75" i="45" s="1"/>
  <c r="AF17" i="45"/>
  <c r="AF75" i="45" s="1"/>
  <c r="AO17" i="45"/>
  <c r="AO75" i="45" s="1"/>
  <c r="AM17" i="45"/>
  <c r="AM75" i="45" s="1"/>
  <c r="AW13" i="45"/>
  <c r="AW71" i="45" s="1"/>
  <c r="AQ17" i="45"/>
  <c r="AQ75" i="45" s="1"/>
  <c r="AJ17" i="45"/>
  <c r="AJ75" i="45" s="1"/>
  <c r="AP17" i="45"/>
  <c r="AP75" i="45" s="1"/>
  <c r="AE13" i="45"/>
  <c r="AE71" i="45" s="1"/>
  <c r="AL17" i="45"/>
  <c r="AL75" i="45" s="1"/>
  <c r="BB17" i="45"/>
  <c r="BB75" i="45" s="1"/>
  <c r="AK17" i="45"/>
  <c r="AK75" i="45" s="1"/>
  <c r="AH13" i="45"/>
  <c r="AH71" i="45" s="1"/>
  <c r="AT13" i="45"/>
  <c r="AT71" i="45" s="1"/>
  <c r="AP13" i="45"/>
  <c r="AP71" i="45" s="1"/>
  <c r="AK13" i="45"/>
  <c r="AK71" i="45" s="1"/>
  <c r="AJ13" i="45"/>
  <c r="AJ71" i="45" s="1"/>
  <c r="AU13" i="45"/>
  <c r="AU71" i="45" s="1"/>
  <c r="AQ13" i="45"/>
  <c r="AQ71" i="45" s="1"/>
  <c r="BB13" i="45"/>
  <c r="BB71" i="45" s="1"/>
  <c r="AR13" i="45"/>
  <c r="AR71" i="45" s="1"/>
  <c r="AX13" i="45"/>
  <c r="AX71" i="45" s="1"/>
  <c r="BC13" i="45"/>
  <c r="BC71" i="45" s="1"/>
  <c r="AV13" i="45"/>
  <c r="AV71" i="45" s="1"/>
  <c r="AZ13" i="45"/>
  <c r="AZ71" i="45" s="1"/>
  <c r="AI13" i="45"/>
  <c r="AI71" i="45" s="1"/>
  <c r="BA13" i="45"/>
  <c r="BA71" i="45" s="1"/>
  <c r="AB75" i="45"/>
  <c r="AB104" i="45" s="1"/>
  <c r="AB20" i="45"/>
  <c r="AE73" i="45"/>
  <c r="BD73" i="45" s="1"/>
  <c r="BD15" i="45"/>
  <c r="AB18" i="45"/>
  <c r="AB16" i="45"/>
  <c r="W28" i="6"/>
  <c r="V11" i="6"/>
  <c r="U20" i="6"/>
  <c r="S29" i="6"/>
  <c r="T20" i="6"/>
  <c r="W27" i="6"/>
  <c r="W16" i="6"/>
  <c r="V29" i="6"/>
  <c r="W24" i="6"/>
  <c r="G27" i="42"/>
  <c r="P27" i="42"/>
  <c r="S27" i="42"/>
  <c r="X37" i="42"/>
  <c r="X46" i="42"/>
  <c r="H27" i="42"/>
  <c r="Q27" i="42"/>
  <c r="H53" i="42"/>
  <c r="Q53" i="42"/>
  <c r="X36" i="42"/>
  <c r="X45" i="42"/>
  <c r="X48" i="42"/>
  <c r="X38" i="42"/>
  <c r="X47" i="42"/>
  <c r="X52" i="42"/>
  <c r="X34" i="42"/>
  <c r="X39" i="42"/>
  <c r="R53" i="42"/>
  <c r="X43" i="42"/>
  <c r="F53" i="42"/>
  <c r="W53" i="42"/>
  <c r="P53" i="42"/>
  <c r="I53" i="42"/>
  <c r="J53" i="42"/>
  <c r="S53" i="42"/>
  <c r="X33" i="42"/>
  <c r="E53" i="42"/>
  <c r="N53" i="42"/>
  <c r="V53" i="42"/>
  <c r="X50" i="42"/>
  <c r="C53" i="42"/>
  <c r="X32" i="42"/>
  <c r="T53" i="42"/>
  <c r="X41" i="42"/>
  <c r="K53" i="42"/>
  <c r="D53" i="42"/>
  <c r="L53" i="42"/>
  <c r="U53" i="42"/>
  <c r="X40" i="42"/>
  <c r="X51" i="42"/>
  <c r="X35" i="42"/>
  <c r="O53" i="42"/>
  <c r="G53" i="42"/>
  <c r="X44" i="42"/>
  <c r="X49" i="42"/>
  <c r="X17" i="42"/>
  <c r="X22" i="42"/>
  <c r="X26" i="42"/>
  <c r="X8" i="42"/>
  <c r="X7" i="42"/>
  <c r="T27" i="42"/>
  <c r="X11" i="42"/>
  <c r="X18" i="42"/>
  <c r="X21" i="42"/>
  <c r="X23" i="42"/>
  <c r="X25" i="42"/>
  <c r="X9" i="42"/>
  <c r="X24" i="42"/>
  <c r="I27" i="42"/>
  <c r="R27" i="42"/>
  <c r="X15" i="42"/>
  <c r="X20" i="42"/>
  <c r="J27" i="42"/>
  <c r="X14" i="42"/>
  <c r="C27" i="42"/>
  <c r="K27" i="42"/>
  <c r="X10" i="42"/>
  <c r="D27" i="42"/>
  <c r="U27" i="42"/>
  <c r="X13" i="42"/>
  <c r="X19" i="42"/>
  <c r="L27" i="42"/>
  <c r="X6" i="42"/>
  <c r="E27" i="42"/>
  <c r="N27" i="42"/>
  <c r="V27" i="42"/>
  <c r="X12" i="42"/>
  <c r="F27" i="42"/>
  <c r="O27" i="42"/>
  <c r="W27" i="42"/>
  <c r="W26" i="6"/>
  <c r="U29" i="6"/>
  <c r="V20" i="6"/>
  <c r="W19" i="6"/>
  <c r="S20" i="6"/>
  <c r="W7" i="6"/>
  <c r="W9" i="6"/>
  <c r="W6" i="6"/>
  <c r="S11" i="6"/>
  <c r="T11" i="6"/>
  <c r="AG40" i="42" l="1"/>
  <c r="AO40" i="42"/>
  <c r="AH40" i="42"/>
  <c r="AP40" i="42"/>
  <c r="AA40" i="42"/>
  <c r="AI40" i="42"/>
  <c r="AQ40" i="42"/>
  <c r="AB40" i="42"/>
  <c r="AJ40" i="42"/>
  <c r="AR40" i="42"/>
  <c r="AC40" i="42"/>
  <c r="AK40" i="42"/>
  <c r="AK66" i="42" s="1"/>
  <c r="AS40" i="42"/>
  <c r="AT40" i="42"/>
  <c r="AU40" i="42"/>
  <c r="AD40" i="42"/>
  <c r="AE40" i="42"/>
  <c r="AF40" i="42"/>
  <c r="AM40" i="42"/>
  <c r="AN40" i="42"/>
  <c r="AL40" i="42"/>
  <c r="AC52" i="42"/>
  <c r="AK52" i="42"/>
  <c r="AK78" i="42" s="1"/>
  <c r="AS52" i="42"/>
  <c r="AD52" i="42"/>
  <c r="AL52" i="42"/>
  <c r="AT52" i="42"/>
  <c r="AE52" i="42"/>
  <c r="AM52" i="42"/>
  <c r="AU52" i="42"/>
  <c r="AF52" i="42"/>
  <c r="AN52" i="42"/>
  <c r="AG52" i="42"/>
  <c r="AO52" i="42"/>
  <c r="AO78" i="42" s="1"/>
  <c r="AA52" i="42"/>
  <c r="AB52" i="42"/>
  <c r="AH52" i="42"/>
  <c r="AI52" i="42"/>
  <c r="AI78" i="42" s="1"/>
  <c r="AJ52" i="42"/>
  <c r="AP52" i="42"/>
  <c r="AP78" i="42" s="1"/>
  <c r="AQ52" i="42"/>
  <c r="AR52" i="42"/>
  <c r="AR78" i="42" s="1"/>
  <c r="AE50" i="42"/>
  <c r="AM50" i="42"/>
  <c r="AU50" i="42"/>
  <c r="AF50" i="42"/>
  <c r="AN50" i="42"/>
  <c r="AG50" i="42"/>
  <c r="AO50" i="42"/>
  <c r="AH50" i="42"/>
  <c r="AP50" i="42"/>
  <c r="AA50" i="42"/>
  <c r="AI50" i="42"/>
  <c r="AQ50" i="42"/>
  <c r="AB50" i="42"/>
  <c r="AT50" i="42"/>
  <c r="AC50" i="42"/>
  <c r="AD50" i="42"/>
  <c r="AJ50" i="42"/>
  <c r="AK50" i="42"/>
  <c r="AK76" i="42" s="1"/>
  <c r="AL50" i="42"/>
  <c r="AR50" i="42"/>
  <c r="AS50" i="42"/>
  <c r="AD47" i="42"/>
  <c r="AL47" i="42"/>
  <c r="AT47" i="42"/>
  <c r="AE47" i="42"/>
  <c r="AM47" i="42"/>
  <c r="AU47" i="42"/>
  <c r="AF47" i="42"/>
  <c r="AN47" i="42"/>
  <c r="AG47" i="42"/>
  <c r="AO47" i="42"/>
  <c r="AH47" i="42"/>
  <c r="AP47" i="42"/>
  <c r="AA47" i="42"/>
  <c r="AS47" i="42"/>
  <c r="AB47" i="42"/>
  <c r="AB73" i="42" s="1"/>
  <c r="AC47" i="42"/>
  <c r="AI47" i="42"/>
  <c r="AJ47" i="42"/>
  <c r="AK47" i="42"/>
  <c r="AK73" i="42" s="1"/>
  <c r="AQ47" i="42"/>
  <c r="AR47" i="42"/>
  <c r="AA46" i="42"/>
  <c r="AI46" i="42"/>
  <c r="AQ46" i="42"/>
  <c r="AB46" i="42"/>
  <c r="AJ46" i="42"/>
  <c r="AR46" i="42"/>
  <c r="AC46" i="42"/>
  <c r="AK46" i="42"/>
  <c r="AK72" i="42" s="1"/>
  <c r="AS46" i="42"/>
  <c r="AD46" i="42"/>
  <c r="AL46" i="42"/>
  <c r="AT46" i="42"/>
  <c r="AE46" i="42"/>
  <c r="AM46" i="42"/>
  <c r="AU46" i="42"/>
  <c r="AF46" i="42"/>
  <c r="AG46" i="42"/>
  <c r="AH46" i="42"/>
  <c r="AO46" i="42"/>
  <c r="AP46" i="42"/>
  <c r="AN46" i="42"/>
  <c r="AC44" i="42"/>
  <c r="AK44" i="42"/>
  <c r="AK70" i="42" s="1"/>
  <c r="AS44" i="42"/>
  <c r="AD44" i="42"/>
  <c r="AL44" i="42"/>
  <c r="AT44" i="42"/>
  <c r="AE44" i="42"/>
  <c r="AE70" i="42" s="1"/>
  <c r="AM44" i="42"/>
  <c r="AU44" i="42"/>
  <c r="AF44" i="42"/>
  <c r="AN44" i="42"/>
  <c r="AG44" i="42"/>
  <c r="AO44" i="42"/>
  <c r="AR44" i="42"/>
  <c r="AA44" i="42"/>
  <c r="AB44" i="42"/>
  <c r="AH44" i="42"/>
  <c r="AI44" i="42"/>
  <c r="AJ44" i="42"/>
  <c r="AP44" i="42"/>
  <c r="AQ44" i="42"/>
  <c r="AF37" i="42"/>
  <c r="AN37" i="42"/>
  <c r="AG37" i="42"/>
  <c r="AO37" i="42"/>
  <c r="AH37" i="42"/>
  <c r="AP37" i="42"/>
  <c r="AA37" i="42"/>
  <c r="AI37" i="42"/>
  <c r="AI63" i="42" s="1"/>
  <c r="AQ37" i="42"/>
  <c r="AB37" i="42"/>
  <c r="AJ37" i="42"/>
  <c r="AR37" i="42"/>
  <c r="AS37" i="42"/>
  <c r="AT37" i="42"/>
  <c r="AC37" i="42"/>
  <c r="AU37" i="42"/>
  <c r="AD37" i="42"/>
  <c r="AE37" i="42"/>
  <c r="AK37" i="42"/>
  <c r="AK63" i="42" s="1"/>
  <c r="AM37" i="42"/>
  <c r="AL37" i="42"/>
  <c r="AH43" i="42"/>
  <c r="AP43" i="42"/>
  <c r="AA43" i="42"/>
  <c r="AI43" i="42"/>
  <c r="AQ43" i="42"/>
  <c r="AQ69" i="42" s="1"/>
  <c r="AB43" i="42"/>
  <c r="AJ43" i="42"/>
  <c r="AR43" i="42"/>
  <c r="AC43" i="42"/>
  <c r="AK43" i="42"/>
  <c r="AK69" i="42" s="1"/>
  <c r="AS43" i="42"/>
  <c r="AD43" i="42"/>
  <c r="AL43" i="42"/>
  <c r="AT43" i="42"/>
  <c r="AU43" i="42"/>
  <c r="AE43" i="42"/>
  <c r="AF43" i="42"/>
  <c r="AG43" i="42"/>
  <c r="AO43" i="42"/>
  <c r="AM43" i="42"/>
  <c r="AN43" i="42"/>
  <c r="AF45" i="42"/>
  <c r="AN45" i="42"/>
  <c r="AG45" i="42"/>
  <c r="AO45" i="42"/>
  <c r="AH45" i="42"/>
  <c r="AP45" i="42"/>
  <c r="AA45" i="42"/>
  <c r="AI45" i="42"/>
  <c r="AQ45" i="42"/>
  <c r="AB45" i="42"/>
  <c r="AJ45" i="42"/>
  <c r="AR45" i="42"/>
  <c r="AT45" i="42"/>
  <c r="AC45" i="42"/>
  <c r="AU45" i="42"/>
  <c r="AD45" i="42"/>
  <c r="AE45" i="42"/>
  <c r="AK45" i="42"/>
  <c r="AK71" i="42" s="1"/>
  <c r="AL45" i="42"/>
  <c r="AS45" i="42"/>
  <c r="AM45" i="42"/>
  <c r="AA38" i="42"/>
  <c r="AI38" i="42"/>
  <c r="AQ38" i="42"/>
  <c r="AB38" i="42"/>
  <c r="AJ38" i="42"/>
  <c r="AR38" i="42"/>
  <c r="AC38" i="42"/>
  <c r="AK38" i="42"/>
  <c r="AK64" i="42" s="1"/>
  <c r="AS38" i="42"/>
  <c r="AD38" i="42"/>
  <c r="AL38" i="42"/>
  <c r="AT38" i="42"/>
  <c r="AE38" i="42"/>
  <c r="AM38" i="42"/>
  <c r="AU38" i="42"/>
  <c r="AP38" i="42"/>
  <c r="AF38" i="42"/>
  <c r="AG38" i="42"/>
  <c r="AN38" i="42"/>
  <c r="AO38" i="42"/>
  <c r="AH38" i="42"/>
  <c r="AG48" i="42"/>
  <c r="AO48" i="42"/>
  <c r="AH48" i="42"/>
  <c r="AP48" i="42"/>
  <c r="AA48" i="42"/>
  <c r="AI48" i="42"/>
  <c r="AQ48" i="42"/>
  <c r="AB48" i="42"/>
  <c r="AJ48" i="42"/>
  <c r="AR48" i="42"/>
  <c r="AC48" i="42"/>
  <c r="AK48" i="42"/>
  <c r="AK74" i="42" s="1"/>
  <c r="AS48" i="42"/>
  <c r="AS74" i="42" s="1"/>
  <c r="AU48" i="42"/>
  <c r="AD48" i="42"/>
  <c r="AE48" i="42"/>
  <c r="AF48" i="42"/>
  <c r="AL48" i="42"/>
  <c r="AN48" i="42"/>
  <c r="AT48" i="42"/>
  <c r="AM48" i="42"/>
  <c r="AB41" i="42"/>
  <c r="AJ41" i="42"/>
  <c r="AR41" i="42"/>
  <c r="AC41" i="42"/>
  <c r="AK41" i="42"/>
  <c r="AK67" i="42" s="1"/>
  <c r="AS41" i="42"/>
  <c r="AD41" i="42"/>
  <c r="AL41" i="42"/>
  <c r="AT41" i="42"/>
  <c r="AE41" i="42"/>
  <c r="AM41" i="42"/>
  <c r="AU41" i="42"/>
  <c r="AF41" i="42"/>
  <c r="AN41" i="42"/>
  <c r="AQ41" i="42"/>
  <c r="AA41" i="42"/>
  <c r="AG41" i="42"/>
  <c r="AH41" i="42"/>
  <c r="AI41" i="42"/>
  <c r="AO41" i="42"/>
  <c r="AP41" i="42"/>
  <c r="AB33" i="42"/>
  <c r="AJ33" i="42"/>
  <c r="AR33" i="42"/>
  <c r="AC33" i="42"/>
  <c r="AK33" i="42"/>
  <c r="AK59" i="42" s="1"/>
  <c r="AS33" i="42"/>
  <c r="AD33" i="42"/>
  <c r="AL33" i="42"/>
  <c r="AT33" i="42"/>
  <c r="AE33" i="42"/>
  <c r="AM33" i="42"/>
  <c r="AU33" i="42"/>
  <c r="AF33" i="42"/>
  <c r="AN33" i="42"/>
  <c r="AN59" i="42" s="1"/>
  <c r="AP33" i="42"/>
  <c r="AQ33" i="42"/>
  <c r="AA33" i="42"/>
  <c r="AG33" i="42"/>
  <c r="AH33" i="42"/>
  <c r="AI33" i="42"/>
  <c r="AO33" i="42"/>
  <c r="AC36" i="42"/>
  <c r="AK36" i="42"/>
  <c r="AK62" i="42" s="1"/>
  <c r="AS36" i="42"/>
  <c r="AD36" i="42"/>
  <c r="AL36" i="42"/>
  <c r="AT36" i="42"/>
  <c r="AE36" i="42"/>
  <c r="AM36" i="42"/>
  <c r="AU36" i="42"/>
  <c r="AF36" i="42"/>
  <c r="AN36" i="42"/>
  <c r="AG36" i="42"/>
  <c r="AO36" i="42"/>
  <c r="AQ36" i="42"/>
  <c r="AR36" i="42"/>
  <c r="AA36" i="42"/>
  <c r="AB36" i="42"/>
  <c r="AH36" i="42"/>
  <c r="AI36" i="42"/>
  <c r="AJ36" i="42"/>
  <c r="AP36" i="42"/>
  <c r="AB49" i="42"/>
  <c r="AJ49" i="42"/>
  <c r="AR49" i="42"/>
  <c r="AC49" i="42"/>
  <c r="AK49" i="42"/>
  <c r="AK75" i="42" s="1"/>
  <c r="AS49" i="42"/>
  <c r="AD49" i="42"/>
  <c r="AL49" i="42"/>
  <c r="AT49" i="42"/>
  <c r="AE49" i="42"/>
  <c r="AM49" i="42"/>
  <c r="AU49" i="42"/>
  <c r="AF49" i="42"/>
  <c r="AN49" i="42"/>
  <c r="AA49" i="42"/>
  <c r="AG49" i="42"/>
  <c r="AH49" i="42"/>
  <c r="AI49" i="42"/>
  <c r="AO49" i="42"/>
  <c r="AP49" i="42"/>
  <c r="AQ49" i="42"/>
  <c r="AH35" i="42"/>
  <c r="AP35" i="42"/>
  <c r="AA35" i="42"/>
  <c r="AI35" i="42"/>
  <c r="AQ35" i="42"/>
  <c r="AB35" i="42"/>
  <c r="AJ35" i="42"/>
  <c r="AR35" i="42"/>
  <c r="AC35" i="42"/>
  <c r="AK35" i="42"/>
  <c r="AK61" i="42" s="1"/>
  <c r="AS35" i="42"/>
  <c r="AD35" i="42"/>
  <c r="AL35" i="42"/>
  <c r="AT35" i="42"/>
  <c r="AO35" i="42"/>
  <c r="AU35" i="42"/>
  <c r="AE35" i="42"/>
  <c r="AF35" i="42"/>
  <c r="AN35" i="42"/>
  <c r="AG35" i="42"/>
  <c r="AM35" i="42"/>
  <c r="AD39" i="42"/>
  <c r="AL39" i="42"/>
  <c r="AT39" i="42"/>
  <c r="AE39" i="42"/>
  <c r="AM39" i="42"/>
  <c r="AU39" i="42"/>
  <c r="AF39" i="42"/>
  <c r="AN39" i="42"/>
  <c r="AG39" i="42"/>
  <c r="AO39" i="42"/>
  <c r="AH39" i="42"/>
  <c r="AP39" i="42"/>
  <c r="AR39" i="42"/>
  <c r="AA39" i="42"/>
  <c r="AS39" i="42"/>
  <c r="AB39" i="42"/>
  <c r="AC39" i="42"/>
  <c r="AI39" i="42"/>
  <c r="AJ39" i="42"/>
  <c r="AQ39" i="42"/>
  <c r="AK39" i="42"/>
  <c r="AK65" i="42" s="1"/>
  <c r="AH51" i="42"/>
  <c r="AP51" i="42"/>
  <c r="AA51" i="42"/>
  <c r="AI51" i="42"/>
  <c r="AQ51" i="42"/>
  <c r="AB51" i="42"/>
  <c r="AJ51" i="42"/>
  <c r="AR51" i="42"/>
  <c r="AC51" i="42"/>
  <c r="AK51" i="42"/>
  <c r="AK77" i="42" s="1"/>
  <c r="AS51" i="42"/>
  <c r="AS77" i="42" s="1"/>
  <c r="AD51" i="42"/>
  <c r="AL51" i="42"/>
  <c r="AT51" i="42"/>
  <c r="AE51" i="42"/>
  <c r="AF51" i="42"/>
  <c r="AG51" i="42"/>
  <c r="AM51" i="42"/>
  <c r="AU51" i="42"/>
  <c r="AN51" i="42"/>
  <c r="AO51" i="42"/>
  <c r="AG32" i="42"/>
  <c r="AO32" i="42"/>
  <c r="AH32" i="42"/>
  <c r="AP32" i="42"/>
  <c r="AI32" i="42"/>
  <c r="AQ32" i="42"/>
  <c r="AB32" i="42"/>
  <c r="AJ32" i="42"/>
  <c r="AR32" i="42"/>
  <c r="AC32" i="42"/>
  <c r="AK32" i="42"/>
  <c r="AK58" i="42" s="1"/>
  <c r="AS32" i="42"/>
  <c r="AD32" i="42"/>
  <c r="AE32" i="42"/>
  <c r="AF32" i="42"/>
  <c r="AL32" i="42"/>
  <c r="AM32" i="42"/>
  <c r="AN32" i="42"/>
  <c r="AU32" i="42"/>
  <c r="AT32" i="42"/>
  <c r="AE34" i="42"/>
  <c r="AM34" i="42"/>
  <c r="AU34" i="42"/>
  <c r="AF34" i="42"/>
  <c r="AN34" i="42"/>
  <c r="AG34" i="42"/>
  <c r="AO34" i="42"/>
  <c r="AH34" i="42"/>
  <c r="AP34" i="42"/>
  <c r="AA34" i="42"/>
  <c r="AI34" i="42"/>
  <c r="AQ34" i="42"/>
  <c r="AR34" i="42"/>
  <c r="AS34" i="42"/>
  <c r="AB34" i="42"/>
  <c r="AT34" i="42"/>
  <c r="AC34" i="42"/>
  <c r="AD34" i="42"/>
  <c r="AK34" i="42"/>
  <c r="AK60" i="42" s="1"/>
  <c r="AJ34" i="42"/>
  <c r="AL34" i="42"/>
  <c r="W20" i="6"/>
  <c r="AB76" i="45"/>
  <c r="AB105" i="45" s="1"/>
  <c r="BD75" i="45"/>
  <c r="BD17" i="45"/>
  <c r="BD71" i="45"/>
  <c r="BD13" i="45"/>
  <c r="AB78" i="45"/>
  <c r="AB107" i="45" s="1"/>
  <c r="AB74" i="45"/>
  <c r="AB103" i="45" s="1"/>
  <c r="BA16" i="45"/>
  <c r="BA74" i="45" s="1"/>
  <c r="AS16" i="45"/>
  <c r="AS74" i="45" s="1"/>
  <c r="AK16" i="45"/>
  <c r="AK74" i="45" s="1"/>
  <c r="AJ16" i="45"/>
  <c r="AJ74" i="45" s="1"/>
  <c r="AO16" i="45"/>
  <c r="AO74" i="45" s="1"/>
  <c r="AE16" i="45"/>
  <c r="AY16" i="45"/>
  <c r="AY74" i="45" s="1"/>
  <c r="AG16" i="45"/>
  <c r="AG74" i="45" s="1"/>
  <c r="BB16" i="45"/>
  <c r="BB74" i="45" s="1"/>
  <c r="AQ16" i="45"/>
  <c r="AQ74" i="45" s="1"/>
  <c r="AV16" i="45"/>
  <c r="AV74" i="45" s="1"/>
  <c r="AT16" i="45"/>
  <c r="AT74" i="45" s="1"/>
  <c r="AI16" i="45"/>
  <c r="AI74" i="45" s="1"/>
  <c r="AN16" i="45"/>
  <c r="AN74" i="45" s="1"/>
  <c r="AL16" i="45"/>
  <c r="AL74" i="45" s="1"/>
  <c r="AX16" i="45"/>
  <c r="AX74" i="45" s="1"/>
  <c r="AF16" i="45"/>
  <c r="AF74" i="45" s="1"/>
  <c r="AP16" i="45"/>
  <c r="AP74" i="45" s="1"/>
  <c r="BC16" i="45"/>
  <c r="BC74" i="45" s="1"/>
  <c r="AZ16" i="45"/>
  <c r="AZ74" i="45" s="1"/>
  <c r="AH16" i="45"/>
  <c r="AH74" i="45" s="1"/>
  <c r="AU16" i="45"/>
  <c r="AU74" i="45" s="1"/>
  <c r="AR16" i="45"/>
  <c r="AR74" i="45" s="1"/>
  <c r="AW16" i="45"/>
  <c r="AW74" i="45" s="1"/>
  <c r="AM16" i="45"/>
  <c r="AM74" i="45" s="1"/>
  <c r="BA20" i="45"/>
  <c r="BA78" i="45" s="1"/>
  <c r="AS20" i="45"/>
  <c r="AS78" i="45" s="1"/>
  <c r="AK20" i="45"/>
  <c r="AK78" i="45" s="1"/>
  <c r="AX20" i="45"/>
  <c r="AX78" i="45" s="1"/>
  <c r="AF20" i="45"/>
  <c r="AF78" i="45" s="1"/>
  <c r="AP20" i="45"/>
  <c r="AP78" i="45" s="1"/>
  <c r="BC20" i="45"/>
  <c r="BC78" i="45" s="1"/>
  <c r="AZ20" i="45"/>
  <c r="AZ78" i="45" s="1"/>
  <c r="AH20" i="45"/>
  <c r="AH78" i="45" s="1"/>
  <c r="AU20" i="45"/>
  <c r="AU78" i="45" s="1"/>
  <c r="AR20" i="45"/>
  <c r="AR78" i="45" s="1"/>
  <c r="AW20" i="45"/>
  <c r="AW78" i="45" s="1"/>
  <c r="AM20" i="45"/>
  <c r="AM78" i="45" s="1"/>
  <c r="AJ20" i="45"/>
  <c r="AJ78" i="45" s="1"/>
  <c r="AO20" i="45"/>
  <c r="AO78" i="45" s="1"/>
  <c r="AE20" i="45"/>
  <c r="AY20" i="45"/>
  <c r="AY78" i="45" s="1"/>
  <c r="AG20" i="45"/>
  <c r="AG78" i="45" s="1"/>
  <c r="BB20" i="45"/>
  <c r="BB78" i="45" s="1"/>
  <c r="AQ20" i="45"/>
  <c r="AQ78" i="45" s="1"/>
  <c r="AV20" i="45"/>
  <c r="AV78" i="45" s="1"/>
  <c r="AT20" i="45"/>
  <c r="AT78" i="45" s="1"/>
  <c r="AN20" i="45"/>
  <c r="AN78" i="45" s="1"/>
  <c r="AL20" i="45"/>
  <c r="AL78" i="45" s="1"/>
  <c r="AI20" i="45"/>
  <c r="AI78" i="45" s="1"/>
  <c r="BA18" i="45"/>
  <c r="BA76" i="45" s="1"/>
  <c r="AS18" i="45"/>
  <c r="AS76" i="45" s="1"/>
  <c r="AK18" i="45"/>
  <c r="AK76" i="45" s="1"/>
  <c r="AQ18" i="45"/>
  <c r="AQ76" i="45" s="1"/>
  <c r="AV18" i="45"/>
  <c r="AV76" i="45" s="1"/>
  <c r="AT18" i="45"/>
  <c r="AT76" i="45" s="1"/>
  <c r="AI18" i="45"/>
  <c r="AI76" i="45" s="1"/>
  <c r="AN18" i="45"/>
  <c r="AN76" i="45" s="1"/>
  <c r="AL18" i="45"/>
  <c r="AL76" i="45" s="1"/>
  <c r="AX18" i="45"/>
  <c r="AX76" i="45" s="1"/>
  <c r="AF18" i="45"/>
  <c r="AF76" i="45" s="1"/>
  <c r="AP18" i="45"/>
  <c r="AP76" i="45" s="1"/>
  <c r="BC18" i="45"/>
  <c r="BC76" i="45" s="1"/>
  <c r="AZ18" i="45"/>
  <c r="AZ76" i="45" s="1"/>
  <c r="AH18" i="45"/>
  <c r="AH76" i="45" s="1"/>
  <c r="AU18" i="45"/>
  <c r="AU76" i="45" s="1"/>
  <c r="AR18" i="45"/>
  <c r="AR76" i="45" s="1"/>
  <c r="AW18" i="45"/>
  <c r="AW76" i="45" s="1"/>
  <c r="AM18" i="45"/>
  <c r="AM76" i="45" s="1"/>
  <c r="AJ18" i="45"/>
  <c r="AJ76" i="45" s="1"/>
  <c r="AO18" i="45"/>
  <c r="AO76" i="45" s="1"/>
  <c r="AE18" i="45"/>
  <c r="AY18" i="45"/>
  <c r="AY76" i="45" s="1"/>
  <c r="AG18" i="45"/>
  <c r="AG76" i="45" s="1"/>
  <c r="BB18" i="45"/>
  <c r="BB76" i="45" s="1"/>
  <c r="AC63" i="42"/>
  <c r="C79" i="42"/>
  <c r="C104" i="42" s="1"/>
  <c r="W29" i="6"/>
  <c r="AT60" i="42"/>
  <c r="AQ78" i="42"/>
  <c r="AF78" i="42"/>
  <c r="AU63" i="42"/>
  <c r="AL60" i="42"/>
  <c r="AN60" i="42"/>
  <c r="AD61" i="42"/>
  <c r="AU61" i="42"/>
  <c r="AU70" i="42"/>
  <c r="AG70" i="42"/>
  <c r="X53" i="42"/>
  <c r="AK53" i="42" s="1"/>
  <c r="AK79" i="42" s="1"/>
  <c r="AA32" i="42"/>
  <c r="AR75" i="42"/>
  <c r="AT74" i="42"/>
  <c r="AD59" i="42"/>
  <c r="AU73" i="42"/>
  <c r="X70" i="42"/>
  <c r="X95" i="42" s="1"/>
  <c r="AO60" i="42"/>
  <c r="X27" i="42"/>
  <c r="AA6" i="42"/>
  <c r="X72" i="42"/>
  <c r="X97" i="42" s="1"/>
  <c r="K79" i="42"/>
  <c r="K104" i="42" s="1"/>
  <c r="E79" i="42"/>
  <c r="E104" i="42" s="1"/>
  <c r="X63" i="42"/>
  <c r="X88" i="42" s="1"/>
  <c r="X74" i="42"/>
  <c r="X99" i="42" s="1"/>
  <c r="X73" i="42"/>
  <c r="X98" i="42" s="1"/>
  <c r="L79" i="42"/>
  <c r="L104" i="42" s="1"/>
  <c r="X60" i="42"/>
  <c r="X85" i="42" s="1"/>
  <c r="X69" i="42"/>
  <c r="X94" i="42" s="1"/>
  <c r="X59" i="42"/>
  <c r="X84" i="42" s="1"/>
  <c r="W79" i="42"/>
  <c r="W104" i="42" s="1"/>
  <c r="N79" i="42"/>
  <c r="N104" i="42" s="1"/>
  <c r="G79" i="42"/>
  <c r="G104" i="42" s="1"/>
  <c r="X76" i="42"/>
  <c r="X101" i="42" s="1"/>
  <c r="X62" i="42"/>
  <c r="X87" i="42" s="1"/>
  <c r="X58" i="42"/>
  <c r="X83" i="42" s="1"/>
  <c r="X78" i="42"/>
  <c r="X103" i="42" s="1"/>
  <c r="X75" i="42"/>
  <c r="X100" i="42" s="1"/>
  <c r="D79" i="42"/>
  <c r="D104" i="42" s="1"/>
  <c r="S79" i="42"/>
  <c r="S104" i="42" s="1"/>
  <c r="Q79" i="42"/>
  <c r="Q104" i="42" s="1"/>
  <c r="O79" i="42"/>
  <c r="O104" i="42" s="1"/>
  <c r="X67" i="42"/>
  <c r="X92" i="42" s="1"/>
  <c r="U79" i="42"/>
  <c r="U104" i="42" s="1"/>
  <c r="I79" i="42"/>
  <c r="I104" i="42" s="1"/>
  <c r="X71" i="42"/>
  <c r="X96" i="42" s="1"/>
  <c r="X66" i="42"/>
  <c r="X91" i="42" s="1"/>
  <c r="X61" i="42"/>
  <c r="X86" i="42" s="1"/>
  <c r="X64" i="42"/>
  <c r="X89" i="42" s="1"/>
  <c r="V79" i="42"/>
  <c r="V104" i="42" s="1"/>
  <c r="T79" i="42"/>
  <c r="T104" i="42" s="1"/>
  <c r="X77" i="42"/>
  <c r="X102" i="42" s="1"/>
  <c r="X65" i="42"/>
  <c r="X90" i="42" s="1"/>
  <c r="J79" i="42"/>
  <c r="J104" i="42" s="1"/>
  <c r="R79" i="42"/>
  <c r="R104" i="42" s="1"/>
  <c r="H79" i="42"/>
  <c r="H104" i="42" s="1"/>
  <c r="P79" i="42"/>
  <c r="P104" i="42" s="1"/>
  <c r="F79" i="42"/>
  <c r="F104" i="42" s="1"/>
  <c r="W11" i="6"/>
  <c r="AI73" i="42" l="1"/>
  <c r="AR63" i="42"/>
  <c r="AL63" i="42"/>
  <c r="AS78" i="42"/>
  <c r="AH78" i="42"/>
  <c r="AJ61" i="42"/>
  <c r="AP75" i="42"/>
  <c r="AT78" i="42"/>
  <c r="AE78" i="42"/>
  <c r="AH65" i="42"/>
  <c r="AM69" i="42"/>
  <c r="AD78" i="42"/>
  <c r="AR60" i="42"/>
  <c r="AL69" i="42"/>
  <c r="AJ69" i="42"/>
  <c r="AF60" i="42"/>
  <c r="AI70" i="42"/>
  <c r="AE61" i="42"/>
  <c r="AP60" i="42"/>
  <c r="AU69" i="42"/>
  <c r="AU58" i="42"/>
  <c r="AH60" i="42"/>
  <c r="AN78" i="42"/>
  <c r="AU77" i="42"/>
  <c r="AM78" i="42"/>
  <c r="AJ75" i="42"/>
  <c r="AC75" i="42"/>
  <c r="AP65" i="42"/>
  <c r="AT65" i="42"/>
  <c r="AE73" i="42"/>
  <c r="AQ59" i="42"/>
  <c r="AG74" i="42"/>
  <c r="AH73" i="42"/>
  <c r="AP63" i="42"/>
  <c r="AM73" i="42"/>
  <c r="AJ74" i="42"/>
  <c r="AC65" i="42"/>
  <c r="AS73" i="42"/>
  <c r="AN63" i="42"/>
  <c r="AC78" i="42"/>
  <c r="AU78" i="42"/>
  <c r="AR74" i="42"/>
  <c r="AM70" i="42"/>
  <c r="AO70" i="42"/>
  <c r="AB63" i="42"/>
  <c r="AT73" i="42"/>
  <c r="AF69" i="42"/>
  <c r="AG69" i="42"/>
  <c r="AS75" i="42"/>
  <c r="AF59" i="42"/>
  <c r="AH61" i="42"/>
  <c r="AS69" i="42"/>
  <c r="AE69" i="42"/>
  <c r="AD75" i="42"/>
  <c r="AN61" i="42"/>
  <c r="AQ74" i="42"/>
  <c r="AH69" i="42"/>
  <c r="AH75" i="42"/>
  <c r="AS61" i="42"/>
  <c r="AL78" i="42"/>
  <c r="AT75" i="42"/>
  <c r="AF70" i="42"/>
  <c r="AP69" i="42"/>
  <c r="AO69" i="42"/>
  <c r="AQ75" i="42"/>
  <c r="AO75" i="42"/>
  <c r="AC61" i="42"/>
  <c r="AG58" i="42"/>
  <c r="AT63" i="42"/>
  <c r="AE66" i="42"/>
  <c r="AO73" i="42"/>
  <c r="AP64" i="42"/>
  <c r="AN73" i="42"/>
  <c r="AL61" i="42"/>
  <c r="AG63" i="42"/>
  <c r="AO63" i="42"/>
  <c r="AD63" i="42"/>
  <c r="AC59" i="42"/>
  <c r="AG65" i="42"/>
  <c r="AN66" i="42"/>
  <c r="AB74" i="42"/>
  <c r="AS66" i="42"/>
  <c r="AB65" i="42"/>
  <c r="AQ73" i="42"/>
  <c r="AR64" i="42"/>
  <c r="AF74" i="42"/>
  <c r="AE64" i="42"/>
  <c r="AO64" i="42"/>
  <c r="AT61" i="42"/>
  <c r="BD16" i="45"/>
  <c r="AE74" i="45"/>
  <c r="BD74" i="45" s="1"/>
  <c r="AB21" i="45"/>
  <c r="AB23" i="45"/>
  <c r="AB110" i="45" s="1"/>
  <c r="C32" i="45"/>
  <c r="BD18" i="45"/>
  <c r="AE76" i="45"/>
  <c r="BD76" i="45" s="1"/>
  <c r="BD20" i="45"/>
  <c r="AE78" i="45"/>
  <c r="BD78" i="45" s="1"/>
  <c r="E32" i="45"/>
  <c r="AB19" i="45"/>
  <c r="AP77" i="42"/>
  <c r="AG75" i="42"/>
  <c r="AM60" i="42"/>
  <c r="AO58" i="42"/>
  <c r="AN75" i="42"/>
  <c r="AJ70" i="42"/>
  <c r="AR73" i="42"/>
  <c r="AD65" i="42"/>
  <c r="AN74" i="42"/>
  <c r="AR77" i="42"/>
  <c r="AU74" i="42"/>
  <c r="AL73" i="42"/>
  <c r="AD60" i="42"/>
  <c r="AF73" i="42"/>
  <c r="AP66" i="42"/>
  <c r="AI77" i="42"/>
  <c r="AE77" i="42"/>
  <c r="AU60" i="42"/>
  <c r="AP73" i="42"/>
  <c r="AF63" i="42"/>
  <c r="AE63" i="42"/>
  <c r="AS63" i="42"/>
  <c r="AF77" i="42"/>
  <c r="AJ59" i="42"/>
  <c r="AB60" i="42"/>
  <c r="AG73" i="42"/>
  <c r="AL65" i="42"/>
  <c r="AT70" i="42"/>
  <c r="S44" i="6"/>
  <c r="V46" i="6"/>
  <c r="S46" i="6"/>
  <c r="S43" i="6"/>
  <c r="V43" i="6"/>
  <c r="V44" i="6"/>
  <c r="T43" i="6"/>
  <c r="U46" i="6"/>
  <c r="V47" i="6"/>
  <c r="S45" i="6"/>
  <c r="T47" i="6"/>
  <c r="T44" i="6"/>
  <c r="U43" i="6"/>
  <c r="U45" i="6"/>
  <c r="T45" i="6"/>
  <c r="U44" i="6"/>
  <c r="S47" i="6"/>
  <c r="T46" i="6"/>
  <c r="U47" i="6"/>
  <c r="V45" i="6"/>
  <c r="S38" i="6"/>
  <c r="V36" i="6"/>
  <c r="S36" i="6"/>
  <c r="V38" i="6"/>
  <c r="U38" i="6"/>
  <c r="U36" i="6"/>
  <c r="T35" i="6"/>
  <c r="S34" i="6"/>
  <c r="V37" i="6"/>
  <c r="S35" i="6"/>
  <c r="V34" i="6"/>
  <c r="T38" i="6"/>
  <c r="V35" i="6"/>
  <c r="S37" i="6"/>
  <c r="U35" i="6"/>
  <c r="T34" i="6"/>
  <c r="T36" i="6"/>
  <c r="U37" i="6"/>
  <c r="U34" i="6"/>
  <c r="T37" i="6"/>
  <c r="U54" i="6"/>
  <c r="V54" i="6"/>
  <c r="V56" i="6"/>
  <c r="S56" i="6"/>
  <c r="U56" i="6"/>
  <c r="S54" i="6"/>
  <c r="S55" i="6"/>
  <c r="T55" i="6"/>
  <c r="V52" i="6"/>
  <c r="S52" i="6"/>
  <c r="T53" i="6"/>
  <c r="V53" i="6"/>
  <c r="V55" i="6"/>
  <c r="T56" i="6"/>
  <c r="U52" i="6"/>
  <c r="T52" i="6"/>
  <c r="U55" i="6"/>
  <c r="S53" i="6"/>
  <c r="T54" i="6"/>
  <c r="U53" i="6"/>
  <c r="AC73" i="42"/>
  <c r="AE74" i="42"/>
  <c r="AF75" i="42"/>
  <c r="AB59" i="42"/>
  <c r="AJ60" i="42"/>
  <c r="AS60" i="42"/>
  <c r="AD77" i="42"/>
  <c r="AQ66" i="42"/>
  <c r="AM76" i="42"/>
  <c r="AR76" i="42"/>
  <c r="AU59" i="42"/>
  <c r="AG60" i="42"/>
  <c r="AV26" i="42"/>
  <c r="AJ78" i="42"/>
  <c r="AG77" i="42"/>
  <c r="AM61" i="42"/>
  <c r="AJ63" i="42"/>
  <c r="AV39" i="42"/>
  <c r="AV47" i="42"/>
  <c r="AI74" i="42"/>
  <c r="AC70" i="42"/>
  <c r="AQ65" i="42"/>
  <c r="AB64" i="42"/>
  <c r="AU75" i="42"/>
  <c r="AC69" i="42"/>
  <c r="AI75" i="42"/>
  <c r="AN77" i="42"/>
  <c r="AH70" i="42"/>
  <c r="AP61" i="42"/>
  <c r="AC60" i="42"/>
  <c r="AC74" i="42"/>
  <c r="AS70" i="42"/>
  <c r="AB61" i="42"/>
  <c r="AO74" i="42"/>
  <c r="AL74" i="42"/>
  <c r="AP59" i="42"/>
  <c r="AH63" i="42"/>
  <c r="AG78" i="42"/>
  <c r="AM77" i="42"/>
  <c r="AQ61" i="42"/>
  <c r="AQ60" i="42"/>
  <c r="AR65" i="42"/>
  <c r="AC64" i="42"/>
  <c r="AL76" i="42"/>
  <c r="AE76" i="42"/>
  <c r="AU76" i="42"/>
  <c r="AT76" i="42"/>
  <c r="AE75" i="42"/>
  <c r="AV52" i="42"/>
  <c r="AR70" i="42"/>
  <c r="AV48" i="42"/>
  <c r="AP74" i="42"/>
  <c r="AV37" i="42"/>
  <c r="AL70" i="42"/>
  <c r="AQ70" i="42"/>
  <c r="AB78" i="42"/>
  <c r="AU64" i="42"/>
  <c r="AV34" i="42"/>
  <c r="AV38" i="42"/>
  <c r="AV45" i="42"/>
  <c r="AV46" i="42"/>
  <c r="AN64" i="42"/>
  <c r="AD58" i="42"/>
  <c r="AV8" i="42"/>
  <c r="AV23" i="42"/>
  <c r="AF61" i="42"/>
  <c r="AR61" i="42"/>
  <c r="AT69" i="42"/>
  <c r="AV17" i="42"/>
  <c r="AV11" i="42"/>
  <c r="AS59" i="42"/>
  <c r="AB58" i="42"/>
  <c r="AP58" i="42"/>
  <c r="AP70" i="42"/>
  <c r="AB70" i="42"/>
  <c r="AQ77" i="42"/>
  <c r="AI61" i="42"/>
  <c r="AM74" i="42"/>
  <c r="AL75" i="42"/>
  <c r="AD70" i="42"/>
  <c r="AM75" i="42"/>
  <c r="AE60" i="42"/>
  <c r="AB75" i="42"/>
  <c r="AV36" i="42"/>
  <c r="AM58" i="42"/>
  <c r="AH58" i="42"/>
  <c r="AT77" i="42"/>
  <c r="AD69" i="42"/>
  <c r="AV9" i="42"/>
  <c r="AV22" i="42"/>
  <c r="AI76" i="42"/>
  <c r="AV25" i="42"/>
  <c r="AT59" i="42"/>
  <c r="AI59" i="42"/>
  <c r="AC77" i="42"/>
  <c r="AB77" i="42"/>
  <c r="AV49" i="42"/>
  <c r="AE59" i="42"/>
  <c r="AR59" i="42"/>
  <c r="AG59" i="42"/>
  <c r="AJ58" i="42"/>
  <c r="AL77" i="42"/>
  <c r="AJ77" i="42"/>
  <c r="AO77" i="42"/>
  <c r="AO61" i="42"/>
  <c r="AV33" i="42"/>
  <c r="AV41" i="42"/>
  <c r="AV40" i="42"/>
  <c r="AV43" i="42"/>
  <c r="AV44" i="42"/>
  <c r="AV51" i="42"/>
  <c r="AS53" i="42"/>
  <c r="AJ53" i="42"/>
  <c r="AB53" i="42"/>
  <c r="AH53" i="42"/>
  <c r="AR53" i="42"/>
  <c r="AI53" i="42"/>
  <c r="AA53" i="42"/>
  <c r="AP53" i="42"/>
  <c r="AG53" i="42"/>
  <c r="AO53" i="42"/>
  <c r="AF53" i="42"/>
  <c r="AN53" i="42"/>
  <c r="AE53" i="42"/>
  <c r="AU53" i="42"/>
  <c r="AM53" i="42"/>
  <c r="AD53" i="42"/>
  <c r="AT53" i="42"/>
  <c r="AL53" i="42"/>
  <c r="AC53" i="42"/>
  <c r="AQ53" i="42"/>
  <c r="AV50" i="42"/>
  <c r="AV32" i="42"/>
  <c r="AV35" i="42"/>
  <c r="AV18" i="42"/>
  <c r="AF65" i="42"/>
  <c r="AG64" i="42"/>
  <c r="AM59" i="42"/>
  <c r="AJ73" i="42"/>
  <c r="AH76" i="42"/>
  <c r="AI60" i="42"/>
  <c r="AO66" i="42"/>
  <c r="AI58" i="42"/>
  <c r="AE65" i="42"/>
  <c r="AI66" i="42"/>
  <c r="AC66" i="42"/>
  <c r="AI69" i="42"/>
  <c r="AN58" i="42"/>
  <c r="AQ63" i="42"/>
  <c r="AS65" i="42"/>
  <c r="AQ58" i="42"/>
  <c r="AQ64" i="42"/>
  <c r="AH77" i="42"/>
  <c r="AO59" i="42"/>
  <c r="AV7" i="42"/>
  <c r="AV21" i="42"/>
  <c r="AH74" i="42"/>
  <c r="AD74" i="42"/>
  <c r="AL66" i="42"/>
  <c r="AT66" i="42"/>
  <c r="AR58" i="42"/>
  <c r="AM63" i="42"/>
  <c r="AL59" i="42"/>
  <c r="AB69" i="42"/>
  <c r="AE62" i="42"/>
  <c r="AT62" i="42"/>
  <c r="AD73" i="42"/>
  <c r="AG72" i="42"/>
  <c r="AP72" i="42"/>
  <c r="AJ76" i="42"/>
  <c r="AR71" i="42"/>
  <c r="AM71" i="42"/>
  <c r="AU65" i="42"/>
  <c r="AO65" i="42"/>
  <c r="AT58" i="42"/>
  <c r="AC76" i="42"/>
  <c r="AV19" i="42"/>
  <c r="AR69" i="42"/>
  <c r="AH59" i="42"/>
  <c r="AF76" i="42"/>
  <c r="AN70" i="42"/>
  <c r="AG61" i="42"/>
  <c r="AL58" i="42"/>
  <c r="AD62" i="42"/>
  <c r="AI72" i="42"/>
  <c r="AO72" i="42"/>
  <c r="AE72" i="42"/>
  <c r="AD76" i="42"/>
  <c r="AH71" i="42"/>
  <c r="AL71" i="42"/>
  <c r="AF71" i="42"/>
  <c r="AE67" i="42"/>
  <c r="AR67" i="42"/>
  <c r="AD66" i="42"/>
  <c r="AF58" i="42"/>
  <c r="AL64" i="42"/>
  <c r="AG76" i="42"/>
  <c r="AI65" i="42"/>
  <c r="AG66" i="42"/>
  <c r="AN69" i="42"/>
  <c r="AU62" i="42"/>
  <c r="AH62" i="42"/>
  <c r="AA66" i="42"/>
  <c r="AA75" i="42"/>
  <c r="AE58" i="42"/>
  <c r="AJ64" i="42"/>
  <c r="AF64" i="42"/>
  <c r="AV12" i="42"/>
  <c r="AA59" i="42"/>
  <c r="AJ62" i="42"/>
  <c r="AN62" i="42"/>
  <c r="AR62" i="42"/>
  <c r="AU72" i="42"/>
  <c r="AN72" i="42"/>
  <c r="AU27" i="42"/>
  <c r="AM27" i="42"/>
  <c r="AD27" i="42"/>
  <c r="AT27" i="42"/>
  <c r="AL27" i="42"/>
  <c r="AC27" i="42"/>
  <c r="AS27" i="42"/>
  <c r="AJ27" i="42"/>
  <c r="AB27" i="42"/>
  <c r="AR27" i="42"/>
  <c r="AI27" i="42"/>
  <c r="AA27" i="42"/>
  <c r="AQ27" i="42"/>
  <c r="AH27" i="42"/>
  <c r="AF27" i="42"/>
  <c r="AE27" i="42"/>
  <c r="AP27" i="42"/>
  <c r="AG27" i="42"/>
  <c r="AO27" i="42"/>
  <c r="AN27" i="42"/>
  <c r="AI71" i="42"/>
  <c r="AT71" i="42"/>
  <c r="AO71" i="42"/>
  <c r="AD67" i="42"/>
  <c r="AC67" i="42"/>
  <c r="AH67" i="42"/>
  <c r="AA69" i="42"/>
  <c r="AV13" i="42"/>
  <c r="AV6" i="42"/>
  <c r="AA60" i="42"/>
  <c r="AJ65" i="42"/>
  <c r="AS64" i="42"/>
  <c r="AI62" i="42"/>
  <c r="AF72" i="42"/>
  <c r="AJ72" i="42"/>
  <c r="AD72" i="42"/>
  <c r="AB76" i="42"/>
  <c r="AP76" i="42"/>
  <c r="AQ71" i="42"/>
  <c r="AD71" i="42"/>
  <c r="AI67" i="42"/>
  <c r="AT67" i="42"/>
  <c r="AQ67" i="42"/>
  <c r="AN65" i="42"/>
  <c r="AA78" i="42"/>
  <c r="AH64" i="42"/>
  <c r="AV15" i="42"/>
  <c r="AB62" i="42"/>
  <c r="AP62" i="42"/>
  <c r="AS62" i="42"/>
  <c r="AQ72" i="42"/>
  <c r="AA72" i="42"/>
  <c r="AS76" i="42"/>
  <c r="AN76" i="42"/>
  <c r="AB71" i="42"/>
  <c r="AU71" i="42"/>
  <c r="AP71" i="42"/>
  <c r="AL67" i="42"/>
  <c r="AO67" i="42"/>
  <c r="AB67" i="42"/>
  <c r="AR66" i="42"/>
  <c r="AA62" i="42"/>
  <c r="AG71" i="42"/>
  <c r="AA70" i="42"/>
  <c r="AM66" i="42"/>
  <c r="AC58" i="42"/>
  <c r="AS58" i="42"/>
  <c r="AT64" i="42"/>
  <c r="AA61" i="42"/>
  <c r="AC62" i="42"/>
  <c r="AF62" i="42"/>
  <c r="AR72" i="42"/>
  <c r="AM72" i="42"/>
  <c r="AC72" i="42"/>
  <c r="AV24" i="42"/>
  <c r="AJ71" i="42"/>
  <c r="AE71" i="42"/>
  <c r="AM67" i="42"/>
  <c r="AJ67" i="42"/>
  <c r="AV10" i="42"/>
  <c r="AA77" i="42"/>
  <c r="AA76" i="42"/>
  <c r="AF67" i="42"/>
  <c r="AA74" i="42"/>
  <c r="AB66" i="42"/>
  <c r="AU66" i="42"/>
  <c r="AA64" i="42"/>
  <c r="AI64" i="42"/>
  <c r="AD64" i="42"/>
  <c r="AM62" i="42"/>
  <c r="AG62" i="42"/>
  <c r="AO62" i="42"/>
  <c r="AH72" i="42"/>
  <c r="AL72" i="42"/>
  <c r="AQ76" i="42"/>
  <c r="AS71" i="42"/>
  <c r="AN71" i="42"/>
  <c r="AU67" i="42"/>
  <c r="AN67" i="42"/>
  <c r="AG67" i="42"/>
  <c r="AS67" i="42"/>
  <c r="AA65" i="42"/>
  <c r="AV20" i="42"/>
  <c r="AM65" i="42"/>
  <c r="AH66" i="42"/>
  <c r="AJ66" i="42"/>
  <c r="AF66" i="42"/>
  <c r="AV14" i="42"/>
  <c r="AA58" i="42"/>
  <c r="AM64" i="42"/>
  <c r="AA63" i="42"/>
  <c r="X79" i="42"/>
  <c r="X104" i="42" s="1"/>
  <c r="AL62" i="42"/>
  <c r="AQ62" i="42"/>
  <c r="AA73" i="42"/>
  <c r="AS72" i="42"/>
  <c r="AB72" i="42"/>
  <c r="AT72" i="42"/>
  <c r="AO76" i="42"/>
  <c r="AA71" i="42"/>
  <c r="AC71" i="42"/>
  <c r="AA67" i="42"/>
  <c r="AP67" i="42"/>
  <c r="W38" i="6" l="1"/>
  <c r="U39" i="6"/>
  <c r="E90" i="45"/>
  <c r="E119" i="45" s="1"/>
  <c r="AB81" i="45"/>
  <c r="AB79" i="45"/>
  <c r="AB108" i="45" s="1"/>
  <c r="AB77" i="45"/>
  <c r="AB106" i="45" s="1"/>
  <c r="AN21" i="45"/>
  <c r="AN79" i="45" s="1"/>
  <c r="AL21" i="45"/>
  <c r="AL79" i="45" s="1"/>
  <c r="AQ21" i="45"/>
  <c r="AQ79" i="45" s="1"/>
  <c r="AF21" i="45"/>
  <c r="AF79" i="45" s="1"/>
  <c r="BA21" i="45"/>
  <c r="BA79" i="45" s="1"/>
  <c r="AI21" i="45"/>
  <c r="AI79" i="45" s="1"/>
  <c r="BC21" i="45"/>
  <c r="BC79" i="45" s="1"/>
  <c r="AS21" i="45"/>
  <c r="AS79" i="45" s="1"/>
  <c r="AX21" i="45"/>
  <c r="AX79" i="45" s="1"/>
  <c r="AU21" i="45"/>
  <c r="AU79" i="45" s="1"/>
  <c r="AK21" i="45"/>
  <c r="AK79" i="45" s="1"/>
  <c r="AP21" i="45"/>
  <c r="AP79" i="45" s="1"/>
  <c r="AM21" i="45"/>
  <c r="AM79" i="45" s="1"/>
  <c r="AZ21" i="45"/>
  <c r="AZ79" i="45" s="1"/>
  <c r="AH21" i="45"/>
  <c r="AH79" i="45" s="1"/>
  <c r="AE21" i="45"/>
  <c r="AR21" i="45"/>
  <c r="AR79" i="45" s="1"/>
  <c r="AW21" i="45"/>
  <c r="AW79" i="45" s="1"/>
  <c r="BB21" i="45"/>
  <c r="BB79" i="45" s="1"/>
  <c r="AJ21" i="45"/>
  <c r="AJ79" i="45" s="1"/>
  <c r="AO21" i="45"/>
  <c r="AO79" i="45" s="1"/>
  <c r="AY21" i="45"/>
  <c r="AY79" i="45" s="1"/>
  <c r="AV21" i="45"/>
  <c r="AV79" i="45" s="1"/>
  <c r="AT21" i="45"/>
  <c r="AT79" i="45" s="1"/>
  <c r="AG21" i="45"/>
  <c r="AG79" i="45" s="1"/>
  <c r="BC19" i="45"/>
  <c r="BC77" i="45" s="1"/>
  <c r="AS19" i="45"/>
  <c r="AS77" i="45" s="1"/>
  <c r="AU19" i="45"/>
  <c r="AU77" i="45" s="1"/>
  <c r="AK19" i="45"/>
  <c r="AK77" i="45" s="1"/>
  <c r="AM19" i="45"/>
  <c r="AM77" i="45" s="1"/>
  <c r="AE19" i="45"/>
  <c r="AN19" i="45"/>
  <c r="AN77" i="45" s="1"/>
  <c r="AL19" i="45"/>
  <c r="AL77" i="45" s="1"/>
  <c r="BB19" i="45"/>
  <c r="BB77" i="45" s="1"/>
  <c r="AI19" i="45"/>
  <c r="AI77" i="45" s="1"/>
  <c r="AT19" i="45"/>
  <c r="AT77" i="45" s="1"/>
  <c r="AO19" i="45"/>
  <c r="AO77" i="45" s="1"/>
  <c r="AX19" i="45"/>
  <c r="AX77" i="45" s="1"/>
  <c r="BA19" i="45"/>
  <c r="BA77" i="45" s="1"/>
  <c r="AP19" i="45"/>
  <c r="AP77" i="45" s="1"/>
  <c r="AZ19" i="45"/>
  <c r="AZ77" i="45" s="1"/>
  <c r="AH19" i="45"/>
  <c r="AH77" i="45" s="1"/>
  <c r="AR19" i="45"/>
  <c r="AR77" i="45" s="1"/>
  <c r="AW19" i="45"/>
  <c r="AW77" i="45" s="1"/>
  <c r="AJ19" i="45"/>
  <c r="AJ77" i="45" s="1"/>
  <c r="AV19" i="45"/>
  <c r="AV77" i="45" s="1"/>
  <c r="AY19" i="45"/>
  <c r="AY77" i="45" s="1"/>
  <c r="AG19" i="45"/>
  <c r="AG77" i="45" s="1"/>
  <c r="AF19" i="45"/>
  <c r="AF77" i="45" s="1"/>
  <c r="AQ19" i="45"/>
  <c r="AQ77" i="45" s="1"/>
  <c r="F32" i="45"/>
  <c r="AB24" i="45"/>
  <c r="AW23" i="45"/>
  <c r="AW81" i="45" s="1"/>
  <c r="AE23" i="45"/>
  <c r="AR23" i="45"/>
  <c r="AR81" i="45" s="1"/>
  <c r="AG23" i="45"/>
  <c r="AG81" i="45" s="1"/>
  <c r="BB23" i="45"/>
  <c r="BB81" i="45" s="1"/>
  <c r="AJ23" i="45"/>
  <c r="AJ81" i="45" s="1"/>
  <c r="AV23" i="45"/>
  <c r="AV81" i="45" s="1"/>
  <c r="AT23" i="45"/>
  <c r="AT81" i="45" s="1"/>
  <c r="AY23" i="45"/>
  <c r="AY81" i="45" s="1"/>
  <c r="AO23" i="45"/>
  <c r="AO81" i="45" s="1"/>
  <c r="AN23" i="45"/>
  <c r="AN81" i="45" s="1"/>
  <c r="AL23" i="45"/>
  <c r="AL81" i="45" s="1"/>
  <c r="AQ23" i="45"/>
  <c r="AQ81" i="45" s="1"/>
  <c r="AF23" i="45"/>
  <c r="AF81" i="45" s="1"/>
  <c r="BA23" i="45"/>
  <c r="BA81" i="45" s="1"/>
  <c r="AI23" i="45"/>
  <c r="AI81" i="45" s="1"/>
  <c r="BC23" i="45"/>
  <c r="BC81" i="45" s="1"/>
  <c r="AS23" i="45"/>
  <c r="AS81" i="45" s="1"/>
  <c r="AX23" i="45"/>
  <c r="AX81" i="45" s="1"/>
  <c r="AU23" i="45"/>
  <c r="AU81" i="45" s="1"/>
  <c r="AK23" i="45"/>
  <c r="AK81" i="45" s="1"/>
  <c r="AP23" i="45"/>
  <c r="AP81" i="45" s="1"/>
  <c r="AM23" i="45"/>
  <c r="AM81" i="45" s="1"/>
  <c r="AZ23" i="45"/>
  <c r="AZ81" i="45" s="1"/>
  <c r="AH23" i="45"/>
  <c r="AH81" i="45" s="1"/>
  <c r="AM79" i="42"/>
  <c r="AA79" i="42"/>
  <c r="AD79" i="42"/>
  <c r="AP79" i="42"/>
  <c r="AU79" i="42"/>
  <c r="AI79" i="42"/>
  <c r="AE79" i="42"/>
  <c r="AR79" i="42"/>
  <c r="AQ79" i="42"/>
  <c r="AN79" i="42"/>
  <c r="AH79" i="42"/>
  <c r="AC79" i="42"/>
  <c r="AF79" i="42"/>
  <c r="AB79" i="42"/>
  <c r="AL79" i="42"/>
  <c r="AO79" i="42"/>
  <c r="AJ79" i="42"/>
  <c r="AT79" i="42"/>
  <c r="AG79" i="42"/>
  <c r="AS79" i="42"/>
  <c r="T57" i="6"/>
  <c r="U48" i="6"/>
  <c r="V48" i="6"/>
  <c r="W47" i="6"/>
  <c r="U57" i="6"/>
  <c r="V39" i="6"/>
  <c r="W36" i="6"/>
  <c r="T48" i="6"/>
  <c r="W55" i="6"/>
  <c r="W54" i="6"/>
  <c r="W35" i="6"/>
  <c r="W56" i="6"/>
  <c r="W46" i="6"/>
  <c r="T39" i="6"/>
  <c r="S39" i="6"/>
  <c r="W34" i="6"/>
  <c r="S48" i="6"/>
  <c r="W43" i="6"/>
  <c r="W53" i="6"/>
  <c r="S57" i="6"/>
  <c r="W52" i="6"/>
  <c r="W37" i="6"/>
  <c r="W45" i="6"/>
  <c r="V57" i="6"/>
  <c r="W44" i="6"/>
  <c r="AV78" i="42"/>
  <c r="AV75" i="42"/>
  <c r="AV60" i="42"/>
  <c r="AV74" i="42"/>
  <c r="AV77" i="42"/>
  <c r="AV70" i="42"/>
  <c r="AV73" i="42"/>
  <c r="AV53" i="42"/>
  <c r="AV63" i="42"/>
  <c r="AV59" i="42"/>
  <c r="AV71" i="42"/>
  <c r="AV65" i="42"/>
  <c r="AV64" i="42"/>
  <c r="AV27" i="42"/>
  <c r="AV61" i="42"/>
  <c r="AV69" i="42"/>
  <c r="AV67" i="42"/>
  <c r="AV76" i="42"/>
  <c r="AV66" i="42"/>
  <c r="AV58" i="42"/>
  <c r="AV62" i="42"/>
  <c r="AV72" i="42"/>
  <c r="C38" i="4"/>
  <c r="D38" i="4"/>
  <c r="E38" i="4"/>
  <c r="F38" i="4"/>
  <c r="G38" i="4"/>
  <c r="H38" i="4"/>
  <c r="I38" i="4"/>
  <c r="J38" i="4"/>
  <c r="K38" i="4"/>
  <c r="L38" i="4"/>
  <c r="M38" i="4"/>
  <c r="N38" i="4"/>
  <c r="O38" i="4"/>
  <c r="P38" i="4"/>
  <c r="Q38" i="4"/>
  <c r="R38" i="4"/>
  <c r="S38" i="4"/>
  <c r="T38" i="4"/>
  <c r="U38" i="4"/>
  <c r="V38" i="4"/>
  <c r="W38" i="4"/>
  <c r="X38" i="4"/>
  <c r="Y38" i="4"/>
  <c r="Z38" i="4"/>
  <c r="AA38" i="4"/>
  <c r="C39" i="4"/>
  <c r="D39" i="4"/>
  <c r="E39" i="4"/>
  <c r="F39" i="4"/>
  <c r="G39" i="4"/>
  <c r="H39" i="4"/>
  <c r="I39" i="4"/>
  <c r="J39" i="4"/>
  <c r="K39" i="4"/>
  <c r="L39" i="4"/>
  <c r="M39" i="4"/>
  <c r="N39" i="4"/>
  <c r="O39" i="4"/>
  <c r="P39" i="4"/>
  <c r="Q39" i="4"/>
  <c r="R39" i="4"/>
  <c r="S39" i="4"/>
  <c r="T39" i="4"/>
  <c r="U39" i="4"/>
  <c r="V39" i="4"/>
  <c r="W39" i="4"/>
  <c r="X39" i="4"/>
  <c r="Y39" i="4"/>
  <c r="Z39" i="4"/>
  <c r="AA39" i="4"/>
  <c r="C40" i="4"/>
  <c r="D40" i="4"/>
  <c r="E40" i="4"/>
  <c r="F40" i="4"/>
  <c r="G40" i="4"/>
  <c r="H40" i="4"/>
  <c r="I40" i="4"/>
  <c r="J40" i="4"/>
  <c r="K40" i="4"/>
  <c r="L40" i="4"/>
  <c r="M40" i="4"/>
  <c r="N40" i="4"/>
  <c r="O40" i="4"/>
  <c r="P40" i="4"/>
  <c r="Q40" i="4"/>
  <c r="R40" i="4"/>
  <c r="S40" i="4"/>
  <c r="T40" i="4"/>
  <c r="U40" i="4"/>
  <c r="V40" i="4"/>
  <c r="W40" i="4"/>
  <c r="X40" i="4"/>
  <c r="Y40" i="4"/>
  <c r="Z40" i="4"/>
  <c r="AA40" i="4"/>
  <c r="C41" i="4"/>
  <c r="D41" i="4"/>
  <c r="E41" i="4"/>
  <c r="F41" i="4"/>
  <c r="G41" i="4"/>
  <c r="H41" i="4"/>
  <c r="I41" i="4"/>
  <c r="J41" i="4"/>
  <c r="K41" i="4"/>
  <c r="L41" i="4"/>
  <c r="M41" i="4"/>
  <c r="N41" i="4"/>
  <c r="O41" i="4"/>
  <c r="P41" i="4"/>
  <c r="Q41" i="4"/>
  <c r="R41" i="4"/>
  <c r="S41" i="4"/>
  <c r="T41" i="4"/>
  <c r="U41" i="4"/>
  <c r="V41" i="4"/>
  <c r="W41" i="4"/>
  <c r="X41" i="4"/>
  <c r="Y41" i="4"/>
  <c r="Z41" i="4"/>
  <c r="AA41" i="4"/>
  <c r="C42" i="4"/>
  <c r="D42" i="4"/>
  <c r="E42" i="4"/>
  <c r="F42" i="4"/>
  <c r="G42" i="4"/>
  <c r="H42" i="4"/>
  <c r="I42" i="4"/>
  <c r="J42" i="4"/>
  <c r="K42" i="4"/>
  <c r="L42" i="4"/>
  <c r="M42" i="4"/>
  <c r="N42" i="4"/>
  <c r="O42" i="4"/>
  <c r="P42" i="4"/>
  <c r="Q42" i="4"/>
  <c r="R42" i="4"/>
  <c r="S42" i="4"/>
  <c r="T42" i="4"/>
  <c r="U42" i="4"/>
  <c r="V42" i="4"/>
  <c r="W42" i="4"/>
  <c r="X42" i="4"/>
  <c r="Y42" i="4"/>
  <c r="Z42" i="4"/>
  <c r="AA42" i="4"/>
  <c r="C43" i="4"/>
  <c r="D43" i="4"/>
  <c r="E43" i="4"/>
  <c r="F43" i="4"/>
  <c r="G43" i="4"/>
  <c r="H43" i="4"/>
  <c r="I43" i="4"/>
  <c r="J43" i="4"/>
  <c r="K43" i="4"/>
  <c r="L43" i="4"/>
  <c r="M43" i="4"/>
  <c r="N43" i="4"/>
  <c r="O43" i="4"/>
  <c r="P43" i="4"/>
  <c r="Q43" i="4"/>
  <c r="R43" i="4"/>
  <c r="S43" i="4"/>
  <c r="T43" i="4"/>
  <c r="U43" i="4"/>
  <c r="V43" i="4"/>
  <c r="W43" i="4"/>
  <c r="X43" i="4"/>
  <c r="Y43" i="4"/>
  <c r="Z43" i="4"/>
  <c r="AA43" i="4"/>
  <c r="C44" i="4"/>
  <c r="D44" i="4"/>
  <c r="E44" i="4"/>
  <c r="F44" i="4"/>
  <c r="G44" i="4"/>
  <c r="H44" i="4"/>
  <c r="I44" i="4"/>
  <c r="J44" i="4"/>
  <c r="K44" i="4"/>
  <c r="L44" i="4"/>
  <c r="M44" i="4"/>
  <c r="N44" i="4"/>
  <c r="O44" i="4"/>
  <c r="P44" i="4"/>
  <c r="Q44" i="4"/>
  <c r="R44" i="4"/>
  <c r="S44" i="4"/>
  <c r="T44" i="4"/>
  <c r="U44" i="4"/>
  <c r="V44" i="4"/>
  <c r="W44" i="4"/>
  <c r="X44" i="4"/>
  <c r="Y44" i="4"/>
  <c r="Z44" i="4"/>
  <c r="AA44" i="4"/>
  <c r="C45" i="4"/>
  <c r="D45" i="4"/>
  <c r="E45" i="4"/>
  <c r="F45" i="4"/>
  <c r="G45" i="4"/>
  <c r="H45" i="4"/>
  <c r="I45" i="4"/>
  <c r="J45" i="4"/>
  <c r="K45" i="4"/>
  <c r="L45" i="4"/>
  <c r="M45" i="4"/>
  <c r="N45" i="4"/>
  <c r="O45" i="4"/>
  <c r="P45" i="4"/>
  <c r="Q45" i="4"/>
  <c r="R45" i="4"/>
  <c r="S45" i="4"/>
  <c r="T45" i="4"/>
  <c r="U45" i="4"/>
  <c r="V45" i="4"/>
  <c r="W45" i="4"/>
  <c r="X45" i="4"/>
  <c r="Y45" i="4"/>
  <c r="Z45" i="4"/>
  <c r="AA45" i="4"/>
  <c r="C46" i="4"/>
  <c r="D46" i="4"/>
  <c r="E46" i="4"/>
  <c r="F46" i="4"/>
  <c r="G46" i="4"/>
  <c r="H46" i="4"/>
  <c r="I46" i="4"/>
  <c r="J46" i="4"/>
  <c r="K46" i="4"/>
  <c r="L46" i="4"/>
  <c r="M46" i="4"/>
  <c r="N46" i="4"/>
  <c r="O46" i="4"/>
  <c r="P46" i="4"/>
  <c r="Q46" i="4"/>
  <c r="R46" i="4"/>
  <c r="S46" i="4"/>
  <c r="T46" i="4"/>
  <c r="U46" i="4"/>
  <c r="V46" i="4"/>
  <c r="W46" i="4"/>
  <c r="X46" i="4"/>
  <c r="Y46" i="4"/>
  <c r="Z46" i="4"/>
  <c r="AA46" i="4"/>
  <c r="C47" i="4"/>
  <c r="D47" i="4"/>
  <c r="E47" i="4"/>
  <c r="F47" i="4"/>
  <c r="G47" i="4"/>
  <c r="H47" i="4"/>
  <c r="I47" i="4"/>
  <c r="J47" i="4"/>
  <c r="K47" i="4"/>
  <c r="L47" i="4"/>
  <c r="M47" i="4"/>
  <c r="N47" i="4"/>
  <c r="O47" i="4"/>
  <c r="P47" i="4"/>
  <c r="Q47" i="4"/>
  <c r="R47" i="4"/>
  <c r="S47" i="4"/>
  <c r="T47" i="4"/>
  <c r="U47" i="4"/>
  <c r="V47" i="4"/>
  <c r="W47" i="4"/>
  <c r="X47" i="4"/>
  <c r="Y47" i="4"/>
  <c r="Z47" i="4"/>
  <c r="AA47" i="4"/>
  <c r="C48" i="4"/>
  <c r="D48" i="4"/>
  <c r="E48" i="4"/>
  <c r="F48" i="4"/>
  <c r="G48" i="4"/>
  <c r="H48" i="4"/>
  <c r="I48" i="4"/>
  <c r="J48" i="4"/>
  <c r="K48" i="4"/>
  <c r="L48" i="4"/>
  <c r="M48" i="4"/>
  <c r="N48" i="4"/>
  <c r="O48" i="4"/>
  <c r="P48" i="4"/>
  <c r="Q48" i="4"/>
  <c r="R48" i="4"/>
  <c r="S48" i="4"/>
  <c r="T48" i="4"/>
  <c r="U48" i="4"/>
  <c r="V48" i="4"/>
  <c r="W48" i="4"/>
  <c r="X48" i="4"/>
  <c r="Y48" i="4"/>
  <c r="Z48" i="4"/>
  <c r="AA48" i="4"/>
  <c r="C49" i="4"/>
  <c r="D49" i="4"/>
  <c r="E49" i="4"/>
  <c r="F49" i="4"/>
  <c r="G49" i="4"/>
  <c r="H49" i="4"/>
  <c r="I49" i="4"/>
  <c r="J49" i="4"/>
  <c r="K49" i="4"/>
  <c r="L49" i="4"/>
  <c r="M49" i="4"/>
  <c r="N49" i="4"/>
  <c r="O49" i="4"/>
  <c r="P49" i="4"/>
  <c r="Q49" i="4"/>
  <c r="R49" i="4"/>
  <c r="S49" i="4"/>
  <c r="T49" i="4"/>
  <c r="U49" i="4"/>
  <c r="V49" i="4"/>
  <c r="W49" i="4"/>
  <c r="X49" i="4"/>
  <c r="Y49" i="4"/>
  <c r="Z49" i="4"/>
  <c r="AA49" i="4"/>
  <c r="C50" i="4"/>
  <c r="D50" i="4"/>
  <c r="E50" i="4"/>
  <c r="F50" i="4"/>
  <c r="G50" i="4"/>
  <c r="H50" i="4"/>
  <c r="I50" i="4"/>
  <c r="J50" i="4"/>
  <c r="K50" i="4"/>
  <c r="L50" i="4"/>
  <c r="M50" i="4"/>
  <c r="N50" i="4"/>
  <c r="O50" i="4"/>
  <c r="P50" i="4"/>
  <c r="Q50" i="4"/>
  <c r="R50" i="4"/>
  <c r="S50" i="4"/>
  <c r="T50" i="4"/>
  <c r="U50" i="4"/>
  <c r="V50" i="4"/>
  <c r="W50" i="4"/>
  <c r="X50" i="4"/>
  <c r="Y50" i="4"/>
  <c r="Z50" i="4"/>
  <c r="AA50" i="4"/>
  <c r="C51" i="4"/>
  <c r="D51" i="4"/>
  <c r="E51" i="4"/>
  <c r="F51" i="4"/>
  <c r="G51" i="4"/>
  <c r="H51" i="4"/>
  <c r="I51" i="4"/>
  <c r="J51" i="4"/>
  <c r="K51" i="4"/>
  <c r="L51" i="4"/>
  <c r="M51" i="4"/>
  <c r="N51" i="4"/>
  <c r="O51" i="4"/>
  <c r="P51" i="4"/>
  <c r="Q51" i="4"/>
  <c r="R51" i="4"/>
  <c r="S51" i="4"/>
  <c r="T51" i="4"/>
  <c r="U51" i="4"/>
  <c r="V51" i="4"/>
  <c r="W51" i="4"/>
  <c r="X51" i="4"/>
  <c r="Y51" i="4"/>
  <c r="Z51" i="4"/>
  <c r="AA51" i="4"/>
  <c r="C52" i="4"/>
  <c r="D52" i="4"/>
  <c r="E52" i="4"/>
  <c r="F52" i="4"/>
  <c r="G52" i="4"/>
  <c r="H52" i="4"/>
  <c r="I52" i="4"/>
  <c r="J52" i="4"/>
  <c r="K52" i="4"/>
  <c r="L52" i="4"/>
  <c r="M52" i="4"/>
  <c r="N52" i="4"/>
  <c r="O52" i="4"/>
  <c r="P52" i="4"/>
  <c r="Q52" i="4"/>
  <c r="R52" i="4"/>
  <c r="S52" i="4"/>
  <c r="T52" i="4"/>
  <c r="U52" i="4"/>
  <c r="V52" i="4"/>
  <c r="W52" i="4"/>
  <c r="X52" i="4"/>
  <c r="Y52" i="4"/>
  <c r="Z52" i="4"/>
  <c r="AA52" i="4"/>
  <c r="C53" i="4"/>
  <c r="D53" i="4"/>
  <c r="E53" i="4"/>
  <c r="F53" i="4"/>
  <c r="G53" i="4"/>
  <c r="H53" i="4"/>
  <c r="I53" i="4"/>
  <c r="J53" i="4"/>
  <c r="K53" i="4"/>
  <c r="L53" i="4"/>
  <c r="M53" i="4"/>
  <c r="N53" i="4"/>
  <c r="O53" i="4"/>
  <c r="P53" i="4"/>
  <c r="Q53" i="4"/>
  <c r="R53" i="4"/>
  <c r="S53" i="4"/>
  <c r="T53" i="4"/>
  <c r="U53" i="4"/>
  <c r="V53" i="4"/>
  <c r="W53" i="4"/>
  <c r="X53" i="4"/>
  <c r="Y53" i="4"/>
  <c r="Z53" i="4"/>
  <c r="AA53" i="4"/>
  <c r="C54" i="4"/>
  <c r="D54" i="4"/>
  <c r="E54" i="4"/>
  <c r="F54" i="4"/>
  <c r="G54" i="4"/>
  <c r="H54" i="4"/>
  <c r="I54" i="4"/>
  <c r="J54" i="4"/>
  <c r="K54" i="4"/>
  <c r="L54" i="4"/>
  <c r="M54" i="4"/>
  <c r="N54" i="4"/>
  <c r="O54" i="4"/>
  <c r="P54" i="4"/>
  <c r="Q54" i="4"/>
  <c r="R54" i="4"/>
  <c r="S54" i="4"/>
  <c r="T54" i="4"/>
  <c r="U54" i="4"/>
  <c r="V54" i="4"/>
  <c r="W54" i="4"/>
  <c r="X54" i="4"/>
  <c r="Y54" i="4"/>
  <c r="Z54" i="4"/>
  <c r="AA54" i="4"/>
  <c r="C55" i="4"/>
  <c r="D55" i="4"/>
  <c r="E55" i="4"/>
  <c r="F55" i="4"/>
  <c r="G55" i="4"/>
  <c r="H55" i="4"/>
  <c r="I55" i="4"/>
  <c r="J55" i="4"/>
  <c r="K55" i="4"/>
  <c r="L55" i="4"/>
  <c r="M55" i="4"/>
  <c r="N55" i="4"/>
  <c r="O55" i="4"/>
  <c r="P55" i="4"/>
  <c r="Q55" i="4"/>
  <c r="R55" i="4"/>
  <c r="S55" i="4"/>
  <c r="T55" i="4"/>
  <c r="U55" i="4"/>
  <c r="V55" i="4"/>
  <c r="W55" i="4"/>
  <c r="X55" i="4"/>
  <c r="Y55" i="4"/>
  <c r="Z55" i="4"/>
  <c r="AA55" i="4"/>
  <c r="C56" i="4"/>
  <c r="D56" i="4"/>
  <c r="E56" i="4"/>
  <c r="F56" i="4"/>
  <c r="G56" i="4"/>
  <c r="H56" i="4"/>
  <c r="I56" i="4"/>
  <c r="J56" i="4"/>
  <c r="K56" i="4"/>
  <c r="L56" i="4"/>
  <c r="M56" i="4"/>
  <c r="N56" i="4"/>
  <c r="O56" i="4"/>
  <c r="P56" i="4"/>
  <c r="Q56" i="4"/>
  <c r="R56" i="4"/>
  <c r="S56" i="4"/>
  <c r="T56" i="4"/>
  <c r="U56" i="4"/>
  <c r="V56" i="4"/>
  <c r="W56" i="4"/>
  <c r="X56" i="4"/>
  <c r="Y56" i="4"/>
  <c r="Z56" i="4"/>
  <c r="AA56" i="4"/>
  <c r="C57" i="4"/>
  <c r="D57" i="4"/>
  <c r="E57" i="4"/>
  <c r="F57" i="4"/>
  <c r="G57" i="4"/>
  <c r="H57" i="4"/>
  <c r="I57" i="4"/>
  <c r="J57" i="4"/>
  <c r="K57" i="4"/>
  <c r="L57" i="4"/>
  <c r="M57" i="4"/>
  <c r="N57" i="4"/>
  <c r="O57" i="4"/>
  <c r="P57" i="4"/>
  <c r="Q57" i="4"/>
  <c r="R57" i="4"/>
  <c r="S57" i="4"/>
  <c r="T57" i="4"/>
  <c r="U57" i="4"/>
  <c r="V57" i="4"/>
  <c r="W57" i="4"/>
  <c r="X57" i="4"/>
  <c r="Y57" i="4"/>
  <c r="Z57" i="4"/>
  <c r="AA57" i="4"/>
  <c r="C58" i="4"/>
  <c r="D58" i="4"/>
  <c r="E58" i="4"/>
  <c r="F58" i="4"/>
  <c r="G58" i="4"/>
  <c r="H58" i="4"/>
  <c r="I58" i="4"/>
  <c r="J58" i="4"/>
  <c r="K58" i="4"/>
  <c r="L58" i="4"/>
  <c r="M58" i="4"/>
  <c r="N58" i="4"/>
  <c r="O58" i="4"/>
  <c r="P58" i="4"/>
  <c r="Q58" i="4"/>
  <c r="R58" i="4"/>
  <c r="S58" i="4"/>
  <c r="T58" i="4"/>
  <c r="U58" i="4"/>
  <c r="V58" i="4"/>
  <c r="W58" i="4"/>
  <c r="X58" i="4"/>
  <c r="Y58" i="4"/>
  <c r="Z58" i="4"/>
  <c r="AA58" i="4"/>
  <c r="C59" i="4"/>
  <c r="D59" i="4"/>
  <c r="E59" i="4"/>
  <c r="F59" i="4"/>
  <c r="G59" i="4"/>
  <c r="H59" i="4"/>
  <c r="I59" i="4"/>
  <c r="J59" i="4"/>
  <c r="K59" i="4"/>
  <c r="L59" i="4"/>
  <c r="M59" i="4"/>
  <c r="N59" i="4"/>
  <c r="O59" i="4"/>
  <c r="P59" i="4"/>
  <c r="Q59" i="4"/>
  <c r="R59" i="4"/>
  <c r="S59" i="4"/>
  <c r="T59" i="4"/>
  <c r="U59" i="4"/>
  <c r="V59" i="4"/>
  <c r="W59" i="4"/>
  <c r="X59" i="4"/>
  <c r="Y59" i="4"/>
  <c r="Z59" i="4"/>
  <c r="AA59" i="4"/>
  <c r="C60" i="4"/>
  <c r="D60" i="4"/>
  <c r="E60" i="4"/>
  <c r="F60" i="4"/>
  <c r="G60" i="4"/>
  <c r="H60" i="4"/>
  <c r="I60" i="4"/>
  <c r="J60" i="4"/>
  <c r="K60" i="4"/>
  <c r="L60" i="4"/>
  <c r="M60" i="4"/>
  <c r="N60" i="4"/>
  <c r="O60" i="4"/>
  <c r="P60" i="4"/>
  <c r="Q60" i="4"/>
  <c r="R60" i="4"/>
  <c r="S60" i="4"/>
  <c r="T60" i="4"/>
  <c r="U60" i="4"/>
  <c r="V60" i="4"/>
  <c r="W60" i="4"/>
  <c r="X60" i="4"/>
  <c r="Y60" i="4"/>
  <c r="Z60" i="4"/>
  <c r="AA60" i="4"/>
  <c r="C61" i="4"/>
  <c r="D61" i="4"/>
  <c r="E61" i="4"/>
  <c r="F61" i="4"/>
  <c r="G61" i="4"/>
  <c r="H61" i="4"/>
  <c r="I61" i="4"/>
  <c r="J61" i="4"/>
  <c r="K61" i="4"/>
  <c r="L61" i="4"/>
  <c r="M61" i="4"/>
  <c r="N61" i="4"/>
  <c r="O61" i="4"/>
  <c r="P61" i="4"/>
  <c r="Q61" i="4"/>
  <c r="R61" i="4"/>
  <c r="S61" i="4"/>
  <c r="T61" i="4"/>
  <c r="U61" i="4"/>
  <c r="V61" i="4"/>
  <c r="W61" i="4"/>
  <c r="X61" i="4"/>
  <c r="Y61" i="4"/>
  <c r="Z61" i="4"/>
  <c r="AA61" i="4"/>
  <c r="D37" i="4"/>
  <c r="E37" i="4"/>
  <c r="F37" i="4"/>
  <c r="G37" i="4"/>
  <c r="H37" i="4"/>
  <c r="I37" i="4"/>
  <c r="J37" i="4"/>
  <c r="K37" i="4"/>
  <c r="L37" i="4"/>
  <c r="M37" i="4"/>
  <c r="N37" i="4"/>
  <c r="O37" i="4"/>
  <c r="P37" i="4"/>
  <c r="Q37" i="4"/>
  <c r="R37" i="4"/>
  <c r="S37" i="4"/>
  <c r="T37" i="4"/>
  <c r="U37" i="4"/>
  <c r="V37" i="4"/>
  <c r="W37" i="4"/>
  <c r="X37" i="4"/>
  <c r="Y37" i="4"/>
  <c r="Z37" i="4"/>
  <c r="AA37" i="4"/>
  <c r="C37" i="4"/>
  <c r="F82" i="4" l="1"/>
  <c r="U75" i="4"/>
  <c r="D76" i="4"/>
  <c r="N90" i="4"/>
  <c r="O69" i="4"/>
  <c r="K89" i="4"/>
  <c r="K118" i="4" s="1"/>
  <c r="L80" i="4"/>
  <c r="V78" i="4"/>
  <c r="L72" i="4"/>
  <c r="T85" i="4"/>
  <c r="N83" i="4"/>
  <c r="N112" i="4" s="1"/>
  <c r="N75" i="4"/>
  <c r="H73" i="4"/>
  <c r="E68" i="4"/>
  <c r="T91" i="4"/>
  <c r="N89" i="4"/>
  <c r="N81" i="4"/>
  <c r="H79" i="4"/>
  <c r="H71" i="4"/>
  <c r="AA68" i="4"/>
  <c r="S68" i="4"/>
  <c r="S97" i="4" s="1"/>
  <c r="Z84" i="4"/>
  <c r="T74" i="4"/>
  <c r="Z67" i="4"/>
  <c r="Z96" i="4" s="1"/>
  <c r="S90" i="4"/>
  <c r="S82" i="4"/>
  <c r="M80" i="4"/>
  <c r="M72" i="4"/>
  <c r="G70" i="4"/>
  <c r="X68" i="4"/>
  <c r="P68" i="4"/>
  <c r="E70" i="4"/>
  <c r="Q75" i="4"/>
  <c r="Q104" i="4" s="1"/>
  <c r="V84" i="4"/>
  <c r="V113" i="4" s="1"/>
  <c r="P74" i="4"/>
  <c r="M69" i="4"/>
  <c r="E69" i="4"/>
  <c r="N68" i="4"/>
  <c r="F90" i="45"/>
  <c r="F119" i="45" s="1"/>
  <c r="D90" i="45"/>
  <c r="AB22" i="45"/>
  <c r="D32" i="45"/>
  <c r="AE77" i="45"/>
  <c r="BD77" i="45" s="1"/>
  <c r="BD19" i="45"/>
  <c r="AB26" i="45"/>
  <c r="BD23" i="45"/>
  <c r="AE81" i="45"/>
  <c r="BD81" i="45" s="1"/>
  <c r="H32" i="45"/>
  <c r="AE79" i="45"/>
  <c r="BD79" i="45" s="1"/>
  <c r="BD21" i="45"/>
  <c r="BA24" i="45"/>
  <c r="BA82" i="45" s="1"/>
  <c r="AS24" i="45"/>
  <c r="AS82" i="45" s="1"/>
  <c r="AK24" i="45"/>
  <c r="AK82" i="45" s="1"/>
  <c r="AJ24" i="45"/>
  <c r="AJ82" i="45" s="1"/>
  <c r="AO24" i="45"/>
  <c r="AO82" i="45" s="1"/>
  <c r="AE24" i="45"/>
  <c r="AY24" i="45"/>
  <c r="AY82" i="45" s="1"/>
  <c r="AG24" i="45"/>
  <c r="AG82" i="45" s="1"/>
  <c r="BB24" i="45"/>
  <c r="BB82" i="45" s="1"/>
  <c r="AQ24" i="45"/>
  <c r="AQ82" i="45" s="1"/>
  <c r="AV24" i="45"/>
  <c r="AV82" i="45" s="1"/>
  <c r="AT24" i="45"/>
  <c r="AT82" i="45" s="1"/>
  <c r="AI24" i="45"/>
  <c r="AI82" i="45" s="1"/>
  <c r="AN24" i="45"/>
  <c r="AN82" i="45" s="1"/>
  <c r="AL24" i="45"/>
  <c r="AL82" i="45" s="1"/>
  <c r="AX24" i="45"/>
  <c r="AX82" i="45" s="1"/>
  <c r="AF24" i="45"/>
  <c r="AF82" i="45" s="1"/>
  <c r="AP24" i="45"/>
  <c r="AP82" i="45" s="1"/>
  <c r="BC24" i="45"/>
  <c r="BC82" i="45" s="1"/>
  <c r="AZ24" i="45"/>
  <c r="AZ82" i="45" s="1"/>
  <c r="AH24" i="45"/>
  <c r="AH82" i="45" s="1"/>
  <c r="AU24" i="45"/>
  <c r="AU82" i="45" s="1"/>
  <c r="AR24" i="45"/>
  <c r="AR82" i="45" s="1"/>
  <c r="AW24" i="45"/>
  <c r="AW82" i="45" s="1"/>
  <c r="AM24" i="45"/>
  <c r="AM82" i="45" s="1"/>
  <c r="W57" i="6"/>
  <c r="W48" i="6"/>
  <c r="W39" i="6"/>
  <c r="AV79" i="42"/>
  <c r="AB45" i="4"/>
  <c r="AB46" i="4"/>
  <c r="AB56" i="4"/>
  <c r="F62" i="4"/>
  <c r="C68" i="4"/>
  <c r="D68" i="4"/>
  <c r="G68" i="4"/>
  <c r="H68" i="4"/>
  <c r="M68" i="4"/>
  <c r="V68" i="4"/>
  <c r="D69" i="4"/>
  <c r="I69" i="4"/>
  <c r="N69" i="4"/>
  <c r="Q69" i="4"/>
  <c r="V69" i="4"/>
  <c r="X69" i="4"/>
  <c r="D70" i="4"/>
  <c r="P71" i="4"/>
  <c r="V73" i="4"/>
  <c r="H74" i="4"/>
  <c r="L74" i="4"/>
  <c r="AA74" i="4"/>
  <c r="E75" i="4"/>
  <c r="J75" i="4"/>
  <c r="U104" i="4"/>
  <c r="E77" i="4"/>
  <c r="I77" i="4"/>
  <c r="P77" i="4"/>
  <c r="Y78" i="4"/>
  <c r="O79" i="4"/>
  <c r="E80" i="4"/>
  <c r="F111" i="4"/>
  <c r="S111" i="4"/>
  <c r="C84" i="4"/>
  <c r="N84" i="4"/>
  <c r="R113" i="4"/>
  <c r="H85" i="4"/>
  <c r="P85" i="4"/>
  <c r="K87" i="4"/>
  <c r="O87" i="4"/>
  <c r="V87" i="4"/>
  <c r="C88" i="4"/>
  <c r="U118" i="4"/>
  <c r="Q90" i="4"/>
  <c r="Y90" i="4"/>
  <c r="D67" i="4"/>
  <c r="K67" i="4"/>
  <c r="O98" i="4" l="1"/>
  <c r="AA88" i="4"/>
  <c r="AA117" i="4" s="1"/>
  <c r="D87" i="4"/>
  <c r="D116" i="4" s="1"/>
  <c r="G84" i="4"/>
  <c r="G113" i="4" s="1"/>
  <c r="W67" i="4"/>
  <c r="W96" i="4" s="1"/>
  <c r="X90" i="4"/>
  <c r="X119" i="4" s="1"/>
  <c r="AA91" i="4"/>
  <c r="AA120" i="4" s="1"/>
  <c r="K91" i="4"/>
  <c r="K120" i="4" s="1"/>
  <c r="T90" i="4"/>
  <c r="T119" i="4" s="1"/>
  <c r="M89" i="4"/>
  <c r="M118" i="4" s="1"/>
  <c r="E89" i="4"/>
  <c r="E118" i="4" s="1"/>
  <c r="N88" i="4"/>
  <c r="N117" i="4" s="1"/>
  <c r="W87" i="4"/>
  <c r="W116" i="4" s="1"/>
  <c r="P86" i="4"/>
  <c r="P115" i="4" s="1"/>
  <c r="Y85" i="4"/>
  <c r="Y114" i="4" s="1"/>
  <c r="Q85" i="4"/>
  <c r="Q114" i="4" s="1"/>
  <c r="I85" i="4"/>
  <c r="I114" i="4" s="1"/>
  <c r="AA83" i="4"/>
  <c r="AA112" i="4" s="1"/>
  <c r="K83" i="4"/>
  <c r="K112" i="4" s="1"/>
  <c r="T82" i="4"/>
  <c r="T111" i="4" s="1"/>
  <c r="M81" i="4"/>
  <c r="M110" i="4" s="1"/>
  <c r="E81" i="4"/>
  <c r="E110" i="4" s="1"/>
  <c r="N80" i="4"/>
  <c r="N109" i="4" s="1"/>
  <c r="G79" i="4"/>
  <c r="G108" i="4" s="1"/>
  <c r="H78" i="4"/>
  <c r="Y77" i="4"/>
  <c r="Y106" i="4" s="1"/>
  <c r="Q77" i="4"/>
  <c r="Q106" i="4" s="1"/>
  <c r="R76" i="4"/>
  <c r="R105" i="4" s="1"/>
  <c r="AA75" i="4"/>
  <c r="AA104" i="4" s="1"/>
  <c r="K75" i="4"/>
  <c r="K104" i="4" s="1"/>
  <c r="C75" i="4"/>
  <c r="C104" i="4" s="1"/>
  <c r="D74" i="4"/>
  <c r="D103" i="4" s="1"/>
  <c r="M73" i="4"/>
  <c r="O71" i="4"/>
  <c r="O100" i="4" s="1"/>
  <c r="X70" i="4"/>
  <c r="X99" i="4" s="1"/>
  <c r="Y69" i="4"/>
  <c r="Y98" i="4" s="1"/>
  <c r="Y81" i="4"/>
  <c r="Y110" i="4" s="1"/>
  <c r="H75" i="4"/>
  <c r="H104" i="4" s="1"/>
  <c r="Y67" i="4"/>
  <c r="Y96" i="4" s="1"/>
  <c r="Q67" i="4"/>
  <c r="Q96" i="4" s="1"/>
  <c r="I67" i="4"/>
  <c r="I96" i="4" s="1"/>
  <c r="Y91" i="4"/>
  <c r="Y120" i="4" s="1"/>
  <c r="Q91" i="4"/>
  <c r="Q120" i="4" s="1"/>
  <c r="I91" i="4"/>
  <c r="I120" i="4" s="1"/>
  <c r="Z90" i="4"/>
  <c r="Z119" i="4" s="1"/>
  <c r="J90" i="4"/>
  <c r="J119" i="4" s="1"/>
  <c r="AA89" i="4"/>
  <c r="AA118" i="4" s="1"/>
  <c r="C89" i="4"/>
  <c r="C118" i="4" s="1"/>
  <c r="D88" i="4"/>
  <c r="D117" i="4" s="1"/>
  <c r="U116" i="4"/>
  <c r="U87" i="4"/>
  <c r="E87" i="4"/>
  <c r="E116" i="4" s="1"/>
  <c r="V86" i="4"/>
  <c r="V115" i="4" s="1"/>
  <c r="N86" i="4"/>
  <c r="N115" i="4" s="1"/>
  <c r="F86" i="4"/>
  <c r="F115" i="4" s="1"/>
  <c r="W85" i="4"/>
  <c r="W114" i="4" s="1"/>
  <c r="O85" i="4"/>
  <c r="O114" i="4" s="1"/>
  <c r="X84" i="4"/>
  <c r="X113" i="4" s="1"/>
  <c r="P84" i="4"/>
  <c r="P113" i="4" s="1"/>
  <c r="H84" i="4"/>
  <c r="H113" i="4" s="1"/>
  <c r="Q83" i="4"/>
  <c r="Q112" i="4" s="1"/>
  <c r="I83" i="4"/>
  <c r="I112" i="4" s="1"/>
  <c r="Z82" i="4"/>
  <c r="Z111" i="4" s="1"/>
  <c r="R82" i="4"/>
  <c r="R111" i="4" s="1"/>
  <c r="J82" i="4"/>
  <c r="J111" i="4" s="1"/>
  <c r="AA81" i="4"/>
  <c r="AA110" i="4" s="1"/>
  <c r="S81" i="4"/>
  <c r="S110" i="4" s="1"/>
  <c r="K81" i="4"/>
  <c r="K110" i="4" s="1"/>
  <c r="C81" i="4"/>
  <c r="C110" i="4" s="1"/>
  <c r="T80" i="4"/>
  <c r="T109" i="4" s="1"/>
  <c r="L109" i="4"/>
  <c r="D80" i="4"/>
  <c r="D109" i="4" s="1"/>
  <c r="E79" i="4"/>
  <c r="E108" i="4" s="1"/>
  <c r="V107" i="4"/>
  <c r="N78" i="4"/>
  <c r="N107" i="4" s="1"/>
  <c r="F78" i="4"/>
  <c r="F107" i="4" s="1"/>
  <c r="W77" i="4"/>
  <c r="W106" i="4" s="1"/>
  <c r="O77" i="4"/>
  <c r="O106" i="4" s="1"/>
  <c r="G77" i="4"/>
  <c r="G106" i="4" s="1"/>
  <c r="X76" i="4"/>
  <c r="X105" i="4" s="1"/>
  <c r="P76" i="4"/>
  <c r="P105" i="4" s="1"/>
  <c r="H76" i="4"/>
  <c r="H105" i="4" s="1"/>
  <c r="Y75" i="4"/>
  <c r="Y104" i="4" s="1"/>
  <c r="I75" i="4"/>
  <c r="I104" i="4" s="1"/>
  <c r="Z74" i="4"/>
  <c r="Z103" i="4" s="1"/>
  <c r="J74" i="4"/>
  <c r="J103" i="4" s="1"/>
  <c r="AA73" i="4"/>
  <c r="AA102" i="4" s="1"/>
  <c r="S73" i="4"/>
  <c r="S102" i="4" s="1"/>
  <c r="K73" i="4"/>
  <c r="K102" i="4" s="1"/>
  <c r="C73" i="4"/>
  <c r="C102" i="4" s="1"/>
  <c r="T72" i="4"/>
  <c r="T101" i="4" s="1"/>
  <c r="L101" i="4"/>
  <c r="U71" i="4"/>
  <c r="U100" i="4" s="1"/>
  <c r="M71" i="4"/>
  <c r="M100" i="4" s="1"/>
  <c r="V70" i="4"/>
  <c r="V99" i="4" s="1"/>
  <c r="N70" i="4"/>
  <c r="W69" i="4"/>
  <c r="W98" i="4" s="1"/>
  <c r="R74" i="4"/>
  <c r="R103" i="4" s="1"/>
  <c r="V77" i="4"/>
  <c r="V106" i="4" s="1"/>
  <c r="K90" i="4"/>
  <c r="K119" i="4" s="1"/>
  <c r="R84" i="4"/>
  <c r="F89" i="4"/>
  <c r="F118" i="4" s="1"/>
  <c r="Y72" i="4"/>
  <c r="Y101" i="4" s="1"/>
  <c r="F83" i="4"/>
  <c r="F112" i="4" s="1"/>
  <c r="D72" i="4"/>
  <c r="D101" i="4" s="1"/>
  <c r="U79" i="4"/>
  <c r="U108" i="4" s="1"/>
  <c r="G89" i="4"/>
  <c r="G118" i="4" s="1"/>
  <c r="X67" i="4"/>
  <c r="X96" i="4" s="1"/>
  <c r="H67" i="4"/>
  <c r="H96" i="4" s="1"/>
  <c r="H91" i="4"/>
  <c r="H120" i="4" s="1"/>
  <c r="R118" i="4"/>
  <c r="R89" i="4"/>
  <c r="T87" i="4"/>
  <c r="T116" i="4" s="1"/>
  <c r="M86" i="4"/>
  <c r="M115" i="4" s="1"/>
  <c r="U78" i="4"/>
  <c r="U107" i="4" s="1"/>
  <c r="F77" i="4"/>
  <c r="F106" i="4" s="1"/>
  <c r="Y74" i="4"/>
  <c r="Y103" i="4" s="1"/>
  <c r="L71" i="4"/>
  <c r="L100" i="4" s="1"/>
  <c r="G91" i="4"/>
  <c r="G120" i="4" s="1"/>
  <c r="R88" i="4"/>
  <c r="R117" i="4" s="1"/>
  <c r="AA87" i="4"/>
  <c r="AA116" i="4" s="1"/>
  <c r="S87" i="4"/>
  <c r="S116" i="4" s="1"/>
  <c r="T86" i="4"/>
  <c r="T115" i="4" s="1"/>
  <c r="U85" i="4"/>
  <c r="U114" i="4" s="1"/>
  <c r="E85" i="4"/>
  <c r="E114" i="4" s="1"/>
  <c r="F84" i="4"/>
  <c r="G83" i="4"/>
  <c r="G112" i="4" s="1"/>
  <c r="Z80" i="4"/>
  <c r="Z109" i="4" s="1"/>
  <c r="J80" i="4"/>
  <c r="J109" i="4" s="1"/>
  <c r="AA79" i="4"/>
  <c r="AA108" i="4" s="1"/>
  <c r="C79" i="4"/>
  <c r="C108" i="4" s="1"/>
  <c r="D78" i="4"/>
  <c r="D107" i="4" s="1"/>
  <c r="W75" i="4"/>
  <c r="W104" i="4" s="1"/>
  <c r="P103" i="4"/>
  <c r="I73" i="4"/>
  <c r="I102" i="4" s="1"/>
  <c r="C71" i="4"/>
  <c r="C100" i="4" s="1"/>
  <c r="V76" i="4"/>
  <c r="V105" i="4" s="1"/>
  <c r="K80" i="4"/>
  <c r="K109" i="4" s="1"/>
  <c r="V67" i="4"/>
  <c r="V96" i="4" s="1"/>
  <c r="N67" i="4"/>
  <c r="N96" i="4" s="1"/>
  <c r="F67" i="4"/>
  <c r="F96" i="4" s="1"/>
  <c r="V91" i="4"/>
  <c r="V120" i="4" s="1"/>
  <c r="N91" i="4"/>
  <c r="N120" i="4" s="1"/>
  <c r="O90" i="4"/>
  <c r="O119" i="4" s="1"/>
  <c r="G90" i="4"/>
  <c r="G119" i="4" s="1"/>
  <c r="X89" i="4"/>
  <c r="X118" i="4" s="1"/>
  <c r="P89" i="4"/>
  <c r="P118" i="4" s="1"/>
  <c r="H89" i="4"/>
  <c r="H118" i="4" s="1"/>
  <c r="Y88" i="4"/>
  <c r="Y117" i="4" s="1"/>
  <c r="Z87" i="4"/>
  <c r="Z116" i="4" s="1"/>
  <c r="R87" i="4"/>
  <c r="R116" i="4" s="1"/>
  <c r="J87" i="4"/>
  <c r="J116" i="4" s="1"/>
  <c r="AA86" i="4"/>
  <c r="AA115" i="4" s="1"/>
  <c r="S86" i="4"/>
  <c r="S115" i="4" s="1"/>
  <c r="K86" i="4"/>
  <c r="K115" i="4" s="1"/>
  <c r="T114" i="4"/>
  <c r="L85" i="4"/>
  <c r="L114" i="4" s="1"/>
  <c r="D85" i="4"/>
  <c r="D114" i="4" s="1"/>
  <c r="U84" i="4"/>
  <c r="U113" i="4" s="1"/>
  <c r="M84" i="4"/>
  <c r="M113" i="4" s="1"/>
  <c r="E84" i="4"/>
  <c r="E113" i="4" s="1"/>
  <c r="V83" i="4"/>
  <c r="V112" i="4" s="1"/>
  <c r="W82" i="4"/>
  <c r="W111" i="4" s="1"/>
  <c r="O82" i="4"/>
  <c r="O111" i="4" s="1"/>
  <c r="G82" i="4"/>
  <c r="G111" i="4" s="1"/>
  <c r="X81" i="4"/>
  <c r="X110" i="4" s="1"/>
  <c r="P81" i="4"/>
  <c r="P110" i="4" s="1"/>
  <c r="H81" i="4"/>
  <c r="H110" i="4" s="1"/>
  <c r="I80" i="4"/>
  <c r="I109" i="4" s="1"/>
  <c r="Z79" i="4"/>
  <c r="Z108" i="4" s="1"/>
  <c r="R79" i="4"/>
  <c r="R108" i="4" s="1"/>
  <c r="J79" i="4"/>
  <c r="J108" i="4" s="1"/>
  <c r="AA78" i="4"/>
  <c r="AA107" i="4" s="1"/>
  <c r="S78" i="4"/>
  <c r="S107" i="4" s="1"/>
  <c r="T77" i="4"/>
  <c r="T106" i="4" s="1"/>
  <c r="L77" i="4"/>
  <c r="L106" i="4" s="1"/>
  <c r="D77" i="4"/>
  <c r="D106" i="4" s="1"/>
  <c r="U76" i="4"/>
  <c r="U105" i="4" s="1"/>
  <c r="M76" i="4"/>
  <c r="M105" i="4" s="1"/>
  <c r="E76" i="4"/>
  <c r="E105" i="4" s="1"/>
  <c r="N104" i="4"/>
  <c r="F75" i="4"/>
  <c r="F104" i="4" s="1"/>
  <c r="W74" i="4"/>
  <c r="W103" i="4" s="1"/>
  <c r="O74" i="4"/>
  <c r="O103" i="4" s="1"/>
  <c r="G74" i="4"/>
  <c r="G103" i="4" s="1"/>
  <c r="X73" i="4"/>
  <c r="X102" i="4" s="1"/>
  <c r="P73" i="4"/>
  <c r="P102" i="4" s="1"/>
  <c r="H102" i="4"/>
  <c r="Q72" i="4"/>
  <c r="Q101" i="4" s="1"/>
  <c r="I72" i="4"/>
  <c r="I101" i="4" s="1"/>
  <c r="Z71" i="4"/>
  <c r="Z100" i="4" s="1"/>
  <c r="R71" i="4"/>
  <c r="R100" i="4" s="1"/>
  <c r="J71" i="4"/>
  <c r="J100" i="4" s="1"/>
  <c r="AA70" i="4"/>
  <c r="AA99" i="4" s="1"/>
  <c r="C70" i="4"/>
  <c r="C99" i="4" s="1"/>
  <c r="M70" i="4"/>
  <c r="M99" i="4" s="1"/>
  <c r="S80" i="4"/>
  <c r="S109" i="4" s="1"/>
  <c r="U72" i="4"/>
  <c r="U101" i="4" s="1"/>
  <c r="AA82" i="4"/>
  <c r="AA111" i="4" s="1"/>
  <c r="V81" i="4"/>
  <c r="V110" i="4" s="1"/>
  <c r="V75" i="4"/>
  <c r="V104" i="4" s="1"/>
  <c r="C86" i="4"/>
  <c r="M79" i="4"/>
  <c r="M108" i="4" s="1"/>
  <c r="R90" i="4"/>
  <c r="R119" i="4" s="1"/>
  <c r="T76" i="4"/>
  <c r="T105" i="4" s="1"/>
  <c r="V82" i="4"/>
  <c r="V111" i="4" s="1"/>
  <c r="Y119" i="4"/>
  <c r="J89" i="4"/>
  <c r="J118" i="4" s="1"/>
  <c r="U86" i="4"/>
  <c r="U115" i="4" s="1"/>
  <c r="AA80" i="4"/>
  <c r="AA109" i="4" s="1"/>
  <c r="O76" i="4"/>
  <c r="O105" i="4" s="1"/>
  <c r="Z73" i="4"/>
  <c r="Z102" i="4" s="1"/>
  <c r="T71" i="4"/>
  <c r="T100" i="4" s="1"/>
  <c r="W91" i="4"/>
  <c r="W120" i="4" s="1"/>
  <c r="H90" i="4"/>
  <c r="H119" i="4" s="1"/>
  <c r="I89" i="4"/>
  <c r="I118" i="4" s="1"/>
  <c r="D86" i="4"/>
  <c r="D115" i="4" s="1"/>
  <c r="N113" i="4"/>
  <c r="O83" i="4"/>
  <c r="O112" i="4" s="1"/>
  <c r="X82" i="4"/>
  <c r="X111" i="4" s="1"/>
  <c r="P82" i="4"/>
  <c r="P111" i="4" s="1"/>
  <c r="Q81" i="4"/>
  <c r="Q110" i="4" s="1"/>
  <c r="R109" i="4"/>
  <c r="R80" i="4"/>
  <c r="L78" i="4"/>
  <c r="L107" i="4" s="1"/>
  <c r="U77" i="4"/>
  <c r="U106" i="4" s="1"/>
  <c r="M77" i="4"/>
  <c r="M106" i="4" s="1"/>
  <c r="N76" i="4"/>
  <c r="N105" i="4" s="1"/>
  <c r="O75" i="4"/>
  <c r="O104" i="4" s="1"/>
  <c r="X74" i="4"/>
  <c r="X103" i="4" s="1"/>
  <c r="Y73" i="4"/>
  <c r="Y102" i="4" s="1"/>
  <c r="Z72" i="4"/>
  <c r="Z101" i="4" s="1"/>
  <c r="R72" i="4"/>
  <c r="R101" i="4" s="1"/>
  <c r="K71" i="4"/>
  <c r="K100" i="4" s="1"/>
  <c r="C87" i="4"/>
  <c r="Z76" i="4"/>
  <c r="Z105" i="4" s="1"/>
  <c r="M67" i="4"/>
  <c r="U91" i="4"/>
  <c r="U120" i="4" s="1"/>
  <c r="M91" i="4"/>
  <c r="M120" i="4" s="1"/>
  <c r="E91" i="4"/>
  <c r="E120" i="4" s="1"/>
  <c r="V90" i="4"/>
  <c r="V119" i="4" s="1"/>
  <c r="N119" i="4"/>
  <c r="F90" i="4"/>
  <c r="F119" i="4" s="1"/>
  <c r="O89" i="4"/>
  <c r="O118" i="4" s="1"/>
  <c r="X88" i="4"/>
  <c r="X117" i="4" s="1"/>
  <c r="H88" i="4"/>
  <c r="H117" i="4" s="1"/>
  <c r="Y87" i="4"/>
  <c r="Y116" i="4" s="1"/>
  <c r="Q87" i="4"/>
  <c r="Q116" i="4" s="1"/>
  <c r="Z86" i="4"/>
  <c r="Z115" i="4" s="1"/>
  <c r="R86" i="4"/>
  <c r="R115" i="4" s="1"/>
  <c r="J86" i="4"/>
  <c r="J115" i="4" s="1"/>
  <c r="AA85" i="4"/>
  <c r="AA114" i="4" s="1"/>
  <c r="S85" i="4"/>
  <c r="S114" i="4" s="1"/>
  <c r="K85" i="4"/>
  <c r="K114" i="4" s="1"/>
  <c r="T84" i="4"/>
  <c r="T113" i="4" s="1"/>
  <c r="L84" i="4"/>
  <c r="L113" i="4" s="1"/>
  <c r="D84" i="4"/>
  <c r="D113" i="4" s="1"/>
  <c r="U83" i="4"/>
  <c r="U112" i="4" s="1"/>
  <c r="M83" i="4"/>
  <c r="M112" i="4" s="1"/>
  <c r="E83" i="4"/>
  <c r="E112" i="4" s="1"/>
  <c r="O81" i="4"/>
  <c r="O110" i="4" s="1"/>
  <c r="G81" i="4"/>
  <c r="G110" i="4" s="1"/>
  <c r="P80" i="4"/>
  <c r="P109" i="4" s="1"/>
  <c r="H80" i="4"/>
  <c r="H109" i="4" s="1"/>
  <c r="Y79" i="4"/>
  <c r="Y108" i="4" s="1"/>
  <c r="Q79" i="4"/>
  <c r="Q108" i="4" s="1"/>
  <c r="I79" i="4"/>
  <c r="I108" i="4" s="1"/>
  <c r="Z78" i="4"/>
  <c r="Z107" i="4" s="1"/>
  <c r="R78" i="4"/>
  <c r="R107" i="4" s="1"/>
  <c r="J78" i="4"/>
  <c r="J107" i="4" s="1"/>
  <c r="AA77" i="4"/>
  <c r="AA106" i="4" s="1"/>
  <c r="S77" i="4"/>
  <c r="S106" i="4" s="1"/>
  <c r="K77" i="4"/>
  <c r="K106" i="4" s="1"/>
  <c r="C77" i="4"/>
  <c r="C106" i="4" s="1"/>
  <c r="L76" i="4"/>
  <c r="L105" i="4" s="1"/>
  <c r="D105" i="4"/>
  <c r="M75" i="4"/>
  <c r="M104" i="4" s="1"/>
  <c r="E104" i="4"/>
  <c r="V74" i="4"/>
  <c r="V103" i="4" s="1"/>
  <c r="N74" i="4"/>
  <c r="N103" i="4" s="1"/>
  <c r="F74" i="4"/>
  <c r="F103" i="4" s="1"/>
  <c r="W73" i="4"/>
  <c r="W102" i="4" s="1"/>
  <c r="O73" i="4"/>
  <c r="O102" i="4" s="1"/>
  <c r="G73" i="4"/>
  <c r="G102" i="4" s="1"/>
  <c r="X72" i="4"/>
  <c r="X101" i="4" s="1"/>
  <c r="P72" i="4"/>
  <c r="P101" i="4" s="1"/>
  <c r="Y71" i="4"/>
  <c r="Y100" i="4" s="1"/>
  <c r="Q71" i="4"/>
  <c r="Q100" i="4" s="1"/>
  <c r="I71" i="4"/>
  <c r="I100" i="4" s="1"/>
  <c r="Z70" i="4"/>
  <c r="Z99" i="4" s="1"/>
  <c r="J70" i="4"/>
  <c r="J99" i="4" s="1"/>
  <c r="AA69" i="4"/>
  <c r="AA98" i="4" s="1"/>
  <c r="S69" i="4"/>
  <c r="S98" i="4" s="1"/>
  <c r="K69" i="4"/>
  <c r="K98" i="4" s="1"/>
  <c r="C69" i="4"/>
  <c r="C98" i="4" s="1"/>
  <c r="T68" i="4"/>
  <c r="T97" i="4" s="1"/>
  <c r="L68" i="4"/>
  <c r="L97" i="4" s="1"/>
  <c r="D97" i="4"/>
  <c r="K79" i="4"/>
  <c r="K108" i="4" s="1"/>
  <c r="Q89" i="4"/>
  <c r="Q118" i="4" s="1"/>
  <c r="S72" i="4"/>
  <c r="S101" i="4" s="1"/>
  <c r="Y82" i="4"/>
  <c r="Y111" i="4" s="1"/>
  <c r="F70" i="4"/>
  <c r="F99" i="4" s="1"/>
  <c r="U89" i="4"/>
  <c r="R70" i="4"/>
  <c r="R99" i="4" s="1"/>
  <c r="C78" i="4"/>
  <c r="C107" i="4" s="1"/>
  <c r="I88" i="4"/>
  <c r="I117" i="4" s="1"/>
  <c r="M87" i="4"/>
  <c r="M116" i="4" s="1"/>
  <c r="W89" i="4"/>
  <c r="W118" i="4" s="1"/>
  <c r="W81" i="4"/>
  <c r="W110" i="4" s="1"/>
  <c r="Y83" i="4"/>
  <c r="Y112" i="4" s="1"/>
  <c r="P91" i="4"/>
  <c r="P120" i="4" s="1"/>
  <c r="Z89" i="4"/>
  <c r="Z118" i="4" s="1"/>
  <c r="L87" i="4"/>
  <c r="L116" i="4" s="1"/>
  <c r="E86" i="4"/>
  <c r="E115" i="4" s="1"/>
  <c r="W84" i="4"/>
  <c r="W113" i="4" s="1"/>
  <c r="P83" i="4"/>
  <c r="P112" i="4" s="1"/>
  <c r="I82" i="4"/>
  <c r="I111" i="4" s="1"/>
  <c r="J81" i="4"/>
  <c r="J110" i="4" s="1"/>
  <c r="L79" i="4"/>
  <c r="L108" i="4" s="1"/>
  <c r="N77" i="4"/>
  <c r="N106" i="4" s="1"/>
  <c r="Q74" i="4"/>
  <c r="Q103" i="4" s="1"/>
  <c r="R73" i="4"/>
  <c r="R102" i="4" s="1"/>
  <c r="K72" i="4"/>
  <c r="U99" i="4"/>
  <c r="U70" i="4"/>
  <c r="O91" i="4"/>
  <c r="O120" i="4" s="1"/>
  <c r="Z88" i="4"/>
  <c r="Z117" i="4" s="1"/>
  <c r="J88" i="4"/>
  <c r="J117" i="4" s="1"/>
  <c r="K116" i="4"/>
  <c r="L86" i="4"/>
  <c r="L115" i="4" s="1"/>
  <c r="M85" i="4"/>
  <c r="M114" i="4" s="1"/>
  <c r="W83" i="4"/>
  <c r="W112" i="4" s="1"/>
  <c r="I81" i="4"/>
  <c r="I110" i="4" s="1"/>
  <c r="T78" i="4"/>
  <c r="T107" i="4" s="1"/>
  <c r="E106" i="4"/>
  <c r="F76" i="4"/>
  <c r="F105" i="4" s="1"/>
  <c r="G75" i="4"/>
  <c r="G104" i="4" s="1"/>
  <c r="H103" i="4"/>
  <c r="Q73" i="4"/>
  <c r="Q102" i="4" s="1"/>
  <c r="J72" i="4"/>
  <c r="J101" i="4" s="1"/>
  <c r="T70" i="4"/>
  <c r="T99" i="4" s="1"/>
  <c r="G87" i="4"/>
  <c r="G116" i="4" s="1"/>
  <c r="E67" i="4"/>
  <c r="E96" i="4" s="1"/>
  <c r="C67" i="4"/>
  <c r="C96" i="4" s="1"/>
  <c r="T67" i="4"/>
  <c r="T96" i="4" s="1"/>
  <c r="L67" i="4"/>
  <c r="L96" i="4" s="1"/>
  <c r="D96" i="4"/>
  <c r="T120" i="4"/>
  <c r="L91" i="4"/>
  <c r="L120" i="4" s="1"/>
  <c r="D91" i="4"/>
  <c r="D120" i="4" s="1"/>
  <c r="U90" i="4"/>
  <c r="U119" i="4" s="1"/>
  <c r="M90" i="4"/>
  <c r="M119" i="4" s="1"/>
  <c r="E90" i="4"/>
  <c r="E119" i="4" s="1"/>
  <c r="V89" i="4"/>
  <c r="V118" i="4" s="1"/>
  <c r="N118" i="4"/>
  <c r="W88" i="4"/>
  <c r="W117" i="4" s="1"/>
  <c r="O88" i="4"/>
  <c r="O117" i="4" s="1"/>
  <c r="G88" i="4"/>
  <c r="G117" i="4" s="1"/>
  <c r="X87" i="4"/>
  <c r="X116" i="4" s="1"/>
  <c r="P87" i="4"/>
  <c r="P116" i="4" s="1"/>
  <c r="H87" i="4"/>
  <c r="H116" i="4" s="1"/>
  <c r="I86" i="4"/>
  <c r="I115" i="4" s="1"/>
  <c r="Z85" i="4"/>
  <c r="Z114" i="4" s="1"/>
  <c r="R114" i="4"/>
  <c r="R85" i="4"/>
  <c r="J85" i="4"/>
  <c r="J114" i="4" s="1"/>
  <c r="AA84" i="4"/>
  <c r="AA113" i="4" s="1"/>
  <c r="S84" i="4"/>
  <c r="S113" i="4" s="1"/>
  <c r="C113" i="4"/>
  <c r="T83" i="4"/>
  <c r="T112" i="4" s="1"/>
  <c r="L83" i="4"/>
  <c r="L112" i="4" s="1"/>
  <c r="D83" i="4"/>
  <c r="D112" i="4" s="1"/>
  <c r="U82" i="4"/>
  <c r="U111" i="4" s="1"/>
  <c r="M82" i="4"/>
  <c r="M111" i="4" s="1"/>
  <c r="E82" i="4"/>
  <c r="E111" i="4" s="1"/>
  <c r="N110" i="4"/>
  <c r="F81" i="4"/>
  <c r="F110" i="4" s="1"/>
  <c r="W80" i="4"/>
  <c r="W109" i="4" s="1"/>
  <c r="O80" i="4"/>
  <c r="O109" i="4" s="1"/>
  <c r="G80" i="4"/>
  <c r="G109" i="4" s="1"/>
  <c r="X79" i="4"/>
  <c r="X108" i="4" s="1"/>
  <c r="P79" i="4"/>
  <c r="P108" i="4" s="1"/>
  <c r="H108" i="4"/>
  <c r="Y107" i="4"/>
  <c r="Q78" i="4"/>
  <c r="Q107" i="4" s="1"/>
  <c r="I78" i="4"/>
  <c r="I107" i="4" s="1"/>
  <c r="Z77" i="4"/>
  <c r="Z106" i="4" s="1"/>
  <c r="R77" i="4"/>
  <c r="R106" i="4" s="1"/>
  <c r="J77" i="4"/>
  <c r="J106" i="4" s="1"/>
  <c r="AA76" i="4"/>
  <c r="AA105" i="4" s="1"/>
  <c r="C76" i="4"/>
  <c r="C105" i="4" s="1"/>
  <c r="T75" i="4"/>
  <c r="T104" i="4" s="1"/>
  <c r="L75" i="4"/>
  <c r="L104" i="4" s="1"/>
  <c r="D75" i="4"/>
  <c r="D104" i="4" s="1"/>
  <c r="U74" i="4"/>
  <c r="U103" i="4" s="1"/>
  <c r="M74" i="4"/>
  <c r="M103" i="4" s="1"/>
  <c r="V102" i="4"/>
  <c r="N73" i="4"/>
  <c r="N102" i="4" s="1"/>
  <c r="F73" i="4"/>
  <c r="F102" i="4" s="1"/>
  <c r="W72" i="4"/>
  <c r="W101" i="4" s="1"/>
  <c r="O72" i="4"/>
  <c r="O101" i="4" s="1"/>
  <c r="G72" i="4"/>
  <c r="G101" i="4" s="1"/>
  <c r="X71" i="4"/>
  <c r="X100" i="4" s="1"/>
  <c r="P100" i="4"/>
  <c r="H100" i="4"/>
  <c r="Y70" i="4"/>
  <c r="Y99" i="4" s="1"/>
  <c r="Q70" i="4"/>
  <c r="Q99" i="4" s="1"/>
  <c r="I70" i="4"/>
  <c r="I99" i="4" s="1"/>
  <c r="Z69" i="4"/>
  <c r="Z98" i="4" s="1"/>
  <c r="S79" i="4"/>
  <c r="S108" i="4" s="1"/>
  <c r="Y89" i="4"/>
  <c r="Y118" i="4" s="1"/>
  <c r="AA72" i="4"/>
  <c r="AA101" i="4" s="1"/>
  <c r="H83" i="4"/>
  <c r="H112" i="4" s="1"/>
  <c r="E71" i="4"/>
  <c r="E100" i="4" s="1"/>
  <c r="W79" i="4"/>
  <c r="W108" i="4" s="1"/>
  <c r="D90" i="4"/>
  <c r="D119" i="4" s="1"/>
  <c r="E74" i="4"/>
  <c r="E103" i="4" s="1"/>
  <c r="K84" i="4"/>
  <c r="K113" i="4" s="1"/>
  <c r="K78" i="4"/>
  <c r="K107" i="4" s="1"/>
  <c r="Q88" i="4"/>
  <c r="Q117" i="4" s="1"/>
  <c r="T88" i="4"/>
  <c r="T117" i="4" s="1"/>
  <c r="N82" i="4"/>
  <c r="N111" i="4" s="1"/>
  <c r="G85" i="4"/>
  <c r="G114" i="4" s="1"/>
  <c r="P67" i="4"/>
  <c r="P96" i="4" s="1"/>
  <c r="Q119" i="4"/>
  <c r="C117" i="4"/>
  <c r="O84" i="4"/>
  <c r="O113" i="4" s="1"/>
  <c r="Z81" i="4"/>
  <c r="Z110" i="4" s="1"/>
  <c r="T79" i="4"/>
  <c r="T108" i="4" s="1"/>
  <c r="G76" i="4"/>
  <c r="G105" i="4" s="1"/>
  <c r="F80" i="4"/>
  <c r="F109" i="4" s="1"/>
  <c r="X78" i="4"/>
  <c r="X107" i="4" s="1"/>
  <c r="I106" i="4"/>
  <c r="J76" i="4"/>
  <c r="J105" i="4" s="1"/>
  <c r="T103" i="4"/>
  <c r="U73" i="4"/>
  <c r="U102" i="4" s="1"/>
  <c r="E73" i="4"/>
  <c r="E102" i="4" s="1"/>
  <c r="N72" i="4"/>
  <c r="N101" i="4" s="1"/>
  <c r="Q98" i="4"/>
  <c r="W71" i="4"/>
  <c r="W100" i="4" s="1"/>
  <c r="D82" i="4"/>
  <c r="D111" i="4" s="1"/>
  <c r="K76" i="4"/>
  <c r="K105" i="4" s="1"/>
  <c r="Q86" i="4"/>
  <c r="Q115" i="4" s="1"/>
  <c r="K70" i="4"/>
  <c r="K99" i="4" s="1"/>
  <c r="Q80" i="4"/>
  <c r="Q109" i="4" s="1"/>
  <c r="W90" i="4"/>
  <c r="W119" i="4" s="1"/>
  <c r="I87" i="4"/>
  <c r="I116" i="4" s="1"/>
  <c r="L88" i="4"/>
  <c r="L117" i="4" s="1"/>
  <c r="U67" i="4"/>
  <c r="U96" i="4" s="1"/>
  <c r="X80" i="4"/>
  <c r="X109" i="4" s="1"/>
  <c r="X91" i="4"/>
  <c r="X120" i="4" s="1"/>
  <c r="I90" i="4"/>
  <c r="I119" i="4" s="1"/>
  <c r="S88" i="4"/>
  <c r="S117" i="4" s="1"/>
  <c r="F85" i="4"/>
  <c r="F114" i="4" s="1"/>
  <c r="X83" i="4"/>
  <c r="X112" i="4" s="1"/>
  <c r="Q82" i="4"/>
  <c r="Q111" i="4" s="1"/>
  <c r="R110" i="4"/>
  <c r="R81" i="4"/>
  <c r="C80" i="4"/>
  <c r="C109" i="4" s="1"/>
  <c r="D79" i="4"/>
  <c r="D108" i="4" s="1"/>
  <c r="M78" i="4"/>
  <c r="M107" i="4" s="1"/>
  <c r="W76" i="4"/>
  <c r="W105" i="4" s="1"/>
  <c r="X75" i="4"/>
  <c r="X104" i="4" s="1"/>
  <c r="I74" i="4"/>
  <c r="I103" i="4" s="1"/>
  <c r="J73" i="4"/>
  <c r="J102" i="4" s="1"/>
  <c r="C72" i="4"/>
  <c r="C101" i="4" s="1"/>
  <c r="D71" i="4"/>
  <c r="D100" i="4" s="1"/>
  <c r="E78" i="4"/>
  <c r="E107" i="4" s="1"/>
  <c r="K88" i="4"/>
  <c r="K117" i="4" s="1"/>
  <c r="P90" i="4"/>
  <c r="P119" i="4" s="1"/>
  <c r="AA67" i="4"/>
  <c r="AA96" i="4" s="1"/>
  <c r="K96" i="4"/>
  <c r="S91" i="4"/>
  <c r="S120" i="4" s="1"/>
  <c r="C91" i="4"/>
  <c r="C120" i="4" s="1"/>
  <c r="L90" i="4"/>
  <c r="V88" i="4"/>
  <c r="V117" i="4" s="1"/>
  <c r="F88" i="4"/>
  <c r="F117" i="4" s="1"/>
  <c r="O116" i="4"/>
  <c r="X86" i="4"/>
  <c r="X115" i="4" s="1"/>
  <c r="H86" i="4"/>
  <c r="H115" i="4" s="1"/>
  <c r="Z113" i="4"/>
  <c r="J84" i="4"/>
  <c r="J113" i="4" s="1"/>
  <c r="S83" i="4"/>
  <c r="S112" i="4" s="1"/>
  <c r="C83" i="4"/>
  <c r="C112" i="4" s="1"/>
  <c r="U81" i="4"/>
  <c r="U110" i="4" s="1"/>
  <c r="V80" i="4"/>
  <c r="V109" i="4" s="1"/>
  <c r="O108" i="4"/>
  <c r="P78" i="4"/>
  <c r="P107" i="4" s="1"/>
  <c r="S75" i="4"/>
  <c r="S104" i="4" s="1"/>
  <c r="L103" i="4"/>
  <c r="V72" i="4"/>
  <c r="V101" i="4" s="1"/>
  <c r="G71" i="4"/>
  <c r="G100" i="4" s="1"/>
  <c r="P70" i="4"/>
  <c r="P99" i="4" s="1"/>
  <c r="H70" i="4"/>
  <c r="H99" i="4" s="1"/>
  <c r="I98" i="4"/>
  <c r="Z68" i="4"/>
  <c r="Z97" i="4" s="1"/>
  <c r="R68" i="4"/>
  <c r="R97" i="4" s="1"/>
  <c r="J68" i="4"/>
  <c r="J97" i="4" s="1"/>
  <c r="S71" i="4"/>
  <c r="S100" i="4" s="1"/>
  <c r="G67" i="4"/>
  <c r="G96" i="4" s="1"/>
  <c r="N85" i="4"/>
  <c r="N114" i="4" s="1"/>
  <c r="R67" i="4"/>
  <c r="R96" i="4" s="1"/>
  <c r="J67" i="4"/>
  <c r="Z91" i="4"/>
  <c r="Z120" i="4" s="1"/>
  <c r="R91" i="4"/>
  <c r="R120" i="4" s="1"/>
  <c r="J91" i="4"/>
  <c r="J120" i="4" s="1"/>
  <c r="AA90" i="4"/>
  <c r="AA119" i="4" s="1"/>
  <c r="S119" i="4"/>
  <c r="C90" i="4"/>
  <c r="C119" i="4" s="1"/>
  <c r="T89" i="4"/>
  <c r="T118" i="4" s="1"/>
  <c r="L89" i="4"/>
  <c r="L118" i="4" s="1"/>
  <c r="D89" i="4"/>
  <c r="D118" i="4" s="1"/>
  <c r="U117" i="4"/>
  <c r="U88" i="4"/>
  <c r="M88" i="4"/>
  <c r="M117" i="4" s="1"/>
  <c r="V116" i="4"/>
  <c r="N87" i="4"/>
  <c r="N116" i="4" s="1"/>
  <c r="F87" i="4"/>
  <c r="F116" i="4" s="1"/>
  <c r="W86" i="4"/>
  <c r="W115" i="4" s="1"/>
  <c r="O86" i="4"/>
  <c r="O115" i="4" s="1"/>
  <c r="G86" i="4"/>
  <c r="G115" i="4" s="1"/>
  <c r="X85" i="4"/>
  <c r="X114" i="4" s="1"/>
  <c r="P114" i="4"/>
  <c r="H114" i="4"/>
  <c r="Y84" i="4"/>
  <c r="Y113" i="4" s="1"/>
  <c r="Q84" i="4"/>
  <c r="Q113" i="4" s="1"/>
  <c r="I84" i="4"/>
  <c r="I113" i="4" s="1"/>
  <c r="Z83" i="4"/>
  <c r="Z112" i="4" s="1"/>
  <c r="R83" i="4"/>
  <c r="R112" i="4" s="1"/>
  <c r="J83" i="4"/>
  <c r="J112" i="4" s="1"/>
  <c r="K82" i="4"/>
  <c r="K111" i="4" s="1"/>
  <c r="C82" i="4"/>
  <c r="C111" i="4" s="1"/>
  <c r="T81" i="4"/>
  <c r="T110" i="4" s="1"/>
  <c r="L81" i="4"/>
  <c r="L110" i="4" s="1"/>
  <c r="D81" i="4"/>
  <c r="D110" i="4" s="1"/>
  <c r="U80" i="4"/>
  <c r="U109" i="4" s="1"/>
  <c r="M109" i="4"/>
  <c r="E109" i="4"/>
  <c r="V79" i="4"/>
  <c r="V108" i="4" s="1"/>
  <c r="N79" i="4"/>
  <c r="N108" i="4" s="1"/>
  <c r="F79" i="4"/>
  <c r="F108" i="4" s="1"/>
  <c r="W78" i="4"/>
  <c r="W107" i="4" s="1"/>
  <c r="O78" i="4"/>
  <c r="O107" i="4" s="1"/>
  <c r="G78" i="4"/>
  <c r="G107" i="4" s="1"/>
  <c r="P106" i="4"/>
  <c r="H77" i="4"/>
  <c r="H106" i="4" s="1"/>
  <c r="Y76" i="4"/>
  <c r="Y105" i="4" s="1"/>
  <c r="Q76" i="4"/>
  <c r="Q105" i="4" s="1"/>
  <c r="I76" i="4"/>
  <c r="I105" i="4" s="1"/>
  <c r="Z75" i="4"/>
  <c r="Z104" i="4" s="1"/>
  <c r="R75" i="4"/>
  <c r="R104" i="4" s="1"/>
  <c r="J104" i="4"/>
  <c r="AA103" i="4"/>
  <c r="S74" i="4"/>
  <c r="S103" i="4" s="1"/>
  <c r="K74" i="4"/>
  <c r="K103" i="4" s="1"/>
  <c r="C74" i="4"/>
  <c r="C103" i="4" s="1"/>
  <c r="T73" i="4"/>
  <c r="T102" i="4" s="1"/>
  <c r="L73" i="4"/>
  <c r="L102" i="4" s="1"/>
  <c r="D73" i="4"/>
  <c r="D102" i="4" s="1"/>
  <c r="M101" i="4"/>
  <c r="E72" i="4"/>
  <c r="E101" i="4" s="1"/>
  <c r="V71" i="4"/>
  <c r="N71" i="4"/>
  <c r="N100" i="4" s="1"/>
  <c r="F71" i="4"/>
  <c r="F100" i="4" s="1"/>
  <c r="W70" i="4"/>
  <c r="W99" i="4" s="1"/>
  <c r="O70" i="4"/>
  <c r="O99" i="4" s="1"/>
  <c r="G99" i="4"/>
  <c r="X98" i="4"/>
  <c r="P69" i="4"/>
  <c r="P98" i="4" s="1"/>
  <c r="H69" i="4"/>
  <c r="H98" i="4" s="1"/>
  <c r="Y68" i="4"/>
  <c r="Y97" i="4" s="1"/>
  <c r="Q68" i="4"/>
  <c r="Q97" i="4" s="1"/>
  <c r="I68" i="4"/>
  <c r="I97" i="4" s="1"/>
  <c r="AA71" i="4"/>
  <c r="AA100" i="4" s="1"/>
  <c r="H82" i="4"/>
  <c r="H111" i="4" s="1"/>
  <c r="O67" i="4"/>
  <c r="O96" i="4" s="1"/>
  <c r="P75" i="4"/>
  <c r="P104" i="4" s="1"/>
  <c r="V85" i="4"/>
  <c r="V114" i="4" s="1"/>
  <c r="X77" i="4"/>
  <c r="X106" i="4" s="1"/>
  <c r="E88" i="4"/>
  <c r="E117" i="4" s="1"/>
  <c r="F72" i="4"/>
  <c r="F101" i="4" s="1"/>
  <c r="L82" i="4"/>
  <c r="L111" i="4" s="1"/>
  <c r="S67" i="4"/>
  <c r="S96" i="4" s="1"/>
  <c r="S76" i="4"/>
  <c r="S105" i="4" s="1"/>
  <c r="Y86" i="4"/>
  <c r="Y115" i="4" s="1"/>
  <c r="S70" i="4"/>
  <c r="S99" i="4" s="1"/>
  <c r="Y80" i="4"/>
  <c r="Y109" i="4" s="1"/>
  <c r="F91" i="4"/>
  <c r="F120" i="4" s="1"/>
  <c r="P88" i="4"/>
  <c r="P117" i="4" s="1"/>
  <c r="S89" i="4"/>
  <c r="S118" i="4" s="1"/>
  <c r="H72" i="4"/>
  <c r="H101" i="4" s="1"/>
  <c r="C85" i="4"/>
  <c r="C114" i="4" s="1"/>
  <c r="T69" i="4"/>
  <c r="T98" i="4" s="1"/>
  <c r="AA97" i="4"/>
  <c r="C97" i="4"/>
  <c r="K68" i="4"/>
  <c r="K97" i="4" s="1"/>
  <c r="X97" i="4"/>
  <c r="P97" i="4"/>
  <c r="H97" i="4"/>
  <c r="U69" i="4"/>
  <c r="U98" i="4" s="1"/>
  <c r="G69" i="4"/>
  <c r="G98" i="4" s="1"/>
  <c r="J69" i="4"/>
  <c r="J98" i="4" s="1"/>
  <c r="E99" i="4"/>
  <c r="V98" i="4"/>
  <c r="N98" i="4"/>
  <c r="G97" i="4"/>
  <c r="O68" i="4"/>
  <c r="O97" i="4" s="1"/>
  <c r="R69" i="4"/>
  <c r="R98" i="4" s="1"/>
  <c r="U68" i="4"/>
  <c r="U97" i="4" s="1"/>
  <c r="D99" i="4"/>
  <c r="M98" i="4"/>
  <c r="E98" i="4"/>
  <c r="V97" i="4"/>
  <c r="N97" i="4"/>
  <c r="L70" i="4"/>
  <c r="L99" i="4" s="1"/>
  <c r="W68" i="4"/>
  <c r="W97" i="4" s="1"/>
  <c r="D98" i="4"/>
  <c r="M97" i="4"/>
  <c r="E97" i="4"/>
  <c r="F68" i="4"/>
  <c r="F97" i="4" s="1"/>
  <c r="F69" i="4"/>
  <c r="L69" i="4"/>
  <c r="L98" i="4" s="1"/>
  <c r="D119" i="45"/>
  <c r="AO22" i="45"/>
  <c r="AO80" i="45" s="1"/>
  <c r="AB109" i="45"/>
  <c r="H90" i="45"/>
  <c r="H119" i="45" s="1"/>
  <c r="AB80" i="45"/>
  <c r="AQ22" i="45"/>
  <c r="AQ80" i="45" s="1"/>
  <c r="BB22" i="45"/>
  <c r="BB80" i="45" s="1"/>
  <c r="AR22" i="45"/>
  <c r="AR80" i="45" s="1"/>
  <c r="AU22" i="45"/>
  <c r="AU80" i="45" s="1"/>
  <c r="AH22" i="45"/>
  <c r="AH80" i="45" s="1"/>
  <c r="AF22" i="45"/>
  <c r="AF80" i="45" s="1"/>
  <c r="AZ22" i="45"/>
  <c r="AZ80" i="45" s="1"/>
  <c r="J32" i="45"/>
  <c r="AN22" i="45"/>
  <c r="AN80" i="45" s="1"/>
  <c r="AK22" i="45"/>
  <c r="AK80" i="45" s="1"/>
  <c r="AI22" i="45"/>
  <c r="AI80" i="45" s="1"/>
  <c r="AB84" i="45"/>
  <c r="AB113" i="45" s="1"/>
  <c r="AY22" i="45"/>
  <c r="AY80" i="45" s="1"/>
  <c r="AP22" i="45"/>
  <c r="AP80" i="45" s="1"/>
  <c r="AE22" i="45"/>
  <c r="AE80" i="45" s="1"/>
  <c r="AL22" i="45"/>
  <c r="AL80" i="45" s="1"/>
  <c r="AW22" i="45"/>
  <c r="AW80" i="45" s="1"/>
  <c r="AT22" i="45"/>
  <c r="AT80" i="45" s="1"/>
  <c r="AJ22" i="45"/>
  <c r="AJ80" i="45" s="1"/>
  <c r="AS22" i="45"/>
  <c r="AS80" i="45" s="1"/>
  <c r="BC22" i="45"/>
  <c r="BC80" i="45" s="1"/>
  <c r="AV22" i="45"/>
  <c r="AV80" i="45" s="1"/>
  <c r="AM22" i="45"/>
  <c r="AM80" i="45" s="1"/>
  <c r="BA22" i="45"/>
  <c r="BA80" i="45" s="1"/>
  <c r="AX22" i="45"/>
  <c r="AX80" i="45" s="1"/>
  <c r="AG22" i="45"/>
  <c r="AG80" i="45" s="1"/>
  <c r="M32" i="45"/>
  <c r="N32" i="45"/>
  <c r="K32" i="45"/>
  <c r="G32" i="45"/>
  <c r="L32" i="45"/>
  <c r="AB27" i="45"/>
  <c r="AB82" i="45"/>
  <c r="AB111" i="45" s="1"/>
  <c r="I32" i="45"/>
  <c r="BC26" i="45"/>
  <c r="BC84" i="45" s="1"/>
  <c r="AH26" i="45"/>
  <c r="AH84" i="45" s="1"/>
  <c r="AO26" i="45"/>
  <c r="AO84" i="45" s="1"/>
  <c r="AT26" i="45"/>
  <c r="AT84" i="45" s="1"/>
  <c r="AU26" i="45"/>
  <c r="AU84" i="45" s="1"/>
  <c r="BB26" i="45"/>
  <c r="BB84" i="45" s="1"/>
  <c r="AX26" i="45"/>
  <c r="AX84" i="45" s="1"/>
  <c r="AM26" i="45"/>
  <c r="AM84" i="45" s="1"/>
  <c r="AR26" i="45"/>
  <c r="AR84" i="45" s="1"/>
  <c r="AN26" i="45"/>
  <c r="AN84" i="45" s="1"/>
  <c r="AE26" i="45"/>
  <c r="AG26" i="45"/>
  <c r="AG84" i="45" s="1"/>
  <c r="AW26" i="45"/>
  <c r="AW84" i="45" s="1"/>
  <c r="AY26" i="45"/>
  <c r="AY84" i="45" s="1"/>
  <c r="BA26" i="45"/>
  <c r="BA84" i="45" s="1"/>
  <c r="AL26" i="45"/>
  <c r="AL84" i="45" s="1"/>
  <c r="AQ26" i="45"/>
  <c r="AQ84" i="45" s="1"/>
  <c r="AP26" i="45"/>
  <c r="AP84" i="45" s="1"/>
  <c r="AV26" i="45"/>
  <c r="AV84" i="45" s="1"/>
  <c r="AI26" i="45"/>
  <c r="AI84" i="45" s="1"/>
  <c r="AF26" i="45"/>
  <c r="AF84" i="45" s="1"/>
  <c r="AK26" i="45"/>
  <c r="AK84" i="45" s="1"/>
  <c r="AS26" i="45"/>
  <c r="AS84" i="45" s="1"/>
  <c r="AZ26" i="45"/>
  <c r="AZ84" i="45" s="1"/>
  <c r="AJ26" i="45"/>
  <c r="AJ84" i="45" s="1"/>
  <c r="BD24" i="45"/>
  <c r="AE82" i="45"/>
  <c r="BD82" i="45" s="1"/>
  <c r="W31" i="4"/>
  <c r="W33" i="4" s="1"/>
  <c r="AB25" i="4"/>
  <c r="AB16" i="4"/>
  <c r="BA56" i="4"/>
  <c r="AS56" i="4"/>
  <c r="AK56" i="4"/>
  <c r="AZ56" i="4"/>
  <c r="AR56" i="4"/>
  <c r="AJ56" i="4"/>
  <c r="AX56" i="4"/>
  <c r="AP56" i="4"/>
  <c r="AH56" i="4"/>
  <c r="AW56" i="4"/>
  <c r="AO56" i="4"/>
  <c r="AG56" i="4"/>
  <c r="AV56" i="4"/>
  <c r="AN56" i="4"/>
  <c r="AF56" i="4"/>
  <c r="AU56" i="4"/>
  <c r="AT56" i="4"/>
  <c r="AQ56" i="4"/>
  <c r="AM56" i="4"/>
  <c r="BC56" i="4"/>
  <c r="AI56" i="4"/>
  <c r="BB56" i="4"/>
  <c r="AE56" i="4"/>
  <c r="AY56" i="4"/>
  <c r="AL56" i="4"/>
  <c r="BC46" i="4"/>
  <c r="AU46" i="4"/>
  <c r="AM46" i="4"/>
  <c r="AE46" i="4"/>
  <c r="BB46" i="4"/>
  <c r="AT46" i="4"/>
  <c r="AL46" i="4"/>
  <c r="AZ46" i="4"/>
  <c r="AR46" i="4"/>
  <c r="AJ46" i="4"/>
  <c r="AY46" i="4"/>
  <c r="AQ46" i="4"/>
  <c r="AI46" i="4"/>
  <c r="AX46" i="4"/>
  <c r="AP46" i="4"/>
  <c r="AH46" i="4"/>
  <c r="AO46" i="4"/>
  <c r="AN46" i="4"/>
  <c r="AK46" i="4"/>
  <c r="AG46" i="4"/>
  <c r="AW46" i="4"/>
  <c r="AV46" i="4"/>
  <c r="BA46" i="4"/>
  <c r="AS46" i="4"/>
  <c r="AF46" i="4"/>
  <c r="AV45" i="4"/>
  <c r="AN45" i="4"/>
  <c r="BC45" i="4"/>
  <c r="AU45" i="4"/>
  <c r="AM45" i="4"/>
  <c r="BA45" i="4"/>
  <c r="AS45" i="4"/>
  <c r="AK45" i="4"/>
  <c r="AZ45" i="4"/>
  <c r="AR45" i="4"/>
  <c r="AJ45" i="4"/>
  <c r="AY45" i="4"/>
  <c r="AQ45" i="4"/>
  <c r="AT45" i="4"/>
  <c r="AE45" i="4"/>
  <c r="AP45" i="4"/>
  <c r="AO45" i="4"/>
  <c r="AL45" i="4"/>
  <c r="BB45" i="4"/>
  <c r="AH45" i="4"/>
  <c r="AX45" i="4"/>
  <c r="AG45" i="4"/>
  <c r="AW45" i="4"/>
  <c r="AI45" i="4"/>
  <c r="AF45" i="4"/>
  <c r="AB61" i="4"/>
  <c r="AB60" i="4"/>
  <c r="AB59" i="4"/>
  <c r="AB58" i="4"/>
  <c r="AB57" i="4"/>
  <c r="AB55" i="4"/>
  <c r="AB54" i="4"/>
  <c r="AB52" i="4"/>
  <c r="AB51" i="4"/>
  <c r="AB50" i="4"/>
  <c r="AB49" i="4"/>
  <c r="AB48" i="4"/>
  <c r="AB47" i="4"/>
  <c r="C62" i="4"/>
  <c r="T62" i="4"/>
  <c r="L62" i="4"/>
  <c r="D62" i="4"/>
  <c r="U62" i="4"/>
  <c r="M62" i="4"/>
  <c r="E62" i="4"/>
  <c r="V62" i="4"/>
  <c r="N62" i="4"/>
  <c r="W62" i="4"/>
  <c r="O62" i="4"/>
  <c r="X62" i="4"/>
  <c r="P62" i="4"/>
  <c r="Y62" i="4"/>
  <c r="Q62" i="4"/>
  <c r="I62" i="4"/>
  <c r="AB38" i="4"/>
  <c r="AB44" i="4"/>
  <c r="AB43" i="4"/>
  <c r="AB41" i="4"/>
  <c r="AB42" i="4"/>
  <c r="AB53" i="4"/>
  <c r="H62" i="4"/>
  <c r="G62" i="4"/>
  <c r="AA62" i="4"/>
  <c r="S62" i="4"/>
  <c r="AB39" i="4"/>
  <c r="K62" i="4"/>
  <c r="AB40" i="4"/>
  <c r="J62" i="4"/>
  <c r="R62" i="4"/>
  <c r="Z62" i="4"/>
  <c r="AB37" i="4"/>
  <c r="AB30" i="4"/>
  <c r="AB27" i="4"/>
  <c r="AB24" i="4"/>
  <c r="AB22" i="4"/>
  <c r="AB15" i="4"/>
  <c r="AB14" i="4"/>
  <c r="O31" i="4"/>
  <c r="O33" i="4" s="1"/>
  <c r="AB29" i="4"/>
  <c r="AB28" i="4"/>
  <c r="AB26" i="4"/>
  <c r="AB23" i="4"/>
  <c r="AB21" i="4"/>
  <c r="AB20" i="4"/>
  <c r="AB19" i="4"/>
  <c r="AB18" i="4"/>
  <c r="AB17" i="4"/>
  <c r="AB13" i="4"/>
  <c r="L31" i="4"/>
  <c r="L33" i="4" s="1"/>
  <c r="AB12" i="4"/>
  <c r="M31" i="4"/>
  <c r="M33" i="4" s="1"/>
  <c r="V31" i="4"/>
  <c r="V33" i="4" s="1"/>
  <c r="N31" i="4"/>
  <c r="N33" i="4" s="1"/>
  <c r="AB10" i="4"/>
  <c r="AB9" i="4"/>
  <c r="X31" i="4"/>
  <c r="X33" i="4" s="1"/>
  <c r="Y31" i="4"/>
  <c r="Y33" i="4" s="1"/>
  <c r="Q31" i="4"/>
  <c r="Q33" i="4" s="1"/>
  <c r="I31" i="4"/>
  <c r="I33" i="4" s="1"/>
  <c r="AB6" i="4"/>
  <c r="G31" i="4"/>
  <c r="G33" i="4" s="1"/>
  <c r="AB8" i="4"/>
  <c r="S31" i="4"/>
  <c r="S33" i="4" s="1"/>
  <c r="U31" i="4"/>
  <c r="U33" i="4" s="1"/>
  <c r="E31" i="4"/>
  <c r="E33" i="4" s="1"/>
  <c r="Z31" i="4"/>
  <c r="Z33" i="4" s="1"/>
  <c r="R31" i="4"/>
  <c r="J31" i="4"/>
  <c r="J33" i="4" s="1"/>
  <c r="AB11" i="4"/>
  <c r="H31" i="4"/>
  <c r="H33" i="4" s="1"/>
  <c r="AA31" i="4"/>
  <c r="AA33" i="4" s="1"/>
  <c r="D31" i="4"/>
  <c r="D33" i="4" s="1"/>
  <c r="P31" i="4"/>
  <c r="P33" i="4" s="1"/>
  <c r="F31" i="4"/>
  <c r="F33" i="4" s="1"/>
  <c r="AB7" i="4"/>
  <c r="T31" i="4"/>
  <c r="T33" i="4" s="1"/>
  <c r="K31" i="4"/>
  <c r="K33" i="4" s="1"/>
  <c r="C31" i="4"/>
  <c r="C33" i="4" s="1"/>
  <c r="R33" i="4" l="1"/>
  <c r="AB81" i="4"/>
  <c r="AB110" i="4" s="1"/>
  <c r="T92" i="4"/>
  <c r="T121" i="4" s="1"/>
  <c r="W92" i="4"/>
  <c r="W121" i="4" s="1"/>
  <c r="AB72" i="4"/>
  <c r="AB101" i="4" s="1"/>
  <c r="S92" i="4"/>
  <c r="S121" i="4" s="1"/>
  <c r="AB74" i="4"/>
  <c r="AB103" i="4" s="1"/>
  <c r="AB71" i="4"/>
  <c r="AB100" i="4" s="1"/>
  <c r="F92" i="4"/>
  <c r="F121" i="4" s="1"/>
  <c r="AB70" i="4"/>
  <c r="AB99" i="4" s="1"/>
  <c r="Q92" i="4"/>
  <c r="Q121" i="4" s="1"/>
  <c r="AB79" i="4"/>
  <c r="AB108" i="4" s="1"/>
  <c r="AB85" i="4"/>
  <c r="AB114" i="4" s="1"/>
  <c r="E92" i="4"/>
  <c r="E121" i="4" s="1"/>
  <c r="AB80" i="4"/>
  <c r="AB109" i="4" s="1"/>
  <c r="F98" i="4"/>
  <c r="AB90" i="4"/>
  <c r="AB119" i="4" s="1"/>
  <c r="AB86" i="4"/>
  <c r="AB115" i="4" s="1"/>
  <c r="AB73" i="4"/>
  <c r="AB102" i="4" s="1"/>
  <c r="P92" i="4"/>
  <c r="P121" i="4" s="1"/>
  <c r="N92" i="4"/>
  <c r="N121" i="4" s="1"/>
  <c r="AB83" i="4"/>
  <c r="AB112" i="4" s="1"/>
  <c r="AB89" i="4"/>
  <c r="AB118" i="4" s="1"/>
  <c r="H92" i="4"/>
  <c r="H121" i="4" s="1"/>
  <c r="Y92" i="4"/>
  <c r="Y121" i="4" s="1"/>
  <c r="AB76" i="4"/>
  <c r="AB105" i="4" s="1"/>
  <c r="K92" i="4"/>
  <c r="K121" i="4" s="1"/>
  <c r="M92" i="4"/>
  <c r="M121" i="4" s="1"/>
  <c r="AB84" i="4"/>
  <c r="AB113" i="4" s="1"/>
  <c r="AA92" i="4"/>
  <c r="AA121" i="4" s="1"/>
  <c r="AB91" i="4"/>
  <c r="AB120" i="4" s="1"/>
  <c r="R92" i="4"/>
  <c r="R121" i="4" s="1"/>
  <c r="X92" i="4"/>
  <c r="X121" i="4" s="1"/>
  <c r="V92" i="4"/>
  <c r="V121" i="4" s="1"/>
  <c r="J92" i="4"/>
  <c r="J121" i="4" s="1"/>
  <c r="AB82" i="4"/>
  <c r="AB111" i="4" s="1"/>
  <c r="AB87" i="4"/>
  <c r="AB116" i="4" s="1"/>
  <c r="L92" i="4"/>
  <c r="L121" i="4" s="1"/>
  <c r="Z92" i="4"/>
  <c r="Z121" i="4" s="1"/>
  <c r="U92" i="4"/>
  <c r="U121" i="4" s="1"/>
  <c r="D92" i="4"/>
  <c r="D121" i="4" s="1"/>
  <c r="I92" i="4"/>
  <c r="I121" i="4" s="1"/>
  <c r="C116" i="4"/>
  <c r="AB88" i="4"/>
  <c r="AB117" i="4" s="1"/>
  <c r="AB69" i="4"/>
  <c r="AB98" i="4" s="1"/>
  <c r="AB75" i="4"/>
  <c r="AB104" i="4" s="1"/>
  <c r="AB78" i="4"/>
  <c r="AB107" i="4" s="1"/>
  <c r="V100" i="4"/>
  <c r="K101" i="4"/>
  <c r="M96" i="4"/>
  <c r="C115" i="4"/>
  <c r="N99" i="4"/>
  <c r="M102" i="4"/>
  <c r="H107" i="4"/>
  <c r="G92" i="4"/>
  <c r="G121" i="4" s="1"/>
  <c r="C92" i="4"/>
  <c r="C121" i="4" s="1"/>
  <c r="AB68" i="4"/>
  <c r="AB97" i="4" s="1"/>
  <c r="J96" i="4"/>
  <c r="L119" i="4"/>
  <c r="F113" i="4"/>
  <c r="O92" i="4"/>
  <c r="O121" i="4" s="1"/>
  <c r="O90" i="45"/>
  <c r="L90" i="45"/>
  <c r="L119" i="45" s="1"/>
  <c r="I90" i="45"/>
  <c r="I119" i="45" s="1"/>
  <c r="K90" i="45"/>
  <c r="K119" i="45" s="1"/>
  <c r="N90" i="45"/>
  <c r="N119" i="45" s="1"/>
  <c r="BD80" i="45"/>
  <c r="O32" i="45"/>
  <c r="AB25" i="45"/>
  <c r="BD22" i="45"/>
  <c r="AB83" i="45"/>
  <c r="AB29" i="45"/>
  <c r="G90" i="45"/>
  <c r="G119" i="45" s="1"/>
  <c r="AB87" i="45"/>
  <c r="AE84" i="45"/>
  <c r="BD84" i="45" s="1"/>
  <c r="BD26" i="45"/>
  <c r="AB85" i="45"/>
  <c r="AB114" i="45" s="1"/>
  <c r="Q32" i="45"/>
  <c r="AX27" i="45"/>
  <c r="AX85" i="45" s="1"/>
  <c r="BC27" i="45"/>
  <c r="BC85" i="45" s="1"/>
  <c r="AT27" i="45"/>
  <c r="AT85" i="45" s="1"/>
  <c r="AP27" i="45"/>
  <c r="AP85" i="45" s="1"/>
  <c r="AU27" i="45"/>
  <c r="AU85" i="45" s="1"/>
  <c r="AJ27" i="45"/>
  <c r="AJ85" i="45" s="1"/>
  <c r="AF27" i="45"/>
  <c r="AF85" i="45" s="1"/>
  <c r="AM27" i="45"/>
  <c r="AM85" i="45" s="1"/>
  <c r="AS27" i="45"/>
  <c r="AS85" i="45" s="1"/>
  <c r="AZ27" i="45"/>
  <c r="AZ85" i="45" s="1"/>
  <c r="AN27" i="45"/>
  <c r="AN85" i="45" s="1"/>
  <c r="AE27" i="45"/>
  <c r="AH27" i="45"/>
  <c r="AH85" i="45" s="1"/>
  <c r="AO27" i="45"/>
  <c r="AO85" i="45" s="1"/>
  <c r="AW27" i="45"/>
  <c r="AW85" i="45" s="1"/>
  <c r="BB27" i="45"/>
  <c r="BB85" i="45" s="1"/>
  <c r="AY27" i="45"/>
  <c r="AY85" i="45" s="1"/>
  <c r="AL27" i="45"/>
  <c r="AL85" i="45" s="1"/>
  <c r="AR27" i="45"/>
  <c r="AR85" i="45" s="1"/>
  <c r="AQ27" i="45"/>
  <c r="AQ85" i="45" s="1"/>
  <c r="AV27" i="45"/>
  <c r="AV85" i="45" s="1"/>
  <c r="AG27" i="45"/>
  <c r="AG85" i="45" s="1"/>
  <c r="AK27" i="45"/>
  <c r="AK85" i="45" s="1"/>
  <c r="BA27" i="45"/>
  <c r="BA85" i="45" s="1"/>
  <c r="AI27" i="45"/>
  <c r="AI85" i="45" s="1"/>
  <c r="AI21" i="4"/>
  <c r="AQ21" i="4"/>
  <c r="AY21" i="4"/>
  <c r="AJ21" i="4"/>
  <c r="AR21" i="4"/>
  <c r="AZ21" i="4"/>
  <c r="AL21" i="4"/>
  <c r="AT21" i="4"/>
  <c r="BB21" i="4"/>
  <c r="AE21" i="4"/>
  <c r="AM21" i="4"/>
  <c r="AU21" i="4"/>
  <c r="BC21" i="4"/>
  <c r="AF21" i="4"/>
  <c r="AN21" i="4"/>
  <c r="AV21" i="4"/>
  <c r="AH21" i="4"/>
  <c r="AP21" i="4"/>
  <c r="AX21" i="4"/>
  <c r="AG21" i="4"/>
  <c r="AK21" i="4"/>
  <c r="AO21" i="4"/>
  <c r="AS21" i="4"/>
  <c r="AW21" i="4"/>
  <c r="BA21" i="4"/>
  <c r="AJ12" i="4"/>
  <c r="AR12" i="4"/>
  <c r="AZ12" i="4"/>
  <c r="AK12" i="4"/>
  <c r="AS12" i="4"/>
  <c r="BA12" i="4"/>
  <c r="AE12" i="4"/>
  <c r="AM12" i="4"/>
  <c r="AU12" i="4"/>
  <c r="BC12" i="4"/>
  <c r="AF12" i="4"/>
  <c r="AN12" i="4"/>
  <c r="AV12" i="4"/>
  <c r="AG12" i="4"/>
  <c r="AO12" i="4"/>
  <c r="AW12" i="4"/>
  <c r="AI12" i="4"/>
  <c r="AQ12" i="4"/>
  <c r="AY12" i="4"/>
  <c r="AH12" i="4"/>
  <c r="AL12" i="4"/>
  <c r="AP12" i="4"/>
  <c r="AT12" i="4"/>
  <c r="AX12" i="4"/>
  <c r="BB12" i="4"/>
  <c r="AG23" i="4"/>
  <c r="AO23" i="4"/>
  <c r="AW23" i="4"/>
  <c r="AH23" i="4"/>
  <c r="AP23" i="4"/>
  <c r="AX23" i="4"/>
  <c r="AJ23" i="4"/>
  <c r="AR23" i="4"/>
  <c r="AZ23" i="4"/>
  <c r="AK23" i="4"/>
  <c r="AS23" i="4"/>
  <c r="BA23" i="4"/>
  <c r="AL23" i="4"/>
  <c r="AT23" i="4"/>
  <c r="BB23" i="4"/>
  <c r="AF23" i="4"/>
  <c r="AN23" i="4"/>
  <c r="AV23" i="4"/>
  <c r="AM23" i="4"/>
  <c r="AQ23" i="4"/>
  <c r="AU23" i="4"/>
  <c r="AY23" i="4"/>
  <c r="BC23" i="4"/>
  <c r="AE23" i="4"/>
  <c r="AI23" i="4"/>
  <c r="AF24" i="4"/>
  <c r="AN24" i="4"/>
  <c r="AV24" i="4"/>
  <c r="AG24" i="4"/>
  <c r="AO24" i="4"/>
  <c r="AW24" i="4"/>
  <c r="AI24" i="4"/>
  <c r="AQ24" i="4"/>
  <c r="AY24" i="4"/>
  <c r="AR24" i="4"/>
  <c r="AZ24" i="4"/>
  <c r="AJ24" i="4"/>
  <c r="AK24" i="4"/>
  <c r="AS24" i="4"/>
  <c r="BA24" i="4"/>
  <c r="AE24" i="4"/>
  <c r="AM24" i="4"/>
  <c r="AU24" i="4"/>
  <c r="BC24" i="4"/>
  <c r="AT24" i="4"/>
  <c r="AX24" i="4"/>
  <c r="BB24" i="4"/>
  <c r="AH24" i="4"/>
  <c r="AL24" i="4"/>
  <c r="AP24" i="4"/>
  <c r="AF16" i="4"/>
  <c r="AN16" i="4"/>
  <c r="AV16" i="4"/>
  <c r="AG16" i="4"/>
  <c r="AO16" i="4"/>
  <c r="AW16" i="4"/>
  <c r="AI16" i="4"/>
  <c r="AQ16" i="4"/>
  <c r="AY16" i="4"/>
  <c r="AJ16" i="4"/>
  <c r="AR16" i="4"/>
  <c r="AZ16" i="4"/>
  <c r="AK16" i="4"/>
  <c r="AS16" i="4"/>
  <c r="BA16" i="4"/>
  <c r="AE16" i="4"/>
  <c r="AM16" i="4"/>
  <c r="AU16" i="4"/>
  <c r="BC16" i="4"/>
  <c r="BB16" i="4"/>
  <c r="AH16" i="4"/>
  <c r="AL16" i="4"/>
  <c r="AP16" i="4"/>
  <c r="AT16" i="4"/>
  <c r="AX16" i="4"/>
  <c r="AG7" i="4"/>
  <c r="AO7" i="4"/>
  <c r="AW7" i="4"/>
  <c r="AH7" i="4"/>
  <c r="AP7" i="4"/>
  <c r="AX7" i="4"/>
  <c r="AJ7" i="4"/>
  <c r="AR7" i="4"/>
  <c r="AZ7" i="4"/>
  <c r="AK7" i="4"/>
  <c r="AS7" i="4"/>
  <c r="BA7" i="4"/>
  <c r="AL7" i="4"/>
  <c r="AT7" i="4"/>
  <c r="BB7" i="4"/>
  <c r="AF7" i="4"/>
  <c r="AN7" i="4"/>
  <c r="AV7" i="4"/>
  <c r="AY7" i="4"/>
  <c r="BC7" i="4"/>
  <c r="AE7" i="4"/>
  <c r="AI7" i="4"/>
  <c r="AM7" i="4"/>
  <c r="AQ7" i="4"/>
  <c r="AU7" i="4"/>
  <c r="AL26" i="4"/>
  <c r="AT26" i="4"/>
  <c r="BB26" i="4"/>
  <c r="AE26" i="4"/>
  <c r="AM26" i="4"/>
  <c r="AU26" i="4"/>
  <c r="BC26" i="4"/>
  <c r="AG26" i="4"/>
  <c r="AO26" i="4"/>
  <c r="AW26" i="4"/>
  <c r="AI26" i="4"/>
  <c r="AQ26" i="4"/>
  <c r="AY26" i="4"/>
  <c r="AK26" i="4"/>
  <c r="AS26" i="4"/>
  <c r="BA26" i="4"/>
  <c r="AV26" i="4"/>
  <c r="AX26" i="4"/>
  <c r="AF26" i="4"/>
  <c r="AZ26" i="4"/>
  <c r="AJ26" i="4"/>
  <c r="AN26" i="4"/>
  <c r="AP26" i="4"/>
  <c r="AR26" i="4"/>
  <c r="AH26" i="4"/>
  <c r="AK27" i="4"/>
  <c r="AS27" i="4"/>
  <c r="BA27" i="4"/>
  <c r="AL27" i="4"/>
  <c r="AT27" i="4"/>
  <c r="BB27" i="4"/>
  <c r="AF27" i="4"/>
  <c r="AN27" i="4"/>
  <c r="AV27" i="4"/>
  <c r="AH27" i="4"/>
  <c r="AP27" i="4"/>
  <c r="AX27" i="4"/>
  <c r="AJ27" i="4"/>
  <c r="AR27" i="4"/>
  <c r="AZ27" i="4"/>
  <c r="AQ27" i="4"/>
  <c r="AU27" i="4"/>
  <c r="AW27" i="4"/>
  <c r="AE27" i="4"/>
  <c r="AY27" i="4"/>
  <c r="AG27" i="4"/>
  <c r="BC27" i="4"/>
  <c r="AI27" i="4"/>
  <c r="AM27" i="4"/>
  <c r="AO27" i="4"/>
  <c r="AE25" i="4"/>
  <c r="AE86" i="4" s="1"/>
  <c r="AM25" i="4"/>
  <c r="AM86" i="4" s="1"/>
  <c r="AU25" i="4"/>
  <c r="AU86" i="4" s="1"/>
  <c r="BC25" i="4"/>
  <c r="BC86" i="4" s="1"/>
  <c r="AF25" i="4"/>
  <c r="AF86" i="4" s="1"/>
  <c r="AN25" i="4"/>
  <c r="AN86" i="4" s="1"/>
  <c r="AV25" i="4"/>
  <c r="AV86" i="4" s="1"/>
  <c r="AH25" i="4"/>
  <c r="AH86" i="4" s="1"/>
  <c r="AP25" i="4"/>
  <c r="AP86" i="4" s="1"/>
  <c r="AX25" i="4"/>
  <c r="AX86" i="4" s="1"/>
  <c r="AI25" i="4"/>
  <c r="AQ25" i="4"/>
  <c r="AQ86" i="4" s="1"/>
  <c r="AJ25" i="4"/>
  <c r="AJ86" i="4" s="1"/>
  <c r="AR25" i="4"/>
  <c r="AR86" i="4" s="1"/>
  <c r="AZ25" i="4"/>
  <c r="AZ86" i="4" s="1"/>
  <c r="AL25" i="4"/>
  <c r="AL86" i="4" s="1"/>
  <c r="AT25" i="4"/>
  <c r="AT86" i="4" s="1"/>
  <c r="BB25" i="4"/>
  <c r="BB86" i="4" s="1"/>
  <c r="AY25" i="4"/>
  <c r="BA25" i="4"/>
  <c r="BA86" i="4" s="1"/>
  <c r="AG25" i="4"/>
  <c r="AG86" i="4" s="1"/>
  <c r="AK25" i="4"/>
  <c r="AK86" i="4" s="1"/>
  <c r="AO25" i="4"/>
  <c r="AO86" i="4" s="1"/>
  <c r="AS25" i="4"/>
  <c r="AS86" i="4" s="1"/>
  <c r="AW25" i="4"/>
  <c r="AW86" i="4" s="1"/>
  <c r="AI13" i="4"/>
  <c r="AQ13" i="4"/>
  <c r="AY13" i="4"/>
  <c r="AJ13" i="4"/>
  <c r="AR13" i="4"/>
  <c r="AZ13" i="4"/>
  <c r="AL13" i="4"/>
  <c r="AT13" i="4"/>
  <c r="BB13" i="4"/>
  <c r="AE13" i="4"/>
  <c r="AM13" i="4"/>
  <c r="AU13" i="4"/>
  <c r="BC13" i="4"/>
  <c r="AF13" i="4"/>
  <c r="AN13" i="4"/>
  <c r="AV13" i="4"/>
  <c r="AH13" i="4"/>
  <c r="AP13" i="4"/>
  <c r="AX13" i="4"/>
  <c r="AG13" i="4"/>
  <c r="AO13" i="4"/>
  <c r="AK13" i="4"/>
  <c r="AS13" i="4"/>
  <c r="AW13" i="4"/>
  <c r="BA13" i="4"/>
  <c r="AJ28" i="4"/>
  <c r="AR28" i="4"/>
  <c r="AZ28" i="4"/>
  <c r="AK28" i="4"/>
  <c r="AS28" i="4"/>
  <c r="BA28" i="4"/>
  <c r="AE28" i="4"/>
  <c r="AM28" i="4"/>
  <c r="AU28" i="4"/>
  <c r="BC28" i="4"/>
  <c r="AG28" i="4"/>
  <c r="AO28" i="4"/>
  <c r="AW28" i="4"/>
  <c r="AL28" i="4"/>
  <c r="BB28" i="4"/>
  <c r="AN28" i="4"/>
  <c r="AT28" i="4"/>
  <c r="AF28" i="4"/>
  <c r="AV28" i="4"/>
  <c r="AY28" i="4"/>
  <c r="AP28" i="4"/>
  <c r="AH28" i="4"/>
  <c r="AX28" i="4"/>
  <c r="AI28" i="4"/>
  <c r="AQ28" i="4"/>
  <c r="AH30" i="4"/>
  <c r="AP30" i="4"/>
  <c r="AX30" i="4"/>
  <c r="AI30" i="4"/>
  <c r="AQ30" i="4"/>
  <c r="AY30" i="4"/>
  <c r="AK30" i="4"/>
  <c r="AS30" i="4"/>
  <c r="BA30" i="4"/>
  <c r="AE30" i="4"/>
  <c r="AM30" i="4"/>
  <c r="AU30" i="4"/>
  <c r="BC30" i="4"/>
  <c r="AJ30" i="4"/>
  <c r="AZ30" i="4"/>
  <c r="AL30" i="4"/>
  <c r="BB30" i="4"/>
  <c r="AR30" i="4"/>
  <c r="AT30" i="4"/>
  <c r="AG30" i="4"/>
  <c r="AO30" i="4"/>
  <c r="AF30" i="4"/>
  <c r="AV30" i="4"/>
  <c r="AW30" i="4"/>
  <c r="AN30" i="4"/>
  <c r="AB67" i="4"/>
  <c r="AB96" i="4" s="1"/>
  <c r="AB77" i="4"/>
  <c r="AB106" i="4" s="1"/>
  <c r="AE9" i="4"/>
  <c r="AM9" i="4"/>
  <c r="AU9" i="4"/>
  <c r="BC9" i="4"/>
  <c r="AF9" i="4"/>
  <c r="AN9" i="4"/>
  <c r="AV9" i="4"/>
  <c r="AH9" i="4"/>
  <c r="AP9" i="4"/>
  <c r="AX9" i="4"/>
  <c r="AI9" i="4"/>
  <c r="AQ9" i="4"/>
  <c r="AY9" i="4"/>
  <c r="AJ9" i="4"/>
  <c r="AR9" i="4"/>
  <c r="AZ9" i="4"/>
  <c r="AL9" i="4"/>
  <c r="AT9" i="4"/>
  <c r="BB9" i="4"/>
  <c r="AG9" i="4"/>
  <c r="AK9" i="4"/>
  <c r="AO9" i="4"/>
  <c r="AS9" i="4"/>
  <c r="AW9" i="4"/>
  <c r="BA9" i="4"/>
  <c r="AE17" i="4"/>
  <c r="AM17" i="4"/>
  <c r="AU17" i="4"/>
  <c r="BC17" i="4"/>
  <c r="AF17" i="4"/>
  <c r="AN17" i="4"/>
  <c r="AV17" i="4"/>
  <c r="AH17" i="4"/>
  <c r="AP17" i="4"/>
  <c r="AX17" i="4"/>
  <c r="AI17" i="4"/>
  <c r="AQ17" i="4"/>
  <c r="AY17" i="4"/>
  <c r="AJ17" i="4"/>
  <c r="AR17" i="4"/>
  <c r="AZ17" i="4"/>
  <c r="AL17" i="4"/>
  <c r="AT17" i="4"/>
  <c r="BB17" i="4"/>
  <c r="AG17" i="4"/>
  <c r="AK17" i="4"/>
  <c r="AO17" i="4"/>
  <c r="AS17" i="4"/>
  <c r="AW17" i="4"/>
  <c r="BA17" i="4"/>
  <c r="AI29" i="4"/>
  <c r="AQ29" i="4"/>
  <c r="AY29" i="4"/>
  <c r="AJ29" i="4"/>
  <c r="AR29" i="4"/>
  <c r="AZ29" i="4"/>
  <c r="AL29" i="4"/>
  <c r="AT29" i="4"/>
  <c r="BB29" i="4"/>
  <c r="AF29" i="4"/>
  <c r="AN29" i="4"/>
  <c r="AV29" i="4"/>
  <c r="AS29" i="4"/>
  <c r="AU29" i="4"/>
  <c r="AW29" i="4"/>
  <c r="AH29" i="4"/>
  <c r="AE29" i="4"/>
  <c r="AG29" i="4"/>
  <c r="AX29" i="4"/>
  <c r="AK29" i="4"/>
  <c r="BA29" i="4"/>
  <c r="AM29" i="4"/>
  <c r="BC29" i="4"/>
  <c r="AO29" i="4"/>
  <c r="AP29" i="4"/>
  <c r="AF8" i="4"/>
  <c r="AN8" i="4"/>
  <c r="AV8" i="4"/>
  <c r="AG8" i="4"/>
  <c r="AO8" i="4"/>
  <c r="AW8" i="4"/>
  <c r="AI8" i="4"/>
  <c r="AQ8" i="4"/>
  <c r="AY8" i="4"/>
  <c r="AJ8" i="4"/>
  <c r="AR8" i="4"/>
  <c r="AZ8" i="4"/>
  <c r="AK8" i="4"/>
  <c r="AS8" i="4"/>
  <c r="BA8" i="4"/>
  <c r="AE8" i="4"/>
  <c r="AM8" i="4"/>
  <c r="AU8" i="4"/>
  <c r="BC8" i="4"/>
  <c r="AL8" i="4"/>
  <c r="AH8" i="4"/>
  <c r="AP8" i="4"/>
  <c r="AT8" i="4"/>
  <c r="AX8" i="4"/>
  <c r="BB8" i="4"/>
  <c r="AL10" i="4"/>
  <c r="AT10" i="4"/>
  <c r="BB10" i="4"/>
  <c r="AE10" i="4"/>
  <c r="AM10" i="4"/>
  <c r="AU10" i="4"/>
  <c r="BC10" i="4"/>
  <c r="AG10" i="4"/>
  <c r="AO10" i="4"/>
  <c r="AW10" i="4"/>
  <c r="AH10" i="4"/>
  <c r="AP10" i="4"/>
  <c r="AX10" i="4"/>
  <c r="AI10" i="4"/>
  <c r="AQ10" i="4"/>
  <c r="AY10" i="4"/>
  <c r="AK10" i="4"/>
  <c r="AS10" i="4"/>
  <c r="BA10" i="4"/>
  <c r="AN10" i="4"/>
  <c r="AR10" i="4"/>
  <c r="AV10" i="4"/>
  <c r="AZ10" i="4"/>
  <c r="AF10" i="4"/>
  <c r="AJ10" i="4"/>
  <c r="AL18" i="4"/>
  <c r="AT18" i="4"/>
  <c r="BB18" i="4"/>
  <c r="AE18" i="4"/>
  <c r="AM18" i="4"/>
  <c r="AU18" i="4"/>
  <c r="BC18" i="4"/>
  <c r="AG18" i="4"/>
  <c r="AO18" i="4"/>
  <c r="AW18" i="4"/>
  <c r="AH18" i="4"/>
  <c r="AP18" i="4"/>
  <c r="AX18" i="4"/>
  <c r="AI18" i="4"/>
  <c r="AQ18" i="4"/>
  <c r="AY18" i="4"/>
  <c r="AK18" i="4"/>
  <c r="AS18" i="4"/>
  <c r="BA18" i="4"/>
  <c r="AJ18" i="4"/>
  <c r="AR18" i="4"/>
  <c r="AN18" i="4"/>
  <c r="AV18" i="4"/>
  <c r="AZ18" i="4"/>
  <c r="AF18" i="4"/>
  <c r="AY86" i="4"/>
  <c r="AK11" i="4"/>
  <c r="AS11" i="4"/>
  <c r="BA11" i="4"/>
  <c r="AL11" i="4"/>
  <c r="AT11" i="4"/>
  <c r="BB11" i="4"/>
  <c r="AF11" i="4"/>
  <c r="AN11" i="4"/>
  <c r="AV11" i="4"/>
  <c r="AG11" i="4"/>
  <c r="AO11" i="4"/>
  <c r="AW11" i="4"/>
  <c r="AH11" i="4"/>
  <c r="AP11" i="4"/>
  <c r="AX11" i="4"/>
  <c r="AJ11" i="4"/>
  <c r="AR11" i="4"/>
  <c r="AZ11" i="4"/>
  <c r="AY11" i="4"/>
  <c r="BC11" i="4"/>
  <c r="AE11" i="4"/>
  <c r="AI11" i="4"/>
  <c r="AM11" i="4"/>
  <c r="AQ11" i="4"/>
  <c r="AU11" i="4"/>
  <c r="AK19" i="4"/>
  <c r="AS19" i="4"/>
  <c r="BA19" i="4"/>
  <c r="AL19" i="4"/>
  <c r="AT19" i="4"/>
  <c r="BB19" i="4"/>
  <c r="AF19" i="4"/>
  <c r="AN19" i="4"/>
  <c r="AV19" i="4"/>
  <c r="AG19" i="4"/>
  <c r="AO19" i="4"/>
  <c r="AW19" i="4"/>
  <c r="AH19" i="4"/>
  <c r="AP19" i="4"/>
  <c r="AX19" i="4"/>
  <c r="AJ19" i="4"/>
  <c r="AR19" i="4"/>
  <c r="AZ19" i="4"/>
  <c r="AQ19" i="4"/>
  <c r="AU19" i="4"/>
  <c r="AY19" i="4"/>
  <c r="BC19" i="4"/>
  <c r="AE19" i="4"/>
  <c r="AI19" i="4"/>
  <c r="AM19" i="4"/>
  <c r="AH14" i="4"/>
  <c r="AH75" i="4" s="1"/>
  <c r="AP14" i="4"/>
  <c r="AP75" i="4" s="1"/>
  <c r="AX14" i="4"/>
  <c r="AX75" i="4" s="1"/>
  <c r="AI14" i="4"/>
  <c r="AI75" i="4" s="1"/>
  <c r="AQ14" i="4"/>
  <c r="AQ75" i="4" s="1"/>
  <c r="AY14" i="4"/>
  <c r="AK14" i="4"/>
  <c r="AK75" i="4" s="1"/>
  <c r="AS14" i="4"/>
  <c r="AS75" i="4" s="1"/>
  <c r="BA14" i="4"/>
  <c r="BA75" i="4" s="1"/>
  <c r="AL14" i="4"/>
  <c r="AL75" i="4" s="1"/>
  <c r="AT14" i="4"/>
  <c r="AT75" i="4" s="1"/>
  <c r="BB14" i="4"/>
  <c r="BB75" i="4" s="1"/>
  <c r="AE14" i="4"/>
  <c r="AM14" i="4"/>
  <c r="AM75" i="4" s="1"/>
  <c r="AU14" i="4"/>
  <c r="AU75" i="4" s="1"/>
  <c r="BC14" i="4"/>
  <c r="BC75" i="4" s="1"/>
  <c r="AG14" i="4"/>
  <c r="AG75" i="4" s="1"/>
  <c r="AO14" i="4"/>
  <c r="AO75" i="4" s="1"/>
  <c r="AW14" i="4"/>
  <c r="AW75" i="4" s="1"/>
  <c r="AN14" i="4"/>
  <c r="AN75" i="4" s="1"/>
  <c r="AR14" i="4"/>
  <c r="AR75" i="4" s="1"/>
  <c r="AV14" i="4"/>
  <c r="AV75" i="4" s="1"/>
  <c r="AZ14" i="4"/>
  <c r="AZ75" i="4" s="1"/>
  <c r="AF14" i="4"/>
  <c r="AF75" i="4" s="1"/>
  <c r="AJ14" i="4"/>
  <c r="AJ75" i="4" s="1"/>
  <c r="AH22" i="4"/>
  <c r="AP22" i="4"/>
  <c r="AX22" i="4"/>
  <c r="AI22" i="4"/>
  <c r="AQ22" i="4"/>
  <c r="AY22" i="4"/>
  <c r="AK22" i="4"/>
  <c r="AS22" i="4"/>
  <c r="BA22" i="4"/>
  <c r="AL22" i="4"/>
  <c r="AT22" i="4"/>
  <c r="BB22" i="4"/>
  <c r="AE22" i="4"/>
  <c r="AM22" i="4"/>
  <c r="AU22" i="4"/>
  <c r="BC22" i="4"/>
  <c r="AG22" i="4"/>
  <c r="AO22" i="4"/>
  <c r="AW22" i="4"/>
  <c r="AF22" i="4"/>
  <c r="AJ22" i="4"/>
  <c r="AN22" i="4"/>
  <c r="AV22" i="4"/>
  <c r="AZ22" i="4"/>
  <c r="AR22" i="4"/>
  <c r="AI86" i="4"/>
  <c r="AF6" i="4"/>
  <c r="AN6" i="4"/>
  <c r="AV6" i="4"/>
  <c r="AE6" i="4"/>
  <c r="AH6" i="4"/>
  <c r="AP6" i="4"/>
  <c r="AX6" i="4"/>
  <c r="AJ6" i="4"/>
  <c r="AR6" i="4"/>
  <c r="AZ6" i="4"/>
  <c r="AM6" i="4"/>
  <c r="BA6" i="4"/>
  <c r="AO6" i="4"/>
  <c r="BC6" i="4"/>
  <c r="AS6" i="4"/>
  <c r="BB6" i="4"/>
  <c r="AQ6" i="4"/>
  <c r="AG6" i="4"/>
  <c r="AT6" i="4"/>
  <c r="AI6" i="4"/>
  <c r="AU6" i="4"/>
  <c r="AL6" i="4"/>
  <c r="AK6" i="4"/>
  <c r="AW6" i="4"/>
  <c r="AY6" i="4"/>
  <c r="AJ20" i="4"/>
  <c r="AR20" i="4"/>
  <c r="AZ20" i="4"/>
  <c r="AK20" i="4"/>
  <c r="AS20" i="4"/>
  <c r="BA20" i="4"/>
  <c r="AE20" i="4"/>
  <c r="AM20" i="4"/>
  <c r="AU20" i="4"/>
  <c r="BC20" i="4"/>
  <c r="AF20" i="4"/>
  <c r="AN20" i="4"/>
  <c r="AV20" i="4"/>
  <c r="AG20" i="4"/>
  <c r="AO20" i="4"/>
  <c r="AW20" i="4"/>
  <c r="AI20" i="4"/>
  <c r="AQ20" i="4"/>
  <c r="AY20" i="4"/>
  <c r="AX20" i="4"/>
  <c r="BB20" i="4"/>
  <c r="AH20" i="4"/>
  <c r="AL20" i="4"/>
  <c r="AP20" i="4"/>
  <c r="AT20" i="4"/>
  <c r="AG15" i="4"/>
  <c r="AG76" i="4" s="1"/>
  <c r="AO15" i="4"/>
  <c r="AO76" i="4" s="1"/>
  <c r="AW15" i="4"/>
  <c r="AW76" i="4" s="1"/>
  <c r="AH15" i="4"/>
  <c r="AH76" i="4" s="1"/>
  <c r="AP15" i="4"/>
  <c r="AP76" i="4" s="1"/>
  <c r="AX15" i="4"/>
  <c r="AX76" i="4" s="1"/>
  <c r="AJ15" i="4"/>
  <c r="AJ76" i="4" s="1"/>
  <c r="AR15" i="4"/>
  <c r="AR76" i="4" s="1"/>
  <c r="AZ15" i="4"/>
  <c r="AZ76" i="4" s="1"/>
  <c r="AK15" i="4"/>
  <c r="AK76" i="4" s="1"/>
  <c r="AS15" i="4"/>
  <c r="AS76" i="4" s="1"/>
  <c r="BA15" i="4"/>
  <c r="BA76" i="4" s="1"/>
  <c r="AL15" i="4"/>
  <c r="AT15" i="4"/>
  <c r="AT76" i="4" s="1"/>
  <c r="BB15" i="4"/>
  <c r="BB76" i="4" s="1"/>
  <c r="AF15" i="4"/>
  <c r="AF76" i="4" s="1"/>
  <c r="AN15" i="4"/>
  <c r="AN76" i="4" s="1"/>
  <c r="AV15" i="4"/>
  <c r="AV76" i="4" s="1"/>
  <c r="AU15" i="4"/>
  <c r="AU76" i="4" s="1"/>
  <c r="BC15" i="4"/>
  <c r="BC76" i="4" s="1"/>
  <c r="AY15" i="4"/>
  <c r="AY76" i="4" s="1"/>
  <c r="AE15" i="4"/>
  <c r="AE76" i="4" s="1"/>
  <c r="AI15" i="4"/>
  <c r="AI76" i="4" s="1"/>
  <c r="AM15" i="4"/>
  <c r="AM76" i="4" s="1"/>
  <c r="AQ15" i="4"/>
  <c r="AQ76" i="4" s="1"/>
  <c r="AY75" i="4"/>
  <c r="AV53" i="4"/>
  <c r="AN53" i="4"/>
  <c r="AF53" i="4"/>
  <c r="BC53" i="4"/>
  <c r="AU53" i="4"/>
  <c r="AM53" i="4"/>
  <c r="AE53" i="4"/>
  <c r="BA53" i="4"/>
  <c r="AS53" i="4"/>
  <c r="AK53" i="4"/>
  <c r="AZ53" i="4"/>
  <c r="AR53" i="4"/>
  <c r="AJ53" i="4"/>
  <c r="AY53" i="4"/>
  <c r="AQ53" i="4"/>
  <c r="AI53" i="4"/>
  <c r="AL53" i="4"/>
  <c r="AL83" i="4" s="1"/>
  <c r="AH53" i="4"/>
  <c r="BB53" i="4"/>
  <c r="AG53" i="4"/>
  <c r="AX53" i="4"/>
  <c r="AT53" i="4"/>
  <c r="AP53" i="4"/>
  <c r="AW53" i="4"/>
  <c r="AO53" i="4"/>
  <c r="BA48" i="4"/>
  <c r="AS48" i="4"/>
  <c r="AK48" i="4"/>
  <c r="AZ48" i="4"/>
  <c r="AR48" i="4"/>
  <c r="AJ48" i="4"/>
  <c r="AJ78" i="4" s="1"/>
  <c r="AX48" i="4"/>
  <c r="AP48" i="4"/>
  <c r="AH48" i="4"/>
  <c r="AW48" i="4"/>
  <c r="AO48" i="4"/>
  <c r="AO78" i="4" s="1"/>
  <c r="AG48" i="4"/>
  <c r="AV48" i="4"/>
  <c r="AN48" i="4"/>
  <c r="AN78" i="4" s="1"/>
  <c r="AF48" i="4"/>
  <c r="BC48" i="4"/>
  <c r="AI48" i="4"/>
  <c r="AI78" i="4" s="1"/>
  <c r="BB48" i="4"/>
  <c r="BB78" i="4" s="1"/>
  <c r="AE48" i="4"/>
  <c r="AY48" i="4"/>
  <c r="AU48" i="4"/>
  <c r="AU78" i="4" s="1"/>
  <c r="AQ48" i="4"/>
  <c r="AQ78" i="4" s="1"/>
  <c r="AM48" i="4"/>
  <c r="AT48" i="4"/>
  <c r="AL48" i="4"/>
  <c r="AY58" i="4"/>
  <c r="AQ58" i="4"/>
  <c r="AI58" i="4"/>
  <c r="AX58" i="4"/>
  <c r="AP58" i="4"/>
  <c r="AH58" i="4"/>
  <c r="AV58" i="4"/>
  <c r="AN58" i="4"/>
  <c r="AF58" i="4"/>
  <c r="BC58" i="4"/>
  <c r="AU58" i="4"/>
  <c r="AM58" i="4"/>
  <c r="AE58" i="4"/>
  <c r="BB58" i="4"/>
  <c r="AT58" i="4"/>
  <c r="AL58" i="4"/>
  <c r="AO58" i="4"/>
  <c r="AK58" i="4"/>
  <c r="AJ58" i="4"/>
  <c r="BA58" i="4"/>
  <c r="AG58" i="4"/>
  <c r="AW58" i="4"/>
  <c r="AS58" i="4"/>
  <c r="AZ58" i="4"/>
  <c r="AR58" i="4"/>
  <c r="BD56" i="4"/>
  <c r="AZ49" i="4"/>
  <c r="AR49" i="4"/>
  <c r="AJ49" i="4"/>
  <c r="AY49" i="4"/>
  <c r="AQ49" i="4"/>
  <c r="AI49" i="4"/>
  <c r="AW49" i="4"/>
  <c r="AO49" i="4"/>
  <c r="AG49" i="4"/>
  <c r="AV49" i="4"/>
  <c r="AV79" i="4" s="1"/>
  <c r="AN49" i="4"/>
  <c r="AF49" i="4"/>
  <c r="BC49" i="4"/>
  <c r="AU49" i="4"/>
  <c r="AM49" i="4"/>
  <c r="AE49" i="4"/>
  <c r="BA49" i="4"/>
  <c r="AX49" i="4"/>
  <c r="AT49" i="4"/>
  <c r="AS49" i="4"/>
  <c r="AL49" i="4"/>
  <c r="AK49" i="4"/>
  <c r="BB49" i="4"/>
  <c r="AP49" i="4"/>
  <c r="AH49" i="4"/>
  <c r="AW60" i="4"/>
  <c r="AO60" i="4"/>
  <c r="AG60" i="4"/>
  <c r="AV60" i="4"/>
  <c r="AN60" i="4"/>
  <c r="AN90" i="4" s="1"/>
  <c r="AF60" i="4"/>
  <c r="AF90" i="4" s="1"/>
  <c r="BB60" i="4"/>
  <c r="AT60" i="4"/>
  <c r="AL60" i="4"/>
  <c r="BA60" i="4"/>
  <c r="BA90" i="4" s="1"/>
  <c r="AS60" i="4"/>
  <c r="AK60" i="4"/>
  <c r="AZ60" i="4"/>
  <c r="AR60" i="4"/>
  <c r="AJ60" i="4"/>
  <c r="BC60" i="4"/>
  <c r="AH60" i="4"/>
  <c r="AY60" i="4"/>
  <c r="AY90" i="4" s="1"/>
  <c r="AE60" i="4"/>
  <c r="AX60" i="4"/>
  <c r="AU60" i="4"/>
  <c r="AP60" i="4"/>
  <c r="AM60" i="4"/>
  <c r="AQ60" i="4"/>
  <c r="AQ90" i="4" s="1"/>
  <c r="AI60" i="4"/>
  <c r="BC41" i="4"/>
  <c r="AU41" i="4"/>
  <c r="AM41" i="4"/>
  <c r="AE41" i="4"/>
  <c r="BB41" i="4"/>
  <c r="AT41" i="4"/>
  <c r="AL41" i="4"/>
  <c r="AL71" i="4" s="1"/>
  <c r="BA41" i="4"/>
  <c r="AS41" i="4"/>
  <c r="AK41" i="4"/>
  <c r="AZ41" i="4"/>
  <c r="AR41" i="4"/>
  <c r="AJ41" i="4"/>
  <c r="AX41" i="4"/>
  <c r="AP41" i="4"/>
  <c r="AH41" i="4"/>
  <c r="AW41" i="4"/>
  <c r="AO41" i="4"/>
  <c r="AG41" i="4"/>
  <c r="AI41" i="4"/>
  <c r="AF41" i="4"/>
  <c r="AN41" i="4"/>
  <c r="AQ41" i="4"/>
  <c r="AY41" i="4"/>
  <c r="AY71" i="4" s="1"/>
  <c r="AV41" i="4"/>
  <c r="AX51" i="4"/>
  <c r="AP51" i="4"/>
  <c r="AH51" i="4"/>
  <c r="AW51" i="4"/>
  <c r="AO51" i="4"/>
  <c r="AG51" i="4"/>
  <c r="BC51" i="4"/>
  <c r="AU51" i="4"/>
  <c r="AM51" i="4"/>
  <c r="AE51" i="4"/>
  <c r="BB51" i="4"/>
  <c r="AT51" i="4"/>
  <c r="AL51" i="4"/>
  <c r="BA51" i="4"/>
  <c r="AS51" i="4"/>
  <c r="AK51" i="4"/>
  <c r="AR51" i="4"/>
  <c r="AQ51" i="4"/>
  <c r="AN51" i="4"/>
  <c r="AJ51" i="4"/>
  <c r="AZ51" i="4"/>
  <c r="AF51" i="4"/>
  <c r="AY51" i="4"/>
  <c r="AI51" i="4"/>
  <c r="AV51" i="4"/>
  <c r="BC61" i="4"/>
  <c r="BB61" i="4"/>
  <c r="AV61" i="4"/>
  <c r="AN61" i="4"/>
  <c r="AF61" i="4"/>
  <c r="AU61" i="4"/>
  <c r="AM61" i="4"/>
  <c r="AE61" i="4"/>
  <c r="AE91" i="4" s="1"/>
  <c r="BA61" i="4"/>
  <c r="AS61" i="4"/>
  <c r="AK61" i="4"/>
  <c r="AZ61" i="4"/>
  <c r="AZ91" i="4" s="1"/>
  <c r="AR61" i="4"/>
  <c r="AR91" i="4" s="1"/>
  <c r="AJ61" i="4"/>
  <c r="AY61" i="4"/>
  <c r="AQ61" i="4"/>
  <c r="AI61" i="4"/>
  <c r="AX61" i="4"/>
  <c r="AW61" i="4"/>
  <c r="AT61" i="4"/>
  <c r="AP61" i="4"/>
  <c r="AP91" i="4" s="1"/>
  <c r="AL61" i="4"/>
  <c r="AL91" i="4" s="1"/>
  <c r="AH61" i="4"/>
  <c r="AO61" i="4"/>
  <c r="AG61" i="4"/>
  <c r="AY50" i="4"/>
  <c r="AQ50" i="4"/>
  <c r="AI50" i="4"/>
  <c r="AX50" i="4"/>
  <c r="AX80" i="4" s="1"/>
  <c r="AP50" i="4"/>
  <c r="AH50" i="4"/>
  <c r="AV50" i="4"/>
  <c r="AN50" i="4"/>
  <c r="AF50" i="4"/>
  <c r="BC50" i="4"/>
  <c r="AU50" i="4"/>
  <c r="AM50" i="4"/>
  <c r="AE50" i="4"/>
  <c r="BB50" i="4"/>
  <c r="AT50" i="4"/>
  <c r="AL50" i="4"/>
  <c r="AW50" i="4"/>
  <c r="AS50" i="4"/>
  <c r="AR50" i="4"/>
  <c r="AO50" i="4"/>
  <c r="AJ50" i="4"/>
  <c r="BA50" i="4"/>
  <c r="AG50" i="4"/>
  <c r="AK50" i="4"/>
  <c r="AZ50" i="4"/>
  <c r="AW39" i="4"/>
  <c r="AO39" i="4"/>
  <c r="AG39" i="4"/>
  <c r="AV39" i="4"/>
  <c r="AN39" i="4"/>
  <c r="AF39" i="4"/>
  <c r="BC39" i="4"/>
  <c r="AU39" i="4"/>
  <c r="AM39" i="4"/>
  <c r="AE39" i="4"/>
  <c r="BB39" i="4"/>
  <c r="AT39" i="4"/>
  <c r="AL39" i="4"/>
  <c r="AZ39" i="4"/>
  <c r="AZ69" i="4" s="1"/>
  <c r="AR39" i="4"/>
  <c r="AJ39" i="4"/>
  <c r="AY39" i="4"/>
  <c r="AQ39" i="4"/>
  <c r="AI39" i="4"/>
  <c r="BA39" i="4"/>
  <c r="AX39" i="4"/>
  <c r="AS39" i="4"/>
  <c r="AP39" i="4"/>
  <c r="AK39" i="4"/>
  <c r="AH39" i="4"/>
  <c r="BC43" i="4"/>
  <c r="BC73" i="4" s="1"/>
  <c r="AU43" i="4"/>
  <c r="AM43" i="4"/>
  <c r="AE43" i="4"/>
  <c r="BB43" i="4"/>
  <c r="BB73" i="4" s="1"/>
  <c r="AT43" i="4"/>
  <c r="AL43" i="4"/>
  <c r="AW43" i="4"/>
  <c r="AK43" i="4"/>
  <c r="AV43" i="4"/>
  <c r="AJ43" i="4"/>
  <c r="AS43" i="4"/>
  <c r="AI43" i="4"/>
  <c r="AI73" i="4" s="1"/>
  <c r="AR43" i="4"/>
  <c r="AR73" i="4" s="1"/>
  <c r="AH43" i="4"/>
  <c r="AH73" i="4" s="1"/>
  <c r="AZ43" i="4"/>
  <c r="AP43" i="4"/>
  <c r="AF43" i="4"/>
  <c r="AY43" i="4"/>
  <c r="AO43" i="4"/>
  <c r="BA43" i="4"/>
  <c r="AG43" i="4"/>
  <c r="AX43" i="4"/>
  <c r="AQ43" i="4"/>
  <c r="AQ73" i="4" s="1"/>
  <c r="AN43" i="4"/>
  <c r="AW52" i="4"/>
  <c r="AO52" i="4"/>
  <c r="AG52" i="4"/>
  <c r="AV52" i="4"/>
  <c r="AN52" i="4"/>
  <c r="AF52" i="4"/>
  <c r="BB52" i="4"/>
  <c r="AT52" i="4"/>
  <c r="AL52" i="4"/>
  <c r="BA52" i="4"/>
  <c r="AS52" i="4"/>
  <c r="AS82" i="4" s="1"/>
  <c r="AK52" i="4"/>
  <c r="AK82" i="4" s="1"/>
  <c r="AZ52" i="4"/>
  <c r="AR52" i="4"/>
  <c r="AR82" i="4" s="1"/>
  <c r="AJ52" i="4"/>
  <c r="AP52" i="4"/>
  <c r="AP82" i="4" s="1"/>
  <c r="AM52" i="4"/>
  <c r="AM82" i="4" s="1"/>
  <c r="AI52" i="4"/>
  <c r="BC52" i="4"/>
  <c r="BC82" i="4" s="1"/>
  <c r="AH52" i="4"/>
  <c r="AX52" i="4"/>
  <c r="AX82" i="4" s="1"/>
  <c r="AU52" i="4"/>
  <c r="AY52" i="4"/>
  <c r="AY82" i="4" s="1"/>
  <c r="AQ52" i="4"/>
  <c r="AQ82" i="4" s="1"/>
  <c r="AE52" i="4"/>
  <c r="BD45" i="4"/>
  <c r="AX59" i="4"/>
  <c r="AP59" i="4"/>
  <c r="AH59" i="4"/>
  <c r="AW59" i="4"/>
  <c r="AO59" i="4"/>
  <c r="AG59" i="4"/>
  <c r="AG89" i="4" s="1"/>
  <c r="BC59" i="4"/>
  <c r="AU59" i="4"/>
  <c r="AU89" i="4" s="1"/>
  <c r="AM59" i="4"/>
  <c r="AM89" i="4" s="1"/>
  <c r="AE59" i="4"/>
  <c r="BB59" i="4"/>
  <c r="AT59" i="4"/>
  <c r="AT89" i="4" s="1"/>
  <c r="AL59" i="4"/>
  <c r="BA59" i="4"/>
  <c r="AS59" i="4"/>
  <c r="AK59" i="4"/>
  <c r="AJ59" i="4"/>
  <c r="AJ89" i="4" s="1"/>
  <c r="AI59" i="4"/>
  <c r="AZ59" i="4"/>
  <c r="AZ89" i="4" s="1"/>
  <c r="AF59" i="4"/>
  <c r="AY59" i="4"/>
  <c r="AR59" i="4"/>
  <c r="AQ59" i="4"/>
  <c r="AQ89" i="4" s="1"/>
  <c r="AV59" i="4"/>
  <c r="AV89" i="4" s="1"/>
  <c r="AN59" i="4"/>
  <c r="AN89" i="4" s="1"/>
  <c r="BB44" i="4"/>
  <c r="AT44" i="4"/>
  <c r="AL44" i="4"/>
  <c r="BA44" i="4"/>
  <c r="BA74" i="4" s="1"/>
  <c r="AS44" i="4"/>
  <c r="AK44" i="4"/>
  <c r="AR44" i="4"/>
  <c r="AH44" i="4"/>
  <c r="AH74" i="4" s="1"/>
  <c r="BC44" i="4"/>
  <c r="AQ44" i="4"/>
  <c r="AQ74" i="4" s="1"/>
  <c r="AG44" i="4"/>
  <c r="AG74" i="4" s="1"/>
  <c r="AZ44" i="4"/>
  <c r="AP44" i="4"/>
  <c r="AP74" i="4" s="1"/>
  <c r="AF44" i="4"/>
  <c r="AY44" i="4"/>
  <c r="AO44" i="4"/>
  <c r="AE44" i="4"/>
  <c r="AW44" i="4"/>
  <c r="AM44" i="4"/>
  <c r="AV44" i="4"/>
  <c r="AJ44" i="4"/>
  <c r="AJ74" i="4" s="1"/>
  <c r="AN44" i="4"/>
  <c r="AU44" i="4"/>
  <c r="AU74" i="4" s="1"/>
  <c r="AI44" i="4"/>
  <c r="AI74" i="4" s="1"/>
  <c r="AX44" i="4"/>
  <c r="BC54" i="4"/>
  <c r="AU54" i="4"/>
  <c r="AM54" i="4"/>
  <c r="AM84" i="4" s="1"/>
  <c r="AE54" i="4"/>
  <c r="BB54" i="4"/>
  <c r="AT54" i="4"/>
  <c r="AL54" i="4"/>
  <c r="AL84" i="4" s="1"/>
  <c r="AZ54" i="4"/>
  <c r="AZ84" i="4" s="1"/>
  <c r="AR54" i="4"/>
  <c r="AJ54" i="4"/>
  <c r="AY54" i="4"/>
  <c r="AQ54" i="4"/>
  <c r="AI54" i="4"/>
  <c r="AI84" i="4" s="1"/>
  <c r="AX54" i="4"/>
  <c r="AP54" i="4"/>
  <c r="AP84" i="4" s="1"/>
  <c r="AH54" i="4"/>
  <c r="AG54" i="4"/>
  <c r="AG84" i="4" s="1"/>
  <c r="BA54" i="4"/>
  <c r="AF54" i="4"/>
  <c r="AF84" i="4" s="1"/>
  <c r="AW54" i="4"/>
  <c r="AW84" i="4" s="1"/>
  <c r="AV54" i="4"/>
  <c r="AO54" i="4"/>
  <c r="AN54" i="4"/>
  <c r="AN84" i="4" s="1"/>
  <c r="AS54" i="4"/>
  <c r="AS84" i="4" s="1"/>
  <c r="AK54" i="4"/>
  <c r="AV42" i="4"/>
  <c r="AN42" i="4"/>
  <c r="AN72" i="4" s="1"/>
  <c r="AF42" i="4"/>
  <c r="BC42" i="4"/>
  <c r="AU42" i="4"/>
  <c r="AM42" i="4"/>
  <c r="AE42" i="4"/>
  <c r="AZ42" i="4"/>
  <c r="AP42" i="4"/>
  <c r="AY42" i="4"/>
  <c r="AO42" i="4"/>
  <c r="AX42" i="4"/>
  <c r="AL42" i="4"/>
  <c r="AW42" i="4"/>
  <c r="AK42" i="4"/>
  <c r="AS42" i="4"/>
  <c r="AI42" i="4"/>
  <c r="BB42" i="4"/>
  <c r="AR42" i="4"/>
  <c r="AH42" i="4"/>
  <c r="AT42" i="4"/>
  <c r="AT72" i="4" s="1"/>
  <c r="AQ42" i="4"/>
  <c r="AQ72" i="4" s="1"/>
  <c r="AJ42" i="4"/>
  <c r="AJ72" i="4" s="1"/>
  <c r="AG42" i="4"/>
  <c r="BA42" i="4"/>
  <c r="BD46" i="4"/>
  <c r="AY37" i="4"/>
  <c r="AQ37" i="4"/>
  <c r="AI37" i="4"/>
  <c r="AX37" i="4"/>
  <c r="AP37" i="4"/>
  <c r="AH37" i="4"/>
  <c r="AW37" i="4"/>
  <c r="AO37" i="4"/>
  <c r="AG37" i="4"/>
  <c r="AV37" i="4"/>
  <c r="AN37" i="4"/>
  <c r="AN67" i="4" s="1"/>
  <c r="AF37" i="4"/>
  <c r="AF67" i="4" s="1"/>
  <c r="BB37" i="4"/>
  <c r="BB67" i="4" s="1"/>
  <c r="AT37" i="4"/>
  <c r="AL37" i="4"/>
  <c r="BA37" i="4"/>
  <c r="AS37" i="4"/>
  <c r="AK37" i="4"/>
  <c r="AM37" i="4"/>
  <c r="AJ37" i="4"/>
  <c r="AE37" i="4"/>
  <c r="AU37" i="4"/>
  <c r="AR37" i="4"/>
  <c r="BC37" i="4"/>
  <c r="AZ37" i="4"/>
  <c r="AX38" i="4"/>
  <c r="AX68" i="4" s="1"/>
  <c r="AP38" i="4"/>
  <c r="AH38" i="4"/>
  <c r="AW38" i="4"/>
  <c r="AO38" i="4"/>
  <c r="AG38" i="4"/>
  <c r="AV38" i="4"/>
  <c r="AN38" i="4"/>
  <c r="AF38" i="4"/>
  <c r="AF68" i="4" s="1"/>
  <c r="BC38" i="4"/>
  <c r="AU38" i="4"/>
  <c r="AM38" i="4"/>
  <c r="AE38" i="4"/>
  <c r="BA38" i="4"/>
  <c r="AS38" i="4"/>
  <c r="AK38" i="4"/>
  <c r="AZ38" i="4"/>
  <c r="AR38" i="4"/>
  <c r="AR68" i="4" s="1"/>
  <c r="AJ38" i="4"/>
  <c r="AT38" i="4"/>
  <c r="AT68" i="4" s="1"/>
  <c r="BB38" i="4"/>
  <c r="AQ38" i="4"/>
  <c r="AQ68" i="4" s="1"/>
  <c r="AL38" i="4"/>
  <c r="AL68" i="4" s="1"/>
  <c r="AI38" i="4"/>
  <c r="AI68" i="4" s="1"/>
  <c r="AY38" i="4"/>
  <c r="BB55" i="4"/>
  <c r="AT55" i="4"/>
  <c r="AT85" i="4" s="1"/>
  <c r="AL55" i="4"/>
  <c r="AL85" i="4" s="1"/>
  <c r="BA55" i="4"/>
  <c r="AS55" i="4"/>
  <c r="AK55" i="4"/>
  <c r="AY55" i="4"/>
  <c r="AQ55" i="4"/>
  <c r="AQ85" i="4" s="1"/>
  <c r="AI55" i="4"/>
  <c r="AX55" i="4"/>
  <c r="AP55" i="4"/>
  <c r="AH55" i="4"/>
  <c r="AW55" i="4"/>
  <c r="AO55" i="4"/>
  <c r="AG55" i="4"/>
  <c r="AZ55" i="4"/>
  <c r="AE55" i="4"/>
  <c r="AV55" i="4"/>
  <c r="AU55" i="4"/>
  <c r="AU85" i="4" s="1"/>
  <c r="AR55" i="4"/>
  <c r="AR85" i="4" s="1"/>
  <c r="AM55" i="4"/>
  <c r="AJ55" i="4"/>
  <c r="BC55" i="4"/>
  <c r="AN55" i="4"/>
  <c r="AN85" i="4" s="1"/>
  <c r="AF55" i="4"/>
  <c r="AV40" i="4"/>
  <c r="AV70" i="4" s="1"/>
  <c r="AN40" i="4"/>
  <c r="AF40" i="4"/>
  <c r="AF70" i="4" s="1"/>
  <c r="BC40" i="4"/>
  <c r="BC70" i="4" s="1"/>
  <c r="AU40" i="4"/>
  <c r="AM40" i="4"/>
  <c r="AE40" i="4"/>
  <c r="BB40" i="4"/>
  <c r="AT40" i="4"/>
  <c r="AL40" i="4"/>
  <c r="BA40" i="4"/>
  <c r="AS40" i="4"/>
  <c r="AS70" i="4" s="1"/>
  <c r="AK40" i="4"/>
  <c r="AK70" i="4" s="1"/>
  <c r="AY40" i="4"/>
  <c r="AY70" i="4" s="1"/>
  <c r="AQ40" i="4"/>
  <c r="AQ70" i="4" s="1"/>
  <c r="AI40" i="4"/>
  <c r="AX40" i="4"/>
  <c r="AP40" i="4"/>
  <c r="AH40" i="4"/>
  <c r="AG40" i="4"/>
  <c r="AG70" i="4" s="1"/>
  <c r="AJ40" i="4"/>
  <c r="AZ40" i="4"/>
  <c r="AW40" i="4"/>
  <c r="AR40" i="4"/>
  <c r="AR70" i="4" s="1"/>
  <c r="AO40" i="4"/>
  <c r="BB47" i="4"/>
  <c r="AT47" i="4"/>
  <c r="AL47" i="4"/>
  <c r="BA47" i="4"/>
  <c r="BA77" i="4" s="1"/>
  <c r="AS47" i="4"/>
  <c r="AK47" i="4"/>
  <c r="AY47" i="4"/>
  <c r="AY77" i="4" s="1"/>
  <c r="AQ47" i="4"/>
  <c r="AI47" i="4"/>
  <c r="AI77" i="4" s="1"/>
  <c r="AX47" i="4"/>
  <c r="AX77" i="4" s="1"/>
  <c r="AP47" i="4"/>
  <c r="AP77" i="4" s="1"/>
  <c r="AH47" i="4"/>
  <c r="AW47" i="4"/>
  <c r="AO47" i="4"/>
  <c r="AG47" i="4"/>
  <c r="AM47" i="4"/>
  <c r="AM77" i="4" s="1"/>
  <c r="AJ47" i="4"/>
  <c r="BC47" i="4"/>
  <c r="AF47" i="4"/>
  <c r="AF77" i="4" s="1"/>
  <c r="AZ47" i="4"/>
  <c r="AE47" i="4"/>
  <c r="AU47" i="4"/>
  <c r="AR47" i="4"/>
  <c r="AV47" i="4"/>
  <c r="AV77" i="4" s="1"/>
  <c r="AN47" i="4"/>
  <c r="AZ57" i="4"/>
  <c r="AR57" i="4"/>
  <c r="AJ57" i="4"/>
  <c r="AJ87" i="4" s="1"/>
  <c r="AY57" i="4"/>
  <c r="AY87" i="4" s="1"/>
  <c r="AQ57" i="4"/>
  <c r="AI57" i="4"/>
  <c r="AW57" i="4"/>
  <c r="AO57" i="4"/>
  <c r="AG57" i="4"/>
  <c r="AV57" i="4"/>
  <c r="AN57" i="4"/>
  <c r="AF57" i="4"/>
  <c r="BC57" i="4"/>
  <c r="BC87" i="4" s="1"/>
  <c r="AU57" i="4"/>
  <c r="AM57" i="4"/>
  <c r="AM87" i="4" s="1"/>
  <c r="AE57" i="4"/>
  <c r="AS57" i="4"/>
  <c r="AS87" i="4" s="1"/>
  <c r="AP57" i="4"/>
  <c r="AP87" i="4" s="1"/>
  <c r="AL57" i="4"/>
  <c r="AK57" i="4"/>
  <c r="BA57" i="4"/>
  <c r="AX57" i="4"/>
  <c r="AH57" i="4"/>
  <c r="AH87" i="4" s="1"/>
  <c r="BB57" i="4"/>
  <c r="AT57" i="4"/>
  <c r="AB62" i="4"/>
  <c r="AB31" i="4"/>
  <c r="AB33" i="4" s="1"/>
  <c r="AU72" i="4" l="1"/>
  <c r="AJ80" i="4"/>
  <c r="AH81" i="4"/>
  <c r="AH83" i="4"/>
  <c r="AO83" i="4"/>
  <c r="AQ77" i="4"/>
  <c r="AJ68" i="4"/>
  <c r="AX67" i="4"/>
  <c r="AM72" i="4"/>
  <c r="AG82" i="4"/>
  <c r="AH91" i="4"/>
  <c r="AG88" i="4"/>
  <c r="AK67" i="4"/>
  <c r="AK87" i="4"/>
  <c r="AY85" i="4"/>
  <c r="AZ67" i="4"/>
  <c r="AG67" i="4"/>
  <c r="AF72" i="4"/>
  <c r="AR89" i="4"/>
  <c r="AN91" i="4"/>
  <c r="AK68" i="4"/>
  <c r="AO69" i="4"/>
  <c r="AN71" i="4"/>
  <c r="AT77" i="4"/>
  <c r="BB68" i="4"/>
  <c r="AO68" i="4"/>
  <c r="AK84" i="4"/>
  <c r="BA91" i="4"/>
  <c r="AT88" i="4"/>
  <c r="BC77" i="4"/>
  <c r="AO87" i="4"/>
  <c r="AP85" i="4"/>
  <c r="AM68" i="4"/>
  <c r="AK72" i="4"/>
  <c r="AX74" i="4"/>
  <c r="AS90" i="4"/>
  <c r="AW70" i="4"/>
  <c r="AP71" i="4"/>
  <c r="AH79" i="4"/>
  <c r="BA79" i="4"/>
  <c r="AG85" i="4"/>
  <c r="AR72" i="4"/>
  <c r="AY89" i="4"/>
  <c r="AO89" i="4"/>
  <c r="AH69" i="4"/>
  <c r="AR90" i="4"/>
  <c r="BB79" i="4"/>
  <c r="AV72" i="4"/>
  <c r="AK69" i="4"/>
  <c r="AF80" i="4"/>
  <c r="AX70" i="4"/>
  <c r="AU87" i="4"/>
  <c r="AR77" i="4"/>
  <c r="AF85" i="4"/>
  <c r="AI67" i="4"/>
  <c r="AO84" i="4"/>
  <c r="AY74" i="4"/>
  <c r="AY73" i="4"/>
  <c r="AP80" i="4"/>
  <c r="AU91" i="4"/>
  <c r="AL90" i="4"/>
  <c r="AW90" i="4"/>
  <c r="AM88" i="4"/>
  <c r="AW87" i="4"/>
  <c r="AT70" i="4"/>
  <c r="AX85" i="4"/>
  <c r="AV71" i="4"/>
  <c r="AX72" i="4"/>
  <c r="AV84" i="4"/>
  <c r="AF74" i="4"/>
  <c r="AK74" i="4"/>
  <c r="AS89" i="4"/>
  <c r="BC89" i="4"/>
  <c r="AL82" i="4"/>
  <c r="AF73" i="4"/>
  <c r="AJ88" i="4"/>
  <c r="AN87" i="4"/>
  <c r="AJ70" i="4"/>
  <c r="AJ85" i="4"/>
  <c r="AV68" i="4"/>
  <c r="AZ74" i="4"/>
  <c r="AJ82" i="4"/>
  <c r="AZ73" i="4"/>
  <c r="AL87" i="4"/>
  <c r="AV87" i="4"/>
  <c r="AM85" i="4"/>
  <c r="AU84" i="4"/>
  <c r="AM74" i="4"/>
  <c r="AF89" i="4"/>
  <c r="AW89" i="4"/>
  <c r="AU82" i="4"/>
  <c r="BB91" i="4"/>
  <c r="AG90" i="4"/>
  <c r="AS79" i="4"/>
  <c r="BA83" i="4"/>
  <c r="AS67" i="4"/>
  <c r="AW72" i="4"/>
  <c r="AI81" i="4"/>
  <c r="AU81" i="4"/>
  <c r="AJ79" i="4"/>
  <c r="BB70" i="4"/>
  <c r="AL72" i="4"/>
  <c r="AI82" i="4"/>
  <c r="BA82" i="4"/>
  <c r="AM73" i="4"/>
  <c r="AS81" i="4"/>
  <c r="AI90" i="4"/>
  <c r="BC72" i="4"/>
  <c r="AO80" i="4"/>
  <c r="AI70" i="4"/>
  <c r="BC68" i="4"/>
  <c r="BB85" i="4"/>
  <c r="AI87" i="4"/>
  <c r="AX87" i="4"/>
  <c r="AT69" i="4"/>
  <c r="AP89" i="4"/>
  <c r="AS69" i="4"/>
  <c r="BA69" i="4"/>
  <c r="AY68" i="4"/>
  <c r="AN74" i="4"/>
  <c r="AW82" i="4"/>
  <c r="AI69" i="4"/>
  <c r="AF81" i="4"/>
  <c r="AX71" i="4"/>
  <c r="AP79" i="4"/>
  <c r="AE79" i="4"/>
  <c r="AQ88" i="4"/>
  <c r="BA67" i="4"/>
  <c r="AW69" i="4"/>
  <c r="AT84" i="4"/>
  <c r="AI71" i="4"/>
  <c r="AR71" i="4"/>
  <c r="AN88" i="4"/>
  <c r="AG77" i="4"/>
  <c r="AX84" i="4"/>
  <c r="AP69" i="4"/>
  <c r="AG91" i="4"/>
  <c r="AI91" i="4"/>
  <c r="AM71" i="4"/>
  <c r="AP78" i="4"/>
  <c r="BA81" i="4"/>
  <c r="AG81" i="4"/>
  <c r="AG79" i="4"/>
  <c r="AZ79" i="4"/>
  <c r="AO72" i="4"/>
  <c r="BB90" i="4"/>
  <c r="AG83" i="4"/>
  <c r="AR83" i="4"/>
  <c r="AU70" i="4"/>
  <c r="AY72" i="4"/>
  <c r="AS80" i="4"/>
  <c r="BC80" i="4"/>
  <c r="AP90" i="4"/>
  <c r="AZ80" i="4"/>
  <c r="BA72" i="4"/>
  <c r="AT78" i="4"/>
  <c r="AG80" i="4"/>
  <c r="AM78" i="4"/>
  <c r="AX78" i="4"/>
  <c r="AH68" i="4"/>
  <c r="BB80" i="4"/>
  <c r="AY81" i="4"/>
  <c r="AX79" i="4"/>
  <c r="AR79" i="4"/>
  <c r="AY83" i="4"/>
  <c r="AM83" i="4"/>
  <c r="AZ81" i="4"/>
  <c r="AN83" i="4"/>
  <c r="AP83" i="4"/>
  <c r="AK77" i="4"/>
  <c r="AS74" i="4"/>
  <c r="BA89" i="4"/>
  <c r="AT82" i="4"/>
  <c r="AU80" i="4"/>
  <c r="AI80" i="4"/>
  <c r="AU88" i="4"/>
  <c r="AG78" i="4"/>
  <c r="AH72" i="4"/>
  <c r="AZ77" i="4"/>
  <c r="AH77" i="4"/>
  <c r="AO85" i="4"/>
  <c r="AK85" i="4"/>
  <c r="AS68" i="4"/>
  <c r="AO67" i="4"/>
  <c r="AY84" i="4"/>
  <c r="AL89" i="4"/>
  <c r="BB82" i="4"/>
  <c r="AW73" i="4"/>
  <c r="AQ80" i="4"/>
  <c r="AJ81" i="4"/>
  <c r="AT81" i="4"/>
  <c r="AJ71" i="4"/>
  <c r="AM79" i="4"/>
  <c r="AK88" i="4"/>
  <c r="AW85" i="4"/>
  <c r="AJ69" i="4"/>
  <c r="AU69" i="4"/>
  <c r="AW80" i="4"/>
  <c r="BB81" i="4"/>
  <c r="AU90" i="4"/>
  <c r="AZ90" i="4"/>
  <c r="AO88" i="4"/>
  <c r="AS85" i="4"/>
  <c r="AL74" i="4"/>
  <c r="AX73" i="4"/>
  <c r="AT87" i="4"/>
  <c r="BA70" i="4"/>
  <c r="BC84" i="4"/>
  <c r="AW74" i="4"/>
  <c r="AT74" i="4"/>
  <c r="BB89" i="4"/>
  <c r="AH89" i="4"/>
  <c r="AT73" i="4"/>
  <c r="AL80" i="4"/>
  <c r="AN80" i="4"/>
  <c r="BC91" i="4"/>
  <c r="AX90" i="4"/>
  <c r="AK83" i="4"/>
  <c r="AO77" i="4"/>
  <c r="BB84" i="4"/>
  <c r="BA68" i="4"/>
  <c r="AJ84" i="4"/>
  <c r="BB87" i="4"/>
  <c r="BB77" i="4"/>
  <c r="AP70" i="4"/>
  <c r="AL70" i="4"/>
  <c r="AW68" i="4"/>
  <c r="AH82" i="4"/>
  <c r="AV82" i="4"/>
  <c r="AO91" i="4"/>
  <c r="AQ91" i="4"/>
  <c r="AV81" i="4"/>
  <c r="AX81" i="4"/>
  <c r="AO71" i="4"/>
  <c r="AK71" i="4"/>
  <c r="AU71" i="4"/>
  <c r="AY79" i="4"/>
  <c r="AS88" i="4"/>
  <c r="AV88" i="4"/>
  <c r="BC78" i="4"/>
  <c r="AS83" i="4"/>
  <c r="AV83" i="4"/>
  <c r="AO73" i="4"/>
  <c r="AN69" i="4"/>
  <c r="BA80" i="4"/>
  <c r="AW88" i="4"/>
  <c r="AH88" i="4"/>
  <c r="AQ69" i="4"/>
  <c r="AT91" i="4"/>
  <c r="AJ90" i="4"/>
  <c r="AI88" i="4"/>
  <c r="AY78" i="4"/>
  <c r="AT67" i="4"/>
  <c r="AQ81" i="4"/>
  <c r="AR81" i="4"/>
  <c r="AO70" i="4"/>
  <c r="AV85" i="4"/>
  <c r="AU68" i="4"/>
  <c r="AO74" i="4"/>
  <c r="AM67" i="4"/>
  <c r="BC81" i="4"/>
  <c r="AQ83" i="4"/>
  <c r="AV67" i="4"/>
  <c r="BC67" i="4"/>
  <c r="AL67" i="4"/>
  <c r="AP67" i="4"/>
  <c r="AW77" i="4"/>
  <c r="AS77" i="4"/>
  <c r="AM70" i="4"/>
  <c r="BC85" i="4"/>
  <c r="AN68" i="4"/>
  <c r="AY67" i="4"/>
  <c r="AQ84" i="4"/>
  <c r="AV73" i="4"/>
  <c r="AU73" i="4"/>
  <c r="AG69" i="4"/>
  <c r="AQ71" i="4"/>
  <c r="AT90" i="4"/>
  <c r="BA88" i="4"/>
  <c r="AR87" i="4"/>
  <c r="AL77" i="4"/>
  <c r="AG68" i="4"/>
  <c r="AR67" i="4"/>
  <c r="AI72" i="4"/>
  <c r="AP72" i="4"/>
  <c r="BA84" i="4"/>
  <c r="AK91" i="4"/>
  <c r="AV91" i="4"/>
  <c r="BB71" i="4"/>
  <c r="AW79" i="4"/>
  <c r="AK78" i="4"/>
  <c r="BC83" i="4"/>
  <c r="AZ87" i="4"/>
  <c r="AH85" i="4"/>
  <c r="BA85" i="4"/>
  <c r="AU67" i="4"/>
  <c r="AH67" i="4"/>
  <c r="AG72" i="4"/>
  <c r="AS72" i="4"/>
  <c r="AZ72" i="4"/>
  <c r="AR84" i="4"/>
  <c r="AF82" i="4"/>
  <c r="AL73" i="4"/>
  <c r="AY80" i="4"/>
  <c r="AX91" i="4"/>
  <c r="AN81" i="4"/>
  <c r="AU79" i="4"/>
  <c r="AI79" i="4"/>
  <c r="AF88" i="4"/>
  <c r="AG87" i="4"/>
  <c r="AE87" i="4"/>
  <c r="AN77" i="4"/>
  <c r="AJ77" i="4"/>
  <c r="AN70" i="4"/>
  <c r="AH84" i="4"/>
  <c r="BC74" i="4"/>
  <c r="BB74" i="4"/>
  <c r="AI89" i="4"/>
  <c r="AZ82" i="4"/>
  <c r="AZ71" i="4"/>
  <c r="AK90" i="4"/>
  <c r="AV90" i="4"/>
  <c r="AZ88" i="4"/>
  <c r="AL78" i="4"/>
  <c r="BA78" i="4"/>
  <c r="AI85" i="4"/>
  <c r="AP68" i="4"/>
  <c r="AR74" i="4"/>
  <c r="AK89" i="4"/>
  <c r="AS73" i="4"/>
  <c r="AX69" i="4"/>
  <c r="AL69" i="4"/>
  <c r="AM91" i="4"/>
  <c r="AK81" i="4"/>
  <c r="BC71" i="4"/>
  <c r="AO90" i="4"/>
  <c r="AT79" i="4"/>
  <c r="AN79" i="4"/>
  <c r="AF78" i="4"/>
  <c r="BA87" i="4"/>
  <c r="AQ87" i="4"/>
  <c r="AU77" i="4"/>
  <c r="AZ85" i="4"/>
  <c r="AZ68" i="4"/>
  <c r="AQ67" i="4"/>
  <c r="AO82" i="4"/>
  <c r="AJ73" i="4"/>
  <c r="AH71" i="4"/>
  <c r="BA71" i="4"/>
  <c r="AH90" i="4"/>
  <c r="AP88" i="4"/>
  <c r="O119" i="45"/>
  <c r="AB116" i="45"/>
  <c r="AP25" i="45"/>
  <c r="AP83" i="45" s="1"/>
  <c r="AB112" i="45"/>
  <c r="Q90" i="45"/>
  <c r="Q119" i="45" s="1"/>
  <c r="J90" i="45"/>
  <c r="J119" i="45" s="1"/>
  <c r="M90" i="45"/>
  <c r="M119" i="45" s="1"/>
  <c r="AH25" i="45"/>
  <c r="AH83" i="45" s="1"/>
  <c r="AB88" i="45"/>
  <c r="AU25" i="45"/>
  <c r="AU83" i="45" s="1"/>
  <c r="AY25" i="45"/>
  <c r="AY83" i="45" s="1"/>
  <c r="AS25" i="45"/>
  <c r="AS83" i="45" s="1"/>
  <c r="AB28" i="45"/>
  <c r="AJ25" i="45"/>
  <c r="AJ83" i="45" s="1"/>
  <c r="AW25" i="45"/>
  <c r="AW83" i="45" s="1"/>
  <c r="AZ25" i="45"/>
  <c r="AZ83" i="45" s="1"/>
  <c r="AT25" i="45"/>
  <c r="AT83" i="45" s="1"/>
  <c r="BB25" i="45"/>
  <c r="BB83" i="45" s="1"/>
  <c r="BA25" i="45"/>
  <c r="BA83" i="45" s="1"/>
  <c r="AG25" i="45"/>
  <c r="AG83" i="45" s="1"/>
  <c r="AK25" i="45"/>
  <c r="AK83" i="45" s="1"/>
  <c r="AX25" i="45"/>
  <c r="AX83" i="45" s="1"/>
  <c r="AL25" i="45"/>
  <c r="AL83" i="45" s="1"/>
  <c r="BC25" i="45"/>
  <c r="BC83" i="45" s="1"/>
  <c r="AO25" i="45"/>
  <c r="AO83" i="45" s="1"/>
  <c r="AQ25" i="45"/>
  <c r="AQ83" i="45" s="1"/>
  <c r="AM25" i="45"/>
  <c r="AM83" i="45" s="1"/>
  <c r="AR25" i="45"/>
  <c r="AR83" i="45" s="1"/>
  <c r="AI25" i="45"/>
  <c r="AI83" i="45" s="1"/>
  <c r="AV25" i="45"/>
  <c r="AV83" i="45" s="1"/>
  <c r="AE25" i="45"/>
  <c r="AN25" i="45"/>
  <c r="AN83" i="45" s="1"/>
  <c r="AF25" i="45"/>
  <c r="AF83" i="45" s="1"/>
  <c r="P32" i="45"/>
  <c r="T32" i="45"/>
  <c r="R32" i="45"/>
  <c r="R119" i="45" s="1"/>
  <c r="AU29" i="45"/>
  <c r="AU87" i="45" s="1"/>
  <c r="AR29" i="45"/>
  <c r="AR87" i="45" s="1"/>
  <c r="AN29" i="45"/>
  <c r="AN87" i="45" s="1"/>
  <c r="AM29" i="45"/>
  <c r="AM87" i="45" s="1"/>
  <c r="AG29" i="45"/>
  <c r="AG87" i="45" s="1"/>
  <c r="AW29" i="45"/>
  <c r="AW87" i="45" s="1"/>
  <c r="AE29" i="45"/>
  <c r="BA29" i="45"/>
  <c r="BA87" i="45" s="1"/>
  <c r="AL29" i="45"/>
  <c r="AL87" i="45" s="1"/>
  <c r="AT29" i="45"/>
  <c r="AT87" i="45" s="1"/>
  <c r="AP29" i="45"/>
  <c r="AP87" i="45" s="1"/>
  <c r="AK29" i="45"/>
  <c r="AK87" i="45" s="1"/>
  <c r="AV29" i="45"/>
  <c r="AV87" i="45" s="1"/>
  <c r="AY29" i="45"/>
  <c r="AY87" i="45" s="1"/>
  <c r="AJ29" i="45"/>
  <c r="AJ87" i="45" s="1"/>
  <c r="AF29" i="45"/>
  <c r="AF87" i="45" s="1"/>
  <c r="AQ29" i="45"/>
  <c r="AQ87" i="45" s="1"/>
  <c r="AS29" i="45"/>
  <c r="AS87" i="45" s="1"/>
  <c r="AZ29" i="45"/>
  <c r="AZ87" i="45" s="1"/>
  <c r="AI29" i="45"/>
  <c r="AI87" i="45" s="1"/>
  <c r="AH29" i="45"/>
  <c r="AH87" i="45" s="1"/>
  <c r="AO29" i="45"/>
  <c r="AO87" i="45" s="1"/>
  <c r="BC29" i="45"/>
  <c r="BC87" i="45" s="1"/>
  <c r="BB29" i="45"/>
  <c r="BB87" i="45" s="1"/>
  <c r="AX29" i="45"/>
  <c r="AX87" i="45" s="1"/>
  <c r="U32" i="45"/>
  <c r="S32" i="45"/>
  <c r="W32" i="45"/>
  <c r="BD27" i="45"/>
  <c r="AE85" i="45"/>
  <c r="BD85" i="45" s="1"/>
  <c r="Z32" i="45"/>
  <c r="AB30" i="45"/>
  <c r="BB88" i="4"/>
  <c r="AI83" i="4"/>
  <c r="BB69" i="4"/>
  <c r="AM80" i="4"/>
  <c r="BC90" i="4"/>
  <c r="AP73" i="4"/>
  <c r="AR80" i="4"/>
  <c r="AZ78" i="4"/>
  <c r="AY69" i="4"/>
  <c r="AM69" i="4"/>
  <c r="AW91" i="4"/>
  <c r="AW81" i="4"/>
  <c r="AF71" i="4"/>
  <c r="BC88" i="4"/>
  <c r="AS91" i="4"/>
  <c r="AR88" i="4"/>
  <c r="AW78" i="4"/>
  <c r="BB83" i="4"/>
  <c r="AG73" i="4"/>
  <c r="AK80" i="4"/>
  <c r="AP81" i="4"/>
  <c r="AG71" i="4"/>
  <c r="BC79" i="4"/>
  <c r="AQ79" i="4"/>
  <c r="AH78" i="4"/>
  <c r="BA73" i="4"/>
  <c r="AF69" i="4"/>
  <c r="AV80" i="4"/>
  <c r="AM81" i="4"/>
  <c r="AB92" i="4"/>
  <c r="AB121" i="4" s="1"/>
  <c r="BD86" i="4"/>
  <c r="AO79" i="4"/>
  <c r="AX83" i="4"/>
  <c r="AJ83" i="4"/>
  <c r="AU83" i="4"/>
  <c r="BD14" i="4"/>
  <c r="AJ67" i="4"/>
  <c r="AN82" i="4"/>
  <c r="AR69" i="4"/>
  <c r="BC69" i="4"/>
  <c r="AK79" i="4"/>
  <c r="AY88" i="4"/>
  <c r="AS78" i="4"/>
  <c r="AZ83" i="4"/>
  <c r="BD15" i="4"/>
  <c r="BD20" i="4"/>
  <c r="BD11" i="4"/>
  <c r="BD17" i="4"/>
  <c r="AX89" i="4"/>
  <c r="AT80" i="4"/>
  <c r="AL79" i="4"/>
  <c r="AL88" i="4"/>
  <c r="AL76" i="4"/>
  <c r="BD76" i="4" s="1"/>
  <c r="BD9" i="4"/>
  <c r="BD13" i="4"/>
  <c r="BD27" i="4"/>
  <c r="BD26" i="4"/>
  <c r="BD7" i="4"/>
  <c r="AH31" i="4"/>
  <c r="AP31" i="4"/>
  <c r="AX31" i="4"/>
  <c r="AI31" i="4"/>
  <c r="AQ31" i="4"/>
  <c r="AY31" i="4"/>
  <c r="AK31" i="4"/>
  <c r="AS31" i="4"/>
  <c r="BA31" i="4"/>
  <c r="AL31" i="4"/>
  <c r="AT31" i="4"/>
  <c r="BB31" i="4"/>
  <c r="AE31" i="4"/>
  <c r="AM31" i="4"/>
  <c r="AU31" i="4"/>
  <c r="BC31" i="4"/>
  <c r="AG31" i="4"/>
  <c r="AO31" i="4"/>
  <c r="AW31" i="4"/>
  <c r="AR31" i="4"/>
  <c r="AV31" i="4"/>
  <c r="AZ31" i="4"/>
  <c r="AF31" i="4"/>
  <c r="AJ31" i="4"/>
  <c r="AN31" i="4"/>
  <c r="AZ70" i="4"/>
  <c r="AH80" i="4"/>
  <c r="AY91" i="4"/>
  <c r="AW71" i="4"/>
  <c r="AS71" i="4"/>
  <c r="BD18" i="4"/>
  <c r="AE75" i="4"/>
  <c r="BD75" i="4" s="1"/>
  <c r="BD16" i="4"/>
  <c r="BD23" i="4"/>
  <c r="AV69" i="4"/>
  <c r="AJ91" i="4"/>
  <c r="AW83" i="4"/>
  <c r="BD6" i="4"/>
  <c r="BD10" i="4"/>
  <c r="BD29" i="4"/>
  <c r="BD30" i="4"/>
  <c r="BD28" i="4"/>
  <c r="AE83" i="4"/>
  <c r="BD25" i="4"/>
  <c r="BD24" i="4"/>
  <c r="BD12" i="4"/>
  <c r="BD21" i="4"/>
  <c r="AH70" i="4"/>
  <c r="AW67" i="4"/>
  <c r="BB72" i="4"/>
  <c r="AV74" i="4"/>
  <c r="AN73" i="4"/>
  <c r="AK73" i="4"/>
  <c r="AL81" i="4"/>
  <c r="AO81" i="4"/>
  <c r="AT71" i="4"/>
  <c r="AM90" i="4"/>
  <c r="AX88" i="4"/>
  <c r="AV78" i="4"/>
  <c r="AR78" i="4"/>
  <c r="AT83" i="4"/>
  <c r="BD22" i="4"/>
  <c r="BD19" i="4"/>
  <c r="BD8" i="4"/>
  <c r="AY62" i="4"/>
  <c r="AQ62" i="4"/>
  <c r="AI62" i="4"/>
  <c r="AV62" i="4"/>
  <c r="AN62" i="4"/>
  <c r="AF62" i="4"/>
  <c r="BB62" i="4"/>
  <c r="AT62" i="4"/>
  <c r="AL62" i="4"/>
  <c r="BA62" i="4"/>
  <c r="AS62" i="4"/>
  <c r="AK62" i="4"/>
  <c r="AX62" i="4"/>
  <c r="AH62" i="4"/>
  <c r="AW62" i="4"/>
  <c r="AG62" i="4"/>
  <c r="AR62" i="4"/>
  <c r="AP62" i="4"/>
  <c r="AP92" i="4" s="1"/>
  <c r="AO62" i="4"/>
  <c r="BC62" i="4"/>
  <c r="AZ62" i="4"/>
  <c r="AM62" i="4"/>
  <c r="AM92" i="4" s="1"/>
  <c r="AJ62" i="4"/>
  <c r="AU62" i="4"/>
  <c r="AE62" i="4"/>
  <c r="BD50" i="4"/>
  <c r="AE80" i="4"/>
  <c r="BD39" i="4"/>
  <c r="AE69" i="4"/>
  <c r="BD38" i="4"/>
  <c r="AE68" i="4"/>
  <c r="BD52" i="4"/>
  <c r="AE82" i="4"/>
  <c r="BD37" i="4"/>
  <c r="AE67" i="4"/>
  <c r="BD41" i="4"/>
  <c r="AE71" i="4"/>
  <c r="BD48" i="4"/>
  <c r="AE78" i="4"/>
  <c r="BD42" i="4"/>
  <c r="AE72" i="4"/>
  <c r="BD44" i="4"/>
  <c r="AE74" i="4"/>
  <c r="BD59" i="4"/>
  <c r="AE89" i="4"/>
  <c r="BD51" i="4"/>
  <c r="AE81" i="4"/>
  <c r="BD53" i="4"/>
  <c r="AF83" i="4"/>
  <c r="BD54" i="4"/>
  <c r="AE84" i="4"/>
  <c r="BD58" i="4"/>
  <c r="AE88" i="4"/>
  <c r="BD40" i="4"/>
  <c r="AE70" i="4"/>
  <c r="BD55" i="4"/>
  <c r="AE85" i="4"/>
  <c r="BD60" i="4"/>
  <c r="AE90" i="4"/>
  <c r="BD61" i="4"/>
  <c r="AF91" i="4"/>
  <c r="BD57" i="4"/>
  <c r="AF87" i="4"/>
  <c r="BD47" i="4"/>
  <c r="AE77" i="4"/>
  <c r="BD43" i="4"/>
  <c r="AE73" i="4"/>
  <c r="BD49" i="4"/>
  <c r="AF79" i="4"/>
  <c r="AG92" i="4" l="1"/>
  <c r="BA92" i="4"/>
  <c r="AH92" i="4"/>
  <c r="AJ92" i="4"/>
  <c r="AN92" i="4"/>
  <c r="BC92" i="4"/>
  <c r="AS92" i="4"/>
  <c r="BD74" i="4"/>
  <c r="BD82" i="4"/>
  <c r="AY92" i="4"/>
  <c r="BD85" i="4"/>
  <c r="AZ92" i="4"/>
  <c r="BD70" i="4"/>
  <c r="BD79" i="4"/>
  <c r="BD91" i="4"/>
  <c r="BD71" i="4"/>
  <c r="BD84" i="4"/>
  <c r="BD67" i="4"/>
  <c r="BD90" i="4"/>
  <c r="BD77" i="4"/>
  <c r="BD68" i="4"/>
  <c r="BD87" i="4"/>
  <c r="BD81" i="4"/>
  <c r="AB117" i="45"/>
  <c r="BA28" i="45"/>
  <c r="BA86" i="45" s="1"/>
  <c r="T90" i="45"/>
  <c r="T119" i="45" s="1"/>
  <c r="S90" i="45"/>
  <c r="S119" i="45" s="1"/>
  <c r="W90" i="45"/>
  <c r="W119" i="45" s="1"/>
  <c r="Z90" i="45"/>
  <c r="Z119" i="45" s="1"/>
  <c r="U90" i="45"/>
  <c r="U119" i="45" s="1"/>
  <c r="R90" i="45"/>
  <c r="AR28" i="45"/>
  <c r="AR86" i="45" s="1"/>
  <c r="AO28" i="45"/>
  <c r="AO86" i="45" s="1"/>
  <c r="AZ28" i="45"/>
  <c r="AZ86" i="45" s="1"/>
  <c r="AY28" i="45"/>
  <c r="AY86" i="45" s="1"/>
  <c r="AF28" i="45"/>
  <c r="AF86" i="45" s="1"/>
  <c r="AW28" i="45"/>
  <c r="AW86" i="45" s="1"/>
  <c r="BB28" i="45"/>
  <c r="BB86" i="45" s="1"/>
  <c r="AN28" i="45"/>
  <c r="AN86" i="45" s="1"/>
  <c r="BC28" i="45"/>
  <c r="BC86" i="45" s="1"/>
  <c r="AE28" i="45"/>
  <c r="AE86" i="45" s="1"/>
  <c r="AV28" i="45"/>
  <c r="AV86" i="45" s="1"/>
  <c r="AI28" i="45"/>
  <c r="AI86" i="45" s="1"/>
  <c r="AT28" i="45"/>
  <c r="AT86" i="45" s="1"/>
  <c r="AP28" i="45"/>
  <c r="AP86" i="45" s="1"/>
  <c r="AH28" i="45"/>
  <c r="AH86" i="45" s="1"/>
  <c r="AB31" i="45"/>
  <c r="AS28" i="45"/>
  <c r="AS86" i="45" s="1"/>
  <c r="AM28" i="45"/>
  <c r="AM86" i="45" s="1"/>
  <c r="AG28" i="45"/>
  <c r="AG86" i="45" s="1"/>
  <c r="AQ28" i="45"/>
  <c r="AQ86" i="45" s="1"/>
  <c r="BD25" i="45"/>
  <c r="AX28" i="45"/>
  <c r="AX86" i="45" s="1"/>
  <c r="AK28" i="45"/>
  <c r="AK86" i="45" s="1"/>
  <c r="AL28" i="45"/>
  <c r="AL86" i="45" s="1"/>
  <c r="AJ28" i="45"/>
  <c r="AJ86" i="45" s="1"/>
  <c r="AU28" i="45"/>
  <c r="AU86" i="45" s="1"/>
  <c r="AE83" i="45"/>
  <c r="BD83" i="45" s="1"/>
  <c r="BC30" i="45"/>
  <c r="BC88" i="45" s="1"/>
  <c r="AN30" i="45"/>
  <c r="AN88" i="45" s="1"/>
  <c r="AH30" i="45"/>
  <c r="AH88" i="45" s="1"/>
  <c r="AO30" i="45"/>
  <c r="AO88" i="45" s="1"/>
  <c r="AU30" i="45"/>
  <c r="AU88" i="45" s="1"/>
  <c r="AW30" i="45"/>
  <c r="AW88" i="45" s="1"/>
  <c r="BB30" i="45"/>
  <c r="BB88" i="45" s="1"/>
  <c r="AM30" i="45"/>
  <c r="AM88" i="45" s="1"/>
  <c r="AL30" i="45"/>
  <c r="AL88" i="45" s="1"/>
  <c r="AR30" i="45"/>
  <c r="AR88" i="45" s="1"/>
  <c r="AE30" i="45"/>
  <c r="AV30" i="45"/>
  <c r="AV88" i="45" s="1"/>
  <c r="AG30" i="45"/>
  <c r="AG88" i="45" s="1"/>
  <c r="AY30" i="45"/>
  <c r="AY88" i="45" s="1"/>
  <c r="AK30" i="45"/>
  <c r="AK88" i="45" s="1"/>
  <c r="BA30" i="45"/>
  <c r="BA88" i="45" s="1"/>
  <c r="AQ30" i="45"/>
  <c r="AQ88" i="45" s="1"/>
  <c r="AT30" i="45"/>
  <c r="AT88" i="45" s="1"/>
  <c r="AP30" i="45"/>
  <c r="AP88" i="45" s="1"/>
  <c r="AI30" i="45"/>
  <c r="AI88" i="45" s="1"/>
  <c r="AJ30" i="45"/>
  <c r="AJ88" i="45" s="1"/>
  <c r="AF30" i="45"/>
  <c r="AF88" i="45" s="1"/>
  <c r="AS30" i="45"/>
  <c r="AS88" i="45" s="1"/>
  <c r="AZ30" i="45"/>
  <c r="AZ88" i="45" s="1"/>
  <c r="AX30" i="45"/>
  <c r="AX88" i="45" s="1"/>
  <c r="Y32" i="45"/>
  <c r="P90" i="45"/>
  <c r="P119" i="45" s="1"/>
  <c r="BD29" i="45"/>
  <c r="AE87" i="45"/>
  <c r="BD87" i="45" s="1"/>
  <c r="AA32" i="45"/>
  <c r="BD88" i="4"/>
  <c r="BD89" i="4"/>
  <c r="AK92" i="4"/>
  <c r="AO92" i="4"/>
  <c r="AI92" i="4"/>
  <c r="BD72" i="4"/>
  <c r="AL92" i="4"/>
  <c r="AU92" i="4"/>
  <c r="AV92" i="4"/>
  <c r="BD80" i="4"/>
  <c r="BD73" i="4"/>
  <c r="AQ92" i="4"/>
  <c r="BB92" i="4"/>
  <c r="BD83" i="4"/>
  <c r="AR92" i="4"/>
  <c r="AT92" i="4"/>
  <c r="BD78" i="4"/>
  <c r="AW92" i="4"/>
  <c r="BD31" i="4"/>
  <c r="AF92" i="4"/>
  <c r="BD69" i="4"/>
  <c r="AX92" i="4"/>
  <c r="BD62" i="4"/>
  <c r="AE92" i="4"/>
  <c r="AN31" i="45" l="1"/>
  <c r="AN89" i="45" s="1"/>
  <c r="AA90" i="45"/>
  <c r="AA119" i="45" s="1"/>
  <c r="Y90" i="45"/>
  <c r="Y119" i="45" s="1"/>
  <c r="AB86" i="45"/>
  <c r="AB115" i="45" s="1"/>
  <c r="V32" i="45"/>
  <c r="X32" i="45"/>
  <c r="BD86" i="45"/>
  <c r="BD28" i="45"/>
  <c r="AM31" i="45"/>
  <c r="AM89" i="45" s="1"/>
  <c r="AL31" i="45"/>
  <c r="AL89" i="45" s="1"/>
  <c r="AY31" i="45"/>
  <c r="AY89" i="45" s="1"/>
  <c r="AZ31" i="45"/>
  <c r="AZ89" i="45" s="1"/>
  <c r="AK31" i="45"/>
  <c r="AK89" i="45" s="1"/>
  <c r="BA31" i="45"/>
  <c r="BA89" i="45" s="1"/>
  <c r="AH31" i="45"/>
  <c r="AH89" i="45" s="1"/>
  <c r="AB32" i="45"/>
  <c r="AF31" i="45"/>
  <c r="AF89" i="45" s="1"/>
  <c r="AI31" i="45"/>
  <c r="AI89" i="45" s="1"/>
  <c r="AX31" i="45"/>
  <c r="AX89" i="45" s="1"/>
  <c r="AR31" i="45"/>
  <c r="AR89" i="45" s="1"/>
  <c r="AJ31" i="45"/>
  <c r="AJ89" i="45" s="1"/>
  <c r="AU31" i="45"/>
  <c r="AU89" i="45" s="1"/>
  <c r="AW31" i="45"/>
  <c r="AW89" i="45" s="1"/>
  <c r="BB31" i="45"/>
  <c r="BB89" i="45" s="1"/>
  <c r="AO31" i="45"/>
  <c r="AO89" i="45" s="1"/>
  <c r="AS31" i="45"/>
  <c r="AS89" i="45" s="1"/>
  <c r="AG31" i="45"/>
  <c r="AG89" i="45" s="1"/>
  <c r="BC31" i="45"/>
  <c r="BC89" i="45" s="1"/>
  <c r="AV31" i="45"/>
  <c r="AV89" i="45" s="1"/>
  <c r="AE31" i="45"/>
  <c r="AE89" i="45" s="1"/>
  <c r="AQ31" i="45"/>
  <c r="AQ89" i="45" s="1"/>
  <c r="AT31" i="45"/>
  <c r="AT89" i="45" s="1"/>
  <c r="AP31" i="45"/>
  <c r="AP89" i="45" s="1"/>
  <c r="BD30" i="45"/>
  <c r="AE88" i="45"/>
  <c r="BD88" i="45" s="1"/>
  <c r="BD92" i="4"/>
  <c r="B6" i="5"/>
  <c r="B7" i="5"/>
  <c r="B8" i="5"/>
  <c r="B9" i="5"/>
  <c r="B5" i="5"/>
  <c r="J4" i="1"/>
  <c r="J5" i="1"/>
  <c r="J6" i="1"/>
  <c r="J7" i="1"/>
  <c r="J8" i="1"/>
  <c r="J9" i="1"/>
  <c r="J10" i="1"/>
  <c r="J11" i="1"/>
  <c r="J12" i="1"/>
  <c r="J13" i="1"/>
  <c r="J14" i="1"/>
  <c r="J15" i="1"/>
  <c r="J16" i="1"/>
  <c r="J17" i="1"/>
  <c r="J18" i="1"/>
  <c r="J19" i="1"/>
  <c r="J20" i="1"/>
  <c r="J21" i="1"/>
  <c r="J22" i="1"/>
  <c r="J23" i="1"/>
  <c r="J24" i="1"/>
  <c r="A25" i="14"/>
  <c r="A26" i="14"/>
  <c r="AG173" i="26"/>
  <c r="AF173" i="26"/>
  <c r="AE173" i="26"/>
  <c r="AD173" i="26"/>
  <c r="AC173" i="26"/>
  <c r="AB173" i="26"/>
  <c r="AA173" i="26"/>
  <c r="Z173" i="26"/>
  <c r="Y173" i="26"/>
  <c r="X173" i="26"/>
  <c r="W173" i="26"/>
  <c r="V173" i="26"/>
  <c r="U173" i="26"/>
  <c r="T173" i="26"/>
  <c r="AG172" i="26"/>
  <c r="AF172" i="26"/>
  <c r="AE172" i="26"/>
  <c r="AD172" i="26"/>
  <c r="AC172" i="26"/>
  <c r="AB172" i="26"/>
  <c r="AA172" i="26"/>
  <c r="Z172" i="26"/>
  <c r="Y172" i="26"/>
  <c r="X172" i="26"/>
  <c r="W172" i="26"/>
  <c r="V172" i="26"/>
  <c r="U172" i="26"/>
  <c r="T172" i="26"/>
  <c r="AG171" i="26"/>
  <c r="AF171" i="26"/>
  <c r="AE171" i="26"/>
  <c r="AD171" i="26"/>
  <c r="AC171" i="26"/>
  <c r="AB171" i="26"/>
  <c r="AA171" i="26"/>
  <c r="Z171" i="26"/>
  <c r="Y171" i="26"/>
  <c r="X171" i="26"/>
  <c r="W171" i="26"/>
  <c r="V171" i="26"/>
  <c r="U171" i="26"/>
  <c r="T171" i="26"/>
  <c r="AG170" i="26"/>
  <c r="AF170" i="26"/>
  <c r="AE170" i="26"/>
  <c r="AD170" i="26"/>
  <c r="AC170" i="26"/>
  <c r="AB170" i="26"/>
  <c r="AA170" i="26"/>
  <c r="Z170" i="26"/>
  <c r="Y170" i="26"/>
  <c r="X170" i="26"/>
  <c r="W170" i="26"/>
  <c r="V170" i="26"/>
  <c r="U170" i="26"/>
  <c r="T170" i="26"/>
  <c r="AG169" i="26"/>
  <c r="AF169" i="26"/>
  <c r="AE169" i="26"/>
  <c r="AD169" i="26"/>
  <c r="AC169" i="26"/>
  <c r="AB169" i="26"/>
  <c r="AA169" i="26"/>
  <c r="Z169" i="26"/>
  <c r="Y169" i="26"/>
  <c r="X169" i="26"/>
  <c r="W169" i="26"/>
  <c r="V169" i="26"/>
  <c r="U169" i="26"/>
  <c r="T169" i="26"/>
  <c r="AG168" i="26"/>
  <c r="AF168" i="26"/>
  <c r="AE168" i="26"/>
  <c r="AD168" i="26"/>
  <c r="AC168" i="26"/>
  <c r="AB168" i="26"/>
  <c r="AA168" i="26"/>
  <c r="Z168" i="26"/>
  <c r="Y168" i="26"/>
  <c r="X168" i="26"/>
  <c r="W168" i="26"/>
  <c r="V168" i="26"/>
  <c r="U168" i="26"/>
  <c r="T168" i="26"/>
  <c r="AG167" i="26"/>
  <c r="AF167" i="26"/>
  <c r="AE167" i="26"/>
  <c r="AD167" i="26"/>
  <c r="AC167" i="26"/>
  <c r="AB167" i="26"/>
  <c r="AA167" i="26"/>
  <c r="Z167" i="26"/>
  <c r="Y167" i="26"/>
  <c r="X167" i="26"/>
  <c r="W167" i="26"/>
  <c r="V167" i="26"/>
  <c r="U167" i="26"/>
  <c r="T167" i="26"/>
  <c r="AG166" i="26"/>
  <c r="AF166" i="26"/>
  <c r="AE166" i="26"/>
  <c r="AD166" i="26"/>
  <c r="AC166" i="26"/>
  <c r="AB166" i="26"/>
  <c r="AA166" i="26"/>
  <c r="Z166" i="26"/>
  <c r="Y166" i="26"/>
  <c r="X166" i="26"/>
  <c r="W166" i="26"/>
  <c r="V166" i="26"/>
  <c r="U166" i="26"/>
  <c r="T166" i="26"/>
  <c r="AG165" i="26"/>
  <c r="AF165" i="26"/>
  <c r="AE165" i="26"/>
  <c r="AD165" i="26"/>
  <c r="AC165" i="26"/>
  <c r="AB165" i="26"/>
  <c r="AA165" i="26"/>
  <c r="Z165" i="26"/>
  <c r="Y165" i="26"/>
  <c r="X165" i="26"/>
  <c r="W165" i="26"/>
  <c r="V165" i="26"/>
  <c r="U165" i="26"/>
  <c r="T165" i="26"/>
  <c r="AG164" i="26"/>
  <c r="AF164" i="26"/>
  <c r="AE164" i="26"/>
  <c r="AD164" i="26"/>
  <c r="AC164" i="26"/>
  <c r="AB164" i="26"/>
  <c r="AA164" i="26"/>
  <c r="Z164" i="26"/>
  <c r="Y164" i="26"/>
  <c r="X164" i="26"/>
  <c r="W164" i="26"/>
  <c r="V164" i="26"/>
  <c r="U164" i="26"/>
  <c r="T164" i="26"/>
  <c r="AG163" i="26"/>
  <c r="AF163" i="26"/>
  <c r="AE163" i="26"/>
  <c r="AD163" i="26"/>
  <c r="AC163" i="26"/>
  <c r="AB163" i="26"/>
  <c r="AA163" i="26"/>
  <c r="Z163" i="26"/>
  <c r="Y163" i="26"/>
  <c r="X163" i="26"/>
  <c r="W163" i="26"/>
  <c r="V163" i="26"/>
  <c r="U163" i="26"/>
  <c r="T163" i="26"/>
  <c r="AG162" i="26"/>
  <c r="AF162" i="26"/>
  <c r="AE162" i="26"/>
  <c r="AD162" i="26"/>
  <c r="AC162" i="26"/>
  <c r="AB162" i="26"/>
  <c r="AA162" i="26"/>
  <c r="Z162" i="26"/>
  <c r="Y162" i="26"/>
  <c r="X162" i="26"/>
  <c r="W162" i="26"/>
  <c r="V162" i="26"/>
  <c r="U162" i="26"/>
  <c r="T162" i="26"/>
  <c r="AG161" i="26"/>
  <c r="AF161" i="26"/>
  <c r="AE161" i="26"/>
  <c r="AD161" i="26"/>
  <c r="AC161" i="26"/>
  <c r="AB161" i="26"/>
  <c r="AA161" i="26"/>
  <c r="Z161" i="26"/>
  <c r="Y161" i="26"/>
  <c r="X161" i="26"/>
  <c r="W161" i="26"/>
  <c r="V161" i="26"/>
  <c r="U161" i="26"/>
  <c r="T161" i="26"/>
  <c r="AG160" i="26"/>
  <c r="AF160" i="26"/>
  <c r="AE160" i="26"/>
  <c r="AD160" i="26"/>
  <c r="AC160" i="26"/>
  <c r="AB160" i="26"/>
  <c r="AA160" i="26"/>
  <c r="Z160" i="26"/>
  <c r="Y160" i="26"/>
  <c r="X160" i="26"/>
  <c r="W160" i="26"/>
  <c r="V160" i="26"/>
  <c r="U160" i="26"/>
  <c r="AC174" i="26" l="1"/>
  <c r="BK162" i="26" s="1"/>
  <c r="AP32" i="45"/>
  <c r="V90" i="45"/>
  <c r="V119" i="45" s="1"/>
  <c r="X90" i="45"/>
  <c r="X119" i="45" s="1"/>
  <c r="BB32" i="45"/>
  <c r="AY32" i="45"/>
  <c r="AV32" i="45"/>
  <c r="AI32" i="45"/>
  <c r="AB89" i="45"/>
  <c r="AX32" i="45"/>
  <c r="AG32" i="45"/>
  <c r="AF32" i="45"/>
  <c r="AK32" i="45"/>
  <c r="BD89" i="45"/>
  <c r="AL32" i="45"/>
  <c r="AE32" i="45"/>
  <c r="AQ32" i="45"/>
  <c r="AU32" i="45"/>
  <c r="AT32" i="45"/>
  <c r="AJ32" i="45"/>
  <c r="AH32" i="45"/>
  <c r="BC32" i="45"/>
  <c r="AW32" i="45"/>
  <c r="AO32" i="45"/>
  <c r="AM32" i="45"/>
  <c r="AR32" i="45"/>
  <c r="AS32" i="45"/>
  <c r="AN32" i="45"/>
  <c r="BA32" i="45"/>
  <c r="AZ32" i="45"/>
  <c r="BD31" i="45"/>
  <c r="AB174" i="26"/>
  <c r="BJ169" i="26" s="1"/>
  <c r="Y174" i="26"/>
  <c r="Z174" i="26"/>
  <c r="AA174" i="26"/>
  <c r="T160" i="26"/>
  <c r="T143" i="26"/>
  <c r="AG156" i="26"/>
  <c r="AF156" i="26"/>
  <c r="AE156" i="26"/>
  <c r="AD156" i="26"/>
  <c r="AC156" i="26"/>
  <c r="AB156" i="26"/>
  <c r="AA156" i="26"/>
  <c r="Z156" i="26"/>
  <c r="Y156" i="26"/>
  <c r="X156" i="26"/>
  <c r="W156" i="26"/>
  <c r="V156" i="26"/>
  <c r="U156" i="26"/>
  <c r="T156" i="26"/>
  <c r="AG155" i="26"/>
  <c r="AF155" i="26"/>
  <c r="AE155" i="26"/>
  <c r="AD155" i="26"/>
  <c r="AC155" i="26"/>
  <c r="AB155" i="26"/>
  <c r="AA155" i="26"/>
  <c r="Z155" i="26"/>
  <c r="Y155" i="26"/>
  <c r="X155" i="26"/>
  <c r="W155" i="26"/>
  <c r="V155" i="26"/>
  <c r="U155" i="26"/>
  <c r="T155" i="26"/>
  <c r="AG154" i="26"/>
  <c r="AF154" i="26"/>
  <c r="AE154" i="26"/>
  <c r="AD154" i="26"/>
  <c r="AC154" i="26"/>
  <c r="AB154" i="26"/>
  <c r="AA154" i="26"/>
  <c r="Z154" i="26"/>
  <c r="Y154" i="26"/>
  <c r="X154" i="26"/>
  <c r="W154" i="26"/>
  <c r="V154" i="26"/>
  <c r="U154" i="26"/>
  <c r="T154" i="26"/>
  <c r="AG153" i="26"/>
  <c r="AF153" i="26"/>
  <c r="AE153" i="26"/>
  <c r="AD153" i="26"/>
  <c r="AC153" i="26"/>
  <c r="AB153" i="26"/>
  <c r="AA153" i="26"/>
  <c r="Z153" i="26"/>
  <c r="Y153" i="26"/>
  <c r="X153" i="26"/>
  <c r="W153" i="26"/>
  <c r="V153" i="26"/>
  <c r="U153" i="26"/>
  <c r="T153" i="26"/>
  <c r="AG152" i="26"/>
  <c r="AF152" i="26"/>
  <c r="AE152" i="26"/>
  <c r="AD152" i="26"/>
  <c r="AC152" i="26"/>
  <c r="AB152" i="26"/>
  <c r="AA152" i="26"/>
  <c r="Z152" i="26"/>
  <c r="Y152" i="26"/>
  <c r="X152" i="26"/>
  <c r="W152" i="26"/>
  <c r="V152" i="26"/>
  <c r="U152" i="26"/>
  <c r="T152" i="26"/>
  <c r="AG151" i="26"/>
  <c r="AF151" i="26"/>
  <c r="AE151" i="26"/>
  <c r="AD151" i="26"/>
  <c r="AC151" i="26"/>
  <c r="AB151" i="26"/>
  <c r="AA151" i="26"/>
  <c r="Z151" i="26"/>
  <c r="Y151" i="26"/>
  <c r="X151" i="26"/>
  <c r="W151" i="26"/>
  <c r="V151" i="26"/>
  <c r="U151" i="26"/>
  <c r="T151" i="26"/>
  <c r="AG150" i="26"/>
  <c r="AF150" i="26"/>
  <c r="AE150" i="26"/>
  <c r="AD150" i="26"/>
  <c r="AC150" i="26"/>
  <c r="AB150" i="26"/>
  <c r="AA150" i="26"/>
  <c r="Z150" i="26"/>
  <c r="Y150" i="26"/>
  <c r="X150" i="26"/>
  <c r="W150" i="26"/>
  <c r="V150" i="26"/>
  <c r="U150" i="26"/>
  <c r="T150" i="26"/>
  <c r="AG149" i="26"/>
  <c r="AF149" i="26"/>
  <c r="AE149" i="26"/>
  <c r="AD149" i="26"/>
  <c r="AC149" i="26"/>
  <c r="AB149" i="26"/>
  <c r="AA149" i="26"/>
  <c r="Z149" i="26"/>
  <c r="Y149" i="26"/>
  <c r="X149" i="26"/>
  <c r="W149" i="26"/>
  <c r="V149" i="26"/>
  <c r="U149" i="26"/>
  <c r="T149" i="26"/>
  <c r="AG148" i="26"/>
  <c r="AF148" i="26"/>
  <c r="AE148" i="26"/>
  <c r="AD148" i="26"/>
  <c r="AC148" i="26"/>
  <c r="AB148" i="26"/>
  <c r="AA148" i="26"/>
  <c r="Z148" i="26"/>
  <c r="Y148" i="26"/>
  <c r="X148" i="26"/>
  <c r="W148" i="26"/>
  <c r="V148" i="26"/>
  <c r="U148" i="26"/>
  <c r="T148" i="26"/>
  <c r="AG147" i="26"/>
  <c r="AF147" i="26"/>
  <c r="AE147" i="26"/>
  <c r="AD147" i="26"/>
  <c r="AC147" i="26"/>
  <c r="AB147" i="26"/>
  <c r="AA147" i="26"/>
  <c r="Z147" i="26"/>
  <c r="Y147" i="26"/>
  <c r="X147" i="26"/>
  <c r="W147" i="26"/>
  <c r="V147" i="26"/>
  <c r="U147" i="26"/>
  <c r="T147" i="26"/>
  <c r="AG146" i="26"/>
  <c r="AF146" i="26"/>
  <c r="AE146" i="26"/>
  <c r="AD146" i="26"/>
  <c r="AC146" i="26"/>
  <c r="AB146" i="26"/>
  <c r="AA146" i="26"/>
  <c r="Z146" i="26"/>
  <c r="Y146" i="26"/>
  <c r="X146" i="26"/>
  <c r="W146" i="26"/>
  <c r="V146" i="26"/>
  <c r="U146" i="26"/>
  <c r="T146" i="26"/>
  <c r="AG145" i="26"/>
  <c r="AF145" i="26"/>
  <c r="AE145" i="26"/>
  <c r="AD145" i="26"/>
  <c r="AC145" i="26"/>
  <c r="AB145" i="26"/>
  <c r="AA145" i="26"/>
  <c r="Z145" i="26"/>
  <c r="Y145" i="26"/>
  <c r="X145" i="26"/>
  <c r="W145" i="26"/>
  <c r="V145" i="26"/>
  <c r="U145" i="26"/>
  <c r="T145" i="26"/>
  <c r="AG144" i="26"/>
  <c r="AF144" i="26"/>
  <c r="AE144" i="26"/>
  <c r="AD144" i="26"/>
  <c r="AC144" i="26"/>
  <c r="AB144" i="26"/>
  <c r="AA144" i="26"/>
  <c r="Z144" i="26"/>
  <c r="Y144" i="26"/>
  <c r="X144" i="26"/>
  <c r="W144" i="26"/>
  <c r="V144" i="26"/>
  <c r="U144" i="26"/>
  <c r="T144" i="26"/>
  <c r="AG143" i="26"/>
  <c r="AF143" i="26"/>
  <c r="AE143" i="26"/>
  <c r="AD143" i="26"/>
  <c r="AC143" i="26"/>
  <c r="AB143" i="26"/>
  <c r="AA143" i="26"/>
  <c r="Z143" i="26"/>
  <c r="Y143" i="26"/>
  <c r="X143" i="26"/>
  <c r="W143" i="26"/>
  <c r="V143" i="26"/>
  <c r="U143" i="26"/>
  <c r="T126" i="26"/>
  <c r="AG139" i="26"/>
  <c r="AF139" i="26"/>
  <c r="AE139" i="26"/>
  <c r="AD139" i="26"/>
  <c r="AC139" i="26"/>
  <c r="AB139" i="26"/>
  <c r="AA139" i="26"/>
  <c r="Z139" i="26"/>
  <c r="Y139" i="26"/>
  <c r="X139" i="26"/>
  <c r="W139" i="26"/>
  <c r="V139" i="26"/>
  <c r="U139" i="26"/>
  <c r="T139" i="26"/>
  <c r="AG138" i="26"/>
  <c r="AF138" i="26"/>
  <c r="AE138" i="26"/>
  <c r="AD138" i="26"/>
  <c r="AC138" i="26"/>
  <c r="AB138" i="26"/>
  <c r="AA138" i="26"/>
  <c r="Z138" i="26"/>
  <c r="Y138" i="26"/>
  <c r="X138" i="26"/>
  <c r="W138" i="26"/>
  <c r="V138" i="26"/>
  <c r="U138" i="26"/>
  <c r="T138" i="26"/>
  <c r="AG137" i="26"/>
  <c r="AF137" i="26"/>
  <c r="AE137" i="26"/>
  <c r="AD137" i="26"/>
  <c r="AC137" i="26"/>
  <c r="AB137" i="26"/>
  <c r="AA137" i="26"/>
  <c r="Z137" i="26"/>
  <c r="Y137" i="26"/>
  <c r="X137" i="26"/>
  <c r="W137" i="26"/>
  <c r="V137" i="26"/>
  <c r="U137" i="26"/>
  <c r="T137" i="26"/>
  <c r="AG136" i="26"/>
  <c r="AF136" i="26"/>
  <c r="AE136" i="26"/>
  <c r="AD136" i="26"/>
  <c r="AC136" i="26"/>
  <c r="AB136" i="26"/>
  <c r="AA136" i="26"/>
  <c r="Z136" i="26"/>
  <c r="Y136" i="26"/>
  <c r="X136" i="26"/>
  <c r="W136" i="26"/>
  <c r="V136" i="26"/>
  <c r="U136" i="26"/>
  <c r="T136" i="26"/>
  <c r="AG135" i="26"/>
  <c r="AF135" i="26"/>
  <c r="AE135" i="26"/>
  <c r="AD135" i="26"/>
  <c r="AC135" i="26"/>
  <c r="AB135" i="26"/>
  <c r="AA135" i="26"/>
  <c r="Z135" i="26"/>
  <c r="Y135" i="26"/>
  <c r="X135" i="26"/>
  <c r="W135" i="26"/>
  <c r="V135" i="26"/>
  <c r="U135" i="26"/>
  <c r="T135" i="26"/>
  <c r="AG134" i="26"/>
  <c r="AF134" i="26"/>
  <c r="AE134" i="26"/>
  <c r="AD134" i="26"/>
  <c r="AC134" i="26"/>
  <c r="AB134" i="26"/>
  <c r="AA134" i="26"/>
  <c r="Z134" i="26"/>
  <c r="Y134" i="26"/>
  <c r="X134" i="26"/>
  <c r="W134" i="26"/>
  <c r="V134" i="26"/>
  <c r="U134" i="26"/>
  <c r="T134" i="26"/>
  <c r="AG133" i="26"/>
  <c r="AF133" i="26"/>
  <c r="AE133" i="26"/>
  <c r="AD133" i="26"/>
  <c r="AC133" i="26"/>
  <c r="AB133" i="26"/>
  <c r="AA133" i="26"/>
  <c r="Z133" i="26"/>
  <c r="Y133" i="26"/>
  <c r="X133" i="26"/>
  <c r="W133" i="26"/>
  <c r="V133" i="26"/>
  <c r="U133" i="26"/>
  <c r="T133" i="26"/>
  <c r="AG132" i="26"/>
  <c r="AF132" i="26"/>
  <c r="AE132" i="26"/>
  <c r="AD132" i="26"/>
  <c r="AC132" i="26"/>
  <c r="AB132" i="26"/>
  <c r="AA132" i="26"/>
  <c r="Z132" i="26"/>
  <c r="Y132" i="26"/>
  <c r="X132" i="26"/>
  <c r="W132" i="26"/>
  <c r="V132" i="26"/>
  <c r="U132" i="26"/>
  <c r="T132" i="26"/>
  <c r="AG131" i="26"/>
  <c r="AF131" i="26"/>
  <c r="AE131" i="26"/>
  <c r="AD131" i="26"/>
  <c r="AC131" i="26"/>
  <c r="AB131" i="26"/>
  <c r="AA131" i="26"/>
  <c r="Z131" i="26"/>
  <c r="Y131" i="26"/>
  <c r="X131" i="26"/>
  <c r="W131" i="26"/>
  <c r="V131" i="26"/>
  <c r="U131" i="26"/>
  <c r="T131" i="26"/>
  <c r="AG130" i="26"/>
  <c r="AF130" i="26"/>
  <c r="AE130" i="26"/>
  <c r="AD130" i="26"/>
  <c r="AC130" i="26"/>
  <c r="AB130" i="26"/>
  <c r="AA130" i="26"/>
  <c r="Z130" i="26"/>
  <c r="Y130" i="26"/>
  <c r="X130" i="26"/>
  <c r="W130" i="26"/>
  <c r="V130" i="26"/>
  <c r="U130" i="26"/>
  <c r="T130" i="26"/>
  <c r="AG129" i="26"/>
  <c r="AF129" i="26"/>
  <c r="AE129" i="26"/>
  <c r="AD129" i="26"/>
  <c r="AC129" i="26"/>
  <c r="AB129" i="26"/>
  <c r="AA129" i="26"/>
  <c r="Z129" i="26"/>
  <c r="Y129" i="26"/>
  <c r="X129" i="26"/>
  <c r="W129" i="26"/>
  <c r="V129" i="26"/>
  <c r="U129" i="26"/>
  <c r="T129" i="26"/>
  <c r="AG128" i="26"/>
  <c r="AF128" i="26"/>
  <c r="AE128" i="26"/>
  <c r="AD128" i="26"/>
  <c r="AC128" i="26"/>
  <c r="AB128" i="26"/>
  <c r="AA128" i="26"/>
  <c r="Z128" i="26"/>
  <c r="Y128" i="26"/>
  <c r="X128" i="26"/>
  <c r="W128" i="26"/>
  <c r="V128" i="26"/>
  <c r="U128" i="26"/>
  <c r="T128" i="26"/>
  <c r="AG127" i="26"/>
  <c r="AF127" i="26"/>
  <c r="AE127" i="26"/>
  <c r="AD127" i="26"/>
  <c r="AC127" i="26"/>
  <c r="AB127" i="26"/>
  <c r="AA127" i="26"/>
  <c r="Z127" i="26"/>
  <c r="Y127" i="26"/>
  <c r="X127" i="26"/>
  <c r="W127" i="26"/>
  <c r="V127" i="26"/>
  <c r="U127" i="26"/>
  <c r="T127" i="26"/>
  <c r="AG126" i="26"/>
  <c r="AF126" i="26"/>
  <c r="AE126" i="26"/>
  <c r="AD126" i="26"/>
  <c r="AC126" i="26"/>
  <c r="AB126" i="26"/>
  <c r="AA126" i="26"/>
  <c r="Z126" i="26"/>
  <c r="Y126" i="26"/>
  <c r="X126" i="26"/>
  <c r="W126" i="26"/>
  <c r="V126" i="26"/>
  <c r="U126" i="26"/>
  <c r="T109" i="26"/>
  <c r="AG122" i="26"/>
  <c r="AF122" i="26"/>
  <c r="AE122" i="26"/>
  <c r="AD122" i="26"/>
  <c r="AC122" i="26"/>
  <c r="AB122" i="26"/>
  <c r="AA122" i="26"/>
  <c r="Z122" i="26"/>
  <c r="Y122" i="26"/>
  <c r="X122" i="26"/>
  <c r="W122" i="26"/>
  <c r="V122" i="26"/>
  <c r="U122" i="26"/>
  <c r="T122" i="26"/>
  <c r="AG121" i="26"/>
  <c r="AF121" i="26"/>
  <c r="AE121" i="26"/>
  <c r="AD121" i="26"/>
  <c r="AC121" i="26"/>
  <c r="AB121" i="26"/>
  <c r="AA121" i="26"/>
  <c r="Z121" i="26"/>
  <c r="Y121" i="26"/>
  <c r="X121" i="26"/>
  <c r="W121" i="26"/>
  <c r="V121" i="26"/>
  <c r="U121" i="26"/>
  <c r="T121" i="26"/>
  <c r="AG120" i="26"/>
  <c r="AF120" i="26"/>
  <c r="AE120" i="26"/>
  <c r="AD120" i="26"/>
  <c r="AC120" i="26"/>
  <c r="AB120" i="26"/>
  <c r="AA120" i="26"/>
  <c r="Z120" i="26"/>
  <c r="Y120" i="26"/>
  <c r="X120" i="26"/>
  <c r="W120" i="26"/>
  <c r="V120" i="26"/>
  <c r="U120" i="26"/>
  <c r="T120" i="26"/>
  <c r="AG119" i="26"/>
  <c r="AF119" i="26"/>
  <c r="AE119" i="26"/>
  <c r="AD119" i="26"/>
  <c r="AC119" i="26"/>
  <c r="AB119" i="26"/>
  <c r="AA119" i="26"/>
  <c r="Z119" i="26"/>
  <c r="Y119" i="26"/>
  <c r="X119" i="26"/>
  <c r="W119" i="26"/>
  <c r="V119" i="26"/>
  <c r="U119" i="26"/>
  <c r="T119" i="26"/>
  <c r="AG118" i="26"/>
  <c r="AF118" i="26"/>
  <c r="AE118" i="26"/>
  <c r="AD118" i="26"/>
  <c r="AC118" i="26"/>
  <c r="AB118" i="26"/>
  <c r="AA118" i="26"/>
  <c r="Z118" i="26"/>
  <c r="Y118" i="26"/>
  <c r="X118" i="26"/>
  <c r="W118" i="26"/>
  <c r="V118" i="26"/>
  <c r="U118" i="26"/>
  <c r="T118" i="26"/>
  <c r="AG117" i="26"/>
  <c r="AF117" i="26"/>
  <c r="AE117" i="26"/>
  <c r="AD117" i="26"/>
  <c r="AC117" i="26"/>
  <c r="AB117" i="26"/>
  <c r="AA117" i="26"/>
  <c r="Z117" i="26"/>
  <c r="Y117" i="26"/>
  <c r="X117" i="26"/>
  <c r="W117" i="26"/>
  <c r="V117" i="26"/>
  <c r="U117" i="26"/>
  <c r="T117" i="26"/>
  <c r="AG116" i="26"/>
  <c r="AF116" i="26"/>
  <c r="AE116" i="26"/>
  <c r="AD116" i="26"/>
  <c r="AC116" i="26"/>
  <c r="AB116" i="26"/>
  <c r="AA116" i="26"/>
  <c r="Z116" i="26"/>
  <c r="Y116" i="26"/>
  <c r="X116" i="26"/>
  <c r="W116" i="26"/>
  <c r="V116" i="26"/>
  <c r="U116" i="26"/>
  <c r="T116" i="26"/>
  <c r="AG115" i="26"/>
  <c r="AF115" i="26"/>
  <c r="AE115" i="26"/>
  <c r="AD115" i="26"/>
  <c r="AC115" i="26"/>
  <c r="AB115" i="26"/>
  <c r="AA115" i="26"/>
  <c r="Z115" i="26"/>
  <c r="Y115" i="26"/>
  <c r="X115" i="26"/>
  <c r="W115" i="26"/>
  <c r="V115" i="26"/>
  <c r="U115" i="26"/>
  <c r="T115" i="26"/>
  <c r="AG114" i="26"/>
  <c r="AF114" i="26"/>
  <c r="AE114" i="26"/>
  <c r="AD114" i="26"/>
  <c r="AC114" i="26"/>
  <c r="AB114" i="26"/>
  <c r="AA114" i="26"/>
  <c r="Z114" i="26"/>
  <c r="Y114" i="26"/>
  <c r="X114" i="26"/>
  <c r="W114" i="26"/>
  <c r="V114" i="26"/>
  <c r="U114" i="26"/>
  <c r="T114" i="26"/>
  <c r="AG113" i="26"/>
  <c r="AF113" i="26"/>
  <c r="AE113" i="26"/>
  <c r="AD113" i="26"/>
  <c r="AC113" i="26"/>
  <c r="AB113" i="26"/>
  <c r="AA113" i="26"/>
  <c r="Z113" i="26"/>
  <c r="Y113" i="26"/>
  <c r="X113" i="26"/>
  <c r="W113" i="26"/>
  <c r="V113" i="26"/>
  <c r="U113" i="26"/>
  <c r="T113" i="26"/>
  <c r="AG112" i="26"/>
  <c r="AF112" i="26"/>
  <c r="AE112" i="26"/>
  <c r="AD112" i="26"/>
  <c r="AC112" i="26"/>
  <c r="AB112" i="26"/>
  <c r="AA112" i="26"/>
  <c r="Z112" i="26"/>
  <c r="Y112" i="26"/>
  <c r="X112" i="26"/>
  <c r="W112" i="26"/>
  <c r="V112" i="26"/>
  <c r="U112" i="26"/>
  <c r="T112" i="26"/>
  <c r="AG111" i="26"/>
  <c r="AF111" i="26"/>
  <c r="AE111" i="26"/>
  <c r="AD111" i="26"/>
  <c r="AC111" i="26"/>
  <c r="AB111" i="26"/>
  <c r="AA111" i="26"/>
  <c r="Z111" i="26"/>
  <c r="Y111" i="26"/>
  <c r="X111" i="26"/>
  <c r="W111" i="26"/>
  <c r="V111" i="26"/>
  <c r="U111" i="26"/>
  <c r="T111" i="26"/>
  <c r="AG110" i="26"/>
  <c r="AF110" i="26"/>
  <c r="AE110" i="26"/>
  <c r="AD110" i="26"/>
  <c r="AC110" i="26"/>
  <c r="AB110" i="26"/>
  <c r="AA110" i="26"/>
  <c r="Z110" i="26"/>
  <c r="Y110" i="26"/>
  <c r="X110" i="26"/>
  <c r="W110" i="26"/>
  <c r="V110" i="26"/>
  <c r="U110" i="26"/>
  <c r="T110" i="26"/>
  <c r="AG109" i="26"/>
  <c r="AF109" i="26"/>
  <c r="AE109" i="26"/>
  <c r="AD109" i="26"/>
  <c r="AC109" i="26"/>
  <c r="AB109" i="26"/>
  <c r="AA109" i="26"/>
  <c r="Z109" i="26"/>
  <c r="Y109" i="26"/>
  <c r="X109" i="26"/>
  <c r="W109" i="26"/>
  <c r="V109" i="26"/>
  <c r="U109" i="26"/>
  <c r="T92" i="26"/>
  <c r="AG105" i="26"/>
  <c r="AF105" i="26"/>
  <c r="AE105" i="26"/>
  <c r="AD105" i="26"/>
  <c r="AC105" i="26"/>
  <c r="AB105" i="26"/>
  <c r="AA105" i="26"/>
  <c r="Z105" i="26"/>
  <c r="Y105" i="26"/>
  <c r="X105" i="26"/>
  <c r="W105" i="26"/>
  <c r="V105" i="26"/>
  <c r="U105" i="26"/>
  <c r="T105" i="26"/>
  <c r="AG104" i="26"/>
  <c r="AF104" i="26"/>
  <c r="AE104" i="26"/>
  <c r="AD104" i="26"/>
  <c r="AC104" i="26"/>
  <c r="AB104" i="26"/>
  <c r="AA104" i="26"/>
  <c r="Z104" i="26"/>
  <c r="Y104" i="26"/>
  <c r="X104" i="26"/>
  <c r="W104" i="26"/>
  <c r="V104" i="26"/>
  <c r="U104" i="26"/>
  <c r="T104" i="26"/>
  <c r="AG103" i="26"/>
  <c r="AF103" i="26"/>
  <c r="AE103" i="26"/>
  <c r="AD103" i="26"/>
  <c r="AC103" i="26"/>
  <c r="AB103" i="26"/>
  <c r="AA103" i="26"/>
  <c r="Z103" i="26"/>
  <c r="Y103" i="26"/>
  <c r="X103" i="26"/>
  <c r="W103" i="26"/>
  <c r="V103" i="26"/>
  <c r="U103" i="26"/>
  <c r="T103" i="26"/>
  <c r="AG102" i="26"/>
  <c r="AF102" i="26"/>
  <c r="AE102" i="26"/>
  <c r="AD102" i="26"/>
  <c r="AC102" i="26"/>
  <c r="AB102" i="26"/>
  <c r="AA102" i="26"/>
  <c r="Z102" i="26"/>
  <c r="Y102" i="26"/>
  <c r="X102" i="26"/>
  <c r="W102" i="26"/>
  <c r="V102" i="26"/>
  <c r="U102" i="26"/>
  <c r="T102" i="26"/>
  <c r="AG101" i="26"/>
  <c r="AF101" i="26"/>
  <c r="AE101" i="26"/>
  <c r="AD101" i="26"/>
  <c r="AC101" i="26"/>
  <c r="AB101" i="26"/>
  <c r="AA101" i="26"/>
  <c r="Z101" i="26"/>
  <c r="Y101" i="26"/>
  <c r="X101" i="26"/>
  <c r="W101" i="26"/>
  <c r="V101" i="26"/>
  <c r="U101" i="26"/>
  <c r="T101" i="26"/>
  <c r="AG100" i="26"/>
  <c r="AF100" i="26"/>
  <c r="AE100" i="26"/>
  <c r="AD100" i="26"/>
  <c r="AC100" i="26"/>
  <c r="AB100" i="26"/>
  <c r="AA100" i="26"/>
  <c r="Z100" i="26"/>
  <c r="Y100" i="26"/>
  <c r="X100" i="26"/>
  <c r="W100" i="26"/>
  <c r="V100" i="26"/>
  <c r="U100" i="26"/>
  <c r="T100" i="26"/>
  <c r="AG99" i="26"/>
  <c r="AF99" i="26"/>
  <c r="AE99" i="26"/>
  <c r="AD99" i="26"/>
  <c r="AC99" i="26"/>
  <c r="AB99" i="26"/>
  <c r="AA99" i="26"/>
  <c r="Z99" i="26"/>
  <c r="Y99" i="26"/>
  <c r="X99" i="26"/>
  <c r="W99" i="26"/>
  <c r="V99" i="26"/>
  <c r="U99" i="26"/>
  <c r="T99" i="26"/>
  <c r="AG98" i="26"/>
  <c r="AF98" i="26"/>
  <c r="AE98" i="26"/>
  <c r="AD98" i="26"/>
  <c r="AC98" i="26"/>
  <c r="AB98" i="26"/>
  <c r="AA98" i="26"/>
  <c r="Z98" i="26"/>
  <c r="Y98" i="26"/>
  <c r="X98" i="26"/>
  <c r="W98" i="26"/>
  <c r="V98" i="26"/>
  <c r="U98" i="26"/>
  <c r="T98" i="26"/>
  <c r="AG97" i="26"/>
  <c r="AF97" i="26"/>
  <c r="AE97" i="26"/>
  <c r="AD97" i="26"/>
  <c r="AC97" i="26"/>
  <c r="AB97" i="26"/>
  <c r="AA97" i="26"/>
  <c r="Z97" i="26"/>
  <c r="Y97" i="26"/>
  <c r="X97" i="26"/>
  <c r="W97" i="26"/>
  <c r="V97" i="26"/>
  <c r="U97" i="26"/>
  <c r="T97" i="26"/>
  <c r="AG96" i="26"/>
  <c r="AF96" i="26"/>
  <c r="AE96" i="26"/>
  <c r="AD96" i="26"/>
  <c r="AC96" i="26"/>
  <c r="AB96" i="26"/>
  <c r="AA96" i="26"/>
  <c r="Z96" i="26"/>
  <c r="Y96" i="26"/>
  <c r="X96" i="26"/>
  <c r="W96" i="26"/>
  <c r="V96" i="26"/>
  <c r="U96" i="26"/>
  <c r="T96" i="26"/>
  <c r="AG95" i="26"/>
  <c r="AF95" i="26"/>
  <c r="AE95" i="26"/>
  <c r="AD95" i="26"/>
  <c r="AC95" i="26"/>
  <c r="AB95" i="26"/>
  <c r="AA95" i="26"/>
  <c r="Z95" i="26"/>
  <c r="Y95" i="26"/>
  <c r="X95" i="26"/>
  <c r="W95" i="26"/>
  <c r="V95" i="26"/>
  <c r="U95" i="26"/>
  <c r="T95" i="26"/>
  <c r="AG94" i="26"/>
  <c r="AF94" i="26"/>
  <c r="AE94" i="26"/>
  <c r="AD94" i="26"/>
  <c r="AC94" i="26"/>
  <c r="AB94" i="26"/>
  <c r="AA94" i="26"/>
  <c r="Z94" i="26"/>
  <c r="Y94" i="26"/>
  <c r="X94" i="26"/>
  <c r="W94" i="26"/>
  <c r="V94" i="26"/>
  <c r="U94" i="26"/>
  <c r="T94" i="26"/>
  <c r="AG93" i="26"/>
  <c r="AF93" i="26"/>
  <c r="AE93" i="26"/>
  <c r="AD93" i="26"/>
  <c r="AC93" i="26"/>
  <c r="AB93" i="26"/>
  <c r="AA93" i="26"/>
  <c r="Z93" i="26"/>
  <c r="Y93" i="26"/>
  <c r="X93" i="26"/>
  <c r="W93" i="26"/>
  <c r="V93" i="26"/>
  <c r="U93" i="26"/>
  <c r="T93" i="26"/>
  <c r="AG92" i="26"/>
  <c r="AF92" i="26"/>
  <c r="AE92" i="26"/>
  <c r="AD92" i="26"/>
  <c r="AC92" i="26"/>
  <c r="AB92" i="26"/>
  <c r="AA92" i="26"/>
  <c r="Z92" i="26"/>
  <c r="Y92" i="26"/>
  <c r="X92" i="26"/>
  <c r="W92" i="26"/>
  <c r="V92" i="26"/>
  <c r="U92" i="26"/>
  <c r="T75" i="26"/>
  <c r="AG88" i="26"/>
  <c r="AF88" i="26"/>
  <c r="AE88" i="26"/>
  <c r="AD88" i="26"/>
  <c r="AC88" i="26"/>
  <c r="AB88" i="26"/>
  <c r="AA88" i="26"/>
  <c r="Z88" i="26"/>
  <c r="Y88" i="26"/>
  <c r="X88" i="26"/>
  <c r="W88" i="26"/>
  <c r="V88" i="26"/>
  <c r="U88" i="26"/>
  <c r="T88" i="26"/>
  <c r="AG87" i="26"/>
  <c r="AF87" i="26"/>
  <c r="AE87" i="26"/>
  <c r="AD87" i="26"/>
  <c r="AC87" i="26"/>
  <c r="AB87" i="26"/>
  <c r="AA87" i="26"/>
  <c r="Z87" i="26"/>
  <c r="Y87" i="26"/>
  <c r="X87" i="26"/>
  <c r="W87" i="26"/>
  <c r="V87" i="26"/>
  <c r="U87" i="26"/>
  <c r="T87" i="26"/>
  <c r="AG86" i="26"/>
  <c r="AF86" i="26"/>
  <c r="AE86" i="26"/>
  <c r="AD86" i="26"/>
  <c r="AC86" i="26"/>
  <c r="AB86" i="26"/>
  <c r="AA86" i="26"/>
  <c r="Z86" i="26"/>
  <c r="Y86" i="26"/>
  <c r="X86" i="26"/>
  <c r="W86" i="26"/>
  <c r="V86" i="26"/>
  <c r="U86" i="26"/>
  <c r="T86" i="26"/>
  <c r="AG85" i="26"/>
  <c r="AF85" i="26"/>
  <c r="AE85" i="26"/>
  <c r="AD85" i="26"/>
  <c r="AC85" i="26"/>
  <c r="AB85" i="26"/>
  <c r="AA85" i="26"/>
  <c r="Z85" i="26"/>
  <c r="Y85" i="26"/>
  <c r="X85" i="26"/>
  <c r="W85" i="26"/>
  <c r="V85" i="26"/>
  <c r="U85" i="26"/>
  <c r="T85" i="26"/>
  <c r="AG84" i="26"/>
  <c r="AF84" i="26"/>
  <c r="AE84" i="26"/>
  <c r="AD84" i="26"/>
  <c r="AC84" i="26"/>
  <c r="AB84" i="26"/>
  <c r="AA84" i="26"/>
  <c r="Z84" i="26"/>
  <c r="Y84" i="26"/>
  <c r="X84" i="26"/>
  <c r="W84" i="26"/>
  <c r="V84" i="26"/>
  <c r="U84" i="26"/>
  <c r="T84" i="26"/>
  <c r="AG83" i="26"/>
  <c r="AF83" i="26"/>
  <c r="AE83" i="26"/>
  <c r="AD83" i="26"/>
  <c r="AC83" i="26"/>
  <c r="AB83" i="26"/>
  <c r="AA83" i="26"/>
  <c r="Z83" i="26"/>
  <c r="Y83" i="26"/>
  <c r="X83" i="26"/>
  <c r="W83" i="26"/>
  <c r="V83" i="26"/>
  <c r="U83" i="26"/>
  <c r="T83" i="26"/>
  <c r="AG82" i="26"/>
  <c r="AF82" i="26"/>
  <c r="AE82" i="26"/>
  <c r="AD82" i="26"/>
  <c r="AC82" i="26"/>
  <c r="AB82" i="26"/>
  <c r="AA82" i="26"/>
  <c r="Z82" i="26"/>
  <c r="Y82" i="26"/>
  <c r="X82" i="26"/>
  <c r="W82" i="26"/>
  <c r="V82" i="26"/>
  <c r="U82" i="26"/>
  <c r="T82" i="26"/>
  <c r="AG81" i="26"/>
  <c r="AF81" i="26"/>
  <c r="AE81" i="26"/>
  <c r="AD81" i="26"/>
  <c r="AC81" i="26"/>
  <c r="AB81" i="26"/>
  <c r="AA81" i="26"/>
  <c r="Z81" i="26"/>
  <c r="Y81" i="26"/>
  <c r="X81" i="26"/>
  <c r="W81" i="26"/>
  <c r="V81" i="26"/>
  <c r="U81" i="26"/>
  <c r="T81" i="26"/>
  <c r="AG80" i="26"/>
  <c r="AF80" i="26"/>
  <c r="AE80" i="26"/>
  <c r="AD80" i="26"/>
  <c r="AC80" i="26"/>
  <c r="AB80" i="26"/>
  <c r="AA80" i="26"/>
  <c r="Z80" i="26"/>
  <c r="Y80" i="26"/>
  <c r="X80" i="26"/>
  <c r="W80" i="26"/>
  <c r="V80" i="26"/>
  <c r="U80" i="26"/>
  <c r="T80" i="26"/>
  <c r="AG79" i="26"/>
  <c r="AF79" i="26"/>
  <c r="AE79" i="26"/>
  <c r="AD79" i="26"/>
  <c r="AC79" i="26"/>
  <c r="AB79" i="26"/>
  <c r="AA79" i="26"/>
  <c r="Z79" i="26"/>
  <c r="Y79" i="26"/>
  <c r="X79" i="26"/>
  <c r="W79" i="26"/>
  <c r="V79" i="26"/>
  <c r="U79" i="26"/>
  <c r="T79" i="26"/>
  <c r="AG78" i="26"/>
  <c r="AF78" i="26"/>
  <c r="AE78" i="26"/>
  <c r="AD78" i="26"/>
  <c r="AC78" i="26"/>
  <c r="AB78" i="26"/>
  <c r="AA78" i="26"/>
  <c r="Z78" i="26"/>
  <c r="Y78" i="26"/>
  <c r="X78" i="26"/>
  <c r="W78" i="26"/>
  <c r="V78" i="26"/>
  <c r="U78" i="26"/>
  <c r="T78" i="26"/>
  <c r="AG77" i="26"/>
  <c r="AF77" i="26"/>
  <c r="AE77" i="26"/>
  <c r="AD77" i="26"/>
  <c r="AC77" i="26"/>
  <c r="AB77" i="26"/>
  <c r="AA77" i="26"/>
  <c r="Z77" i="26"/>
  <c r="Y77" i="26"/>
  <c r="X77" i="26"/>
  <c r="W77" i="26"/>
  <c r="V77" i="26"/>
  <c r="U77" i="26"/>
  <c r="T77" i="26"/>
  <c r="AG76" i="26"/>
  <c r="AF76" i="26"/>
  <c r="AE76" i="26"/>
  <c r="AD76" i="26"/>
  <c r="AC76" i="26"/>
  <c r="AB76" i="26"/>
  <c r="AA76" i="26"/>
  <c r="Z76" i="26"/>
  <c r="Y76" i="26"/>
  <c r="X76" i="26"/>
  <c r="W76" i="26"/>
  <c r="V76" i="26"/>
  <c r="U76" i="26"/>
  <c r="T76" i="26"/>
  <c r="AG75" i="26"/>
  <c r="AF75" i="26"/>
  <c r="AE75" i="26"/>
  <c r="AD75" i="26"/>
  <c r="AC75" i="26"/>
  <c r="AB75" i="26"/>
  <c r="AA75" i="26"/>
  <c r="Z75" i="26"/>
  <c r="Y75" i="26"/>
  <c r="X75" i="26"/>
  <c r="W75" i="26"/>
  <c r="V75" i="26"/>
  <c r="U75" i="26"/>
  <c r="T54" i="26"/>
  <c r="AG54" i="26"/>
  <c r="AF54" i="26"/>
  <c r="AE54" i="26"/>
  <c r="AD54" i="26"/>
  <c r="AC54" i="26"/>
  <c r="AB54" i="26"/>
  <c r="AA54" i="26"/>
  <c r="Z54" i="26"/>
  <c r="Y54" i="26"/>
  <c r="X54" i="26"/>
  <c r="W54" i="26"/>
  <c r="V54" i="26"/>
  <c r="U54" i="26"/>
  <c r="AG53" i="26"/>
  <c r="AF53" i="26"/>
  <c r="AE53" i="26"/>
  <c r="AD53" i="26"/>
  <c r="AC53" i="26"/>
  <c r="AB53" i="26"/>
  <c r="AA53" i="26"/>
  <c r="Z53" i="26"/>
  <c r="Y53" i="26"/>
  <c r="X53" i="26"/>
  <c r="W53" i="26"/>
  <c r="V53" i="26"/>
  <c r="U53" i="26"/>
  <c r="T53" i="26"/>
  <c r="AG52" i="26"/>
  <c r="AF52" i="26"/>
  <c r="AE52" i="26"/>
  <c r="AD52" i="26"/>
  <c r="AC52" i="26"/>
  <c r="AB52" i="26"/>
  <c r="AA52" i="26"/>
  <c r="Z52" i="26"/>
  <c r="Y52" i="26"/>
  <c r="X52" i="26"/>
  <c r="W52" i="26"/>
  <c r="V52" i="26"/>
  <c r="U52" i="26"/>
  <c r="T52" i="26"/>
  <c r="AG51" i="26"/>
  <c r="AF51" i="26"/>
  <c r="AE51" i="26"/>
  <c r="AD51" i="26"/>
  <c r="AC51" i="26"/>
  <c r="AB51" i="26"/>
  <c r="AA51" i="26"/>
  <c r="Z51" i="26"/>
  <c r="Y51" i="26"/>
  <c r="X51" i="26"/>
  <c r="W51" i="26"/>
  <c r="V51" i="26"/>
  <c r="U51" i="26"/>
  <c r="T51" i="26"/>
  <c r="AG50" i="26"/>
  <c r="AF50" i="26"/>
  <c r="AE50" i="26"/>
  <c r="AD50" i="26"/>
  <c r="AC50" i="26"/>
  <c r="AB50" i="26"/>
  <c r="AA50" i="26"/>
  <c r="Z50" i="26"/>
  <c r="Y50" i="26"/>
  <c r="X50" i="26"/>
  <c r="W50" i="26"/>
  <c r="V50" i="26"/>
  <c r="U50" i="26"/>
  <c r="T50" i="26"/>
  <c r="AG49" i="26"/>
  <c r="AF49" i="26"/>
  <c r="AE49" i="26"/>
  <c r="AD49" i="26"/>
  <c r="AC49" i="26"/>
  <c r="AB49" i="26"/>
  <c r="AA49" i="26"/>
  <c r="Z49" i="26"/>
  <c r="Y49" i="26"/>
  <c r="X49" i="26"/>
  <c r="W49" i="26"/>
  <c r="V49" i="26"/>
  <c r="U49" i="26"/>
  <c r="T49" i="26"/>
  <c r="AG48" i="26"/>
  <c r="AF48" i="26"/>
  <c r="AE48" i="26"/>
  <c r="AD48" i="26"/>
  <c r="AC48" i="26"/>
  <c r="AB48" i="26"/>
  <c r="AA48" i="26"/>
  <c r="Z48" i="26"/>
  <c r="Y48" i="26"/>
  <c r="X48" i="26"/>
  <c r="W48" i="26"/>
  <c r="V48" i="26"/>
  <c r="U48" i="26"/>
  <c r="T48" i="26"/>
  <c r="AG47" i="26"/>
  <c r="AF47" i="26"/>
  <c r="AE47" i="26"/>
  <c r="AD47" i="26"/>
  <c r="AC47" i="26"/>
  <c r="AB47" i="26"/>
  <c r="AA47" i="26"/>
  <c r="Z47" i="26"/>
  <c r="Y47" i="26"/>
  <c r="X47" i="26"/>
  <c r="W47" i="26"/>
  <c r="V47" i="26"/>
  <c r="U47" i="26"/>
  <c r="T47" i="26"/>
  <c r="AG46" i="26"/>
  <c r="AF46" i="26"/>
  <c r="AE46" i="26"/>
  <c r="AD46" i="26"/>
  <c r="AC46" i="26"/>
  <c r="AB46" i="26"/>
  <c r="AA46" i="26"/>
  <c r="Z46" i="26"/>
  <c r="Y46" i="26"/>
  <c r="X46" i="26"/>
  <c r="W46" i="26"/>
  <c r="V46" i="26"/>
  <c r="U46" i="26"/>
  <c r="T46" i="26"/>
  <c r="AG45" i="26"/>
  <c r="AF45" i="26"/>
  <c r="AE45" i="26"/>
  <c r="AD45" i="26"/>
  <c r="AC45" i="26"/>
  <c r="AB45" i="26"/>
  <c r="AA45" i="26"/>
  <c r="Z45" i="26"/>
  <c r="Y45" i="26"/>
  <c r="X45" i="26"/>
  <c r="W45" i="26"/>
  <c r="V45" i="26"/>
  <c r="U45" i="26"/>
  <c r="T45" i="26"/>
  <c r="AG44" i="26"/>
  <c r="AF44" i="26"/>
  <c r="AE44" i="26"/>
  <c r="AD44" i="26"/>
  <c r="AC44" i="26"/>
  <c r="AB44" i="26"/>
  <c r="AA44" i="26"/>
  <c r="Z44" i="26"/>
  <c r="Y44" i="26"/>
  <c r="X44" i="26"/>
  <c r="W44" i="26"/>
  <c r="V44" i="26"/>
  <c r="U44" i="26"/>
  <c r="T44" i="26"/>
  <c r="AG43" i="26"/>
  <c r="AF43" i="26"/>
  <c r="AE43" i="26"/>
  <c r="AD43" i="26"/>
  <c r="AC43" i="26"/>
  <c r="AB43" i="26"/>
  <c r="AA43" i="26"/>
  <c r="Z43" i="26"/>
  <c r="Y43" i="26"/>
  <c r="X43" i="26"/>
  <c r="W43" i="26"/>
  <c r="V43" i="26"/>
  <c r="U43" i="26"/>
  <c r="T43" i="26"/>
  <c r="AG42" i="26"/>
  <c r="AF42" i="26"/>
  <c r="AE42" i="26"/>
  <c r="AD42" i="26"/>
  <c r="AC42" i="26"/>
  <c r="AB42" i="26"/>
  <c r="AA42" i="26"/>
  <c r="Z42" i="26"/>
  <c r="Y42" i="26"/>
  <c r="X42" i="26"/>
  <c r="W42" i="26"/>
  <c r="V42" i="26"/>
  <c r="U42" i="26"/>
  <c r="T42" i="26"/>
  <c r="AG41" i="26"/>
  <c r="AF41" i="26"/>
  <c r="AE41" i="26"/>
  <c r="AD41" i="26"/>
  <c r="AC41" i="26"/>
  <c r="AB41" i="26"/>
  <c r="AA41" i="26"/>
  <c r="Z41" i="26"/>
  <c r="Y41" i="26"/>
  <c r="X41" i="26"/>
  <c r="W41" i="26"/>
  <c r="V41" i="26"/>
  <c r="U41" i="26"/>
  <c r="T41" i="26"/>
  <c r="T37" i="26"/>
  <c r="AG37" i="26"/>
  <c r="AF37" i="26"/>
  <c r="AE37" i="26"/>
  <c r="AD37" i="26"/>
  <c r="AC37" i="26"/>
  <c r="AB37" i="26"/>
  <c r="AA37" i="26"/>
  <c r="Z37" i="26"/>
  <c r="Y37" i="26"/>
  <c r="X37" i="26"/>
  <c r="W37" i="26"/>
  <c r="V37" i="26"/>
  <c r="U37" i="26"/>
  <c r="AG36" i="26"/>
  <c r="AF36" i="26"/>
  <c r="AE36" i="26"/>
  <c r="AD36" i="26"/>
  <c r="AC36" i="26"/>
  <c r="AB36" i="26"/>
  <c r="AA36" i="26"/>
  <c r="Z36" i="26"/>
  <c r="Y36" i="26"/>
  <c r="X36" i="26"/>
  <c r="W36" i="26"/>
  <c r="V36" i="26"/>
  <c r="U36" i="26"/>
  <c r="T36" i="26"/>
  <c r="AG35" i="26"/>
  <c r="AF35" i="26"/>
  <c r="AE35" i="26"/>
  <c r="AD35" i="26"/>
  <c r="AC35" i="26"/>
  <c r="AB35" i="26"/>
  <c r="AA35" i="26"/>
  <c r="Z35" i="26"/>
  <c r="Y35" i="26"/>
  <c r="X35" i="26"/>
  <c r="W35" i="26"/>
  <c r="V35" i="26"/>
  <c r="U35" i="26"/>
  <c r="T35" i="26"/>
  <c r="AG34" i="26"/>
  <c r="AF34" i="26"/>
  <c r="AE34" i="26"/>
  <c r="AD34" i="26"/>
  <c r="AC34" i="26"/>
  <c r="AB34" i="26"/>
  <c r="AA34" i="26"/>
  <c r="Z34" i="26"/>
  <c r="Y34" i="26"/>
  <c r="X34" i="26"/>
  <c r="W34" i="26"/>
  <c r="V34" i="26"/>
  <c r="U34" i="26"/>
  <c r="T34" i="26"/>
  <c r="AG33" i="26"/>
  <c r="AF33" i="26"/>
  <c r="AE33" i="26"/>
  <c r="AD33" i="26"/>
  <c r="AC33" i="26"/>
  <c r="AB33" i="26"/>
  <c r="AA33" i="26"/>
  <c r="Z33" i="26"/>
  <c r="Y33" i="26"/>
  <c r="X33" i="26"/>
  <c r="W33" i="26"/>
  <c r="V33" i="26"/>
  <c r="U33" i="26"/>
  <c r="T33" i="26"/>
  <c r="AG32" i="26"/>
  <c r="AF32" i="26"/>
  <c r="AE32" i="26"/>
  <c r="AD32" i="26"/>
  <c r="AC32" i="26"/>
  <c r="AB32" i="26"/>
  <c r="AA32" i="26"/>
  <c r="Z32" i="26"/>
  <c r="Y32" i="26"/>
  <c r="X32" i="26"/>
  <c r="W32" i="26"/>
  <c r="V32" i="26"/>
  <c r="U32" i="26"/>
  <c r="T32" i="26"/>
  <c r="AG31" i="26"/>
  <c r="AF31" i="26"/>
  <c r="AE31" i="26"/>
  <c r="AD31" i="26"/>
  <c r="AC31" i="26"/>
  <c r="AB31" i="26"/>
  <c r="AA31" i="26"/>
  <c r="Z31" i="26"/>
  <c r="Y31" i="26"/>
  <c r="X31" i="26"/>
  <c r="W31" i="26"/>
  <c r="V31" i="26"/>
  <c r="U31" i="26"/>
  <c r="T31" i="26"/>
  <c r="AG30" i="26"/>
  <c r="AF30" i="26"/>
  <c r="AE30" i="26"/>
  <c r="AD30" i="26"/>
  <c r="AC30" i="26"/>
  <c r="AB30" i="26"/>
  <c r="AA30" i="26"/>
  <c r="Z30" i="26"/>
  <c r="Y30" i="26"/>
  <c r="X30" i="26"/>
  <c r="W30" i="26"/>
  <c r="V30" i="26"/>
  <c r="U30" i="26"/>
  <c r="T30" i="26"/>
  <c r="AG29" i="26"/>
  <c r="AF29" i="26"/>
  <c r="AE29" i="26"/>
  <c r="AD29" i="26"/>
  <c r="AC29" i="26"/>
  <c r="AB29" i="26"/>
  <c r="AA29" i="26"/>
  <c r="Z29" i="26"/>
  <c r="Y29" i="26"/>
  <c r="X29" i="26"/>
  <c r="W29" i="26"/>
  <c r="V29" i="26"/>
  <c r="U29" i="26"/>
  <c r="T29" i="26"/>
  <c r="AG28" i="26"/>
  <c r="AF28" i="26"/>
  <c r="AE28" i="26"/>
  <c r="AD28" i="26"/>
  <c r="AC28" i="26"/>
  <c r="AB28" i="26"/>
  <c r="AA28" i="26"/>
  <c r="Z28" i="26"/>
  <c r="Y28" i="26"/>
  <c r="X28" i="26"/>
  <c r="W28" i="26"/>
  <c r="V28" i="26"/>
  <c r="U28" i="26"/>
  <c r="T28" i="26"/>
  <c r="AG27" i="26"/>
  <c r="AF27" i="26"/>
  <c r="AE27" i="26"/>
  <c r="AD27" i="26"/>
  <c r="AC27" i="26"/>
  <c r="AB27" i="26"/>
  <c r="AA27" i="26"/>
  <c r="Z27" i="26"/>
  <c r="Y27" i="26"/>
  <c r="X27" i="26"/>
  <c r="W27" i="26"/>
  <c r="V27" i="26"/>
  <c r="U27" i="26"/>
  <c r="T27" i="26"/>
  <c r="AG26" i="26"/>
  <c r="AF26" i="26"/>
  <c r="AE26" i="26"/>
  <c r="AD26" i="26"/>
  <c r="AC26" i="26"/>
  <c r="AB26" i="26"/>
  <c r="AA26" i="26"/>
  <c r="Z26" i="26"/>
  <c r="Y26" i="26"/>
  <c r="X26" i="26"/>
  <c r="W26" i="26"/>
  <c r="V26" i="26"/>
  <c r="U26" i="26"/>
  <c r="T26" i="26"/>
  <c r="AG25" i="26"/>
  <c r="AF25" i="26"/>
  <c r="AE25" i="26"/>
  <c r="AD25" i="26"/>
  <c r="AC25" i="26"/>
  <c r="AB25" i="26"/>
  <c r="AA25" i="26"/>
  <c r="Z25" i="26"/>
  <c r="Y25" i="26"/>
  <c r="X25" i="26"/>
  <c r="W25" i="26"/>
  <c r="V25" i="26"/>
  <c r="U25" i="26"/>
  <c r="T25" i="26"/>
  <c r="AG24" i="26"/>
  <c r="AF24" i="26"/>
  <c r="AE24" i="26"/>
  <c r="AD24" i="26"/>
  <c r="AC24" i="26"/>
  <c r="AB24" i="26"/>
  <c r="AA24" i="26"/>
  <c r="Z24" i="26"/>
  <c r="Y24" i="26"/>
  <c r="X24" i="26"/>
  <c r="W24" i="26"/>
  <c r="V24" i="26"/>
  <c r="U24" i="26"/>
  <c r="T24" i="26"/>
  <c r="T19" i="26"/>
  <c r="AG20" i="26"/>
  <c r="AF20" i="26"/>
  <c r="AE20" i="26"/>
  <c r="AD20" i="26"/>
  <c r="AC20" i="26"/>
  <c r="AB20" i="26"/>
  <c r="AA20" i="26"/>
  <c r="Z20" i="26"/>
  <c r="Y20" i="26"/>
  <c r="X20" i="26"/>
  <c r="W20" i="26"/>
  <c r="V20" i="26"/>
  <c r="U20" i="26"/>
  <c r="T20" i="26"/>
  <c r="AG19" i="26"/>
  <c r="AF19" i="26"/>
  <c r="AE19" i="26"/>
  <c r="AD19" i="26"/>
  <c r="AC19" i="26"/>
  <c r="AB19" i="26"/>
  <c r="AA19" i="26"/>
  <c r="Z19" i="26"/>
  <c r="Y19" i="26"/>
  <c r="X19" i="26"/>
  <c r="W19" i="26"/>
  <c r="V19" i="26"/>
  <c r="U19" i="26"/>
  <c r="AG18" i="26"/>
  <c r="AF18" i="26"/>
  <c r="AE18" i="26"/>
  <c r="AD18" i="26"/>
  <c r="AC18" i="26"/>
  <c r="AB18" i="26"/>
  <c r="AA18" i="26"/>
  <c r="Z18" i="26"/>
  <c r="Y18" i="26"/>
  <c r="X18" i="26"/>
  <c r="W18" i="26"/>
  <c r="V18" i="26"/>
  <c r="U18" i="26"/>
  <c r="T18" i="26"/>
  <c r="AG17" i="26"/>
  <c r="AF17" i="26"/>
  <c r="AE17" i="26"/>
  <c r="AD17" i="26"/>
  <c r="AC17" i="26"/>
  <c r="AB17" i="26"/>
  <c r="AA17" i="26"/>
  <c r="Z17" i="26"/>
  <c r="Y17" i="26"/>
  <c r="X17" i="26"/>
  <c r="W17" i="26"/>
  <c r="V17" i="26"/>
  <c r="U17" i="26"/>
  <c r="T17" i="26"/>
  <c r="AG16" i="26"/>
  <c r="AF16" i="26"/>
  <c r="AE16" i="26"/>
  <c r="AD16" i="26"/>
  <c r="AC16" i="26"/>
  <c r="AB16" i="26"/>
  <c r="AA16" i="26"/>
  <c r="Z16" i="26"/>
  <c r="Y16" i="26"/>
  <c r="X16" i="26"/>
  <c r="W16" i="26"/>
  <c r="V16" i="26"/>
  <c r="U16" i="26"/>
  <c r="T16" i="26"/>
  <c r="AG15" i="26"/>
  <c r="AF15" i="26"/>
  <c r="AE15" i="26"/>
  <c r="AD15" i="26"/>
  <c r="AC15" i="26"/>
  <c r="AB15" i="26"/>
  <c r="AA15" i="26"/>
  <c r="Z15" i="26"/>
  <c r="Y15" i="26"/>
  <c r="X15" i="26"/>
  <c r="W15" i="26"/>
  <c r="V15" i="26"/>
  <c r="U15" i="26"/>
  <c r="T15" i="26"/>
  <c r="AG14" i="26"/>
  <c r="AF14" i="26"/>
  <c r="AE14" i="26"/>
  <c r="AD14" i="26"/>
  <c r="AC14" i="26"/>
  <c r="AB14" i="26"/>
  <c r="AA14" i="26"/>
  <c r="Z14" i="26"/>
  <c r="Y14" i="26"/>
  <c r="X14" i="26"/>
  <c r="W14" i="26"/>
  <c r="V14" i="26"/>
  <c r="U14" i="26"/>
  <c r="T14" i="26"/>
  <c r="AG13" i="26"/>
  <c r="AF13" i="26"/>
  <c r="AE13" i="26"/>
  <c r="AD13" i="26"/>
  <c r="AC13" i="26"/>
  <c r="AB13" i="26"/>
  <c r="AA13" i="26"/>
  <c r="Z13" i="26"/>
  <c r="Y13" i="26"/>
  <c r="X13" i="26"/>
  <c r="W13" i="26"/>
  <c r="V13" i="26"/>
  <c r="U13" i="26"/>
  <c r="T13" i="26"/>
  <c r="AG12" i="26"/>
  <c r="AF12" i="26"/>
  <c r="AE12" i="26"/>
  <c r="AD12" i="26"/>
  <c r="AC12" i="26"/>
  <c r="AB12" i="26"/>
  <c r="AA12" i="26"/>
  <c r="Z12" i="26"/>
  <c r="Y12" i="26"/>
  <c r="X12" i="26"/>
  <c r="W12" i="26"/>
  <c r="V12" i="26"/>
  <c r="U12" i="26"/>
  <c r="T12" i="26"/>
  <c r="AG11" i="26"/>
  <c r="AF11" i="26"/>
  <c r="AE11" i="26"/>
  <c r="AD11" i="26"/>
  <c r="AC11" i="26"/>
  <c r="AB11" i="26"/>
  <c r="AA11" i="26"/>
  <c r="Z11" i="26"/>
  <c r="Y11" i="26"/>
  <c r="X11" i="26"/>
  <c r="W11" i="26"/>
  <c r="V11" i="26"/>
  <c r="U11" i="26"/>
  <c r="T11" i="26"/>
  <c r="AG10" i="26"/>
  <c r="AF10" i="26"/>
  <c r="AE10" i="26"/>
  <c r="AD10" i="26"/>
  <c r="AC10" i="26"/>
  <c r="AB10" i="26"/>
  <c r="AA10" i="26"/>
  <c r="Z10" i="26"/>
  <c r="Y10" i="26"/>
  <c r="X10" i="26"/>
  <c r="W10" i="26"/>
  <c r="V10" i="26"/>
  <c r="U10" i="26"/>
  <c r="T10" i="26"/>
  <c r="AG9" i="26"/>
  <c r="AF9" i="26"/>
  <c r="AE9" i="26"/>
  <c r="AD9" i="26"/>
  <c r="AC9" i="26"/>
  <c r="AB9" i="26"/>
  <c r="AA9" i="26"/>
  <c r="Z9" i="26"/>
  <c r="Y9" i="26"/>
  <c r="X9" i="26"/>
  <c r="W9" i="26"/>
  <c r="V9" i="26"/>
  <c r="U9" i="26"/>
  <c r="T9" i="26"/>
  <c r="AG8" i="26"/>
  <c r="AF8" i="26"/>
  <c r="AE8" i="26"/>
  <c r="AD8" i="26"/>
  <c r="AC8" i="26"/>
  <c r="AB8" i="26"/>
  <c r="AA8" i="26"/>
  <c r="Z8" i="26"/>
  <c r="Y8" i="26"/>
  <c r="X8" i="26"/>
  <c r="W8" i="26"/>
  <c r="V8" i="26"/>
  <c r="U8" i="26"/>
  <c r="T8" i="26"/>
  <c r="AG7" i="26"/>
  <c r="AF7" i="26"/>
  <c r="AE7" i="26"/>
  <c r="AD7" i="26"/>
  <c r="AC7" i="26"/>
  <c r="AB7" i="26"/>
  <c r="AA7" i="26"/>
  <c r="Z7" i="26"/>
  <c r="Y7" i="26"/>
  <c r="X7" i="26"/>
  <c r="W7" i="26"/>
  <c r="V7" i="26"/>
  <c r="U7" i="26"/>
  <c r="T7" i="26"/>
  <c r="O7" i="28"/>
  <c r="P7" i="28"/>
  <c r="Q7" i="28"/>
  <c r="R7" i="28"/>
  <c r="S7" i="28"/>
  <c r="T7" i="28"/>
  <c r="U7" i="28"/>
  <c r="V7" i="28"/>
  <c r="W7" i="28"/>
  <c r="O8" i="28"/>
  <c r="P8" i="28"/>
  <c r="Q8" i="28"/>
  <c r="R8" i="28"/>
  <c r="S8" i="28"/>
  <c r="T8" i="28"/>
  <c r="U8" i="28"/>
  <c r="V8" i="28"/>
  <c r="W8" i="28"/>
  <c r="O9" i="28"/>
  <c r="P9" i="28"/>
  <c r="Q9" i="28"/>
  <c r="R9" i="28"/>
  <c r="S9" i="28"/>
  <c r="T9" i="28"/>
  <c r="U9" i="28"/>
  <c r="V9" i="28"/>
  <c r="W9" i="28"/>
  <c r="O10" i="28"/>
  <c r="P10" i="28"/>
  <c r="Q10" i="28"/>
  <c r="R10" i="28"/>
  <c r="S10" i="28"/>
  <c r="T10" i="28"/>
  <c r="U10" i="28"/>
  <c r="V10" i="28"/>
  <c r="W10" i="28"/>
  <c r="O11" i="28"/>
  <c r="P11" i="28"/>
  <c r="Q11" i="28"/>
  <c r="R11" i="28"/>
  <c r="S11" i="28"/>
  <c r="T11" i="28"/>
  <c r="U11" i="28"/>
  <c r="V11" i="28"/>
  <c r="W11" i="28"/>
  <c r="O12" i="28"/>
  <c r="P12" i="28"/>
  <c r="Q12" i="28"/>
  <c r="R12" i="28"/>
  <c r="S12" i="28"/>
  <c r="T12" i="28"/>
  <c r="U12" i="28"/>
  <c r="V12" i="28"/>
  <c r="W12" i="28"/>
  <c r="O13" i="28"/>
  <c r="P13" i="28"/>
  <c r="Q13" i="28"/>
  <c r="R13" i="28"/>
  <c r="S13" i="28"/>
  <c r="T13" i="28"/>
  <c r="U13" i="28"/>
  <c r="V13" i="28"/>
  <c r="W13" i="28"/>
  <c r="O14" i="28"/>
  <c r="P14" i="28"/>
  <c r="Q14" i="28"/>
  <c r="R14" i="28"/>
  <c r="S14" i="28"/>
  <c r="T14" i="28"/>
  <c r="U14" i="28"/>
  <c r="V14" i="28"/>
  <c r="W14" i="28"/>
  <c r="O15" i="28"/>
  <c r="P15" i="28"/>
  <c r="Q15" i="28"/>
  <c r="R15" i="28"/>
  <c r="S15" i="28"/>
  <c r="T15" i="28"/>
  <c r="U15" i="28"/>
  <c r="V15" i="28"/>
  <c r="W15" i="28"/>
  <c r="P6" i="28"/>
  <c r="Q6" i="28"/>
  <c r="R6" i="28"/>
  <c r="S6" i="28"/>
  <c r="T6" i="28"/>
  <c r="U6" i="28"/>
  <c r="V6" i="28"/>
  <c r="W6" i="28"/>
  <c r="O6" i="28"/>
  <c r="O16" i="24"/>
  <c r="P16" i="24"/>
  <c r="Q16" i="24"/>
  <c r="R16" i="24"/>
  <c r="S16" i="24"/>
  <c r="T16" i="24"/>
  <c r="U16" i="24"/>
  <c r="V16" i="24"/>
  <c r="W16" i="24"/>
  <c r="O17" i="24"/>
  <c r="P17" i="24"/>
  <c r="Q17" i="24"/>
  <c r="R17" i="24"/>
  <c r="S17" i="24"/>
  <c r="T17" i="24"/>
  <c r="U17" i="24"/>
  <c r="V17" i="24"/>
  <c r="W17" i="24"/>
  <c r="O18" i="24"/>
  <c r="P18" i="24"/>
  <c r="Q18" i="24"/>
  <c r="R18" i="24"/>
  <c r="S18" i="24"/>
  <c r="T18" i="24"/>
  <c r="U18" i="24"/>
  <c r="V18" i="24"/>
  <c r="W18" i="24"/>
  <c r="P15" i="24"/>
  <c r="Q15" i="24"/>
  <c r="R15" i="24"/>
  <c r="S15" i="24"/>
  <c r="T15" i="24"/>
  <c r="U15" i="24"/>
  <c r="V15" i="24"/>
  <c r="W15" i="24"/>
  <c r="O25" i="24"/>
  <c r="P25" i="24"/>
  <c r="Q25" i="24"/>
  <c r="R25" i="24"/>
  <c r="S25" i="24"/>
  <c r="T25" i="24"/>
  <c r="U25" i="24"/>
  <c r="V25" i="24"/>
  <c r="W25" i="24"/>
  <c r="O26" i="24"/>
  <c r="P26" i="24"/>
  <c r="Q26" i="24"/>
  <c r="R26" i="24"/>
  <c r="S26" i="24"/>
  <c r="T26" i="24"/>
  <c r="U26" i="24"/>
  <c r="V26" i="24"/>
  <c r="W26" i="24"/>
  <c r="O27" i="24"/>
  <c r="P27" i="24"/>
  <c r="Q27" i="24"/>
  <c r="R27" i="24"/>
  <c r="S27" i="24"/>
  <c r="T27" i="24"/>
  <c r="U27" i="24"/>
  <c r="V27" i="24"/>
  <c r="W27" i="24"/>
  <c r="O28" i="24"/>
  <c r="P28" i="24"/>
  <c r="Q28" i="24"/>
  <c r="R28" i="24"/>
  <c r="S28" i="24"/>
  <c r="T28" i="24"/>
  <c r="U28" i="24"/>
  <c r="V28" i="24"/>
  <c r="W28" i="24"/>
  <c r="O29" i="24"/>
  <c r="P29" i="24"/>
  <c r="Q29" i="24"/>
  <c r="R29" i="24"/>
  <c r="S29" i="24"/>
  <c r="T29" i="24"/>
  <c r="U29" i="24"/>
  <c r="V29" i="24"/>
  <c r="W29" i="24"/>
  <c r="O30" i="24"/>
  <c r="P30" i="24"/>
  <c r="Q30" i="24"/>
  <c r="R30" i="24"/>
  <c r="S30" i="24"/>
  <c r="T30" i="24"/>
  <c r="U30" i="24"/>
  <c r="V30" i="24"/>
  <c r="W30" i="24"/>
  <c r="P24" i="24"/>
  <c r="Q24" i="24"/>
  <c r="R24" i="24"/>
  <c r="S24" i="24"/>
  <c r="T24" i="24"/>
  <c r="U24" i="24"/>
  <c r="V24" i="24"/>
  <c r="W24" i="24"/>
  <c r="O24" i="24"/>
  <c r="O15" i="24"/>
  <c r="O6" i="24"/>
  <c r="O7" i="24"/>
  <c r="P7" i="24"/>
  <c r="Q7" i="24"/>
  <c r="R7" i="24"/>
  <c r="S7" i="24"/>
  <c r="T7" i="24"/>
  <c r="U7" i="24"/>
  <c r="V7" i="24"/>
  <c r="W7" i="24"/>
  <c r="O8" i="24"/>
  <c r="P8" i="24"/>
  <c r="Q8" i="24"/>
  <c r="R8" i="24"/>
  <c r="S8" i="24"/>
  <c r="T8" i="24"/>
  <c r="U8" i="24"/>
  <c r="V8" i="24"/>
  <c r="W8" i="24"/>
  <c r="O9" i="24"/>
  <c r="P9" i="24"/>
  <c r="Q9" i="24"/>
  <c r="R9" i="24"/>
  <c r="S9" i="24"/>
  <c r="T9" i="24"/>
  <c r="U9" i="24"/>
  <c r="V9" i="24"/>
  <c r="W9" i="24"/>
  <c r="P6" i="24"/>
  <c r="Q6" i="24"/>
  <c r="R6" i="24"/>
  <c r="S6" i="24"/>
  <c r="T6" i="24"/>
  <c r="U6" i="24"/>
  <c r="V6" i="24"/>
  <c r="W6" i="24"/>
  <c r="E6" i="22"/>
  <c r="E7" i="22"/>
  <c r="E8" i="22"/>
  <c r="E9" i="22"/>
  <c r="E10" i="22"/>
  <c r="E11" i="22"/>
  <c r="E12" i="22"/>
  <c r="E13" i="22"/>
  <c r="E14" i="22"/>
  <c r="E15" i="22"/>
  <c r="E16" i="22"/>
  <c r="E17" i="22"/>
  <c r="E18" i="22"/>
  <c r="E19" i="22"/>
  <c r="E20" i="22"/>
  <c r="E21" i="22"/>
  <c r="E22" i="22"/>
  <c r="E23" i="22"/>
  <c r="E24" i="22"/>
  <c r="E25" i="22"/>
  <c r="E26" i="22"/>
  <c r="J211" i="20"/>
  <c r="I211" i="20"/>
  <c r="J209" i="20"/>
  <c r="I208" i="20"/>
  <c r="K207" i="20"/>
  <c r="J207" i="20"/>
  <c r="J206" i="20"/>
  <c r="J205" i="20"/>
  <c r="I205" i="20"/>
  <c r="I204" i="20"/>
  <c r="J203" i="20"/>
  <c r="I203" i="20"/>
  <c r="J201" i="20"/>
  <c r="I200" i="20"/>
  <c r="K199" i="20"/>
  <c r="J199" i="20"/>
  <c r="J198" i="20"/>
  <c r="J193" i="20"/>
  <c r="I193" i="20"/>
  <c r="I192" i="20"/>
  <c r="J191" i="20"/>
  <c r="I191" i="20"/>
  <c r="J189" i="20"/>
  <c r="I188" i="20"/>
  <c r="K187" i="20"/>
  <c r="J187" i="20"/>
  <c r="J186" i="20"/>
  <c r="J185" i="20"/>
  <c r="I185" i="20"/>
  <c r="I184" i="20"/>
  <c r="J183" i="20"/>
  <c r="I183" i="20"/>
  <c r="J181" i="20"/>
  <c r="I180" i="20"/>
  <c r="H39" i="7"/>
  <c r="G39" i="7"/>
  <c r="H38" i="7"/>
  <c r="G38" i="7"/>
  <c r="H37" i="7"/>
  <c r="G37" i="7"/>
  <c r="E41" i="16"/>
  <c r="E44" i="16"/>
  <c r="E42" i="16"/>
  <c r="E43" i="16"/>
  <c r="E40" i="16"/>
  <c r="E33" i="16"/>
  <c r="E32" i="16"/>
  <c r="E31" i="16"/>
  <c r="E23" i="16"/>
  <c r="E5" i="16"/>
  <c r="E6" i="16"/>
  <c r="E7" i="16"/>
  <c r="E8" i="16"/>
  <c r="E9" i="16"/>
  <c r="E10" i="16"/>
  <c r="E11" i="16"/>
  <c r="E12" i="16"/>
  <c r="E13" i="16"/>
  <c r="E14" i="16"/>
  <c r="E15" i="16"/>
  <c r="E16" i="16"/>
  <c r="E17" i="16"/>
  <c r="E18" i="16"/>
  <c r="E19" i="16"/>
  <c r="E20" i="16"/>
  <c r="E21" i="16"/>
  <c r="E22" i="16"/>
  <c r="E24" i="16"/>
  <c r="E4" i="16"/>
  <c r="M5" i="11"/>
  <c r="M6" i="11"/>
  <c r="M7" i="11"/>
  <c r="M8" i="11"/>
  <c r="M9" i="11"/>
  <c r="M10" i="11"/>
  <c r="M11" i="11"/>
  <c r="M4" i="11"/>
  <c r="L5" i="11"/>
  <c r="L6" i="11"/>
  <c r="L7" i="11"/>
  <c r="L8" i="11"/>
  <c r="L9" i="11"/>
  <c r="L10" i="11"/>
  <c r="L11" i="11"/>
  <c r="L4" i="11"/>
  <c r="K5" i="11"/>
  <c r="K6" i="11"/>
  <c r="K7" i="11"/>
  <c r="K8" i="11"/>
  <c r="K9" i="11"/>
  <c r="K10" i="11"/>
  <c r="K11" i="11"/>
  <c r="K4" i="11"/>
  <c r="J5" i="11"/>
  <c r="J6" i="11"/>
  <c r="J7" i="11"/>
  <c r="J8" i="11"/>
  <c r="J9" i="11"/>
  <c r="J10" i="11"/>
  <c r="J11" i="11"/>
  <c r="J4" i="11"/>
  <c r="H36" i="7"/>
  <c r="G36" i="7"/>
  <c r="D6" i="5"/>
  <c r="D7" i="5"/>
  <c r="D8" i="5"/>
  <c r="D9" i="5"/>
  <c r="D5" i="5"/>
  <c r="Z123" i="26" l="1"/>
  <c r="BH110" i="26" s="1"/>
  <c r="J182" i="20"/>
  <c r="J190" i="20"/>
  <c r="J202" i="20"/>
  <c r="J210" i="20"/>
  <c r="I182" i="20"/>
  <c r="I190" i="20"/>
  <c r="I202" i="20"/>
  <c r="I210" i="20"/>
  <c r="K181" i="20"/>
  <c r="K189" i="20"/>
  <c r="K201" i="20"/>
  <c r="K209" i="20"/>
  <c r="J184" i="20"/>
  <c r="J192" i="20"/>
  <c r="J204" i="20"/>
  <c r="I186" i="20"/>
  <c r="I198" i="20"/>
  <c r="I206" i="20"/>
  <c r="I181" i="20"/>
  <c r="I189" i="20"/>
  <c r="I201" i="20"/>
  <c r="I209" i="20"/>
  <c r="I187" i="20"/>
  <c r="L187" i="20" s="1"/>
  <c r="I199" i="20"/>
  <c r="I207" i="20"/>
  <c r="L207" i="20" s="1"/>
  <c r="BK164" i="26"/>
  <c r="BK172" i="26"/>
  <c r="BK163" i="26"/>
  <c r="BK170" i="26"/>
  <c r="K180" i="20"/>
  <c r="K188" i="20"/>
  <c r="K200" i="20"/>
  <c r="K208" i="20"/>
  <c r="K183" i="20"/>
  <c r="L183" i="20" s="1"/>
  <c r="K191" i="20"/>
  <c r="L191" i="20" s="1"/>
  <c r="K203" i="20"/>
  <c r="L203" i="20" s="1"/>
  <c r="K211" i="20"/>
  <c r="L211" i="20" s="1"/>
  <c r="K186" i="20"/>
  <c r="K198" i="20"/>
  <c r="K206" i="20"/>
  <c r="K184" i="20"/>
  <c r="K204" i="20"/>
  <c r="K192" i="20"/>
  <c r="K182" i="20"/>
  <c r="K190" i="20"/>
  <c r="K202" i="20"/>
  <c r="K210" i="20"/>
  <c r="K185" i="20"/>
  <c r="L185" i="20" s="1"/>
  <c r="K193" i="20"/>
  <c r="L193" i="20" s="1"/>
  <c r="K205" i="20"/>
  <c r="L205" i="20" s="1"/>
  <c r="J180" i="20"/>
  <c r="J188" i="20"/>
  <c r="J200" i="20"/>
  <c r="J208" i="20"/>
  <c r="BK174" i="26"/>
  <c r="BK161" i="26"/>
  <c r="BK169" i="26"/>
  <c r="BK173" i="26"/>
  <c r="BK160" i="26"/>
  <c r="BK168" i="26"/>
  <c r="BK171" i="26"/>
  <c r="BK167" i="26"/>
  <c r="BK166" i="26"/>
  <c r="BJ171" i="26"/>
  <c r="BK165" i="26"/>
  <c r="AC55" i="26"/>
  <c r="BK43" i="26" s="1"/>
  <c r="AC21" i="26"/>
  <c r="BK14" i="26" s="1"/>
  <c r="BJ170" i="26"/>
  <c r="AB118" i="45"/>
  <c r="BD32" i="45"/>
  <c r="BJ172" i="26"/>
  <c r="BJ160" i="26"/>
  <c r="BJ168" i="26"/>
  <c r="Z89" i="26"/>
  <c r="BH75" i="26" s="1"/>
  <c r="AA38" i="26"/>
  <c r="BI30" i="26" s="1"/>
  <c r="AB157" i="26"/>
  <c r="BJ144" i="26" s="1"/>
  <c r="Z106" i="26"/>
  <c r="BH100" i="26" s="1"/>
  <c r="AB106" i="26"/>
  <c r="BJ104" i="26" s="1"/>
  <c r="BJ163" i="26"/>
  <c r="BJ165" i="26"/>
  <c r="BJ162" i="26"/>
  <c r="BJ167" i="26"/>
  <c r="BJ166" i="26"/>
  <c r="AA21" i="26"/>
  <c r="BI15" i="26" s="1"/>
  <c r="AA55" i="26"/>
  <c r="BJ164" i="26"/>
  <c r="BJ174" i="26"/>
  <c r="BJ161" i="26"/>
  <c r="BJ173" i="26"/>
  <c r="AA89" i="26"/>
  <c r="BI81" i="26" s="1"/>
  <c r="AA123" i="26"/>
  <c r="BI118" i="26" s="1"/>
  <c r="AA157" i="26"/>
  <c r="BI151" i="26" s="1"/>
  <c r="BH172" i="26"/>
  <c r="BH164" i="26"/>
  <c r="BH173" i="26"/>
  <c r="BH165" i="26"/>
  <c r="BH174" i="26"/>
  <c r="BH166" i="26"/>
  <c r="BH167" i="26"/>
  <c r="BH170" i="26"/>
  <c r="BH168" i="26"/>
  <c r="BH160" i="26"/>
  <c r="BH169" i="26"/>
  <c r="BH161" i="26"/>
  <c r="BH162" i="26"/>
  <c r="BH171" i="26"/>
  <c r="BH163" i="26"/>
  <c r="BI173" i="26"/>
  <c r="BI165" i="26"/>
  <c r="BI174" i="26"/>
  <c r="BI166" i="26"/>
  <c r="BI167" i="26"/>
  <c r="BI168" i="26"/>
  <c r="BI160" i="26"/>
  <c r="BI172" i="26"/>
  <c r="BI169" i="26"/>
  <c r="BI161" i="26"/>
  <c r="BI163" i="26"/>
  <c r="BI164" i="26"/>
  <c r="BI170" i="26"/>
  <c r="BI162" i="26"/>
  <c r="BI171" i="26"/>
  <c r="BG171" i="26"/>
  <c r="BG163" i="26"/>
  <c r="BG172" i="26"/>
  <c r="BG164" i="26"/>
  <c r="BG173" i="26"/>
  <c r="BG165" i="26"/>
  <c r="BG174" i="26"/>
  <c r="BG166" i="26"/>
  <c r="BG169" i="26"/>
  <c r="BG167" i="26"/>
  <c r="BG161" i="26"/>
  <c r="BG170" i="26"/>
  <c r="BG162" i="26"/>
  <c r="BG168" i="26"/>
  <c r="BG160" i="26"/>
  <c r="Z157" i="26"/>
  <c r="AC157" i="26"/>
  <c r="Y157" i="26"/>
  <c r="Y140" i="26"/>
  <c r="Z140" i="26"/>
  <c r="AA140" i="26"/>
  <c r="AB140" i="26"/>
  <c r="AC140" i="26"/>
  <c r="AB123" i="26"/>
  <c r="AC123" i="26"/>
  <c r="Y123" i="26"/>
  <c r="Y106" i="26"/>
  <c r="AA106" i="26"/>
  <c r="AC106" i="26"/>
  <c r="AB89" i="26"/>
  <c r="AC89" i="26"/>
  <c r="Y89" i="26"/>
  <c r="Y55" i="26"/>
  <c r="Z55" i="26"/>
  <c r="AB55" i="26"/>
  <c r="Y38" i="26"/>
  <c r="Z38" i="26"/>
  <c r="AB38" i="26"/>
  <c r="AC38" i="26"/>
  <c r="Y21" i="26"/>
  <c r="Z21" i="26"/>
  <c r="AB21" i="26"/>
  <c r="E43" i="13"/>
  <c r="F40" i="13"/>
  <c r="F41" i="13"/>
  <c r="F42" i="13"/>
  <c r="F43" i="13"/>
  <c r="F39" i="13"/>
  <c r="E36" i="13"/>
  <c r="E37" i="13"/>
  <c r="E38" i="13"/>
  <c r="E39" i="13"/>
  <c r="E40" i="13"/>
  <c r="E41" i="13"/>
  <c r="E42" i="13"/>
  <c r="E35" i="13"/>
  <c r="D21" i="13"/>
  <c r="D22" i="13"/>
  <c r="D23" i="13"/>
  <c r="D24" i="13"/>
  <c r="D25" i="13"/>
  <c r="D26" i="13"/>
  <c r="D27" i="13"/>
  <c r="D20" i="13"/>
  <c r="D11" i="13"/>
  <c r="D7" i="13"/>
  <c r="D8" i="13"/>
  <c r="D9" i="13"/>
  <c r="D10" i="13"/>
  <c r="D12" i="13"/>
  <c r="D13" i="13"/>
  <c r="D6" i="13"/>
  <c r="F12" i="38"/>
  <c r="F11" i="38"/>
  <c r="F6" i="38"/>
  <c r="F7" i="38"/>
  <c r="F8" i="38"/>
  <c r="F9" i="38"/>
  <c r="F10" i="38"/>
  <c r="BK8" i="26" l="1"/>
  <c r="BK13" i="26"/>
  <c r="BK15" i="26"/>
  <c r="BK19" i="26"/>
  <c r="BK48" i="26"/>
  <c r="BK46" i="26"/>
  <c r="BK51" i="26"/>
  <c r="BK54" i="26"/>
  <c r="BK45" i="26"/>
  <c r="BK50" i="26"/>
  <c r="BK53" i="26"/>
  <c r="BK42" i="26"/>
  <c r="BK49" i="26"/>
  <c r="BK41" i="26"/>
  <c r="BK44" i="26"/>
  <c r="BK47" i="26"/>
  <c r="BK52" i="26"/>
  <c r="BK55" i="26"/>
  <c r="BI35" i="26"/>
  <c r="BH83" i="26"/>
  <c r="BH87" i="26"/>
  <c r="BI88" i="26"/>
  <c r="BH117" i="26"/>
  <c r="BH109" i="26"/>
  <c r="BH114" i="26"/>
  <c r="BH111" i="26"/>
  <c r="BH122" i="26"/>
  <c r="BH118" i="26"/>
  <c r="BH116" i="26"/>
  <c r="BH113" i="26"/>
  <c r="BH121" i="26"/>
  <c r="BH115" i="26"/>
  <c r="BH112" i="26"/>
  <c r="BH123" i="26"/>
  <c r="BH120" i="26"/>
  <c r="BI25" i="26"/>
  <c r="BI29" i="26"/>
  <c r="BI24" i="26"/>
  <c r="BI37" i="26"/>
  <c r="BI32" i="26"/>
  <c r="BI36" i="26"/>
  <c r="BI28" i="26"/>
  <c r="BI33" i="26"/>
  <c r="BI26" i="26"/>
  <c r="BI34" i="26"/>
  <c r="BK21" i="26"/>
  <c r="BK10" i="26"/>
  <c r="BK12" i="26"/>
  <c r="BK7" i="26"/>
  <c r="BI120" i="26"/>
  <c r="BG71" i="26"/>
  <c r="BG67" i="26"/>
  <c r="BG65" i="26"/>
  <c r="BG63" i="26"/>
  <c r="BG60" i="26"/>
  <c r="BG72" i="26"/>
  <c r="BG68" i="26"/>
  <c r="BG61" i="26"/>
  <c r="BG69" i="26"/>
  <c r="BG66" i="26"/>
  <c r="BG64" i="26"/>
  <c r="BG62" i="26"/>
  <c r="BG58" i="26"/>
  <c r="BG70" i="26"/>
  <c r="BG59" i="26"/>
  <c r="BJ69" i="26"/>
  <c r="BJ66" i="26"/>
  <c r="BJ64" i="26"/>
  <c r="BJ62" i="26"/>
  <c r="BJ58" i="26"/>
  <c r="BJ70" i="26"/>
  <c r="BJ59" i="26"/>
  <c r="BJ71" i="26"/>
  <c r="BJ67" i="26"/>
  <c r="BJ65" i="26"/>
  <c r="BJ63" i="26"/>
  <c r="BJ60" i="26"/>
  <c r="BJ72" i="26"/>
  <c r="BJ68" i="26"/>
  <c r="BJ61" i="26"/>
  <c r="BI49" i="26"/>
  <c r="BI72" i="26"/>
  <c r="BI68" i="26"/>
  <c r="BI61" i="26"/>
  <c r="BI69" i="26"/>
  <c r="BI66" i="26"/>
  <c r="BI64" i="26"/>
  <c r="BI62" i="26"/>
  <c r="BI58" i="26"/>
  <c r="BI70" i="26"/>
  <c r="BI59" i="26"/>
  <c r="BI71" i="26"/>
  <c r="BI67" i="26"/>
  <c r="BI65" i="26"/>
  <c r="BI63" i="26"/>
  <c r="BI60" i="26"/>
  <c r="BH72" i="26"/>
  <c r="BH68" i="26"/>
  <c r="BH61" i="26"/>
  <c r="BH58" i="26"/>
  <c r="BH69" i="26"/>
  <c r="BH66" i="26"/>
  <c r="BH64" i="26"/>
  <c r="BH62" i="26"/>
  <c r="BH71" i="26"/>
  <c r="BH70" i="26"/>
  <c r="BH59" i="26"/>
  <c r="BH65" i="26"/>
  <c r="BH63" i="26"/>
  <c r="BH67" i="26"/>
  <c r="BH60" i="26"/>
  <c r="BK69" i="26"/>
  <c r="BK66" i="26"/>
  <c r="BK64" i="26"/>
  <c r="BK62" i="26"/>
  <c r="BK58" i="26"/>
  <c r="BK70" i="26"/>
  <c r="BK59" i="26"/>
  <c r="BK71" i="26"/>
  <c r="BK67" i="26"/>
  <c r="BK65" i="26"/>
  <c r="BK63" i="26"/>
  <c r="BK60" i="26"/>
  <c r="BK72" i="26"/>
  <c r="BK68" i="26"/>
  <c r="BK61" i="26"/>
  <c r="BI111" i="26"/>
  <c r="BI112" i="26"/>
  <c r="BI117" i="26"/>
  <c r="BI115" i="26"/>
  <c r="BI119" i="26"/>
  <c r="BI123" i="26"/>
  <c r="BH119" i="26"/>
  <c r="BI113" i="26"/>
  <c r="BI121" i="26"/>
  <c r="BI114" i="26"/>
  <c r="BI16" i="26"/>
  <c r="BI14" i="26"/>
  <c r="BK16" i="26"/>
  <c r="BK18" i="26"/>
  <c r="BK9" i="26"/>
  <c r="BK11" i="26"/>
  <c r="BK20" i="26"/>
  <c r="BK17" i="26"/>
  <c r="BJ103" i="26"/>
  <c r="BJ98" i="26"/>
  <c r="BJ92" i="26"/>
  <c r="BJ106" i="26"/>
  <c r="BJ94" i="26"/>
  <c r="BJ97" i="26"/>
  <c r="BJ102" i="26"/>
  <c r="BJ95" i="26"/>
  <c r="BJ105" i="26"/>
  <c r="BJ100" i="26"/>
  <c r="BJ93" i="26"/>
  <c r="BJ96" i="26"/>
  <c r="BH99" i="26"/>
  <c r="BJ99" i="26"/>
  <c r="BJ101" i="26"/>
  <c r="BH103" i="26"/>
  <c r="BI43" i="26"/>
  <c r="BI38" i="26"/>
  <c r="BI27" i="26"/>
  <c r="BI31" i="26"/>
  <c r="BI52" i="26"/>
  <c r="BI48" i="26"/>
  <c r="BH95" i="26"/>
  <c r="BI46" i="26"/>
  <c r="BI51" i="26"/>
  <c r="BH97" i="26"/>
  <c r="BH94" i="26"/>
  <c r="BI54" i="26"/>
  <c r="BI42" i="26"/>
  <c r="BH105" i="26"/>
  <c r="BH102" i="26"/>
  <c r="BI45" i="26"/>
  <c r="BI50" i="26"/>
  <c r="BH98" i="26"/>
  <c r="BH93" i="26"/>
  <c r="BI53" i="26"/>
  <c r="BI47" i="26"/>
  <c r="BH96" i="26"/>
  <c r="BH101" i="26"/>
  <c r="BI55" i="26"/>
  <c r="BI41" i="26"/>
  <c r="BH104" i="26"/>
  <c r="BH92" i="26"/>
  <c r="BI44" i="26"/>
  <c r="BH106" i="26"/>
  <c r="L188" i="20"/>
  <c r="L201" i="20"/>
  <c r="L198" i="20"/>
  <c r="L184" i="20"/>
  <c r="L190" i="20"/>
  <c r="L209" i="20"/>
  <c r="L181" i="20"/>
  <c r="L200" i="20"/>
  <c r="I212" i="20"/>
  <c r="L210" i="20"/>
  <c r="L182" i="20"/>
  <c r="L204" i="20"/>
  <c r="L189" i="20"/>
  <c r="L199" i="20"/>
  <c r="L186" i="20"/>
  <c r="I194" i="20"/>
  <c r="L180" i="20"/>
  <c r="K212" i="20"/>
  <c r="L206" i="20"/>
  <c r="BH76" i="26"/>
  <c r="BH77" i="26"/>
  <c r="BI79" i="26"/>
  <c r="BI86" i="26"/>
  <c r="BH84" i="26"/>
  <c r="BH82" i="26"/>
  <c r="BI87" i="26"/>
  <c r="BI75" i="26"/>
  <c r="BI83" i="26"/>
  <c r="BI78" i="26"/>
  <c r="BH81" i="26"/>
  <c r="BH78" i="26"/>
  <c r="BI76" i="26"/>
  <c r="BH89" i="26"/>
  <c r="BH86" i="26"/>
  <c r="BI80" i="26"/>
  <c r="BI84" i="26"/>
  <c r="BH79" i="26"/>
  <c r="BH85" i="26"/>
  <c r="BI77" i="26"/>
  <c r="BI82" i="26"/>
  <c r="BI89" i="26"/>
  <c r="BH88" i="26"/>
  <c r="BH80" i="26"/>
  <c r="BI85" i="26"/>
  <c r="L202" i="20"/>
  <c r="K194" i="20"/>
  <c r="L192" i="20"/>
  <c r="J194" i="20"/>
  <c r="L208" i="20"/>
  <c r="J212" i="20"/>
  <c r="BI12" i="26"/>
  <c r="BI13" i="26"/>
  <c r="BJ147" i="26"/>
  <c r="BJ156" i="26"/>
  <c r="BI10" i="26"/>
  <c r="BJ154" i="26"/>
  <c r="BI21" i="26"/>
  <c r="BI8" i="26"/>
  <c r="BI148" i="26"/>
  <c r="BJ153" i="26"/>
  <c r="BI19" i="26"/>
  <c r="BI20" i="26"/>
  <c r="BI152" i="26"/>
  <c r="BJ146" i="26"/>
  <c r="BI11" i="26"/>
  <c r="BI7" i="26"/>
  <c r="BI143" i="26"/>
  <c r="BJ152" i="26"/>
  <c r="BJ148" i="26"/>
  <c r="BI9" i="26"/>
  <c r="BI18" i="26"/>
  <c r="BI149" i="26"/>
  <c r="BJ151" i="26"/>
  <c r="BJ149" i="26"/>
  <c r="BI17" i="26"/>
  <c r="BJ157" i="26"/>
  <c r="BI146" i="26"/>
  <c r="BI153" i="26"/>
  <c r="BI145" i="26"/>
  <c r="BI147" i="26"/>
  <c r="BI155" i="26"/>
  <c r="BI150" i="26"/>
  <c r="BI109" i="26"/>
  <c r="BI154" i="26"/>
  <c r="BI157" i="26"/>
  <c r="BJ155" i="26"/>
  <c r="BJ150" i="26"/>
  <c r="BI116" i="26"/>
  <c r="BI122" i="26"/>
  <c r="BI144" i="26"/>
  <c r="BI156" i="26"/>
  <c r="BJ145" i="26"/>
  <c r="BJ143" i="26"/>
  <c r="BI110" i="26"/>
  <c r="BG153" i="26"/>
  <c r="BG145" i="26"/>
  <c r="BG146" i="26"/>
  <c r="BG155" i="26"/>
  <c r="BG147" i="26"/>
  <c r="BG156" i="26"/>
  <c r="BG143" i="26"/>
  <c r="BG148" i="26"/>
  <c r="BG157" i="26"/>
  <c r="BG149" i="26"/>
  <c r="BG150" i="26"/>
  <c r="BG151" i="26"/>
  <c r="BG152" i="26"/>
  <c r="BG144" i="26"/>
  <c r="BG154" i="26"/>
  <c r="BK157" i="26"/>
  <c r="BK149" i="26"/>
  <c r="BK151" i="26"/>
  <c r="BK143" i="26"/>
  <c r="BK152" i="26"/>
  <c r="BK153" i="26"/>
  <c r="BK145" i="26"/>
  <c r="BK154" i="26"/>
  <c r="BK146" i="26"/>
  <c r="BK155" i="26"/>
  <c r="BK147" i="26"/>
  <c r="BK156" i="26"/>
  <c r="BK148" i="26"/>
  <c r="BK150" i="26"/>
  <c r="BK144" i="26"/>
  <c r="BH154" i="26"/>
  <c r="BH146" i="26"/>
  <c r="BH147" i="26"/>
  <c r="BH144" i="26"/>
  <c r="BH156" i="26"/>
  <c r="BH148" i="26"/>
  <c r="BH157" i="26"/>
  <c r="BH149" i="26"/>
  <c r="BH150" i="26"/>
  <c r="BH151" i="26"/>
  <c r="BH143" i="26"/>
  <c r="BH152" i="26"/>
  <c r="BH153" i="26"/>
  <c r="BH145" i="26"/>
  <c r="BH155" i="26"/>
  <c r="BK139" i="26"/>
  <c r="BK131" i="26"/>
  <c r="BK140" i="26"/>
  <c r="BK132" i="26"/>
  <c r="BK133" i="26"/>
  <c r="BK130" i="26"/>
  <c r="BK134" i="26"/>
  <c r="BK126" i="26"/>
  <c r="BK138" i="26"/>
  <c r="BK135" i="26"/>
  <c r="BK127" i="26"/>
  <c r="BK129" i="26"/>
  <c r="BK136" i="26"/>
  <c r="BK128" i="26"/>
  <c r="BK137" i="26"/>
  <c r="BJ138" i="26"/>
  <c r="BJ130" i="26"/>
  <c r="BJ137" i="26"/>
  <c r="BJ129" i="26"/>
  <c r="BJ139" i="26"/>
  <c r="BJ131" i="26"/>
  <c r="BJ140" i="26"/>
  <c r="BJ132" i="26"/>
  <c r="BJ133" i="26"/>
  <c r="BJ136" i="26"/>
  <c r="BJ134" i="26"/>
  <c r="BJ126" i="26"/>
  <c r="BJ135" i="26"/>
  <c r="BJ127" i="26"/>
  <c r="BJ128" i="26"/>
  <c r="BI137" i="26"/>
  <c r="BI129" i="26"/>
  <c r="BI127" i="26"/>
  <c r="BI138" i="26"/>
  <c r="BI130" i="26"/>
  <c r="BI128" i="26"/>
  <c r="BI139" i="26"/>
  <c r="BI131" i="26"/>
  <c r="BI135" i="26"/>
  <c r="BI140" i="26"/>
  <c r="BI132" i="26"/>
  <c r="BI133" i="26"/>
  <c r="BI134" i="26"/>
  <c r="BI126" i="26"/>
  <c r="BI136" i="26"/>
  <c r="BH136" i="26"/>
  <c r="BH128" i="26"/>
  <c r="BH137" i="26"/>
  <c r="BH129" i="26"/>
  <c r="BH138" i="26"/>
  <c r="BH130" i="26"/>
  <c r="BH135" i="26"/>
  <c r="BH139" i="26"/>
  <c r="BH131" i="26"/>
  <c r="BH126" i="26"/>
  <c r="BH127" i="26"/>
  <c r="BH140" i="26"/>
  <c r="BH132" i="26"/>
  <c r="BH133" i="26"/>
  <c r="BH134" i="26"/>
  <c r="BG135" i="26"/>
  <c r="BG127" i="26"/>
  <c r="BG136" i="26"/>
  <c r="BG128" i="26"/>
  <c r="BG134" i="26"/>
  <c r="BG126" i="26"/>
  <c r="BG137" i="26"/>
  <c r="BG129" i="26"/>
  <c r="BG133" i="26"/>
  <c r="BG138" i="26"/>
  <c r="BG130" i="26"/>
  <c r="BG139" i="26"/>
  <c r="BG131" i="26"/>
  <c r="BG140" i="26"/>
  <c r="BG132" i="26"/>
  <c r="BJ120" i="26"/>
  <c r="BJ112" i="26"/>
  <c r="BJ123" i="26"/>
  <c r="BJ115" i="26"/>
  <c r="BJ121" i="26"/>
  <c r="BJ113" i="26"/>
  <c r="BJ122" i="26"/>
  <c r="BJ114" i="26"/>
  <c r="BJ116" i="26"/>
  <c r="BJ118" i="26"/>
  <c r="BJ117" i="26"/>
  <c r="BJ109" i="26"/>
  <c r="BJ110" i="26"/>
  <c r="BJ119" i="26"/>
  <c r="BJ111" i="26"/>
  <c r="BG117" i="26"/>
  <c r="BG109" i="26"/>
  <c r="BG120" i="26"/>
  <c r="BG112" i="26"/>
  <c r="BG116" i="26"/>
  <c r="BG118" i="26"/>
  <c r="BG110" i="26"/>
  <c r="BG119" i="26"/>
  <c r="BG111" i="26"/>
  <c r="BG121" i="26"/>
  <c r="BG113" i="26"/>
  <c r="BG122" i="26"/>
  <c r="BG114" i="26"/>
  <c r="BG123" i="26"/>
  <c r="BG115" i="26"/>
  <c r="BK121" i="26"/>
  <c r="BK113" i="26"/>
  <c r="BK122" i="26"/>
  <c r="BK114" i="26"/>
  <c r="BK116" i="26"/>
  <c r="BK123" i="26"/>
  <c r="BK115" i="26"/>
  <c r="BK111" i="26"/>
  <c r="BK120" i="26"/>
  <c r="BK117" i="26"/>
  <c r="BK109" i="26"/>
  <c r="BK119" i="26"/>
  <c r="BK112" i="26"/>
  <c r="BK118" i="26"/>
  <c r="BK110" i="26"/>
  <c r="BK103" i="26"/>
  <c r="BK95" i="26"/>
  <c r="BK104" i="26"/>
  <c r="BK96" i="26"/>
  <c r="BK101" i="26"/>
  <c r="BK105" i="26"/>
  <c r="BK97" i="26"/>
  <c r="BK106" i="26"/>
  <c r="BK98" i="26"/>
  <c r="BK99" i="26"/>
  <c r="BK100" i="26"/>
  <c r="BK92" i="26"/>
  <c r="BK102" i="26"/>
  <c r="BK94" i="26"/>
  <c r="BK93" i="26"/>
  <c r="BI101" i="26"/>
  <c r="BI93" i="26"/>
  <c r="BI102" i="26"/>
  <c r="BI94" i="26"/>
  <c r="BI103" i="26"/>
  <c r="BI95" i="26"/>
  <c r="BI104" i="26"/>
  <c r="BI96" i="26"/>
  <c r="BI99" i="26"/>
  <c r="BI105" i="26"/>
  <c r="BI97" i="26"/>
  <c r="BI106" i="26"/>
  <c r="BI98" i="26"/>
  <c r="BI100" i="26"/>
  <c r="BI92" i="26"/>
  <c r="BG99" i="26"/>
  <c r="BG100" i="26"/>
  <c r="BG92" i="26"/>
  <c r="BG101" i="26"/>
  <c r="BG93" i="26"/>
  <c r="BG102" i="26"/>
  <c r="BG94" i="26"/>
  <c r="BG103" i="26"/>
  <c r="BG95" i="26"/>
  <c r="BG105" i="26"/>
  <c r="BG104" i="26"/>
  <c r="BG96" i="26"/>
  <c r="BG97" i="26"/>
  <c r="BG106" i="26"/>
  <c r="BG98" i="26"/>
  <c r="BJ84" i="26"/>
  <c r="BJ76" i="26"/>
  <c r="BJ88" i="26"/>
  <c r="BJ81" i="26"/>
  <c r="BJ75" i="26"/>
  <c r="BJ85" i="26"/>
  <c r="BJ77" i="26"/>
  <c r="BJ80" i="26"/>
  <c r="BJ83" i="26"/>
  <c r="BJ86" i="26"/>
  <c r="BJ78" i="26"/>
  <c r="BJ87" i="26"/>
  <c r="BJ79" i="26"/>
  <c r="BJ89" i="26"/>
  <c r="BJ82" i="26"/>
  <c r="BG89" i="26"/>
  <c r="BG81" i="26"/>
  <c r="BG86" i="26"/>
  <c r="BG79" i="26"/>
  <c r="BG82" i="26"/>
  <c r="BG85" i="26"/>
  <c r="BG77" i="26"/>
  <c r="BG80" i="26"/>
  <c r="BG83" i="26"/>
  <c r="BG75" i="26"/>
  <c r="BG84" i="26"/>
  <c r="BG76" i="26"/>
  <c r="BG78" i="26"/>
  <c r="BG87" i="26"/>
  <c r="BG88" i="26"/>
  <c r="BK85" i="26"/>
  <c r="BK77" i="26"/>
  <c r="BK80" i="26"/>
  <c r="BK83" i="26"/>
  <c r="BK84" i="26"/>
  <c r="BK86" i="26"/>
  <c r="BK78" i="26"/>
  <c r="BK88" i="26"/>
  <c r="BK82" i="26"/>
  <c r="BK87" i="26"/>
  <c r="BK79" i="26"/>
  <c r="BK89" i="26"/>
  <c r="BK81" i="26"/>
  <c r="BK76" i="26"/>
  <c r="BK75" i="26"/>
  <c r="BG54" i="26"/>
  <c r="BG46" i="26"/>
  <c r="BG55" i="26"/>
  <c r="BG47" i="26"/>
  <c r="BG53" i="26"/>
  <c r="BG48" i="26"/>
  <c r="BG49" i="26"/>
  <c r="BG41" i="26"/>
  <c r="BG50" i="26"/>
  <c r="BG42" i="26"/>
  <c r="BG43" i="26"/>
  <c r="BG45" i="26"/>
  <c r="BG51" i="26"/>
  <c r="BG52" i="26"/>
  <c r="BG44" i="26"/>
  <c r="BJ49" i="26"/>
  <c r="BJ41" i="26"/>
  <c r="BJ50" i="26"/>
  <c r="BJ42" i="26"/>
  <c r="BJ51" i="26"/>
  <c r="BJ43" i="26"/>
  <c r="BJ52" i="26"/>
  <c r="BJ44" i="26"/>
  <c r="BJ53" i="26"/>
  <c r="BJ45" i="26"/>
  <c r="BJ48" i="26"/>
  <c r="BJ54" i="26"/>
  <c r="BJ46" i="26"/>
  <c r="BJ55" i="26"/>
  <c r="BJ47" i="26"/>
  <c r="BH55" i="26"/>
  <c r="BH47" i="26"/>
  <c r="BH48" i="26"/>
  <c r="BH49" i="26"/>
  <c r="BH41" i="26"/>
  <c r="BH50" i="26"/>
  <c r="BH42" i="26"/>
  <c r="BH46" i="26"/>
  <c r="BH51" i="26"/>
  <c r="BH43" i="26"/>
  <c r="BH52" i="26"/>
  <c r="BH44" i="26"/>
  <c r="BH54" i="26"/>
  <c r="BH53" i="26"/>
  <c r="BH45" i="26"/>
  <c r="BK32" i="26"/>
  <c r="BK24" i="26"/>
  <c r="BK38" i="26"/>
  <c r="BK30" i="26"/>
  <c r="BK33" i="26"/>
  <c r="BK25" i="26"/>
  <c r="BK37" i="26"/>
  <c r="BK34" i="26"/>
  <c r="BK26" i="26"/>
  <c r="BK35" i="26"/>
  <c r="BK27" i="26"/>
  <c r="BK29" i="26"/>
  <c r="BK36" i="26"/>
  <c r="BK28" i="26"/>
  <c r="BK31" i="26"/>
  <c r="BJ31" i="26"/>
  <c r="BJ32" i="26"/>
  <c r="BJ24" i="26"/>
  <c r="BJ33" i="26"/>
  <c r="BJ25" i="26"/>
  <c r="BJ34" i="26"/>
  <c r="BJ26" i="26"/>
  <c r="BJ37" i="26"/>
  <c r="BJ29" i="26"/>
  <c r="BJ35" i="26"/>
  <c r="BJ27" i="26"/>
  <c r="BJ38" i="26"/>
  <c r="BJ30" i="26"/>
  <c r="BJ36" i="26"/>
  <c r="BJ28" i="26"/>
  <c r="BH37" i="26"/>
  <c r="BH29" i="26"/>
  <c r="BH26" i="26"/>
  <c r="BH38" i="26"/>
  <c r="BH30" i="26"/>
  <c r="BH31" i="26"/>
  <c r="BH34" i="26"/>
  <c r="BH32" i="26"/>
  <c r="BH24" i="26"/>
  <c r="BH27" i="26"/>
  <c r="BH33" i="26"/>
  <c r="BH25" i="26"/>
  <c r="BH35" i="26"/>
  <c r="BH36" i="26"/>
  <c r="BH28" i="26"/>
  <c r="BG36" i="26"/>
  <c r="BG28" i="26"/>
  <c r="BG34" i="26"/>
  <c r="BG37" i="26"/>
  <c r="BG29" i="26"/>
  <c r="BG25" i="26"/>
  <c r="BG38" i="26"/>
  <c r="BG30" i="26"/>
  <c r="BG31" i="26"/>
  <c r="BG32" i="26"/>
  <c r="BG24" i="26"/>
  <c r="BG26" i="26"/>
  <c r="BG35" i="26"/>
  <c r="BG27" i="26"/>
  <c r="BG33" i="26"/>
  <c r="BJ9" i="26"/>
  <c r="BJ11" i="26"/>
  <c r="BJ19" i="26"/>
  <c r="BJ20" i="26"/>
  <c r="BJ13" i="26"/>
  <c r="BJ17" i="26"/>
  <c r="BJ15" i="26"/>
  <c r="BJ18" i="26"/>
  <c r="BJ14" i="26"/>
  <c r="BJ7" i="26"/>
  <c r="BJ8" i="26"/>
  <c r="BJ10" i="26"/>
  <c r="BJ12" i="26"/>
  <c r="BJ16" i="26"/>
  <c r="BJ21" i="26"/>
  <c r="BG7" i="26"/>
  <c r="BG9" i="26"/>
  <c r="BG19" i="26"/>
  <c r="BG8" i="26"/>
  <c r="BG10" i="26"/>
  <c r="BG12" i="26"/>
  <c r="BG13" i="26"/>
  <c r="BG14" i="26"/>
  <c r="BG17" i="26"/>
  <c r="BG20" i="26"/>
  <c r="BG16" i="26"/>
  <c r="BG15" i="26"/>
  <c r="BG18" i="26"/>
  <c r="BG11" i="26"/>
  <c r="BG21" i="26"/>
  <c r="BH15" i="26"/>
  <c r="BH18" i="26"/>
  <c r="BH7" i="26"/>
  <c r="BH20" i="26"/>
  <c r="BH8" i="26"/>
  <c r="BH10" i="26"/>
  <c r="BH12" i="26"/>
  <c r="BH14" i="26"/>
  <c r="BH17" i="26"/>
  <c r="BH11" i="26"/>
  <c r="BH19" i="26"/>
  <c r="BH13" i="26"/>
  <c r="BH16" i="26"/>
  <c r="BH9" i="26"/>
  <c r="BH21" i="26"/>
  <c r="AH16" i="26"/>
  <c r="AH15" i="26"/>
  <c r="AH14" i="26"/>
  <c r="AH173" i="26"/>
  <c r="AH172" i="26"/>
  <c r="AH171" i="26"/>
  <c r="AH170" i="26"/>
  <c r="AH169" i="26"/>
  <c r="AH168" i="26"/>
  <c r="AH167" i="26"/>
  <c r="AH166" i="26"/>
  <c r="AH165" i="26"/>
  <c r="AH164" i="26"/>
  <c r="AH163" i="26"/>
  <c r="AH162" i="26"/>
  <c r="AH161" i="26"/>
  <c r="AH160" i="26"/>
  <c r="AH156" i="26"/>
  <c r="AH155" i="26"/>
  <c r="AH154" i="26"/>
  <c r="AH153" i="26"/>
  <c r="AH152" i="26"/>
  <c r="AH151" i="26"/>
  <c r="AH150" i="26"/>
  <c r="AH149" i="26"/>
  <c r="AH148" i="26"/>
  <c r="AH147" i="26"/>
  <c r="AH146" i="26"/>
  <c r="AH145" i="26"/>
  <c r="AH144" i="26"/>
  <c r="AH143" i="26"/>
  <c r="AH139" i="26"/>
  <c r="AH138" i="26"/>
  <c r="AH137" i="26"/>
  <c r="AH136" i="26"/>
  <c r="AH135" i="26"/>
  <c r="AH134" i="26"/>
  <c r="AH133" i="26"/>
  <c r="AH132" i="26"/>
  <c r="AH131" i="26"/>
  <c r="AH130" i="26"/>
  <c r="AH129" i="26"/>
  <c r="AH128" i="26"/>
  <c r="AH127" i="26"/>
  <c r="AH126" i="26"/>
  <c r="AH122" i="26"/>
  <c r="AH121" i="26"/>
  <c r="AH120" i="26"/>
  <c r="AH119" i="26"/>
  <c r="AH118" i="26"/>
  <c r="AH117" i="26"/>
  <c r="AH116" i="26"/>
  <c r="AH115" i="26"/>
  <c r="AH114" i="26"/>
  <c r="AH113" i="26"/>
  <c r="AH112" i="26"/>
  <c r="AH111" i="26"/>
  <c r="AH110" i="26"/>
  <c r="AH109" i="26"/>
  <c r="AH105" i="26"/>
  <c r="AH104" i="26"/>
  <c r="AH103" i="26"/>
  <c r="AH102" i="26"/>
  <c r="AH101" i="26"/>
  <c r="AH100" i="26"/>
  <c r="AH99" i="26"/>
  <c r="AH98" i="26"/>
  <c r="AH97" i="26"/>
  <c r="AH96" i="26"/>
  <c r="AH95" i="26"/>
  <c r="AH94" i="26"/>
  <c r="AH93" i="26"/>
  <c r="AH92" i="26"/>
  <c r="AH88" i="26"/>
  <c r="AH87" i="26"/>
  <c r="AH86" i="26"/>
  <c r="AH85" i="26"/>
  <c r="AH84" i="26"/>
  <c r="AH83" i="26"/>
  <c r="AH82" i="26"/>
  <c r="AH81" i="26"/>
  <c r="AH80" i="26"/>
  <c r="AH79" i="26"/>
  <c r="AH78" i="26"/>
  <c r="AH77" i="26"/>
  <c r="AH76" i="26"/>
  <c r="AH75" i="26"/>
  <c r="AH54" i="26"/>
  <c r="AH53" i="26"/>
  <c r="AH52" i="26"/>
  <c r="AH51" i="26"/>
  <c r="AH50" i="26"/>
  <c r="AH49" i="26"/>
  <c r="AH48" i="26"/>
  <c r="AH47" i="26"/>
  <c r="AH46" i="26"/>
  <c r="AH45" i="26"/>
  <c r="AH44" i="26"/>
  <c r="AH43" i="26"/>
  <c r="AH42" i="26"/>
  <c r="AH41" i="26"/>
  <c r="AH37" i="26"/>
  <c r="AH36" i="26"/>
  <c r="AH35" i="26"/>
  <c r="AH34" i="26"/>
  <c r="AH33" i="26"/>
  <c r="AH32" i="26"/>
  <c r="AH31" i="26"/>
  <c r="AH30" i="26"/>
  <c r="AH29" i="26"/>
  <c r="AH28" i="26"/>
  <c r="AH27" i="26"/>
  <c r="AH26" i="26"/>
  <c r="AH25" i="26"/>
  <c r="AH24" i="26"/>
  <c r="AH20" i="26"/>
  <c r="AH19" i="26"/>
  <c r="AH18" i="26"/>
  <c r="AH17" i="26"/>
  <c r="AH13" i="26"/>
  <c r="AH12" i="26"/>
  <c r="AH11" i="26"/>
  <c r="AH10" i="26"/>
  <c r="AH9" i="26"/>
  <c r="AH8" i="26"/>
  <c r="AH7" i="26"/>
  <c r="P173" i="26"/>
  <c r="O173" i="26"/>
  <c r="N173" i="26"/>
  <c r="M173" i="26"/>
  <c r="J173" i="26"/>
  <c r="I173" i="26"/>
  <c r="H173" i="26"/>
  <c r="G173" i="26"/>
  <c r="F173" i="26"/>
  <c r="E173" i="26"/>
  <c r="D173" i="26"/>
  <c r="C173" i="26"/>
  <c r="P172" i="26"/>
  <c r="O172" i="26"/>
  <c r="N172" i="26"/>
  <c r="M172" i="26"/>
  <c r="J172" i="26"/>
  <c r="I172" i="26"/>
  <c r="H172" i="26"/>
  <c r="G172" i="26"/>
  <c r="F172" i="26"/>
  <c r="E172" i="26"/>
  <c r="D172" i="26"/>
  <c r="C172" i="26"/>
  <c r="P171" i="26"/>
  <c r="O171" i="26"/>
  <c r="N171" i="26"/>
  <c r="M171" i="26"/>
  <c r="J171" i="26"/>
  <c r="I171" i="26"/>
  <c r="H171" i="26"/>
  <c r="G171" i="26"/>
  <c r="F171" i="26"/>
  <c r="E171" i="26"/>
  <c r="D171" i="26"/>
  <c r="C171" i="26"/>
  <c r="P170" i="26"/>
  <c r="O170" i="26"/>
  <c r="N170" i="26"/>
  <c r="M170" i="26"/>
  <c r="J170" i="26"/>
  <c r="I170" i="26"/>
  <c r="H170" i="26"/>
  <c r="G170" i="26"/>
  <c r="F170" i="26"/>
  <c r="E170" i="26"/>
  <c r="D170" i="26"/>
  <c r="C170" i="26"/>
  <c r="P169" i="26"/>
  <c r="O169" i="26"/>
  <c r="N169" i="26"/>
  <c r="M169" i="26"/>
  <c r="J169" i="26"/>
  <c r="I169" i="26"/>
  <c r="H169" i="26"/>
  <c r="G169" i="26"/>
  <c r="F169" i="26"/>
  <c r="E169" i="26"/>
  <c r="D169" i="26"/>
  <c r="C169" i="26"/>
  <c r="P168" i="26"/>
  <c r="O168" i="26"/>
  <c r="N168" i="26"/>
  <c r="M168" i="26"/>
  <c r="J168" i="26"/>
  <c r="I168" i="26"/>
  <c r="H168" i="26"/>
  <c r="G168" i="26"/>
  <c r="F168" i="26"/>
  <c r="E168" i="26"/>
  <c r="D168" i="26"/>
  <c r="C168" i="26"/>
  <c r="P167" i="26"/>
  <c r="O167" i="26"/>
  <c r="N167" i="26"/>
  <c r="M167" i="26"/>
  <c r="J167" i="26"/>
  <c r="I167" i="26"/>
  <c r="H167" i="26"/>
  <c r="G167" i="26"/>
  <c r="F167" i="26"/>
  <c r="E167" i="26"/>
  <c r="D167" i="26"/>
  <c r="C167" i="26"/>
  <c r="P166" i="26"/>
  <c r="O166" i="26"/>
  <c r="N166" i="26"/>
  <c r="M166" i="26"/>
  <c r="J166" i="26"/>
  <c r="I166" i="26"/>
  <c r="H166" i="26"/>
  <c r="G166" i="26"/>
  <c r="F166" i="26"/>
  <c r="E166" i="26"/>
  <c r="D166" i="26"/>
  <c r="C166" i="26"/>
  <c r="P165" i="26"/>
  <c r="O165" i="26"/>
  <c r="N165" i="26"/>
  <c r="M165" i="26"/>
  <c r="J165" i="26"/>
  <c r="I165" i="26"/>
  <c r="H165" i="26"/>
  <c r="G165" i="26"/>
  <c r="F165" i="26"/>
  <c r="E165" i="26"/>
  <c r="D165" i="26"/>
  <c r="C165" i="26"/>
  <c r="P164" i="26"/>
  <c r="O164" i="26"/>
  <c r="N164" i="26"/>
  <c r="M164" i="26"/>
  <c r="J164" i="26"/>
  <c r="I164" i="26"/>
  <c r="H164" i="26"/>
  <c r="G164" i="26"/>
  <c r="F164" i="26"/>
  <c r="E164" i="26"/>
  <c r="D164" i="26"/>
  <c r="C164" i="26"/>
  <c r="P163" i="26"/>
  <c r="O163" i="26"/>
  <c r="N163" i="26"/>
  <c r="M163" i="26"/>
  <c r="J163" i="26"/>
  <c r="I163" i="26"/>
  <c r="H163" i="26"/>
  <c r="G163" i="26"/>
  <c r="F163" i="26"/>
  <c r="E163" i="26"/>
  <c r="D163" i="26"/>
  <c r="C163" i="26"/>
  <c r="P162" i="26"/>
  <c r="O162" i="26"/>
  <c r="N162" i="26"/>
  <c r="M162" i="26"/>
  <c r="J162" i="26"/>
  <c r="I162" i="26"/>
  <c r="H162" i="26"/>
  <c r="G162" i="26"/>
  <c r="F162" i="26"/>
  <c r="E162" i="26"/>
  <c r="D162" i="26"/>
  <c r="C162" i="26"/>
  <c r="P161" i="26"/>
  <c r="O161" i="26"/>
  <c r="N161" i="26"/>
  <c r="M161" i="26"/>
  <c r="J161" i="26"/>
  <c r="I161" i="26"/>
  <c r="H161" i="26"/>
  <c r="G161" i="26"/>
  <c r="F161" i="26"/>
  <c r="E161" i="26"/>
  <c r="D161" i="26"/>
  <c r="C161" i="26"/>
  <c r="P160" i="26"/>
  <c r="O160" i="26"/>
  <c r="N160" i="26"/>
  <c r="M160" i="26"/>
  <c r="J160" i="26"/>
  <c r="I160" i="26"/>
  <c r="H160" i="26"/>
  <c r="G160" i="26"/>
  <c r="F160" i="26"/>
  <c r="E160" i="26"/>
  <c r="D160" i="26"/>
  <c r="C160" i="26"/>
  <c r="P156" i="26"/>
  <c r="O156" i="26"/>
  <c r="N156" i="26"/>
  <c r="M156" i="26"/>
  <c r="L156" i="26"/>
  <c r="K156" i="26"/>
  <c r="J156" i="26"/>
  <c r="I156" i="26"/>
  <c r="H156" i="26"/>
  <c r="G156" i="26"/>
  <c r="F156" i="26"/>
  <c r="E156" i="26"/>
  <c r="D156" i="26"/>
  <c r="C156" i="26"/>
  <c r="P155" i="26"/>
  <c r="O155" i="26"/>
  <c r="N155" i="26"/>
  <c r="M155" i="26"/>
  <c r="L155" i="26"/>
  <c r="K155" i="26"/>
  <c r="J155" i="26"/>
  <c r="I155" i="26"/>
  <c r="H155" i="26"/>
  <c r="G155" i="26"/>
  <c r="F155" i="26"/>
  <c r="E155" i="26"/>
  <c r="D155" i="26"/>
  <c r="C155" i="26"/>
  <c r="P154" i="26"/>
  <c r="O154" i="26"/>
  <c r="N154" i="26"/>
  <c r="M154" i="26"/>
  <c r="L154" i="26"/>
  <c r="K154" i="26"/>
  <c r="J154" i="26"/>
  <c r="I154" i="26"/>
  <c r="H154" i="26"/>
  <c r="G154" i="26"/>
  <c r="F154" i="26"/>
  <c r="E154" i="26"/>
  <c r="D154" i="26"/>
  <c r="C154" i="26"/>
  <c r="P153" i="26"/>
  <c r="O153" i="26"/>
  <c r="N153" i="26"/>
  <c r="M153" i="26"/>
  <c r="L153" i="26"/>
  <c r="K153" i="26"/>
  <c r="J153" i="26"/>
  <c r="I153" i="26"/>
  <c r="H153" i="26"/>
  <c r="G153" i="26"/>
  <c r="F153" i="26"/>
  <c r="E153" i="26"/>
  <c r="D153" i="26"/>
  <c r="C153" i="26"/>
  <c r="P152" i="26"/>
  <c r="O152" i="26"/>
  <c r="N152" i="26"/>
  <c r="M152" i="26"/>
  <c r="L152" i="26"/>
  <c r="K152" i="26"/>
  <c r="J152" i="26"/>
  <c r="I152" i="26"/>
  <c r="H152" i="26"/>
  <c r="G152" i="26"/>
  <c r="F152" i="26"/>
  <c r="E152" i="26"/>
  <c r="D152" i="26"/>
  <c r="C152" i="26"/>
  <c r="P151" i="26"/>
  <c r="O151" i="26"/>
  <c r="N151" i="26"/>
  <c r="M151" i="26"/>
  <c r="L151" i="26"/>
  <c r="K151" i="26"/>
  <c r="J151" i="26"/>
  <c r="I151" i="26"/>
  <c r="H151" i="26"/>
  <c r="G151" i="26"/>
  <c r="F151" i="26"/>
  <c r="E151" i="26"/>
  <c r="D151" i="26"/>
  <c r="C151" i="26"/>
  <c r="P150" i="26"/>
  <c r="O150" i="26"/>
  <c r="N150" i="26"/>
  <c r="M150" i="26"/>
  <c r="L150" i="26"/>
  <c r="K150" i="26"/>
  <c r="J150" i="26"/>
  <c r="I150" i="26"/>
  <c r="H150" i="26"/>
  <c r="G150" i="26"/>
  <c r="F150" i="26"/>
  <c r="E150" i="26"/>
  <c r="D150" i="26"/>
  <c r="C150" i="26"/>
  <c r="P149" i="26"/>
  <c r="O149" i="26"/>
  <c r="N149" i="26"/>
  <c r="M149" i="26"/>
  <c r="L149" i="26"/>
  <c r="K149" i="26"/>
  <c r="J149" i="26"/>
  <c r="I149" i="26"/>
  <c r="H149" i="26"/>
  <c r="G149" i="26"/>
  <c r="F149" i="26"/>
  <c r="E149" i="26"/>
  <c r="D149" i="26"/>
  <c r="C149" i="26"/>
  <c r="P148" i="26"/>
  <c r="O148" i="26"/>
  <c r="N148" i="26"/>
  <c r="M148" i="26"/>
  <c r="L148" i="26"/>
  <c r="K148" i="26"/>
  <c r="J148" i="26"/>
  <c r="I148" i="26"/>
  <c r="H148" i="26"/>
  <c r="G148" i="26"/>
  <c r="F148" i="26"/>
  <c r="E148" i="26"/>
  <c r="D148" i="26"/>
  <c r="C148" i="26"/>
  <c r="P147" i="26"/>
  <c r="O147" i="26"/>
  <c r="N147" i="26"/>
  <c r="M147" i="26"/>
  <c r="L147" i="26"/>
  <c r="K147" i="26"/>
  <c r="J147" i="26"/>
  <c r="I147" i="26"/>
  <c r="H147" i="26"/>
  <c r="G147" i="26"/>
  <c r="F147" i="26"/>
  <c r="E147" i="26"/>
  <c r="D147" i="26"/>
  <c r="C147" i="26"/>
  <c r="P146" i="26"/>
  <c r="O146" i="26"/>
  <c r="N146" i="26"/>
  <c r="M146" i="26"/>
  <c r="L146" i="26"/>
  <c r="K146" i="26"/>
  <c r="J146" i="26"/>
  <c r="I146" i="26"/>
  <c r="H146" i="26"/>
  <c r="G146" i="26"/>
  <c r="F146" i="26"/>
  <c r="E146" i="26"/>
  <c r="D146" i="26"/>
  <c r="C146" i="26"/>
  <c r="P145" i="26"/>
  <c r="O145" i="26"/>
  <c r="N145" i="26"/>
  <c r="M145" i="26"/>
  <c r="L145" i="26"/>
  <c r="K145" i="26"/>
  <c r="J145" i="26"/>
  <c r="I145" i="26"/>
  <c r="H145" i="26"/>
  <c r="G145" i="26"/>
  <c r="F145" i="26"/>
  <c r="E145" i="26"/>
  <c r="D145" i="26"/>
  <c r="C145" i="26"/>
  <c r="P144" i="26"/>
  <c r="O144" i="26"/>
  <c r="N144" i="26"/>
  <c r="M144" i="26"/>
  <c r="L144" i="26"/>
  <c r="K144" i="26"/>
  <c r="J144" i="26"/>
  <c r="I144" i="26"/>
  <c r="H144" i="26"/>
  <c r="G144" i="26"/>
  <c r="F144" i="26"/>
  <c r="E144" i="26"/>
  <c r="D144" i="26"/>
  <c r="C144" i="26"/>
  <c r="P143" i="26"/>
  <c r="O143" i="26"/>
  <c r="N143" i="26"/>
  <c r="M143" i="26"/>
  <c r="L143" i="26"/>
  <c r="K143" i="26"/>
  <c r="J143" i="26"/>
  <c r="I143" i="26"/>
  <c r="H143" i="26"/>
  <c r="G143" i="26"/>
  <c r="F143" i="26"/>
  <c r="E143" i="26"/>
  <c r="D143" i="26"/>
  <c r="C143" i="26"/>
  <c r="P139" i="26"/>
  <c r="O139" i="26"/>
  <c r="N139" i="26"/>
  <c r="M139" i="26"/>
  <c r="L139" i="26"/>
  <c r="K139" i="26"/>
  <c r="J139" i="26"/>
  <c r="I139" i="26"/>
  <c r="H139" i="26"/>
  <c r="G139" i="26"/>
  <c r="F139" i="26"/>
  <c r="E139" i="26"/>
  <c r="D139" i="26"/>
  <c r="C139" i="26"/>
  <c r="P138" i="26"/>
  <c r="O138" i="26"/>
  <c r="N138" i="26"/>
  <c r="M138" i="26"/>
  <c r="L138" i="26"/>
  <c r="K138" i="26"/>
  <c r="J138" i="26"/>
  <c r="I138" i="26"/>
  <c r="H138" i="26"/>
  <c r="G138" i="26"/>
  <c r="F138" i="26"/>
  <c r="E138" i="26"/>
  <c r="D138" i="26"/>
  <c r="C138" i="26"/>
  <c r="P137" i="26"/>
  <c r="O137" i="26"/>
  <c r="N137" i="26"/>
  <c r="M137" i="26"/>
  <c r="L137" i="26"/>
  <c r="K137" i="26"/>
  <c r="J137" i="26"/>
  <c r="I137" i="26"/>
  <c r="H137" i="26"/>
  <c r="G137" i="26"/>
  <c r="F137" i="26"/>
  <c r="E137" i="26"/>
  <c r="D137" i="26"/>
  <c r="C137" i="26"/>
  <c r="P136" i="26"/>
  <c r="O136" i="26"/>
  <c r="N136" i="26"/>
  <c r="M136" i="26"/>
  <c r="L136" i="26"/>
  <c r="K136" i="26"/>
  <c r="J136" i="26"/>
  <c r="I136" i="26"/>
  <c r="H136" i="26"/>
  <c r="G136" i="26"/>
  <c r="F136" i="26"/>
  <c r="E136" i="26"/>
  <c r="D136" i="26"/>
  <c r="C136" i="26"/>
  <c r="P135" i="26"/>
  <c r="O135" i="26"/>
  <c r="N135" i="26"/>
  <c r="M135" i="26"/>
  <c r="L135" i="26"/>
  <c r="K135" i="26"/>
  <c r="J135" i="26"/>
  <c r="I135" i="26"/>
  <c r="H135" i="26"/>
  <c r="G135" i="26"/>
  <c r="F135" i="26"/>
  <c r="E135" i="26"/>
  <c r="D135" i="26"/>
  <c r="C135" i="26"/>
  <c r="P134" i="26"/>
  <c r="O134" i="26"/>
  <c r="N134" i="26"/>
  <c r="M134" i="26"/>
  <c r="L134" i="26"/>
  <c r="K134" i="26"/>
  <c r="J134" i="26"/>
  <c r="I134" i="26"/>
  <c r="H134" i="26"/>
  <c r="G134" i="26"/>
  <c r="F134" i="26"/>
  <c r="E134" i="26"/>
  <c r="D134" i="26"/>
  <c r="C134" i="26"/>
  <c r="P133" i="26"/>
  <c r="O133" i="26"/>
  <c r="N133" i="26"/>
  <c r="M133" i="26"/>
  <c r="L133" i="26"/>
  <c r="K133" i="26"/>
  <c r="J133" i="26"/>
  <c r="I133" i="26"/>
  <c r="H133" i="26"/>
  <c r="G133" i="26"/>
  <c r="F133" i="26"/>
  <c r="E133" i="26"/>
  <c r="D133" i="26"/>
  <c r="C133" i="26"/>
  <c r="P132" i="26"/>
  <c r="O132" i="26"/>
  <c r="N132" i="26"/>
  <c r="M132" i="26"/>
  <c r="L132" i="26"/>
  <c r="K132" i="26"/>
  <c r="J132" i="26"/>
  <c r="I132" i="26"/>
  <c r="H132" i="26"/>
  <c r="G132" i="26"/>
  <c r="F132" i="26"/>
  <c r="E132" i="26"/>
  <c r="D132" i="26"/>
  <c r="C132" i="26"/>
  <c r="P131" i="26"/>
  <c r="O131" i="26"/>
  <c r="N131" i="26"/>
  <c r="M131" i="26"/>
  <c r="L131" i="26"/>
  <c r="K131" i="26"/>
  <c r="J131" i="26"/>
  <c r="I131" i="26"/>
  <c r="H131" i="26"/>
  <c r="G131" i="26"/>
  <c r="F131" i="26"/>
  <c r="E131" i="26"/>
  <c r="D131" i="26"/>
  <c r="C131" i="26"/>
  <c r="P130" i="26"/>
  <c r="O130" i="26"/>
  <c r="N130" i="26"/>
  <c r="M130" i="26"/>
  <c r="L130" i="26"/>
  <c r="K130" i="26"/>
  <c r="J130" i="26"/>
  <c r="I130" i="26"/>
  <c r="H130" i="26"/>
  <c r="G130" i="26"/>
  <c r="F130" i="26"/>
  <c r="E130" i="26"/>
  <c r="D130" i="26"/>
  <c r="C130" i="26"/>
  <c r="P129" i="26"/>
  <c r="O129" i="26"/>
  <c r="N129" i="26"/>
  <c r="M129" i="26"/>
  <c r="L129" i="26"/>
  <c r="K129" i="26"/>
  <c r="J129" i="26"/>
  <c r="I129" i="26"/>
  <c r="H129" i="26"/>
  <c r="G129" i="26"/>
  <c r="F129" i="26"/>
  <c r="E129" i="26"/>
  <c r="D129" i="26"/>
  <c r="C129" i="26"/>
  <c r="P128" i="26"/>
  <c r="O128" i="26"/>
  <c r="N128" i="26"/>
  <c r="M128" i="26"/>
  <c r="L128" i="26"/>
  <c r="K128" i="26"/>
  <c r="J128" i="26"/>
  <c r="I128" i="26"/>
  <c r="H128" i="26"/>
  <c r="G128" i="26"/>
  <c r="F128" i="26"/>
  <c r="E128" i="26"/>
  <c r="D128" i="26"/>
  <c r="C128" i="26"/>
  <c r="P127" i="26"/>
  <c r="O127" i="26"/>
  <c r="N127" i="26"/>
  <c r="M127" i="26"/>
  <c r="L127" i="26"/>
  <c r="K127" i="26"/>
  <c r="J127" i="26"/>
  <c r="I127" i="26"/>
  <c r="H127" i="26"/>
  <c r="G127" i="26"/>
  <c r="F127" i="26"/>
  <c r="E127" i="26"/>
  <c r="D127" i="26"/>
  <c r="C127" i="26"/>
  <c r="P126" i="26"/>
  <c r="O126" i="26"/>
  <c r="N126" i="26"/>
  <c r="M126" i="26"/>
  <c r="L126" i="26"/>
  <c r="K126" i="26"/>
  <c r="J126" i="26"/>
  <c r="I126" i="26"/>
  <c r="H126" i="26"/>
  <c r="G126" i="26"/>
  <c r="F126" i="26"/>
  <c r="E126" i="26"/>
  <c r="D126" i="26"/>
  <c r="C126" i="26"/>
  <c r="P122" i="26"/>
  <c r="O122" i="26"/>
  <c r="N122" i="26"/>
  <c r="M122" i="26"/>
  <c r="L122" i="26"/>
  <c r="K122" i="26"/>
  <c r="J122" i="26"/>
  <c r="I122" i="26"/>
  <c r="H122" i="26"/>
  <c r="G122" i="26"/>
  <c r="F122" i="26"/>
  <c r="E122" i="26"/>
  <c r="D122" i="26"/>
  <c r="C122" i="26"/>
  <c r="P121" i="26"/>
  <c r="O121" i="26"/>
  <c r="N121" i="26"/>
  <c r="M121" i="26"/>
  <c r="L121" i="26"/>
  <c r="K121" i="26"/>
  <c r="J121" i="26"/>
  <c r="I121" i="26"/>
  <c r="H121" i="26"/>
  <c r="G121" i="26"/>
  <c r="F121" i="26"/>
  <c r="E121" i="26"/>
  <c r="D121" i="26"/>
  <c r="C121" i="26"/>
  <c r="P120" i="26"/>
  <c r="O120" i="26"/>
  <c r="N120" i="26"/>
  <c r="M120" i="26"/>
  <c r="L120" i="26"/>
  <c r="K120" i="26"/>
  <c r="J120" i="26"/>
  <c r="I120" i="26"/>
  <c r="H120" i="26"/>
  <c r="G120" i="26"/>
  <c r="F120" i="26"/>
  <c r="E120" i="26"/>
  <c r="D120" i="26"/>
  <c r="C120" i="26"/>
  <c r="P119" i="26"/>
  <c r="O119" i="26"/>
  <c r="N119" i="26"/>
  <c r="M119" i="26"/>
  <c r="L119" i="26"/>
  <c r="K119" i="26"/>
  <c r="J119" i="26"/>
  <c r="I119" i="26"/>
  <c r="H119" i="26"/>
  <c r="G119" i="26"/>
  <c r="F119" i="26"/>
  <c r="E119" i="26"/>
  <c r="D119" i="26"/>
  <c r="C119" i="26"/>
  <c r="P118" i="26"/>
  <c r="O118" i="26"/>
  <c r="N118" i="26"/>
  <c r="M118" i="26"/>
  <c r="L118" i="26"/>
  <c r="K118" i="26"/>
  <c r="J118" i="26"/>
  <c r="I118" i="26"/>
  <c r="H118" i="26"/>
  <c r="G118" i="26"/>
  <c r="F118" i="26"/>
  <c r="E118" i="26"/>
  <c r="D118" i="26"/>
  <c r="C118" i="26"/>
  <c r="P117" i="26"/>
  <c r="O117" i="26"/>
  <c r="N117" i="26"/>
  <c r="M117" i="26"/>
  <c r="L117" i="26"/>
  <c r="K117" i="26"/>
  <c r="J117" i="26"/>
  <c r="I117" i="26"/>
  <c r="H117" i="26"/>
  <c r="G117" i="26"/>
  <c r="F117" i="26"/>
  <c r="E117" i="26"/>
  <c r="D117" i="26"/>
  <c r="C117" i="26"/>
  <c r="P116" i="26"/>
  <c r="O116" i="26"/>
  <c r="N116" i="26"/>
  <c r="M116" i="26"/>
  <c r="L116" i="26"/>
  <c r="K116" i="26"/>
  <c r="J116" i="26"/>
  <c r="I116" i="26"/>
  <c r="H116" i="26"/>
  <c r="G116" i="26"/>
  <c r="F116" i="26"/>
  <c r="E116" i="26"/>
  <c r="D116" i="26"/>
  <c r="C116" i="26"/>
  <c r="P115" i="26"/>
  <c r="O115" i="26"/>
  <c r="N115" i="26"/>
  <c r="M115" i="26"/>
  <c r="L115" i="26"/>
  <c r="K115" i="26"/>
  <c r="J115" i="26"/>
  <c r="I115" i="26"/>
  <c r="H115" i="26"/>
  <c r="G115" i="26"/>
  <c r="F115" i="26"/>
  <c r="E115" i="26"/>
  <c r="D115" i="26"/>
  <c r="C115" i="26"/>
  <c r="P114" i="26"/>
  <c r="O114" i="26"/>
  <c r="N114" i="26"/>
  <c r="M114" i="26"/>
  <c r="L114" i="26"/>
  <c r="K114" i="26"/>
  <c r="J114" i="26"/>
  <c r="I114" i="26"/>
  <c r="H114" i="26"/>
  <c r="G114" i="26"/>
  <c r="F114" i="26"/>
  <c r="E114" i="26"/>
  <c r="D114" i="26"/>
  <c r="C114" i="26"/>
  <c r="P113" i="26"/>
  <c r="O113" i="26"/>
  <c r="N113" i="26"/>
  <c r="M113" i="26"/>
  <c r="L113" i="26"/>
  <c r="K113" i="26"/>
  <c r="J113" i="26"/>
  <c r="I113" i="26"/>
  <c r="H113" i="26"/>
  <c r="G113" i="26"/>
  <c r="F113" i="26"/>
  <c r="E113" i="26"/>
  <c r="D113" i="26"/>
  <c r="C113" i="26"/>
  <c r="P112" i="26"/>
  <c r="O112" i="26"/>
  <c r="N112" i="26"/>
  <c r="M112" i="26"/>
  <c r="L112" i="26"/>
  <c r="K112" i="26"/>
  <c r="J112" i="26"/>
  <c r="I112" i="26"/>
  <c r="H112" i="26"/>
  <c r="G112" i="26"/>
  <c r="F112" i="26"/>
  <c r="E112" i="26"/>
  <c r="D112" i="26"/>
  <c r="C112" i="26"/>
  <c r="P111" i="26"/>
  <c r="O111" i="26"/>
  <c r="N111" i="26"/>
  <c r="M111" i="26"/>
  <c r="L111" i="26"/>
  <c r="K111" i="26"/>
  <c r="J111" i="26"/>
  <c r="I111" i="26"/>
  <c r="H111" i="26"/>
  <c r="G111" i="26"/>
  <c r="F111" i="26"/>
  <c r="E111" i="26"/>
  <c r="D111" i="26"/>
  <c r="C111" i="26"/>
  <c r="P110" i="26"/>
  <c r="O110" i="26"/>
  <c r="N110" i="26"/>
  <c r="M110" i="26"/>
  <c r="L110" i="26"/>
  <c r="K110" i="26"/>
  <c r="J110" i="26"/>
  <c r="I110" i="26"/>
  <c r="H110" i="26"/>
  <c r="G110" i="26"/>
  <c r="F110" i="26"/>
  <c r="E110" i="26"/>
  <c r="D110" i="26"/>
  <c r="C110" i="26"/>
  <c r="P109" i="26"/>
  <c r="O109" i="26"/>
  <c r="N109" i="26"/>
  <c r="M109" i="26"/>
  <c r="L109" i="26"/>
  <c r="K109" i="26"/>
  <c r="J109" i="26"/>
  <c r="I109" i="26"/>
  <c r="H109" i="26"/>
  <c r="G109" i="26"/>
  <c r="F109" i="26"/>
  <c r="E109" i="26"/>
  <c r="D109" i="26"/>
  <c r="C109" i="26"/>
  <c r="P105" i="26"/>
  <c r="O105" i="26"/>
  <c r="N105" i="26"/>
  <c r="M105" i="26"/>
  <c r="L105" i="26"/>
  <c r="K105" i="26"/>
  <c r="J105" i="26"/>
  <c r="I105" i="26"/>
  <c r="H105" i="26"/>
  <c r="G105" i="26"/>
  <c r="F105" i="26"/>
  <c r="E105" i="26"/>
  <c r="D105" i="26"/>
  <c r="C105" i="26"/>
  <c r="P104" i="26"/>
  <c r="O104" i="26"/>
  <c r="N104" i="26"/>
  <c r="M104" i="26"/>
  <c r="L104" i="26"/>
  <c r="K104" i="26"/>
  <c r="J104" i="26"/>
  <c r="I104" i="26"/>
  <c r="H104" i="26"/>
  <c r="G104" i="26"/>
  <c r="F104" i="26"/>
  <c r="E104" i="26"/>
  <c r="D104" i="26"/>
  <c r="C104" i="26"/>
  <c r="P103" i="26"/>
  <c r="O103" i="26"/>
  <c r="N103" i="26"/>
  <c r="M103" i="26"/>
  <c r="L103" i="26"/>
  <c r="K103" i="26"/>
  <c r="J103" i="26"/>
  <c r="I103" i="26"/>
  <c r="H103" i="26"/>
  <c r="G103" i="26"/>
  <c r="F103" i="26"/>
  <c r="E103" i="26"/>
  <c r="D103" i="26"/>
  <c r="C103" i="26"/>
  <c r="P102" i="26"/>
  <c r="O102" i="26"/>
  <c r="N102" i="26"/>
  <c r="M102" i="26"/>
  <c r="L102" i="26"/>
  <c r="K102" i="26"/>
  <c r="J102" i="26"/>
  <c r="I102" i="26"/>
  <c r="H102" i="26"/>
  <c r="G102" i="26"/>
  <c r="F102" i="26"/>
  <c r="E102" i="26"/>
  <c r="D102" i="26"/>
  <c r="C102" i="26"/>
  <c r="P101" i="26"/>
  <c r="O101" i="26"/>
  <c r="N101" i="26"/>
  <c r="M101" i="26"/>
  <c r="L101" i="26"/>
  <c r="K101" i="26"/>
  <c r="J101" i="26"/>
  <c r="I101" i="26"/>
  <c r="H101" i="26"/>
  <c r="G101" i="26"/>
  <c r="F101" i="26"/>
  <c r="E101" i="26"/>
  <c r="D101" i="26"/>
  <c r="C101" i="26"/>
  <c r="P100" i="26"/>
  <c r="O100" i="26"/>
  <c r="N100" i="26"/>
  <c r="M100" i="26"/>
  <c r="L100" i="26"/>
  <c r="K100" i="26"/>
  <c r="J100" i="26"/>
  <c r="I100" i="26"/>
  <c r="H100" i="26"/>
  <c r="G100" i="26"/>
  <c r="F100" i="26"/>
  <c r="E100" i="26"/>
  <c r="D100" i="26"/>
  <c r="C100" i="26"/>
  <c r="P99" i="26"/>
  <c r="O99" i="26"/>
  <c r="N99" i="26"/>
  <c r="M99" i="26"/>
  <c r="L99" i="26"/>
  <c r="K99" i="26"/>
  <c r="J99" i="26"/>
  <c r="I99" i="26"/>
  <c r="H99" i="26"/>
  <c r="G99" i="26"/>
  <c r="F99" i="26"/>
  <c r="E99" i="26"/>
  <c r="D99" i="26"/>
  <c r="C99" i="26"/>
  <c r="P98" i="26"/>
  <c r="O98" i="26"/>
  <c r="N98" i="26"/>
  <c r="M98" i="26"/>
  <c r="L98" i="26"/>
  <c r="K98" i="26"/>
  <c r="J98" i="26"/>
  <c r="I98" i="26"/>
  <c r="H98" i="26"/>
  <c r="G98" i="26"/>
  <c r="F98" i="26"/>
  <c r="E98" i="26"/>
  <c r="D98" i="26"/>
  <c r="C98" i="26"/>
  <c r="P97" i="26"/>
  <c r="O97" i="26"/>
  <c r="N97" i="26"/>
  <c r="M97" i="26"/>
  <c r="L97" i="26"/>
  <c r="K97" i="26"/>
  <c r="J97" i="26"/>
  <c r="I97" i="26"/>
  <c r="H97" i="26"/>
  <c r="G97" i="26"/>
  <c r="F97" i="26"/>
  <c r="E97" i="26"/>
  <c r="D97" i="26"/>
  <c r="C97" i="26"/>
  <c r="P96" i="26"/>
  <c r="O96" i="26"/>
  <c r="N96" i="26"/>
  <c r="M96" i="26"/>
  <c r="L96" i="26"/>
  <c r="K96" i="26"/>
  <c r="J96" i="26"/>
  <c r="I96" i="26"/>
  <c r="H96" i="26"/>
  <c r="G96" i="26"/>
  <c r="F96" i="26"/>
  <c r="E96" i="26"/>
  <c r="D96" i="26"/>
  <c r="C96" i="26"/>
  <c r="P95" i="26"/>
  <c r="O95" i="26"/>
  <c r="N95" i="26"/>
  <c r="M95" i="26"/>
  <c r="L95" i="26"/>
  <c r="K95" i="26"/>
  <c r="J95" i="26"/>
  <c r="I95" i="26"/>
  <c r="H95" i="26"/>
  <c r="G95" i="26"/>
  <c r="F95" i="26"/>
  <c r="E95" i="26"/>
  <c r="D95" i="26"/>
  <c r="C95" i="26"/>
  <c r="P94" i="26"/>
  <c r="O94" i="26"/>
  <c r="N94" i="26"/>
  <c r="M94" i="26"/>
  <c r="L94" i="26"/>
  <c r="K94" i="26"/>
  <c r="J94" i="26"/>
  <c r="I94" i="26"/>
  <c r="H94" i="26"/>
  <c r="G94" i="26"/>
  <c r="F94" i="26"/>
  <c r="E94" i="26"/>
  <c r="D94" i="26"/>
  <c r="C94" i="26"/>
  <c r="P93" i="26"/>
  <c r="O93" i="26"/>
  <c r="N93" i="26"/>
  <c r="M93" i="26"/>
  <c r="L93" i="26"/>
  <c r="K93" i="26"/>
  <c r="J93" i="26"/>
  <c r="I93" i="26"/>
  <c r="H93" i="26"/>
  <c r="G93" i="26"/>
  <c r="F93" i="26"/>
  <c r="E93" i="26"/>
  <c r="D93" i="26"/>
  <c r="C93" i="26"/>
  <c r="P92" i="26"/>
  <c r="O92" i="26"/>
  <c r="N92" i="26"/>
  <c r="M92" i="26"/>
  <c r="L92" i="26"/>
  <c r="K92" i="26"/>
  <c r="J92" i="26"/>
  <c r="I92" i="26"/>
  <c r="H92" i="26"/>
  <c r="G92" i="26"/>
  <c r="F92" i="26"/>
  <c r="E92" i="26"/>
  <c r="D92" i="26"/>
  <c r="C92" i="26"/>
  <c r="P88" i="26"/>
  <c r="O88" i="26"/>
  <c r="N88" i="26"/>
  <c r="M88" i="26"/>
  <c r="L88" i="26"/>
  <c r="K88" i="26"/>
  <c r="J88" i="26"/>
  <c r="I88" i="26"/>
  <c r="H88" i="26"/>
  <c r="G88" i="26"/>
  <c r="F88" i="26"/>
  <c r="E88" i="26"/>
  <c r="D88" i="26"/>
  <c r="C88" i="26"/>
  <c r="P87" i="26"/>
  <c r="O87" i="26"/>
  <c r="N87" i="26"/>
  <c r="M87" i="26"/>
  <c r="L87" i="26"/>
  <c r="K87" i="26"/>
  <c r="J87" i="26"/>
  <c r="I87" i="26"/>
  <c r="H87" i="26"/>
  <c r="G87" i="26"/>
  <c r="F87" i="26"/>
  <c r="E87" i="26"/>
  <c r="D87" i="26"/>
  <c r="C87" i="26"/>
  <c r="P86" i="26"/>
  <c r="O86" i="26"/>
  <c r="N86" i="26"/>
  <c r="M86" i="26"/>
  <c r="L86" i="26"/>
  <c r="K86" i="26"/>
  <c r="J86" i="26"/>
  <c r="I86" i="26"/>
  <c r="H86" i="26"/>
  <c r="G86" i="26"/>
  <c r="F86" i="26"/>
  <c r="E86" i="26"/>
  <c r="D86" i="26"/>
  <c r="C86" i="26"/>
  <c r="P85" i="26"/>
  <c r="O85" i="26"/>
  <c r="N85" i="26"/>
  <c r="M85" i="26"/>
  <c r="L85" i="26"/>
  <c r="K85" i="26"/>
  <c r="J85" i="26"/>
  <c r="I85" i="26"/>
  <c r="H85" i="26"/>
  <c r="G85" i="26"/>
  <c r="F85" i="26"/>
  <c r="E85" i="26"/>
  <c r="D85" i="26"/>
  <c r="C85" i="26"/>
  <c r="P84" i="26"/>
  <c r="O84" i="26"/>
  <c r="N84" i="26"/>
  <c r="M84" i="26"/>
  <c r="L84" i="26"/>
  <c r="K84" i="26"/>
  <c r="J84" i="26"/>
  <c r="I84" i="26"/>
  <c r="H84" i="26"/>
  <c r="G84" i="26"/>
  <c r="F84" i="26"/>
  <c r="E84" i="26"/>
  <c r="D84" i="26"/>
  <c r="C84" i="26"/>
  <c r="P83" i="26"/>
  <c r="O83" i="26"/>
  <c r="N83" i="26"/>
  <c r="M83" i="26"/>
  <c r="L83" i="26"/>
  <c r="K83" i="26"/>
  <c r="J83" i="26"/>
  <c r="I83" i="26"/>
  <c r="H83" i="26"/>
  <c r="G83" i="26"/>
  <c r="F83" i="26"/>
  <c r="E83" i="26"/>
  <c r="D83" i="26"/>
  <c r="C83" i="26"/>
  <c r="P82" i="26"/>
  <c r="O82" i="26"/>
  <c r="N82" i="26"/>
  <c r="M82" i="26"/>
  <c r="L82" i="26"/>
  <c r="K82" i="26"/>
  <c r="J82" i="26"/>
  <c r="I82" i="26"/>
  <c r="H82" i="26"/>
  <c r="G82" i="26"/>
  <c r="F82" i="26"/>
  <c r="E82" i="26"/>
  <c r="D82" i="26"/>
  <c r="C82" i="26"/>
  <c r="P81" i="26"/>
  <c r="O81" i="26"/>
  <c r="N81" i="26"/>
  <c r="M81" i="26"/>
  <c r="L81" i="26"/>
  <c r="K81" i="26"/>
  <c r="J81" i="26"/>
  <c r="I81" i="26"/>
  <c r="H81" i="26"/>
  <c r="G81" i="26"/>
  <c r="F81" i="26"/>
  <c r="E81" i="26"/>
  <c r="D81" i="26"/>
  <c r="C81" i="26"/>
  <c r="P80" i="26"/>
  <c r="O80" i="26"/>
  <c r="N80" i="26"/>
  <c r="M80" i="26"/>
  <c r="L80" i="26"/>
  <c r="K80" i="26"/>
  <c r="J80" i="26"/>
  <c r="I80" i="26"/>
  <c r="H80" i="26"/>
  <c r="G80" i="26"/>
  <c r="F80" i="26"/>
  <c r="E80" i="26"/>
  <c r="D80" i="26"/>
  <c r="C80" i="26"/>
  <c r="P79" i="26"/>
  <c r="O79" i="26"/>
  <c r="N79" i="26"/>
  <c r="M79" i="26"/>
  <c r="L79" i="26"/>
  <c r="K79" i="26"/>
  <c r="J79" i="26"/>
  <c r="I79" i="26"/>
  <c r="H79" i="26"/>
  <c r="G79" i="26"/>
  <c r="F79" i="26"/>
  <c r="E79" i="26"/>
  <c r="D79" i="26"/>
  <c r="C79" i="26"/>
  <c r="P78" i="26"/>
  <c r="O78" i="26"/>
  <c r="N78" i="26"/>
  <c r="M78" i="26"/>
  <c r="L78" i="26"/>
  <c r="K78" i="26"/>
  <c r="J78" i="26"/>
  <c r="I78" i="26"/>
  <c r="H78" i="26"/>
  <c r="G78" i="26"/>
  <c r="F78" i="26"/>
  <c r="E78" i="26"/>
  <c r="D78" i="26"/>
  <c r="C78" i="26"/>
  <c r="P77" i="26"/>
  <c r="O77" i="26"/>
  <c r="N77" i="26"/>
  <c r="M77" i="26"/>
  <c r="L77" i="26"/>
  <c r="K77" i="26"/>
  <c r="J77" i="26"/>
  <c r="I77" i="26"/>
  <c r="H77" i="26"/>
  <c r="G77" i="26"/>
  <c r="F77" i="26"/>
  <c r="E77" i="26"/>
  <c r="D77" i="26"/>
  <c r="C77" i="26"/>
  <c r="P76" i="26"/>
  <c r="O76" i="26"/>
  <c r="N76" i="26"/>
  <c r="M76" i="26"/>
  <c r="L76" i="26"/>
  <c r="K76" i="26"/>
  <c r="J76" i="26"/>
  <c r="I76" i="26"/>
  <c r="H76" i="26"/>
  <c r="G76" i="26"/>
  <c r="F76" i="26"/>
  <c r="E76" i="26"/>
  <c r="D76" i="26"/>
  <c r="C76" i="26"/>
  <c r="P75" i="26"/>
  <c r="O75" i="26"/>
  <c r="N75" i="26"/>
  <c r="M75" i="26"/>
  <c r="L75" i="26"/>
  <c r="K75" i="26"/>
  <c r="J75" i="26"/>
  <c r="I75" i="26"/>
  <c r="H75" i="26"/>
  <c r="G75" i="26"/>
  <c r="F75" i="26"/>
  <c r="E75" i="26"/>
  <c r="D75" i="26"/>
  <c r="C75" i="26"/>
  <c r="P54" i="26"/>
  <c r="O54" i="26"/>
  <c r="N54" i="26"/>
  <c r="M54" i="26"/>
  <c r="L54" i="26"/>
  <c r="K54" i="26"/>
  <c r="J54" i="26"/>
  <c r="I54" i="26"/>
  <c r="H54" i="26"/>
  <c r="G54" i="26"/>
  <c r="F54" i="26"/>
  <c r="E54" i="26"/>
  <c r="D54" i="26"/>
  <c r="C54" i="26"/>
  <c r="P53" i="26"/>
  <c r="O53" i="26"/>
  <c r="N53" i="26"/>
  <c r="M53" i="26"/>
  <c r="L53" i="26"/>
  <c r="K53" i="26"/>
  <c r="J53" i="26"/>
  <c r="I53" i="26"/>
  <c r="H53" i="26"/>
  <c r="G53" i="26"/>
  <c r="F53" i="26"/>
  <c r="E53" i="26"/>
  <c r="D53" i="26"/>
  <c r="C53" i="26"/>
  <c r="P52" i="26"/>
  <c r="O52" i="26"/>
  <c r="N52" i="26"/>
  <c r="M52" i="26"/>
  <c r="L52" i="26"/>
  <c r="K52" i="26"/>
  <c r="J52" i="26"/>
  <c r="I52" i="26"/>
  <c r="H52" i="26"/>
  <c r="G52" i="26"/>
  <c r="F52" i="26"/>
  <c r="E52" i="26"/>
  <c r="D52" i="26"/>
  <c r="C52" i="26"/>
  <c r="P51" i="26"/>
  <c r="O51" i="26"/>
  <c r="N51" i="26"/>
  <c r="M51" i="26"/>
  <c r="L51" i="26"/>
  <c r="K51" i="26"/>
  <c r="J51" i="26"/>
  <c r="I51" i="26"/>
  <c r="H51" i="26"/>
  <c r="G51" i="26"/>
  <c r="F51" i="26"/>
  <c r="E51" i="26"/>
  <c r="D51" i="26"/>
  <c r="C51" i="26"/>
  <c r="P50" i="26"/>
  <c r="O50" i="26"/>
  <c r="N50" i="26"/>
  <c r="M50" i="26"/>
  <c r="L50" i="26"/>
  <c r="K50" i="26"/>
  <c r="J50" i="26"/>
  <c r="I50" i="26"/>
  <c r="H50" i="26"/>
  <c r="G50" i="26"/>
  <c r="F50" i="26"/>
  <c r="E50" i="26"/>
  <c r="D50" i="26"/>
  <c r="C50" i="26"/>
  <c r="P49" i="26"/>
  <c r="O49" i="26"/>
  <c r="N49" i="26"/>
  <c r="M49" i="26"/>
  <c r="L49" i="26"/>
  <c r="K49" i="26"/>
  <c r="J49" i="26"/>
  <c r="I49" i="26"/>
  <c r="H49" i="26"/>
  <c r="G49" i="26"/>
  <c r="F49" i="26"/>
  <c r="E49" i="26"/>
  <c r="D49" i="26"/>
  <c r="C49" i="26"/>
  <c r="P48" i="26"/>
  <c r="O48" i="26"/>
  <c r="N48" i="26"/>
  <c r="M48" i="26"/>
  <c r="L48" i="26"/>
  <c r="K48" i="26"/>
  <c r="J48" i="26"/>
  <c r="I48" i="26"/>
  <c r="H48" i="26"/>
  <c r="G48" i="26"/>
  <c r="F48" i="26"/>
  <c r="E48" i="26"/>
  <c r="D48" i="26"/>
  <c r="C48" i="26"/>
  <c r="P47" i="26"/>
  <c r="O47" i="26"/>
  <c r="N47" i="26"/>
  <c r="M47" i="26"/>
  <c r="L47" i="26"/>
  <c r="K47" i="26"/>
  <c r="J47" i="26"/>
  <c r="I47" i="26"/>
  <c r="H47" i="26"/>
  <c r="G47" i="26"/>
  <c r="F47" i="26"/>
  <c r="E47" i="26"/>
  <c r="D47" i="26"/>
  <c r="C47" i="26"/>
  <c r="P46" i="26"/>
  <c r="O46" i="26"/>
  <c r="N46" i="26"/>
  <c r="M46" i="26"/>
  <c r="L46" i="26"/>
  <c r="K46" i="26"/>
  <c r="J46" i="26"/>
  <c r="I46" i="26"/>
  <c r="H46" i="26"/>
  <c r="G46" i="26"/>
  <c r="F46" i="26"/>
  <c r="E46" i="26"/>
  <c r="D46" i="26"/>
  <c r="C46" i="26"/>
  <c r="P45" i="26"/>
  <c r="O45" i="26"/>
  <c r="N45" i="26"/>
  <c r="M45" i="26"/>
  <c r="L45" i="26"/>
  <c r="K45" i="26"/>
  <c r="J45" i="26"/>
  <c r="I45" i="26"/>
  <c r="H45" i="26"/>
  <c r="G45" i="26"/>
  <c r="F45" i="26"/>
  <c r="E45" i="26"/>
  <c r="D45" i="26"/>
  <c r="C45" i="26"/>
  <c r="P44" i="26"/>
  <c r="O44" i="26"/>
  <c r="N44" i="26"/>
  <c r="M44" i="26"/>
  <c r="L44" i="26"/>
  <c r="K44" i="26"/>
  <c r="J44" i="26"/>
  <c r="I44" i="26"/>
  <c r="H44" i="26"/>
  <c r="G44" i="26"/>
  <c r="F44" i="26"/>
  <c r="E44" i="26"/>
  <c r="D44" i="26"/>
  <c r="C44" i="26"/>
  <c r="P43" i="26"/>
  <c r="O43" i="26"/>
  <c r="N43" i="26"/>
  <c r="M43" i="26"/>
  <c r="L43" i="26"/>
  <c r="K43" i="26"/>
  <c r="J43" i="26"/>
  <c r="I43" i="26"/>
  <c r="H43" i="26"/>
  <c r="G43" i="26"/>
  <c r="F43" i="26"/>
  <c r="E43" i="26"/>
  <c r="D43" i="26"/>
  <c r="C43" i="26"/>
  <c r="P42" i="26"/>
  <c r="O42" i="26"/>
  <c r="N42" i="26"/>
  <c r="M42" i="26"/>
  <c r="L42" i="26"/>
  <c r="K42" i="26"/>
  <c r="J42" i="26"/>
  <c r="I42" i="26"/>
  <c r="H42" i="26"/>
  <c r="G42" i="26"/>
  <c r="F42" i="26"/>
  <c r="E42" i="26"/>
  <c r="D42" i="26"/>
  <c r="C42" i="26"/>
  <c r="P41" i="26"/>
  <c r="O41" i="26"/>
  <c r="N41" i="26"/>
  <c r="M41" i="26"/>
  <c r="L41" i="26"/>
  <c r="K41" i="26"/>
  <c r="J41" i="26"/>
  <c r="I41" i="26"/>
  <c r="H41" i="26"/>
  <c r="G41" i="26"/>
  <c r="F41" i="26"/>
  <c r="E41" i="26"/>
  <c r="D41" i="26"/>
  <c r="C41" i="26"/>
  <c r="P37" i="26"/>
  <c r="O37" i="26"/>
  <c r="N37" i="26"/>
  <c r="M37" i="26"/>
  <c r="L37" i="26"/>
  <c r="K37" i="26"/>
  <c r="J37" i="26"/>
  <c r="I37" i="26"/>
  <c r="H37" i="26"/>
  <c r="G37" i="26"/>
  <c r="F37" i="26"/>
  <c r="E37" i="26"/>
  <c r="D37" i="26"/>
  <c r="C37" i="26"/>
  <c r="P36" i="26"/>
  <c r="O36" i="26"/>
  <c r="N36" i="26"/>
  <c r="M36" i="26"/>
  <c r="L36" i="26"/>
  <c r="K36" i="26"/>
  <c r="J36" i="26"/>
  <c r="I36" i="26"/>
  <c r="H36" i="26"/>
  <c r="G36" i="26"/>
  <c r="F36" i="26"/>
  <c r="E36" i="26"/>
  <c r="D36" i="26"/>
  <c r="C36" i="26"/>
  <c r="P35" i="26"/>
  <c r="O35" i="26"/>
  <c r="N35" i="26"/>
  <c r="M35" i="26"/>
  <c r="L35" i="26"/>
  <c r="K35" i="26"/>
  <c r="J35" i="26"/>
  <c r="I35" i="26"/>
  <c r="H35" i="26"/>
  <c r="G35" i="26"/>
  <c r="F35" i="26"/>
  <c r="E35" i="26"/>
  <c r="D35" i="26"/>
  <c r="C35" i="26"/>
  <c r="P34" i="26"/>
  <c r="O34" i="26"/>
  <c r="N34" i="26"/>
  <c r="M34" i="26"/>
  <c r="L34" i="26"/>
  <c r="K34" i="26"/>
  <c r="J34" i="26"/>
  <c r="I34" i="26"/>
  <c r="H34" i="26"/>
  <c r="G34" i="26"/>
  <c r="F34" i="26"/>
  <c r="E34" i="26"/>
  <c r="D34" i="26"/>
  <c r="C34" i="26"/>
  <c r="P33" i="26"/>
  <c r="O33" i="26"/>
  <c r="N33" i="26"/>
  <c r="M33" i="26"/>
  <c r="L33" i="26"/>
  <c r="K33" i="26"/>
  <c r="J33" i="26"/>
  <c r="I33" i="26"/>
  <c r="H33" i="26"/>
  <c r="G33" i="26"/>
  <c r="F33" i="26"/>
  <c r="E33" i="26"/>
  <c r="D33" i="26"/>
  <c r="C33" i="26"/>
  <c r="P32" i="26"/>
  <c r="O32" i="26"/>
  <c r="N32" i="26"/>
  <c r="M32" i="26"/>
  <c r="L32" i="26"/>
  <c r="K32" i="26"/>
  <c r="J32" i="26"/>
  <c r="I32" i="26"/>
  <c r="H32" i="26"/>
  <c r="G32" i="26"/>
  <c r="F32" i="26"/>
  <c r="E32" i="26"/>
  <c r="D32" i="26"/>
  <c r="C32" i="26"/>
  <c r="P31" i="26"/>
  <c r="O31" i="26"/>
  <c r="N31" i="26"/>
  <c r="M31" i="26"/>
  <c r="L31" i="26"/>
  <c r="K31" i="26"/>
  <c r="J31" i="26"/>
  <c r="I31" i="26"/>
  <c r="H31" i="26"/>
  <c r="G31" i="26"/>
  <c r="F31" i="26"/>
  <c r="E31" i="26"/>
  <c r="D31" i="26"/>
  <c r="C31" i="26"/>
  <c r="P30" i="26"/>
  <c r="O30" i="26"/>
  <c r="N30" i="26"/>
  <c r="M30" i="26"/>
  <c r="L30" i="26"/>
  <c r="K30" i="26"/>
  <c r="J30" i="26"/>
  <c r="I30" i="26"/>
  <c r="H30" i="26"/>
  <c r="G30" i="26"/>
  <c r="F30" i="26"/>
  <c r="E30" i="26"/>
  <c r="D30" i="26"/>
  <c r="C30" i="26"/>
  <c r="P29" i="26"/>
  <c r="O29" i="26"/>
  <c r="N29" i="26"/>
  <c r="M29" i="26"/>
  <c r="L29" i="26"/>
  <c r="K29" i="26"/>
  <c r="J29" i="26"/>
  <c r="I29" i="26"/>
  <c r="H29" i="26"/>
  <c r="G29" i="26"/>
  <c r="F29" i="26"/>
  <c r="E29" i="26"/>
  <c r="D29" i="26"/>
  <c r="C29" i="26"/>
  <c r="P28" i="26"/>
  <c r="O28" i="26"/>
  <c r="N28" i="26"/>
  <c r="M28" i="26"/>
  <c r="L28" i="26"/>
  <c r="K28" i="26"/>
  <c r="J28" i="26"/>
  <c r="I28" i="26"/>
  <c r="H28" i="26"/>
  <c r="G28" i="26"/>
  <c r="F28" i="26"/>
  <c r="E28" i="26"/>
  <c r="D28" i="26"/>
  <c r="C28" i="26"/>
  <c r="P27" i="26"/>
  <c r="O27" i="26"/>
  <c r="N27" i="26"/>
  <c r="M27" i="26"/>
  <c r="L27" i="26"/>
  <c r="K27" i="26"/>
  <c r="J27" i="26"/>
  <c r="I27" i="26"/>
  <c r="H27" i="26"/>
  <c r="G27" i="26"/>
  <c r="F27" i="26"/>
  <c r="E27" i="26"/>
  <c r="D27" i="26"/>
  <c r="C27" i="26"/>
  <c r="P26" i="26"/>
  <c r="O26" i="26"/>
  <c r="N26" i="26"/>
  <c r="M26" i="26"/>
  <c r="L26" i="26"/>
  <c r="K26" i="26"/>
  <c r="J26" i="26"/>
  <c r="I26" i="26"/>
  <c r="H26" i="26"/>
  <c r="G26" i="26"/>
  <c r="F26" i="26"/>
  <c r="E26" i="26"/>
  <c r="D26" i="26"/>
  <c r="C26" i="26"/>
  <c r="P25" i="26"/>
  <c r="O25" i="26"/>
  <c r="N25" i="26"/>
  <c r="M25" i="26"/>
  <c r="L25" i="26"/>
  <c r="K25" i="26"/>
  <c r="J25" i="26"/>
  <c r="I25" i="26"/>
  <c r="H25" i="26"/>
  <c r="G25" i="26"/>
  <c r="F25" i="26"/>
  <c r="E25" i="26"/>
  <c r="D25" i="26"/>
  <c r="C25" i="26"/>
  <c r="P24" i="26"/>
  <c r="O24" i="26"/>
  <c r="N24" i="26"/>
  <c r="M24" i="26"/>
  <c r="L24" i="26"/>
  <c r="K24" i="26"/>
  <c r="J24" i="26"/>
  <c r="I24" i="26"/>
  <c r="H24" i="26"/>
  <c r="G24" i="26"/>
  <c r="F24" i="26"/>
  <c r="E24" i="26"/>
  <c r="D24" i="26"/>
  <c r="C24" i="26"/>
  <c r="P20" i="26"/>
  <c r="O20" i="26"/>
  <c r="N20" i="26"/>
  <c r="M20" i="26"/>
  <c r="L20" i="26"/>
  <c r="K20" i="26"/>
  <c r="J20" i="26"/>
  <c r="I20" i="26"/>
  <c r="H20" i="26"/>
  <c r="G20" i="26"/>
  <c r="F20" i="26"/>
  <c r="E20" i="26"/>
  <c r="D20" i="26"/>
  <c r="C20" i="26"/>
  <c r="P19" i="26"/>
  <c r="O19" i="26"/>
  <c r="N19" i="26"/>
  <c r="M19" i="26"/>
  <c r="L19" i="26"/>
  <c r="K19" i="26"/>
  <c r="J19" i="26"/>
  <c r="I19" i="26"/>
  <c r="H19" i="26"/>
  <c r="G19" i="26"/>
  <c r="F19" i="26"/>
  <c r="E19" i="26"/>
  <c r="D19" i="26"/>
  <c r="C19" i="26"/>
  <c r="P18" i="26"/>
  <c r="O18" i="26"/>
  <c r="N18" i="26"/>
  <c r="M18" i="26"/>
  <c r="L18" i="26"/>
  <c r="K18" i="26"/>
  <c r="J18" i="26"/>
  <c r="I18" i="26"/>
  <c r="H18" i="26"/>
  <c r="G18" i="26"/>
  <c r="F18" i="26"/>
  <c r="E18" i="26"/>
  <c r="D18" i="26"/>
  <c r="C18" i="26"/>
  <c r="P17" i="26"/>
  <c r="O17" i="26"/>
  <c r="N17" i="26"/>
  <c r="M17" i="26"/>
  <c r="L17" i="26"/>
  <c r="K17" i="26"/>
  <c r="J17" i="26"/>
  <c r="I17" i="26"/>
  <c r="H17" i="26"/>
  <c r="G17" i="26"/>
  <c r="F17" i="26"/>
  <c r="E17" i="26"/>
  <c r="D17" i="26"/>
  <c r="C17" i="26"/>
  <c r="P16" i="26"/>
  <c r="O16" i="26"/>
  <c r="N16" i="26"/>
  <c r="M16" i="26"/>
  <c r="L16" i="26"/>
  <c r="K16" i="26"/>
  <c r="J16" i="26"/>
  <c r="I16" i="26"/>
  <c r="H16" i="26"/>
  <c r="G16" i="26"/>
  <c r="F16" i="26"/>
  <c r="E16" i="26"/>
  <c r="D16" i="26"/>
  <c r="C16" i="26"/>
  <c r="P15" i="26"/>
  <c r="O15" i="26"/>
  <c r="N15" i="26"/>
  <c r="M15" i="26"/>
  <c r="L15" i="26"/>
  <c r="K15" i="26"/>
  <c r="J15" i="26"/>
  <c r="I15" i="26"/>
  <c r="H15" i="26"/>
  <c r="G15" i="26"/>
  <c r="F15" i="26"/>
  <c r="E15" i="26"/>
  <c r="D15" i="26"/>
  <c r="C15" i="26"/>
  <c r="P14" i="26"/>
  <c r="O14" i="26"/>
  <c r="N14" i="26"/>
  <c r="M14" i="26"/>
  <c r="L14" i="26"/>
  <c r="K14" i="26"/>
  <c r="J14" i="26"/>
  <c r="I14" i="26"/>
  <c r="H14" i="26"/>
  <c r="G14" i="26"/>
  <c r="F14" i="26"/>
  <c r="E14" i="26"/>
  <c r="D14" i="26"/>
  <c r="C14" i="26"/>
  <c r="P13" i="26"/>
  <c r="O13" i="26"/>
  <c r="N13" i="26"/>
  <c r="M13" i="26"/>
  <c r="L13" i="26"/>
  <c r="K13" i="26"/>
  <c r="J13" i="26"/>
  <c r="I13" i="26"/>
  <c r="H13" i="26"/>
  <c r="G13" i="26"/>
  <c r="F13" i="26"/>
  <c r="E13" i="26"/>
  <c r="D13" i="26"/>
  <c r="C13" i="26"/>
  <c r="P12" i="26"/>
  <c r="O12" i="26"/>
  <c r="N12" i="26"/>
  <c r="M12" i="26"/>
  <c r="L12" i="26"/>
  <c r="K12" i="26"/>
  <c r="J12" i="26"/>
  <c r="I12" i="26"/>
  <c r="H12" i="26"/>
  <c r="G12" i="26"/>
  <c r="F12" i="26"/>
  <c r="E12" i="26"/>
  <c r="D12" i="26"/>
  <c r="C12" i="26"/>
  <c r="P11" i="26"/>
  <c r="O11" i="26"/>
  <c r="N11" i="26"/>
  <c r="M11" i="26"/>
  <c r="L11" i="26"/>
  <c r="K11" i="26"/>
  <c r="J11" i="26"/>
  <c r="I11" i="26"/>
  <c r="H11" i="26"/>
  <c r="G11" i="26"/>
  <c r="F11" i="26"/>
  <c r="E11" i="26"/>
  <c r="D11" i="26"/>
  <c r="C11" i="26"/>
  <c r="P10" i="26"/>
  <c r="O10" i="26"/>
  <c r="N10" i="26"/>
  <c r="M10" i="26"/>
  <c r="L10" i="26"/>
  <c r="K10" i="26"/>
  <c r="J10" i="26"/>
  <c r="I10" i="26"/>
  <c r="H10" i="26"/>
  <c r="G10" i="26"/>
  <c r="F10" i="26"/>
  <c r="E10" i="26"/>
  <c r="D10" i="26"/>
  <c r="C10" i="26"/>
  <c r="P9" i="26"/>
  <c r="O9" i="26"/>
  <c r="N9" i="26"/>
  <c r="M9" i="26"/>
  <c r="L9" i="26"/>
  <c r="K9" i="26"/>
  <c r="J9" i="26"/>
  <c r="I9" i="26"/>
  <c r="H9" i="26"/>
  <c r="G9" i="26"/>
  <c r="F9" i="26"/>
  <c r="E9" i="26"/>
  <c r="D9" i="26"/>
  <c r="C9" i="26"/>
  <c r="P8" i="26"/>
  <c r="O8" i="26"/>
  <c r="N8" i="26"/>
  <c r="M8" i="26"/>
  <c r="L8" i="26"/>
  <c r="K8" i="26"/>
  <c r="J8" i="26"/>
  <c r="I8" i="26"/>
  <c r="H8" i="26"/>
  <c r="G8" i="26"/>
  <c r="F8" i="26"/>
  <c r="E8" i="26"/>
  <c r="D8" i="26"/>
  <c r="C8" i="26"/>
  <c r="P7" i="26"/>
  <c r="O7" i="26"/>
  <c r="N7" i="26"/>
  <c r="M7" i="26"/>
  <c r="L7" i="26"/>
  <c r="K7" i="26"/>
  <c r="J7" i="26"/>
  <c r="I7" i="26"/>
  <c r="H7" i="26"/>
  <c r="G7" i="26"/>
  <c r="F7" i="26"/>
  <c r="E7" i="26"/>
  <c r="D7" i="26"/>
  <c r="C7" i="26"/>
  <c r="L151" i="20"/>
  <c r="L146" i="20"/>
  <c r="AA156" i="20"/>
  <c r="AG156" i="20" s="1"/>
  <c r="AA152" i="20"/>
  <c r="AA151" i="20"/>
  <c r="AG149" i="20"/>
  <c r="AG147" i="20"/>
  <c r="AH140" i="20"/>
  <c r="AG138" i="20"/>
  <c r="AA135" i="20"/>
  <c r="AG132" i="20"/>
  <c r="AG130" i="20"/>
  <c r="AI128" i="20"/>
  <c r="AH128" i="20"/>
  <c r="AG128" i="20"/>
  <c r="AH127" i="20"/>
  <c r="L117" i="20"/>
  <c r="AG115" i="20"/>
  <c r="AG113" i="20"/>
  <c r="E211" i="20"/>
  <c r="D211" i="20"/>
  <c r="E210" i="20"/>
  <c r="AC210" i="20" s="1"/>
  <c r="AI210" i="20" s="1"/>
  <c r="E209" i="20"/>
  <c r="C209" i="20"/>
  <c r="AA209" i="20" s="1"/>
  <c r="AG209" i="20" s="1"/>
  <c r="E208" i="20"/>
  <c r="D206" i="20"/>
  <c r="C206" i="20"/>
  <c r="AA206" i="20" s="1"/>
  <c r="AG206" i="20" s="1"/>
  <c r="D205" i="20"/>
  <c r="E203" i="20"/>
  <c r="D203" i="20"/>
  <c r="E202" i="20"/>
  <c r="AC202" i="20" s="1"/>
  <c r="AI202" i="20" s="1"/>
  <c r="E201" i="20"/>
  <c r="C201" i="20"/>
  <c r="E200" i="20"/>
  <c r="AC200" i="20" s="1"/>
  <c r="AI200" i="20" s="1"/>
  <c r="C200" i="20"/>
  <c r="D198" i="20"/>
  <c r="C198" i="20"/>
  <c r="E193" i="20"/>
  <c r="AC193" i="20" s="1"/>
  <c r="AI193" i="20" s="1"/>
  <c r="E192" i="20"/>
  <c r="C192" i="20"/>
  <c r="E191" i="20"/>
  <c r="C191" i="20"/>
  <c r="D189" i="20"/>
  <c r="C189" i="20"/>
  <c r="D188" i="20"/>
  <c r="AB188" i="20" s="1"/>
  <c r="AH188" i="20" s="1"/>
  <c r="E186" i="20"/>
  <c r="D186" i="20"/>
  <c r="E185" i="20"/>
  <c r="E184" i="20"/>
  <c r="AC184" i="20" s="1"/>
  <c r="AI184" i="20" s="1"/>
  <c r="C184" i="20"/>
  <c r="E183" i="20"/>
  <c r="AC183" i="20" s="1"/>
  <c r="AI183" i="20" s="1"/>
  <c r="C183" i="20"/>
  <c r="D181" i="20"/>
  <c r="C181" i="20"/>
  <c r="D180" i="20"/>
  <c r="AH47" i="20"/>
  <c r="AG43" i="20"/>
  <c r="AG9" i="20"/>
  <c r="AG11" i="20"/>
  <c r="V43" i="19"/>
  <c r="V42" i="19"/>
  <c r="V41" i="19"/>
  <c r="V40" i="19"/>
  <c r="V39" i="19"/>
  <c r="V38" i="19"/>
  <c r="V37" i="19"/>
  <c r="V36" i="19"/>
  <c r="V35" i="19"/>
  <c r="V34" i="19"/>
  <c r="V33" i="19"/>
  <c r="V32" i="19"/>
  <c r="V31" i="19"/>
  <c r="V30" i="19"/>
  <c r="V29" i="19"/>
  <c r="V28" i="19"/>
  <c r="V27" i="19"/>
  <c r="V26" i="19"/>
  <c r="V25" i="19"/>
  <c r="V24" i="19"/>
  <c r="V23" i="19"/>
  <c r="V22" i="19"/>
  <c r="V21" i="19"/>
  <c r="V20" i="19"/>
  <c r="V19" i="19"/>
  <c r="V18" i="19"/>
  <c r="V17" i="19"/>
  <c r="V16" i="19"/>
  <c r="V15" i="19"/>
  <c r="V14" i="19"/>
  <c r="V13" i="19"/>
  <c r="V12" i="19"/>
  <c r="V11" i="19"/>
  <c r="V10" i="19"/>
  <c r="V9" i="19"/>
  <c r="V8" i="19"/>
  <c r="V7" i="19"/>
  <c r="V6" i="19"/>
  <c r="V5" i="19"/>
  <c r="V4" i="19"/>
  <c r="AG43" i="19"/>
  <c r="AG42" i="19"/>
  <c r="AG41" i="19"/>
  <c r="AG40" i="19"/>
  <c r="AG39" i="19"/>
  <c r="AG38" i="19"/>
  <c r="AG37" i="19"/>
  <c r="AG36" i="19"/>
  <c r="AG35" i="19"/>
  <c r="AG34" i="19"/>
  <c r="AG33" i="19"/>
  <c r="AG32" i="19"/>
  <c r="AG31" i="19"/>
  <c r="AG30" i="19"/>
  <c r="AG29" i="19"/>
  <c r="AG28" i="19"/>
  <c r="AG27" i="19"/>
  <c r="AG26" i="19"/>
  <c r="AG25" i="19"/>
  <c r="AG24" i="19"/>
  <c r="AG23" i="19"/>
  <c r="AG22" i="19"/>
  <c r="AG21" i="19"/>
  <c r="AG20" i="19"/>
  <c r="AG19" i="19"/>
  <c r="AG18" i="19"/>
  <c r="AG17" i="19"/>
  <c r="AG16" i="19"/>
  <c r="AG15" i="19"/>
  <c r="AG14" i="19"/>
  <c r="AG13" i="19"/>
  <c r="AG12" i="19"/>
  <c r="AG11" i="19"/>
  <c r="AG10" i="19"/>
  <c r="AG9" i="19"/>
  <c r="AG8" i="19"/>
  <c r="AG7" i="19"/>
  <c r="AG6" i="19"/>
  <c r="AG5" i="19"/>
  <c r="AG4" i="19"/>
  <c r="AG87" i="19"/>
  <c r="AG86" i="19"/>
  <c r="AG85" i="19"/>
  <c r="AG84" i="19"/>
  <c r="AG83" i="19"/>
  <c r="AG82" i="19"/>
  <c r="AG81" i="19"/>
  <c r="AG80" i="19"/>
  <c r="AG79" i="19"/>
  <c r="AG78" i="19"/>
  <c r="AG77" i="19"/>
  <c r="AG76" i="19"/>
  <c r="AG75" i="19"/>
  <c r="AG74" i="19"/>
  <c r="AG73" i="19"/>
  <c r="AG72" i="19"/>
  <c r="AG71" i="19"/>
  <c r="AG70" i="19"/>
  <c r="AG69" i="19"/>
  <c r="AG68" i="19"/>
  <c r="AG67" i="19"/>
  <c r="AG66" i="19"/>
  <c r="AG65" i="19"/>
  <c r="AG64" i="19"/>
  <c r="AG63" i="19"/>
  <c r="AG62" i="19"/>
  <c r="AG61" i="19"/>
  <c r="AG60" i="19"/>
  <c r="AG59" i="19"/>
  <c r="AG58" i="19"/>
  <c r="AG57" i="19"/>
  <c r="AG56" i="19"/>
  <c r="AG55" i="19"/>
  <c r="AG54" i="19"/>
  <c r="AG53" i="19"/>
  <c r="AG52" i="19"/>
  <c r="AG51" i="19"/>
  <c r="AG50" i="19"/>
  <c r="AG49" i="19"/>
  <c r="AG48" i="19"/>
  <c r="V87" i="19"/>
  <c r="V86" i="19"/>
  <c r="V85" i="19"/>
  <c r="V84" i="19"/>
  <c r="V83" i="19"/>
  <c r="V82" i="19"/>
  <c r="V81" i="19"/>
  <c r="V80" i="19"/>
  <c r="V79" i="19"/>
  <c r="V78" i="19"/>
  <c r="V77" i="19"/>
  <c r="V76" i="19"/>
  <c r="V75" i="19"/>
  <c r="V74" i="19"/>
  <c r="V73" i="19"/>
  <c r="V72" i="19"/>
  <c r="V71" i="19"/>
  <c r="V70" i="19"/>
  <c r="V69" i="19"/>
  <c r="V68" i="19"/>
  <c r="V67" i="19"/>
  <c r="V66" i="19"/>
  <c r="V65" i="19"/>
  <c r="V64" i="19"/>
  <c r="V63" i="19"/>
  <c r="V62" i="19"/>
  <c r="V61" i="19"/>
  <c r="V60" i="19"/>
  <c r="V59" i="19"/>
  <c r="V58" i="19"/>
  <c r="V57" i="19"/>
  <c r="V56" i="19"/>
  <c r="V55" i="19"/>
  <c r="V54" i="19"/>
  <c r="V53" i="19"/>
  <c r="V52" i="19"/>
  <c r="V51" i="19"/>
  <c r="V50" i="19"/>
  <c r="V49" i="19"/>
  <c r="V48" i="19"/>
  <c r="K87" i="19"/>
  <c r="K86" i="19"/>
  <c r="K85" i="19"/>
  <c r="K84" i="19"/>
  <c r="K83" i="19"/>
  <c r="K82" i="19"/>
  <c r="K81" i="19"/>
  <c r="K80" i="19"/>
  <c r="K79" i="19"/>
  <c r="K78" i="19"/>
  <c r="K77" i="19"/>
  <c r="K76" i="19"/>
  <c r="K75" i="19"/>
  <c r="K74" i="19"/>
  <c r="K73" i="19"/>
  <c r="K72" i="19"/>
  <c r="K71" i="19"/>
  <c r="K70" i="19"/>
  <c r="K69" i="19"/>
  <c r="K68" i="19"/>
  <c r="K67" i="19"/>
  <c r="K66" i="19"/>
  <c r="K65" i="19"/>
  <c r="K64" i="19"/>
  <c r="K63" i="19"/>
  <c r="K62" i="19"/>
  <c r="K61" i="19"/>
  <c r="K60" i="19"/>
  <c r="K59" i="19"/>
  <c r="K58" i="19"/>
  <c r="K57" i="19"/>
  <c r="K56" i="19"/>
  <c r="K55" i="19"/>
  <c r="K54" i="19"/>
  <c r="K53" i="19"/>
  <c r="K52" i="19"/>
  <c r="K51" i="19"/>
  <c r="K50" i="19"/>
  <c r="K49" i="19"/>
  <c r="K48"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 i="19"/>
  <c r="P67" i="17"/>
  <c r="P68" i="17"/>
  <c r="P66" i="17"/>
  <c r="P64" i="17"/>
  <c r="P65" i="17"/>
  <c r="P63" i="17"/>
  <c r="P61" i="17"/>
  <c r="P62" i="17"/>
  <c r="P60" i="17"/>
  <c r="P58" i="17"/>
  <c r="P59" i="17"/>
  <c r="P57" i="17"/>
  <c r="P56" i="17"/>
  <c r="L68" i="17"/>
  <c r="L67" i="17"/>
  <c r="L66" i="17"/>
  <c r="L65" i="17"/>
  <c r="L64" i="17"/>
  <c r="L63" i="17"/>
  <c r="L62" i="17"/>
  <c r="L61" i="17"/>
  <c r="L60" i="17"/>
  <c r="L59" i="17"/>
  <c r="L58" i="17"/>
  <c r="L57" i="17"/>
  <c r="L56" i="17"/>
  <c r="L50" i="17"/>
  <c r="L49" i="17"/>
  <c r="L48" i="17"/>
  <c r="L47" i="17"/>
  <c r="L46" i="17"/>
  <c r="L45" i="17"/>
  <c r="L44" i="17"/>
  <c r="L43" i="17"/>
  <c r="L42" i="17"/>
  <c r="L41" i="17"/>
  <c r="L40" i="17"/>
  <c r="L39" i="17"/>
  <c r="L38" i="17"/>
  <c r="L37" i="17"/>
  <c r="O50" i="17"/>
  <c r="O47" i="17"/>
  <c r="O48" i="17"/>
  <c r="O49" i="17"/>
  <c r="O46" i="17"/>
  <c r="O43" i="17"/>
  <c r="O44" i="17"/>
  <c r="O42" i="17"/>
  <c r="O38" i="17"/>
  <c r="O39" i="17"/>
  <c r="O37" i="17"/>
  <c r="D44" i="16"/>
  <c r="D5" i="16"/>
  <c r="D6" i="16"/>
  <c r="D7" i="16"/>
  <c r="D8" i="16"/>
  <c r="D9" i="16"/>
  <c r="D10" i="16"/>
  <c r="D11" i="16"/>
  <c r="D12" i="16"/>
  <c r="D13" i="16"/>
  <c r="D14" i="16"/>
  <c r="D15" i="16"/>
  <c r="D16" i="16"/>
  <c r="D17" i="16"/>
  <c r="D18" i="16"/>
  <c r="D19" i="16"/>
  <c r="D20" i="16"/>
  <c r="D21" i="16"/>
  <c r="D22" i="16"/>
  <c r="D23" i="16"/>
  <c r="D24" i="16"/>
  <c r="D4" i="16"/>
  <c r="A65" i="17"/>
  <c r="A66" i="17"/>
  <c r="A67" i="17"/>
  <c r="A68" i="17"/>
  <c r="A69" i="17"/>
  <c r="A70" i="17"/>
  <c r="A71" i="17"/>
  <c r="A72" i="17"/>
  <c r="A73" i="17"/>
  <c r="A38" i="17"/>
  <c r="A39" i="17"/>
  <c r="A40" i="17"/>
  <c r="A41" i="17"/>
  <c r="A42" i="17"/>
  <c r="A43" i="17"/>
  <c r="A44" i="17"/>
  <c r="A45" i="17"/>
  <c r="A46" i="17"/>
  <c r="A47" i="17"/>
  <c r="A48" i="17"/>
  <c r="A49" i="17"/>
  <c r="A50" i="17"/>
  <c r="A37" i="17"/>
  <c r="F87" i="12"/>
  <c r="A86" i="12"/>
  <c r="A87" i="12"/>
  <c r="C4" i="8"/>
  <c r="G4" i="9"/>
  <c r="G5" i="9"/>
  <c r="G6" i="9"/>
  <c r="G7" i="9"/>
  <c r="G8" i="9"/>
  <c r="G9" i="9"/>
  <c r="G10" i="9"/>
  <c r="G11" i="9"/>
  <c r="G12" i="9"/>
  <c r="G13" i="9"/>
  <c r="G14" i="9"/>
  <c r="G15" i="9"/>
  <c r="G16" i="9"/>
  <c r="G17" i="9"/>
  <c r="G18" i="9"/>
  <c r="G19" i="9"/>
  <c r="G20" i="9"/>
  <c r="G21" i="9"/>
  <c r="G22" i="9"/>
  <c r="G23" i="9"/>
  <c r="G24" i="9"/>
  <c r="G25" i="9"/>
  <c r="G26" i="9"/>
  <c r="G27" i="9"/>
  <c r="G28" i="9"/>
  <c r="G29" i="9"/>
  <c r="G30" i="9"/>
  <c r="G3" i="9"/>
  <c r="I174" i="26" l="1"/>
  <c r="C7" i="8"/>
  <c r="E7" i="8"/>
  <c r="G51" i="16"/>
  <c r="E4" i="8"/>
  <c r="C5" i="8"/>
  <c r="G21" i="26"/>
  <c r="AO13" i="26" s="1"/>
  <c r="O21" i="26"/>
  <c r="AW7" i="26" s="1"/>
  <c r="G55" i="26"/>
  <c r="AO68" i="26" s="1"/>
  <c r="O55" i="26"/>
  <c r="Q43" i="26"/>
  <c r="Q51" i="26"/>
  <c r="G106" i="26"/>
  <c r="AO102" i="26" s="1"/>
  <c r="O106" i="26"/>
  <c r="AW92" i="26" s="1"/>
  <c r="F70" i="16"/>
  <c r="P21" i="26"/>
  <c r="AX20" i="26" s="1"/>
  <c r="D11" i="8"/>
  <c r="C8" i="8"/>
  <c r="G4" i="8"/>
  <c r="C11" i="8"/>
  <c r="E9" i="8"/>
  <c r="G7" i="8"/>
  <c r="D6" i="8"/>
  <c r="F9" i="8"/>
  <c r="E6" i="8"/>
  <c r="F4" i="8"/>
  <c r="G10" i="8"/>
  <c r="D9" i="8"/>
  <c r="F7" i="8"/>
  <c r="C6" i="8"/>
  <c r="G5" i="8"/>
  <c r="D4" i="8"/>
  <c r="E10" i="8"/>
  <c r="G8" i="8"/>
  <c r="D7" i="8"/>
  <c r="F5" i="8"/>
  <c r="F10" i="8"/>
  <c r="G11" i="8"/>
  <c r="C9" i="8"/>
  <c r="D10" i="8"/>
  <c r="E5" i="8"/>
  <c r="F11" i="8"/>
  <c r="C10" i="8"/>
  <c r="E8" i="8"/>
  <c r="G6" i="8"/>
  <c r="D5" i="8"/>
  <c r="F8" i="8"/>
  <c r="E11" i="8"/>
  <c r="G9" i="8"/>
  <c r="D8" i="8"/>
  <c r="F6" i="8"/>
  <c r="Q47" i="26"/>
  <c r="AW71" i="26"/>
  <c r="CE71" i="26" s="1"/>
  <c r="AW67" i="26"/>
  <c r="CE67" i="26" s="1"/>
  <c r="AW65" i="26"/>
  <c r="AW63" i="26"/>
  <c r="AW60" i="26"/>
  <c r="CE60" i="26" s="1"/>
  <c r="AW72" i="26"/>
  <c r="AW68" i="26"/>
  <c r="CE68" i="26" s="1"/>
  <c r="AW61" i="26"/>
  <c r="CE61" i="26" s="1"/>
  <c r="AW69" i="26"/>
  <c r="CE69" i="26" s="1"/>
  <c r="AW66" i="26"/>
  <c r="AW64" i="26"/>
  <c r="AW62" i="26"/>
  <c r="AW58" i="26"/>
  <c r="CE58" i="26" s="1"/>
  <c r="AW70" i="26"/>
  <c r="CE70" i="26" s="1"/>
  <c r="AW59" i="26"/>
  <c r="CE59" i="26" s="1"/>
  <c r="AO72" i="26"/>
  <c r="AO70" i="26"/>
  <c r="J106" i="26"/>
  <c r="AR95" i="26" s="1"/>
  <c r="N106" i="26"/>
  <c r="AV105" i="26" s="1"/>
  <c r="G38" i="26"/>
  <c r="AO28" i="26" s="1"/>
  <c r="O38" i="26"/>
  <c r="AW31" i="26" s="1"/>
  <c r="K55" i="26"/>
  <c r="AS43" i="26" s="1"/>
  <c r="F140" i="26"/>
  <c r="AN128" i="26" s="1"/>
  <c r="N140" i="26"/>
  <c r="AV132" i="26" s="1"/>
  <c r="J157" i="26"/>
  <c r="AR149" i="26" s="1"/>
  <c r="I157" i="26"/>
  <c r="AQ148" i="26" s="1"/>
  <c r="Q144" i="26"/>
  <c r="Q148" i="26"/>
  <c r="Q112" i="26"/>
  <c r="F123" i="26"/>
  <c r="AN109" i="26" s="1"/>
  <c r="N123" i="26"/>
  <c r="AV109" i="26" s="1"/>
  <c r="E123" i="26"/>
  <c r="AM109" i="26" s="1"/>
  <c r="O123" i="26"/>
  <c r="AW120" i="26" s="1"/>
  <c r="G123" i="26"/>
  <c r="AO118" i="26" s="1"/>
  <c r="I123" i="26"/>
  <c r="AQ120" i="26" s="1"/>
  <c r="M123" i="26"/>
  <c r="AU116" i="26" s="1"/>
  <c r="I106" i="26"/>
  <c r="AQ104" i="26" s="1"/>
  <c r="C106" i="26"/>
  <c r="AK95" i="26" s="1"/>
  <c r="F106" i="26"/>
  <c r="AN99" i="26" s="1"/>
  <c r="E106" i="26"/>
  <c r="AM98" i="26" s="1"/>
  <c r="M106" i="26"/>
  <c r="AU106" i="26" s="1"/>
  <c r="D89" i="26"/>
  <c r="AL86" i="26" s="1"/>
  <c r="P89" i="26"/>
  <c r="AX85" i="26" s="1"/>
  <c r="L89" i="26"/>
  <c r="AT80" i="26" s="1"/>
  <c r="I89" i="26"/>
  <c r="AQ86" i="26" s="1"/>
  <c r="I55" i="26"/>
  <c r="AQ50" i="26" s="1"/>
  <c r="J55" i="26"/>
  <c r="AR45" i="26" s="1"/>
  <c r="F55" i="26"/>
  <c r="AN48" i="26" s="1"/>
  <c r="N55" i="26"/>
  <c r="AV48" i="26" s="1"/>
  <c r="F38" i="26"/>
  <c r="AN36" i="26" s="1"/>
  <c r="N38" i="26"/>
  <c r="AV36" i="26" s="1"/>
  <c r="D200" i="20"/>
  <c r="AB200" i="20" s="1"/>
  <c r="AH200" i="20" s="1"/>
  <c r="E205" i="20"/>
  <c r="D208" i="20"/>
  <c r="AB208" i="20" s="1"/>
  <c r="AH208" i="20" s="1"/>
  <c r="C211" i="20"/>
  <c r="F211" i="20" s="1"/>
  <c r="E180" i="20"/>
  <c r="AC180" i="20" s="1"/>
  <c r="AI180" i="20" s="1"/>
  <c r="D183" i="20"/>
  <c r="F183" i="20" s="1"/>
  <c r="C186" i="20"/>
  <c r="F186" i="20" s="1"/>
  <c r="E188" i="20"/>
  <c r="AC188" i="20" s="1"/>
  <c r="AI188" i="20" s="1"/>
  <c r="D191" i="20"/>
  <c r="AB191" i="20" s="1"/>
  <c r="AH191" i="20" s="1"/>
  <c r="L194" i="20"/>
  <c r="E187" i="20"/>
  <c r="E198" i="20"/>
  <c r="AC198" i="20" s="1"/>
  <c r="AI198" i="20" s="1"/>
  <c r="E206" i="20"/>
  <c r="F206" i="20" s="1"/>
  <c r="E181" i="20"/>
  <c r="AC181" i="20" s="1"/>
  <c r="AI181" i="20" s="1"/>
  <c r="E189" i="20"/>
  <c r="AC189" i="20" s="1"/>
  <c r="AI189" i="20" s="1"/>
  <c r="E204" i="20"/>
  <c r="AC204" i="20" s="1"/>
  <c r="AI204" i="20" s="1"/>
  <c r="D201" i="20"/>
  <c r="AB201" i="20" s="1"/>
  <c r="AH201" i="20" s="1"/>
  <c r="C204" i="20"/>
  <c r="D209" i="20"/>
  <c r="AB209" i="20" s="1"/>
  <c r="AH209" i="20" s="1"/>
  <c r="D184" i="20"/>
  <c r="F184" i="20" s="1"/>
  <c r="C187" i="20"/>
  <c r="D192" i="20"/>
  <c r="C199" i="20"/>
  <c r="AA199" i="20" s="1"/>
  <c r="AG199" i="20" s="1"/>
  <c r="D204" i="20"/>
  <c r="AB204" i="20" s="1"/>
  <c r="AH204" i="20" s="1"/>
  <c r="C207" i="20"/>
  <c r="AA207" i="20" s="1"/>
  <c r="AG207" i="20" s="1"/>
  <c r="C182" i="20"/>
  <c r="AA182" i="20" s="1"/>
  <c r="AG182" i="20" s="1"/>
  <c r="D187" i="20"/>
  <c r="AB187" i="20" s="1"/>
  <c r="AH187" i="20" s="1"/>
  <c r="C190" i="20"/>
  <c r="D199" i="20"/>
  <c r="AB199" i="20" s="1"/>
  <c r="AH199" i="20" s="1"/>
  <c r="C202" i="20"/>
  <c r="AA202" i="20" s="1"/>
  <c r="AG202" i="20" s="1"/>
  <c r="D207" i="20"/>
  <c r="AB207" i="20" s="1"/>
  <c r="AH207" i="20" s="1"/>
  <c r="C210" i="20"/>
  <c r="AA210" i="20" s="1"/>
  <c r="AG210" i="20" s="1"/>
  <c r="D182" i="20"/>
  <c r="AB182" i="20" s="1"/>
  <c r="AH182" i="20" s="1"/>
  <c r="C185" i="20"/>
  <c r="AA185" i="20" s="1"/>
  <c r="D190" i="20"/>
  <c r="AB190" i="20" s="1"/>
  <c r="AH190" i="20" s="1"/>
  <c r="C193" i="20"/>
  <c r="AA193" i="20" s="1"/>
  <c r="AG193" i="20" s="1"/>
  <c r="AC201" i="20"/>
  <c r="AI201" i="20" s="1"/>
  <c r="AC209" i="20"/>
  <c r="AI209" i="20" s="1"/>
  <c r="AB181" i="20"/>
  <c r="AH181" i="20" s="1"/>
  <c r="E199" i="20"/>
  <c r="D202" i="20"/>
  <c r="C205" i="20"/>
  <c r="E207" i="20"/>
  <c r="D210" i="20"/>
  <c r="AB189" i="20"/>
  <c r="AH189" i="20" s="1"/>
  <c r="C180" i="20"/>
  <c r="E182" i="20"/>
  <c r="D185" i="20"/>
  <c r="C188" i="20"/>
  <c r="E190" i="20"/>
  <c r="D193" i="20"/>
  <c r="AA200" i="20"/>
  <c r="AG200" i="20" s="1"/>
  <c r="AB205" i="20"/>
  <c r="AH205" i="20" s="1"/>
  <c r="C208" i="20"/>
  <c r="AC192" i="20"/>
  <c r="AI192" i="20" s="1"/>
  <c r="AA184" i="20"/>
  <c r="AG184" i="20" s="1"/>
  <c r="AA183" i="20"/>
  <c r="AG183" i="20" s="1"/>
  <c r="AA191" i="20"/>
  <c r="AG191" i="20" s="1"/>
  <c r="AG98" i="20"/>
  <c r="C203" i="20"/>
  <c r="AC186" i="20"/>
  <c r="AI186" i="20" s="1"/>
  <c r="AA198" i="20"/>
  <c r="AG198" i="20" s="1"/>
  <c r="AB203" i="20"/>
  <c r="AH203" i="20" s="1"/>
  <c r="AC208" i="20"/>
  <c r="AI208" i="20" s="1"/>
  <c r="AB211" i="20"/>
  <c r="AH211" i="20" s="1"/>
  <c r="AC205" i="20"/>
  <c r="AI205" i="20" s="1"/>
  <c r="AA192" i="20"/>
  <c r="AG192" i="20" s="1"/>
  <c r="AA181" i="20"/>
  <c r="AG181" i="20" s="1"/>
  <c r="AB186" i="20"/>
  <c r="AH186" i="20" s="1"/>
  <c r="AA189" i="20"/>
  <c r="AG189" i="20" s="1"/>
  <c r="AC191" i="20"/>
  <c r="AI191" i="20" s="1"/>
  <c r="AB198" i="20"/>
  <c r="AH198" i="20" s="1"/>
  <c r="AA201" i="20"/>
  <c r="AG201" i="20" s="1"/>
  <c r="AC203" i="20"/>
  <c r="AI203" i="20" s="1"/>
  <c r="AB206" i="20"/>
  <c r="AH206" i="20" s="1"/>
  <c r="AC211" i="20"/>
  <c r="AI211" i="20" s="1"/>
  <c r="AB180" i="20"/>
  <c r="AH180" i="20" s="1"/>
  <c r="AC185" i="20"/>
  <c r="AI185" i="20" s="1"/>
  <c r="L212" i="20"/>
  <c r="D51" i="16"/>
  <c r="F52" i="16"/>
  <c r="D53" i="16"/>
  <c r="D52" i="16"/>
  <c r="G53" i="16"/>
  <c r="E51" i="16"/>
  <c r="G52" i="16"/>
  <c r="E53" i="16"/>
  <c r="D69" i="16"/>
  <c r="E52" i="16"/>
  <c r="F51" i="16"/>
  <c r="F53" i="16"/>
  <c r="N5" i="8"/>
  <c r="L7" i="8"/>
  <c r="O8" i="8"/>
  <c r="M10" i="8"/>
  <c r="L4" i="8"/>
  <c r="M4" i="8"/>
  <c r="K11" i="8"/>
  <c r="L8" i="8"/>
  <c r="O6" i="8"/>
  <c r="K10" i="8"/>
  <c r="K7" i="8"/>
  <c r="O11" i="8"/>
  <c r="O5" i="8"/>
  <c r="M7" i="8"/>
  <c r="K9" i="8"/>
  <c r="N10" i="8"/>
  <c r="M9" i="8"/>
  <c r="M11" i="8"/>
  <c r="N8" i="8"/>
  <c r="K6" i="8"/>
  <c r="N7" i="8"/>
  <c r="L9" i="8"/>
  <c r="O10" i="8"/>
  <c r="N4" i="8"/>
  <c r="O7" i="8"/>
  <c r="O4" i="8"/>
  <c r="N6" i="8"/>
  <c r="M8" i="8"/>
  <c r="L6" i="8"/>
  <c r="M6" i="8"/>
  <c r="K8" i="8"/>
  <c r="N9" i="8"/>
  <c r="L11" i="8"/>
  <c r="K4" i="8"/>
  <c r="O9" i="8"/>
  <c r="L5" i="8"/>
  <c r="N11" i="8"/>
  <c r="M5" i="8"/>
  <c r="L10" i="8"/>
  <c r="K5" i="8"/>
  <c r="Q166" i="26"/>
  <c r="Q170" i="26"/>
  <c r="C8" i="51" s="1"/>
  <c r="C21" i="51" s="1"/>
  <c r="H174" i="26"/>
  <c r="AQ174" i="26"/>
  <c r="AQ166" i="26"/>
  <c r="AQ165" i="26"/>
  <c r="AQ167" i="26"/>
  <c r="AQ160" i="26"/>
  <c r="AQ168" i="26"/>
  <c r="AQ169" i="26"/>
  <c r="AQ161" i="26"/>
  <c r="AQ173" i="26"/>
  <c r="AQ170" i="26"/>
  <c r="AQ162" i="26"/>
  <c r="AQ171" i="26"/>
  <c r="AQ163" i="26"/>
  <c r="AQ172" i="26"/>
  <c r="AQ164" i="26"/>
  <c r="Q161" i="26"/>
  <c r="Q169" i="26"/>
  <c r="J174" i="26"/>
  <c r="Q160" i="26"/>
  <c r="K174" i="26"/>
  <c r="E174" i="26"/>
  <c r="Q164" i="26"/>
  <c r="Q165" i="26"/>
  <c r="Q168" i="26"/>
  <c r="Q172" i="26"/>
  <c r="Q173" i="26"/>
  <c r="D174" i="26"/>
  <c r="L174" i="26"/>
  <c r="F174" i="26"/>
  <c r="N174" i="26"/>
  <c r="P174" i="26"/>
  <c r="Q163" i="26"/>
  <c r="Q167" i="26"/>
  <c r="Q171" i="26"/>
  <c r="C9" i="51" s="1"/>
  <c r="C22" i="51" s="1"/>
  <c r="Q156" i="26"/>
  <c r="M157" i="26"/>
  <c r="AR151" i="26"/>
  <c r="AR152" i="26"/>
  <c r="AR146" i="26"/>
  <c r="E157" i="26"/>
  <c r="H140" i="26"/>
  <c r="P140" i="26"/>
  <c r="AN130" i="26"/>
  <c r="C140" i="26"/>
  <c r="K140" i="26"/>
  <c r="Q134" i="26"/>
  <c r="AV139" i="26"/>
  <c r="Q137" i="26"/>
  <c r="AW117" i="26"/>
  <c r="AW122" i="26"/>
  <c r="AO120" i="26"/>
  <c r="AO114" i="26"/>
  <c r="AQ113" i="26"/>
  <c r="AQ122" i="26"/>
  <c r="AQ118" i="26"/>
  <c r="AM119" i="26"/>
  <c r="Q120" i="26"/>
  <c r="AN117" i="26"/>
  <c r="AN111" i="26"/>
  <c r="AN114" i="26"/>
  <c r="AN120" i="26"/>
  <c r="AN122" i="26"/>
  <c r="Q111" i="26"/>
  <c r="Q115" i="26"/>
  <c r="Q119" i="26"/>
  <c r="H123" i="26"/>
  <c r="P123" i="26"/>
  <c r="Q116" i="26"/>
  <c r="Q110" i="26"/>
  <c r="Q118" i="26"/>
  <c r="J123" i="26"/>
  <c r="Q114" i="26"/>
  <c r="Q122" i="26"/>
  <c r="C123" i="26"/>
  <c r="K123" i="26"/>
  <c r="Q113" i="26"/>
  <c r="Q117" i="26"/>
  <c r="Q121" i="26"/>
  <c r="D123" i="26"/>
  <c r="L123" i="26"/>
  <c r="AN102" i="26"/>
  <c r="AV92" i="26"/>
  <c r="AV93" i="26"/>
  <c r="AV97" i="26"/>
  <c r="AV98" i="26"/>
  <c r="AK104" i="26"/>
  <c r="AK96" i="26"/>
  <c r="AK103" i="26"/>
  <c r="AK99" i="26"/>
  <c r="AK92" i="26"/>
  <c r="AK100" i="26"/>
  <c r="K106" i="26"/>
  <c r="Q96" i="26"/>
  <c r="Q104" i="26"/>
  <c r="AM106" i="26"/>
  <c r="AM105" i="26"/>
  <c r="AU96" i="26"/>
  <c r="AU92" i="26"/>
  <c r="Q95" i="26"/>
  <c r="Q99" i="26"/>
  <c r="Q103" i="26"/>
  <c r="AO100" i="26"/>
  <c r="AO104" i="26"/>
  <c r="AO96" i="26"/>
  <c r="AW103" i="26"/>
  <c r="Q94" i="26"/>
  <c r="Q98" i="26"/>
  <c r="Q100" i="26"/>
  <c r="Q102" i="26"/>
  <c r="L106" i="26"/>
  <c r="H106" i="26"/>
  <c r="P106" i="26"/>
  <c r="D106" i="26"/>
  <c r="AQ102" i="26"/>
  <c r="AQ105" i="26"/>
  <c r="Q93" i="26"/>
  <c r="Q97" i="26"/>
  <c r="Q101" i="26"/>
  <c r="Q105" i="26"/>
  <c r="AT76" i="26"/>
  <c r="Q76" i="26"/>
  <c r="Q84" i="26"/>
  <c r="J89" i="26"/>
  <c r="C89" i="26"/>
  <c r="K89" i="26"/>
  <c r="Q83" i="26"/>
  <c r="AQ76" i="26"/>
  <c r="AQ87" i="26"/>
  <c r="E89" i="26"/>
  <c r="M89" i="26"/>
  <c r="Q77" i="26"/>
  <c r="Q78" i="26"/>
  <c r="Q79" i="26"/>
  <c r="Q82" i="26"/>
  <c r="Q85" i="26"/>
  <c r="Q86" i="26"/>
  <c r="Q87" i="26"/>
  <c r="H89" i="26"/>
  <c r="Q80" i="26"/>
  <c r="Q88" i="26"/>
  <c r="F89" i="26"/>
  <c r="N89" i="26"/>
  <c r="AX76" i="26"/>
  <c r="AX81" i="26"/>
  <c r="AX88" i="26"/>
  <c r="AX80" i="26"/>
  <c r="G89" i="26"/>
  <c r="O89" i="26"/>
  <c r="Q81" i="26"/>
  <c r="AS51" i="26"/>
  <c r="AS45" i="26"/>
  <c r="AS54" i="26"/>
  <c r="AS46" i="26"/>
  <c r="AS42" i="26"/>
  <c r="AQ49" i="26"/>
  <c r="AQ41" i="26"/>
  <c r="AQ44" i="26"/>
  <c r="AQ48" i="26"/>
  <c r="AQ53" i="26"/>
  <c r="H55" i="26"/>
  <c r="P55" i="26"/>
  <c r="Q42" i="26"/>
  <c r="Q50" i="26"/>
  <c r="AR49" i="26"/>
  <c r="Q44" i="26"/>
  <c r="Q46" i="26"/>
  <c r="Q52" i="26"/>
  <c r="Q54" i="26"/>
  <c r="Q41" i="26"/>
  <c r="Q45" i="26"/>
  <c r="Q49" i="26"/>
  <c r="Q53" i="26"/>
  <c r="AO42" i="26"/>
  <c r="D55" i="26"/>
  <c r="L55" i="26"/>
  <c r="E55" i="26"/>
  <c r="M55" i="26"/>
  <c r="Q48" i="26"/>
  <c r="C55" i="26"/>
  <c r="AW55" i="26"/>
  <c r="AW47" i="26"/>
  <c r="AW48" i="26"/>
  <c r="AW41" i="26"/>
  <c r="AW49" i="26"/>
  <c r="AW50" i="26"/>
  <c r="AW42" i="26"/>
  <c r="AW51" i="26"/>
  <c r="AW43" i="26"/>
  <c r="AW52" i="26"/>
  <c r="AW44" i="26"/>
  <c r="AW46" i="26"/>
  <c r="AW53" i="26"/>
  <c r="AW45" i="26"/>
  <c r="AW54" i="26"/>
  <c r="AV41" i="26"/>
  <c r="AV42" i="26"/>
  <c r="AV51" i="26"/>
  <c r="D38" i="26"/>
  <c r="L38" i="26"/>
  <c r="E38" i="26"/>
  <c r="M38" i="26"/>
  <c r="Q27" i="26"/>
  <c r="Q31" i="26"/>
  <c r="Q35" i="26"/>
  <c r="Q26" i="26"/>
  <c r="Q30" i="26"/>
  <c r="H38" i="26"/>
  <c r="P38" i="26"/>
  <c r="Q29" i="26"/>
  <c r="Q37" i="26"/>
  <c r="I38" i="26"/>
  <c r="Q25" i="26"/>
  <c r="Q33" i="26"/>
  <c r="AN25" i="26"/>
  <c r="AN35" i="26"/>
  <c r="J38" i="26"/>
  <c r="AV30" i="26"/>
  <c r="AV33" i="26"/>
  <c r="AV35" i="26"/>
  <c r="Q34" i="26"/>
  <c r="C38" i="26"/>
  <c r="K38" i="26"/>
  <c r="Q28" i="26"/>
  <c r="Q32" i="26"/>
  <c r="Q36" i="26"/>
  <c r="H21" i="26"/>
  <c r="I21" i="26"/>
  <c r="J21" i="26"/>
  <c r="C21" i="26"/>
  <c r="K21" i="26"/>
  <c r="Q11" i="26"/>
  <c r="D21" i="26"/>
  <c r="L21" i="26"/>
  <c r="E21" i="26"/>
  <c r="M21" i="26"/>
  <c r="AX15" i="26"/>
  <c r="Q12" i="26"/>
  <c r="F21" i="26"/>
  <c r="N21" i="26"/>
  <c r="AO12" i="26"/>
  <c r="AO21" i="26"/>
  <c r="Q13" i="26"/>
  <c r="Q14" i="26"/>
  <c r="Q15" i="26"/>
  <c r="O174" i="26"/>
  <c r="C174" i="26"/>
  <c r="M174" i="26"/>
  <c r="Q162" i="26"/>
  <c r="Q152" i="26"/>
  <c r="G157" i="26"/>
  <c r="O157" i="26"/>
  <c r="Q149" i="26"/>
  <c r="H157" i="26"/>
  <c r="P157" i="26"/>
  <c r="Q145" i="26"/>
  <c r="L157" i="26"/>
  <c r="Q146" i="26"/>
  <c r="Q153" i="26"/>
  <c r="Q154" i="26"/>
  <c r="C157" i="26"/>
  <c r="K157" i="26"/>
  <c r="Q147" i="26"/>
  <c r="Q151" i="26"/>
  <c r="Q155" i="26"/>
  <c r="Q150" i="26"/>
  <c r="F157" i="26"/>
  <c r="N157" i="26"/>
  <c r="J140" i="26"/>
  <c r="Q130" i="26"/>
  <c r="Q133" i="26"/>
  <c r="Q138" i="26"/>
  <c r="Q129" i="26"/>
  <c r="G140" i="26"/>
  <c r="O140" i="26"/>
  <c r="Q128" i="26"/>
  <c r="Q136" i="26"/>
  <c r="D140" i="26"/>
  <c r="L140" i="26"/>
  <c r="Q132" i="26"/>
  <c r="I140" i="26"/>
  <c r="Q127" i="26"/>
  <c r="E140" i="26"/>
  <c r="M140" i="26"/>
  <c r="Q131" i="26"/>
  <c r="Q135" i="26"/>
  <c r="Q139" i="26"/>
  <c r="Q109" i="26"/>
  <c r="Q92" i="26"/>
  <c r="Q75" i="26"/>
  <c r="Q24" i="26"/>
  <c r="D157" i="26"/>
  <c r="Q143" i="26"/>
  <c r="Q126" i="26"/>
  <c r="L154" i="20"/>
  <c r="AA129" i="20"/>
  <c r="AG129" i="20" s="1"/>
  <c r="L137" i="20"/>
  <c r="L167" i="20"/>
  <c r="L172" i="20"/>
  <c r="L164" i="20"/>
  <c r="AB167" i="20"/>
  <c r="AH167" i="20" s="1"/>
  <c r="AC172" i="20"/>
  <c r="AI172" i="20" s="1"/>
  <c r="AC164" i="20"/>
  <c r="AI164" i="20" s="1"/>
  <c r="L140" i="20"/>
  <c r="AA162" i="20"/>
  <c r="L148" i="20"/>
  <c r="L156" i="20"/>
  <c r="AB172" i="20"/>
  <c r="AH172" i="20" s="1"/>
  <c r="AB164" i="20"/>
  <c r="AH164" i="20" s="1"/>
  <c r="AC169" i="20"/>
  <c r="AI169" i="20" s="1"/>
  <c r="AB175" i="20"/>
  <c r="AH175" i="20" s="1"/>
  <c r="L83" i="20"/>
  <c r="AG167" i="20"/>
  <c r="G174" i="26"/>
  <c r="V157" i="26"/>
  <c r="AE174" i="26"/>
  <c r="AD157" i="26"/>
  <c r="X140" i="26"/>
  <c r="W157" i="26"/>
  <c r="AF174" i="26"/>
  <c r="AD140" i="26"/>
  <c r="X157" i="26"/>
  <c r="AG157" i="26"/>
  <c r="AE157" i="26"/>
  <c r="AF157" i="26"/>
  <c r="W174" i="26"/>
  <c r="X174" i="26"/>
  <c r="AD174" i="26"/>
  <c r="T174" i="26"/>
  <c r="AG174" i="26"/>
  <c r="U174" i="26"/>
  <c r="V174" i="26"/>
  <c r="T157" i="26"/>
  <c r="U157" i="26"/>
  <c r="AF140" i="26"/>
  <c r="AD123" i="26"/>
  <c r="U140" i="26"/>
  <c r="AE123" i="26"/>
  <c r="V140" i="26"/>
  <c r="T140" i="26"/>
  <c r="AG140" i="26"/>
  <c r="AE140" i="26"/>
  <c r="W140" i="26"/>
  <c r="W106" i="26"/>
  <c r="AF123" i="26"/>
  <c r="U123" i="26"/>
  <c r="AE106" i="26"/>
  <c r="V123" i="26"/>
  <c r="W123" i="26"/>
  <c r="T123" i="26"/>
  <c r="AG123" i="26"/>
  <c r="X123" i="26"/>
  <c r="AF106" i="26"/>
  <c r="X89" i="26"/>
  <c r="AG89" i="26"/>
  <c r="U106" i="26"/>
  <c r="AE89" i="26"/>
  <c r="V106" i="26"/>
  <c r="T106" i="26"/>
  <c r="AG106" i="26"/>
  <c r="X106" i="26"/>
  <c r="AD106" i="26"/>
  <c r="AF89" i="26"/>
  <c r="U89" i="26"/>
  <c r="V89" i="26"/>
  <c r="AD55" i="26"/>
  <c r="W89" i="26"/>
  <c r="AD89" i="26"/>
  <c r="T89" i="26"/>
  <c r="AE55" i="26"/>
  <c r="AF55" i="26"/>
  <c r="AD38" i="26"/>
  <c r="U55" i="26"/>
  <c r="AF38" i="26"/>
  <c r="V55" i="26"/>
  <c r="W55" i="26"/>
  <c r="X55" i="26"/>
  <c r="T55" i="26"/>
  <c r="AG55" i="26"/>
  <c r="AG38" i="26"/>
  <c r="U38" i="26"/>
  <c r="V38" i="26"/>
  <c r="AE38" i="26"/>
  <c r="W38" i="26"/>
  <c r="X38" i="26"/>
  <c r="T38" i="26"/>
  <c r="AA137" i="20"/>
  <c r="L144" i="20"/>
  <c r="L147" i="20"/>
  <c r="L150" i="20"/>
  <c r="L152" i="20"/>
  <c r="L155" i="20"/>
  <c r="L149" i="20"/>
  <c r="L157" i="20"/>
  <c r="L153" i="20"/>
  <c r="AA85" i="20"/>
  <c r="AG85" i="20" s="1"/>
  <c r="L112" i="20"/>
  <c r="L120" i="20"/>
  <c r="L94" i="20"/>
  <c r="AA100" i="20"/>
  <c r="AG100" i="20" s="1"/>
  <c r="L115" i="20"/>
  <c r="L129" i="20"/>
  <c r="L135" i="20"/>
  <c r="AA146" i="20"/>
  <c r="AG146" i="20" s="1"/>
  <c r="AA140" i="20"/>
  <c r="L145" i="20"/>
  <c r="L128" i="20"/>
  <c r="L131" i="20"/>
  <c r="L136" i="20"/>
  <c r="J158" i="20"/>
  <c r="V155" i="20" s="1"/>
  <c r="K158" i="20"/>
  <c r="W147" i="20" s="1"/>
  <c r="AA149" i="20"/>
  <c r="AA153" i="20"/>
  <c r="AG153" i="20" s="1"/>
  <c r="AA154" i="20"/>
  <c r="C158" i="20"/>
  <c r="O158" i="20" s="1"/>
  <c r="L123" i="20"/>
  <c r="AB144" i="20"/>
  <c r="AH144" i="20" s="1"/>
  <c r="AB145" i="20"/>
  <c r="AH145" i="20" s="1"/>
  <c r="AB146" i="20"/>
  <c r="AH146" i="20" s="1"/>
  <c r="AB147" i="20"/>
  <c r="AH147" i="20" s="1"/>
  <c r="AB148" i="20"/>
  <c r="AH148" i="20" s="1"/>
  <c r="AB149" i="20"/>
  <c r="AH149" i="20" s="1"/>
  <c r="AB150" i="20"/>
  <c r="AH150" i="20" s="1"/>
  <c r="AB151" i="20"/>
  <c r="AH151" i="20" s="1"/>
  <c r="AB152" i="20"/>
  <c r="AH152" i="20" s="1"/>
  <c r="AB153" i="20"/>
  <c r="AH153" i="20" s="1"/>
  <c r="AB154" i="20"/>
  <c r="AH154" i="20" s="1"/>
  <c r="AB155" i="20"/>
  <c r="AH155" i="20" s="1"/>
  <c r="AB156" i="20"/>
  <c r="AH156" i="20" s="1"/>
  <c r="AB157" i="20"/>
  <c r="AH157" i="20" s="1"/>
  <c r="D158" i="20"/>
  <c r="P144" i="20" s="1"/>
  <c r="AA145" i="20"/>
  <c r="AA147" i="20"/>
  <c r="AC144" i="20"/>
  <c r="AI144" i="20" s="1"/>
  <c r="AC145" i="20"/>
  <c r="AI145" i="20" s="1"/>
  <c r="AC146" i="20"/>
  <c r="AI146" i="20" s="1"/>
  <c r="AC147" i="20"/>
  <c r="AI147" i="20" s="1"/>
  <c r="AC148" i="20"/>
  <c r="AI148" i="20" s="1"/>
  <c r="AC149" i="20"/>
  <c r="AI149" i="20" s="1"/>
  <c r="AC150" i="20"/>
  <c r="AI150" i="20" s="1"/>
  <c r="AC151" i="20"/>
  <c r="AI151" i="20" s="1"/>
  <c r="AC152" i="20"/>
  <c r="AI152" i="20" s="1"/>
  <c r="AC153" i="20"/>
  <c r="AI153" i="20" s="1"/>
  <c r="AC154" i="20"/>
  <c r="AI154" i="20" s="1"/>
  <c r="AC155" i="20"/>
  <c r="AI155" i="20" s="1"/>
  <c r="AC156" i="20"/>
  <c r="AI156" i="20" s="1"/>
  <c r="AC157" i="20"/>
  <c r="AI157" i="20" s="1"/>
  <c r="E158" i="20"/>
  <c r="Q146" i="20" s="1"/>
  <c r="AA148" i="20"/>
  <c r="AG148" i="20" s="1"/>
  <c r="AA150" i="20"/>
  <c r="AG150" i="20" s="1"/>
  <c r="AA155" i="20"/>
  <c r="AG155" i="20" s="1"/>
  <c r="L98" i="20"/>
  <c r="L106" i="20"/>
  <c r="L134" i="20"/>
  <c r="F144" i="20"/>
  <c r="F145" i="20"/>
  <c r="F146" i="20"/>
  <c r="F147" i="20"/>
  <c r="F148" i="20"/>
  <c r="F149" i="20"/>
  <c r="F150" i="20"/>
  <c r="F151" i="20"/>
  <c r="F152" i="20"/>
  <c r="F153" i="20"/>
  <c r="F154" i="20"/>
  <c r="F155" i="20"/>
  <c r="F156" i="20"/>
  <c r="F157" i="20"/>
  <c r="AG144" i="20"/>
  <c r="AG145" i="20"/>
  <c r="AG151" i="20"/>
  <c r="AG152" i="20"/>
  <c r="AG154" i="20"/>
  <c r="AG157" i="20"/>
  <c r="I158" i="20"/>
  <c r="U158" i="20" s="1"/>
  <c r="AA157" i="20"/>
  <c r="AA144" i="20"/>
  <c r="L105" i="20"/>
  <c r="L132" i="20"/>
  <c r="L99" i="20"/>
  <c r="L133" i="20"/>
  <c r="AA139" i="20"/>
  <c r="AG139" i="20" s="1"/>
  <c r="C124" i="20"/>
  <c r="O124" i="20" s="1"/>
  <c r="L110" i="20"/>
  <c r="L116" i="20"/>
  <c r="L138" i="20"/>
  <c r="K141" i="20"/>
  <c r="W141" i="20" s="1"/>
  <c r="AA95" i="20"/>
  <c r="AG95" i="20" s="1"/>
  <c r="L114" i="20"/>
  <c r="L122" i="20"/>
  <c r="J141" i="20"/>
  <c r="V141" i="20" s="1"/>
  <c r="L130" i="20"/>
  <c r="L127" i="20"/>
  <c r="AA134" i="20"/>
  <c r="L139" i="20"/>
  <c r="C141" i="20"/>
  <c r="O133" i="20" s="1"/>
  <c r="AA127" i="20"/>
  <c r="AB127" i="20"/>
  <c r="AB128" i="20"/>
  <c r="AB129" i="20"/>
  <c r="AH129" i="20" s="1"/>
  <c r="AB130" i="20"/>
  <c r="AH130" i="20" s="1"/>
  <c r="AB131" i="20"/>
  <c r="AH131" i="20" s="1"/>
  <c r="AB132" i="20"/>
  <c r="AH132" i="20" s="1"/>
  <c r="AB133" i="20"/>
  <c r="AH133" i="20" s="1"/>
  <c r="AB134" i="20"/>
  <c r="AH134" i="20" s="1"/>
  <c r="AB135" i="20"/>
  <c r="AH135" i="20" s="1"/>
  <c r="AB136" i="20"/>
  <c r="AH136" i="20" s="1"/>
  <c r="AB137" i="20"/>
  <c r="AH137" i="20" s="1"/>
  <c r="AB138" i="20"/>
  <c r="AH138" i="20" s="1"/>
  <c r="AB139" i="20"/>
  <c r="AH139" i="20" s="1"/>
  <c r="AB140" i="20"/>
  <c r="D141" i="20"/>
  <c r="P141" i="20" s="1"/>
  <c r="AA130" i="20"/>
  <c r="AA131" i="20"/>
  <c r="AG131" i="20" s="1"/>
  <c r="AA132" i="20"/>
  <c r="AA133" i="20"/>
  <c r="AG133" i="20" s="1"/>
  <c r="AA138" i="20"/>
  <c r="AA101" i="20"/>
  <c r="AG101" i="20" s="1"/>
  <c r="L103" i="20"/>
  <c r="AC127" i="20"/>
  <c r="AI127" i="20" s="1"/>
  <c r="AC128" i="20"/>
  <c r="AC129" i="20"/>
  <c r="AI129" i="20" s="1"/>
  <c r="AC130" i="20"/>
  <c r="AI130" i="20" s="1"/>
  <c r="AC131" i="20"/>
  <c r="AI131" i="20" s="1"/>
  <c r="AC132" i="20"/>
  <c r="AI132" i="20" s="1"/>
  <c r="AC133" i="20"/>
  <c r="AI133" i="20" s="1"/>
  <c r="AC134" i="20"/>
  <c r="AI134" i="20" s="1"/>
  <c r="AC135" i="20"/>
  <c r="AI135" i="20" s="1"/>
  <c r="AC136" i="20"/>
  <c r="AI136" i="20" s="1"/>
  <c r="AC137" i="20"/>
  <c r="AI137" i="20" s="1"/>
  <c r="AC138" i="20"/>
  <c r="AI138" i="20" s="1"/>
  <c r="AC139" i="20"/>
  <c r="AI139" i="20" s="1"/>
  <c r="AC140" i="20"/>
  <c r="AI140" i="20" s="1"/>
  <c r="E141" i="20"/>
  <c r="Q141" i="20" s="1"/>
  <c r="F127" i="20"/>
  <c r="F128" i="20"/>
  <c r="F129" i="20"/>
  <c r="F130" i="20"/>
  <c r="F131" i="20"/>
  <c r="F132" i="20"/>
  <c r="F133" i="20"/>
  <c r="F134" i="20"/>
  <c r="F135" i="20"/>
  <c r="F136" i="20"/>
  <c r="F137" i="20"/>
  <c r="F138" i="20"/>
  <c r="F139" i="20"/>
  <c r="F140" i="20"/>
  <c r="AA128" i="20"/>
  <c r="AG127" i="20"/>
  <c r="AG134" i="20"/>
  <c r="AG135" i="20"/>
  <c r="AG137" i="20"/>
  <c r="AG140" i="20"/>
  <c r="I141" i="20"/>
  <c r="U141" i="20" s="1"/>
  <c r="AA136" i="20"/>
  <c r="AG136" i="20" s="1"/>
  <c r="L97" i="20"/>
  <c r="K107" i="20"/>
  <c r="W107" i="20" s="1"/>
  <c r="J107" i="20"/>
  <c r="V107" i="20" s="1"/>
  <c r="K124" i="20"/>
  <c r="W118" i="20" s="1"/>
  <c r="J124" i="20"/>
  <c r="V124" i="20" s="1"/>
  <c r="L102" i="20"/>
  <c r="AA111" i="20"/>
  <c r="AG111" i="20" s="1"/>
  <c r="AA80" i="20"/>
  <c r="AG80" i="20" s="1"/>
  <c r="L95" i="20"/>
  <c r="AA83" i="20"/>
  <c r="AG83" i="20" s="1"/>
  <c r="AA106" i="20"/>
  <c r="AG106" i="20" s="1"/>
  <c r="L113" i="20"/>
  <c r="L118" i="20"/>
  <c r="L121" i="20"/>
  <c r="L119" i="20"/>
  <c r="AA116" i="20"/>
  <c r="AG116" i="20" s="1"/>
  <c r="L111" i="20"/>
  <c r="AA114" i="20"/>
  <c r="AG114" i="20" s="1"/>
  <c r="AA115" i="20"/>
  <c r="AA123" i="20"/>
  <c r="AG123" i="20" s="1"/>
  <c r="AB110" i="20"/>
  <c r="AH110" i="20" s="1"/>
  <c r="AB111" i="20"/>
  <c r="AH111" i="20" s="1"/>
  <c r="AB112" i="20"/>
  <c r="AH112" i="20" s="1"/>
  <c r="AB113" i="20"/>
  <c r="AH113" i="20" s="1"/>
  <c r="AB114" i="20"/>
  <c r="AH114" i="20" s="1"/>
  <c r="AB115" i="20"/>
  <c r="AH115" i="20" s="1"/>
  <c r="AB116" i="20"/>
  <c r="AH116" i="20" s="1"/>
  <c r="AB117" i="20"/>
  <c r="AH117" i="20" s="1"/>
  <c r="AB118" i="20"/>
  <c r="AH118" i="20" s="1"/>
  <c r="AB119" i="20"/>
  <c r="AH119" i="20" s="1"/>
  <c r="AB120" i="20"/>
  <c r="AH120" i="20" s="1"/>
  <c r="AB121" i="20"/>
  <c r="AH121" i="20" s="1"/>
  <c r="AB122" i="20"/>
  <c r="AH122" i="20" s="1"/>
  <c r="AB123" i="20"/>
  <c r="AH123" i="20" s="1"/>
  <c r="D124" i="20"/>
  <c r="P124" i="20" s="1"/>
  <c r="AC110" i="20"/>
  <c r="AI110" i="20" s="1"/>
  <c r="AC111" i="20"/>
  <c r="AI111" i="20" s="1"/>
  <c r="AC112" i="20"/>
  <c r="AI112" i="20" s="1"/>
  <c r="AC113" i="20"/>
  <c r="AI113" i="20" s="1"/>
  <c r="AC114" i="20"/>
  <c r="AI114" i="20" s="1"/>
  <c r="AC115" i="20"/>
  <c r="AI115" i="20" s="1"/>
  <c r="AC116" i="20"/>
  <c r="AI116" i="20" s="1"/>
  <c r="AC117" i="20"/>
  <c r="AI117" i="20" s="1"/>
  <c r="AC118" i="20"/>
  <c r="AI118" i="20" s="1"/>
  <c r="AC119" i="20"/>
  <c r="AI119" i="20" s="1"/>
  <c r="AC120" i="20"/>
  <c r="AI120" i="20" s="1"/>
  <c r="AC121" i="20"/>
  <c r="AI121" i="20" s="1"/>
  <c r="AC122" i="20"/>
  <c r="AI122" i="20" s="1"/>
  <c r="AC123" i="20"/>
  <c r="AI123" i="20" s="1"/>
  <c r="E124" i="20"/>
  <c r="Q114" i="20" s="1"/>
  <c r="AA112" i="20"/>
  <c r="AG112" i="20" s="1"/>
  <c r="AA117" i="20"/>
  <c r="AG117" i="20" s="1"/>
  <c r="AA120" i="20"/>
  <c r="AG120" i="20" s="1"/>
  <c r="F110" i="20"/>
  <c r="F111" i="20"/>
  <c r="F112" i="20"/>
  <c r="F113" i="20"/>
  <c r="F114" i="20"/>
  <c r="F115" i="20"/>
  <c r="F116" i="20"/>
  <c r="F117" i="20"/>
  <c r="F118" i="20"/>
  <c r="F119" i="20"/>
  <c r="F120" i="20"/>
  <c r="F121" i="20"/>
  <c r="F122" i="20"/>
  <c r="F123" i="20"/>
  <c r="AA113" i="20"/>
  <c r="AA118" i="20"/>
  <c r="AG118" i="20" s="1"/>
  <c r="AA119" i="20"/>
  <c r="AG119" i="20" s="1"/>
  <c r="AA121" i="20"/>
  <c r="AG121" i="20" s="1"/>
  <c r="AA122" i="20"/>
  <c r="AG122" i="20" s="1"/>
  <c r="I124" i="20"/>
  <c r="U124" i="20" s="1"/>
  <c r="AA110" i="20"/>
  <c r="AG110" i="20" s="1"/>
  <c r="L78" i="20"/>
  <c r="L100" i="20"/>
  <c r="L82" i="20"/>
  <c r="L104" i="20"/>
  <c r="L85" i="20"/>
  <c r="L88" i="20"/>
  <c r="L86" i="20"/>
  <c r="L93" i="20"/>
  <c r="L101" i="20"/>
  <c r="L81" i="20"/>
  <c r="L96" i="20"/>
  <c r="AA102" i="20"/>
  <c r="AG102" i="20" s="1"/>
  <c r="AA97" i="20"/>
  <c r="AG97" i="20" s="1"/>
  <c r="AA96" i="20"/>
  <c r="AG96" i="20" s="1"/>
  <c r="L54" i="20"/>
  <c r="AB93" i="20"/>
  <c r="AH93" i="20" s="1"/>
  <c r="AB94" i="20"/>
  <c r="AH94" i="20" s="1"/>
  <c r="AB95" i="20"/>
  <c r="AH95" i="20" s="1"/>
  <c r="AB96" i="20"/>
  <c r="AH96" i="20" s="1"/>
  <c r="AB97" i="20"/>
  <c r="AH97" i="20" s="1"/>
  <c r="AB98" i="20"/>
  <c r="AH98" i="20" s="1"/>
  <c r="AB99" i="20"/>
  <c r="AH99" i="20" s="1"/>
  <c r="AB100" i="20"/>
  <c r="AH100" i="20" s="1"/>
  <c r="AB101" i="20"/>
  <c r="AH101" i="20" s="1"/>
  <c r="AB102" i="20"/>
  <c r="AH102" i="20" s="1"/>
  <c r="AB103" i="20"/>
  <c r="AH103" i="20" s="1"/>
  <c r="AB104" i="20"/>
  <c r="AH104" i="20" s="1"/>
  <c r="AB105" i="20"/>
  <c r="AH105" i="20" s="1"/>
  <c r="AB106" i="20"/>
  <c r="AH106" i="20" s="1"/>
  <c r="D107" i="20"/>
  <c r="P95" i="20" s="1"/>
  <c r="AC93" i="20"/>
  <c r="AI93" i="20" s="1"/>
  <c r="AC94" i="20"/>
  <c r="AI94" i="20" s="1"/>
  <c r="AC95" i="20"/>
  <c r="AI95" i="20" s="1"/>
  <c r="AC96" i="20"/>
  <c r="AI96" i="20" s="1"/>
  <c r="AC97" i="20"/>
  <c r="AI97" i="20" s="1"/>
  <c r="AC98" i="20"/>
  <c r="AI98" i="20" s="1"/>
  <c r="AC99" i="20"/>
  <c r="AI99" i="20" s="1"/>
  <c r="AC100" i="20"/>
  <c r="AI100" i="20" s="1"/>
  <c r="AC101" i="20"/>
  <c r="AI101" i="20" s="1"/>
  <c r="AC102" i="20"/>
  <c r="AI102" i="20" s="1"/>
  <c r="AC103" i="20"/>
  <c r="AI103" i="20" s="1"/>
  <c r="AC104" i="20"/>
  <c r="AI104" i="20" s="1"/>
  <c r="AC105" i="20"/>
  <c r="AI105" i="20" s="1"/>
  <c r="AC106" i="20"/>
  <c r="AI106" i="20" s="1"/>
  <c r="E107" i="20"/>
  <c r="Q107" i="20" s="1"/>
  <c r="AA93" i="20"/>
  <c r="AG93" i="20" s="1"/>
  <c r="AA94" i="20"/>
  <c r="AG94" i="20" s="1"/>
  <c r="C107" i="20"/>
  <c r="O95" i="20" s="1"/>
  <c r="L44" i="20"/>
  <c r="F93" i="20"/>
  <c r="F94" i="20"/>
  <c r="F95" i="20"/>
  <c r="F96" i="20"/>
  <c r="F97" i="20"/>
  <c r="F98" i="20"/>
  <c r="F99" i="20"/>
  <c r="F100" i="20"/>
  <c r="F101" i="20"/>
  <c r="F102" i="20"/>
  <c r="F103" i="20"/>
  <c r="F104" i="20"/>
  <c r="F105" i="20"/>
  <c r="F106" i="20"/>
  <c r="AA98" i="20"/>
  <c r="AA99" i="20"/>
  <c r="AG99" i="20" s="1"/>
  <c r="AA103" i="20"/>
  <c r="AG103" i="20" s="1"/>
  <c r="AA104" i="20"/>
  <c r="AG104" i="20" s="1"/>
  <c r="AA105" i="20"/>
  <c r="AG105" i="20" s="1"/>
  <c r="I107" i="20"/>
  <c r="U107" i="20" s="1"/>
  <c r="AA51" i="20"/>
  <c r="AG51" i="20" s="1"/>
  <c r="AA52" i="20"/>
  <c r="AG52" i="20" s="1"/>
  <c r="K90" i="20"/>
  <c r="AA77" i="20"/>
  <c r="J90" i="20"/>
  <c r="V212" i="20" s="1"/>
  <c r="L80" i="20"/>
  <c r="L49" i="20"/>
  <c r="AA78" i="20"/>
  <c r="AG78" i="20" s="1"/>
  <c r="C90" i="20"/>
  <c r="O86" i="20" s="1"/>
  <c r="AA47" i="20"/>
  <c r="L52" i="20"/>
  <c r="AA55" i="20"/>
  <c r="AG55" i="20" s="1"/>
  <c r="D90" i="20"/>
  <c r="P90" i="20" s="1"/>
  <c r="AA42" i="20"/>
  <c r="E90" i="20"/>
  <c r="Q90" i="20" s="1"/>
  <c r="L76" i="20"/>
  <c r="L79" i="20"/>
  <c r="L84" i="20"/>
  <c r="L87" i="20"/>
  <c r="L89" i="20"/>
  <c r="L77" i="20"/>
  <c r="AA79" i="20"/>
  <c r="AG79" i="20" s="1"/>
  <c r="AA84" i="20"/>
  <c r="AG84" i="20" s="1"/>
  <c r="AA86" i="20"/>
  <c r="AG86" i="20" s="1"/>
  <c r="AB76" i="20"/>
  <c r="AH76" i="20" s="1"/>
  <c r="AB77" i="20"/>
  <c r="AH77" i="20" s="1"/>
  <c r="AB78" i="20"/>
  <c r="AH78" i="20" s="1"/>
  <c r="AB79" i="20"/>
  <c r="AH79" i="20" s="1"/>
  <c r="AB80" i="20"/>
  <c r="AH80" i="20" s="1"/>
  <c r="AB81" i="20"/>
  <c r="AH81" i="20" s="1"/>
  <c r="AB82" i="20"/>
  <c r="AH82" i="20" s="1"/>
  <c r="AB83" i="20"/>
  <c r="AH83" i="20" s="1"/>
  <c r="AB84" i="20"/>
  <c r="AH84" i="20" s="1"/>
  <c r="AB85" i="20"/>
  <c r="AH85" i="20" s="1"/>
  <c r="AB86" i="20"/>
  <c r="AH86" i="20" s="1"/>
  <c r="AB87" i="20"/>
  <c r="AH87" i="20" s="1"/>
  <c r="AB88" i="20"/>
  <c r="AH88" i="20" s="1"/>
  <c r="AB89" i="20"/>
  <c r="AH89" i="20" s="1"/>
  <c r="L47" i="20"/>
  <c r="L55" i="20"/>
  <c r="AC76" i="20"/>
  <c r="AI76" i="20" s="1"/>
  <c r="AC77" i="20"/>
  <c r="AI77" i="20" s="1"/>
  <c r="AC78" i="20"/>
  <c r="AI78" i="20" s="1"/>
  <c r="AC79" i="20"/>
  <c r="AI79" i="20" s="1"/>
  <c r="AC80" i="20"/>
  <c r="AI80" i="20" s="1"/>
  <c r="AC81" i="20"/>
  <c r="AI81" i="20" s="1"/>
  <c r="AC82" i="20"/>
  <c r="AI82" i="20" s="1"/>
  <c r="AC83" i="20"/>
  <c r="AI83" i="20" s="1"/>
  <c r="AC84" i="20"/>
  <c r="AI84" i="20" s="1"/>
  <c r="AC85" i="20"/>
  <c r="AI85" i="20" s="1"/>
  <c r="AC86" i="20"/>
  <c r="AI86" i="20" s="1"/>
  <c r="AC87" i="20"/>
  <c r="AI87" i="20" s="1"/>
  <c r="AC88" i="20"/>
  <c r="AI88" i="20" s="1"/>
  <c r="AC89" i="20"/>
  <c r="AI89" i="20" s="1"/>
  <c r="AA76" i="20"/>
  <c r="AG76" i="20" s="1"/>
  <c r="AA81" i="20"/>
  <c r="AA82" i="20"/>
  <c r="AG82" i="20" s="1"/>
  <c r="AA88" i="20"/>
  <c r="AG88" i="20" s="1"/>
  <c r="L31" i="20"/>
  <c r="F76" i="20"/>
  <c r="F77" i="20"/>
  <c r="F78" i="20"/>
  <c r="F79" i="20"/>
  <c r="F80" i="20"/>
  <c r="F81" i="20"/>
  <c r="F82" i="20"/>
  <c r="F83" i="20"/>
  <c r="F84" i="20"/>
  <c r="F85" i="20"/>
  <c r="F86" i="20"/>
  <c r="F87" i="20"/>
  <c r="F88" i="20"/>
  <c r="F89" i="20"/>
  <c r="AG77" i="20"/>
  <c r="AG81" i="20"/>
  <c r="I90" i="20"/>
  <c r="AA87" i="20"/>
  <c r="AG87" i="20" s="1"/>
  <c r="AA89" i="20"/>
  <c r="AG89" i="20" s="1"/>
  <c r="L46" i="20"/>
  <c r="L51" i="20"/>
  <c r="L26" i="20"/>
  <c r="L34" i="20"/>
  <c r="L43" i="20"/>
  <c r="F10" i="20"/>
  <c r="L11" i="20"/>
  <c r="L30" i="20"/>
  <c r="L25" i="20"/>
  <c r="L28" i="20"/>
  <c r="L33" i="20"/>
  <c r="L36" i="20"/>
  <c r="L48" i="20"/>
  <c r="J56" i="20"/>
  <c r="L53" i="20"/>
  <c r="AG45" i="20"/>
  <c r="AA54" i="20"/>
  <c r="AG54" i="20" s="1"/>
  <c r="L42" i="20"/>
  <c r="L45" i="20"/>
  <c r="L50" i="20"/>
  <c r="K56" i="20"/>
  <c r="AA48" i="20"/>
  <c r="AG48" i="20" s="1"/>
  <c r="AA49" i="20"/>
  <c r="AG49" i="20" s="1"/>
  <c r="AA50" i="20"/>
  <c r="AG50" i="20" s="1"/>
  <c r="AA53" i="20"/>
  <c r="AG53" i="20" s="1"/>
  <c r="AB42" i="20"/>
  <c r="AH42" i="20" s="1"/>
  <c r="AB43" i="20"/>
  <c r="AH43" i="20" s="1"/>
  <c r="AB44" i="20"/>
  <c r="AH44" i="20" s="1"/>
  <c r="AB45" i="20"/>
  <c r="AH45" i="20" s="1"/>
  <c r="AB46" i="20"/>
  <c r="AH46" i="20" s="1"/>
  <c r="AB47" i="20"/>
  <c r="AB48" i="20"/>
  <c r="AH48" i="20" s="1"/>
  <c r="AB49" i="20"/>
  <c r="AH49" i="20" s="1"/>
  <c r="AB50" i="20"/>
  <c r="AH50" i="20" s="1"/>
  <c r="AB51" i="20"/>
  <c r="AH51" i="20" s="1"/>
  <c r="AB52" i="20"/>
  <c r="AH52" i="20" s="1"/>
  <c r="AB53" i="20"/>
  <c r="AH53" i="20" s="1"/>
  <c r="AB54" i="20"/>
  <c r="AH54" i="20" s="1"/>
  <c r="AB55" i="20"/>
  <c r="AH55" i="20" s="1"/>
  <c r="D56" i="20"/>
  <c r="AC42" i="20"/>
  <c r="AI42" i="20" s="1"/>
  <c r="AC43" i="20"/>
  <c r="AI43" i="20" s="1"/>
  <c r="AC44" i="20"/>
  <c r="AI44" i="20" s="1"/>
  <c r="AC45" i="20"/>
  <c r="AI45" i="20" s="1"/>
  <c r="AC46" i="20"/>
  <c r="AI46" i="20" s="1"/>
  <c r="AC47" i="20"/>
  <c r="AI47" i="20" s="1"/>
  <c r="AC48" i="20"/>
  <c r="AI48" i="20" s="1"/>
  <c r="AC49" i="20"/>
  <c r="AI49" i="20" s="1"/>
  <c r="AC50" i="20"/>
  <c r="AI50" i="20" s="1"/>
  <c r="AC51" i="20"/>
  <c r="AI51" i="20" s="1"/>
  <c r="AC52" i="20"/>
  <c r="AI52" i="20" s="1"/>
  <c r="AC53" i="20"/>
  <c r="AI53" i="20" s="1"/>
  <c r="AC54" i="20"/>
  <c r="AI54" i="20" s="1"/>
  <c r="AC55" i="20"/>
  <c r="AI55" i="20" s="1"/>
  <c r="E56" i="20"/>
  <c r="AA43" i="20"/>
  <c r="AA44" i="20"/>
  <c r="AG44" i="20" s="1"/>
  <c r="AA46" i="20"/>
  <c r="AG46" i="20" s="1"/>
  <c r="C56" i="20"/>
  <c r="AA36" i="20"/>
  <c r="AG36" i="20" s="1"/>
  <c r="F42" i="20"/>
  <c r="F43" i="20"/>
  <c r="F44" i="20"/>
  <c r="F45" i="20"/>
  <c r="F46" i="20"/>
  <c r="F47" i="20"/>
  <c r="F48" i="20"/>
  <c r="F49" i="20"/>
  <c r="F50" i="20"/>
  <c r="F51" i="20"/>
  <c r="F52" i="20"/>
  <c r="F53" i="20"/>
  <c r="F54" i="20"/>
  <c r="F55" i="20"/>
  <c r="AA45" i="20"/>
  <c r="AG42" i="20"/>
  <c r="AG47" i="20"/>
  <c r="I56" i="20"/>
  <c r="AC12" i="20"/>
  <c r="AI12" i="20" s="1"/>
  <c r="AA33" i="20"/>
  <c r="AG33" i="20" s="1"/>
  <c r="AA27" i="20"/>
  <c r="J38" i="20"/>
  <c r="V38" i="20" s="1"/>
  <c r="AA35" i="20"/>
  <c r="AG35" i="20" s="1"/>
  <c r="L24" i="20"/>
  <c r="L27" i="20"/>
  <c r="L32" i="20"/>
  <c r="L35" i="20"/>
  <c r="AA15" i="20"/>
  <c r="AG15" i="20" s="1"/>
  <c r="AB12" i="20"/>
  <c r="AH12" i="20" s="1"/>
  <c r="L29" i="20"/>
  <c r="L37" i="20"/>
  <c r="AA13" i="20"/>
  <c r="AG13" i="20" s="1"/>
  <c r="C38" i="20"/>
  <c r="O28" i="20" s="1"/>
  <c r="K38" i="20"/>
  <c r="W38" i="20" s="1"/>
  <c r="AA30" i="20"/>
  <c r="AG30" i="20" s="1"/>
  <c r="AA10" i="20"/>
  <c r="AG10" i="20" s="1"/>
  <c r="AB24" i="20"/>
  <c r="AH24" i="20" s="1"/>
  <c r="AB25" i="20"/>
  <c r="AH25" i="20" s="1"/>
  <c r="AB26" i="20"/>
  <c r="AH26" i="20" s="1"/>
  <c r="AB27" i="20"/>
  <c r="AH27" i="20" s="1"/>
  <c r="AB28" i="20"/>
  <c r="AH28" i="20" s="1"/>
  <c r="AB29" i="20"/>
  <c r="AH29" i="20" s="1"/>
  <c r="AB30" i="20"/>
  <c r="AH30" i="20" s="1"/>
  <c r="AB31" i="20"/>
  <c r="AH31" i="20" s="1"/>
  <c r="AB32" i="20"/>
  <c r="AH32" i="20" s="1"/>
  <c r="AB33" i="20"/>
  <c r="AH33" i="20" s="1"/>
  <c r="AB34" i="20"/>
  <c r="AH34" i="20" s="1"/>
  <c r="AB35" i="20"/>
  <c r="AH35" i="20" s="1"/>
  <c r="AB36" i="20"/>
  <c r="AH36" i="20" s="1"/>
  <c r="AB37" i="20"/>
  <c r="AH37" i="20" s="1"/>
  <c r="D38" i="20"/>
  <c r="P33" i="20" s="1"/>
  <c r="AA24" i="20"/>
  <c r="AA28" i="20"/>
  <c r="AG28" i="20" s="1"/>
  <c r="AA29" i="20"/>
  <c r="AA31" i="20"/>
  <c r="AG31" i="20" s="1"/>
  <c r="AB14" i="20"/>
  <c r="AH14" i="20" s="1"/>
  <c r="AC11" i="20"/>
  <c r="AI11" i="20" s="1"/>
  <c r="AC24" i="20"/>
  <c r="AI24" i="20" s="1"/>
  <c r="AC25" i="20"/>
  <c r="AI25" i="20" s="1"/>
  <c r="AC26" i="20"/>
  <c r="AI26" i="20" s="1"/>
  <c r="AC27" i="20"/>
  <c r="AI27" i="20" s="1"/>
  <c r="AC28" i="20"/>
  <c r="AI28" i="20" s="1"/>
  <c r="AC29" i="20"/>
  <c r="AI29" i="20" s="1"/>
  <c r="AC30" i="20"/>
  <c r="AI30" i="20" s="1"/>
  <c r="AC31" i="20"/>
  <c r="AI31" i="20" s="1"/>
  <c r="AC32" i="20"/>
  <c r="AI32" i="20" s="1"/>
  <c r="AC33" i="20"/>
  <c r="AI33" i="20" s="1"/>
  <c r="AC34" i="20"/>
  <c r="AI34" i="20" s="1"/>
  <c r="AC35" i="20"/>
  <c r="AI35" i="20" s="1"/>
  <c r="AC36" i="20"/>
  <c r="AI36" i="20" s="1"/>
  <c r="AC37" i="20"/>
  <c r="AI37" i="20" s="1"/>
  <c r="E38" i="20"/>
  <c r="Q38" i="20" s="1"/>
  <c r="AA32" i="20"/>
  <c r="AG32" i="20" s="1"/>
  <c r="AA34" i="20"/>
  <c r="AG34" i="20" s="1"/>
  <c r="AA37" i="20"/>
  <c r="AG37" i="20" s="1"/>
  <c r="AC10" i="20"/>
  <c r="AI10" i="20" s="1"/>
  <c r="F24" i="20"/>
  <c r="F25" i="20"/>
  <c r="F26" i="20"/>
  <c r="F27" i="20"/>
  <c r="F28" i="20"/>
  <c r="F29" i="20"/>
  <c r="F30" i="20"/>
  <c r="F31" i="20"/>
  <c r="F32" i="20"/>
  <c r="F33" i="20"/>
  <c r="F34" i="20"/>
  <c r="F35" i="20"/>
  <c r="F36" i="20"/>
  <c r="F37" i="20"/>
  <c r="AA26" i="20"/>
  <c r="AG26" i="20" s="1"/>
  <c r="AG24" i="20"/>
  <c r="AG27" i="20"/>
  <c r="AG29" i="20"/>
  <c r="I38" i="20"/>
  <c r="U30" i="20" s="1"/>
  <c r="AA14" i="20"/>
  <c r="AG14" i="20" s="1"/>
  <c r="AA25" i="20"/>
  <c r="AG25" i="20" s="1"/>
  <c r="AB10" i="20"/>
  <c r="AH10" i="20" s="1"/>
  <c r="AC15" i="20"/>
  <c r="AI15" i="20" s="1"/>
  <c r="AA11" i="20"/>
  <c r="AA12" i="20"/>
  <c r="AG12" i="20" s="1"/>
  <c r="L14" i="20"/>
  <c r="L13" i="20"/>
  <c r="AC13" i="20"/>
  <c r="AI13" i="20" s="1"/>
  <c r="F14" i="20"/>
  <c r="F15" i="20"/>
  <c r="L12" i="20"/>
  <c r="AB15" i="20"/>
  <c r="AH15" i="20" s="1"/>
  <c r="AB13" i="20"/>
  <c r="AH13" i="20" s="1"/>
  <c r="AB11" i="20"/>
  <c r="AH11" i="20" s="1"/>
  <c r="F13" i="20"/>
  <c r="L10" i="20"/>
  <c r="F11" i="20"/>
  <c r="F12" i="20"/>
  <c r="AC14" i="20"/>
  <c r="AI14" i="20" s="1"/>
  <c r="L15" i="20"/>
  <c r="H71" i="16"/>
  <c r="E70" i="16"/>
  <c r="G71" i="16"/>
  <c r="D70" i="16"/>
  <c r="E71" i="16"/>
  <c r="F71" i="16"/>
  <c r="H69" i="16"/>
  <c r="D71" i="16"/>
  <c r="G69" i="16"/>
  <c r="H70" i="16"/>
  <c r="F69" i="16"/>
  <c r="G70" i="16"/>
  <c r="E69" i="16"/>
  <c r="AT89" i="26" l="1"/>
  <c r="AO20" i="26"/>
  <c r="AV26" i="26"/>
  <c r="AX79" i="26"/>
  <c r="AQ121" i="26"/>
  <c r="AO26" i="26"/>
  <c r="AV102" i="26"/>
  <c r="AQ115" i="26"/>
  <c r="AQ119" i="26"/>
  <c r="AW121" i="26"/>
  <c r="AR155" i="26"/>
  <c r="AO18" i="26"/>
  <c r="AV27" i="26"/>
  <c r="AV37" i="26"/>
  <c r="AO31" i="26"/>
  <c r="AV46" i="26"/>
  <c r="AX86" i="26"/>
  <c r="AX75" i="26"/>
  <c r="AL75" i="26"/>
  <c r="AO94" i="26"/>
  <c r="AU103" i="26"/>
  <c r="AV96" i="26"/>
  <c r="AV101" i="26"/>
  <c r="AR97" i="26"/>
  <c r="AQ123" i="26"/>
  <c r="AQ109" i="26"/>
  <c r="AW111" i="26"/>
  <c r="AO36" i="26"/>
  <c r="AX84" i="26"/>
  <c r="AV100" i="26"/>
  <c r="AW14" i="26"/>
  <c r="AV24" i="26"/>
  <c r="AO25" i="26"/>
  <c r="AX82" i="26"/>
  <c r="AQ110" i="26"/>
  <c r="AV32" i="26"/>
  <c r="AX89" i="26"/>
  <c r="AO103" i="26"/>
  <c r="AO9" i="26"/>
  <c r="AX11" i="26"/>
  <c r="AV25" i="26"/>
  <c r="AV28" i="26"/>
  <c r="AO29" i="26"/>
  <c r="AN43" i="26"/>
  <c r="AX77" i="26"/>
  <c r="AX83" i="26"/>
  <c r="AL88" i="26"/>
  <c r="AO99" i="26"/>
  <c r="AU94" i="26"/>
  <c r="AV104" i="26"/>
  <c r="AV106" i="26"/>
  <c r="AQ117" i="26"/>
  <c r="AQ112" i="26"/>
  <c r="AW119" i="26"/>
  <c r="AQ144" i="26"/>
  <c r="AW10" i="26"/>
  <c r="AU114" i="26"/>
  <c r="AW18" i="26"/>
  <c r="AV38" i="26"/>
  <c r="AO27" i="26"/>
  <c r="AT78" i="26"/>
  <c r="AV95" i="26"/>
  <c r="AQ116" i="26"/>
  <c r="AV34" i="26"/>
  <c r="AX87" i="26"/>
  <c r="AV94" i="26"/>
  <c r="AV99" i="26"/>
  <c r="AQ111" i="26"/>
  <c r="AW13" i="26"/>
  <c r="AV29" i="26"/>
  <c r="AV55" i="26"/>
  <c r="AX78" i="26"/>
  <c r="AU95" i="26"/>
  <c r="AR102" i="26"/>
  <c r="AO17" i="26"/>
  <c r="AX7" i="26"/>
  <c r="AV31" i="26"/>
  <c r="AN47" i="26"/>
  <c r="AT77" i="26"/>
  <c r="AO98" i="26"/>
  <c r="AU97" i="26"/>
  <c r="AV103" i="26"/>
  <c r="AQ114" i="26"/>
  <c r="AW110" i="26"/>
  <c r="AQ149" i="26"/>
  <c r="F200" i="20"/>
  <c r="AR96" i="26"/>
  <c r="AN28" i="26"/>
  <c r="AV45" i="26"/>
  <c r="AW100" i="26"/>
  <c r="AR94" i="26"/>
  <c r="AV120" i="26"/>
  <c r="AO110" i="26"/>
  <c r="AN30" i="26"/>
  <c r="AV52" i="26"/>
  <c r="AV53" i="26"/>
  <c r="AR44" i="26"/>
  <c r="AL84" i="26"/>
  <c r="AL77" i="26"/>
  <c r="AW97" i="26"/>
  <c r="AO97" i="26"/>
  <c r="AO93" i="26"/>
  <c r="AU104" i="26"/>
  <c r="AR98" i="26"/>
  <c r="AR103" i="26"/>
  <c r="AV117" i="26"/>
  <c r="AO121" i="26"/>
  <c r="AW123" i="26"/>
  <c r="AW109" i="26"/>
  <c r="AN132" i="26"/>
  <c r="AR148" i="26"/>
  <c r="AQ150" i="26"/>
  <c r="AN37" i="26"/>
  <c r="AL87" i="26"/>
  <c r="AR99" i="26"/>
  <c r="AO116" i="26"/>
  <c r="AQ143" i="26"/>
  <c r="AN31" i="26"/>
  <c r="AV49" i="26"/>
  <c r="AR48" i="26"/>
  <c r="AN138" i="26"/>
  <c r="AN27" i="26"/>
  <c r="AN38" i="26"/>
  <c r="AV43" i="26"/>
  <c r="AV47" i="26"/>
  <c r="AL78" i="26"/>
  <c r="AL80" i="26"/>
  <c r="AW105" i="26"/>
  <c r="AO105" i="26"/>
  <c r="AO101" i="26"/>
  <c r="AU105" i="26"/>
  <c r="AU100" i="26"/>
  <c r="AR106" i="26"/>
  <c r="AN98" i="26"/>
  <c r="AM116" i="26"/>
  <c r="AO123" i="26"/>
  <c r="AO112" i="26"/>
  <c r="AW114" i="26"/>
  <c r="AW115" i="26"/>
  <c r="AV127" i="26"/>
  <c r="AR144" i="26"/>
  <c r="AQ153" i="26"/>
  <c r="AQ155" i="26"/>
  <c r="F189" i="20"/>
  <c r="AN26" i="26"/>
  <c r="AN33" i="26"/>
  <c r="AL83" i="26"/>
  <c r="AL85" i="26"/>
  <c r="AW102" i="26"/>
  <c r="AR92" i="26"/>
  <c r="AR105" i="26"/>
  <c r="AN101" i="26"/>
  <c r="AO122" i="26"/>
  <c r="AO111" i="26"/>
  <c r="AQ152" i="26"/>
  <c r="AQ156" i="26"/>
  <c r="AN34" i="26"/>
  <c r="AN29" i="26"/>
  <c r="AV50" i="26"/>
  <c r="AV54" i="26"/>
  <c r="AL82" i="26"/>
  <c r="AL79" i="26"/>
  <c r="AW99" i="26"/>
  <c r="AO95" i="26"/>
  <c r="AO92" i="26"/>
  <c r="AU102" i="26"/>
  <c r="AU99" i="26"/>
  <c r="AR100" i="26"/>
  <c r="AR93" i="26"/>
  <c r="AO109" i="26"/>
  <c r="AO119" i="26"/>
  <c r="AW113" i="26"/>
  <c r="AW116" i="26"/>
  <c r="AR147" i="26"/>
  <c r="AR150" i="26"/>
  <c r="AQ146" i="26"/>
  <c r="AN32" i="26"/>
  <c r="AL81" i="26"/>
  <c r="AW98" i="26"/>
  <c r="AO117" i="26"/>
  <c r="AL89" i="26"/>
  <c r="AU93" i="26"/>
  <c r="AU98" i="26"/>
  <c r="AR104" i="26"/>
  <c r="AO115" i="26"/>
  <c r="AW112" i="26"/>
  <c r="AW118" i="26"/>
  <c r="AR145" i="26"/>
  <c r="AR154" i="26"/>
  <c r="AQ151" i="26"/>
  <c r="AN24" i="26"/>
  <c r="AV44" i="26"/>
  <c r="AR53" i="26"/>
  <c r="AL76" i="26"/>
  <c r="AO106" i="26"/>
  <c r="AU101" i="26"/>
  <c r="AR101" i="26"/>
  <c r="AV111" i="26"/>
  <c r="AO113" i="26"/>
  <c r="AN136" i="26"/>
  <c r="AR153" i="26"/>
  <c r="AR157" i="26"/>
  <c r="AQ147" i="26"/>
  <c r="AA186" i="20"/>
  <c r="AG186" i="20" s="1"/>
  <c r="AO45" i="26"/>
  <c r="AV130" i="26"/>
  <c r="AO58" i="26"/>
  <c r="AW21" i="26"/>
  <c r="AX14" i="26"/>
  <c r="AN42" i="26"/>
  <c r="AO41" i="26"/>
  <c r="AR52" i="26"/>
  <c r="AM104" i="26"/>
  <c r="AM121" i="26"/>
  <c r="AN127" i="26"/>
  <c r="AO7" i="26"/>
  <c r="AX9" i="26"/>
  <c r="AN54" i="26"/>
  <c r="AO49" i="26"/>
  <c r="AQ52" i="26"/>
  <c r="AN96" i="26"/>
  <c r="AN119" i="26"/>
  <c r="AN129" i="26"/>
  <c r="AO64" i="26"/>
  <c r="AO65" i="26"/>
  <c r="AW17" i="26"/>
  <c r="AW20" i="26"/>
  <c r="AO15" i="26"/>
  <c r="AO11" i="26"/>
  <c r="AX18" i="26"/>
  <c r="AX13" i="26"/>
  <c r="AN45" i="26"/>
  <c r="AO52" i="26"/>
  <c r="AO46" i="26"/>
  <c r="AR41" i="26"/>
  <c r="AR51" i="26"/>
  <c r="AQ55" i="26"/>
  <c r="AQ51" i="26"/>
  <c r="AS49" i="26"/>
  <c r="AS44" i="26"/>
  <c r="AW96" i="26"/>
  <c r="AW93" i="26"/>
  <c r="AM103" i="26"/>
  <c r="AM100" i="26"/>
  <c r="AK94" i="26"/>
  <c r="AK106" i="26"/>
  <c r="AN104" i="26"/>
  <c r="AN106" i="26"/>
  <c r="AV113" i="26"/>
  <c r="AV115" i="26"/>
  <c r="AN121" i="26"/>
  <c r="AN110" i="26"/>
  <c r="AM120" i="26"/>
  <c r="AM115" i="26"/>
  <c r="AV137" i="26"/>
  <c r="AN137" i="26"/>
  <c r="AO66" i="26"/>
  <c r="AO67" i="26"/>
  <c r="AN55" i="26"/>
  <c r="AM93" i="26"/>
  <c r="AV135" i="26"/>
  <c r="AO53" i="26"/>
  <c r="AV114" i="26"/>
  <c r="AV138" i="26"/>
  <c r="AW12" i="26"/>
  <c r="AX10" i="26"/>
  <c r="AN50" i="26"/>
  <c r="AS41" i="26"/>
  <c r="AM92" i="26"/>
  <c r="AN100" i="26"/>
  <c r="AM117" i="26"/>
  <c r="AN135" i="26"/>
  <c r="AW15" i="26"/>
  <c r="AW11" i="26"/>
  <c r="AO14" i="26"/>
  <c r="AO19" i="26"/>
  <c r="AX8" i="26"/>
  <c r="AX21" i="26"/>
  <c r="AW32" i="26"/>
  <c r="AN44" i="26"/>
  <c r="AN41" i="26"/>
  <c r="AO43" i="26"/>
  <c r="AO48" i="26"/>
  <c r="AR46" i="26"/>
  <c r="AR42" i="26"/>
  <c r="AQ46" i="26"/>
  <c r="AQ43" i="26"/>
  <c r="AS48" i="26"/>
  <c r="AS52" i="26"/>
  <c r="AW104" i="26"/>
  <c r="AW101" i="26"/>
  <c r="AM96" i="26"/>
  <c r="AM99" i="26"/>
  <c r="AK102" i="26"/>
  <c r="AK97" i="26"/>
  <c r="AN95" i="26"/>
  <c r="AN105" i="26"/>
  <c r="AV121" i="26"/>
  <c r="AV123" i="26"/>
  <c r="AN115" i="26"/>
  <c r="AN118" i="26"/>
  <c r="AM123" i="26"/>
  <c r="AM114" i="26"/>
  <c r="AV128" i="26"/>
  <c r="AN133" i="26"/>
  <c r="AN126" i="26"/>
  <c r="AO69" i="26"/>
  <c r="AO71" i="26"/>
  <c r="AN51" i="26"/>
  <c r="AO50" i="26"/>
  <c r="AM110" i="26"/>
  <c r="AW16" i="26"/>
  <c r="AX19" i="26"/>
  <c r="AN46" i="26"/>
  <c r="AM101" i="26"/>
  <c r="AN92" i="26"/>
  <c r="AV119" i="26"/>
  <c r="AM118" i="26"/>
  <c r="AN134" i="26"/>
  <c r="AO62" i="26"/>
  <c r="AO63" i="26"/>
  <c r="AW9" i="26"/>
  <c r="AO8" i="26"/>
  <c r="AO44" i="26"/>
  <c r="AR55" i="26"/>
  <c r="AQ47" i="26"/>
  <c r="AS53" i="26"/>
  <c r="AV122" i="26"/>
  <c r="AN113" i="26"/>
  <c r="AW8" i="26"/>
  <c r="AW19" i="26"/>
  <c r="AO16" i="26"/>
  <c r="AX16" i="26"/>
  <c r="AX12" i="26"/>
  <c r="AN52" i="26"/>
  <c r="AN49" i="26"/>
  <c r="AO51" i="26"/>
  <c r="AO47" i="26"/>
  <c r="AR54" i="26"/>
  <c r="AR50" i="26"/>
  <c r="AQ54" i="26"/>
  <c r="AQ42" i="26"/>
  <c r="AS47" i="26"/>
  <c r="AS50" i="26"/>
  <c r="AW106" i="26"/>
  <c r="AW94" i="26"/>
  <c r="AM94" i="26"/>
  <c r="AM97" i="26"/>
  <c r="AK93" i="26"/>
  <c r="AK105" i="26"/>
  <c r="AN103" i="26"/>
  <c r="AN93" i="26"/>
  <c r="AV116" i="26"/>
  <c r="AV110" i="26"/>
  <c r="AN123" i="26"/>
  <c r="AN116" i="26"/>
  <c r="AM122" i="26"/>
  <c r="AM113" i="26"/>
  <c r="AV136" i="26"/>
  <c r="AN131" i="26"/>
  <c r="AN140" i="26"/>
  <c r="AO61" i="26"/>
  <c r="AO60" i="26"/>
  <c r="AR47" i="26"/>
  <c r="AN97" i="26"/>
  <c r="AR43" i="26"/>
  <c r="AM95" i="26"/>
  <c r="AK98" i="26"/>
  <c r="AV118" i="26"/>
  <c r="AM112" i="26"/>
  <c r="AV129" i="26"/>
  <c r="AC206" i="20"/>
  <c r="AI206" i="20" s="1"/>
  <c r="AO10" i="26"/>
  <c r="AX17" i="26"/>
  <c r="AN53" i="26"/>
  <c r="AO54" i="26"/>
  <c r="AO55" i="26"/>
  <c r="AQ45" i="26"/>
  <c r="AS55" i="26"/>
  <c r="AW95" i="26"/>
  <c r="AM102" i="26"/>
  <c r="AK101" i="26"/>
  <c r="AN94" i="26"/>
  <c r="AV112" i="26"/>
  <c r="AN112" i="26"/>
  <c r="AM111" i="26"/>
  <c r="AV131" i="26"/>
  <c r="AV140" i="26"/>
  <c r="AN139" i="26"/>
  <c r="AO59" i="26"/>
  <c r="F209" i="20"/>
  <c r="AD209" i="20" s="1"/>
  <c r="AJ209" i="20" s="1"/>
  <c r="AY166" i="52"/>
  <c r="AY168" i="52" s="1"/>
  <c r="AY166" i="55"/>
  <c r="R6" i="8"/>
  <c r="BB72" i="26"/>
  <c r="BB69" i="26"/>
  <c r="BB66" i="26"/>
  <c r="BB64" i="26"/>
  <c r="BB62" i="26"/>
  <c r="BB58" i="26"/>
  <c r="BB70" i="26"/>
  <c r="BB59" i="26"/>
  <c r="BB71" i="26"/>
  <c r="BB67" i="26"/>
  <c r="BB65" i="26"/>
  <c r="BB63" i="26"/>
  <c r="BB60" i="26"/>
  <c r="BB68" i="26"/>
  <c r="BB61" i="26"/>
  <c r="BM70" i="26"/>
  <c r="BM59" i="26"/>
  <c r="BM71" i="26"/>
  <c r="BM67" i="26"/>
  <c r="BM65" i="26"/>
  <c r="BM63" i="26"/>
  <c r="BM60" i="26"/>
  <c r="BM72" i="26"/>
  <c r="BM68" i="26"/>
  <c r="BM61" i="26"/>
  <c r="BM69" i="26"/>
  <c r="BM66" i="26"/>
  <c r="BM64" i="26"/>
  <c r="BM62" i="26"/>
  <c r="BM58" i="26"/>
  <c r="AO33" i="26"/>
  <c r="AO30" i="26"/>
  <c r="AW27" i="26"/>
  <c r="AW25" i="26"/>
  <c r="AX72" i="26"/>
  <c r="AX68" i="26"/>
  <c r="CF68" i="26" s="1"/>
  <c r="AX61" i="26"/>
  <c r="CF61" i="26" s="1"/>
  <c r="AX69" i="26"/>
  <c r="CF69" i="26" s="1"/>
  <c r="AX66" i="26"/>
  <c r="AX64" i="26"/>
  <c r="AX62" i="26"/>
  <c r="AX58" i="26"/>
  <c r="AX70" i="26"/>
  <c r="AX59" i="26"/>
  <c r="CF59" i="26" s="1"/>
  <c r="AX71" i="26"/>
  <c r="AX67" i="26"/>
  <c r="CF67" i="26" s="1"/>
  <c r="AX65" i="26"/>
  <c r="AX63" i="26"/>
  <c r="AX60" i="26"/>
  <c r="CF60" i="26" s="1"/>
  <c r="AQ81" i="26"/>
  <c r="AQ83" i="26"/>
  <c r="AT85" i="26"/>
  <c r="AT88" i="26"/>
  <c r="AQ99" i="26"/>
  <c r="AQ95" i="26"/>
  <c r="AM70" i="26"/>
  <c r="BU70" i="26" s="1"/>
  <c r="AM59" i="26"/>
  <c r="AM71" i="26"/>
  <c r="BU71" i="26" s="1"/>
  <c r="AM67" i="26"/>
  <c r="BU67" i="26" s="1"/>
  <c r="AM65" i="26"/>
  <c r="AM63" i="26"/>
  <c r="AM60" i="26"/>
  <c r="AM72" i="26"/>
  <c r="AM68" i="26"/>
  <c r="BU68" i="26" s="1"/>
  <c r="AM61" i="26"/>
  <c r="BU61" i="26" s="1"/>
  <c r="AM69" i="26"/>
  <c r="AM66" i="26"/>
  <c r="AM64" i="26"/>
  <c r="AM62" i="26"/>
  <c r="AM58" i="26"/>
  <c r="BF71" i="26"/>
  <c r="BF67" i="26"/>
  <c r="BF65" i="26"/>
  <c r="BF63" i="26"/>
  <c r="BF60" i="26"/>
  <c r="BF72" i="26"/>
  <c r="BF68" i="26"/>
  <c r="BF61" i="26"/>
  <c r="BF69" i="26"/>
  <c r="BF66" i="26"/>
  <c r="BF64" i="26"/>
  <c r="BF62" i="26"/>
  <c r="BF58" i="26"/>
  <c r="BF70" i="26"/>
  <c r="BF59" i="26"/>
  <c r="AO34" i="26"/>
  <c r="AO38" i="26"/>
  <c r="AW35" i="26"/>
  <c r="AW30" i="26"/>
  <c r="AP71" i="26"/>
  <c r="AP72" i="26"/>
  <c r="AP68" i="26"/>
  <c r="AP61" i="26"/>
  <c r="AP58" i="26"/>
  <c r="AP69" i="26"/>
  <c r="AP66" i="26"/>
  <c r="AP64" i="26"/>
  <c r="AP62" i="26"/>
  <c r="AP70" i="26"/>
  <c r="AP59" i="26"/>
  <c r="AP67" i="26"/>
  <c r="AP65" i="26"/>
  <c r="AP63" i="26"/>
  <c r="AP60" i="26"/>
  <c r="AQ89" i="26"/>
  <c r="AQ77" i="26"/>
  <c r="AT75" i="26"/>
  <c r="AT79" i="26"/>
  <c r="AQ98" i="26"/>
  <c r="AQ103" i="26"/>
  <c r="AV71" i="26"/>
  <c r="CD71" i="26" s="1"/>
  <c r="AV67" i="26"/>
  <c r="AV65" i="26"/>
  <c r="AV63" i="26"/>
  <c r="AV60" i="26"/>
  <c r="CD60" i="26" s="1"/>
  <c r="AV72" i="26"/>
  <c r="AV68" i="26"/>
  <c r="CD68" i="26" s="1"/>
  <c r="AV61" i="26"/>
  <c r="CD61" i="26" s="1"/>
  <c r="AV69" i="26"/>
  <c r="AV66" i="26"/>
  <c r="AV64" i="26"/>
  <c r="AV62" i="26"/>
  <c r="AV58" i="26"/>
  <c r="CD58" i="26" s="1"/>
  <c r="AV70" i="26"/>
  <c r="CD70" i="26" s="1"/>
  <c r="AV59" i="26"/>
  <c r="CD59" i="26" s="1"/>
  <c r="CE72" i="26"/>
  <c r="BE70" i="26"/>
  <c r="BE59" i="26"/>
  <c r="BE71" i="26"/>
  <c r="BE67" i="26"/>
  <c r="BE65" i="26"/>
  <c r="BE63" i="26"/>
  <c r="BE60" i="26"/>
  <c r="BE72" i="26"/>
  <c r="BE68" i="26"/>
  <c r="BE61" i="26"/>
  <c r="BE69" i="26"/>
  <c r="BE66" i="26"/>
  <c r="BE64" i="26"/>
  <c r="BE62" i="26"/>
  <c r="BE58" i="26"/>
  <c r="AW33" i="26"/>
  <c r="AW38" i="26"/>
  <c r="AK69" i="26"/>
  <c r="BS69" i="26" s="1"/>
  <c r="AK66" i="26"/>
  <c r="AK64" i="26"/>
  <c r="AK62" i="26"/>
  <c r="AK58" i="26"/>
  <c r="BS58" i="26" s="1"/>
  <c r="AK70" i="26"/>
  <c r="BS70" i="26" s="1"/>
  <c r="AK59" i="26"/>
  <c r="AK71" i="26"/>
  <c r="BS71" i="26" s="1"/>
  <c r="AK67" i="26"/>
  <c r="BS67" i="26" s="1"/>
  <c r="AK65" i="26"/>
  <c r="AK63" i="26"/>
  <c r="AK60" i="26"/>
  <c r="BS60" i="26" s="1"/>
  <c r="AK72" i="26"/>
  <c r="BS72" i="26" s="1"/>
  <c r="AK68" i="26"/>
  <c r="BS68" i="26" s="1"/>
  <c r="AK61" i="26"/>
  <c r="BS61" i="26" s="1"/>
  <c r="AQ80" i="26"/>
  <c r="AQ85" i="26"/>
  <c r="AT83" i="26"/>
  <c r="AT87" i="26"/>
  <c r="AQ106" i="26"/>
  <c r="AQ101" i="26"/>
  <c r="AN71" i="26"/>
  <c r="BV71" i="26" s="1"/>
  <c r="AN67" i="26"/>
  <c r="BV67" i="26" s="1"/>
  <c r="AN65" i="26"/>
  <c r="AN63" i="26"/>
  <c r="AN60" i="26"/>
  <c r="BV60" i="26" s="1"/>
  <c r="AN72" i="26"/>
  <c r="AN68" i="26"/>
  <c r="BV68" i="26" s="1"/>
  <c r="AN61" i="26"/>
  <c r="AN69" i="26"/>
  <c r="BV69" i="26" s="1"/>
  <c r="AN66" i="26"/>
  <c r="AN64" i="26"/>
  <c r="AN62" i="26"/>
  <c r="AN58" i="26"/>
  <c r="AN70" i="26"/>
  <c r="BV70" i="26" s="1"/>
  <c r="AN59" i="26"/>
  <c r="AQ78" i="26"/>
  <c r="BD70" i="26"/>
  <c r="BD59" i="26"/>
  <c r="BD71" i="26"/>
  <c r="BD67" i="26"/>
  <c r="BD65" i="26"/>
  <c r="BD63" i="26"/>
  <c r="BD60" i="26"/>
  <c r="BD72" i="26"/>
  <c r="BD68" i="26"/>
  <c r="BD61" i="26"/>
  <c r="BD64" i="26"/>
  <c r="BD62" i="26"/>
  <c r="BD58" i="26"/>
  <c r="BD66" i="26"/>
  <c r="BD69" i="26"/>
  <c r="AO24" i="26"/>
  <c r="AO37" i="26"/>
  <c r="AW26" i="26"/>
  <c r="AW29" i="26"/>
  <c r="AQ88" i="26"/>
  <c r="AQ75" i="26"/>
  <c r="AT82" i="26"/>
  <c r="AQ92" i="26"/>
  <c r="AQ100" i="26"/>
  <c r="AV126" i="26"/>
  <c r="AV134" i="26"/>
  <c r="AR143" i="26"/>
  <c r="AQ154" i="26"/>
  <c r="AQ157" i="26"/>
  <c r="AR58" i="26"/>
  <c r="AR69" i="26"/>
  <c r="AR66" i="26"/>
  <c r="AR64" i="26"/>
  <c r="AR62" i="26"/>
  <c r="AR72" i="26"/>
  <c r="AR70" i="26"/>
  <c r="AR59" i="26"/>
  <c r="AR71" i="26"/>
  <c r="AR67" i="26"/>
  <c r="AR65" i="26"/>
  <c r="AR63" i="26"/>
  <c r="AR60" i="26"/>
  <c r="AR68" i="26"/>
  <c r="AR61" i="26"/>
  <c r="BC69" i="26"/>
  <c r="BC66" i="26"/>
  <c r="BC64" i="26"/>
  <c r="BC62" i="26"/>
  <c r="BC58" i="26"/>
  <c r="BC70" i="26"/>
  <c r="BC59" i="26"/>
  <c r="BC71" i="26"/>
  <c r="BC67" i="26"/>
  <c r="BC65" i="26"/>
  <c r="BC63" i="26"/>
  <c r="BC60" i="26"/>
  <c r="BC72" i="26"/>
  <c r="BC68" i="26"/>
  <c r="BC61" i="26"/>
  <c r="AW28" i="26"/>
  <c r="AT70" i="26"/>
  <c r="CB70" i="26" s="1"/>
  <c r="AT59" i="26"/>
  <c r="CB59" i="26" s="1"/>
  <c r="AT71" i="26"/>
  <c r="CB71" i="26" s="1"/>
  <c r="AT67" i="26"/>
  <c r="CB67" i="26" s="1"/>
  <c r="AT65" i="26"/>
  <c r="AT63" i="26"/>
  <c r="AT60" i="26"/>
  <c r="CB60" i="26" s="1"/>
  <c r="AT72" i="26"/>
  <c r="CB72" i="26" s="1"/>
  <c r="AT68" i="26"/>
  <c r="CB68" i="26" s="1"/>
  <c r="AT61" i="26"/>
  <c r="CB61" i="26" s="1"/>
  <c r="AT69" i="26"/>
  <c r="CB69" i="26" s="1"/>
  <c r="AT58" i="26"/>
  <c r="CB58" i="26" s="1"/>
  <c r="AT66" i="26"/>
  <c r="AT64" i="26"/>
  <c r="AT62" i="26"/>
  <c r="BL70" i="26"/>
  <c r="BL59" i="26"/>
  <c r="BL71" i="26"/>
  <c r="BL67" i="26"/>
  <c r="BL65" i="26"/>
  <c r="BL63" i="26"/>
  <c r="BL60" i="26"/>
  <c r="BL72" i="26"/>
  <c r="BL68" i="26"/>
  <c r="BL61" i="26"/>
  <c r="BL66" i="26"/>
  <c r="BL64" i="26"/>
  <c r="BL62" i="26"/>
  <c r="BL58" i="26"/>
  <c r="BL69" i="26"/>
  <c r="AO32" i="26"/>
  <c r="AW24" i="26"/>
  <c r="AW37" i="26"/>
  <c r="AU70" i="26"/>
  <c r="CC70" i="26" s="1"/>
  <c r="AU59" i="26"/>
  <c r="CC59" i="26" s="1"/>
  <c r="AU71" i="26"/>
  <c r="CC71" i="26" s="1"/>
  <c r="AU67" i="26"/>
  <c r="CC67" i="26" s="1"/>
  <c r="AU65" i="26"/>
  <c r="AU63" i="26"/>
  <c r="AU60" i="26"/>
  <c r="CC60" i="26" s="1"/>
  <c r="AU72" i="26"/>
  <c r="CC72" i="26" s="1"/>
  <c r="AU68" i="26"/>
  <c r="CC68" i="26" s="1"/>
  <c r="AU61" i="26"/>
  <c r="CC61" i="26" s="1"/>
  <c r="AU69" i="26"/>
  <c r="AU66" i="26"/>
  <c r="AU64" i="26"/>
  <c r="AU62" i="26"/>
  <c r="AU58" i="26"/>
  <c r="CC58" i="26" s="1"/>
  <c r="AQ79" i="26"/>
  <c r="AQ82" i="26"/>
  <c r="AT86" i="26"/>
  <c r="AT81" i="26"/>
  <c r="AQ97" i="26"/>
  <c r="AQ94" i="26"/>
  <c r="AV133" i="26"/>
  <c r="AR156" i="26"/>
  <c r="AQ145" i="26"/>
  <c r="AQ72" i="26"/>
  <c r="AQ68" i="26"/>
  <c r="AQ61" i="26"/>
  <c r="AQ69" i="26"/>
  <c r="AQ66" i="26"/>
  <c r="AQ64" i="26"/>
  <c r="AQ62" i="26"/>
  <c r="AQ58" i="26"/>
  <c r="AQ70" i="26"/>
  <c r="AQ59" i="26"/>
  <c r="AQ71" i="26"/>
  <c r="AQ67" i="26"/>
  <c r="AQ65" i="26"/>
  <c r="AQ63" i="26"/>
  <c r="AQ60" i="26"/>
  <c r="AS69" i="26"/>
  <c r="AS66" i="26"/>
  <c r="AS64" i="26"/>
  <c r="AS62" i="26"/>
  <c r="AS58" i="26"/>
  <c r="AS70" i="26"/>
  <c r="AS59" i="26"/>
  <c r="AS71" i="26"/>
  <c r="AS67" i="26"/>
  <c r="AS65" i="26"/>
  <c r="AS63" i="26"/>
  <c r="AS60" i="26"/>
  <c r="AS72" i="26"/>
  <c r="AS68" i="26"/>
  <c r="AS61" i="26"/>
  <c r="AW34" i="26"/>
  <c r="AQ84" i="26"/>
  <c r="AQ96" i="26"/>
  <c r="BO71" i="26"/>
  <c r="BO67" i="26"/>
  <c r="BO65" i="26"/>
  <c r="BO63" i="26"/>
  <c r="BO60" i="26"/>
  <c r="BO72" i="26"/>
  <c r="BO68" i="26"/>
  <c r="BO61" i="26"/>
  <c r="BO69" i="26"/>
  <c r="BO66" i="26"/>
  <c r="BO64" i="26"/>
  <c r="BO62" i="26"/>
  <c r="BO58" i="26"/>
  <c r="BO70" i="26"/>
  <c r="BO59" i="26"/>
  <c r="BN71" i="26"/>
  <c r="BN67" i="26"/>
  <c r="BN65" i="26"/>
  <c r="BN63" i="26"/>
  <c r="BN60" i="26"/>
  <c r="BN72" i="26"/>
  <c r="BN68" i="26"/>
  <c r="BN61" i="26"/>
  <c r="BN69" i="26"/>
  <c r="BN66" i="26"/>
  <c r="BN64" i="26"/>
  <c r="BN62" i="26"/>
  <c r="BN58" i="26"/>
  <c r="BN70" i="26"/>
  <c r="BN59" i="26"/>
  <c r="AO35" i="26"/>
  <c r="AW36" i="26"/>
  <c r="AL70" i="26"/>
  <c r="BT70" i="26" s="1"/>
  <c r="AL59" i="26"/>
  <c r="BT59" i="26" s="1"/>
  <c r="AL71" i="26"/>
  <c r="BT71" i="26" s="1"/>
  <c r="AL67" i="26"/>
  <c r="BT67" i="26" s="1"/>
  <c r="AL65" i="26"/>
  <c r="AL63" i="26"/>
  <c r="AL60" i="26"/>
  <c r="BT60" i="26" s="1"/>
  <c r="AL72" i="26"/>
  <c r="BT72" i="26" s="1"/>
  <c r="AL68" i="26"/>
  <c r="BT68" i="26" s="1"/>
  <c r="AL61" i="26"/>
  <c r="BT61" i="26" s="1"/>
  <c r="AL69" i="26"/>
  <c r="BT69" i="26" s="1"/>
  <c r="AL58" i="26"/>
  <c r="BT58" i="26" s="1"/>
  <c r="AL66" i="26"/>
  <c r="AL64" i="26"/>
  <c r="AL62" i="26"/>
  <c r="AT84" i="26"/>
  <c r="AQ93" i="26"/>
  <c r="Q123" i="26"/>
  <c r="AY122" i="26" s="1"/>
  <c r="Q174" i="26"/>
  <c r="AY174" i="26" s="1"/>
  <c r="C3" i="51"/>
  <c r="C7" i="51"/>
  <c r="C20" i="51" s="1"/>
  <c r="AU121" i="26"/>
  <c r="AU110" i="26"/>
  <c r="AU113" i="26"/>
  <c r="AU118" i="26"/>
  <c r="AU112" i="26"/>
  <c r="AU117" i="26"/>
  <c r="AU120" i="26"/>
  <c r="AU123" i="26"/>
  <c r="AU115" i="26"/>
  <c r="AU122" i="26"/>
  <c r="AU111" i="26"/>
  <c r="AU109" i="26"/>
  <c r="AU119" i="26"/>
  <c r="Q106" i="26"/>
  <c r="AY103" i="26" s="1"/>
  <c r="Q89" i="26"/>
  <c r="AY86" i="26" s="1"/>
  <c r="Q55" i="26"/>
  <c r="AY52" i="26" s="1"/>
  <c r="Q38" i="26"/>
  <c r="AY33" i="26" s="1"/>
  <c r="F164" i="20"/>
  <c r="AD164" i="20" s="1"/>
  <c r="AJ164" i="20" s="1"/>
  <c r="AB166" i="20"/>
  <c r="AH166" i="20" s="1"/>
  <c r="F201" i="20"/>
  <c r="AD201" i="20" s="1"/>
  <c r="AJ201" i="20" s="1"/>
  <c r="AA211" i="20"/>
  <c r="AG211" i="20" s="1"/>
  <c r="AB183" i="20"/>
  <c r="AH183" i="20" s="1"/>
  <c r="F191" i="20"/>
  <c r="AD191" i="20" s="1"/>
  <c r="AJ191" i="20" s="1"/>
  <c r="F181" i="20"/>
  <c r="AD181" i="20" s="1"/>
  <c r="AJ181" i="20" s="1"/>
  <c r="AC174" i="20"/>
  <c r="AI174" i="20" s="1"/>
  <c r="AB173" i="20"/>
  <c r="AH173" i="20" s="1"/>
  <c r="W56" i="20"/>
  <c r="W67" i="20"/>
  <c r="W71" i="20"/>
  <c r="W73" i="20"/>
  <c r="W62" i="20"/>
  <c r="W70" i="20"/>
  <c r="W64" i="20"/>
  <c r="W60" i="20"/>
  <c r="W61" i="20"/>
  <c r="W69" i="20"/>
  <c r="W65" i="20"/>
  <c r="W72" i="20"/>
  <c r="W59" i="20"/>
  <c r="W63" i="20"/>
  <c r="W66" i="20"/>
  <c r="W68" i="20"/>
  <c r="V49" i="20"/>
  <c r="V70" i="20"/>
  <c r="V69" i="20"/>
  <c r="V72" i="20"/>
  <c r="V59" i="20"/>
  <c r="V67" i="20"/>
  <c r="V60" i="20"/>
  <c r="V71" i="20"/>
  <c r="V61" i="20"/>
  <c r="V63" i="20"/>
  <c r="V65" i="20"/>
  <c r="V64" i="20"/>
  <c r="V66" i="20"/>
  <c r="V62" i="20"/>
  <c r="V68" i="20"/>
  <c r="V73" i="20"/>
  <c r="O51" i="20"/>
  <c r="O61" i="20"/>
  <c r="O60" i="20"/>
  <c r="O70" i="20"/>
  <c r="O63" i="20"/>
  <c r="O67" i="20"/>
  <c r="O64" i="20"/>
  <c r="O68" i="20"/>
  <c r="O72" i="20"/>
  <c r="O59" i="20"/>
  <c r="O65" i="20"/>
  <c r="O62" i="20"/>
  <c r="O71" i="20"/>
  <c r="O69" i="20"/>
  <c r="O66" i="20"/>
  <c r="O73" i="20"/>
  <c r="U56" i="20"/>
  <c r="U61" i="20"/>
  <c r="U71" i="20"/>
  <c r="U65" i="20"/>
  <c r="U67" i="20"/>
  <c r="U60" i="20"/>
  <c r="U63" i="20"/>
  <c r="U73" i="20"/>
  <c r="U59" i="20"/>
  <c r="U64" i="20"/>
  <c r="U72" i="20"/>
  <c r="U62" i="20"/>
  <c r="U66" i="20"/>
  <c r="U70" i="20"/>
  <c r="U68" i="20"/>
  <c r="U69" i="20"/>
  <c r="P62" i="20"/>
  <c r="P73" i="20"/>
  <c r="P64" i="20"/>
  <c r="P72" i="20"/>
  <c r="P70" i="20"/>
  <c r="P66" i="20"/>
  <c r="P63" i="20"/>
  <c r="P71" i="20"/>
  <c r="P61" i="20"/>
  <c r="P65" i="20"/>
  <c r="P69" i="20"/>
  <c r="P67" i="20"/>
  <c r="P59" i="20"/>
  <c r="P68" i="20"/>
  <c r="P60" i="20"/>
  <c r="Q48" i="20"/>
  <c r="Q67" i="20"/>
  <c r="Q72" i="20"/>
  <c r="Q68" i="20"/>
  <c r="Q63" i="20"/>
  <c r="Q62" i="20"/>
  <c r="Q69" i="20"/>
  <c r="Q60" i="20"/>
  <c r="Q65" i="20"/>
  <c r="Q61" i="20"/>
  <c r="Q64" i="20"/>
  <c r="Q59" i="20"/>
  <c r="Q70" i="20"/>
  <c r="Q73" i="20"/>
  <c r="Q66" i="20"/>
  <c r="Q71" i="20"/>
  <c r="AB184" i="20"/>
  <c r="AH184" i="20" s="1"/>
  <c r="F204" i="20"/>
  <c r="AD204" i="20" s="1"/>
  <c r="AJ204" i="20" s="1"/>
  <c r="AG185" i="20"/>
  <c r="D194" i="20"/>
  <c r="AB194" i="20" s="1"/>
  <c r="AH194" i="20" s="1"/>
  <c r="E194" i="20"/>
  <c r="Q194" i="20" s="1"/>
  <c r="AB170" i="20"/>
  <c r="AH170" i="20" s="1"/>
  <c r="AB169" i="20"/>
  <c r="AH169" i="20" s="1"/>
  <c r="F198" i="20"/>
  <c r="AD198" i="20" s="1"/>
  <c r="AJ198" i="20" s="1"/>
  <c r="AA204" i="20"/>
  <c r="AG204" i="20" s="1"/>
  <c r="AC187" i="20"/>
  <c r="AI187" i="20" s="1"/>
  <c r="AA190" i="20"/>
  <c r="AG190" i="20" s="1"/>
  <c r="F187" i="20"/>
  <c r="AD187" i="20" s="1"/>
  <c r="AJ187" i="20" s="1"/>
  <c r="F174" i="20"/>
  <c r="F190" i="20"/>
  <c r="AD190" i="20" s="1"/>
  <c r="AJ190" i="20" s="1"/>
  <c r="D212" i="20"/>
  <c r="P212" i="20" s="1"/>
  <c r="F202" i="20"/>
  <c r="AD202" i="20" s="1"/>
  <c r="AJ202" i="20" s="1"/>
  <c r="F192" i="20"/>
  <c r="AD192" i="20" s="1"/>
  <c r="AJ192" i="20" s="1"/>
  <c r="AB192" i="20"/>
  <c r="AH192" i="20" s="1"/>
  <c r="F199" i="20"/>
  <c r="AD199" i="20" s="1"/>
  <c r="AJ199" i="20" s="1"/>
  <c r="AA187" i="20"/>
  <c r="AG187" i="20" s="1"/>
  <c r="P198" i="20"/>
  <c r="Q183" i="20"/>
  <c r="Q193" i="20"/>
  <c r="AD183" i="20"/>
  <c r="AJ183" i="20" s="1"/>
  <c r="AD184" i="20"/>
  <c r="AJ184" i="20" s="1"/>
  <c r="O188" i="20"/>
  <c r="F188" i="20"/>
  <c r="AA188" i="20"/>
  <c r="AG188" i="20" s="1"/>
  <c r="Q207" i="20"/>
  <c r="AC207" i="20"/>
  <c r="AI207" i="20" s="1"/>
  <c r="P190" i="20"/>
  <c r="P182" i="20"/>
  <c r="O210" i="20"/>
  <c r="P199" i="20"/>
  <c r="Q184" i="20"/>
  <c r="Q209" i="20"/>
  <c r="P206" i="20"/>
  <c r="P191" i="20"/>
  <c r="Q180" i="20"/>
  <c r="AD211" i="20"/>
  <c r="AJ211" i="20" s="1"/>
  <c r="P205" i="20"/>
  <c r="P185" i="20"/>
  <c r="AB185" i="20"/>
  <c r="AH185" i="20" s="1"/>
  <c r="O205" i="20"/>
  <c r="F205" i="20"/>
  <c r="AA205" i="20"/>
  <c r="AG205" i="20" s="1"/>
  <c r="Q192" i="20"/>
  <c r="O199" i="20"/>
  <c r="P184" i="20"/>
  <c r="Q191" i="20"/>
  <c r="P203" i="20"/>
  <c r="O211" i="20"/>
  <c r="P180" i="20"/>
  <c r="Q202" i="20"/>
  <c r="P202" i="20"/>
  <c r="AB202" i="20"/>
  <c r="AH202" i="20" s="1"/>
  <c r="Q187" i="20"/>
  <c r="P201" i="20"/>
  <c r="P207" i="20"/>
  <c r="O182" i="20"/>
  <c r="O207" i="20"/>
  <c r="Q203" i="20"/>
  <c r="O181" i="20"/>
  <c r="Q200" i="20"/>
  <c r="Q188" i="20"/>
  <c r="P209" i="20"/>
  <c r="P208" i="20"/>
  <c r="O191" i="20"/>
  <c r="Q182" i="20"/>
  <c r="AC182" i="20"/>
  <c r="AI182" i="20" s="1"/>
  <c r="Q199" i="20"/>
  <c r="AC199" i="20"/>
  <c r="AI199" i="20" s="1"/>
  <c r="Q204" i="20"/>
  <c r="O190" i="20"/>
  <c r="F182" i="20"/>
  <c r="F207" i="20"/>
  <c r="P192" i="20"/>
  <c r="Q181" i="20"/>
  <c r="O189" i="20"/>
  <c r="P211" i="20"/>
  <c r="AD186" i="20"/>
  <c r="AJ186" i="20" s="1"/>
  <c r="Q205" i="20"/>
  <c r="P188" i="20"/>
  <c r="O204" i="20"/>
  <c r="AD200" i="20"/>
  <c r="AJ200" i="20" s="1"/>
  <c r="O180" i="20"/>
  <c r="F180" i="20"/>
  <c r="C194" i="20"/>
  <c r="AA180" i="20"/>
  <c r="AG180" i="20" s="1"/>
  <c r="F185" i="20"/>
  <c r="Q206" i="20"/>
  <c r="Q189" i="20"/>
  <c r="Q198" i="20"/>
  <c r="Q211" i="20"/>
  <c r="AD189" i="20"/>
  <c r="AJ189" i="20" s="1"/>
  <c r="O186" i="20"/>
  <c r="Q186" i="20"/>
  <c r="AG203" i="20"/>
  <c r="O203" i="20"/>
  <c r="F203" i="20"/>
  <c r="AA203" i="20"/>
  <c r="Q185" i="20"/>
  <c r="Q210" i="20"/>
  <c r="O200" i="20"/>
  <c r="O193" i="20"/>
  <c r="O185" i="20"/>
  <c r="P204" i="20"/>
  <c r="E212" i="20"/>
  <c r="O201" i="20"/>
  <c r="O192" i="20"/>
  <c r="Q208" i="20"/>
  <c r="C212" i="20"/>
  <c r="F208" i="20"/>
  <c r="O208" i="20"/>
  <c r="AA208" i="20"/>
  <c r="AG208" i="20" s="1"/>
  <c r="P193" i="20"/>
  <c r="AB193" i="20"/>
  <c r="AH193" i="20" s="1"/>
  <c r="P189" i="20"/>
  <c r="F193" i="20"/>
  <c r="O202" i="20"/>
  <c r="P181" i="20"/>
  <c r="O209" i="20"/>
  <c r="P186" i="20"/>
  <c r="O206" i="20"/>
  <c r="O198" i="20"/>
  <c r="P183" i="20"/>
  <c r="P200" i="20"/>
  <c r="O183" i="20"/>
  <c r="O184" i="20"/>
  <c r="Q190" i="20"/>
  <c r="AC190" i="20"/>
  <c r="AI190" i="20" s="1"/>
  <c r="P210" i="20"/>
  <c r="AB210" i="20"/>
  <c r="AH210" i="20" s="1"/>
  <c r="F210" i="20"/>
  <c r="P187" i="20"/>
  <c r="Q201" i="20"/>
  <c r="O187" i="20"/>
  <c r="AD206" i="20"/>
  <c r="AJ206" i="20" s="1"/>
  <c r="W90" i="20"/>
  <c r="W183" i="20"/>
  <c r="W211" i="20"/>
  <c r="W199" i="20"/>
  <c r="W180" i="20"/>
  <c r="W206" i="20"/>
  <c r="W188" i="20"/>
  <c r="W191" i="20"/>
  <c r="W208" i="20"/>
  <c r="W189" i="20"/>
  <c r="W207" i="20"/>
  <c r="W187" i="20"/>
  <c r="W201" i="20"/>
  <c r="W198" i="20"/>
  <c r="W200" i="20"/>
  <c r="W203" i="20"/>
  <c r="W186" i="20"/>
  <c r="W209" i="20"/>
  <c r="W181" i="20"/>
  <c r="W192" i="20"/>
  <c r="W190" i="20"/>
  <c r="W204" i="20"/>
  <c r="W182" i="20"/>
  <c r="W210" i="20"/>
  <c r="W185" i="20"/>
  <c r="W194" i="20"/>
  <c r="W202" i="20"/>
  <c r="W205" i="20"/>
  <c r="W193" i="20"/>
  <c r="W212" i="20"/>
  <c r="W184" i="20"/>
  <c r="V90" i="20"/>
  <c r="V187" i="20"/>
  <c r="V190" i="20"/>
  <c r="V185" i="20"/>
  <c r="V203" i="20"/>
  <c r="V206" i="20"/>
  <c r="V201" i="20"/>
  <c r="V199" i="20"/>
  <c r="V202" i="20"/>
  <c r="V193" i="20"/>
  <c r="V192" i="20"/>
  <c r="V211" i="20"/>
  <c r="V184" i="20"/>
  <c r="V209" i="20"/>
  <c r="V207" i="20"/>
  <c r="V210" i="20"/>
  <c r="V205" i="20"/>
  <c r="V183" i="20"/>
  <c r="V186" i="20"/>
  <c r="V204" i="20"/>
  <c r="V181" i="20"/>
  <c r="V182" i="20"/>
  <c r="V191" i="20"/>
  <c r="V198" i="20"/>
  <c r="V189" i="20"/>
  <c r="V188" i="20"/>
  <c r="V200" i="20"/>
  <c r="V180" i="20"/>
  <c r="V208" i="20"/>
  <c r="V194" i="20"/>
  <c r="U90" i="20"/>
  <c r="U187" i="20"/>
  <c r="U193" i="20"/>
  <c r="U192" i="20"/>
  <c r="U182" i="20"/>
  <c r="U202" i="20"/>
  <c r="U180" i="20"/>
  <c r="U186" i="20"/>
  <c r="U201" i="20"/>
  <c r="U188" i="20"/>
  <c r="U208" i="20"/>
  <c r="U183" i="20"/>
  <c r="U203" i="20"/>
  <c r="U198" i="20"/>
  <c r="U181" i="20"/>
  <c r="U199" i="20"/>
  <c r="U210" i="20"/>
  <c r="U209" i="20"/>
  <c r="U204" i="20"/>
  <c r="U185" i="20"/>
  <c r="U205" i="20"/>
  <c r="U211" i="20"/>
  <c r="U189" i="20"/>
  <c r="U184" i="20"/>
  <c r="U190" i="20"/>
  <c r="U191" i="20"/>
  <c r="U206" i="20"/>
  <c r="U207" i="20"/>
  <c r="U200" i="20"/>
  <c r="U212" i="20"/>
  <c r="U194" i="20"/>
  <c r="W106" i="20"/>
  <c r="V96" i="20"/>
  <c r="V98" i="20"/>
  <c r="BF170" i="26"/>
  <c r="BF162" i="26"/>
  <c r="BF171" i="26"/>
  <c r="BF163" i="26"/>
  <c r="BF164" i="26"/>
  <c r="BF172" i="26"/>
  <c r="BF173" i="26"/>
  <c r="BF165" i="26"/>
  <c r="BF160" i="26"/>
  <c r="BF169" i="26"/>
  <c r="BF174" i="26"/>
  <c r="BF166" i="26"/>
  <c r="BF167" i="26"/>
  <c r="BF168" i="26"/>
  <c r="BF161" i="26"/>
  <c r="BE169" i="26"/>
  <c r="BE161" i="26"/>
  <c r="BE170" i="26"/>
  <c r="BE162" i="26"/>
  <c r="BE171" i="26"/>
  <c r="BE163" i="26"/>
  <c r="BE172" i="26"/>
  <c r="BE164" i="26"/>
  <c r="BE168" i="26"/>
  <c r="BE160" i="26"/>
  <c r="BE173" i="26"/>
  <c r="BE165" i="26"/>
  <c r="BE167" i="26"/>
  <c r="BE174" i="26"/>
  <c r="BE166" i="26"/>
  <c r="BD168" i="26"/>
  <c r="BD160" i="26"/>
  <c r="BD169" i="26"/>
  <c r="BD161" i="26"/>
  <c r="BD170" i="26"/>
  <c r="BD162" i="26"/>
  <c r="BD171" i="26"/>
  <c r="BD163" i="26"/>
  <c r="BD174" i="26"/>
  <c r="BD166" i="26"/>
  <c r="BD172" i="26"/>
  <c r="BD164" i="26"/>
  <c r="BD167" i="26"/>
  <c r="BD173" i="26"/>
  <c r="BD165" i="26"/>
  <c r="BC167" i="26"/>
  <c r="BC168" i="26"/>
  <c r="BC160" i="26"/>
  <c r="BC161" i="26"/>
  <c r="BC169" i="26"/>
  <c r="BC170" i="26"/>
  <c r="BC162" i="26"/>
  <c r="BC173" i="26"/>
  <c r="BC174" i="26"/>
  <c r="BC171" i="26"/>
  <c r="BC163" i="26"/>
  <c r="BC165" i="26"/>
  <c r="BC172" i="26"/>
  <c r="BC164" i="26"/>
  <c r="BC166" i="26"/>
  <c r="BM169" i="26"/>
  <c r="BM161" i="26"/>
  <c r="BM170" i="26"/>
  <c r="BM162" i="26"/>
  <c r="BM171" i="26"/>
  <c r="BM160" i="26"/>
  <c r="BM163" i="26"/>
  <c r="BM172" i="26"/>
  <c r="BM164" i="26"/>
  <c r="BM167" i="26"/>
  <c r="BM173" i="26"/>
  <c r="BM165" i="26"/>
  <c r="BM168" i="26"/>
  <c r="BM174" i="26"/>
  <c r="BM166" i="26"/>
  <c r="BO171" i="26"/>
  <c r="BO163" i="26"/>
  <c r="BO172" i="26"/>
  <c r="BO164" i="26"/>
  <c r="BO165" i="26"/>
  <c r="BO173" i="26"/>
  <c r="BO174" i="26"/>
  <c r="BO166" i="26"/>
  <c r="BO161" i="26"/>
  <c r="BO170" i="26"/>
  <c r="BO162" i="26"/>
  <c r="BO167" i="26"/>
  <c r="BO168" i="26"/>
  <c r="BO160" i="26"/>
  <c r="BO169" i="26"/>
  <c r="BB174" i="26"/>
  <c r="BB166" i="26"/>
  <c r="BB167" i="26"/>
  <c r="BB168" i="26"/>
  <c r="BB160" i="26"/>
  <c r="BB169" i="26"/>
  <c r="BB161" i="26"/>
  <c r="BB172" i="26"/>
  <c r="BB165" i="26"/>
  <c r="BB170" i="26"/>
  <c r="BB162" i="26"/>
  <c r="BB171" i="26"/>
  <c r="BB163" i="26"/>
  <c r="BB164" i="26"/>
  <c r="BB173" i="26"/>
  <c r="BL168" i="26"/>
  <c r="BL160" i="26"/>
  <c r="BL169" i="26"/>
  <c r="BL161" i="26"/>
  <c r="BL162" i="26"/>
  <c r="BL170" i="26"/>
  <c r="BL171" i="26"/>
  <c r="BL163" i="26"/>
  <c r="BL172" i="26"/>
  <c r="BL164" i="26"/>
  <c r="BL173" i="26"/>
  <c r="BL165" i="26"/>
  <c r="BL174" i="26"/>
  <c r="BL166" i="26"/>
  <c r="BL167" i="26"/>
  <c r="BN170" i="26"/>
  <c r="BN162" i="26"/>
  <c r="BN171" i="26"/>
  <c r="BN163" i="26"/>
  <c r="BN172" i="26"/>
  <c r="BN164" i="26"/>
  <c r="BN161" i="26"/>
  <c r="BN173" i="26"/>
  <c r="BN165" i="26"/>
  <c r="BN174" i="26"/>
  <c r="BN166" i="26"/>
  <c r="BN168" i="26"/>
  <c r="BN167" i="26"/>
  <c r="BN160" i="26"/>
  <c r="BN169" i="26"/>
  <c r="BE151" i="26"/>
  <c r="BE143" i="26"/>
  <c r="BE144" i="26"/>
  <c r="BE152" i="26"/>
  <c r="BE153" i="26"/>
  <c r="BE145" i="26"/>
  <c r="BE154" i="26"/>
  <c r="BE155" i="26"/>
  <c r="BE147" i="26"/>
  <c r="BE157" i="26"/>
  <c r="BE149" i="26"/>
  <c r="BE156" i="26"/>
  <c r="BE148" i="26"/>
  <c r="BE150" i="26"/>
  <c r="BE146" i="26"/>
  <c r="BB156" i="26"/>
  <c r="BB148" i="26"/>
  <c r="BB149" i="26"/>
  <c r="BB150" i="26"/>
  <c r="BB151" i="26"/>
  <c r="BB143" i="26"/>
  <c r="BB152" i="26"/>
  <c r="BB144" i="26"/>
  <c r="BB154" i="26"/>
  <c r="BB153" i="26"/>
  <c r="BB145" i="26"/>
  <c r="BB146" i="26"/>
  <c r="BB155" i="26"/>
  <c r="BB147" i="26"/>
  <c r="BB157" i="26"/>
  <c r="BN152" i="26"/>
  <c r="BN144" i="26"/>
  <c r="BN153" i="26"/>
  <c r="BN154" i="26"/>
  <c r="BN146" i="26"/>
  <c r="BN155" i="26"/>
  <c r="BN147" i="26"/>
  <c r="BN156" i="26"/>
  <c r="BN148" i="26"/>
  <c r="BN150" i="26"/>
  <c r="BN157" i="26"/>
  <c r="BN149" i="26"/>
  <c r="BN151" i="26"/>
  <c r="BN143" i="26"/>
  <c r="BN145" i="26"/>
  <c r="BM151" i="26"/>
  <c r="BM143" i="26"/>
  <c r="BM152" i="26"/>
  <c r="BM153" i="26"/>
  <c r="BM145" i="26"/>
  <c r="BM154" i="26"/>
  <c r="BM146" i="26"/>
  <c r="BM155" i="26"/>
  <c r="BM147" i="26"/>
  <c r="BM156" i="26"/>
  <c r="BM148" i="26"/>
  <c r="BM157" i="26"/>
  <c r="BM149" i="26"/>
  <c r="BM150" i="26"/>
  <c r="BM144" i="26"/>
  <c r="BL150" i="26"/>
  <c r="BL145" i="26"/>
  <c r="BL143" i="26"/>
  <c r="BL152" i="26"/>
  <c r="BL144" i="26"/>
  <c r="BL153" i="26"/>
  <c r="BL154" i="26"/>
  <c r="BL146" i="26"/>
  <c r="BL155" i="26"/>
  <c r="BL147" i="26"/>
  <c r="BL156" i="26"/>
  <c r="BL148" i="26"/>
  <c r="BL157" i="26"/>
  <c r="BL149" i="26"/>
  <c r="BL151" i="26"/>
  <c r="BO153" i="26"/>
  <c r="BO145" i="26"/>
  <c r="BO154" i="26"/>
  <c r="BO155" i="26"/>
  <c r="BO147" i="26"/>
  <c r="BO156" i="26"/>
  <c r="BO148" i="26"/>
  <c r="BO157" i="26"/>
  <c r="BO149" i="26"/>
  <c r="BO151" i="26"/>
  <c r="BO150" i="26"/>
  <c r="BO152" i="26"/>
  <c r="BO144" i="26"/>
  <c r="BO146" i="26"/>
  <c r="BO143" i="26"/>
  <c r="BF152" i="26"/>
  <c r="BF144" i="26"/>
  <c r="BF145" i="26"/>
  <c r="BF154" i="26"/>
  <c r="BF146" i="26"/>
  <c r="BF155" i="26"/>
  <c r="BF147" i="26"/>
  <c r="BF156" i="26"/>
  <c r="BF148" i="26"/>
  <c r="BF157" i="26"/>
  <c r="BF149" i="26"/>
  <c r="BF150" i="26"/>
  <c r="BF151" i="26"/>
  <c r="BF143" i="26"/>
  <c r="BF153" i="26"/>
  <c r="BD150" i="26"/>
  <c r="BD151" i="26"/>
  <c r="BD152" i="26"/>
  <c r="BD144" i="26"/>
  <c r="BD153" i="26"/>
  <c r="BD145" i="26"/>
  <c r="BD154" i="26"/>
  <c r="BD146" i="26"/>
  <c r="BD156" i="26"/>
  <c r="BD148" i="26"/>
  <c r="BD155" i="26"/>
  <c r="BD147" i="26"/>
  <c r="BD157" i="26"/>
  <c r="BD149" i="26"/>
  <c r="BD143" i="26"/>
  <c r="BC157" i="26"/>
  <c r="BC149" i="26"/>
  <c r="BC150" i="26"/>
  <c r="BC151" i="26"/>
  <c r="BC143" i="26"/>
  <c r="BC152" i="26"/>
  <c r="BC144" i="26"/>
  <c r="BC153" i="26"/>
  <c r="BC145" i="26"/>
  <c r="BC155" i="26"/>
  <c r="BC154" i="26"/>
  <c r="BC146" i="26"/>
  <c r="BC156" i="26"/>
  <c r="BC148" i="26"/>
  <c r="BC147" i="26"/>
  <c r="BN134" i="26"/>
  <c r="BN126" i="26"/>
  <c r="BN135" i="26"/>
  <c r="BN127" i="26"/>
  <c r="BN136" i="26"/>
  <c r="BN128" i="26"/>
  <c r="BN140" i="26"/>
  <c r="BN137" i="26"/>
  <c r="BN129" i="26"/>
  <c r="BN138" i="26"/>
  <c r="BN130" i="26"/>
  <c r="BN132" i="26"/>
  <c r="BN139" i="26"/>
  <c r="BN131" i="26"/>
  <c r="BN133" i="26"/>
  <c r="BO135" i="26"/>
  <c r="BO127" i="26"/>
  <c r="BO134" i="26"/>
  <c r="BO126" i="26"/>
  <c r="BO136" i="26"/>
  <c r="BO128" i="26"/>
  <c r="BO133" i="26"/>
  <c r="BO137" i="26"/>
  <c r="BO129" i="26"/>
  <c r="BO138" i="26"/>
  <c r="BO130" i="26"/>
  <c r="BO139" i="26"/>
  <c r="BO131" i="26"/>
  <c r="BO140" i="26"/>
  <c r="BO132" i="26"/>
  <c r="BF134" i="26"/>
  <c r="BF126" i="26"/>
  <c r="BF132" i="26"/>
  <c r="BF135" i="26"/>
  <c r="BF127" i="26"/>
  <c r="BF136" i="26"/>
  <c r="BF128" i="26"/>
  <c r="BF133" i="26"/>
  <c r="BF137" i="26"/>
  <c r="BF129" i="26"/>
  <c r="BF138" i="26"/>
  <c r="BF130" i="26"/>
  <c r="BF139" i="26"/>
  <c r="BF131" i="26"/>
  <c r="BF140" i="26"/>
  <c r="BB138" i="26"/>
  <c r="BB130" i="26"/>
  <c r="BB139" i="26"/>
  <c r="BB131" i="26"/>
  <c r="BB136" i="26"/>
  <c r="BB140" i="26"/>
  <c r="BB132" i="26"/>
  <c r="BB128" i="26"/>
  <c r="BB137" i="26"/>
  <c r="BB133" i="26"/>
  <c r="BB134" i="26"/>
  <c r="BB126" i="26"/>
  <c r="BB135" i="26"/>
  <c r="BB127" i="26"/>
  <c r="BB129" i="26"/>
  <c r="BD140" i="26"/>
  <c r="BD132" i="26"/>
  <c r="BD133" i="26"/>
  <c r="BD139" i="26"/>
  <c r="BD131" i="26"/>
  <c r="BD134" i="26"/>
  <c r="BD126" i="26"/>
  <c r="BD138" i="26"/>
  <c r="BD135" i="26"/>
  <c r="BD127" i="26"/>
  <c r="BD130" i="26"/>
  <c r="BD136" i="26"/>
  <c r="BD128" i="26"/>
  <c r="BD137" i="26"/>
  <c r="BD129" i="26"/>
  <c r="BE133" i="26"/>
  <c r="BE139" i="26"/>
  <c r="BE134" i="26"/>
  <c r="BE126" i="26"/>
  <c r="BE131" i="26"/>
  <c r="BE135" i="26"/>
  <c r="BE127" i="26"/>
  <c r="BE140" i="26"/>
  <c r="BE136" i="26"/>
  <c r="BE128" i="26"/>
  <c r="BE132" i="26"/>
  <c r="BE137" i="26"/>
  <c r="BE129" i="26"/>
  <c r="BE138" i="26"/>
  <c r="BE130" i="26"/>
  <c r="BM133" i="26"/>
  <c r="BM140" i="26"/>
  <c r="BM132" i="26"/>
  <c r="BM134" i="26"/>
  <c r="BM126" i="26"/>
  <c r="BM139" i="26"/>
  <c r="BM135" i="26"/>
  <c r="BM127" i="26"/>
  <c r="BM136" i="26"/>
  <c r="BM128" i="26"/>
  <c r="BM137" i="26"/>
  <c r="BM129" i="26"/>
  <c r="BM138" i="26"/>
  <c r="BM130" i="26"/>
  <c r="BM131" i="26"/>
  <c r="BC139" i="26"/>
  <c r="BC131" i="26"/>
  <c r="BC137" i="26"/>
  <c r="BC140" i="26"/>
  <c r="BC132" i="26"/>
  <c r="BC129" i="26"/>
  <c r="BC133" i="26"/>
  <c r="BC134" i="26"/>
  <c r="BC126" i="26"/>
  <c r="BC135" i="26"/>
  <c r="BC127" i="26"/>
  <c r="BC138" i="26"/>
  <c r="BC130" i="26"/>
  <c r="BC136" i="26"/>
  <c r="BC128" i="26"/>
  <c r="BL140" i="26"/>
  <c r="BL132" i="26"/>
  <c r="BL133" i="26"/>
  <c r="BL134" i="26"/>
  <c r="BL126" i="26"/>
  <c r="BL130" i="26"/>
  <c r="BL135" i="26"/>
  <c r="BL127" i="26"/>
  <c r="BL136" i="26"/>
  <c r="BL128" i="26"/>
  <c r="BL138" i="26"/>
  <c r="BL137" i="26"/>
  <c r="BL129" i="26"/>
  <c r="BL139" i="26"/>
  <c r="BL131" i="26"/>
  <c r="BE123" i="26"/>
  <c r="BE115" i="26"/>
  <c r="BE116" i="26"/>
  <c r="BE118" i="26"/>
  <c r="BE114" i="26"/>
  <c r="BE117" i="26"/>
  <c r="BE109" i="26"/>
  <c r="BE110" i="26"/>
  <c r="BE121" i="26"/>
  <c r="BE122" i="26"/>
  <c r="BE119" i="26"/>
  <c r="BE111" i="26"/>
  <c r="BE120" i="26"/>
  <c r="BE112" i="26"/>
  <c r="BE113" i="26"/>
  <c r="BO117" i="26"/>
  <c r="BO109" i="26"/>
  <c r="BO118" i="26"/>
  <c r="BO110" i="26"/>
  <c r="BO120" i="26"/>
  <c r="BO112" i="26"/>
  <c r="BO116" i="26"/>
  <c r="BO119" i="26"/>
  <c r="BO111" i="26"/>
  <c r="BO121" i="26"/>
  <c r="BO113" i="26"/>
  <c r="BO123" i="26"/>
  <c r="BO115" i="26"/>
  <c r="BO122" i="26"/>
  <c r="BO114" i="26"/>
  <c r="BD122" i="26"/>
  <c r="BD114" i="26"/>
  <c r="BD117" i="26"/>
  <c r="BD109" i="26"/>
  <c r="BD121" i="26"/>
  <c r="BD123" i="26"/>
  <c r="BD115" i="26"/>
  <c r="BD112" i="26"/>
  <c r="BD116" i="26"/>
  <c r="BD113" i="26"/>
  <c r="BD118" i="26"/>
  <c r="BD110" i="26"/>
  <c r="BD119" i="26"/>
  <c r="BD111" i="26"/>
  <c r="BD120" i="26"/>
  <c r="BC121" i="26"/>
  <c r="BC113" i="26"/>
  <c r="BC111" i="26"/>
  <c r="BC122" i="26"/>
  <c r="BC114" i="26"/>
  <c r="BC112" i="26"/>
  <c r="BC123" i="26"/>
  <c r="BC115" i="26"/>
  <c r="BC116" i="26"/>
  <c r="BC117" i="26"/>
  <c r="BC109" i="26"/>
  <c r="BC120" i="26"/>
  <c r="BC118" i="26"/>
  <c r="BC110" i="26"/>
  <c r="BC119" i="26"/>
  <c r="BM123" i="26"/>
  <c r="BM115" i="26"/>
  <c r="BM118" i="26"/>
  <c r="BM110" i="26"/>
  <c r="BM116" i="26"/>
  <c r="BM117" i="26"/>
  <c r="BM109" i="26"/>
  <c r="BM113" i="26"/>
  <c r="BM119" i="26"/>
  <c r="BM111" i="26"/>
  <c r="BM122" i="26"/>
  <c r="BM114" i="26"/>
  <c r="BM120" i="26"/>
  <c r="BM112" i="26"/>
  <c r="BM121" i="26"/>
  <c r="BN116" i="26"/>
  <c r="BN123" i="26"/>
  <c r="BN117" i="26"/>
  <c r="BN109" i="26"/>
  <c r="BN119" i="26"/>
  <c r="BN118" i="26"/>
  <c r="BN110" i="26"/>
  <c r="BN111" i="26"/>
  <c r="BN115" i="26"/>
  <c r="BN120" i="26"/>
  <c r="BN112" i="26"/>
  <c r="BN122" i="26"/>
  <c r="BN114" i="26"/>
  <c r="BN121" i="26"/>
  <c r="BN113" i="26"/>
  <c r="BB120" i="26"/>
  <c r="BB112" i="26"/>
  <c r="BB118" i="26"/>
  <c r="BB111" i="26"/>
  <c r="BB121" i="26"/>
  <c r="BB113" i="26"/>
  <c r="BB119" i="26"/>
  <c r="BB122" i="26"/>
  <c r="BB114" i="26"/>
  <c r="BB123" i="26"/>
  <c r="BB115" i="26"/>
  <c r="BB116" i="26"/>
  <c r="BB109" i="26"/>
  <c r="BB110" i="26"/>
  <c r="BB117" i="26"/>
  <c r="BF116" i="26"/>
  <c r="BF117" i="26"/>
  <c r="BF109" i="26"/>
  <c r="BF111" i="26"/>
  <c r="BF122" i="26"/>
  <c r="BF114" i="26"/>
  <c r="BF123" i="26"/>
  <c r="BF118" i="26"/>
  <c r="BF110" i="26"/>
  <c r="BF119" i="26"/>
  <c r="BF120" i="26"/>
  <c r="BF112" i="26"/>
  <c r="BF121" i="26"/>
  <c r="BF113" i="26"/>
  <c r="BF115" i="26"/>
  <c r="BL122" i="26"/>
  <c r="BL114" i="26"/>
  <c r="BL113" i="26"/>
  <c r="BL123" i="26"/>
  <c r="BL115" i="26"/>
  <c r="BL109" i="26"/>
  <c r="BL121" i="26"/>
  <c r="BL116" i="26"/>
  <c r="BL117" i="26"/>
  <c r="BL118" i="26"/>
  <c r="BL110" i="26"/>
  <c r="BL120" i="26"/>
  <c r="BL112" i="26"/>
  <c r="BL119" i="26"/>
  <c r="BL111" i="26"/>
  <c r="BB102" i="26"/>
  <c r="BB94" i="26"/>
  <c r="BB103" i="26"/>
  <c r="BB95" i="26"/>
  <c r="BB104" i="26"/>
  <c r="BB96" i="26"/>
  <c r="BB105" i="26"/>
  <c r="BB97" i="26"/>
  <c r="BB106" i="26"/>
  <c r="BB98" i="26"/>
  <c r="BB92" i="26"/>
  <c r="BB99" i="26"/>
  <c r="BB101" i="26"/>
  <c r="BB93" i="26"/>
  <c r="BB100" i="26"/>
  <c r="BC103" i="26"/>
  <c r="BC95" i="26"/>
  <c r="BC104" i="26"/>
  <c r="BC96" i="26"/>
  <c r="BC105" i="26"/>
  <c r="BC97" i="26"/>
  <c r="BC101" i="26"/>
  <c r="BC106" i="26"/>
  <c r="BC98" i="26"/>
  <c r="BC93" i="26"/>
  <c r="BC99" i="26"/>
  <c r="BC100" i="26"/>
  <c r="BC92" i="26"/>
  <c r="BC102" i="26"/>
  <c r="BC94" i="26"/>
  <c r="BM105" i="26"/>
  <c r="BM97" i="26"/>
  <c r="BM95" i="26"/>
  <c r="BM106" i="26"/>
  <c r="BM98" i="26"/>
  <c r="BM99" i="26"/>
  <c r="BM100" i="26"/>
  <c r="BM92" i="26"/>
  <c r="BM101" i="26"/>
  <c r="BM93" i="26"/>
  <c r="BM102" i="26"/>
  <c r="BM94" i="26"/>
  <c r="BM104" i="26"/>
  <c r="BM96" i="26"/>
  <c r="BM103" i="26"/>
  <c r="BL104" i="26"/>
  <c r="BL96" i="26"/>
  <c r="BL102" i="26"/>
  <c r="BL105" i="26"/>
  <c r="BL97" i="26"/>
  <c r="BL94" i="26"/>
  <c r="BL106" i="26"/>
  <c r="BL98" i="26"/>
  <c r="BL99" i="26"/>
  <c r="BL100" i="26"/>
  <c r="BL92" i="26"/>
  <c r="BL101" i="26"/>
  <c r="BL93" i="26"/>
  <c r="BL103" i="26"/>
  <c r="BL95" i="26"/>
  <c r="BF106" i="26"/>
  <c r="BF98" i="26"/>
  <c r="BF99" i="26"/>
  <c r="BF100" i="26"/>
  <c r="BF92" i="26"/>
  <c r="BF101" i="26"/>
  <c r="BF93" i="26"/>
  <c r="BF96" i="26"/>
  <c r="BF102" i="26"/>
  <c r="BF94" i="26"/>
  <c r="BF103" i="26"/>
  <c r="BF95" i="26"/>
  <c r="BF104" i="26"/>
  <c r="BF105" i="26"/>
  <c r="BF97" i="26"/>
  <c r="BN106" i="26"/>
  <c r="BN98" i="26"/>
  <c r="BN99" i="26"/>
  <c r="BN104" i="26"/>
  <c r="BN100" i="26"/>
  <c r="BN92" i="26"/>
  <c r="BN101" i="26"/>
  <c r="BN93" i="26"/>
  <c r="BN102" i="26"/>
  <c r="BN94" i="26"/>
  <c r="BN103" i="26"/>
  <c r="BN95" i="26"/>
  <c r="BN105" i="26"/>
  <c r="BN97" i="26"/>
  <c r="BN96" i="26"/>
  <c r="BD104" i="26"/>
  <c r="BD96" i="26"/>
  <c r="BD105" i="26"/>
  <c r="BD97" i="26"/>
  <c r="BD106" i="26"/>
  <c r="BD98" i="26"/>
  <c r="BD99" i="26"/>
  <c r="BD100" i="26"/>
  <c r="BD92" i="26"/>
  <c r="BD102" i="26"/>
  <c r="BD101" i="26"/>
  <c r="BD93" i="26"/>
  <c r="BD94" i="26"/>
  <c r="BD103" i="26"/>
  <c r="BD95" i="26"/>
  <c r="BO99" i="26"/>
  <c r="BO105" i="26"/>
  <c r="BO100" i="26"/>
  <c r="BO92" i="26"/>
  <c r="BO97" i="26"/>
  <c r="BO101" i="26"/>
  <c r="BO93" i="26"/>
  <c r="BO102" i="26"/>
  <c r="BO94" i="26"/>
  <c r="BO103" i="26"/>
  <c r="BO95" i="26"/>
  <c r="BO104" i="26"/>
  <c r="BO96" i="26"/>
  <c r="BO106" i="26"/>
  <c r="BO98" i="26"/>
  <c r="BE105" i="26"/>
  <c r="BE97" i="26"/>
  <c r="BE106" i="26"/>
  <c r="BE98" i="26"/>
  <c r="BE99" i="26"/>
  <c r="BE100" i="26"/>
  <c r="BE92" i="26"/>
  <c r="BE103" i="26"/>
  <c r="BE101" i="26"/>
  <c r="BE93" i="26"/>
  <c r="BE95" i="26"/>
  <c r="BE102" i="26"/>
  <c r="BE94" i="26"/>
  <c r="BE104" i="26"/>
  <c r="BE96" i="26"/>
  <c r="BC85" i="26"/>
  <c r="BC77" i="26"/>
  <c r="BC88" i="26"/>
  <c r="BC81" i="26"/>
  <c r="BC86" i="26"/>
  <c r="BC78" i="26"/>
  <c r="BC80" i="26"/>
  <c r="BC89" i="26"/>
  <c r="BC75" i="26"/>
  <c r="BC76" i="26"/>
  <c r="BC87" i="26"/>
  <c r="BC79" i="26"/>
  <c r="BC82" i="26"/>
  <c r="BC83" i="26"/>
  <c r="BC84" i="26"/>
  <c r="BD86" i="26"/>
  <c r="BD78" i="26"/>
  <c r="BD83" i="26"/>
  <c r="BD76" i="26"/>
  <c r="BD77" i="26"/>
  <c r="BD87" i="26"/>
  <c r="BD79" i="26"/>
  <c r="BD82" i="26"/>
  <c r="BD84" i="26"/>
  <c r="BD88" i="26"/>
  <c r="BD80" i="26"/>
  <c r="BD89" i="26"/>
  <c r="BD81" i="26"/>
  <c r="BD85" i="26"/>
  <c r="BD75" i="26"/>
  <c r="BN88" i="26"/>
  <c r="BN80" i="26"/>
  <c r="BN75" i="26"/>
  <c r="BN77" i="26"/>
  <c r="BN86" i="26"/>
  <c r="BN89" i="26"/>
  <c r="BN81" i="26"/>
  <c r="BN83" i="26"/>
  <c r="BN82" i="26"/>
  <c r="BN84" i="26"/>
  <c r="BN76" i="26"/>
  <c r="BN85" i="26"/>
  <c r="BN78" i="26"/>
  <c r="BN87" i="26"/>
  <c r="BN79" i="26"/>
  <c r="BO89" i="26"/>
  <c r="BO81" i="26"/>
  <c r="BO84" i="26"/>
  <c r="BO86" i="26"/>
  <c r="BO78" i="26"/>
  <c r="BO80" i="26"/>
  <c r="BO82" i="26"/>
  <c r="BO76" i="26"/>
  <c r="BO79" i="26"/>
  <c r="BO88" i="26"/>
  <c r="BO83" i="26"/>
  <c r="BO75" i="26"/>
  <c r="BO85" i="26"/>
  <c r="BO77" i="26"/>
  <c r="BO87" i="26"/>
  <c r="BE87" i="26"/>
  <c r="BE79" i="26"/>
  <c r="BE82" i="26"/>
  <c r="BE76" i="26"/>
  <c r="BE85" i="26"/>
  <c r="BE88" i="26"/>
  <c r="BE80" i="26"/>
  <c r="BE83" i="26"/>
  <c r="BE78" i="26"/>
  <c r="BE89" i="26"/>
  <c r="BE81" i="26"/>
  <c r="BE75" i="26"/>
  <c r="BE84" i="26"/>
  <c r="BE77" i="26"/>
  <c r="BE86" i="26"/>
  <c r="BF88" i="26"/>
  <c r="BF80" i="26"/>
  <c r="BF83" i="26"/>
  <c r="BF76" i="26"/>
  <c r="BF78" i="26"/>
  <c r="BF79" i="26"/>
  <c r="BF89" i="26"/>
  <c r="BF81" i="26"/>
  <c r="BF75" i="26"/>
  <c r="BF84" i="26"/>
  <c r="BF85" i="26"/>
  <c r="BF82" i="26"/>
  <c r="BF77" i="26"/>
  <c r="BF86" i="26"/>
  <c r="BF87" i="26"/>
  <c r="BB84" i="26"/>
  <c r="BB76" i="26"/>
  <c r="BB79" i="26"/>
  <c r="BB89" i="26"/>
  <c r="BB81" i="26"/>
  <c r="BB85" i="26"/>
  <c r="BB77" i="26"/>
  <c r="BB87" i="26"/>
  <c r="BB82" i="26"/>
  <c r="BB86" i="26"/>
  <c r="BB78" i="26"/>
  <c r="BB88" i="26"/>
  <c r="BB80" i="26"/>
  <c r="BB83" i="26"/>
  <c r="BB75" i="26"/>
  <c r="BM87" i="26"/>
  <c r="BM79" i="26"/>
  <c r="BM84" i="26"/>
  <c r="BM86" i="26"/>
  <c r="BM88" i="26"/>
  <c r="BM80" i="26"/>
  <c r="BM75" i="26"/>
  <c r="BM76" i="26"/>
  <c r="BM85" i="26"/>
  <c r="BM77" i="26"/>
  <c r="BM89" i="26"/>
  <c r="BM81" i="26"/>
  <c r="BM82" i="26"/>
  <c r="BM83" i="26"/>
  <c r="BM78" i="26"/>
  <c r="BL86" i="26"/>
  <c r="BL78" i="26"/>
  <c r="BL89" i="26"/>
  <c r="BL87" i="26"/>
  <c r="BL79" i="26"/>
  <c r="BL81" i="26"/>
  <c r="BL85" i="26"/>
  <c r="BL88" i="26"/>
  <c r="BL80" i="26"/>
  <c r="BL82" i="26"/>
  <c r="BL83" i="26"/>
  <c r="BL75" i="26"/>
  <c r="BL76" i="26"/>
  <c r="BL84" i="26"/>
  <c r="BL77" i="26"/>
  <c r="BD51" i="26"/>
  <c r="BD43" i="26"/>
  <c r="BD52" i="26"/>
  <c r="BD44" i="26"/>
  <c r="BD53" i="26"/>
  <c r="BD45" i="26"/>
  <c r="BD54" i="26"/>
  <c r="BD46" i="26"/>
  <c r="BD50" i="26"/>
  <c r="BD55" i="26"/>
  <c r="BD47" i="26"/>
  <c r="BD42" i="26"/>
  <c r="BD48" i="26"/>
  <c r="BD49" i="26"/>
  <c r="BD41" i="26"/>
  <c r="BC50" i="26"/>
  <c r="BC42" i="26"/>
  <c r="BC49" i="26"/>
  <c r="BC51" i="26"/>
  <c r="BC43" i="26"/>
  <c r="BC52" i="26"/>
  <c r="BC44" i="26"/>
  <c r="BC53" i="26"/>
  <c r="BC45" i="26"/>
  <c r="BC54" i="26"/>
  <c r="BC46" i="26"/>
  <c r="BC55" i="26"/>
  <c r="BC47" i="26"/>
  <c r="BC48" i="26"/>
  <c r="BC41" i="26"/>
  <c r="BO54" i="26"/>
  <c r="BO46" i="26"/>
  <c r="BO45" i="26"/>
  <c r="BO55" i="26"/>
  <c r="BO47" i="26"/>
  <c r="BO48" i="26"/>
  <c r="BO49" i="26"/>
  <c r="BO41" i="26"/>
  <c r="BO53" i="26"/>
  <c r="BO50" i="26"/>
  <c r="BO42" i="26"/>
  <c r="BO51" i="26"/>
  <c r="BO43" i="26"/>
  <c r="BO52" i="26"/>
  <c r="BO44" i="26"/>
  <c r="BN53" i="26"/>
  <c r="BN45" i="26"/>
  <c r="BN54" i="26"/>
  <c r="BN46" i="26"/>
  <c r="BN55" i="26"/>
  <c r="BN47" i="26"/>
  <c r="BN44" i="26"/>
  <c r="BN48" i="26"/>
  <c r="BN42" i="26"/>
  <c r="BN49" i="26"/>
  <c r="BN41" i="26"/>
  <c r="BN50" i="26"/>
  <c r="BN51" i="26"/>
  <c r="BN43" i="26"/>
  <c r="BN52" i="26"/>
  <c r="BB49" i="26"/>
  <c r="BB41" i="26"/>
  <c r="BB50" i="26"/>
  <c r="BB42" i="26"/>
  <c r="BB51" i="26"/>
  <c r="BB43" i="26"/>
  <c r="BB48" i="26"/>
  <c r="BB52" i="26"/>
  <c r="BB44" i="26"/>
  <c r="BB53" i="26"/>
  <c r="BB45" i="26"/>
  <c r="BB54" i="26"/>
  <c r="BB46" i="26"/>
  <c r="BB55" i="26"/>
  <c r="BB47" i="26"/>
  <c r="BM52" i="26"/>
  <c r="BM44" i="26"/>
  <c r="BM53" i="26"/>
  <c r="BM45" i="26"/>
  <c r="BM43" i="26"/>
  <c r="BM54" i="26"/>
  <c r="BM46" i="26"/>
  <c r="BM55" i="26"/>
  <c r="BM47" i="26"/>
  <c r="BM48" i="26"/>
  <c r="BM51" i="26"/>
  <c r="BM49" i="26"/>
  <c r="BM41" i="26"/>
  <c r="BM50" i="26"/>
  <c r="BM42" i="26"/>
  <c r="BL51" i="26"/>
  <c r="BL43" i="26"/>
  <c r="BL52" i="26"/>
  <c r="BL44" i="26"/>
  <c r="BL50" i="26"/>
  <c r="BL53" i="26"/>
  <c r="BL45" i="26"/>
  <c r="BL54" i="26"/>
  <c r="BL46" i="26"/>
  <c r="BL42" i="26"/>
  <c r="BL55" i="26"/>
  <c r="BL47" i="26"/>
  <c r="BL48" i="26"/>
  <c r="BL49" i="26"/>
  <c r="BL41" i="26"/>
  <c r="BF53" i="26"/>
  <c r="BF45" i="26"/>
  <c r="BF52" i="26"/>
  <c r="BF54" i="26"/>
  <c r="BF46" i="26"/>
  <c r="BF55" i="26"/>
  <c r="BF47" i="26"/>
  <c r="BF42" i="26"/>
  <c r="BF48" i="26"/>
  <c r="BF49" i="26"/>
  <c r="BF41" i="26"/>
  <c r="BF50" i="26"/>
  <c r="BF51" i="26"/>
  <c r="BF43" i="26"/>
  <c r="BF44" i="26"/>
  <c r="BE52" i="26"/>
  <c r="BE44" i="26"/>
  <c r="BE43" i="26"/>
  <c r="BE53" i="26"/>
  <c r="BE45" i="26"/>
  <c r="BE41" i="26"/>
  <c r="BE54" i="26"/>
  <c r="BE46" i="26"/>
  <c r="BE51" i="26"/>
  <c r="BE55" i="26"/>
  <c r="BE47" i="26"/>
  <c r="BE48" i="26"/>
  <c r="BE49" i="26"/>
  <c r="BE50" i="26"/>
  <c r="BE42" i="26"/>
  <c r="BN35" i="26"/>
  <c r="BN27" i="26"/>
  <c r="BN32" i="26"/>
  <c r="BN25" i="26"/>
  <c r="BN36" i="26"/>
  <c r="BN28" i="26"/>
  <c r="BN37" i="26"/>
  <c r="BN29" i="26"/>
  <c r="BN38" i="26"/>
  <c r="BN30" i="26"/>
  <c r="BN24" i="26"/>
  <c r="BN31" i="26"/>
  <c r="BN33" i="26"/>
  <c r="BN34" i="26"/>
  <c r="BN26" i="26"/>
  <c r="BC32" i="26"/>
  <c r="BC24" i="26"/>
  <c r="BC33" i="26"/>
  <c r="BC25" i="26"/>
  <c r="BC34" i="26"/>
  <c r="BC26" i="26"/>
  <c r="BC35" i="26"/>
  <c r="BC27" i="26"/>
  <c r="BC36" i="26"/>
  <c r="BC28" i="26"/>
  <c r="BC37" i="26"/>
  <c r="BC29" i="26"/>
  <c r="BC38" i="26"/>
  <c r="BC30" i="26"/>
  <c r="BC31" i="26"/>
  <c r="BM34" i="26"/>
  <c r="BM26" i="26"/>
  <c r="BM32" i="26"/>
  <c r="BM35" i="26"/>
  <c r="BM27" i="26"/>
  <c r="BM36" i="26"/>
  <c r="BM28" i="26"/>
  <c r="BM37" i="26"/>
  <c r="BM29" i="26"/>
  <c r="BM24" i="26"/>
  <c r="BM38" i="26"/>
  <c r="BM30" i="26"/>
  <c r="BM31" i="26"/>
  <c r="BM33" i="26"/>
  <c r="BM25" i="26"/>
  <c r="BD33" i="26"/>
  <c r="BD25" i="26"/>
  <c r="BD34" i="26"/>
  <c r="BD26" i="26"/>
  <c r="BD30" i="26"/>
  <c r="BD35" i="26"/>
  <c r="BD27" i="26"/>
  <c r="BD36" i="26"/>
  <c r="BD28" i="26"/>
  <c r="BD37" i="26"/>
  <c r="BD29" i="26"/>
  <c r="BD31" i="26"/>
  <c r="BD32" i="26"/>
  <c r="BD24" i="26"/>
  <c r="BD38" i="26"/>
  <c r="BO36" i="26"/>
  <c r="BO28" i="26"/>
  <c r="BO26" i="26"/>
  <c r="BO37" i="26"/>
  <c r="BO29" i="26"/>
  <c r="BO38" i="26"/>
  <c r="BO30" i="26"/>
  <c r="BO34" i="26"/>
  <c r="BO31" i="26"/>
  <c r="BO32" i="26"/>
  <c r="BO24" i="26"/>
  <c r="BO33" i="26"/>
  <c r="BO35" i="26"/>
  <c r="BO27" i="26"/>
  <c r="BO25" i="26"/>
  <c r="BL33" i="26"/>
  <c r="BL25" i="26"/>
  <c r="BL38" i="26"/>
  <c r="BL30" i="26"/>
  <c r="BL31" i="26"/>
  <c r="BL34" i="26"/>
  <c r="BL26" i="26"/>
  <c r="BL35" i="26"/>
  <c r="BL27" i="26"/>
  <c r="BL36" i="26"/>
  <c r="BL28" i="26"/>
  <c r="BL37" i="26"/>
  <c r="BL29" i="26"/>
  <c r="BL32" i="26"/>
  <c r="BL24" i="26"/>
  <c r="BB31" i="26"/>
  <c r="BB36" i="26"/>
  <c r="BB28" i="26"/>
  <c r="BB32" i="26"/>
  <c r="BB24" i="26"/>
  <c r="BB37" i="26"/>
  <c r="BB33" i="26"/>
  <c r="BB25" i="26"/>
  <c r="BB29" i="26"/>
  <c r="BB34" i="26"/>
  <c r="BB26" i="26"/>
  <c r="BB35" i="26"/>
  <c r="BB27" i="26"/>
  <c r="BB38" i="26"/>
  <c r="BB30" i="26"/>
  <c r="BF35" i="26"/>
  <c r="BF27" i="26"/>
  <c r="BF36" i="26"/>
  <c r="BF28" i="26"/>
  <c r="BF32" i="26"/>
  <c r="BF37" i="26"/>
  <c r="BF29" i="26"/>
  <c r="BF24" i="26"/>
  <c r="BF38" i="26"/>
  <c r="BF30" i="26"/>
  <c r="BF33" i="26"/>
  <c r="BF31" i="26"/>
  <c r="BF25" i="26"/>
  <c r="BF34" i="26"/>
  <c r="BF26" i="26"/>
  <c r="BE34" i="26"/>
  <c r="BE26" i="26"/>
  <c r="BE35" i="26"/>
  <c r="BE27" i="26"/>
  <c r="BE36" i="26"/>
  <c r="BE28" i="26"/>
  <c r="BE24" i="26"/>
  <c r="BE37" i="26"/>
  <c r="BE29" i="26"/>
  <c r="BE38" i="26"/>
  <c r="BE30" i="26"/>
  <c r="BE32" i="26"/>
  <c r="BE33" i="26"/>
  <c r="BE25" i="26"/>
  <c r="BE31" i="26"/>
  <c r="AC173" i="20"/>
  <c r="AI173" i="20" s="1"/>
  <c r="AY170" i="26"/>
  <c r="AY171" i="26"/>
  <c r="AU170" i="26"/>
  <c r="AU162" i="26"/>
  <c r="AU171" i="26"/>
  <c r="AU163" i="26"/>
  <c r="AU169" i="26"/>
  <c r="AU172" i="26"/>
  <c r="AU164" i="26"/>
  <c r="AU161" i="26"/>
  <c r="AU173" i="26"/>
  <c r="AU165" i="26"/>
  <c r="AU174" i="26"/>
  <c r="AU166" i="26"/>
  <c r="AU167" i="26"/>
  <c r="AU168" i="26"/>
  <c r="AU160" i="26"/>
  <c r="AK168" i="26"/>
  <c r="AK160" i="26"/>
  <c r="AK169" i="26"/>
  <c r="AK161" i="26"/>
  <c r="AK162" i="26"/>
  <c r="AK170" i="26"/>
  <c r="AK171" i="26"/>
  <c r="AK163" i="26"/>
  <c r="AK167" i="26"/>
  <c r="AK172" i="26"/>
  <c r="AK164" i="26"/>
  <c r="AK173" i="26"/>
  <c r="AK165" i="26"/>
  <c r="AK174" i="26"/>
  <c r="AK166" i="26"/>
  <c r="AT169" i="26"/>
  <c r="AT161" i="26"/>
  <c r="AT168" i="26"/>
  <c r="AT160" i="26"/>
  <c r="AT170" i="26"/>
  <c r="AT162" i="26"/>
  <c r="AT171" i="26"/>
  <c r="AT163" i="26"/>
  <c r="AT172" i="26"/>
  <c r="AT164" i="26"/>
  <c r="AT173" i="26"/>
  <c r="AT165" i="26"/>
  <c r="AT174" i="26"/>
  <c r="AT166" i="26"/>
  <c r="AT167" i="26"/>
  <c r="AS168" i="26"/>
  <c r="AS160" i="26"/>
  <c r="AS169" i="26"/>
  <c r="AS161" i="26"/>
  <c r="AS170" i="26"/>
  <c r="AS162" i="26"/>
  <c r="AS171" i="26"/>
  <c r="AS163" i="26"/>
  <c r="AS172" i="26"/>
  <c r="AS164" i="26"/>
  <c r="AS173" i="26"/>
  <c r="AS165" i="26"/>
  <c r="AS174" i="26"/>
  <c r="AS166" i="26"/>
  <c r="AS167" i="26"/>
  <c r="AW172" i="26"/>
  <c r="AW164" i="26"/>
  <c r="AW171" i="26"/>
  <c r="AW173" i="26"/>
  <c r="AW165" i="26"/>
  <c r="AW174" i="26"/>
  <c r="AW166" i="26"/>
  <c r="AW167" i="26"/>
  <c r="AW163" i="26"/>
  <c r="AW168" i="26"/>
  <c r="AW160" i="26"/>
  <c r="AW169" i="26"/>
  <c r="AW161" i="26"/>
  <c r="AW170" i="26"/>
  <c r="AW162" i="26"/>
  <c r="AL169" i="26"/>
  <c r="AL161" i="26"/>
  <c r="AL170" i="26"/>
  <c r="AL162" i="26"/>
  <c r="AL160" i="26"/>
  <c r="AL171" i="26"/>
  <c r="AL163" i="26"/>
  <c r="AL172" i="26"/>
  <c r="AL164" i="26"/>
  <c r="AL173" i="26"/>
  <c r="AL165" i="26"/>
  <c r="AL168" i="26"/>
  <c r="AL174" i="26"/>
  <c r="AL166" i="26"/>
  <c r="AL167" i="26"/>
  <c r="AM170" i="26"/>
  <c r="AM162" i="26"/>
  <c r="AM171" i="26"/>
  <c r="AM163" i="26"/>
  <c r="AM172" i="26"/>
  <c r="AM164" i="26"/>
  <c r="AM173" i="26"/>
  <c r="AM165" i="26"/>
  <c r="AM174" i="26"/>
  <c r="AM166" i="26"/>
  <c r="AM161" i="26"/>
  <c r="AM167" i="26"/>
  <c r="AM169" i="26"/>
  <c r="AM168" i="26"/>
  <c r="AM160" i="26"/>
  <c r="AR167" i="26"/>
  <c r="AR161" i="26"/>
  <c r="AR168" i="26"/>
  <c r="AR160" i="26"/>
  <c r="AR166" i="26"/>
  <c r="AR169" i="26"/>
  <c r="AR170" i="26"/>
  <c r="AR162" i="26"/>
  <c r="AR171" i="26"/>
  <c r="AR163" i="26"/>
  <c r="AR174" i="26"/>
  <c r="AR172" i="26"/>
  <c r="AR164" i="26"/>
  <c r="AR173" i="26"/>
  <c r="AR165" i="26"/>
  <c r="AN171" i="26"/>
  <c r="AN163" i="26"/>
  <c r="AN172" i="26"/>
  <c r="AN164" i="26"/>
  <c r="AN173" i="26"/>
  <c r="AN165" i="26"/>
  <c r="AN174" i="26"/>
  <c r="AN166" i="26"/>
  <c r="AN170" i="26"/>
  <c r="AN167" i="26"/>
  <c r="AN168" i="26"/>
  <c r="AN160" i="26"/>
  <c r="AN169" i="26"/>
  <c r="AN161" i="26"/>
  <c r="AN162" i="26"/>
  <c r="AP173" i="26"/>
  <c r="AP165" i="26"/>
  <c r="AP174" i="26"/>
  <c r="AP166" i="26"/>
  <c r="AP167" i="26"/>
  <c r="AP168" i="26"/>
  <c r="AP160" i="26"/>
  <c r="AP169" i="26"/>
  <c r="AP161" i="26"/>
  <c r="AP170" i="26"/>
  <c r="AP162" i="26"/>
  <c r="AP172" i="26"/>
  <c r="AP171" i="26"/>
  <c r="AP163" i="26"/>
  <c r="AP164" i="26"/>
  <c r="AX173" i="26"/>
  <c r="AX165" i="26"/>
  <c r="AX174" i="26"/>
  <c r="AX166" i="26"/>
  <c r="AX172" i="26"/>
  <c r="AX167" i="26"/>
  <c r="AX168" i="26"/>
  <c r="AX160" i="26"/>
  <c r="AX169" i="26"/>
  <c r="AX161" i="26"/>
  <c r="AX164" i="26"/>
  <c r="AX170" i="26"/>
  <c r="AX162" i="26"/>
  <c r="AX171" i="26"/>
  <c r="AX163" i="26"/>
  <c r="AO172" i="26"/>
  <c r="AO164" i="26"/>
  <c r="AO173" i="26"/>
  <c r="AO165" i="26"/>
  <c r="AO163" i="26"/>
  <c r="AO174" i="26"/>
  <c r="AO166" i="26"/>
  <c r="AO167" i="26"/>
  <c r="AO168" i="26"/>
  <c r="AO160" i="26"/>
  <c r="AO171" i="26"/>
  <c r="AO169" i="26"/>
  <c r="AO161" i="26"/>
  <c r="AO170" i="26"/>
  <c r="AO162" i="26"/>
  <c r="AV171" i="26"/>
  <c r="AV163" i="26"/>
  <c r="AV172" i="26"/>
  <c r="AV164" i="26"/>
  <c r="AV173" i="26"/>
  <c r="AV165" i="26"/>
  <c r="AV174" i="26"/>
  <c r="AV166" i="26"/>
  <c r="AV167" i="26"/>
  <c r="AV168" i="26"/>
  <c r="AV160" i="26"/>
  <c r="AV162" i="26"/>
  <c r="AV169" i="26"/>
  <c r="AV161" i="26"/>
  <c r="AV170" i="26"/>
  <c r="AL151" i="26"/>
  <c r="AL143" i="26"/>
  <c r="AL157" i="26"/>
  <c r="AL150" i="26"/>
  <c r="AL152" i="26"/>
  <c r="AL144" i="26"/>
  <c r="AL156" i="26"/>
  <c r="AL153" i="26"/>
  <c r="AL145" i="26"/>
  <c r="AL148" i="26"/>
  <c r="AL154" i="26"/>
  <c r="AL146" i="26"/>
  <c r="AL149" i="26"/>
  <c r="AL155" i="26"/>
  <c r="AL147" i="26"/>
  <c r="AK150" i="26"/>
  <c r="AK157" i="26"/>
  <c r="AK149" i="26"/>
  <c r="AK151" i="26"/>
  <c r="AK143" i="26"/>
  <c r="AK144" i="26"/>
  <c r="AK147" i="26"/>
  <c r="AK156" i="26"/>
  <c r="AK152" i="26"/>
  <c r="AK153" i="26"/>
  <c r="AK145" i="26"/>
  <c r="AK155" i="26"/>
  <c r="AK148" i="26"/>
  <c r="AK154" i="26"/>
  <c r="AK146" i="26"/>
  <c r="AV153" i="26"/>
  <c r="AV145" i="26"/>
  <c r="AV150" i="26"/>
  <c r="AV151" i="26"/>
  <c r="AV154" i="26"/>
  <c r="AV146" i="26"/>
  <c r="AV155" i="26"/>
  <c r="AV147" i="26"/>
  <c r="AV156" i="26"/>
  <c r="AV148" i="26"/>
  <c r="AV143" i="26"/>
  <c r="AV152" i="26"/>
  <c r="AV144" i="26"/>
  <c r="AV157" i="26"/>
  <c r="AV149" i="26"/>
  <c r="AW154" i="26"/>
  <c r="AW146" i="26"/>
  <c r="AW143" i="26"/>
  <c r="AW152" i="26"/>
  <c r="AW155" i="26"/>
  <c r="AW147" i="26"/>
  <c r="AW156" i="26"/>
  <c r="AW148" i="26"/>
  <c r="AW157" i="26"/>
  <c r="AW149" i="26"/>
  <c r="AW151" i="26"/>
  <c r="AW153" i="26"/>
  <c r="AW145" i="26"/>
  <c r="AW150" i="26"/>
  <c r="AW144" i="26"/>
  <c r="AN153" i="26"/>
  <c r="AN145" i="26"/>
  <c r="AN143" i="26"/>
  <c r="AN152" i="26"/>
  <c r="AN144" i="26"/>
  <c r="AN154" i="26"/>
  <c r="AN146" i="26"/>
  <c r="AN155" i="26"/>
  <c r="AN147" i="26"/>
  <c r="AN156" i="26"/>
  <c r="AN148" i="26"/>
  <c r="AN150" i="26"/>
  <c r="AN151" i="26"/>
  <c r="AN157" i="26"/>
  <c r="AN149" i="26"/>
  <c r="AT151" i="26"/>
  <c r="AT143" i="26"/>
  <c r="AT156" i="26"/>
  <c r="AT148" i="26"/>
  <c r="AT152" i="26"/>
  <c r="AT144" i="26"/>
  <c r="AT153" i="26"/>
  <c r="AT145" i="26"/>
  <c r="AT149" i="26"/>
  <c r="AT154" i="26"/>
  <c r="AT146" i="26"/>
  <c r="AT157" i="26"/>
  <c r="AT150" i="26"/>
  <c r="AT155" i="26"/>
  <c r="AT147" i="26"/>
  <c r="AX155" i="26"/>
  <c r="AX147" i="26"/>
  <c r="AX153" i="26"/>
  <c r="AX145" i="26"/>
  <c r="AX156" i="26"/>
  <c r="AX148" i="26"/>
  <c r="AX152" i="26"/>
  <c r="AX144" i="26"/>
  <c r="AX157" i="26"/>
  <c r="AX149" i="26"/>
  <c r="AX150" i="26"/>
  <c r="AX154" i="26"/>
  <c r="AX146" i="26"/>
  <c r="AX151" i="26"/>
  <c r="AX143" i="26"/>
  <c r="AO154" i="26"/>
  <c r="AO146" i="26"/>
  <c r="AO144" i="26"/>
  <c r="AO153" i="26"/>
  <c r="AO145" i="26"/>
  <c r="AO155" i="26"/>
  <c r="AO147" i="26"/>
  <c r="AO156" i="26"/>
  <c r="AO148" i="26"/>
  <c r="AO157" i="26"/>
  <c r="AO149" i="26"/>
  <c r="AO143" i="26"/>
  <c r="AO152" i="26"/>
  <c r="AO150" i="26"/>
  <c r="AO151" i="26"/>
  <c r="Q157" i="26"/>
  <c r="AS150" i="26"/>
  <c r="AS148" i="26"/>
  <c r="AS151" i="26"/>
  <c r="AS143" i="26"/>
  <c r="AS152" i="26"/>
  <c r="AS144" i="26"/>
  <c r="AS153" i="26"/>
  <c r="AS145" i="26"/>
  <c r="AS147" i="26"/>
  <c r="AS156" i="26"/>
  <c r="AS157" i="26"/>
  <c r="AS149" i="26"/>
  <c r="AS154" i="26"/>
  <c r="AS146" i="26"/>
  <c r="AS155" i="26"/>
  <c r="AP155" i="26"/>
  <c r="AP147" i="26"/>
  <c r="AP152" i="26"/>
  <c r="AP154" i="26"/>
  <c r="AP146" i="26"/>
  <c r="AP156" i="26"/>
  <c r="AP148" i="26"/>
  <c r="AP157" i="26"/>
  <c r="AP149" i="26"/>
  <c r="AP150" i="26"/>
  <c r="AP143" i="26"/>
  <c r="AP153" i="26"/>
  <c r="AP145" i="26"/>
  <c r="AP151" i="26"/>
  <c r="AP144" i="26"/>
  <c r="AM152" i="26"/>
  <c r="AM144" i="26"/>
  <c r="AM150" i="26"/>
  <c r="AM151" i="26"/>
  <c r="AM143" i="26"/>
  <c r="AM153" i="26"/>
  <c r="AM145" i="26"/>
  <c r="AM154" i="26"/>
  <c r="AM146" i="26"/>
  <c r="AM155" i="26"/>
  <c r="AM147" i="26"/>
  <c r="AM157" i="26"/>
  <c r="AM156" i="26"/>
  <c r="AM148" i="26"/>
  <c r="AM149" i="26"/>
  <c r="AU152" i="26"/>
  <c r="AU144" i="26"/>
  <c r="AU153" i="26"/>
  <c r="AU145" i="26"/>
  <c r="AU149" i="26"/>
  <c r="AU154" i="26"/>
  <c r="AU146" i="26"/>
  <c r="AU155" i="26"/>
  <c r="AU147" i="26"/>
  <c r="AU151" i="26"/>
  <c r="AU143" i="26"/>
  <c r="AU156" i="26"/>
  <c r="AU148" i="26"/>
  <c r="AU157" i="26"/>
  <c r="AU150" i="26"/>
  <c r="AL133" i="26"/>
  <c r="AL138" i="26"/>
  <c r="AL132" i="26"/>
  <c r="AL134" i="26"/>
  <c r="AL126" i="26"/>
  <c r="AL127" i="26"/>
  <c r="AL130" i="26"/>
  <c r="AL135" i="26"/>
  <c r="AL136" i="26"/>
  <c r="AL128" i="26"/>
  <c r="AL137" i="26"/>
  <c r="AL129" i="26"/>
  <c r="AL139" i="26"/>
  <c r="AL131" i="26"/>
  <c r="AL140" i="26"/>
  <c r="AR139" i="26"/>
  <c r="AR131" i="26"/>
  <c r="AR136" i="26"/>
  <c r="AR128" i="26"/>
  <c r="AR130" i="26"/>
  <c r="AR140" i="26"/>
  <c r="AR132" i="26"/>
  <c r="AR133" i="26"/>
  <c r="AR134" i="26"/>
  <c r="AR126" i="26"/>
  <c r="AR135" i="26"/>
  <c r="AR127" i="26"/>
  <c r="AR137" i="26"/>
  <c r="AR129" i="26"/>
  <c r="AR138" i="26"/>
  <c r="AU134" i="26"/>
  <c r="AU126" i="26"/>
  <c r="AU133" i="26"/>
  <c r="AU135" i="26"/>
  <c r="AU127" i="26"/>
  <c r="AU139" i="26"/>
  <c r="AU131" i="26"/>
  <c r="AU136" i="26"/>
  <c r="AU128" i="26"/>
  <c r="AU137" i="26"/>
  <c r="AU129" i="26"/>
  <c r="AU138" i="26"/>
  <c r="AU130" i="26"/>
  <c r="AU140" i="26"/>
  <c r="AU132" i="26"/>
  <c r="AM134" i="26"/>
  <c r="AM126" i="26"/>
  <c r="AM128" i="26"/>
  <c r="AM139" i="26"/>
  <c r="AM131" i="26"/>
  <c r="AM135" i="26"/>
  <c r="AM127" i="26"/>
  <c r="AM136" i="26"/>
  <c r="AM137" i="26"/>
  <c r="AM129" i="26"/>
  <c r="AM138" i="26"/>
  <c r="AM130" i="26"/>
  <c r="AM140" i="26"/>
  <c r="AM132" i="26"/>
  <c r="AM133" i="26"/>
  <c r="AW136" i="26"/>
  <c r="AW128" i="26"/>
  <c r="AW137" i="26"/>
  <c r="AW129" i="26"/>
  <c r="AW133" i="26"/>
  <c r="AW127" i="26"/>
  <c r="AW138" i="26"/>
  <c r="AW130" i="26"/>
  <c r="AW139" i="26"/>
  <c r="AW131" i="26"/>
  <c r="AW135" i="26"/>
  <c r="AW140" i="26"/>
  <c r="AW132" i="26"/>
  <c r="AW134" i="26"/>
  <c r="AW126" i="26"/>
  <c r="AO136" i="26"/>
  <c r="AO128" i="26"/>
  <c r="AO133" i="26"/>
  <c r="AO127" i="26"/>
  <c r="AO137" i="26"/>
  <c r="AO129" i="26"/>
  <c r="AO138" i="26"/>
  <c r="AO130" i="26"/>
  <c r="AO139" i="26"/>
  <c r="AO131" i="26"/>
  <c r="AO140" i="26"/>
  <c r="AO132" i="26"/>
  <c r="AO134" i="26"/>
  <c r="AO126" i="26"/>
  <c r="AO135" i="26"/>
  <c r="AQ138" i="26"/>
  <c r="AQ130" i="26"/>
  <c r="AQ135" i="26"/>
  <c r="AQ127" i="26"/>
  <c r="AQ139" i="26"/>
  <c r="AQ131" i="26"/>
  <c r="AQ137" i="26"/>
  <c r="AQ129" i="26"/>
  <c r="AQ140" i="26"/>
  <c r="AQ132" i="26"/>
  <c r="AQ133" i="26"/>
  <c r="AQ126" i="26"/>
  <c r="AQ134" i="26"/>
  <c r="AQ136" i="26"/>
  <c r="AQ128" i="26"/>
  <c r="AS140" i="26"/>
  <c r="AS132" i="26"/>
  <c r="AS126" i="26"/>
  <c r="AS129" i="26"/>
  <c r="AS133" i="26"/>
  <c r="AS134" i="26"/>
  <c r="AS135" i="26"/>
  <c r="AS127" i="26"/>
  <c r="AS137" i="26"/>
  <c r="AS136" i="26"/>
  <c r="AS128" i="26"/>
  <c r="AS138" i="26"/>
  <c r="AS130" i="26"/>
  <c r="AS139" i="26"/>
  <c r="AS131" i="26"/>
  <c r="AK140" i="26"/>
  <c r="AK132" i="26"/>
  <c r="AK133" i="26"/>
  <c r="AK126" i="26"/>
  <c r="AK137" i="26"/>
  <c r="AK129" i="26"/>
  <c r="AK131" i="26"/>
  <c r="AK134" i="26"/>
  <c r="AK135" i="26"/>
  <c r="AK127" i="26"/>
  <c r="AK128" i="26"/>
  <c r="AK136" i="26"/>
  <c r="AK138" i="26"/>
  <c r="AK130" i="26"/>
  <c r="AK139" i="26"/>
  <c r="AX137" i="26"/>
  <c r="AX129" i="26"/>
  <c r="AX128" i="26"/>
  <c r="AX138" i="26"/>
  <c r="AX130" i="26"/>
  <c r="AX134" i="26"/>
  <c r="AX126" i="26"/>
  <c r="AX139" i="26"/>
  <c r="AX131" i="26"/>
  <c r="AX140" i="26"/>
  <c r="AX132" i="26"/>
  <c r="AX133" i="26"/>
  <c r="AX135" i="26"/>
  <c r="AX127" i="26"/>
  <c r="AX136" i="26"/>
  <c r="Q140" i="26"/>
  <c r="AT133" i="26"/>
  <c r="AT134" i="26"/>
  <c r="AT126" i="26"/>
  <c r="AT138" i="26"/>
  <c r="AT132" i="26"/>
  <c r="AT135" i="26"/>
  <c r="AT127" i="26"/>
  <c r="AT136" i="26"/>
  <c r="AT128" i="26"/>
  <c r="AT130" i="26"/>
  <c r="AT137" i="26"/>
  <c r="AT129" i="26"/>
  <c r="AT139" i="26"/>
  <c r="AT131" i="26"/>
  <c r="AT140" i="26"/>
  <c r="AP137" i="26"/>
  <c r="AP129" i="26"/>
  <c r="AP134" i="26"/>
  <c r="AP126" i="26"/>
  <c r="AP136" i="26"/>
  <c r="AP138" i="26"/>
  <c r="AP130" i="26"/>
  <c r="AP139" i="26"/>
  <c r="AP131" i="26"/>
  <c r="AP140" i="26"/>
  <c r="AP132" i="26"/>
  <c r="AP133" i="26"/>
  <c r="AP135" i="26"/>
  <c r="AP127" i="26"/>
  <c r="AP128" i="26"/>
  <c r="AR121" i="26"/>
  <c r="AR113" i="26"/>
  <c r="AR118" i="26"/>
  <c r="AR119" i="26"/>
  <c r="AR120" i="26"/>
  <c r="AR122" i="26"/>
  <c r="AR114" i="26"/>
  <c r="AR123" i="26"/>
  <c r="AR115" i="26"/>
  <c r="AR112" i="26"/>
  <c r="AR116" i="26"/>
  <c r="AR109" i="26"/>
  <c r="AR111" i="26"/>
  <c r="AR117" i="26"/>
  <c r="AR110" i="26"/>
  <c r="AK122" i="26"/>
  <c r="AK114" i="26"/>
  <c r="AK112" i="26"/>
  <c r="AK113" i="26"/>
  <c r="AK123" i="26"/>
  <c r="AK115" i="26"/>
  <c r="AK116" i="26"/>
  <c r="AK117" i="26"/>
  <c r="AK109" i="26"/>
  <c r="AK111" i="26"/>
  <c r="AK120" i="26"/>
  <c r="AK121" i="26"/>
  <c r="AK118" i="26"/>
  <c r="AK110" i="26"/>
  <c r="AK119" i="26"/>
  <c r="AT123" i="26"/>
  <c r="AT115" i="26"/>
  <c r="AT121" i="26"/>
  <c r="AT116" i="26"/>
  <c r="AT122" i="26"/>
  <c r="AT117" i="26"/>
  <c r="AT109" i="26"/>
  <c r="AT118" i="26"/>
  <c r="AT110" i="26"/>
  <c r="AT111" i="26"/>
  <c r="AT112" i="26"/>
  <c r="AT113" i="26"/>
  <c r="AT114" i="26"/>
  <c r="AT119" i="26"/>
  <c r="AT120" i="26"/>
  <c r="AY110" i="26"/>
  <c r="AY121" i="26"/>
  <c r="AY113" i="26"/>
  <c r="AY118" i="26"/>
  <c r="AY119" i="26"/>
  <c r="AY111" i="26"/>
  <c r="AL123" i="26"/>
  <c r="AL115" i="26"/>
  <c r="AL112" i="26"/>
  <c r="AL114" i="26"/>
  <c r="AL116" i="26"/>
  <c r="AL117" i="26"/>
  <c r="AL109" i="26"/>
  <c r="AL118" i="26"/>
  <c r="AL110" i="26"/>
  <c r="AL121" i="26"/>
  <c r="AL119" i="26"/>
  <c r="AL111" i="26"/>
  <c r="AL113" i="26"/>
  <c r="AL120" i="26"/>
  <c r="AL122" i="26"/>
  <c r="AP119" i="26"/>
  <c r="AP111" i="26"/>
  <c r="AP116" i="26"/>
  <c r="AP118" i="26"/>
  <c r="AP110" i="26"/>
  <c r="AP120" i="26"/>
  <c r="AP112" i="26"/>
  <c r="AP121" i="26"/>
  <c r="AP113" i="26"/>
  <c r="AP122" i="26"/>
  <c r="AP114" i="26"/>
  <c r="AP117" i="26"/>
  <c r="AP109" i="26"/>
  <c r="AP123" i="26"/>
  <c r="AP115" i="26"/>
  <c r="AS122" i="26"/>
  <c r="AS114" i="26"/>
  <c r="AS120" i="26"/>
  <c r="AS121" i="26"/>
  <c r="AS123" i="26"/>
  <c r="AS115" i="26"/>
  <c r="AS112" i="26"/>
  <c r="AS116" i="26"/>
  <c r="AS117" i="26"/>
  <c r="AS109" i="26"/>
  <c r="AS110" i="26"/>
  <c r="AS119" i="26"/>
  <c r="AS113" i="26"/>
  <c r="AS118" i="26"/>
  <c r="AS111" i="26"/>
  <c r="AX119" i="26"/>
  <c r="AX111" i="26"/>
  <c r="AX117" i="26"/>
  <c r="AX109" i="26"/>
  <c r="AX120" i="26"/>
  <c r="AX112" i="26"/>
  <c r="AX121" i="26"/>
  <c r="AX113" i="26"/>
  <c r="AX122" i="26"/>
  <c r="AX114" i="26"/>
  <c r="AX118" i="26"/>
  <c r="AX110" i="26"/>
  <c r="AX123" i="26"/>
  <c r="AX115" i="26"/>
  <c r="AX116" i="26"/>
  <c r="AY102" i="26"/>
  <c r="AY94" i="26"/>
  <c r="AY96" i="26"/>
  <c r="AY105" i="26"/>
  <c r="AL105" i="26"/>
  <c r="AL97" i="26"/>
  <c r="AL93" i="26"/>
  <c r="AL106" i="26"/>
  <c r="AL98" i="26"/>
  <c r="AL103" i="26"/>
  <c r="AL104" i="26"/>
  <c r="AL96" i="26"/>
  <c r="AL99" i="26"/>
  <c r="AL100" i="26"/>
  <c r="AL92" i="26"/>
  <c r="AL95" i="26"/>
  <c r="AL101" i="26"/>
  <c r="AL102" i="26"/>
  <c r="AL94" i="26"/>
  <c r="AX101" i="26"/>
  <c r="AX93" i="26"/>
  <c r="AX92" i="26"/>
  <c r="AX102" i="26"/>
  <c r="AX94" i="26"/>
  <c r="AX103" i="26"/>
  <c r="AX95" i="26"/>
  <c r="AX104" i="26"/>
  <c r="AX96" i="26"/>
  <c r="AX100" i="26"/>
  <c r="AX105" i="26"/>
  <c r="AX97" i="26"/>
  <c r="AX106" i="26"/>
  <c r="AX98" i="26"/>
  <c r="AX99" i="26"/>
  <c r="AS104" i="26"/>
  <c r="AS96" i="26"/>
  <c r="AS102" i="26"/>
  <c r="AS94" i="26"/>
  <c r="AS105" i="26"/>
  <c r="AS97" i="26"/>
  <c r="AS106" i="26"/>
  <c r="AS98" i="26"/>
  <c r="AS99" i="26"/>
  <c r="AS103" i="26"/>
  <c r="AS100" i="26"/>
  <c r="AS92" i="26"/>
  <c r="AS101" i="26"/>
  <c r="AS93" i="26"/>
  <c r="AS95" i="26"/>
  <c r="AP101" i="26"/>
  <c r="AP93" i="26"/>
  <c r="AP102" i="26"/>
  <c r="AP94" i="26"/>
  <c r="AP95" i="26"/>
  <c r="AP103" i="26"/>
  <c r="AP104" i="26"/>
  <c r="AP96" i="26"/>
  <c r="AP99" i="26"/>
  <c r="AP92" i="26"/>
  <c r="AP105" i="26"/>
  <c r="AP97" i="26"/>
  <c r="AP106" i="26"/>
  <c r="AP98" i="26"/>
  <c r="AP100" i="26"/>
  <c r="AT105" i="26"/>
  <c r="AT97" i="26"/>
  <c r="AT106" i="26"/>
  <c r="AT98" i="26"/>
  <c r="AT95" i="26"/>
  <c r="AT99" i="26"/>
  <c r="AT100" i="26"/>
  <c r="AT92" i="26"/>
  <c r="AT93" i="26"/>
  <c r="AT103" i="26"/>
  <c r="AT96" i="26"/>
  <c r="AT101" i="26"/>
  <c r="AT102" i="26"/>
  <c r="AT94" i="26"/>
  <c r="AT104" i="26"/>
  <c r="AY81" i="26"/>
  <c r="AN89" i="26"/>
  <c r="AN81" i="26"/>
  <c r="AN75" i="26"/>
  <c r="AN87" i="26"/>
  <c r="AN88" i="26"/>
  <c r="AN82" i="26"/>
  <c r="AN83" i="26"/>
  <c r="AN84" i="26"/>
  <c r="AN76" i="26"/>
  <c r="AN85" i="26"/>
  <c r="AN77" i="26"/>
  <c r="AN80" i="26"/>
  <c r="AN86" i="26"/>
  <c r="AN78" i="26"/>
  <c r="AN79" i="26"/>
  <c r="AP83" i="26"/>
  <c r="AP75" i="26"/>
  <c r="AP84" i="26"/>
  <c r="AP76" i="26"/>
  <c r="AP89" i="26"/>
  <c r="AP85" i="26"/>
  <c r="AP77" i="26"/>
  <c r="AP86" i="26"/>
  <c r="AP78" i="26"/>
  <c r="AP87" i="26"/>
  <c r="AP79" i="26"/>
  <c r="AP82" i="26"/>
  <c r="AP88" i="26"/>
  <c r="AP80" i="26"/>
  <c r="AP81" i="26"/>
  <c r="AU88" i="26"/>
  <c r="AU80" i="26"/>
  <c r="AU79" i="26"/>
  <c r="AU89" i="26"/>
  <c r="AU81" i="26"/>
  <c r="AU86" i="26"/>
  <c r="AU82" i="26"/>
  <c r="AU83" i="26"/>
  <c r="AU75" i="26"/>
  <c r="AU84" i="26"/>
  <c r="AU76" i="26"/>
  <c r="AU78" i="26"/>
  <c r="AU87" i="26"/>
  <c r="AU85" i="26"/>
  <c r="AU77" i="26"/>
  <c r="AM88" i="26"/>
  <c r="AM80" i="26"/>
  <c r="AM78" i="26"/>
  <c r="AM87" i="26"/>
  <c r="AM89" i="26"/>
  <c r="AM81" i="26"/>
  <c r="AM82" i="26"/>
  <c r="AM83" i="26"/>
  <c r="AM75" i="26"/>
  <c r="AM84" i="26"/>
  <c r="AM76" i="26"/>
  <c r="AM85" i="26"/>
  <c r="AM77" i="26"/>
  <c r="AM86" i="26"/>
  <c r="AM79" i="26"/>
  <c r="AS86" i="26"/>
  <c r="AS78" i="26"/>
  <c r="AS77" i="26"/>
  <c r="AS87" i="26"/>
  <c r="AS79" i="26"/>
  <c r="AS88" i="26"/>
  <c r="AS80" i="26"/>
  <c r="AS89" i="26"/>
  <c r="AS81" i="26"/>
  <c r="AS84" i="26"/>
  <c r="AS82" i="26"/>
  <c r="AS76" i="26"/>
  <c r="AS85" i="26"/>
  <c r="AS83" i="26"/>
  <c r="AS75" i="26"/>
  <c r="AW82" i="26"/>
  <c r="AW83" i="26"/>
  <c r="AW75" i="26"/>
  <c r="AW84" i="26"/>
  <c r="AW76" i="26"/>
  <c r="AW85" i="26"/>
  <c r="AW77" i="26"/>
  <c r="AW86" i="26"/>
  <c r="AW78" i="26"/>
  <c r="AW88" i="26"/>
  <c r="AW80" i="26"/>
  <c r="AW89" i="26"/>
  <c r="AW87" i="26"/>
  <c r="AW79" i="26"/>
  <c r="AW81" i="26"/>
  <c r="AK86" i="26"/>
  <c r="AK78" i="26"/>
  <c r="AK76" i="26"/>
  <c r="AK85" i="26"/>
  <c r="AK87" i="26"/>
  <c r="AK79" i="26"/>
  <c r="AK84" i="26"/>
  <c r="AK88" i="26"/>
  <c r="AK80" i="26"/>
  <c r="AK89" i="26"/>
  <c r="AK81" i="26"/>
  <c r="AK82" i="26"/>
  <c r="AK83" i="26"/>
  <c r="AK75" i="26"/>
  <c r="AK77" i="26"/>
  <c r="AO82" i="26"/>
  <c r="AO80" i="26"/>
  <c r="AO81" i="26"/>
  <c r="AO83" i="26"/>
  <c r="AO75" i="26"/>
  <c r="AO84" i="26"/>
  <c r="AO76" i="26"/>
  <c r="AO85" i="26"/>
  <c r="AO77" i="26"/>
  <c r="AO86" i="26"/>
  <c r="AO78" i="26"/>
  <c r="AO87" i="26"/>
  <c r="AO79" i="26"/>
  <c r="AO88" i="26"/>
  <c r="AO89" i="26"/>
  <c r="AV89" i="26"/>
  <c r="AV81" i="26"/>
  <c r="AV82" i="26"/>
  <c r="AV75" i="26"/>
  <c r="AV79" i="26"/>
  <c r="AV88" i="26"/>
  <c r="AV80" i="26"/>
  <c r="AV83" i="26"/>
  <c r="AV84" i="26"/>
  <c r="AV76" i="26"/>
  <c r="AV85" i="26"/>
  <c r="AV77" i="26"/>
  <c r="AV87" i="26"/>
  <c r="AV86" i="26"/>
  <c r="AV78" i="26"/>
  <c r="AR85" i="26"/>
  <c r="AR77" i="26"/>
  <c r="AR86" i="26"/>
  <c r="AR78" i="26"/>
  <c r="AR76" i="26"/>
  <c r="AR87" i="26"/>
  <c r="AR79" i="26"/>
  <c r="AR88" i="26"/>
  <c r="AR80" i="26"/>
  <c r="AR89" i="26"/>
  <c r="AR81" i="26"/>
  <c r="AR82" i="26"/>
  <c r="AR83" i="26"/>
  <c r="AR75" i="26"/>
  <c r="AR84" i="26"/>
  <c r="AP48" i="26"/>
  <c r="AP42" i="26"/>
  <c r="AP47" i="26"/>
  <c r="AP49" i="26"/>
  <c r="AP41" i="26"/>
  <c r="AP50" i="26"/>
  <c r="AP51" i="26"/>
  <c r="AP43" i="26"/>
  <c r="AP52" i="26"/>
  <c r="AP44" i="26"/>
  <c r="AP55" i="26"/>
  <c r="AP53" i="26"/>
  <c r="AP45" i="26"/>
  <c r="AP54" i="26"/>
  <c r="AP46" i="26"/>
  <c r="AK51" i="26"/>
  <c r="AK43" i="26"/>
  <c r="AK52" i="26"/>
  <c r="AK44" i="26"/>
  <c r="AK53" i="26"/>
  <c r="AK45" i="26"/>
  <c r="AK54" i="26"/>
  <c r="AK46" i="26"/>
  <c r="AK42" i="26"/>
  <c r="AK55" i="26"/>
  <c r="AK47" i="26"/>
  <c r="AK48" i="26"/>
  <c r="AK50" i="26"/>
  <c r="AK49" i="26"/>
  <c r="AK41" i="26"/>
  <c r="AU53" i="26"/>
  <c r="AU45" i="26"/>
  <c r="AU54" i="26"/>
  <c r="AU46" i="26"/>
  <c r="AU55" i="26"/>
  <c r="AU47" i="26"/>
  <c r="AU48" i="26"/>
  <c r="AU49" i="26"/>
  <c r="AU41" i="26"/>
  <c r="AU44" i="26"/>
  <c r="AU50" i="26"/>
  <c r="AU42" i="26"/>
  <c r="AU51" i="26"/>
  <c r="AU43" i="26"/>
  <c r="AU52" i="26"/>
  <c r="AX48" i="26"/>
  <c r="AX55" i="26"/>
  <c r="AX49" i="26"/>
  <c r="AX41" i="26"/>
  <c r="AX50" i="26"/>
  <c r="AX42" i="26"/>
  <c r="AX51" i="26"/>
  <c r="AX43" i="26"/>
  <c r="AX52" i="26"/>
  <c r="AX44" i="26"/>
  <c r="AX47" i="26"/>
  <c r="AX53" i="26"/>
  <c r="AX45" i="26"/>
  <c r="AX54" i="26"/>
  <c r="AX46" i="26"/>
  <c r="AM53" i="26"/>
  <c r="AM45" i="26"/>
  <c r="AM44" i="26"/>
  <c r="AM54" i="26"/>
  <c r="AM46" i="26"/>
  <c r="AM52" i="26"/>
  <c r="AM55" i="26"/>
  <c r="AM47" i="26"/>
  <c r="AM48" i="26"/>
  <c r="AM49" i="26"/>
  <c r="AM41" i="26"/>
  <c r="AM50" i="26"/>
  <c r="AM42" i="26"/>
  <c r="AM51" i="26"/>
  <c r="AM43" i="26"/>
  <c r="AT52" i="26"/>
  <c r="AT44" i="26"/>
  <c r="AT53" i="26"/>
  <c r="AT45" i="26"/>
  <c r="AT54" i="26"/>
  <c r="AT46" i="26"/>
  <c r="AT55" i="26"/>
  <c r="AT47" i="26"/>
  <c r="AT48" i="26"/>
  <c r="AT51" i="26"/>
  <c r="AT49" i="26"/>
  <c r="AT41" i="26"/>
  <c r="AT43" i="26"/>
  <c r="AT50" i="26"/>
  <c r="AT42" i="26"/>
  <c r="AL52" i="26"/>
  <c r="AL44" i="26"/>
  <c r="AL53" i="26"/>
  <c r="AL45" i="26"/>
  <c r="AL43" i="26"/>
  <c r="AL54" i="26"/>
  <c r="AL46" i="26"/>
  <c r="AL55" i="26"/>
  <c r="AL47" i="26"/>
  <c r="AL51" i="26"/>
  <c r="AL48" i="26"/>
  <c r="AL49" i="26"/>
  <c r="AL41" i="26"/>
  <c r="AL50" i="26"/>
  <c r="AL42" i="26"/>
  <c r="AR32" i="26"/>
  <c r="AR24" i="26"/>
  <c r="AR33" i="26"/>
  <c r="AR25" i="26"/>
  <c r="AR37" i="26"/>
  <c r="AR34" i="26"/>
  <c r="AR26" i="26"/>
  <c r="AR29" i="26"/>
  <c r="AR35" i="26"/>
  <c r="AR27" i="26"/>
  <c r="AR36" i="26"/>
  <c r="AR28" i="26"/>
  <c r="AR38" i="26"/>
  <c r="AR30" i="26"/>
  <c r="AR31" i="26"/>
  <c r="AP38" i="26"/>
  <c r="AP30" i="26"/>
  <c r="AP31" i="26"/>
  <c r="AP35" i="26"/>
  <c r="AP27" i="26"/>
  <c r="AP32" i="26"/>
  <c r="AP24" i="26"/>
  <c r="AP26" i="26"/>
  <c r="AP29" i="26"/>
  <c r="AP33" i="26"/>
  <c r="AP25" i="26"/>
  <c r="AP34" i="26"/>
  <c r="AP36" i="26"/>
  <c r="AP28" i="26"/>
  <c r="AP37" i="26"/>
  <c r="AQ31" i="26"/>
  <c r="AQ32" i="26"/>
  <c r="AQ24" i="26"/>
  <c r="AQ33" i="26"/>
  <c r="AQ25" i="26"/>
  <c r="AQ34" i="26"/>
  <c r="AQ26" i="26"/>
  <c r="AQ27" i="26"/>
  <c r="AQ36" i="26"/>
  <c r="AQ28" i="26"/>
  <c r="AQ35" i="26"/>
  <c r="AQ37" i="26"/>
  <c r="AQ29" i="26"/>
  <c r="AQ38" i="26"/>
  <c r="AQ30" i="26"/>
  <c r="AL34" i="26"/>
  <c r="AL26" i="26"/>
  <c r="AL35" i="26"/>
  <c r="AL27" i="26"/>
  <c r="AL31" i="26"/>
  <c r="AL36" i="26"/>
  <c r="AL28" i="26"/>
  <c r="AL37" i="26"/>
  <c r="AL29" i="26"/>
  <c r="AL25" i="26"/>
  <c r="AL38" i="26"/>
  <c r="AL30" i="26"/>
  <c r="AL32" i="26"/>
  <c r="AL24" i="26"/>
  <c r="AL33" i="26"/>
  <c r="AK33" i="26"/>
  <c r="AK25" i="26"/>
  <c r="AK34" i="26"/>
  <c r="AK26" i="26"/>
  <c r="AK24" i="26"/>
  <c r="AK35" i="26"/>
  <c r="AK27" i="26"/>
  <c r="AK29" i="26"/>
  <c r="AK36" i="26"/>
  <c r="AK28" i="26"/>
  <c r="AK38" i="26"/>
  <c r="AK30" i="26"/>
  <c r="AK37" i="26"/>
  <c r="AK31" i="26"/>
  <c r="AK32" i="26"/>
  <c r="AU35" i="26"/>
  <c r="AU27" i="26"/>
  <c r="AU36" i="26"/>
  <c r="AU28" i="26"/>
  <c r="AU37" i="26"/>
  <c r="AU29" i="26"/>
  <c r="AU24" i="26"/>
  <c r="AU26" i="26"/>
  <c r="AU38" i="26"/>
  <c r="AU30" i="26"/>
  <c r="AU32" i="26"/>
  <c r="AU31" i="26"/>
  <c r="AU33" i="26"/>
  <c r="AU25" i="26"/>
  <c r="AU34" i="26"/>
  <c r="AS33" i="26"/>
  <c r="AS25" i="26"/>
  <c r="AS34" i="26"/>
  <c r="AS26" i="26"/>
  <c r="AS35" i="26"/>
  <c r="AS27" i="26"/>
  <c r="AS38" i="26"/>
  <c r="AS30" i="26"/>
  <c r="AS24" i="26"/>
  <c r="AS36" i="26"/>
  <c r="AS28" i="26"/>
  <c r="AS29" i="26"/>
  <c r="AS37" i="26"/>
  <c r="AS31" i="26"/>
  <c r="AS32" i="26"/>
  <c r="AX38" i="26"/>
  <c r="AX30" i="26"/>
  <c r="AX31" i="26"/>
  <c r="AX32" i="26"/>
  <c r="AX24" i="26"/>
  <c r="AX35" i="26"/>
  <c r="AX27" i="26"/>
  <c r="AX33" i="26"/>
  <c r="AX25" i="26"/>
  <c r="AX34" i="26"/>
  <c r="AX26" i="26"/>
  <c r="AX36" i="26"/>
  <c r="AX28" i="26"/>
  <c r="AX37" i="26"/>
  <c r="AX29" i="26"/>
  <c r="AM35" i="26"/>
  <c r="AM27" i="26"/>
  <c r="AM36" i="26"/>
  <c r="AM28" i="26"/>
  <c r="AM26" i="26"/>
  <c r="AM37" i="26"/>
  <c r="AM29" i="26"/>
  <c r="AM32" i="26"/>
  <c r="AM38" i="26"/>
  <c r="AM30" i="26"/>
  <c r="AM24" i="26"/>
  <c r="AM31" i="26"/>
  <c r="AM33" i="26"/>
  <c r="AM25" i="26"/>
  <c r="AM34" i="26"/>
  <c r="AT34" i="26"/>
  <c r="AT26" i="26"/>
  <c r="AT35" i="26"/>
  <c r="AT27" i="26"/>
  <c r="AT36" i="26"/>
  <c r="AT28" i="26"/>
  <c r="AT37" i="26"/>
  <c r="AT29" i="26"/>
  <c r="AT31" i="26"/>
  <c r="AT38" i="26"/>
  <c r="AT30" i="26"/>
  <c r="AT32" i="26"/>
  <c r="AT24" i="26"/>
  <c r="AT33" i="26"/>
  <c r="AT25" i="26"/>
  <c r="AL16" i="26"/>
  <c r="AL8" i="26"/>
  <c r="AL21" i="26"/>
  <c r="AL17" i="26"/>
  <c r="AL9" i="26"/>
  <c r="AL18" i="26"/>
  <c r="AL10" i="26"/>
  <c r="AL13" i="26"/>
  <c r="AL19" i="26"/>
  <c r="AL11" i="26"/>
  <c r="AL20" i="26"/>
  <c r="AL12" i="26"/>
  <c r="AL14" i="26"/>
  <c r="AL15" i="26"/>
  <c r="AL7" i="26"/>
  <c r="AT16" i="26"/>
  <c r="AT8" i="26"/>
  <c r="AT17" i="26"/>
  <c r="AT9" i="26"/>
  <c r="AT18" i="26"/>
  <c r="AT10" i="26"/>
  <c r="AT19" i="26"/>
  <c r="AT11" i="26"/>
  <c r="AT21" i="26"/>
  <c r="AT20" i="26"/>
  <c r="AT12" i="26"/>
  <c r="AT14" i="26"/>
  <c r="AT13" i="26"/>
  <c r="AT15" i="26"/>
  <c r="AT7" i="26"/>
  <c r="AS15" i="26"/>
  <c r="AS7" i="26"/>
  <c r="AS16" i="26"/>
  <c r="AS8" i="26"/>
  <c r="AS12" i="26"/>
  <c r="AS17" i="26"/>
  <c r="AS9" i="26"/>
  <c r="AS20" i="26"/>
  <c r="AS18" i="26"/>
  <c r="AS10" i="26"/>
  <c r="AS19" i="26"/>
  <c r="AS11" i="26"/>
  <c r="AS21" i="26"/>
  <c r="AS13" i="26"/>
  <c r="AS14" i="26"/>
  <c r="AV18" i="26"/>
  <c r="AV10" i="26"/>
  <c r="AV19" i="26"/>
  <c r="AV11" i="26"/>
  <c r="AV15" i="26"/>
  <c r="AV20" i="26"/>
  <c r="AV12" i="26"/>
  <c r="AV21" i="26"/>
  <c r="AV13" i="26"/>
  <c r="AV14" i="26"/>
  <c r="AV7" i="26"/>
  <c r="AV16" i="26"/>
  <c r="AV8" i="26"/>
  <c r="AV17" i="26"/>
  <c r="AV9" i="26"/>
  <c r="AK15" i="26"/>
  <c r="AK16" i="26"/>
  <c r="AK8" i="26"/>
  <c r="AK17" i="26"/>
  <c r="AK9" i="26"/>
  <c r="AK18" i="26"/>
  <c r="AK10" i="26"/>
  <c r="AK19" i="26"/>
  <c r="AK11" i="26"/>
  <c r="AK20" i="26"/>
  <c r="AK12" i="26"/>
  <c r="AK21" i="26"/>
  <c r="AK13" i="26"/>
  <c r="AK14" i="26"/>
  <c r="AN18" i="26"/>
  <c r="AN10" i="26"/>
  <c r="AN19" i="26"/>
  <c r="AN11" i="26"/>
  <c r="AN20" i="26"/>
  <c r="AN12" i="26"/>
  <c r="AN21" i="26"/>
  <c r="AN13" i="26"/>
  <c r="AN14" i="26"/>
  <c r="AN15" i="26"/>
  <c r="AN16" i="26"/>
  <c r="AN8" i="26"/>
  <c r="AN7" i="26"/>
  <c r="AN17" i="26"/>
  <c r="AN9" i="26"/>
  <c r="AR14" i="26"/>
  <c r="AR15" i="26"/>
  <c r="AR7" i="26"/>
  <c r="AR16" i="26"/>
  <c r="AR8" i="26"/>
  <c r="AR17" i="26"/>
  <c r="AR9" i="26"/>
  <c r="AR11" i="26"/>
  <c r="AR18" i="26"/>
  <c r="AR10" i="26"/>
  <c r="AR20" i="26"/>
  <c r="AR12" i="26"/>
  <c r="AR19" i="26"/>
  <c r="AR21" i="26"/>
  <c r="AR13" i="26"/>
  <c r="AU17" i="26"/>
  <c r="AU9" i="26"/>
  <c r="AU18" i="26"/>
  <c r="AU10" i="26"/>
  <c r="AU19" i="26"/>
  <c r="AU11" i="26"/>
  <c r="AU20" i="26"/>
  <c r="AU12" i="26"/>
  <c r="AU14" i="26"/>
  <c r="AU21" i="26"/>
  <c r="AU13" i="26"/>
  <c r="AU15" i="26"/>
  <c r="AU7" i="26"/>
  <c r="AU16" i="26"/>
  <c r="AU8" i="26"/>
  <c r="AQ21" i="26"/>
  <c r="AQ13" i="26"/>
  <c r="AQ14" i="26"/>
  <c r="AQ15" i="26"/>
  <c r="AQ7" i="26"/>
  <c r="AQ16" i="26"/>
  <c r="AQ8" i="26"/>
  <c r="AQ17" i="26"/>
  <c r="AQ9" i="26"/>
  <c r="AQ19" i="26"/>
  <c r="AQ11" i="26"/>
  <c r="AQ10" i="26"/>
  <c r="AQ20" i="26"/>
  <c r="AQ12" i="26"/>
  <c r="AQ18" i="26"/>
  <c r="AM17" i="26"/>
  <c r="AM9" i="26"/>
  <c r="AM14" i="26"/>
  <c r="AM18" i="26"/>
  <c r="AM10" i="26"/>
  <c r="AM19" i="26"/>
  <c r="AM11" i="26"/>
  <c r="AM20" i="26"/>
  <c r="AM12" i="26"/>
  <c r="AM21" i="26"/>
  <c r="AM13" i="26"/>
  <c r="AM15" i="26"/>
  <c r="AM7" i="26"/>
  <c r="AM16" i="26"/>
  <c r="AM8" i="26"/>
  <c r="AP20" i="26"/>
  <c r="AP12" i="26"/>
  <c r="AP17" i="26"/>
  <c r="AP21" i="26"/>
  <c r="AP13" i="26"/>
  <c r="AP8" i="26"/>
  <c r="AP14" i="26"/>
  <c r="AP9" i="26"/>
  <c r="AP15" i="26"/>
  <c r="AP7" i="26"/>
  <c r="AP16" i="26"/>
  <c r="AP18" i="26"/>
  <c r="AP10" i="26"/>
  <c r="AP19" i="26"/>
  <c r="AP11" i="26"/>
  <c r="F162" i="20"/>
  <c r="AC166" i="20"/>
  <c r="AI166" i="20" s="1"/>
  <c r="F166" i="20"/>
  <c r="W98" i="20"/>
  <c r="AC163" i="20"/>
  <c r="AI163" i="20" s="1"/>
  <c r="W101" i="20"/>
  <c r="F171" i="20"/>
  <c r="W94" i="20"/>
  <c r="W103" i="20"/>
  <c r="L173" i="20"/>
  <c r="O119" i="20"/>
  <c r="AA166" i="20"/>
  <c r="AG166" i="20" s="1"/>
  <c r="O115" i="20"/>
  <c r="O122" i="20"/>
  <c r="AC171" i="20"/>
  <c r="AI171" i="20" s="1"/>
  <c r="AC168" i="20"/>
  <c r="AI168" i="20" s="1"/>
  <c r="AB165" i="20"/>
  <c r="AH165" i="20" s="1"/>
  <c r="F170" i="20"/>
  <c r="V100" i="20"/>
  <c r="AD98" i="20"/>
  <c r="AJ98" i="20" s="1"/>
  <c r="V106" i="20"/>
  <c r="V103" i="20"/>
  <c r="F168" i="20"/>
  <c r="V95" i="20"/>
  <c r="AA170" i="20"/>
  <c r="AG170" i="20" s="1"/>
  <c r="F165" i="20"/>
  <c r="AB168" i="20"/>
  <c r="AH168" i="20" s="1"/>
  <c r="V101" i="20"/>
  <c r="V105" i="20"/>
  <c r="F163" i="20"/>
  <c r="D176" i="20"/>
  <c r="P167" i="20" s="1"/>
  <c r="V97" i="20"/>
  <c r="AB174" i="20"/>
  <c r="AH174" i="20" s="1"/>
  <c r="V93" i="20"/>
  <c r="AA169" i="20"/>
  <c r="AG169" i="20" s="1"/>
  <c r="AA174" i="20"/>
  <c r="AG174" i="20" s="1"/>
  <c r="L162" i="20"/>
  <c r="W99" i="20"/>
  <c r="V94" i="20"/>
  <c r="V99" i="20"/>
  <c r="W96" i="20"/>
  <c r="W93" i="20"/>
  <c r="W102" i="20"/>
  <c r="W95" i="20"/>
  <c r="W105" i="20"/>
  <c r="W104" i="20"/>
  <c r="W100" i="20"/>
  <c r="W97" i="20"/>
  <c r="AA172" i="20"/>
  <c r="AG172" i="20" s="1"/>
  <c r="L169" i="20"/>
  <c r="L174" i="20"/>
  <c r="AC167" i="20"/>
  <c r="AI167" i="20" s="1"/>
  <c r="AC175" i="20"/>
  <c r="AI175" i="20" s="1"/>
  <c r="L175" i="20"/>
  <c r="AC162" i="20"/>
  <c r="AI162" i="20" s="1"/>
  <c r="K176" i="20"/>
  <c r="W176" i="20" s="1"/>
  <c r="L168" i="20"/>
  <c r="L163" i="20"/>
  <c r="L165" i="20"/>
  <c r="L171" i="20"/>
  <c r="L166" i="20"/>
  <c r="AB162" i="20"/>
  <c r="AH162" i="20" s="1"/>
  <c r="J176" i="20"/>
  <c r="V169" i="20" s="1"/>
  <c r="AA168" i="20"/>
  <c r="AG168" i="20" s="1"/>
  <c r="AA173" i="20"/>
  <c r="AG173" i="20" s="1"/>
  <c r="O111" i="20"/>
  <c r="O112" i="20"/>
  <c r="O116" i="20"/>
  <c r="F173" i="20"/>
  <c r="O117" i="20"/>
  <c r="O110" i="20"/>
  <c r="O120" i="20"/>
  <c r="E176" i="20"/>
  <c r="Q171" i="20" s="1"/>
  <c r="O114" i="20"/>
  <c r="O121" i="20"/>
  <c r="O113" i="20"/>
  <c r="O118" i="20"/>
  <c r="O123" i="20"/>
  <c r="AB171" i="20"/>
  <c r="AH171" i="20" s="1"/>
  <c r="F169" i="20"/>
  <c r="F172" i="20"/>
  <c r="F175" i="20"/>
  <c r="AA163" i="20"/>
  <c r="AG163" i="20" s="1"/>
  <c r="I176" i="20"/>
  <c r="U171" i="20" s="1"/>
  <c r="AC165" i="20"/>
  <c r="AI165" i="20" s="1"/>
  <c r="AA175" i="20"/>
  <c r="AG175" i="20" s="1"/>
  <c r="AA164" i="20"/>
  <c r="AG164" i="20" s="1"/>
  <c r="W149" i="20"/>
  <c r="AC170" i="20"/>
  <c r="AI170" i="20" s="1"/>
  <c r="P140" i="20"/>
  <c r="W145" i="20"/>
  <c r="AG162" i="20"/>
  <c r="AA171" i="20"/>
  <c r="AG171" i="20" s="1"/>
  <c r="AB163" i="20"/>
  <c r="AH163" i="20" s="1"/>
  <c r="L170" i="20"/>
  <c r="Q156" i="20"/>
  <c r="O154" i="20"/>
  <c r="U157" i="20"/>
  <c r="V150" i="20"/>
  <c r="AA167" i="20"/>
  <c r="P128" i="20"/>
  <c r="L158" i="20"/>
  <c r="X146" i="20" s="1"/>
  <c r="W151" i="20"/>
  <c r="P129" i="20"/>
  <c r="Q133" i="20"/>
  <c r="P130" i="20"/>
  <c r="U154" i="20"/>
  <c r="F167" i="20"/>
  <c r="C176" i="20"/>
  <c r="V157" i="20"/>
  <c r="V151" i="20"/>
  <c r="AA165" i="20"/>
  <c r="AG165" i="20" s="1"/>
  <c r="U151" i="20"/>
  <c r="AH157" i="26"/>
  <c r="AH174" i="26"/>
  <c r="AH140" i="26"/>
  <c r="AH123" i="26"/>
  <c r="AH89" i="26"/>
  <c r="AH106" i="26"/>
  <c r="AH55" i="26"/>
  <c r="AH38" i="26"/>
  <c r="AD150" i="20"/>
  <c r="AJ150" i="20" s="1"/>
  <c r="P134" i="20"/>
  <c r="AD157" i="20"/>
  <c r="AJ157" i="20" s="1"/>
  <c r="V147" i="20"/>
  <c r="U148" i="20"/>
  <c r="V144" i="20"/>
  <c r="U152" i="20"/>
  <c r="U149" i="20"/>
  <c r="U146" i="20"/>
  <c r="O157" i="20"/>
  <c r="P151" i="20"/>
  <c r="U145" i="20"/>
  <c r="AD151" i="20"/>
  <c r="AJ151" i="20" s="1"/>
  <c r="O129" i="20"/>
  <c r="AD156" i="20"/>
  <c r="AJ156" i="20" s="1"/>
  <c r="V153" i="20"/>
  <c r="U150" i="20"/>
  <c r="O153" i="20"/>
  <c r="V149" i="20"/>
  <c r="O155" i="20"/>
  <c r="Q154" i="20"/>
  <c r="P154" i="20"/>
  <c r="Q148" i="20"/>
  <c r="P156" i="20"/>
  <c r="O139" i="20"/>
  <c r="AD155" i="20"/>
  <c r="AJ155" i="20" s="1"/>
  <c r="AD147" i="20"/>
  <c r="AJ147" i="20" s="1"/>
  <c r="W152" i="20"/>
  <c r="W158" i="20"/>
  <c r="W148" i="20"/>
  <c r="W154" i="20"/>
  <c r="W156" i="20"/>
  <c r="W150" i="20"/>
  <c r="W146" i="20"/>
  <c r="U156" i="20"/>
  <c r="P150" i="20"/>
  <c r="U144" i="20"/>
  <c r="P152" i="20"/>
  <c r="O152" i="20"/>
  <c r="O149" i="20"/>
  <c r="O146" i="20"/>
  <c r="Q153" i="20"/>
  <c r="O136" i="20"/>
  <c r="AD154" i="20"/>
  <c r="AJ154" i="20" s="1"/>
  <c r="V148" i="20"/>
  <c r="V146" i="20"/>
  <c r="V152" i="20"/>
  <c r="V154" i="20"/>
  <c r="V156" i="20"/>
  <c r="V158" i="20"/>
  <c r="W144" i="20"/>
  <c r="O151" i="20"/>
  <c r="O145" i="20"/>
  <c r="Q152" i="20"/>
  <c r="O147" i="20"/>
  <c r="P146" i="20"/>
  <c r="P148" i="20"/>
  <c r="AD128" i="20"/>
  <c r="O128" i="20"/>
  <c r="AC158" i="20"/>
  <c r="AI158" i="20" s="1"/>
  <c r="Q149" i="20"/>
  <c r="Q155" i="20"/>
  <c r="Q151" i="20"/>
  <c r="Q158" i="20"/>
  <c r="Q144" i="20"/>
  <c r="Q157" i="20"/>
  <c r="Q147" i="20"/>
  <c r="W157" i="20"/>
  <c r="O150" i="20"/>
  <c r="O144" i="20"/>
  <c r="W155" i="20"/>
  <c r="Q145" i="20"/>
  <c r="U147" i="20"/>
  <c r="O138" i="20"/>
  <c r="AD152" i="20"/>
  <c r="AJ152" i="20" s="1"/>
  <c r="AD144" i="20"/>
  <c r="AJ144" i="20" s="1"/>
  <c r="P158" i="20"/>
  <c r="P153" i="20"/>
  <c r="P157" i="20"/>
  <c r="P145" i="20"/>
  <c r="P147" i="20"/>
  <c r="P149" i="20"/>
  <c r="P155" i="20"/>
  <c r="U155" i="20"/>
  <c r="O156" i="20"/>
  <c r="O148" i="20"/>
  <c r="V145" i="20"/>
  <c r="W153" i="20"/>
  <c r="U153" i="20"/>
  <c r="Q150" i="20"/>
  <c r="Q132" i="20"/>
  <c r="P139" i="20"/>
  <c r="V136" i="20"/>
  <c r="O130" i="20"/>
  <c r="Q136" i="20"/>
  <c r="F158" i="20"/>
  <c r="R152" i="20" s="1"/>
  <c r="AD145" i="20"/>
  <c r="AJ145" i="20" s="1"/>
  <c r="V102" i="20"/>
  <c r="Q130" i="20"/>
  <c r="Q137" i="20"/>
  <c r="AA158" i="20"/>
  <c r="AG158" i="20" s="1"/>
  <c r="AD153" i="20"/>
  <c r="AJ153" i="20" s="1"/>
  <c r="U131" i="20"/>
  <c r="AB158" i="20"/>
  <c r="AH158" i="20" s="1"/>
  <c r="U130" i="20"/>
  <c r="U140" i="20"/>
  <c r="U133" i="20"/>
  <c r="AD148" i="20"/>
  <c r="AJ148" i="20" s="1"/>
  <c r="AD146" i="20"/>
  <c r="AJ146" i="20" s="1"/>
  <c r="V137" i="20"/>
  <c r="AD149" i="20"/>
  <c r="AJ149" i="20" s="1"/>
  <c r="AD139" i="20"/>
  <c r="AJ139" i="20" s="1"/>
  <c r="AD131" i="20"/>
  <c r="AJ131" i="20" s="1"/>
  <c r="U134" i="20"/>
  <c r="P136" i="20"/>
  <c r="U138" i="20"/>
  <c r="V140" i="20"/>
  <c r="W134" i="20"/>
  <c r="P127" i="20"/>
  <c r="O135" i="20"/>
  <c r="O140" i="20"/>
  <c r="W133" i="20"/>
  <c r="O131" i="20"/>
  <c r="O134" i="20"/>
  <c r="AD130" i="20"/>
  <c r="AJ130" i="20" s="1"/>
  <c r="V127" i="20"/>
  <c r="P138" i="20"/>
  <c r="V135" i="20"/>
  <c r="W137" i="20"/>
  <c r="U132" i="20"/>
  <c r="V134" i="20"/>
  <c r="P132" i="20"/>
  <c r="P137" i="20"/>
  <c r="W138" i="20"/>
  <c r="P131" i="20"/>
  <c r="Q118" i="20"/>
  <c r="AD137" i="20"/>
  <c r="AJ137" i="20" s="1"/>
  <c r="AD129" i="20"/>
  <c r="AJ129" i="20" s="1"/>
  <c r="AD138" i="20"/>
  <c r="AJ138" i="20" s="1"/>
  <c r="Q127" i="20"/>
  <c r="U135" i="20"/>
  <c r="V129" i="20"/>
  <c r="W139" i="20"/>
  <c r="Q129" i="20"/>
  <c r="Q134" i="20"/>
  <c r="Q139" i="20"/>
  <c r="U136" i="20"/>
  <c r="Q128" i="20"/>
  <c r="P115" i="20"/>
  <c r="AD136" i="20"/>
  <c r="AJ136" i="20" s="1"/>
  <c r="O141" i="20"/>
  <c r="O127" i="20"/>
  <c r="W132" i="20"/>
  <c r="Q138" i="20"/>
  <c r="V132" i="20"/>
  <c r="Q140" i="20"/>
  <c r="U137" i="20"/>
  <c r="V139" i="20"/>
  <c r="O132" i="20"/>
  <c r="O137" i="20"/>
  <c r="V133" i="20"/>
  <c r="V138" i="20"/>
  <c r="AD140" i="20"/>
  <c r="AJ140" i="20" s="1"/>
  <c r="W140" i="20"/>
  <c r="W111" i="20"/>
  <c r="AD135" i="20"/>
  <c r="AJ135" i="20" s="1"/>
  <c r="AD127" i="20"/>
  <c r="L141" i="20"/>
  <c r="X139" i="20" s="1"/>
  <c r="W129" i="20"/>
  <c r="W131" i="20"/>
  <c r="W136" i="20"/>
  <c r="W130" i="20"/>
  <c r="V130" i="20"/>
  <c r="AD134" i="20"/>
  <c r="AJ134" i="20" s="1"/>
  <c r="Q135" i="20"/>
  <c r="U139" i="20"/>
  <c r="P133" i="20"/>
  <c r="U127" i="20"/>
  <c r="P135" i="20"/>
  <c r="U129" i="20"/>
  <c r="Q131" i="20"/>
  <c r="U128" i="20"/>
  <c r="W127" i="20"/>
  <c r="W128" i="20"/>
  <c r="V128" i="20"/>
  <c r="W135" i="20"/>
  <c r="V131" i="20"/>
  <c r="V104" i="20"/>
  <c r="P118" i="20"/>
  <c r="Q112" i="20"/>
  <c r="AA141" i="20"/>
  <c r="AG141" i="20" s="1"/>
  <c r="P120" i="20"/>
  <c r="AD133" i="20"/>
  <c r="AJ133" i="20" s="1"/>
  <c r="AJ127" i="20"/>
  <c r="F141" i="20"/>
  <c r="R131" i="20" s="1"/>
  <c r="U113" i="20"/>
  <c r="AC141" i="20"/>
  <c r="AI141" i="20" s="1"/>
  <c r="V85" i="20"/>
  <c r="P121" i="20"/>
  <c r="AJ128" i="20"/>
  <c r="AB141" i="20"/>
  <c r="AH141" i="20" s="1"/>
  <c r="AD132" i="20"/>
  <c r="AJ132" i="20" s="1"/>
  <c r="W114" i="20"/>
  <c r="W112" i="20"/>
  <c r="W122" i="20"/>
  <c r="W116" i="20"/>
  <c r="W120" i="20"/>
  <c r="W124" i="20"/>
  <c r="V110" i="20"/>
  <c r="V78" i="20"/>
  <c r="AD95" i="20"/>
  <c r="AJ95" i="20" s="1"/>
  <c r="AD120" i="20"/>
  <c r="AJ120" i="20" s="1"/>
  <c r="AD112" i="20"/>
  <c r="AJ112" i="20" s="1"/>
  <c r="L124" i="20"/>
  <c r="X113" i="20" s="1"/>
  <c r="U114" i="20"/>
  <c r="P116" i="20"/>
  <c r="P113" i="20"/>
  <c r="P110" i="20"/>
  <c r="Q122" i="20"/>
  <c r="P112" i="20"/>
  <c r="U111" i="20"/>
  <c r="V113" i="20"/>
  <c r="AD122" i="20"/>
  <c r="AJ122" i="20" s="1"/>
  <c r="V112" i="20"/>
  <c r="W113" i="20"/>
  <c r="L107" i="20"/>
  <c r="X100" i="20" s="1"/>
  <c r="O94" i="20"/>
  <c r="AD111" i="20"/>
  <c r="AJ111" i="20" s="1"/>
  <c r="U116" i="20"/>
  <c r="Q110" i="20"/>
  <c r="U120" i="20"/>
  <c r="P122" i="20"/>
  <c r="U95" i="20"/>
  <c r="AC124" i="20"/>
  <c r="AI124" i="20" s="1"/>
  <c r="Q124" i="20"/>
  <c r="Q117" i="20"/>
  <c r="Q113" i="20"/>
  <c r="Q121" i="20"/>
  <c r="Q115" i="20"/>
  <c r="Q123" i="20"/>
  <c r="U122" i="20"/>
  <c r="W123" i="20"/>
  <c r="V123" i="20"/>
  <c r="U123" i="20"/>
  <c r="V117" i="20"/>
  <c r="V122" i="20"/>
  <c r="V119" i="20"/>
  <c r="Q119" i="20"/>
  <c r="P119" i="20"/>
  <c r="Q94" i="20"/>
  <c r="U121" i="20"/>
  <c r="U118" i="20"/>
  <c r="V120" i="20"/>
  <c r="U112" i="20"/>
  <c r="W119" i="20"/>
  <c r="P117" i="20"/>
  <c r="P114" i="20"/>
  <c r="Q116" i="20"/>
  <c r="V111" i="20"/>
  <c r="V118" i="20"/>
  <c r="V115" i="20"/>
  <c r="W117" i="20"/>
  <c r="P123" i="20"/>
  <c r="U117" i="20"/>
  <c r="W121" i="20"/>
  <c r="Q111" i="20"/>
  <c r="P111" i="20"/>
  <c r="V116" i="20"/>
  <c r="AD123" i="20"/>
  <c r="AD115" i="20"/>
  <c r="AJ115" i="20" s="1"/>
  <c r="W110" i="20"/>
  <c r="W115" i="20"/>
  <c r="U110" i="20"/>
  <c r="U115" i="20"/>
  <c r="Q120" i="20"/>
  <c r="V114" i="20"/>
  <c r="U119" i="20"/>
  <c r="V121" i="20"/>
  <c r="AD113" i="20"/>
  <c r="AJ113" i="20" s="1"/>
  <c r="U101" i="20"/>
  <c r="U100" i="20"/>
  <c r="O97" i="20"/>
  <c r="F124" i="20"/>
  <c r="R124" i="20" s="1"/>
  <c r="U93" i="20"/>
  <c r="O106" i="20"/>
  <c r="AA124" i="20"/>
  <c r="AG124" i="20" s="1"/>
  <c r="AD110" i="20"/>
  <c r="AJ110" i="20" s="1"/>
  <c r="AD117" i="20"/>
  <c r="AJ117" i="20" s="1"/>
  <c r="U106" i="20"/>
  <c r="P103" i="20"/>
  <c r="U98" i="20"/>
  <c r="U105" i="20"/>
  <c r="AJ123" i="20"/>
  <c r="AD118" i="20"/>
  <c r="AJ118" i="20" s="1"/>
  <c r="U102" i="20"/>
  <c r="U104" i="20"/>
  <c r="Q106" i="20"/>
  <c r="O103" i="20"/>
  <c r="AD116" i="20"/>
  <c r="AJ116" i="20" s="1"/>
  <c r="U97" i="20"/>
  <c r="U96" i="20"/>
  <c r="O96" i="20"/>
  <c r="Q97" i="20"/>
  <c r="AD119" i="20"/>
  <c r="AJ119" i="20" s="1"/>
  <c r="AB124" i="20"/>
  <c r="AH124" i="20" s="1"/>
  <c r="U99" i="20"/>
  <c r="Q104" i="20"/>
  <c r="U103" i="20"/>
  <c r="O100" i="20"/>
  <c r="AD114" i="20"/>
  <c r="AJ114" i="20" s="1"/>
  <c r="AD121" i="20"/>
  <c r="AJ121" i="20" s="1"/>
  <c r="AD101" i="20"/>
  <c r="AJ101" i="20" s="1"/>
  <c r="O102" i="20"/>
  <c r="P104" i="20"/>
  <c r="O104" i="20"/>
  <c r="P106" i="20"/>
  <c r="Q100" i="20"/>
  <c r="O107" i="20"/>
  <c r="O93" i="20"/>
  <c r="AD100" i="20"/>
  <c r="AJ100" i="20" s="1"/>
  <c r="P99" i="20"/>
  <c r="Q101" i="20"/>
  <c r="P101" i="20"/>
  <c r="Q103" i="20"/>
  <c r="O98" i="20"/>
  <c r="AD93" i="20"/>
  <c r="AJ93" i="20" s="1"/>
  <c r="AD106" i="20"/>
  <c r="AJ106" i="20" s="1"/>
  <c r="Q96" i="20"/>
  <c r="O99" i="20"/>
  <c r="Q98" i="20"/>
  <c r="O101" i="20"/>
  <c r="U94" i="20"/>
  <c r="O105" i="20"/>
  <c r="AD97" i="20"/>
  <c r="AJ97" i="20" s="1"/>
  <c r="AB107" i="20"/>
  <c r="AH107" i="20" s="1"/>
  <c r="P107" i="20"/>
  <c r="P96" i="20"/>
  <c r="P98" i="20"/>
  <c r="P105" i="20"/>
  <c r="P102" i="20"/>
  <c r="AD104" i="20"/>
  <c r="AJ104" i="20" s="1"/>
  <c r="AD96" i="20"/>
  <c r="AJ96" i="20" s="1"/>
  <c r="AD105" i="20"/>
  <c r="AJ105" i="20" s="1"/>
  <c r="Q93" i="20"/>
  <c r="P93" i="20"/>
  <c r="Q95" i="20"/>
  <c r="Q105" i="20"/>
  <c r="Q102" i="20"/>
  <c r="Q99" i="20"/>
  <c r="AD103" i="20"/>
  <c r="AJ103" i="20" s="1"/>
  <c r="AD102" i="20"/>
  <c r="AJ102" i="20" s="1"/>
  <c r="AD94" i="20"/>
  <c r="AJ94" i="20" s="1"/>
  <c r="P100" i="20"/>
  <c r="P97" i="20"/>
  <c r="P94" i="20"/>
  <c r="P87" i="20"/>
  <c r="V42" i="20"/>
  <c r="P89" i="20"/>
  <c r="P81" i="20"/>
  <c r="AA107" i="20"/>
  <c r="AG107" i="20" s="1"/>
  <c r="AD99" i="20"/>
  <c r="AJ99" i="20" s="1"/>
  <c r="AC107" i="20"/>
  <c r="AI107" i="20" s="1"/>
  <c r="F107" i="20"/>
  <c r="R107" i="20" s="1"/>
  <c r="V45" i="20"/>
  <c r="W88" i="20"/>
  <c r="V43" i="20"/>
  <c r="AB90" i="20"/>
  <c r="AH90" i="20" s="1"/>
  <c r="L90" i="20"/>
  <c r="V84" i="20"/>
  <c r="V88" i="20"/>
  <c r="V77" i="20"/>
  <c r="V89" i="20"/>
  <c r="Q82" i="20"/>
  <c r="V76" i="20"/>
  <c r="V86" i="20"/>
  <c r="Q79" i="20"/>
  <c r="V83" i="20"/>
  <c r="U87" i="20"/>
  <c r="AD47" i="20"/>
  <c r="AJ47" i="20" s="1"/>
  <c r="Q84" i="20"/>
  <c r="P79" i="20"/>
  <c r="V80" i="20"/>
  <c r="U77" i="20"/>
  <c r="Q77" i="20"/>
  <c r="AD87" i="20"/>
  <c r="AJ87" i="20" s="1"/>
  <c r="U80" i="20"/>
  <c r="W89" i="20"/>
  <c r="O82" i="20"/>
  <c r="Q89" i="20"/>
  <c r="U86" i="20"/>
  <c r="Q78" i="20"/>
  <c r="W77" i="20"/>
  <c r="Q88" i="20"/>
  <c r="P88" i="20"/>
  <c r="V79" i="20"/>
  <c r="O77" i="20"/>
  <c r="AD86" i="20"/>
  <c r="AJ86" i="20" s="1"/>
  <c r="AC90" i="20"/>
  <c r="AI90" i="20" s="1"/>
  <c r="O80" i="20"/>
  <c r="U82" i="20"/>
  <c r="W86" i="20"/>
  <c r="O87" i="20"/>
  <c r="U88" i="20"/>
  <c r="O89" i="20"/>
  <c r="Q85" i="20"/>
  <c r="W76" i="20"/>
  <c r="O90" i="20"/>
  <c r="O76" i="20"/>
  <c r="AD77" i="20"/>
  <c r="AJ77" i="20" s="1"/>
  <c r="W81" i="20"/>
  <c r="U84" i="20"/>
  <c r="Q76" i="20"/>
  <c r="P84" i="20"/>
  <c r="W80" i="20"/>
  <c r="P83" i="20"/>
  <c r="P86" i="20"/>
  <c r="Q80" i="20"/>
  <c r="O83" i="20"/>
  <c r="O88" i="20"/>
  <c r="V55" i="20"/>
  <c r="AD84" i="20"/>
  <c r="AJ84" i="20" s="1"/>
  <c r="AD76" i="20"/>
  <c r="AJ76" i="20" s="1"/>
  <c r="Q87" i="20"/>
  <c r="V81" i="20"/>
  <c r="U89" i="20"/>
  <c r="Q81" i="20"/>
  <c r="U78" i="20"/>
  <c r="O78" i="20"/>
  <c r="Q83" i="20"/>
  <c r="W87" i="20"/>
  <c r="P80" i="20"/>
  <c r="P85" i="20"/>
  <c r="AD55" i="20"/>
  <c r="AJ55" i="20" s="1"/>
  <c r="AD83" i="20"/>
  <c r="AJ83" i="20" s="1"/>
  <c r="O85" i="20"/>
  <c r="W78" i="20"/>
  <c r="O79" i="20"/>
  <c r="O81" i="20"/>
  <c r="U85" i="20"/>
  <c r="P82" i="20"/>
  <c r="U76" i="20"/>
  <c r="W83" i="20"/>
  <c r="P76" i="20"/>
  <c r="Q86" i="20"/>
  <c r="W85" i="20"/>
  <c r="P78" i="20"/>
  <c r="V82" i="20"/>
  <c r="V87" i="20"/>
  <c r="P77" i="20"/>
  <c r="AD81" i="20"/>
  <c r="AJ81" i="20" s="1"/>
  <c r="U79" i="20"/>
  <c r="U81" i="20"/>
  <c r="O84" i="20"/>
  <c r="U83" i="20"/>
  <c r="W82" i="20"/>
  <c r="W79" i="20"/>
  <c r="W84" i="20"/>
  <c r="O48" i="20"/>
  <c r="AD80" i="20"/>
  <c r="AJ80" i="20" s="1"/>
  <c r="AA90" i="20"/>
  <c r="AG90" i="20" s="1"/>
  <c r="AD79" i="20"/>
  <c r="AJ79" i="20" s="1"/>
  <c r="AD89" i="20"/>
  <c r="AJ89" i="20" s="1"/>
  <c r="AD82" i="20"/>
  <c r="AJ82" i="20" s="1"/>
  <c r="F90" i="20"/>
  <c r="R90" i="20" s="1"/>
  <c r="AD88" i="20"/>
  <c r="AJ88" i="20" s="1"/>
  <c r="AD85" i="20"/>
  <c r="AJ85" i="20" s="1"/>
  <c r="AD78" i="20"/>
  <c r="AJ78" i="20" s="1"/>
  <c r="AD11" i="20"/>
  <c r="AJ11" i="20" s="1"/>
  <c r="O53" i="20"/>
  <c r="L56" i="20"/>
  <c r="V51" i="20"/>
  <c r="U45" i="20"/>
  <c r="O55" i="20"/>
  <c r="P28" i="20"/>
  <c r="O45" i="20"/>
  <c r="W43" i="20"/>
  <c r="AD52" i="20"/>
  <c r="AJ52" i="20" s="1"/>
  <c r="AD51" i="20"/>
  <c r="AJ51" i="20" s="1"/>
  <c r="AD43" i="20"/>
  <c r="AJ43" i="20" s="1"/>
  <c r="W47" i="20"/>
  <c r="V52" i="20"/>
  <c r="V48" i="20"/>
  <c r="V50" i="20"/>
  <c r="V46" i="20"/>
  <c r="V44" i="20"/>
  <c r="V54" i="20"/>
  <c r="V56" i="20"/>
  <c r="U50" i="20"/>
  <c r="U55" i="20"/>
  <c r="O50" i="20"/>
  <c r="Q49" i="20"/>
  <c r="O54" i="20"/>
  <c r="Q54" i="20"/>
  <c r="AB56" i="20"/>
  <c r="AH56" i="20" s="1"/>
  <c r="P48" i="20"/>
  <c r="P44" i="20"/>
  <c r="P52" i="20"/>
  <c r="P50" i="20"/>
  <c r="P56" i="20"/>
  <c r="P46" i="20"/>
  <c r="P54" i="20"/>
  <c r="W50" i="20"/>
  <c r="AD44" i="20"/>
  <c r="AJ44" i="20" s="1"/>
  <c r="Q51" i="20"/>
  <c r="AD42" i="20"/>
  <c r="AJ42" i="20" s="1"/>
  <c r="O43" i="20"/>
  <c r="W55" i="20"/>
  <c r="V47" i="20"/>
  <c r="U47" i="20"/>
  <c r="W54" i="20"/>
  <c r="P47" i="20"/>
  <c r="O47" i="20"/>
  <c r="P49" i="20"/>
  <c r="V53" i="20"/>
  <c r="Q42" i="20"/>
  <c r="Q56" i="20"/>
  <c r="U53" i="20"/>
  <c r="W44" i="20"/>
  <c r="Q55" i="20"/>
  <c r="U52" i="20"/>
  <c r="Q44" i="20"/>
  <c r="U51" i="20"/>
  <c r="P43" i="20"/>
  <c r="Q46" i="20"/>
  <c r="W42" i="20"/>
  <c r="W45" i="20"/>
  <c r="W52" i="20"/>
  <c r="Q52" i="20"/>
  <c r="AD48" i="20"/>
  <c r="AJ48" i="20" s="1"/>
  <c r="O56" i="20"/>
  <c r="O42" i="20"/>
  <c r="U46" i="20"/>
  <c r="U42" i="20"/>
  <c r="Q47" i="20"/>
  <c r="U43" i="20"/>
  <c r="U54" i="20"/>
  <c r="O44" i="20"/>
  <c r="P51" i="20"/>
  <c r="P55" i="20"/>
  <c r="O30" i="20"/>
  <c r="U48" i="20"/>
  <c r="Q53" i="20"/>
  <c r="P53" i="20"/>
  <c r="P42" i="20"/>
  <c r="W46" i="20"/>
  <c r="W51" i="20"/>
  <c r="O49" i="20"/>
  <c r="O46" i="20"/>
  <c r="AD45" i="20"/>
  <c r="AJ45" i="20" s="1"/>
  <c r="P45" i="20"/>
  <c r="P32" i="20"/>
  <c r="AD54" i="20"/>
  <c r="AJ54" i="20" s="1"/>
  <c r="AD46" i="20"/>
  <c r="AJ46" i="20" s="1"/>
  <c r="O52" i="20"/>
  <c r="Q45" i="20"/>
  <c r="Q50" i="20"/>
  <c r="W49" i="20"/>
  <c r="U44" i="20"/>
  <c r="U49" i="20"/>
  <c r="Q43" i="20"/>
  <c r="W48" i="20"/>
  <c r="W53" i="20"/>
  <c r="W24" i="20"/>
  <c r="P30" i="20"/>
  <c r="W28" i="20"/>
  <c r="O36" i="20"/>
  <c r="AD49" i="20"/>
  <c r="AJ49" i="20" s="1"/>
  <c r="W29" i="20"/>
  <c r="AD32" i="20"/>
  <c r="AJ32" i="20" s="1"/>
  <c r="O25" i="20"/>
  <c r="O32" i="20"/>
  <c r="P25" i="20"/>
  <c r="W34" i="20"/>
  <c r="W25" i="20"/>
  <c r="AA56" i="20"/>
  <c r="AG56" i="20" s="1"/>
  <c r="W32" i="20"/>
  <c r="F56" i="20"/>
  <c r="W26" i="20"/>
  <c r="P26" i="20"/>
  <c r="P35" i="20"/>
  <c r="W30" i="20"/>
  <c r="AD50" i="20"/>
  <c r="AJ50" i="20" s="1"/>
  <c r="AD53" i="20"/>
  <c r="AJ53" i="20" s="1"/>
  <c r="P31" i="20"/>
  <c r="AC56" i="20"/>
  <c r="AI56" i="20" s="1"/>
  <c r="W37" i="20"/>
  <c r="W31" i="20"/>
  <c r="W27" i="20"/>
  <c r="AD24" i="20"/>
  <c r="AJ24" i="20" s="1"/>
  <c r="V26" i="20"/>
  <c r="U26" i="20"/>
  <c r="V36" i="20"/>
  <c r="O26" i="20"/>
  <c r="AD31" i="20"/>
  <c r="AJ31" i="20" s="1"/>
  <c r="U28" i="20"/>
  <c r="U35" i="20"/>
  <c r="Q32" i="20"/>
  <c r="Q37" i="20"/>
  <c r="P37" i="20"/>
  <c r="W33" i="20"/>
  <c r="W35" i="20"/>
  <c r="U37" i="20"/>
  <c r="U33" i="20"/>
  <c r="U38" i="20"/>
  <c r="U29" i="20"/>
  <c r="U31" i="20"/>
  <c r="U25" i="20"/>
  <c r="V32" i="20"/>
  <c r="AD30" i="20"/>
  <c r="AJ30" i="20" s="1"/>
  <c r="V25" i="20"/>
  <c r="P27" i="20"/>
  <c r="U36" i="20"/>
  <c r="V37" i="20"/>
  <c r="Q34" i="20"/>
  <c r="V28" i="20"/>
  <c r="AB38" i="20"/>
  <c r="AH38" i="20" s="1"/>
  <c r="P38" i="20"/>
  <c r="V27" i="20"/>
  <c r="P29" i="20"/>
  <c r="AD28" i="20"/>
  <c r="AJ28" i="20" s="1"/>
  <c r="L38" i="20"/>
  <c r="X29" i="20" s="1"/>
  <c r="V33" i="20"/>
  <c r="V24" i="20"/>
  <c r="U32" i="20"/>
  <c r="Q24" i="20"/>
  <c r="P24" i="20"/>
  <c r="Q26" i="20"/>
  <c r="P34" i="20"/>
  <c r="Q36" i="20"/>
  <c r="P36" i="20"/>
  <c r="Q30" i="20"/>
  <c r="V30" i="20"/>
  <c r="AD37" i="20"/>
  <c r="AJ37" i="20" s="1"/>
  <c r="Q29" i="20"/>
  <c r="AD35" i="20"/>
  <c r="AJ35" i="20" s="1"/>
  <c r="AD27" i="20"/>
  <c r="AJ27" i="20" s="1"/>
  <c r="V35" i="20"/>
  <c r="O33" i="20"/>
  <c r="Q35" i="20"/>
  <c r="V29" i="20"/>
  <c r="W36" i="20"/>
  <c r="V31" i="20"/>
  <c r="Q31" i="20"/>
  <c r="O34" i="20"/>
  <c r="Q33" i="20"/>
  <c r="V34" i="20"/>
  <c r="U34" i="20"/>
  <c r="O37" i="20"/>
  <c r="O35" i="20"/>
  <c r="O38" i="20"/>
  <c r="O27" i="20"/>
  <c r="O31" i="20"/>
  <c r="O29" i="20"/>
  <c r="U27" i="20"/>
  <c r="Q27" i="20"/>
  <c r="U24" i="20"/>
  <c r="O24" i="20"/>
  <c r="Q28" i="20"/>
  <c r="Q25" i="20"/>
  <c r="AA38" i="20"/>
  <c r="AG38" i="20" s="1"/>
  <c r="F38" i="20"/>
  <c r="R27" i="20" s="1"/>
  <c r="AD33" i="20"/>
  <c r="AJ33" i="20" s="1"/>
  <c r="AD25" i="20"/>
  <c r="AJ25" i="20" s="1"/>
  <c r="AC38" i="20"/>
  <c r="AI38" i="20" s="1"/>
  <c r="AD36" i="20"/>
  <c r="AJ36" i="20" s="1"/>
  <c r="AD29" i="20"/>
  <c r="AJ29" i="20" s="1"/>
  <c r="AD34" i="20"/>
  <c r="AJ34" i="20" s="1"/>
  <c r="AD26" i="20"/>
  <c r="AJ26" i="20" s="1"/>
  <c r="AD14" i="20"/>
  <c r="AJ14" i="20" s="1"/>
  <c r="AD12" i="20"/>
  <c r="AJ12" i="20" s="1"/>
  <c r="AD10" i="20"/>
  <c r="AJ10" i="20" s="1"/>
  <c r="AD15" i="20"/>
  <c r="AJ15" i="20" s="1"/>
  <c r="AD13" i="20"/>
  <c r="AJ13" i="20" s="1"/>
  <c r="AY99" i="26" l="1"/>
  <c r="AY120" i="26"/>
  <c r="AY77" i="26"/>
  <c r="AY98" i="26"/>
  <c r="AY100" i="26"/>
  <c r="AY109" i="26"/>
  <c r="AY82" i="26"/>
  <c r="AY104" i="26"/>
  <c r="AY92" i="26"/>
  <c r="AY115" i="26"/>
  <c r="AY87" i="26"/>
  <c r="AY123" i="26"/>
  <c r="AY85" i="26"/>
  <c r="AY106" i="26"/>
  <c r="AY95" i="26"/>
  <c r="AY117" i="26"/>
  <c r="AY114" i="26"/>
  <c r="AY83" i="26"/>
  <c r="AY168" i="26"/>
  <c r="AY80" i="26"/>
  <c r="AY93" i="26"/>
  <c r="AY112" i="26"/>
  <c r="AY166" i="26"/>
  <c r="AY101" i="26"/>
  <c r="AY76" i="26"/>
  <c r="AY97" i="26"/>
  <c r="AY116" i="26"/>
  <c r="AY165" i="26"/>
  <c r="AY55" i="26"/>
  <c r="AY173" i="26"/>
  <c r="AY161" i="26"/>
  <c r="AY43" i="26"/>
  <c r="AY164" i="26"/>
  <c r="AY169" i="26"/>
  <c r="AC194" i="20"/>
  <c r="AI194" i="20" s="1"/>
  <c r="AY51" i="26"/>
  <c r="AY172" i="26"/>
  <c r="AY160" i="26"/>
  <c r="AY163" i="26"/>
  <c r="AY167" i="26"/>
  <c r="AY162" i="26"/>
  <c r="AY47" i="26"/>
  <c r="AY48" i="26"/>
  <c r="AY54" i="26"/>
  <c r="AY42" i="26"/>
  <c r="AY88" i="26"/>
  <c r="AY84" i="26"/>
  <c r="C23" i="51"/>
  <c r="AY46" i="26"/>
  <c r="AY45" i="26"/>
  <c r="AY50" i="26"/>
  <c r="AY79" i="26"/>
  <c r="AY29" i="26"/>
  <c r="AY41" i="26"/>
  <c r="AY28" i="26"/>
  <c r="AY44" i="26"/>
  <c r="AY49" i="26"/>
  <c r="AY89" i="26"/>
  <c r="AY78" i="26"/>
  <c r="AY53" i="26"/>
  <c r="AY75" i="26"/>
  <c r="AX166" i="52"/>
  <c r="AX168" i="52" s="1"/>
  <c r="AX166" i="55"/>
  <c r="AZ166" i="52"/>
  <c r="AZ168" i="52" s="1"/>
  <c r="AZ166" i="55"/>
  <c r="AD172" i="20"/>
  <c r="AJ172" i="20" s="1"/>
  <c r="AI166" i="52"/>
  <c r="AY167" i="52"/>
  <c r="AI169" i="52" s="1"/>
  <c r="AH166" i="52"/>
  <c r="AH168" i="52" s="1"/>
  <c r="AY167" i="55"/>
  <c r="AI169" i="55" s="1"/>
  <c r="H168" i="57" s="1"/>
  <c r="AY168" i="55"/>
  <c r="AJ166" i="52"/>
  <c r="CD67" i="26"/>
  <c r="BU58" i="26"/>
  <c r="BU60" i="26"/>
  <c r="CD72" i="26"/>
  <c r="CD69" i="26"/>
  <c r="CF71" i="26"/>
  <c r="BV61" i="26"/>
  <c r="CF58" i="26"/>
  <c r="BV58" i="26"/>
  <c r="AY37" i="26"/>
  <c r="AY27" i="26"/>
  <c r="AY72" i="26"/>
  <c r="AY68" i="26"/>
  <c r="CG68" i="26" s="1"/>
  <c r="AY61" i="26"/>
  <c r="AY69" i="26"/>
  <c r="AY66" i="26"/>
  <c r="AY64" i="26"/>
  <c r="AY62" i="26"/>
  <c r="AY58" i="26"/>
  <c r="AY70" i="26"/>
  <c r="AY59" i="26"/>
  <c r="AY71" i="26"/>
  <c r="AY67" i="26"/>
  <c r="AY65" i="26"/>
  <c r="AY63" i="26"/>
  <c r="AY60" i="26"/>
  <c r="BU72" i="26"/>
  <c r="AY35" i="26"/>
  <c r="AY24" i="26"/>
  <c r="BS59" i="26"/>
  <c r="BP72" i="26"/>
  <c r="BP68" i="26"/>
  <c r="BP61" i="26"/>
  <c r="BP69" i="26"/>
  <c r="BP66" i="26"/>
  <c r="BP64" i="26"/>
  <c r="BP62" i="26"/>
  <c r="BP58" i="26"/>
  <c r="BP70" i="26"/>
  <c r="BP59" i="26"/>
  <c r="BP71" i="26"/>
  <c r="BP67" i="26"/>
  <c r="BP65" i="26"/>
  <c r="BP63" i="26"/>
  <c r="BP60" i="26"/>
  <c r="AY26" i="26"/>
  <c r="AY32" i="26"/>
  <c r="AY34" i="26"/>
  <c r="AY31" i="26"/>
  <c r="CC69" i="26"/>
  <c r="AY36" i="26"/>
  <c r="BV59" i="26"/>
  <c r="CF70" i="26"/>
  <c r="CF72" i="26"/>
  <c r="AY30" i="26"/>
  <c r="AY25" i="26"/>
  <c r="BV72" i="26"/>
  <c r="BU69" i="26"/>
  <c r="AY38" i="26"/>
  <c r="BU59" i="26"/>
  <c r="C10" i="51"/>
  <c r="E7" i="51" s="1"/>
  <c r="AD174" i="20"/>
  <c r="AJ174" i="20" s="1"/>
  <c r="P168" i="20"/>
  <c r="Q173" i="20"/>
  <c r="P174" i="20"/>
  <c r="X51" i="20"/>
  <c r="X71" i="20"/>
  <c r="X64" i="20"/>
  <c r="X65" i="20"/>
  <c r="X59" i="20"/>
  <c r="X66" i="20"/>
  <c r="X63" i="20"/>
  <c r="X70" i="20"/>
  <c r="X72" i="20"/>
  <c r="X62" i="20"/>
  <c r="X67" i="20"/>
  <c r="X60" i="20"/>
  <c r="X69" i="20"/>
  <c r="X68" i="20"/>
  <c r="X61" i="20"/>
  <c r="X73" i="20"/>
  <c r="Q168" i="20"/>
  <c r="R56" i="20"/>
  <c r="R59" i="20"/>
  <c r="R67" i="20"/>
  <c r="R69" i="20"/>
  <c r="R72" i="20"/>
  <c r="R71" i="20"/>
  <c r="R66" i="20"/>
  <c r="R70" i="20"/>
  <c r="R65" i="20"/>
  <c r="R62" i="20"/>
  <c r="R63" i="20"/>
  <c r="R60" i="20"/>
  <c r="R61" i="20"/>
  <c r="R73" i="20"/>
  <c r="R68" i="20"/>
  <c r="R64" i="20"/>
  <c r="AB212" i="20"/>
  <c r="AH212" i="20" s="1"/>
  <c r="P194" i="20"/>
  <c r="AD162" i="20"/>
  <c r="AJ162" i="20" s="1"/>
  <c r="R203" i="20"/>
  <c r="AD203" i="20"/>
  <c r="AJ203" i="20" s="1"/>
  <c r="R185" i="20"/>
  <c r="AD185" i="20"/>
  <c r="AJ185" i="20" s="1"/>
  <c r="R207" i="20"/>
  <c r="AD207" i="20"/>
  <c r="AJ207" i="20" s="1"/>
  <c r="R189" i="20"/>
  <c r="R182" i="20"/>
  <c r="AD182" i="20"/>
  <c r="AJ182" i="20" s="1"/>
  <c r="R191" i="20"/>
  <c r="R210" i="20"/>
  <c r="AD210" i="20"/>
  <c r="AJ210" i="20" s="1"/>
  <c r="R187" i="20"/>
  <c r="O194" i="20"/>
  <c r="AA194" i="20"/>
  <c r="AG194" i="20" s="1"/>
  <c r="R211" i="20"/>
  <c r="R184" i="20"/>
  <c r="R208" i="20"/>
  <c r="AD208" i="20"/>
  <c r="AJ208" i="20" s="1"/>
  <c r="R209" i="20"/>
  <c r="R201" i="20"/>
  <c r="F194" i="20"/>
  <c r="R180" i="20"/>
  <c r="AD180" i="20"/>
  <c r="AJ180" i="20" s="1"/>
  <c r="R186" i="20"/>
  <c r="R205" i="20"/>
  <c r="AD205" i="20"/>
  <c r="AJ205" i="20" s="1"/>
  <c r="R199" i="20"/>
  <c r="R183" i="20"/>
  <c r="R192" i="20"/>
  <c r="R193" i="20"/>
  <c r="AD193" i="20"/>
  <c r="AJ193" i="20" s="1"/>
  <c r="Q212" i="20"/>
  <c r="AC212" i="20"/>
  <c r="AI212" i="20" s="1"/>
  <c r="R204" i="20"/>
  <c r="R181" i="20"/>
  <c r="R190" i="20"/>
  <c r="O212" i="20"/>
  <c r="AA212" i="20"/>
  <c r="AG212" i="20" s="1"/>
  <c r="R198" i="20"/>
  <c r="R200" i="20"/>
  <c r="R202" i="20"/>
  <c r="F212" i="20"/>
  <c r="R188" i="20"/>
  <c r="AD188" i="20"/>
  <c r="AJ188" i="20" s="1"/>
  <c r="R206" i="20"/>
  <c r="X86" i="20"/>
  <c r="X201" i="20"/>
  <c r="X190" i="20"/>
  <c r="X209" i="20"/>
  <c r="X181" i="20"/>
  <c r="X191" i="20"/>
  <c r="X202" i="20"/>
  <c r="X206" i="20"/>
  <c r="X198" i="20"/>
  <c r="X211" i="20"/>
  <c r="X204" i="20"/>
  <c r="X210" i="20"/>
  <c r="X203" i="20"/>
  <c r="X208" i="20"/>
  <c r="X184" i="20"/>
  <c r="X186" i="20"/>
  <c r="X200" i="20"/>
  <c r="X183" i="20"/>
  <c r="X205" i="20"/>
  <c r="X182" i="20"/>
  <c r="X193" i="20"/>
  <c r="X185" i="20"/>
  <c r="X180" i="20"/>
  <c r="X189" i="20"/>
  <c r="X188" i="20"/>
  <c r="X199" i="20"/>
  <c r="X192" i="20"/>
  <c r="X187" i="20"/>
  <c r="X207" i="20"/>
  <c r="X194" i="20"/>
  <c r="X212" i="20"/>
  <c r="X145" i="20"/>
  <c r="BP172" i="26"/>
  <c r="BP164" i="26"/>
  <c r="BP173" i="26"/>
  <c r="BP165" i="26"/>
  <c r="BP166" i="26"/>
  <c r="BP174" i="26"/>
  <c r="BP163" i="26"/>
  <c r="BP167" i="26"/>
  <c r="BP162" i="26"/>
  <c r="BP168" i="26"/>
  <c r="BP160" i="26"/>
  <c r="BP170" i="26"/>
  <c r="BP171" i="26"/>
  <c r="BP169" i="26"/>
  <c r="BP161" i="26"/>
  <c r="BP154" i="26"/>
  <c r="BP146" i="26"/>
  <c r="BP147" i="26"/>
  <c r="BP156" i="26"/>
  <c r="BP148" i="26"/>
  <c r="BP149" i="26"/>
  <c r="BP157" i="26"/>
  <c r="BP144" i="26"/>
  <c r="BP150" i="26"/>
  <c r="BP152" i="26"/>
  <c r="BP151" i="26"/>
  <c r="BP143" i="26"/>
  <c r="BP153" i="26"/>
  <c r="BP145" i="26"/>
  <c r="BP155" i="26"/>
  <c r="BP136" i="26"/>
  <c r="BP128" i="26"/>
  <c r="BP134" i="26"/>
  <c r="BP137" i="26"/>
  <c r="BP129" i="26"/>
  <c r="BP126" i="26"/>
  <c r="BP135" i="26"/>
  <c r="BP138" i="26"/>
  <c r="BP130" i="26"/>
  <c r="BP127" i="26"/>
  <c r="BP139" i="26"/>
  <c r="BP131" i="26"/>
  <c r="BP140" i="26"/>
  <c r="BP132" i="26"/>
  <c r="BP133" i="26"/>
  <c r="BP118" i="26"/>
  <c r="BP110" i="26"/>
  <c r="BP121" i="26"/>
  <c r="BP113" i="26"/>
  <c r="BP119" i="26"/>
  <c r="BP111" i="26"/>
  <c r="BP116" i="26"/>
  <c r="BP120" i="26"/>
  <c r="BP112" i="26"/>
  <c r="BP117" i="26"/>
  <c r="BP122" i="26"/>
  <c r="BP114" i="26"/>
  <c r="BP109" i="26"/>
  <c r="BP123" i="26"/>
  <c r="BP115" i="26"/>
  <c r="BP100" i="26"/>
  <c r="BP92" i="26"/>
  <c r="BP98" i="26"/>
  <c r="BP101" i="26"/>
  <c r="BP93" i="26"/>
  <c r="BP102" i="26"/>
  <c r="BP94" i="26"/>
  <c r="BP103" i="26"/>
  <c r="BP95" i="26"/>
  <c r="BP104" i="26"/>
  <c r="BP96" i="26"/>
  <c r="BP105" i="26"/>
  <c r="BP97" i="26"/>
  <c r="BP99" i="26"/>
  <c r="BP106" i="26"/>
  <c r="BP82" i="26"/>
  <c r="BP87" i="26"/>
  <c r="BP89" i="26"/>
  <c r="BP83" i="26"/>
  <c r="BP75" i="26"/>
  <c r="BP79" i="26"/>
  <c r="BP84" i="26"/>
  <c r="BP76" i="26"/>
  <c r="BP85" i="26"/>
  <c r="BP77" i="26"/>
  <c r="BP86" i="26"/>
  <c r="BP78" i="26"/>
  <c r="BP81" i="26"/>
  <c r="BP88" i="26"/>
  <c r="BP80" i="26"/>
  <c r="BP55" i="26"/>
  <c r="BP47" i="26"/>
  <c r="BP48" i="26"/>
  <c r="BP49" i="26"/>
  <c r="BP41" i="26"/>
  <c r="BP54" i="26"/>
  <c r="BP50" i="26"/>
  <c r="BP42" i="26"/>
  <c r="BP51" i="26"/>
  <c r="BP43" i="26"/>
  <c r="BP52" i="26"/>
  <c r="BP44" i="26"/>
  <c r="BP53" i="26"/>
  <c r="BP45" i="26"/>
  <c r="BP46" i="26"/>
  <c r="BP37" i="26"/>
  <c r="BP29" i="26"/>
  <c r="BP35" i="26"/>
  <c r="BP38" i="26"/>
  <c r="BP30" i="26"/>
  <c r="BP34" i="26"/>
  <c r="BP31" i="26"/>
  <c r="BP32" i="26"/>
  <c r="BP24" i="26"/>
  <c r="BP33" i="26"/>
  <c r="BP25" i="26"/>
  <c r="BP26" i="26"/>
  <c r="BP27" i="26"/>
  <c r="BP36" i="26"/>
  <c r="BP28" i="26"/>
  <c r="X151" i="20"/>
  <c r="X158" i="20"/>
  <c r="X150" i="20"/>
  <c r="X153" i="20"/>
  <c r="AD173" i="20"/>
  <c r="AJ173" i="20" s="1"/>
  <c r="X155" i="20"/>
  <c r="AY156" i="26"/>
  <c r="AY148" i="26"/>
  <c r="AY145" i="26"/>
  <c r="AY146" i="26"/>
  <c r="AY155" i="26"/>
  <c r="AY147" i="26"/>
  <c r="AY157" i="26"/>
  <c r="AY149" i="26"/>
  <c r="AY150" i="26"/>
  <c r="AY153" i="26"/>
  <c r="AY151" i="26"/>
  <c r="AY143" i="26"/>
  <c r="AY152" i="26"/>
  <c r="AY144" i="26"/>
  <c r="AY154" i="26"/>
  <c r="AY138" i="26"/>
  <c r="AY130" i="26"/>
  <c r="AY139" i="26"/>
  <c r="AY131" i="26"/>
  <c r="AY135" i="26"/>
  <c r="AY127" i="26"/>
  <c r="AY140" i="26"/>
  <c r="AY132" i="26"/>
  <c r="AY133" i="26"/>
  <c r="AY126" i="26"/>
  <c r="AY134" i="26"/>
  <c r="AY136" i="26"/>
  <c r="AY128" i="26"/>
  <c r="AY137" i="26"/>
  <c r="AY129" i="26"/>
  <c r="AD166" i="20"/>
  <c r="AJ166" i="20" s="1"/>
  <c r="P166" i="20"/>
  <c r="P171" i="20"/>
  <c r="P169" i="20"/>
  <c r="P164" i="20"/>
  <c r="P176" i="20"/>
  <c r="P165" i="20"/>
  <c r="X98" i="20"/>
  <c r="P175" i="20"/>
  <c r="P162" i="20"/>
  <c r="P173" i="20"/>
  <c r="AD171" i="20"/>
  <c r="AJ171" i="20" s="1"/>
  <c r="P172" i="20"/>
  <c r="P163" i="20"/>
  <c r="P170" i="20"/>
  <c r="Q174" i="20"/>
  <c r="AD170" i="20"/>
  <c r="AJ170" i="20" s="1"/>
  <c r="AD163" i="20"/>
  <c r="AJ163" i="20" s="1"/>
  <c r="AD169" i="20"/>
  <c r="AJ169" i="20" s="1"/>
  <c r="AD168" i="20"/>
  <c r="AJ168" i="20" s="1"/>
  <c r="X144" i="20"/>
  <c r="X156" i="20"/>
  <c r="X149" i="20"/>
  <c r="AD175" i="20"/>
  <c r="AJ175" i="20" s="1"/>
  <c r="X152" i="20"/>
  <c r="X147" i="20"/>
  <c r="X157" i="20"/>
  <c r="Q164" i="20"/>
  <c r="AD165" i="20"/>
  <c r="AJ165" i="20" s="1"/>
  <c r="X148" i="20"/>
  <c r="X154" i="20"/>
  <c r="X105" i="20"/>
  <c r="X103" i="20"/>
  <c r="W174" i="20"/>
  <c r="W173" i="20"/>
  <c r="W166" i="20"/>
  <c r="W169" i="20"/>
  <c r="W171" i="20"/>
  <c r="W168" i="20"/>
  <c r="W170" i="20"/>
  <c r="AC176" i="20"/>
  <c r="AI176" i="20" s="1"/>
  <c r="V172" i="20"/>
  <c r="W165" i="20"/>
  <c r="W172" i="20"/>
  <c r="W164" i="20"/>
  <c r="W175" i="20"/>
  <c r="W162" i="20"/>
  <c r="V166" i="20"/>
  <c r="W163" i="20"/>
  <c r="W167" i="20"/>
  <c r="AB176" i="20"/>
  <c r="AH176" i="20" s="1"/>
  <c r="V167" i="20"/>
  <c r="V168" i="20"/>
  <c r="V176" i="20"/>
  <c r="V173" i="20"/>
  <c r="V163" i="20"/>
  <c r="V164" i="20"/>
  <c r="V171" i="20"/>
  <c r="V175" i="20"/>
  <c r="V162" i="20"/>
  <c r="V174" i="20"/>
  <c r="V170" i="20"/>
  <c r="V165" i="20"/>
  <c r="U162" i="20"/>
  <c r="L176" i="20"/>
  <c r="X176" i="20" s="1"/>
  <c r="U175" i="20"/>
  <c r="U164" i="20"/>
  <c r="U168" i="20"/>
  <c r="U165" i="20"/>
  <c r="U163" i="20"/>
  <c r="U167" i="20"/>
  <c r="U174" i="20"/>
  <c r="U166" i="20"/>
  <c r="U169" i="20"/>
  <c r="Q162" i="20"/>
  <c r="Q169" i="20"/>
  <c r="Q176" i="20"/>
  <c r="Q167" i="20"/>
  <c r="Q166" i="20"/>
  <c r="Q170" i="20"/>
  <c r="F176" i="20"/>
  <c r="R163" i="20" s="1"/>
  <c r="Q165" i="20"/>
  <c r="Q175" i="20"/>
  <c r="Q163" i="20"/>
  <c r="Q172" i="20"/>
  <c r="R128" i="20"/>
  <c r="AD167" i="20"/>
  <c r="AJ167" i="20" s="1"/>
  <c r="U176" i="20"/>
  <c r="U172" i="20"/>
  <c r="U173" i="20"/>
  <c r="U170" i="20"/>
  <c r="O176" i="20"/>
  <c r="O171" i="20"/>
  <c r="O162" i="20"/>
  <c r="O166" i="20"/>
  <c r="O163" i="20"/>
  <c r="O173" i="20"/>
  <c r="O170" i="20"/>
  <c r="O169" i="20"/>
  <c r="O175" i="20"/>
  <c r="O172" i="20"/>
  <c r="O168" i="20"/>
  <c r="O164" i="20"/>
  <c r="R150" i="20"/>
  <c r="AA176" i="20"/>
  <c r="AG176" i="20" s="1"/>
  <c r="R144" i="20"/>
  <c r="R151" i="20"/>
  <c r="R146" i="20"/>
  <c r="O174" i="20"/>
  <c r="X80" i="20"/>
  <c r="O165" i="20"/>
  <c r="O167" i="20"/>
  <c r="AD158" i="20"/>
  <c r="AJ158" i="20" s="1"/>
  <c r="R158" i="20"/>
  <c r="R154" i="20"/>
  <c r="X127" i="20"/>
  <c r="R106" i="20"/>
  <c r="R147" i="20"/>
  <c r="R148" i="20"/>
  <c r="R149" i="20"/>
  <c r="R137" i="20"/>
  <c r="R145" i="20"/>
  <c r="R156" i="20"/>
  <c r="R157" i="20"/>
  <c r="R153" i="20"/>
  <c r="R155" i="20"/>
  <c r="X84" i="20"/>
  <c r="X107" i="20"/>
  <c r="X95" i="20"/>
  <c r="X99" i="20"/>
  <c r="R140" i="20"/>
  <c r="X97" i="20"/>
  <c r="X96" i="20"/>
  <c r="X104" i="20"/>
  <c r="X102" i="20"/>
  <c r="X133" i="20"/>
  <c r="X93" i="20"/>
  <c r="X94" i="20"/>
  <c r="R134" i="20"/>
  <c r="X106" i="20"/>
  <c r="X101" i="20"/>
  <c r="X137" i="20"/>
  <c r="X141" i="20"/>
  <c r="X131" i="20"/>
  <c r="X129" i="20"/>
  <c r="X140" i="20"/>
  <c r="X134" i="20"/>
  <c r="X136" i="20"/>
  <c r="X132" i="20"/>
  <c r="X128" i="20"/>
  <c r="X135" i="20"/>
  <c r="R136" i="20"/>
  <c r="R127" i="20"/>
  <c r="X138" i="20"/>
  <c r="X118" i="20"/>
  <c r="R133" i="20"/>
  <c r="R135" i="20"/>
  <c r="X130" i="20"/>
  <c r="AD141" i="20"/>
  <c r="AJ141" i="20" s="1"/>
  <c r="R141" i="20"/>
  <c r="R130" i="20"/>
  <c r="R132" i="20"/>
  <c r="R129" i="20"/>
  <c r="R139" i="20"/>
  <c r="R138" i="20"/>
  <c r="R116" i="20"/>
  <c r="R114" i="20"/>
  <c r="X121" i="20"/>
  <c r="R119" i="20"/>
  <c r="X119" i="20"/>
  <c r="R103" i="20"/>
  <c r="R115" i="20"/>
  <c r="X111" i="20"/>
  <c r="R112" i="20"/>
  <c r="R117" i="20"/>
  <c r="R101" i="20"/>
  <c r="R123" i="20"/>
  <c r="R113" i="20"/>
  <c r="R120" i="20"/>
  <c r="X114" i="20"/>
  <c r="X124" i="20"/>
  <c r="X120" i="20"/>
  <c r="X112" i="20"/>
  <c r="X122" i="20"/>
  <c r="X117" i="20"/>
  <c r="X110" i="20"/>
  <c r="X123" i="20"/>
  <c r="X115" i="20"/>
  <c r="X116" i="20"/>
  <c r="R104" i="20"/>
  <c r="R99" i="20"/>
  <c r="R110" i="20"/>
  <c r="R118" i="20"/>
  <c r="R111" i="20"/>
  <c r="R122" i="20"/>
  <c r="R97" i="20"/>
  <c r="R121" i="20"/>
  <c r="R102" i="20"/>
  <c r="X50" i="20"/>
  <c r="R95" i="20"/>
  <c r="R105" i="20"/>
  <c r="R98" i="20"/>
  <c r="R94" i="20"/>
  <c r="R100" i="20"/>
  <c r="AD124" i="20"/>
  <c r="AJ124" i="20" s="1"/>
  <c r="X42" i="20"/>
  <c r="X89" i="20"/>
  <c r="R96" i="20"/>
  <c r="R93" i="20"/>
  <c r="X81" i="20"/>
  <c r="X76" i="20"/>
  <c r="X88" i="20"/>
  <c r="X79" i="20"/>
  <c r="X90" i="20"/>
  <c r="X78" i="20"/>
  <c r="R81" i="20"/>
  <c r="X87" i="20"/>
  <c r="X82" i="20"/>
  <c r="AD107" i="20"/>
  <c r="AJ107" i="20" s="1"/>
  <c r="X85" i="20"/>
  <c r="X43" i="20"/>
  <c r="X47" i="20"/>
  <c r="X83" i="20"/>
  <c r="X53" i="20"/>
  <c r="X45" i="20"/>
  <c r="X77" i="20"/>
  <c r="R77" i="20"/>
  <c r="X54" i="20"/>
  <c r="AD90" i="20"/>
  <c r="AJ90" i="20" s="1"/>
  <c r="R82" i="20"/>
  <c r="R83" i="20"/>
  <c r="R84" i="20"/>
  <c r="R85" i="20"/>
  <c r="R88" i="20"/>
  <c r="X55" i="20"/>
  <c r="R89" i="20"/>
  <c r="R80" i="20"/>
  <c r="R79" i="20"/>
  <c r="R78" i="20"/>
  <c r="R87" i="20"/>
  <c r="X46" i="20"/>
  <c r="R76" i="20"/>
  <c r="R86" i="20"/>
  <c r="X48" i="20"/>
  <c r="X44" i="20"/>
  <c r="X49" i="20"/>
  <c r="X52" i="20"/>
  <c r="X56" i="20"/>
  <c r="X32" i="20"/>
  <c r="R54" i="20"/>
  <c r="R47" i="20"/>
  <c r="R42" i="20"/>
  <c r="R55" i="20"/>
  <c r="R52" i="20"/>
  <c r="R49" i="20"/>
  <c r="R44" i="20"/>
  <c r="R53" i="20"/>
  <c r="R45" i="20"/>
  <c r="R43" i="20"/>
  <c r="AD56" i="20"/>
  <c r="AJ56" i="20" s="1"/>
  <c r="R46" i="20"/>
  <c r="R48" i="20"/>
  <c r="R50" i="20"/>
  <c r="R51" i="20"/>
  <c r="X27" i="20"/>
  <c r="R32" i="20"/>
  <c r="R36" i="20"/>
  <c r="R31" i="20"/>
  <c r="R26" i="20"/>
  <c r="AD38" i="20"/>
  <c r="AJ38" i="20" s="1"/>
  <c r="R38" i="20"/>
  <c r="R35" i="20"/>
  <c r="R25" i="20"/>
  <c r="X24" i="20"/>
  <c r="R34" i="20"/>
  <c r="R33" i="20"/>
  <c r="X37" i="20"/>
  <c r="R37" i="20"/>
  <c r="X38" i="20"/>
  <c r="X31" i="20"/>
  <c r="X28" i="20"/>
  <c r="X26" i="20"/>
  <c r="X25" i="20"/>
  <c r="X33" i="20"/>
  <c r="X30" i="20"/>
  <c r="X34" i="20"/>
  <c r="X36" i="20"/>
  <c r="R29" i="20"/>
  <c r="X35" i="20"/>
  <c r="R24" i="20"/>
  <c r="R28" i="20"/>
  <c r="R30" i="20"/>
  <c r="E20" i="51" l="1"/>
  <c r="E23" i="51"/>
  <c r="E22" i="51"/>
  <c r="E21" i="51"/>
  <c r="AZ167" i="52"/>
  <c r="AJ169" i="52" s="1"/>
  <c r="H169" i="57" s="1"/>
  <c r="AX167" i="52"/>
  <c r="H168" i="53"/>
  <c r="I66" i="53" s="1"/>
  <c r="AI168" i="52"/>
  <c r="AI167" i="52"/>
  <c r="AJ168" i="52"/>
  <c r="AJ167" i="52"/>
  <c r="AI168" i="55"/>
  <c r="AI167" i="55"/>
  <c r="AJ168" i="55"/>
  <c r="AJ167" i="55"/>
  <c r="AZ168" i="55"/>
  <c r="AZ167" i="55"/>
  <c r="AJ169" i="55" s="1"/>
  <c r="AX168" i="55"/>
  <c r="AX167" i="55"/>
  <c r="AH169" i="55" s="1"/>
  <c r="H167" i="57" s="1"/>
  <c r="AH168" i="55"/>
  <c r="AH167" i="55"/>
  <c r="CG71" i="26"/>
  <c r="CG59" i="26"/>
  <c r="CG67" i="26"/>
  <c r="CG69" i="26"/>
  <c r="CG61" i="26"/>
  <c r="CG70" i="26"/>
  <c r="CG72" i="26"/>
  <c r="CG58" i="26"/>
  <c r="CG60" i="26"/>
  <c r="E10" i="51"/>
  <c r="E8" i="51"/>
  <c r="E9" i="51"/>
  <c r="R194" i="20"/>
  <c r="AD194" i="20"/>
  <c r="AJ194" i="20" s="1"/>
  <c r="R212" i="20"/>
  <c r="AD212" i="20"/>
  <c r="AJ212" i="20" s="1"/>
  <c r="R174" i="20"/>
  <c r="R170" i="20"/>
  <c r="R175" i="20"/>
  <c r="X168" i="20"/>
  <c r="X167" i="20"/>
  <c r="X162" i="20"/>
  <c r="X169" i="20"/>
  <c r="X164" i="20"/>
  <c r="X173" i="20"/>
  <c r="X172" i="20"/>
  <c r="X170" i="20"/>
  <c r="X174" i="20"/>
  <c r="X166" i="20"/>
  <c r="X165" i="20"/>
  <c r="X171" i="20"/>
  <c r="X175" i="20"/>
  <c r="X163" i="20"/>
  <c r="R168" i="20"/>
  <c r="R171" i="20"/>
  <c r="R165" i="20"/>
  <c r="R166" i="20"/>
  <c r="R167" i="20"/>
  <c r="R162" i="20"/>
  <c r="AD176" i="20"/>
  <c r="AJ176" i="20" s="1"/>
  <c r="R173" i="20"/>
  <c r="R176" i="20"/>
  <c r="R164" i="20"/>
  <c r="R172" i="20"/>
  <c r="R169" i="20"/>
  <c r="H169" i="53" l="1"/>
  <c r="I33" i="53" s="1"/>
  <c r="O33" i="53" s="1"/>
  <c r="V33" i="53" s="1"/>
  <c r="I15" i="53"/>
  <c r="N15" i="53" s="1"/>
  <c r="U15" i="53" s="1"/>
  <c r="I32" i="53"/>
  <c r="N32" i="53" s="1"/>
  <c r="U32" i="53" s="1"/>
  <c r="AU32" i="53" s="1"/>
  <c r="BA32" i="53" s="1"/>
  <c r="I151" i="53"/>
  <c r="I83" i="53"/>
  <c r="M83" i="53" s="1"/>
  <c r="T83" i="53" s="1"/>
  <c r="I117" i="53"/>
  <c r="I100" i="53"/>
  <c r="N100" i="53" s="1"/>
  <c r="U100" i="53" s="1"/>
  <c r="I49" i="53"/>
  <c r="M49" i="53" s="1"/>
  <c r="I16" i="57"/>
  <c r="I135" i="57"/>
  <c r="I33" i="57"/>
  <c r="I67" i="57"/>
  <c r="I50" i="57"/>
  <c r="I84" i="57"/>
  <c r="I118" i="57"/>
  <c r="I152" i="57"/>
  <c r="I101" i="57"/>
  <c r="I134" i="53"/>
  <c r="M134" i="53" s="1"/>
  <c r="T134" i="53" s="1"/>
  <c r="I32" i="57"/>
  <c r="I100" i="57"/>
  <c r="I49" i="57"/>
  <c r="I151" i="57"/>
  <c r="I15" i="57"/>
  <c r="I83" i="57"/>
  <c r="I117" i="57"/>
  <c r="I134" i="57"/>
  <c r="I66" i="57"/>
  <c r="D10" i="37"/>
  <c r="C10" i="37"/>
  <c r="D9" i="37"/>
  <c r="C9" i="37"/>
  <c r="K3" i="33"/>
  <c r="M33" i="53" l="1"/>
  <c r="N33" i="53"/>
  <c r="U33" i="53" s="1"/>
  <c r="AU33" i="53" s="1"/>
  <c r="BA33" i="53" s="1"/>
  <c r="I50" i="53"/>
  <c r="O50" i="53" s="1"/>
  <c r="V50" i="53" s="1"/>
  <c r="AV50" i="53" s="1"/>
  <c r="BB50" i="53" s="1"/>
  <c r="I101" i="53"/>
  <c r="M101" i="53" s="1"/>
  <c r="T101" i="53" s="1"/>
  <c r="I118" i="53"/>
  <c r="O118" i="53" s="1"/>
  <c r="V118" i="53" s="1"/>
  <c r="AV118" i="53" s="1"/>
  <c r="BB118" i="53" s="1"/>
  <c r="I135" i="53"/>
  <c r="N135" i="53" s="1"/>
  <c r="U135" i="53" s="1"/>
  <c r="AU135" i="53" s="1"/>
  <c r="BA135" i="53" s="1"/>
  <c r="I84" i="53"/>
  <c r="M84" i="53" s="1"/>
  <c r="T84" i="53" s="1"/>
  <c r="I152" i="53"/>
  <c r="I16" i="53"/>
  <c r="M16" i="53" s="1"/>
  <c r="T16" i="53" s="1"/>
  <c r="I67" i="53"/>
  <c r="N83" i="53"/>
  <c r="U83" i="53" s="1"/>
  <c r="O83" i="53"/>
  <c r="V83" i="53" s="1"/>
  <c r="AV83" i="53" s="1"/>
  <c r="BB83" i="53" s="1"/>
  <c r="M32" i="53"/>
  <c r="T32" i="53" s="1"/>
  <c r="O32" i="53"/>
  <c r="V32" i="53" s="1"/>
  <c r="AV32" i="53" s="1"/>
  <c r="BB32" i="53" s="1"/>
  <c r="M15" i="53"/>
  <c r="T15" i="53" s="1"/>
  <c r="AT15" i="53" s="1"/>
  <c r="AZ15" i="53" s="1"/>
  <c r="O15" i="53"/>
  <c r="V15" i="53" s="1"/>
  <c r="AV15" i="53" s="1"/>
  <c r="BB15" i="53" s="1"/>
  <c r="T49" i="53"/>
  <c r="AT49" i="53" s="1"/>
  <c r="AZ49" i="53" s="1"/>
  <c r="I168" i="53"/>
  <c r="O83" i="57"/>
  <c r="N83" i="57"/>
  <c r="M83" i="57"/>
  <c r="I168" i="57"/>
  <c r="O15" i="57"/>
  <c r="N15" i="57"/>
  <c r="M15" i="57"/>
  <c r="M118" i="57"/>
  <c r="O118" i="57"/>
  <c r="V118" i="57" s="1"/>
  <c r="N118" i="57"/>
  <c r="U118" i="57" s="1"/>
  <c r="O84" i="57"/>
  <c r="N84" i="57"/>
  <c r="M84" i="57"/>
  <c r="N49" i="53"/>
  <c r="U49" i="53" s="1"/>
  <c r="AU49" i="53" s="1"/>
  <c r="BA49" i="53" s="1"/>
  <c r="O49" i="53"/>
  <c r="V49" i="53" s="1"/>
  <c r="AV49" i="53" s="1"/>
  <c r="BB49" i="53" s="1"/>
  <c r="O49" i="57"/>
  <c r="V49" i="57" s="1"/>
  <c r="N49" i="57"/>
  <c r="U49" i="57" s="1"/>
  <c r="M49" i="57"/>
  <c r="M50" i="57"/>
  <c r="O50" i="57"/>
  <c r="V50" i="57" s="1"/>
  <c r="N50" i="57"/>
  <c r="U50" i="57" s="1"/>
  <c r="O100" i="53"/>
  <c r="M100" i="53"/>
  <c r="O100" i="57"/>
  <c r="N100" i="57"/>
  <c r="M100" i="57"/>
  <c r="M117" i="53"/>
  <c r="N117" i="53"/>
  <c r="O33" i="57"/>
  <c r="V33" i="57" s="1"/>
  <c r="M33" i="57"/>
  <c r="N33" i="57"/>
  <c r="U33" i="57" s="1"/>
  <c r="O32" i="57"/>
  <c r="V32" i="57" s="1"/>
  <c r="N32" i="57"/>
  <c r="U32" i="57" s="1"/>
  <c r="M32" i="57"/>
  <c r="O117" i="53"/>
  <c r="M134" i="57"/>
  <c r="O134" i="57"/>
  <c r="V134" i="57" s="1"/>
  <c r="N134" i="57"/>
  <c r="U134" i="57" s="1"/>
  <c r="O134" i="53"/>
  <c r="V134" i="53" s="1"/>
  <c r="AV134" i="53" s="1"/>
  <c r="BB134" i="53" s="1"/>
  <c r="N134" i="53"/>
  <c r="N202" i="53" s="1"/>
  <c r="M135" i="57"/>
  <c r="O135" i="57"/>
  <c r="V135" i="57" s="1"/>
  <c r="N135" i="57"/>
  <c r="U135" i="57" s="1"/>
  <c r="N117" i="57"/>
  <c r="U117" i="57" s="1"/>
  <c r="M117" i="57"/>
  <c r="O117" i="57"/>
  <c r="V117" i="57" s="1"/>
  <c r="O101" i="57"/>
  <c r="N101" i="57"/>
  <c r="M101" i="57"/>
  <c r="I169" i="57"/>
  <c r="M16" i="57"/>
  <c r="O16" i="57"/>
  <c r="N16" i="57"/>
  <c r="AT83" i="53"/>
  <c r="AZ83" i="53" s="1"/>
  <c r="AT134" i="53"/>
  <c r="AV33" i="53"/>
  <c r="BB33" i="53" s="1"/>
  <c r="AU100" i="53"/>
  <c r="BA100" i="53" s="1"/>
  <c r="AU15" i="53"/>
  <c r="BA15" i="53" s="1"/>
  <c r="C15" i="35"/>
  <c r="C23" i="35"/>
  <c r="V42" i="36"/>
  <c r="D46" i="35" s="1"/>
  <c r="V41" i="36"/>
  <c r="D45" i="35" s="1"/>
  <c r="V40" i="36"/>
  <c r="D44" i="35" s="1"/>
  <c r="V39" i="36"/>
  <c r="D43" i="35" s="1"/>
  <c r="V38" i="36"/>
  <c r="D42" i="35" s="1"/>
  <c r="V37" i="36"/>
  <c r="D41" i="35" s="1"/>
  <c r="V36" i="36"/>
  <c r="D40" i="35" s="1"/>
  <c r="V35" i="36"/>
  <c r="D39" i="35" s="1"/>
  <c r="V34" i="36"/>
  <c r="D38" i="35" s="1"/>
  <c r="V33" i="36"/>
  <c r="D37" i="35" s="1"/>
  <c r="V32" i="36"/>
  <c r="D36" i="35" s="1"/>
  <c r="V31" i="36"/>
  <c r="D35" i="35" s="1"/>
  <c r="V30" i="36"/>
  <c r="D34" i="35" s="1"/>
  <c r="V29" i="36"/>
  <c r="D33" i="35" s="1"/>
  <c r="V28" i="36"/>
  <c r="D32" i="35" s="1"/>
  <c r="V27" i="36"/>
  <c r="D31" i="35" s="1"/>
  <c r="V26" i="36"/>
  <c r="D30" i="35" s="1"/>
  <c r="V25" i="36"/>
  <c r="D29" i="35" s="1"/>
  <c r="V24" i="36"/>
  <c r="D28" i="35" s="1"/>
  <c r="V23" i="36"/>
  <c r="D27" i="35" s="1"/>
  <c r="V22" i="36"/>
  <c r="D26" i="35" s="1"/>
  <c r="V21" i="36"/>
  <c r="D25" i="35" s="1"/>
  <c r="V20" i="36"/>
  <c r="D24" i="35" s="1"/>
  <c r="V19" i="36"/>
  <c r="D23" i="35" s="1"/>
  <c r="V18" i="36"/>
  <c r="D22" i="35" s="1"/>
  <c r="V17" i="36"/>
  <c r="D21" i="35" s="1"/>
  <c r="V16" i="36"/>
  <c r="D20" i="35" s="1"/>
  <c r="V15" i="36"/>
  <c r="D19" i="35" s="1"/>
  <c r="V14" i="36"/>
  <c r="D18" i="35" s="1"/>
  <c r="V13" i="36"/>
  <c r="D17" i="35" s="1"/>
  <c r="V12" i="36"/>
  <c r="D16" i="35" s="1"/>
  <c r="V11" i="36"/>
  <c r="D15" i="35" s="1"/>
  <c r="V10" i="36"/>
  <c r="D14" i="35" s="1"/>
  <c r="V9" i="36"/>
  <c r="D13" i="35" s="1"/>
  <c r="V8" i="36"/>
  <c r="D12" i="35" s="1"/>
  <c r="V7" i="36"/>
  <c r="D11" i="35" s="1"/>
  <c r="V6" i="36"/>
  <c r="D10" i="35" s="1"/>
  <c r="V5" i="36"/>
  <c r="D9" i="35" s="1"/>
  <c r="V4" i="36"/>
  <c r="D8" i="35" s="1"/>
  <c r="V3" i="36"/>
  <c r="D7" i="35" s="1"/>
  <c r="K4" i="36"/>
  <c r="C8" i="35" s="1"/>
  <c r="K5" i="36"/>
  <c r="C9" i="35" s="1"/>
  <c r="K6" i="36"/>
  <c r="C10" i="35" s="1"/>
  <c r="K7" i="36"/>
  <c r="C11" i="35" s="1"/>
  <c r="K8" i="36"/>
  <c r="C12" i="35" s="1"/>
  <c r="K9" i="36"/>
  <c r="C13" i="35" s="1"/>
  <c r="K10" i="36"/>
  <c r="C14" i="35" s="1"/>
  <c r="K11" i="36"/>
  <c r="K12" i="36"/>
  <c r="C16" i="35" s="1"/>
  <c r="K13" i="36"/>
  <c r="C17" i="35" s="1"/>
  <c r="K14" i="36"/>
  <c r="C18" i="35" s="1"/>
  <c r="K15" i="36"/>
  <c r="C19" i="35" s="1"/>
  <c r="K16" i="36"/>
  <c r="C20" i="35" s="1"/>
  <c r="K17" i="36"/>
  <c r="C21" i="35" s="1"/>
  <c r="K18" i="36"/>
  <c r="C22" i="35" s="1"/>
  <c r="K19" i="36"/>
  <c r="K20" i="36"/>
  <c r="C24" i="35" s="1"/>
  <c r="K21" i="36"/>
  <c r="C25" i="35" s="1"/>
  <c r="K22" i="36"/>
  <c r="C26" i="35" s="1"/>
  <c r="K23" i="36"/>
  <c r="C27" i="35" s="1"/>
  <c r="K24" i="36"/>
  <c r="C28" i="35" s="1"/>
  <c r="K25" i="36"/>
  <c r="C29" i="35" s="1"/>
  <c r="K26" i="36"/>
  <c r="C30" i="35" s="1"/>
  <c r="K27" i="36"/>
  <c r="C31" i="35" s="1"/>
  <c r="K28" i="36"/>
  <c r="C32" i="35" s="1"/>
  <c r="K29" i="36"/>
  <c r="C33" i="35" s="1"/>
  <c r="K30" i="36"/>
  <c r="C34" i="35" s="1"/>
  <c r="K31" i="36"/>
  <c r="C35" i="35" s="1"/>
  <c r="K32" i="36"/>
  <c r="C36" i="35" s="1"/>
  <c r="K33" i="36"/>
  <c r="C37" i="35" s="1"/>
  <c r="K34" i="36"/>
  <c r="C38" i="35" s="1"/>
  <c r="K35" i="36"/>
  <c r="C39" i="35" s="1"/>
  <c r="K36" i="36"/>
  <c r="C40" i="35" s="1"/>
  <c r="K37" i="36"/>
  <c r="C41" i="35" s="1"/>
  <c r="K38" i="36"/>
  <c r="C42" i="35" s="1"/>
  <c r="K39" i="36"/>
  <c r="C43" i="35" s="1"/>
  <c r="K40" i="36"/>
  <c r="C44" i="35" s="1"/>
  <c r="K41" i="36"/>
  <c r="C45" i="35" s="1"/>
  <c r="K42" i="36"/>
  <c r="C46" i="35" s="1"/>
  <c r="K3" i="36"/>
  <c r="C7" i="35" s="1"/>
  <c r="C7" i="32"/>
  <c r="V42" i="33"/>
  <c r="D46" i="32" s="1"/>
  <c r="V41" i="33"/>
  <c r="D45" i="32" s="1"/>
  <c r="V40" i="33"/>
  <c r="D44" i="32" s="1"/>
  <c r="V39" i="33"/>
  <c r="D43" i="32" s="1"/>
  <c r="V38" i="33"/>
  <c r="D42" i="32" s="1"/>
  <c r="V37" i="33"/>
  <c r="D41" i="32" s="1"/>
  <c r="V36" i="33"/>
  <c r="D40" i="32" s="1"/>
  <c r="V35" i="33"/>
  <c r="D39" i="32" s="1"/>
  <c r="V34" i="33"/>
  <c r="D38" i="32" s="1"/>
  <c r="V33" i="33"/>
  <c r="D37" i="32" s="1"/>
  <c r="V32" i="33"/>
  <c r="D36" i="32" s="1"/>
  <c r="V31" i="33"/>
  <c r="D35" i="32" s="1"/>
  <c r="V30" i="33"/>
  <c r="D34" i="32" s="1"/>
  <c r="V29" i="33"/>
  <c r="D33" i="32" s="1"/>
  <c r="V28" i="33"/>
  <c r="D32" i="32" s="1"/>
  <c r="V27" i="33"/>
  <c r="D31" i="32" s="1"/>
  <c r="V26" i="33"/>
  <c r="D30" i="32" s="1"/>
  <c r="V25" i="33"/>
  <c r="D29" i="32" s="1"/>
  <c r="V24" i="33"/>
  <c r="D28" i="32" s="1"/>
  <c r="V23" i="33"/>
  <c r="D27" i="32" s="1"/>
  <c r="V22" i="33"/>
  <c r="D26" i="32" s="1"/>
  <c r="V21" i="33"/>
  <c r="D25" i="32" s="1"/>
  <c r="V20" i="33"/>
  <c r="D24" i="32" s="1"/>
  <c r="V19" i="33"/>
  <c r="D23" i="32" s="1"/>
  <c r="V18" i="33"/>
  <c r="D22" i="32" s="1"/>
  <c r="V17" i="33"/>
  <c r="D21" i="32" s="1"/>
  <c r="V16" i="33"/>
  <c r="D20" i="32" s="1"/>
  <c r="V15" i="33"/>
  <c r="D19" i="32" s="1"/>
  <c r="V14" i="33"/>
  <c r="D18" i="32" s="1"/>
  <c r="V13" i="33"/>
  <c r="D17" i="32" s="1"/>
  <c r="V12" i="33"/>
  <c r="D16" i="32" s="1"/>
  <c r="V11" i="33"/>
  <c r="D15" i="32" s="1"/>
  <c r="V10" i="33"/>
  <c r="D14" i="32" s="1"/>
  <c r="V9" i="33"/>
  <c r="D13" i="32" s="1"/>
  <c r="V8" i="33"/>
  <c r="D12" i="32" s="1"/>
  <c r="V7" i="33"/>
  <c r="D11" i="32" s="1"/>
  <c r="V6" i="33"/>
  <c r="D10" i="32" s="1"/>
  <c r="V5" i="33"/>
  <c r="D9" i="32" s="1"/>
  <c r="V4" i="33"/>
  <c r="D8" i="32" s="1"/>
  <c r="V3" i="33"/>
  <c r="D7" i="32" s="1"/>
  <c r="K4" i="33"/>
  <c r="C8" i="32" s="1"/>
  <c r="K5" i="33"/>
  <c r="C9" i="32" s="1"/>
  <c r="K6" i="33"/>
  <c r="C10" i="32" s="1"/>
  <c r="K7" i="33"/>
  <c r="C11" i="32" s="1"/>
  <c r="K8" i="33"/>
  <c r="C12" i="32" s="1"/>
  <c r="K9" i="33"/>
  <c r="C13" i="32" s="1"/>
  <c r="K10" i="33"/>
  <c r="C14" i="32" s="1"/>
  <c r="K11" i="33"/>
  <c r="C15" i="32" s="1"/>
  <c r="K12" i="33"/>
  <c r="C16" i="32" s="1"/>
  <c r="K13" i="33"/>
  <c r="C17" i="32" s="1"/>
  <c r="K14" i="33"/>
  <c r="C18" i="32" s="1"/>
  <c r="K15" i="33"/>
  <c r="C19" i="32" s="1"/>
  <c r="K16" i="33"/>
  <c r="C20" i="32" s="1"/>
  <c r="K17" i="33"/>
  <c r="C21" i="32" s="1"/>
  <c r="K18" i="33"/>
  <c r="C22" i="32" s="1"/>
  <c r="K19" i="33"/>
  <c r="C23" i="32" s="1"/>
  <c r="K20" i="33"/>
  <c r="C24" i="32" s="1"/>
  <c r="K21" i="33"/>
  <c r="C25" i="32" s="1"/>
  <c r="K22" i="33"/>
  <c r="C26" i="32" s="1"/>
  <c r="K23" i="33"/>
  <c r="C27" i="32" s="1"/>
  <c r="K24" i="33"/>
  <c r="C28" i="32" s="1"/>
  <c r="K25" i="33"/>
  <c r="C29" i="32" s="1"/>
  <c r="K26" i="33"/>
  <c r="C30" i="32" s="1"/>
  <c r="K27" i="33"/>
  <c r="C31" i="32" s="1"/>
  <c r="K28" i="33"/>
  <c r="C32" i="32" s="1"/>
  <c r="K29" i="33"/>
  <c r="C33" i="32" s="1"/>
  <c r="K30" i="33"/>
  <c r="C34" i="32" s="1"/>
  <c r="K31" i="33"/>
  <c r="C35" i="32" s="1"/>
  <c r="K32" i="33"/>
  <c r="C36" i="32" s="1"/>
  <c r="K33" i="33"/>
  <c r="C37" i="32" s="1"/>
  <c r="K34" i="33"/>
  <c r="C38" i="32" s="1"/>
  <c r="K35" i="33"/>
  <c r="C39" i="32" s="1"/>
  <c r="K36" i="33"/>
  <c r="C40" i="32" s="1"/>
  <c r="K37" i="33"/>
  <c r="C41" i="32" s="1"/>
  <c r="K38" i="33"/>
  <c r="C42" i="32" s="1"/>
  <c r="K39" i="33"/>
  <c r="C43" i="32" s="1"/>
  <c r="K40" i="33"/>
  <c r="C44" i="32" s="1"/>
  <c r="K41" i="33"/>
  <c r="C45" i="32" s="1"/>
  <c r="K42" i="33"/>
  <c r="C46" i="32" s="1"/>
  <c r="C11" i="30"/>
  <c r="C12" i="30"/>
  <c r="C13" i="30"/>
  <c r="C19" i="30"/>
  <c r="C20" i="30"/>
  <c r="C21" i="30"/>
  <c r="C27" i="30"/>
  <c r="C28" i="30"/>
  <c r="C29" i="30"/>
  <c r="C35" i="30"/>
  <c r="C36" i="30"/>
  <c r="C37" i="30"/>
  <c r="C43" i="30"/>
  <c r="C44" i="30"/>
  <c r="C45" i="30"/>
  <c r="V44" i="31"/>
  <c r="D48" i="30" s="1"/>
  <c r="V43" i="31"/>
  <c r="D47" i="30" s="1"/>
  <c r="V42" i="31"/>
  <c r="D46" i="30" s="1"/>
  <c r="V41" i="31"/>
  <c r="D45" i="30" s="1"/>
  <c r="V40" i="31"/>
  <c r="D44" i="30" s="1"/>
  <c r="V39" i="31"/>
  <c r="D43" i="30" s="1"/>
  <c r="V38" i="31"/>
  <c r="D42" i="30" s="1"/>
  <c r="V37" i="31"/>
  <c r="D41" i="30" s="1"/>
  <c r="V36" i="31"/>
  <c r="D40" i="30" s="1"/>
  <c r="V35" i="31"/>
  <c r="D39" i="30" s="1"/>
  <c r="V34" i="31"/>
  <c r="D38" i="30" s="1"/>
  <c r="V33" i="31"/>
  <c r="D37" i="30" s="1"/>
  <c r="V32" i="31"/>
  <c r="D36" i="30" s="1"/>
  <c r="V31" i="31"/>
  <c r="D35" i="30" s="1"/>
  <c r="V30" i="31"/>
  <c r="D34" i="30" s="1"/>
  <c r="V29" i="31"/>
  <c r="D33" i="30" s="1"/>
  <c r="V28" i="31"/>
  <c r="D32" i="30" s="1"/>
  <c r="V27" i="31"/>
  <c r="D31" i="30" s="1"/>
  <c r="V26" i="31"/>
  <c r="D30" i="30" s="1"/>
  <c r="V25" i="31"/>
  <c r="D29" i="30" s="1"/>
  <c r="V24" i="31"/>
  <c r="D28" i="30" s="1"/>
  <c r="V23" i="31"/>
  <c r="D27" i="30" s="1"/>
  <c r="V22" i="31"/>
  <c r="D26" i="30" s="1"/>
  <c r="V21" i="31"/>
  <c r="D25" i="30" s="1"/>
  <c r="V20" i="31"/>
  <c r="D24" i="30" s="1"/>
  <c r="V19" i="31"/>
  <c r="D23" i="30" s="1"/>
  <c r="V18" i="31"/>
  <c r="D22" i="30" s="1"/>
  <c r="V17" i="31"/>
  <c r="D21" i="30" s="1"/>
  <c r="V16" i="31"/>
  <c r="D20" i="30" s="1"/>
  <c r="V15" i="31"/>
  <c r="D19" i="30" s="1"/>
  <c r="V14" i="31"/>
  <c r="D18" i="30" s="1"/>
  <c r="V13" i="31"/>
  <c r="D17" i="30" s="1"/>
  <c r="V12" i="31"/>
  <c r="D16" i="30" s="1"/>
  <c r="V11" i="31"/>
  <c r="D15" i="30" s="1"/>
  <c r="V10" i="31"/>
  <c r="D14" i="30" s="1"/>
  <c r="V9" i="31"/>
  <c r="D13" i="30" s="1"/>
  <c r="V8" i="31"/>
  <c r="D12" i="30" s="1"/>
  <c r="V7" i="31"/>
  <c r="D11" i="30" s="1"/>
  <c r="V6" i="31"/>
  <c r="D10" i="30" s="1"/>
  <c r="V5" i="31"/>
  <c r="D9" i="30" s="1"/>
  <c r="V4" i="31"/>
  <c r="D8" i="30" s="1"/>
  <c r="V3" i="31"/>
  <c r="D7" i="30" s="1"/>
  <c r="K4" i="31"/>
  <c r="C8" i="30" s="1"/>
  <c r="K5" i="31"/>
  <c r="C9" i="30" s="1"/>
  <c r="K6" i="31"/>
  <c r="C10" i="30" s="1"/>
  <c r="K7" i="31"/>
  <c r="K8" i="31"/>
  <c r="K9" i="31"/>
  <c r="K10" i="31"/>
  <c r="C14" i="30" s="1"/>
  <c r="K11" i="31"/>
  <c r="C15" i="30" s="1"/>
  <c r="K12" i="31"/>
  <c r="C16" i="30" s="1"/>
  <c r="K13" i="31"/>
  <c r="C17" i="30" s="1"/>
  <c r="K14" i="31"/>
  <c r="C18" i="30" s="1"/>
  <c r="K15" i="31"/>
  <c r="K16" i="31"/>
  <c r="K17" i="31"/>
  <c r="K18" i="31"/>
  <c r="C22" i="30" s="1"/>
  <c r="K19" i="31"/>
  <c r="C23" i="30" s="1"/>
  <c r="K20" i="31"/>
  <c r="C24" i="30" s="1"/>
  <c r="K21" i="31"/>
  <c r="C25" i="30" s="1"/>
  <c r="K22" i="31"/>
  <c r="C26" i="30" s="1"/>
  <c r="K23" i="31"/>
  <c r="K24" i="31"/>
  <c r="K25" i="31"/>
  <c r="K26" i="31"/>
  <c r="C30" i="30" s="1"/>
  <c r="K27" i="31"/>
  <c r="C31" i="30" s="1"/>
  <c r="K28" i="31"/>
  <c r="C32" i="30" s="1"/>
  <c r="K29" i="31"/>
  <c r="C33" i="30" s="1"/>
  <c r="K30" i="31"/>
  <c r="C34" i="30" s="1"/>
  <c r="K31" i="31"/>
  <c r="K32" i="31"/>
  <c r="K33" i="31"/>
  <c r="K34" i="31"/>
  <c r="C38" i="30" s="1"/>
  <c r="K35" i="31"/>
  <c r="C39" i="30" s="1"/>
  <c r="K36" i="31"/>
  <c r="C40" i="30" s="1"/>
  <c r="K37" i="31"/>
  <c r="C41" i="30" s="1"/>
  <c r="K38" i="31"/>
  <c r="C42" i="30" s="1"/>
  <c r="K39" i="31"/>
  <c r="K40" i="31"/>
  <c r="K41" i="31"/>
  <c r="K42" i="31"/>
  <c r="C46" i="30" s="1"/>
  <c r="K43" i="31"/>
  <c r="C47" i="30" s="1"/>
  <c r="K44" i="31"/>
  <c r="C48" i="30" s="1"/>
  <c r="K3" i="31"/>
  <c r="C7" i="30" s="1"/>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8" i="18"/>
  <c r="N50" i="53" l="1"/>
  <c r="U50" i="53" s="1"/>
  <c r="AU50" i="53" s="1"/>
  <c r="BA50" i="53" s="1"/>
  <c r="O101" i="53"/>
  <c r="V101" i="53" s="1"/>
  <c r="P33" i="53"/>
  <c r="T33" i="53"/>
  <c r="W33" i="53" s="1"/>
  <c r="N101" i="53"/>
  <c r="U101" i="53" s="1"/>
  <c r="U203" i="53" s="1"/>
  <c r="O16" i="53"/>
  <c r="V16" i="53" s="1"/>
  <c r="AV16" i="53" s="1"/>
  <c r="BB16" i="53" s="1"/>
  <c r="N16" i="53"/>
  <c r="U16" i="53" s="1"/>
  <c r="AU16" i="53" s="1"/>
  <c r="BA16" i="53" s="1"/>
  <c r="M50" i="53"/>
  <c r="T50" i="53" s="1"/>
  <c r="AT50" i="53" s="1"/>
  <c r="M118" i="53"/>
  <c r="T118" i="53" s="1"/>
  <c r="T186" i="53" s="1"/>
  <c r="O135" i="53"/>
  <c r="V135" i="53" s="1"/>
  <c r="AV135" i="53" s="1"/>
  <c r="BB135" i="53" s="1"/>
  <c r="N118" i="53"/>
  <c r="U118" i="53" s="1"/>
  <c r="AU118" i="53" s="1"/>
  <c r="BA118" i="53" s="1"/>
  <c r="M135" i="53"/>
  <c r="I169" i="53"/>
  <c r="O84" i="53"/>
  <c r="W32" i="53"/>
  <c r="AW32" i="53" s="1"/>
  <c r="BC32" i="53" s="1"/>
  <c r="N84" i="53"/>
  <c r="AT32" i="53"/>
  <c r="AZ32" i="53" s="1"/>
  <c r="W49" i="53"/>
  <c r="AW49" i="53" s="1"/>
  <c r="BC49" i="53" s="1"/>
  <c r="W83" i="53"/>
  <c r="AW83" i="53" s="1"/>
  <c r="BC83" i="53" s="1"/>
  <c r="W15" i="53"/>
  <c r="AW15" i="53" s="1"/>
  <c r="BC15" i="53" s="1"/>
  <c r="N168" i="53"/>
  <c r="M168" i="53"/>
  <c r="P83" i="53"/>
  <c r="P15" i="53"/>
  <c r="P100" i="53"/>
  <c r="P32" i="53"/>
  <c r="AU83" i="53"/>
  <c r="BA83" i="53" s="1"/>
  <c r="O168" i="53"/>
  <c r="P135" i="57"/>
  <c r="T135" i="57"/>
  <c r="N202" i="57"/>
  <c r="U100" i="57"/>
  <c r="P49" i="57"/>
  <c r="T49" i="57"/>
  <c r="O186" i="57"/>
  <c r="V84" i="57"/>
  <c r="N203" i="57"/>
  <c r="U101" i="57"/>
  <c r="U134" i="53"/>
  <c r="P134" i="53"/>
  <c r="O202" i="57"/>
  <c r="V100" i="57"/>
  <c r="M185" i="57"/>
  <c r="P83" i="57"/>
  <c r="T83" i="57"/>
  <c r="O203" i="57"/>
  <c r="V101" i="57"/>
  <c r="N185" i="57"/>
  <c r="U83" i="57"/>
  <c r="M203" i="57"/>
  <c r="T101" i="57"/>
  <c r="P101" i="57"/>
  <c r="T33" i="57"/>
  <c r="P33" i="57"/>
  <c r="T100" i="53"/>
  <c r="M202" i="53"/>
  <c r="T118" i="57"/>
  <c r="P118" i="57"/>
  <c r="O185" i="57"/>
  <c r="V83" i="57"/>
  <c r="N169" i="57"/>
  <c r="U16" i="57"/>
  <c r="P117" i="57"/>
  <c r="T117" i="57"/>
  <c r="V100" i="53"/>
  <c r="O202" i="53"/>
  <c r="M168" i="57"/>
  <c r="T15" i="57"/>
  <c r="P15" i="57"/>
  <c r="O169" i="57"/>
  <c r="V16" i="57"/>
  <c r="T134" i="57"/>
  <c r="P134" i="57"/>
  <c r="U117" i="53"/>
  <c r="N185" i="53"/>
  <c r="N168" i="57"/>
  <c r="U15" i="57"/>
  <c r="M169" i="57"/>
  <c r="P16" i="57"/>
  <c r="T16" i="57"/>
  <c r="V117" i="53"/>
  <c r="O185" i="53"/>
  <c r="T117" i="53"/>
  <c r="M185" i="53"/>
  <c r="P117" i="53"/>
  <c r="M186" i="57"/>
  <c r="T84" i="57"/>
  <c r="P84" i="57"/>
  <c r="O168" i="57"/>
  <c r="V15" i="57"/>
  <c r="T32" i="57"/>
  <c r="P32" i="57"/>
  <c r="M202" i="57"/>
  <c r="P100" i="57"/>
  <c r="T100" i="57"/>
  <c r="T50" i="57"/>
  <c r="P50" i="57"/>
  <c r="N186" i="57"/>
  <c r="U84" i="57"/>
  <c r="P49" i="53"/>
  <c r="AT101" i="53"/>
  <c r="AT16" i="53"/>
  <c r="AT84" i="53"/>
  <c r="E32" i="35"/>
  <c r="E40" i="35"/>
  <c r="F31" i="35"/>
  <c r="E7" i="32"/>
  <c r="E23" i="32"/>
  <c r="F7" i="32"/>
  <c r="F39" i="32"/>
  <c r="E31" i="32"/>
  <c r="F15" i="32"/>
  <c r="F46" i="32"/>
  <c r="F38" i="32"/>
  <c r="F30" i="32"/>
  <c r="F22" i="32"/>
  <c r="F14" i="32"/>
  <c r="F45" i="32"/>
  <c r="F37" i="32"/>
  <c r="F29" i="32"/>
  <c r="F21" i="32"/>
  <c r="F13" i="32"/>
  <c r="F44" i="32"/>
  <c r="F36" i="32"/>
  <c r="F28" i="32"/>
  <c r="F20" i="32"/>
  <c r="F12" i="32"/>
  <c r="F31" i="32"/>
  <c r="F43" i="32"/>
  <c r="F35" i="32"/>
  <c r="F27" i="32"/>
  <c r="F19" i="32"/>
  <c r="F11" i="32"/>
  <c r="E39" i="32"/>
  <c r="F23" i="32"/>
  <c r="F42" i="32"/>
  <c r="F34" i="32"/>
  <c r="F26" i="32"/>
  <c r="F18" i="32"/>
  <c r="F10" i="32"/>
  <c r="F41" i="32"/>
  <c r="F33" i="32"/>
  <c r="F25" i="32"/>
  <c r="F17" i="32"/>
  <c r="F9" i="32"/>
  <c r="E15" i="32"/>
  <c r="F40" i="32"/>
  <c r="F32" i="32"/>
  <c r="F24" i="32"/>
  <c r="F16" i="32"/>
  <c r="F8" i="32"/>
  <c r="E7" i="35"/>
  <c r="F15" i="35"/>
  <c r="F7" i="35"/>
  <c r="F46" i="35"/>
  <c r="F38" i="35"/>
  <c r="F30" i="35"/>
  <c r="F22" i="35"/>
  <c r="F14" i="35"/>
  <c r="F45" i="35"/>
  <c r="F37" i="35"/>
  <c r="F29" i="35"/>
  <c r="F21" i="35"/>
  <c r="F13" i="35"/>
  <c r="F23" i="35"/>
  <c r="F44" i="35"/>
  <c r="F36" i="35"/>
  <c r="F28" i="35"/>
  <c r="F20" i="35"/>
  <c r="F12" i="35"/>
  <c r="F39" i="35"/>
  <c r="F43" i="35"/>
  <c r="F35" i="35"/>
  <c r="F27" i="35"/>
  <c r="F19" i="35"/>
  <c r="F11" i="35"/>
  <c r="F42" i="35"/>
  <c r="F34" i="35"/>
  <c r="F26" i="35"/>
  <c r="F18" i="35"/>
  <c r="F10" i="35"/>
  <c r="F41" i="35"/>
  <c r="F33" i="35"/>
  <c r="F25" i="35"/>
  <c r="F17" i="35"/>
  <c r="F9" i="35"/>
  <c r="F40" i="35"/>
  <c r="F32" i="35"/>
  <c r="F24" i="35"/>
  <c r="F16" i="35"/>
  <c r="F8" i="35"/>
  <c r="E39" i="35"/>
  <c r="E31" i="35"/>
  <c r="E23" i="35"/>
  <c r="E15" i="35"/>
  <c r="E46" i="35"/>
  <c r="E38" i="35"/>
  <c r="E30" i="35"/>
  <c r="E22" i="35"/>
  <c r="E14" i="35"/>
  <c r="E45" i="35"/>
  <c r="E37" i="35"/>
  <c r="E29" i="35"/>
  <c r="E21" i="35"/>
  <c r="E13" i="35"/>
  <c r="E44" i="35"/>
  <c r="E36" i="35"/>
  <c r="E28" i="35"/>
  <c r="E20" i="35"/>
  <c r="E12" i="35"/>
  <c r="E8" i="35"/>
  <c r="E43" i="35"/>
  <c r="E35" i="35"/>
  <c r="E27" i="35"/>
  <c r="E19" i="35"/>
  <c r="E11" i="35"/>
  <c r="E16" i="35"/>
  <c r="E42" i="35"/>
  <c r="E34" i="35"/>
  <c r="E26" i="35"/>
  <c r="E18" i="35"/>
  <c r="E10" i="35"/>
  <c r="E24" i="35"/>
  <c r="E41" i="35"/>
  <c r="E33" i="35"/>
  <c r="E25" i="35"/>
  <c r="E17" i="35"/>
  <c r="E9" i="35"/>
  <c r="E46" i="32"/>
  <c r="E38" i="32"/>
  <c r="E30" i="32"/>
  <c r="E22" i="32"/>
  <c r="E14" i="32"/>
  <c r="E45" i="32"/>
  <c r="E37" i="32"/>
  <c r="E29" i="32"/>
  <c r="E21" i="32"/>
  <c r="E13" i="32"/>
  <c r="E44" i="32"/>
  <c r="E36" i="32"/>
  <c r="E28" i="32"/>
  <c r="E20" i="32"/>
  <c r="E12" i="32"/>
  <c r="E43" i="32"/>
  <c r="E35" i="32"/>
  <c r="E27" i="32"/>
  <c r="E19" i="32"/>
  <c r="E11" i="32"/>
  <c r="E42" i="32"/>
  <c r="E34" i="32"/>
  <c r="E26" i="32"/>
  <c r="E18" i="32"/>
  <c r="E10" i="32"/>
  <c r="E41" i="32"/>
  <c r="E33" i="32"/>
  <c r="E25" i="32"/>
  <c r="E17" i="32"/>
  <c r="E9" i="32"/>
  <c r="E40" i="32"/>
  <c r="E32" i="32"/>
  <c r="E24" i="32"/>
  <c r="E16" i="32"/>
  <c r="E8" i="32"/>
  <c r="AT33" i="53" l="1"/>
  <c r="AU101" i="53"/>
  <c r="BA101" i="53" s="1"/>
  <c r="AT118" i="53"/>
  <c r="P101" i="53"/>
  <c r="W50" i="53"/>
  <c r="AW50" i="53" s="1"/>
  <c r="BC50" i="53" s="1"/>
  <c r="N203" i="53"/>
  <c r="N169" i="53"/>
  <c r="W16" i="53"/>
  <c r="AW16" i="53" s="1"/>
  <c r="BC16" i="53" s="1"/>
  <c r="P16" i="53"/>
  <c r="P50" i="53"/>
  <c r="W118" i="53"/>
  <c r="AW118" i="53" s="1"/>
  <c r="BC118" i="53" s="1"/>
  <c r="P135" i="53"/>
  <c r="O203" i="53"/>
  <c r="M186" i="53"/>
  <c r="P118" i="53"/>
  <c r="M169" i="53"/>
  <c r="M203" i="53"/>
  <c r="T135" i="53"/>
  <c r="O169" i="53"/>
  <c r="P84" i="53"/>
  <c r="U84" i="53"/>
  <c r="N186" i="53"/>
  <c r="V84" i="53"/>
  <c r="V169" i="53" s="1"/>
  <c r="AV169" i="53" s="1"/>
  <c r="BB169" i="53" s="1"/>
  <c r="O186" i="53"/>
  <c r="W101" i="53"/>
  <c r="AW101" i="53" s="1"/>
  <c r="BC101" i="53" s="1"/>
  <c r="V203" i="53"/>
  <c r="AV101" i="53"/>
  <c r="BB101" i="53" s="1"/>
  <c r="P168" i="53"/>
  <c r="P203" i="57"/>
  <c r="P202" i="57"/>
  <c r="P186" i="57"/>
  <c r="P169" i="57"/>
  <c r="W49" i="57"/>
  <c r="AI49" i="57" s="1"/>
  <c r="AO49" i="57" s="1"/>
  <c r="T169" i="57"/>
  <c r="W16" i="57"/>
  <c r="AI16" i="57" s="1"/>
  <c r="AO16" i="57" s="1"/>
  <c r="AU117" i="53"/>
  <c r="BA117" i="53" s="1"/>
  <c r="U185" i="53"/>
  <c r="U168" i="53"/>
  <c r="AU168" i="53" s="1"/>
  <c r="BA168" i="53" s="1"/>
  <c r="T168" i="57"/>
  <c r="W15" i="57"/>
  <c r="AI15" i="57" s="1"/>
  <c r="AO15" i="57" s="1"/>
  <c r="W117" i="57"/>
  <c r="AI117" i="57" s="1"/>
  <c r="AO117" i="57" s="1"/>
  <c r="P202" i="53"/>
  <c r="P185" i="57"/>
  <c r="W32" i="57"/>
  <c r="AI32" i="57" s="1"/>
  <c r="AO32" i="57" s="1"/>
  <c r="P168" i="57"/>
  <c r="W100" i="53"/>
  <c r="AW100" i="53" s="1"/>
  <c r="BC100" i="53" s="1"/>
  <c r="T202" i="53"/>
  <c r="AT100" i="53"/>
  <c r="AZ100" i="53" s="1"/>
  <c r="T168" i="53"/>
  <c r="T203" i="57"/>
  <c r="W101" i="57"/>
  <c r="AI101" i="57" s="1"/>
  <c r="AO101" i="57" s="1"/>
  <c r="U202" i="57"/>
  <c r="W50" i="57"/>
  <c r="AI50" i="57" s="1"/>
  <c r="AO50" i="57" s="1"/>
  <c r="V168" i="57"/>
  <c r="P185" i="53"/>
  <c r="W134" i="57"/>
  <c r="AI134" i="57" s="1"/>
  <c r="AO134" i="57" s="1"/>
  <c r="U169" i="57"/>
  <c r="AU134" i="53"/>
  <c r="BA134" i="53" s="1"/>
  <c r="U202" i="53"/>
  <c r="W134" i="53"/>
  <c r="AW134" i="53" s="1"/>
  <c r="BC134" i="53" s="1"/>
  <c r="T202" i="57"/>
  <c r="W100" i="57"/>
  <c r="AI100" i="57" s="1"/>
  <c r="AO100" i="57" s="1"/>
  <c r="T185" i="53"/>
  <c r="W117" i="53"/>
  <c r="AW117" i="53" s="1"/>
  <c r="BC117" i="53" s="1"/>
  <c r="AT117" i="53"/>
  <c r="U168" i="57"/>
  <c r="V168" i="53"/>
  <c r="AV168" i="53" s="1"/>
  <c r="BB168" i="53" s="1"/>
  <c r="V202" i="53"/>
  <c r="AV100" i="53"/>
  <c r="BB100" i="53" s="1"/>
  <c r="W33" i="57"/>
  <c r="AI33" i="57" s="1"/>
  <c r="AO33" i="57" s="1"/>
  <c r="U185" i="57"/>
  <c r="V203" i="57"/>
  <c r="U203" i="57"/>
  <c r="W118" i="57"/>
  <c r="AI118" i="57" s="1"/>
  <c r="AO118" i="57" s="1"/>
  <c r="V185" i="57"/>
  <c r="T186" i="57"/>
  <c r="W84" i="57"/>
  <c r="AI84" i="57" s="1"/>
  <c r="AO84" i="57" s="1"/>
  <c r="AV117" i="53"/>
  <c r="BB117" i="53" s="1"/>
  <c r="V185" i="53"/>
  <c r="V169" i="57"/>
  <c r="V202" i="57"/>
  <c r="V186" i="57"/>
  <c r="W135" i="57"/>
  <c r="AI135" i="57" s="1"/>
  <c r="AO135" i="57" s="1"/>
  <c r="U186" i="57"/>
  <c r="T185" i="57"/>
  <c r="W83" i="57"/>
  <c r="AI83" i="57" s="1"/>
  <c r="AO83" i="57" s="1"/>
  <c r="AW33" i="53"/>
  <c r="BC33" i="53" s="1"/>
  <c r="BF43" i="53"/>
  <c r="F47" i="30"/>
  <c r="F39" i="30"/>
  <c r="F15" i="30"/>
  <c r="E43" i="30"/>
  <c r="E35" i="30"/>
  <c r="E27" i="30"/>
  <c r="E19" i="30"/>
  <c r="E11" i="30"/>
  <c r="F31" i="30"/>
  <c r="E42" i="30"/>
  <c r="E34" i="30"/>
  <c r="E26" i="30"/>
  <c r="E18" i="30"/>
  <c r="E10" i="30"/>
  <c r="F45" i="30"/>
  <c r="F37" i="30"/>
  <c r="F29" i="30"/>
  <c r="F21" i="30"/>
  <c r="F13" i="30"/>
  <c r="F23" i="30"/>
  <c r="E41" i="30"/>
  <c r="E33" i="30"/>
  <c r="E25" i="30"/>
  <c r="E17" i="30"/>
  <c r="E9" i="30"/>
  <c r="F44" i="30"/>
  <c r="F36" i="30"/>
  <c r="F28" i="30"/>
  <c r="F20" i="30"/>
  <c r="F12" i="30"/>
  <c r="E40" i="30"/>
  <c r="E32" i="30"/>
  <c r="E24" i="30"/>
  <c r="E16" i="30"/>
  <c r="E8" i="30"/>
  <c r="F43" i="30"/>
  <c r="F35" i="30"/>
  <c r="F27" i="30"/>
  <c r="F19" i="30"/>
  <c r="F11" i="30"/>
  <c r="E48" i="30"/>
  <c r="E47" i="30"/>
  <c r="E39" i="30"/>
  <c r="E31" i="30"/>
  <c r="E23" i="30"/>
  <c r="E15" i="30"/>
  <c r="E28" i="30"/>
  <c r="F42" i="30"/>
  <c r="F34" i="30"/>
  <c r="F26" i="30"/>
  <c r="F18" i="30"/>
  <c r="F22" i="30"/>
  <c r="E38" i="30"/>
  <c r="E30" i="30"/>
  <c r="E22" i="30"/>
  <c r="E14" i="30"/>
  <c r="F7" i="30"/>
  <c r="F41" i="30"/>
  <c r="F33" i="30"/>
  <c r="F25" i="30"/>
  <c r="F17" i="30"/>
  <c r="F9" i="30"/>
  <c r="E46" i="30"/>
  <c r="E45" i="30"/>
  <c r="E37" i="30"/>
  <c r="E29" i="30"/>
  <c r="E21" i="30"/>
  <c r="E13" i="30"/>
  <c r="F48" i="30"/>
  <c r="F40" i="30"/>
  <c r="F32" i="30"/>
  <c r="F24" i="30"/>
  <c r="F16" i="30"/>
  <c r="F8" i="30"/>
  <c r="E12" i="30"/>
  <c r="E20" i="30"/>
  <c r="E36" i="30"/>
  <c r="F46" i="30"/>
  <c r="E44" i="30"/>
  <c r="F30" i="30"/>
  <c r="E7" i="30"/>
  <c r="F14" i="30"/>
  <c r="F10" i="30"/>
  <c r="F38" i="30"/>
  <c r="P203" i="53" l="1"/>
  <c r="P169" i="53"/>
  <c r="T203" i="53"/>
  <c r="W203" i="53" s="1"/>
  <c r="W135" i="53"/>
  <c r="AW135" i="53" s="1"/>
  <c r="BC135" i="53" s="1"/>
  <c r="AT135" i="53"/>
  <c r="T169" i="53"/>
  <c r="AT169" i="53" s="1"/>
  <c r="V186" i="53"/>
  <c r="AV84" i="53"/>
  <c r="BB84" i="53" s="1"/>
  <c r="P186" i="53"/>
  <c r="W84" i="53"/>
  <c r="AW84" i="53" s="1"/>
  <c r="BC84" i="53" s="1"/>
  <c r="U186" i="53"/>
  <c r="AU84" i="53"/>
  <c r="BA84" i="53" s="1"/>
  <c r="U169" i="53"/>
  <c r="W185" i="57"/>
  <c r="W185" i="53"/>
  <c r="W203" i="57"/>
  <c r="W169" i="57"/>
  <c r="AI169" i="57" s="1"/>
  <c r="AO169" i="57" s="1"/>
  <c r="W202" i="57"/>
  <c r="AT168" i="53"/>
  <c r="AZ168" i="53" s="1"/>
  <c r="W168" i="53"/>
  <c r="AW168" i="53" s="1"/>
  <c r="BC168" i="53" s="1"/>
  <c r="W168" i="57"/>
  <c r="AI168" i="57" s="1"/>
  <c r="AO168" i="57" s="1"/>
  <c r="W186" i="57"/>
  <c r="W202" i="53"/>
  <c r="BG77" i="53"/>
  <c r="BF9" i="53"/>
  <c r="BF94" i="53"/>
  <c r="BF96" i="53"/>
  <c r="BH58" i="53"/>
  <c r="BH43" i="53"/>
  <c r="BH41" i="53"/>
  <c r="BG75" i="53"/>
  <c r="BY76" i="53" s="1"/>
  <c r="C7" i="28"/>
  <c r="D7" i="28"/>
  <c r="E7" i="28"/>
  <c r="F7" i="28"/>
  <c r="G7" i="28"/>
  <c r="H7" i="28"/>
  <c r="I7" i="28"/>
  <c r="J7" i="28"/>
  <c r="K7" i="28"/>
  <c r="C8" i="28"/>
  <c r="D8" i="28"/>
  <c r="E8" i="28"/>
  <c r="F8" i="28"/>
  <c r="G8" i="28"/>
  <c r="H8" i="28"/>
  <c r="I8" i="28"/>
  <c r="J8" i="28"/>
  <c r="K8" i="28"/>
  <c r="C9" i="28"/>
  <c r="D9" i="28"/>
  <c r="E9" i="28"/>
  <c r="F9" i="28"/>
  <c r="G9" i="28"/>
  <c r="H9" i="28"/>
  <c r="I9" i="28"/>
  <c r="J9" i="28"/>
  <c r="K9" i="28"/>
  <c r="C10" i="28"/>
  <c r="D10" i="28"/>
  <c r="E10" i="28"/>
  <c r="F10" i="28"/>
  <c r="G10" i="28"/>
  <c r="H10" i="28"/>
  <c r="I10" i="28"/>
  <c r="J10" i="28"/>
  <c r="K10" i="28"/>
  <c r="C11" i="28"/>
  <c r="D11" i="28"/>
  <c r="E11" i="28"/>
  <c r="F11" i="28"/>
  <c r="G11" i="28"/>
  <c r="H11" i="28"/>
  <c r="I11" i="28"/>
  <c r="J11" i="28"/>
  <c r="K11" i="28"/>
  <c r="C12" i="28"/>
  <c r="D12" i="28"/>
  <c r="E12" i="28"/>
  <c r="F12" i="28"/>
  <c r="G12" i="28"/>
  <c r="H12" i="28"/>
  <c r="I12" i="28"/>
  <c r="J12" i="28"/>
  <c r="K12" i="28"/>
  <c r="C13" i="28"/>
  <c r="D13" i="28"/>
  <c r="E13" i="28"/>
  <c r="F13" i="28"/>
  <c r="G13" i="28"/>
  <c r="H13" i="28"/>
  <c r="I13" i="28"/>
  <c r="J13" i="28"/>
  <c r="K13" i="28"/>
  <c r="C14" i="28"/>
  <c r="D14" i="28"/>
  <c r="E14" i="28"/>
  <c r="F14" i="28"/>
  <c r="G14" i="28"/>
  <c r="H14" i="28"/>
  <c r="I14" i="28"/>
  <c r="J14" i="28"/>
  <c r="K14" i="28"/>
  <c r="C15" i="28"/>
  <c r="D15" i="28"/>
  <c r="E15" i="28"/>
  <c r="F15" i="28"/>
  <c r="G15" i="28"/>
  <c r="H15" i="28"/>
  <c r="I15" i="28"/>
  <c r="J15" i="28"/>
  <c r="K15" i="28"/>
  <c r="D6" i="28"/>
  <c r="E6" i="28"/>
  <c r="F6" i="28"/>
  <c r="G6" i="28"/>
  <c r="H6" i="28"/>
  <c r="I6" i="28"/>
  <c r="J6" i="28"/>
  <c r="K6" i="28"/>
  <c r="C6" i="28"/>
  <c r="W186" i="53" l="1"/>
  <c r="W169" i="53"/>
  <c r="AW169" i="53" s="1"/>
  <c r="BC169" i="53" s="1"/>
  <c r="AU169" i="53"/>
  <c r="BA169" i="53" s="1"/>
  <c r="BF145" i="53"/>
  <c r="BF62" i="53"/>
  <c r="BH113" i="53"/>
  <c r="BH145" i="53"/>
  <c r="BH62" i="53"/>
  <c r="BF26" i="53"/>
  <c r="BF27" i="53"/>
  <c r="BG96" i="53"/>
  <c r="BF79" i="53"/>
  <c r="BG128" i="53"/>
  <c r="BG92" i="53"/>
  <c r="BH79" i="53"/>
  <c r="BF60" i="53"/>
  <c r="BH128" i="53"/>
  <c r="BF111" i="53"/>
  <c r="BH60" i="53"/>
  <c r="BH92" i="53"/>
  <c r="BG58" i="53"/>
  <c r="BH77" i="53"/>
  <c r="BG57" i="53"/>
  <c r="BH75" i="53"/>
  <c r="BH9" i="53"/>
  <c r="BG60" i="53"/>
  <c r="BH143" i="53"/>
  <c r="BH11" i="53"/>
  <c r="BG94" i="53"/>
  <c r="BG111" i="53"/>
  <c r="BG26" i="53"/>
  <c r="BH111" i="53"/>
  <c r="BH45" i="53"/>
  <c r="BG45" i="53"/>
  <c r="BF130" i="53"/>
  <c r="BG143" i="53"/>
  <c r="BY144" i="53" s="1"/>
  <c r="BG145" i="53"/>
  <c r="BG9" i="53"/>
  <c r="BG41" i="53"/>
  <c r="BY42" i="53" s="1"/>
  <c r="BH147" i="53"/>
  <c r="BG43" i="53"/>
  <c r="BG28" i="53"/>
  <c r="BG7" i="53"/>
  <c r="BH94" i="53"/>
  <c r="BF128" i="53"/>
  <c r="BH28" i="53"/>
  <c r="BH26" i="53"/>
  <c r="BG130" i="53"/>
  <c r="BG11" i="53"/>
  <c r="BH130" i="53"/>
  <c r="BH96" i="53"/>
  <c r="BG113" i="53"/>
  <c r="BG62" i="53"/>
  <c r="BF77" i="53"/>
  <c r="J16" i="28"/>
  <c r="J21" i="28" s="1"/>
  <c r="I16" i="28"/>
  <c r="I29" i="28" s="1"/>
  <c r="X9" i="28"/>
  <c r="L15" i="28"/>
  <c r="L7" i="28"/>
  <c r="L8" i="28"/>
  <c r="D16" i="28"/>
  <c r="D25" i="28" s="1"/>
  <c r="L12" i="28"/>
  <c r="L9" i="28"/>
  <c r="L6" i="28"/>
  <c r="L13" i="28"/>
  <c r="L14" i="28"/>
  <c r="L11" i="28"/>
  <c r="L10" i="28"/>
  <c r="X10" i="28"/>
  <c r="R16" i="28"/>
  <c r="R21" i="28" s="1"/>
  <c r="T16" i="28"/>
  <c r="T25" i="28" s="1"/>
  <c r="X13" i="28"/>
  <c r="X8" i="28"/>
  <c r="K16" i="28"/>
  <c r="K25" i="28" s="1"/>
  <c r="S16" i="28"/>
  <c r="S29" i="28" s="1"/>
  <c r="H16" i="28"/>
  <c r="H23" i="28" s="1"/>
  <c r="U16" i="28"/>
  <c r="U24" i="28" s="1"/>
  <c r="X11" i="28"/>
  <c r="F16" i="28"/>
  <c r="F28" i="28" s="1"/>
  <c r="V16" i="28"/>
  <c r="V30" i="28" s="1"/>
  <c r="X12" i="28"/>
  <c r="W16" i="28"/>
  <c r="W27" i="28" s="1"/>
  <c r="O16" i="28"/>
  <c r="O24" i="28" s="1"/>
  <c r="P16" i="28"/>
  <c r="P22" i="28" s="1"/>
  <c r="X7" i="28"/>
  <c r="E16" i="28"/>
  <c r="E25" i="28" s="1"/>
  <c r="X14" i="28"/>
  <c r="Q16" i="28"/>
  <c r="Q21" i="28" s="1"/>
  <c r="G16" i="28"/>
  <c r="G23" i="28" s="1"/>
  <c r="AE23" i="28" s="1"/>
  <c r="X15" i="28"/>
  <c r="X6" i="28"/>
  <c r="C16" i="28"/>
  <c r="C25" i="28" s="1"/>
  <c r="I5" i="22"/>
  <c r="BY8" i="53" l="1"/>
  <c r="BH162" i="53"/>
  <c r="BH160" i="53"/>
  <c r="BY162" i="53" s="1"/>
  <c r="BY94" i="53"/>
  <c r="BY43" i="53"/>
  <c r="BY26" i="53"/>
  <c r="BY93" i="53"/>
  <c r="BY25" i="53"/>
  <c r="BH164" i="53"/>
  <c r="BY77" i="53"/>
  <c r="BG160" i="53"/>
  <c r="BY161" i="53" s="1"/>
  <c r="BG162" i="53"/>
  <c r="BY9" i="53"/>
  <c r="BF164" i="53"/>
  <c r="BF162" i="53"/>
  <c r="BY145" i="53"/>
  <c r="BG164" i="53"/>
  <c r="J29" i="28"/>
  <c r="C27" i="28"/>
  <c r="J22" i="28"/>
  <c r="AH22" i="28" s="1"/>
  <c r="F27" i="28"/>
  <c r="H28" i="28"/>
  <c r="D22" i="28"/>
  <c r="AB22" i="28" s="1"/>
  <c r="J26" i="28"/>
  <c r="G24" i="28"/>
  <c r="H24" i="28"/>
  <c r="C23" i="28"/>
  <c r="G22" i="28"/>
  <c r="AE22" i="28" s="1"/>
  <c r="F25" i="28"/>
  <c r="F26" i="28"/>
  <c r="H26" i="28"/>
  <c r="F23" i="28"/>
  <c r="AD23" i="28" s="1"/>
  <c r="C28" i="28"/>
  <c r="D28" i="28"/>
  <c r="F21" i="28"/>
  <c r="C26" i="28"/>
  <c r="C24" i="28"/>
  <c r="AA24" i="28" s="1"/>
  <c r="J27" i="28"/>
  <c r="F24" i="28"/>
  <c r="J25" i="28"/>
  <c r="H29" i="28"/>
  <c r="H22" i="28"/>
  <c r="J23" i="28"/>
  <c r="H27" i="28"/>
  <c r="H21" i="28"/>
  <c r="I21" i="28"/>
  <c r="G25" i="28"/>
  <c r="E28" i="28"/>
  <c r="D30" i="28"/>
  <c r="K24" i="28"/>
  <c r="I27" i="28"/>
  <c r="K26" i="28"/>
  <c r="E26" i="28"/>
  <c r="C29" i="28"/>
  <c r="C22" i="28"/>
  <c r="D29" i="28"/>
  <c r="K23" i="28"/>
  <c r="AI23" i="28" s="1"/>
  <c r="D21" i="28"/>
  <c r="H30" i="28"/>
  <c r="G29" i="28"/>
  <c r="AE29" i="28" s="1"/>
  <c r="D27" i="28"/>
  <c r="J30" i="28"/>
  <c r="AH30" i="28" s="1"/>
  <c r="E27" i="28"/>
  <c r="K22" i="28"/>
  <c r="AI22" i="28" s="1"/>
  <c r="C30" i="28"/>
  <c r="J24" i="28"/>
  <c r="C21" i="28"/>
  <c r="I26" i="28"/>
  <c r="F22" i="28"/>
  <c r="AD22" i="28" s="1"/>
  <c r="J28" i="28"/>
  <c r="I28" i="28"/>
  <c r="K30" i="28"/>
  <c r="I25" i="28"/>
  <c r="E23" i="28"/>
  <c r="I24" i="28"/>
  <c r="AG24" i="28" s="1"/>
  <c r="G28" i="28"/>
  <c r="D24" i="28"/>
  <c r="AD21" i="28"/>
  <c r="H25" i="28"/>
  <c r="AF25" i="28" s="1"/>
  <c r="F30" i="28"/>
  <c r="AD30" i="28" s="1"/>
  <c r="G27" i="28"/>
  <c r="E22" i="28"/>
  <c r="AC22" i="28" s="1"/>
  <c r="F29" i="28"/>
  <c r="E24" i="28"/>
  <c r="G21" i="28"/>
  <c r="K28" i="28"/>
  <c r="K29" i="28"/>
  <c r="K21" i="28"/>
  <c r="K27" i="28"/>
  <c r="AI27" i="28" s="1"/>
  <c r="G30" i="28"/>
  <c r="I22" i="28"/>
  <c r="AG22" i="28" s="1"/>
  <c r="I30" i="28"/>
  <c r="I23" i="28"/>
  <c r="AG23" i="28" s="1"/>
  <c r="G26" i="28"/>
  <c r="D26" i="28"/>
  <c r="D23" i="28"/>
  <c r="AB23" i="28" s="1"/>
  <c r="E30" i="28"/>
  <c r="E29" i="28"/>
  <c r="E21" i="28"/>
  <c r="T30" i="28"/>
  <c r="P25" i="28"/>
  <c r="AB25" i="28" s="1"/>
  <c r="T23" i="28"/>
  <c r="AF23" i="28" s="1"/>
  <c r="T24" i="28"/>
  <c r="AF24" i="28" s="1"/>
  <c r="S27" i="28"/>
  <c r="U27" i="28"/>
  <c r="W26" i="28"/>
  <c r="V21" i="28"/>
  <c r="AH21" i="28" s="1"/>
  <c r="S26" i="28"/>
  <c r="V27" i="28"/>
  <c r="Q28" i="28"/>
  <c r="U28" i="28"/>
  <c r="W28" i="28"/>
  <c r="T28" i="28"/>
  <c r="U30" i="28"/>
  <c r="W24" i="28"/>
  <c r="S23" i="28"/>
  <c r="V22" i="28"/>
  <c r="U26" i="28"/>
  <c r="Q25" i="28"/>
  <c r="AC25" i="28" s="1"/>
  <c r="Q24" i="28"/>
  <c r="V28" i="28"/>
  <c r="V24" i="28"/>
  <c r="AH24" i="28" s="1"/>
  <c r="Q23" i="28"/>
  <c r="R30" i="28"/>
  <c r="O23" i="28"/>
  <c r="AA23" i="28" s="1"/>
  <c r="O26" i="28"/>
  <c r="T22" i="28"/>
  <c r="AF22" i="28" s="1"/>
  <c r="U29" i="28"/>
  <c r="AG29" i="28" s="1"/>
  <c r="U22" i="28"/>
  <c r="V29" i="28"/>
  <c r="AH29" i="28" s="1"/>
  <c r="U23" i="28"/>
  <c r="P30" i="28"/>
  <c r="R27" i="28"/>
  <c r="AD27" i="28" s="1"/>
  <c r="W23" i="28"/>
  <c r="V25" i="28"/>
  <c r="AH25" i="28" s="1"/>
  <c r="R22" i="28"/>
  <c r="R24" i="28"/>
  <c r="T21" i="28"/>
  <c r="S24" i="28"/>
  <c r="U21" i="28"/>
  <c r="S25" i="28"/>
  <c r="O22" i="28"/>
  <c r="P29" i="28"/>
  <c r="R28" i="28"/>
  <c r="AD28" i="28" s="1"/>
  <c r="T27" i="28"/>
  <c r="P24" i="28"/>
  <c r="Q27" i="28"/>
  <c r="R25" i="28"/>
  <c r="P28" i="28"/>
  <c r="AB28" i="28" s="1"/>
  <c r="R26" i="28"/>
  <c r="W22" i="28"/>
  <c r="O30" i="28"/>
  <c r="AA30" i="28" s="1"/>
  <c r="O21" i="28"/>
  <c r="S28" i="28"/>
  <c r="O25" i="28"/>
  <c r="AA25" i="28" s="1"/>
  <c r="S22" i="28"/>
  <c r="T29" i="28"/>
  <c r="P26" i="28"/>
  <c r="Q26" i="28"/>
  <c r="T26" i="28"/>
  <c r="O29" i="28"/>
  <c r="V23" i="28"/>
  <c r="AH23" i="28" s="1"/>
  <c r="W30" i="28"/>
  <c r="AI30" i="28" s="1"/>
  <c r="Q22" i="28"/>
  <c r="R29" i="28"/>
  <c r="W25" i="28"/>
  <c r="AI25" i="28" s="1"/>
  <c r="R23" i="28"/>
  <c r="S30" i="28"/>
  <c r="O27" i="28"/>
  <c r="U25" i="28"/>
  <c r="AG25" i="28" s="1"/>
  <c r="P27" i="28"/>
  <c r="P21" i="28"/>
  <c r="W29" i="28"/>
  <c r="W21" i="28"/>
  <c r="P23" i="28"/>
  <c r="Q30" i="28"/>
  <c r="V26" i="28"/>
  <c r="S21" i="28"/>
  <c r="Q29" i="28"/>
  <c r="O28" i="28"/>
  <c r="X16" i="28"/>
  <c r="X26" i="28" s="1"/>
  <c r="L16" i="28"/>
  <c r="L25" i="28" s="1"/>
  <c r="AD25" i="28" l="1"/>
  <c r="AA26" i="28"/>
  <c r="AE28" i="28"/>
  <c r="AF27" i="28"/>
  <c r="AA22" i="28"/>
  <c r="AE25" i="28"/>
  <c r="AB27" i="28"/>
  <c r="AC23" i="28"/>
  <c r="AB26" i="28"/>
  <c r="AH26" i="28"/>
  <c r="AA27" i="28"/>
  <c r="AA29" i="28"/>
  <c r="AD24" i="28"/>
  <c r="AF28" i="28"/>
  <c r="AG27" i="28"/>
  <c r="AE30" i="28"/>
  <c r="AF26" i="28"/>
  <c r="AA28" i="28"/>
  <c r="AB30" i="28"/>
  <c r="AF29" i="28"/>
  <c r="AC27" i="28"/>
  <c r="AE24" i="28"/>
  <c r="H31" i="28"/>
  <c r="AH28" i="28"/>
  <c r="AI28" i="28"/>
  <c r="AB29" i="28"/>
  <c r="AG28" i="28"/>
  <c r="AE27" i="28"/>
  <c r="J31" i="28"/>
  <c r="AD26" i="28"/>
  <c r="AC28" i="28"/>
  <c r="AH27" i="28"/>
  <c r="AC26" i="28"/>
  <c r="AE26" i="28"/>
  <c r="AF30" i="28"/>
  <c r="AC29" i="28"/>
  <c r="AB24" i="28"/>
  <c r="AG30" i="28"/>
  <c r="AI26" i="28"/>
  <c r="L24" i="28"/>
  <c r="AI24" i="28"/>
  <c r="AD29" i="28"/>
  <c r="L22" i="28"/>
  <c r="AC30" i="28"/>
  <c r="AC24" i="28"/>
  <c r="L27" i="28"/>
  <c r="C31" i="28"/>
  <c r="L26" i="28"/>
  <c r="AJ26" i="28" s="1"/>
  <c r="L28" i="28"/>
  <c r="L21" i="28"/>
  <c r="L29" i="28"/>
  <c r="F31" i="28"/>
  <c r="L30" i="28"/>
  <c r="L23" i="28"/>
  <c r="AG26" i="28"/>
  <c r="AI29" i="28"/>
  <c r="G31" i="28"/>
  <c r="I31" i="28"/>
  <c r="D31" i="28"/>
  <c r="E31" i="28"/>
  <c r="AC21" i="28"/>
  <c r="K31" i="28"/>
  <c r="X27" i="28"/>
  <c r="AJ27" i="28" s="1"/>
  <c r="X23" i="28"/>
  <c r="P31" i="28"/>
  <c r="AB21" i="28"/>
  <c r="X21" i="28"/>
  <c r="Q31" i="28"/>
  <c r="AC31" i="28" s="1"/>
  <c r="X25" i="28"/>
  <c r="AJ25" i="28" s="1"/>
  <c r="W31" i="28"/>
  <c r="AI31" i="28" s="1"/>
  <c r="AI21" i="28"/>
  <c r="S31" i="28"/>
  <c r="AE21" i="28"/>
  <c r="U31" i="28"/>
  <c r="AG21" i="28"/>
  <c r="X22" i="28"/>
  <c r="X29" i="28"/>
  <c r="V31" i="28"/>
  <c r="X30" i="28"/>
  <c r="X24" i="28"/>
  <c r="AJ24" i="28" s="1"/>
  <c r="O31" i="28"/>
  <c r="AA21" i="28"/>
  <c r="T31" i="28"/>
  <c r="AF21" i="28"/>
  <c r="X28" i="28"/>
  <c r="AJ28" i="28" s="1"/>
  <c r="R31" i="28"/>
  <c r="AJ30" i="28" l="1"/>
  <c r="AD31" i="28"/>
  <c r="AH31" i="28"/>
  <c r="AA31" i="28"/>
  <c r="AF31" i="28"/>
  <c r="AG31" i="28"/>
  <c r="AB31" i="28"/>
  <c r="L31" i="28"/>
  <c r="AE31" i="28"/>
  <c r="AJ23" i="28"/>
  <c r="AJ29" i="28"/>
  <c r="AJ22" i="28"/>
  <c r="X31" i="28"/>
  <c r="AJ21" i="28"/>
  <c r="AJ31" i="28" l="1"/>
  <c r="C25" i="24"/>
  <c r="D25" i="24"/>
  <c r="E25" i="24"/>
  <c r="F25" i="24"/>
  <c r="G25" i="24"/>
  <c r="H25" i="24"/>
  <c r="I25" i="24"/>
  <c r="J25" i="24"/>
  <c r="K25" i="24"/>
  <c r="C26" i="24"/>
  <c r="D26" i="24"/>
  <c r="E26" i="24"/>
  <c r="F26" i="24"/>
  <c r="G26" i="24"/>
  <c r="H26" i="24"/>
  <c r="I26" i="24"/>
  <c r="J26" i="24"/>
  <c r="K26" i="24"/>
  <c r="C27" i="24"/>
  <c r="D27" i="24"/>
  <c r="E27" i="24"/>
  <c r="F27" i="24"/>
  <c r="G27" i="24"/>
  <c r="H27" i="24"/>
  <c r="I27" i="24"/>
  <c r="J27" i="24"/>
  <c r="K27" i="24"/>
  <c r="C28" i="24"/>
  <c r="D28" i="24"/>
  <c r="E28" i="24"/>
  <c r="F28" i="24"/>
  <c r="G28" i="24"/>
  <c r="H28" i="24"/>
  <c r="I28" i="24"/>
  <c r="J28" i="24"/>
  <c r="K28" i="24"/>
  <c r="C29" i="24"/>
  <c r="D29" i="24"/>
  <c r="E29" i="24"/>
  <c r="F29" i="24"/>
  <c r="G29" i="24"/>
  <c r="H29" i="24"/>
  <c r="I29" i="24"/>
  <c r="J29" i="24"/>
  <c r="K29" i="24"/>
  <c r="C30" i="24"/>
  <c r="D30" i="24"/>
  <c r="E30" i="24"/>
  <c r="F30" i="24"/>
  <c r="G30" i="24"/>
  <c r="H30" i="24"/>
  <c r="I30" i="24"/>
  <c r="J30" i="24"/>
  <c r="K30" i="24"/>
  <c r="D24" i="24"/>
  <c r="E24" i="24"/>
  <c r="F24" i="24"/>
  <c r="G24" i="24"/>
  <c r="H24" i="24"/>
  <c r="I24" i="24"/>
  <c r="J24" i="24"/>
  <c r="K24" i="24"/>
  <c r="K31" i="24" s="1"/>
  <c r="C24" i="24"/>
  <c r="C16" i="24"/>
  <c r="D16" i="24"/>
  <c r="E16" i="24"/>
  <c r="F16" i="24"/>
  <c r="G16" i="24"/>
  <c r="H16" i="24"/>
  <c r="I16" i="24"/>
  <c r="J16" i="24"/>
  <c r="K16" i="24"/>
  <c r="C17" i="24"/>
  <c r="D17" i="24"/>
  <c r="E17" i="24"/>
  <c r="F17" i="24"/>
  <c r="G17" i="24"/>
  <c r="H17" i="24"/>
  <c r="I17" i="24"/>
  <c r="J17" i="24"/>
  <c r="K17" i="24"/>
  <c r="C18" i="24"/>
  <c r="D18" i="24"/>
  <c r="E18" i="24"/>
  <c r="F18" i="24"/>
  <c r="G18" i="24"/>
  <c r="H18" i="24"/>
  <c r="I18" i="24"/>
  <c r="J18" i="24"/>
  <c r="K18" i="24"/>
  <c r="D15" i="24"/>
  <c r="E15" i="24"/>
  <c r="F15" i="24"/>
  <c r="G15" i="24"/>
  <c r="H15" i="24"/>
  <c r="I15" i="24"/>
  <c r="J15" i="24"/>
  <c r="K15" i="24"/>
  <c r="C15" i="24"/>
  <c r="C7" i="24"/>
  <c r="D7" i="24"/>
  <c r="E7" i="24"/>
  <c r="F7" i="24"/>
  <c r="G7" i="24"/>
  <c r="H7" i="24"/>
  <c r="I7" i="24"/>
  <c r="J7" i="24"/>
  <c r="K7" i="24"/>
  <c r="C8" i="24"/>
  <c r="D8" i="24"/>
  <c r="E8" i="24"/>
  <c r="F8" i="24"/>
  <c r="G8" i="24"/>
  <c r="H8" i="24"/>
  <c r="I8" i="24"/>
  <c r="J8" i="24"/>
  <c r="K8" i="24"/>
  <c r="C9" i="24"/>
  <c r="D9" i="24"/>
  <c r="E9" i="24"/>
  <c r="F9" i="24"/>
  <c r="G9" i="24"/>
  <c r="H9" i="24"/>
  <c r="I9" i="24"/>
  <c r="J9" i="24"/>
  <c r="K9" i="24"/>
  <c r="D6" i="24"/>
  <c r="E6" i="24"/>
  <c r="F6" i="24"/>
  <c r="G6" i="24"/>
  <c r="H6" i="24"/>
  <c r="I6" i="24"/>
  <c r="J6" i="24"/>
  <c r="K6" i="24"/>
  <c r="C6" i="24"/>
  <c r="H19" i="24" l="1"/>
  <c r="F10" i="24"/>
  <c r="I19" i="24"/>
  <c r="L29" i="24"/>
  <c r="L27" i="24"/>
  <c r="L26" i="24"/>
  <c r="G19" i="24"/>
  <c r="G46" i="24" s="1"/>
  <c r="L18" i="24"/>
  <c r="K19" i="24"/>
  <c r="K48" i="24" s="1"/>
  <c r="J31" i="24"/>
  <c r="J57" i="24" s="1"/>
  <c r="L25" i="24"/>
  <c r="E31" i="24"/>
  <c r="E59" i="24" s="1"/>
  <c r="G31" i="24"/>
  <c r="G59" i="24" s="1"/>
  <c r="L24" i="24"/>
  <c r="D31" i="24"/>
  <c r="D57" i="24" s="1"/>
  <c r="G58" i="24"/>
  <c r="J19" i="24"/>
  <c r="J47" i="24" s="1"/>
  <c r="I49" i="24"/>
  <c r="H49" i="24"/>
  <c r="I48" i="24"/>
  <c r="H48" i="24"/>
  <c r="I47" i="24"/>
  <c r="H47" i="24"/>
  <c r="G49" i="24"/>
  <c r="J46" i="24"/>
  <c r="G10" i="24"/>
  <c r="G37" i="24" s="1"/>
  <c r="L6" i="24"/>
  <c r="F40" i="24"/>
  <c r="E10" i="24"/>
  <c r="E40" i="24" s="1"/>
  <c r="F39" i="24"/>
  <c r="F38" i="24"/>
  <c r="K61" i="24"/>
  <c r="K60" i="24"/>
  <c r="K59" i="24"/>
  <c r="K58" i="24"/>
  <c r="K57" i="24"/>
  <c r="H59" i="24"/>
  <c r="K56" i="24"/>
  <c r="L30" i="24"/>
  <c r="I31" i="24"/>
  <c r="I59" i="24" s="1"/>
  <c r="L28" i="24"/>
  <c r="H31" i="24"/>
  <c r="H55" i="24" s="1"/>
  <c r="K55" i="24"/>
  <c r="F31" i="24"/>
  <c r="F61" i="24" s="1"/>
  <c r="C31" i="24"/>
  <c r="C55" i="24" s="1"/>
  <c r="L17" i="24"/>
  <c r="I46" i="24"/>
  <c r="L16" i="24"/>
  <c r="H46" i="24"/>
  <c r="E19" i="24"/>
  <c r="E48" i="24" s="1"/>
  <c r="F19" i="24"/>
  <c r="F49" i="24" s="1"/>
  <c r="C19" i="24"/>
  <c r="C49" i="24" s="1"/>
  <c r="D19" i="24"/>
  <c r="D47" i="24" s="1"/>
  <c r="F37" i="24"/>
  <c r="C10" i="24"/>
  <c r="C37" i="24" s="1"/>
  <c r="D10" i="24"/>
  <c r="D37" i="24" s="1"/>
  <c r="K10" i="24"/>
  <c r="K37" i="24" s="1"/>
  <c r="L9" i="24"/>
  <c r="L8" i="24"/>
  <c r="J10" i="24"/>
  <c r="J38" i="24" s="1"/>
  <c r="I10" i="24"/>
  <c r="I38" i="24" s="1"/>
  <c r="L7" i="24"/>
  <c r="W31" i="24"/>
  <c r="W59" i="24" s="1"/>
  <c r="O31" i="24"/>
  <c r="O60" i="24" s="1"/>
  <c r="W19" i="24"/>
  <c r="W49" i="24" s="1"/>
  <c r="S10" i="24"/>
  <c r="S37" i="24" s="1"/>
  <c r="W10" i="24"/>
  <c r="W37" i="24" s="1"/>
  <c r="AG21" i="26"/>
  <c r="U21" i="26"/>
  <c r="AD21" i="26"/>
  <c r="V21" i="26"/>
  <c r="W21" i="26"/>
  <c r="X21" i="26"/>
  <c r="AE21" i="26"/>
  <c r="AF21" i="26"/>
  <c r="T21" i="26"/>
  <c r="Q7" i="26"/>
  <c r="Q20" i="26"/>
  <c r="Q19" i="26"/>
  <c r="Q18" i="26"/>
  <c r="Q17" i="26"/>
  <c r="Q16" i="26"/>
  <c r="Q9" i="26"/>
  <c r="Q8" i="26"/>
  <c r="Q10" i="26"/>
  <c r="X6" i="24"/>
  <c r="S19" i="24"/>
  <c r="S46" i="24" s="1"/>
  <c r="T19" i="24"/>
  <c r="T48" i="24" s="1"/>
  <c r="P10" i="24"/>
  <c r="P37" i="24" s="1"/>
  <c r="V10" i="24"/>
  <c r="V37" i="24" s="1"/>
  <c r="R19" i="24"/>
  <c r="R46" i="24" s="1"/>
  <c r="X17" i="24"/>
  <c r="X18" i="24"/>
  <c r="V31" i="24"/>
  <c r="V60" i="24" s="1"/>
  <c r="Q10" i="24"/>
  <c r="Q38" i="24" s="1"/>
  <c r="X8" i="24"/>
  <c r="U19" i="24"/>
  <c r="U49" i="24" s="1"/>
  <c r="P31" i="24"/>
  <c r="P58" i="24" s="1"/>
  <c r="X26" i="24"/>
  <c r="R10" i="24"/>
  <c r="R38" i="24" s="1"/>
  <c r="AD38" i="24" s="1"/>
  <c r="V19" i="24"/>
  <c r="V48" i="24" s="1"/>
  <c r="R31" i="24"/>
  <c r="R56" i="24" s="1"/>
  <c r="X27" i="24"/>
  <c r="X9" i="24"/>
  <c r="X15" i="24"/>
  <c r="S31" i="24"/>
  <c r="S55" i="24" s="1"/>
  <c r="X28" i="24"/>
  <c r="T10" i="24"/>
  <c r="T38" i="24" s="1"/>
  <c r="P19" i="24"/>
  <c r="P46" i="24" s="1"/>
  <c r="X16" i="24"/>
  <c r="T31" i="24"/>
  <c r="T55" i="24" s="1"/>
  <c r="Q31" i="24"/>
  <c r="Q57" i="24" s="1"/>
  <c r="X7" i="24"/>
  <c r="U10" i="24"/>
  <c r="U40" i="24" s="1"/>
  <c r="Q19" i="24"/>
  <c r="Q49" i="24" s="1"/>
  <c r="U31" i="24"/>
  <c r="U61" i="24" s="1"/>
  <c r="X29" i="24"/>
  <c r="X30" i="24"/>
  <c r="X24" i="24"/>
  <c r="X25" i="24"/>
  <c r="O10" i="24"/>
  <c r="O38" i="24" s="1"/>
  <c r="O19" i="24"/>
  <c r="O48" i="24" s="1"/>
  <c r="H10" i="24"/>
  <c r="H39" i="24" s="1"/>
  <c r="L15" i="24"/>
  <c r="G56" i="24" l="1"/>
  <c r="H50" i="24"/>
  <c r="AF48" i="24"/>
  <c r="D59" i="24"/>
  <c r="F41" i="24"/>
  <c r="D56" i="24"/>
  <c r="K49" i="24"/>
  <c r="AI49" i="24" s="1"/>
  <c r="D61" i="24"/>
  <c r="AB61" i="24" s="1"/>
  <c r="K47" i="24"/>
  <c r="K46" i="24"/>
  <c r="D55" i="24"/>
  <c r="D58" i="24"/>
  <c r="G60" i="24"/>
  <c r="I56" i="24"/>
  <c r="F56" i="24"/>
  <c r="AD56" i="24" s="1"/>
  <c r="D60" i="24"/>
  <c r="G48" i="24"/>
  <c r="BN13" i="26"/>
  <c r="BN20" i="26"/>
  <c r="BN12" i="26"/>
  <c r="BN21" i="26"/>
  <c r="BN19" i="26"/>
  <c r="BN11" i="26"/>
  <c r="BN15" i="26"/>
  <c r="BN18" i="26"/>
  <c r="BN10" i="26"/>
  <c r="BN7" i="26"/>
  <c r="BN17" i="26"/>
  <c r="BN9" i="26"/>
  <c r="BN16" i="26"/>
  <c r="BN8" i="26"/>
  <c r="BN14" i="26"/>
  <c r="BM14" i="26"/>
  <c r="BM8" i="26"/>
  <c r="BM13" i="26"/>
  <c r="BM20" i="26"/>
  <c r="BM12" i="26"/>
  <c r="BM21" i="26"/>
  <c r="BM19" i="26"/>
  <c r="BM11" i="26"/>
  <c r="BM18" i="26"/>
  <c r="BM10" i="26"/>
  <c r="BM17" i="26"/>
  <c r="CD17" i="26" s="1"/>
  <c r="BM9" i="26"/>
  <c r="BM15" i="26"/>
  <c r="BM7" i="26"/>
  <c r="BM16" i="26"/>
  <c r="BE16" i="26"/>
  <c r="BE8" i="26"/>
  <c r="BE18" i="26"/>
  <c r="BE15" i="26"/>
  <c r="BE14" i="26"/>
  <c r="BE7" i="26"/>
  <c r="BE21" i="26"/>
  <c r="BE13" i="26"/>
  <c r="BE20" i="26"/>
  <c r="BE12" i="26"/>
  <c r="BE19" i="26"/>
  <c r="BE11" i="26"/>
  <c r="BE17" i="26"/>
  <c r="BE9" i="26"/>
  <c r="BE10" i="26"/>
  <c r="BD17" i="26"/>
  <c r="BD9" i="26"/>
  <c r="BU9" i="26" s="1"/>
  <c r="BD16" i="26"/>
  <c r="BD8" i="26"/>
  <c r="BD15" i="26"/>
  <c r="BD14" i="26"/>
  <c r="BD7" i="26"/>
  <c r="BD19" i="26"/>
  <c r="BD21" i="26"/>
  <c r="BD13" i="26"/>
  <c r="BD20" i="26"/>
  <c r="BD12" i="26"/>
  <c r="BD11" i="26"/>
  <c r="BD18" i="26"/>
  <c r="BD10" i="26"/>
  <c r="BL15" i="26"/>
  <c r="BL7" i="26"/>
  <c r="BL14" i="26"/>
  <c r="BL13" i="26"/>
  <c r="BL9" i="26"/>
  <c r="BL20" i="26"/>
  <c r="BL12" i="26"/>
  <c r="BL21" i="26"/>
  <c r="BL19" i="26"/>
  <c r="BL11" i="26"/>
  <c r="BL18" i="26"/>
  <c r="BL10" i="26"/>
  <c r="BL17" i="26"/>
  <c r="BL16" i="26"/>
  <c r="BL8" i="26"/>
  <c r="BF8" i="26"/>
  <c r="BF16" i="26"/>
  <c r="BF9" i="26"/>
  <c r="BF17" i="26"/>
  <c r="BF10" i="26"/>
  <c r="BF20" i="26"/>
  <c r="BF11" i="26"/>
  <c r="BF18" i="26"/>
  <c r="BF12" i="26"/>
  <c r="BF19" i="26"/>
  <c r="BF13" i="26"/>
  <c r="BF15" i="26"/>
  <c r="BF14" i="26"/>
  <c r="BF7" i="26"/>
  <c r="BF21" i="26"/>
  <c r="BC18" i="26"/>
  <c r="BC10" i="26"/>
  <c r="BC17" i="26"/>
  <c r="BC9" i="26"/>
  <c r="BC20" i="26"/>
  <c r="BC12" i="26"/>
  <c r="BC16" i="26"/>
  <c r="BC8" i="26"/>
  <c r="BC15" i="26"/>
  <c r="BC14" i="26"/>
  <c r="BC7" i="26"/>
  <c r="BC21" i="26"/>
  <c r="BC13" i="26"/>
  <c r="BC19" i="26"/>
  <c r="BC11" i="26"/>
  <c r="BB19" i="26"/>
  <c r="BB11" i="26"/>
  <c r="BB18" i="26"/>
  <c r="BB10" i="26"/>
  <c r="BB17" i="26"/>
  <c r="BB9" i="26"/>
  <c r="BB21" i="26"/>
  <c r="BB16" i="26"/>
  <c r="BB8" i="26"/>
  <c r="BB13" i="26"/>
  <c r="BB15" i="26"/>
  <c r="BB14" i="26"/>
  <c r="BB20" i="26"/>
  <c r="BB12" i="26"/>
  <c r="BO20" i="26"/>
  <c r="BO12" i="26"/>
  <c r="BO21" i="26"/>
  <c r="BO19" i="26"/>
  <c r="BO11" i="26"/>
  <c r="BO18" i="26"/>
  <c r="BO10" i="26"/>
  <c r="BO17" i="26"/>
  <c r="CF17" i="26" s="1"/>
  <c r="BO9" i="26"/>
  <c r="BO16" i="26"/>
  <c r="BO8" i="26"/>
  <c r="BO14" i="26"/>
  <c r="BO15" i="26"/>
  <c r="BO7" i="26"/>
  <c r="BO13" i="26"/>
  <c r="J59" i="24"/>
  <c r="AB58" i="24"/>
  <c r="F55" i="24"/>
  <c r="J56" i="24"/>
  <c r="J61" i="24"/>
  <c r="J55" i="24"/>
  <c r="J58" i="24"/>
  <c r="F60" i="24"/>
  <c r="F48" i="24"/>
  <c r="G47" i="24"/>
  <c r="AG49" i="24"/>
  <c r="AE46" i="24"/>
  <c r="K40" i="24"/>
  <c r="J40" i="24"/>
  <c r="J39" i="24"/>
  <c r="E58" i="24"/>
  <c r="H57" i="24"/>
  <c r="E56" i="24"/>
  <c r="C60" i="24"/>
  <c r="AA60" i="24" s="1"/>
  <c r="F58" i="24"/>
  <c r="G55" i="24"/>
  <c r="AE55" i="24" s="1"/>
  <c r="J60" i="24"/>
  <c r="AH60" i="24" s="1"/>
  <c r="E60" i="24"/>
  <c r="H56" i="24"/>
  <c r="E61" i="24"/>
  <c r="G61" i="24"/>
  <c r="E55" i="24"/>
  <c r="C56" i="24"/>
  <c r="C61" i="24"/>
  <c r="G57" i="24"/>
  <c r="G62" i="24" s="1"/>
  <c r="E57" i="24"/>
  <c r="AC57" i="24" s="1"/>
  <c r="I50" i="24"/>
  <c r="D46" i="24"/>
  <c r="G50" i="24"/>
  <c r="F46" i="24"/>
  <c r="J48" i="24"/>
  <c r="AH48" i="24" s="1"/>
  <c r="J49" i="24"/>
  <c r="AE37" i="24"/>
  <c r="D39" i="24"/>
  <c r="K39" i="24"/>
  <c r="L10" i="24"/>
  <c r="L37" i="24" s="1"/>
  <c r="E37" i="24"/>
  <c r="E38" i="24"/>
  <c r="AC38" i="24" s="1"/>
  <c r="E39" i="24"/>
  <c r="G39" i="24"/>
  <c r="K38" i="24"/>
  <c r="G40" i="24"/>
  <c r="G38" i="24"/>
  <c r="W38" i="24"/>
  <c r="CE173" i="26"/>
  <c r="CE128" i="26"/>
  <c r="CE120" i="26"/>
  <c r="CE103" i="26"/>
  <c r="CE122" i="26"/>
  <c r="CE137" i="26"/>
  <c r="CE129" i="26"/>
  <c r="CE154" i="26"/>
  <c r="CE156" i="26"/>
  <c r="CE105" i="26"/>
  <c r="CE171" i="26"/>
  <c r="CE146" i="26"/>
  <c r="CE88" i="26"/>
  <c r="CE26" i="26"/>
  <c r="CE77" i="26"/>
  <c r="CE27" i="26"/>
  <c r="CE78" i="26"/>
  <c r="CE52" i="26"/>
  <c r="CE139" i="26"/>
  <c r="CE112" i="26"/>
  <c r="CE54" i="26"/>
  <c r="CE44" i="26"/>
  <c r="CE35" i="26"/>
  <c r="CE86" i="26"/>
  <c r="CE37" i="26"/>
  <c r="BU137" i="26"/>
  <c r="BU155" i="26"/>
  <c r="BU154" i="26"/>
  <c r="BU104" i="26"/>
  <c r="BU156" i="26"/>
  <c r="BU138" i="26"/>
  <c r="BU105" i="26"/>
  <c r="BU171" i="26"/>
  <c r="BU135" i="26"/>
  <c r="BU102" i="26"/>
  <c r="BU101" i="26"/>
  <c r="BU169" i="26"/>
  <c r="BU136" i="26"/>
  <c r="BU118" i="26"/>
  <c r="BU53" i="26"/>
  <c r="BU34" i="26"/>
  <c r="BU119" i="26"/>
  <c r="BU54" i="26"/>
  <c r="BU33" i="26"/>
  <c r="BU120" i="26"/>
  <c r="BU84" i="26"/>
  <c r="BU35" i="26"/>
  <c r="BU153" i="26"/>
  <c r="BU122" i="26"/>
  <c r="BU121" i="26"/>
  <c r="BU86" i="26"/>
  <c r="BU37" i="26"/>
  <c r="BU152" i="26"/>
  <c r="BU139" i="26"/>
  <c r="BU36" i="26"/>
  <c r="BU103" i="26"/>
  <c r="BU88" i="26"/>
  <c r="BU51" i="26"/>
  <c r="BU50" i="26"/>
  <c r="BU52" i="26"/>
  <c r="CD139" i="26"/>
  <c r="CD136" i="26"/>
  <c r="CD173" i="26"/>
  <c r="CD128" i="26"/>
  <c r="CD110" i="26"/>
  <c r="CD153" i="26"/>
  <c r="CD152" i="26"/>
  <c r="CD122" i="26"/>
  <c r="CD144" i="26"/>
  <c r="CD156" i="26"/>
  <c r="CD138" i="26"/>
  <c r="CD25" i="26"/>
  <c r="CD37" i="26"/>
  <c r="CD88" i="26"/>
  <c r="CD76" i="26"/>
  <c r="CD51" i="26"/>
  <c r="CD135" i="26"/>
  <c r="CD127" i="26"/>
  <c r="CD102" i="26"/>
  <c r="CD42" i="26"/>
  <c r="CD105" i="26"/>
  <c r="CD53" i="26"/>
  <c r="CD34" i="26"/>
  <c r="CD85" i="26"/>
  <c r="CD54" i="26"/>
  <c r="CD93" i="26"/>
  <c r="CD84" i="26"/>
  <c r="BS128" i="26"/>
  <c r="BS120" i="26"/>
  <c r="BS110" i="26"/>
  <c r="BS103" i="26"/>
  <c r="BS170" i="26"/>
  <c r="BS153" i="26"/>
  <c r="BS152" i="26"/>
  <c r="BS122" i="26"/>
  <c r="BS121" i="26"/>
  <c r="BS161" i="26"/>
  <c r="BS144" i="26"/>
  <c r="BS137" i="26"/>
  <c r="BS111" i="26"/>
  <c r="BS155" i="26"/>
  <c r="BS154" i="26"/>
  <c r="BS145" i="26"/>
  <c r="BS104" i="26"/>
  <c r="BS156" i="26"/>
  <c r="BS171" i="26"/>
  <c r="BS135" i="26"/>
  <c r="BS102" i="26"/>
  <c r="BS101" i="26"/>
  <c r="BS139" i="26"/>
  <c r="BS26" i="26"/>
  <c r="BS138" i="26"/>
  <c r="BS118" i="26"/>
  <c r="BS105" i="26"/>
  <c r="BS52" i="26"/>
  <c r="BS42" i="26"/>
  <c r="BS51" i="26"/>
  <c r="BS119" i="26"/>
  <c r="BS53" i="26"/>
  <c r="BS34" i="26"/>
  <c r="BS85" i="26"/>
  <c r="BS54" i="26"/>
  <c r="BS43" i="26"/>
  <c r="BS33" i="26"/>
  <c r="BS93" i="26"/>
  <c r="BS35" i="26"/>
  <c r="BS76" i="26"/>
  <c r="BS136" i="26"/>
  <c r="BS127" i="26"/>
  <c r="BS86" i="26"/>
  <c r="BS37" i="26"/>
  <c r="BS50" i="26"/>
  <c r="BS94" i="26"/>
  <c r="BS36" i="26"/>
  <c r="BS25" i="26"/>
  <c r="CB156" i="26"/>
  <c r="CB138" i="26"/>
  <c r="CB105" i="26"/>
  <c r="CB146" i="26"/>
  <c r="CB102" i="26"/>
  <c r="CB139" i="26"/>
  <c r="CB119" i="26"/>
  <c r="CB136" i="26"/>
  <c r="CB153" i="26"/>
  <c r="CB122" i="26"/>
  <c r="CB121" i="26"/>
  <c r="CB95" i="26"/>
  <c r="CB163" i="26"/>
  <c r="CB137" i="26"/>
  <c r="CB44" i="26"/>
  <c r="CB35" i="26"/>
  <c r="CB129" i="26"/>
  <c r="CB104" i="26"/>
  <c r="CB120" i="26"/>
  <c r="CB86" i="26"/>
  <c r="CB37" i="26"/>
  <c r="CB36" i="26"/>
  <c r="CB85" i="26"/>
  <c r="CB155" i="26"/>
  <c r="CB88" i="26"/>
  <c r="CB87" i="26"/>
  <c r="CB51" i="26"/>
  <c r="CB154" i="26"/>
  <c r="CB103" i="26"/>
  <c r="CB27" i="26"/>
  <c r="CB78" i="26"/>
  <c r="CB52" i="26"/>
  <c r="CB172" i="26"/>
  <c r="CB112" i="26"/>
  <c r="CB53" i="26"/>
  <c r="CB34" i="26"/>
  <c r="CB54" i="26"/>
  <c r="CC135" i="26"/>
  <c r="CC139" i="26"/>
  <c r="CC173" i="26"/>
  <c r="CC152" i="26"/>
  <c r="CC137" i="26"/>
  <c r="CC155" i="26"/>
  <c r="CC138" i="26"/>
  <c r="CC105" i="26"/>
  <c r="CC86" i="26"/>
  <c r="CC37" i="26"/>
  <c r="CC122" i="26"/>
  <c r="CC36" i="26"/>
  <c r="CC35" i="26"/>
  <c r="CC88" i="26"/>
  <c r="CC156" i="26"/>
  <c r="CC52" i="26"/>
  <c r="CC53" i="26"/>
  <c r="CC104" i="26"/>
  <c r="CC54" i="26"/>
  <c r="BU161" i="26"/>
  <c r="BV172" i="26"/>
  <c r="BV155" i="26"/>
  <c r="BV154" i="26"/>
  <c r="BV104" i="26"/>
  <c r="BV156" i="26"/>
  <c r="BV138" i="26"/>
  <c r="BV127" i="26"/>
  <c r="BV105" i="26"/>
  <c r="BV171" i="26"/>
  <c r="BV135" i="26"/>
  <c r="BV102" i="26"/>
  <c r="BV101" i="26"/>
  <c r="BV169" i="26"/>
  <c r="BV139" i="26"/>
  <c r="BV119" i="26"/>
  <c r="BV118" i="26"/>
  <c r="BV173" i="26"/>
  <c r="BV120" i="26"/>
  <c r="BV103" i="26"/>
  <c r="BV170" i="26"/>
  <c r="BV153" i="26"/>
  <c r="BV152" i="26"/>
  <c r="BV85" i="26"/>
  <c r="BV54" i="26"/>
  <c r="BV33" i="26"/>
  <c r="BV53" i="26"/>
  <c r="BV144" i="26"/>
  <c r="BV84" i="26"/>
  <c r="BV35" i="26"/>
  <c r="BV122" i="26"/>
  <c r="BV121" i="26"/>
  <c r="BV86" i="26"/>
  <c r="BV37" i="26"/>
  <c r="BV136" i="26"/>
  <c r="BV36" i="26"/>
  <c r="BV88" i="26"/>
  <c r="BV87" i="26"/>
  <c r="BV51" i="26"/>
  <c r="BV50" i="26"/>
  <c r="BV137" i="26"/>
  <c r="BV52" i="26"/>
  <c r="BV42" i="26"/>
  <c r="BV34" i="26"/>
  <c r="BT170" i="26"/>
  <c r="BT153" i="26"/>
  <c r="BT152" i="26"/>
  <c r="BT122" i="26"/>
  <c r="BT121" i="26"/>
  <c r="BT137" i="26"/>
  <c r="BT111" i="26"/>
  <c r="BT155" i="26"/>
  <c r="BT154" i="26"/>
  <c r="BT145" i="26"/>
  <c r="BT104" i="26"/>
  <c r="BT156" i="26"/>
  <c r="BT138" i="26"/>
  <c r="BT105" i="26"/>
  <c r="BT171" i="26"/>
  <c r="BT169" i="26"/>
  <c r="BT139" i="26"/>
  <c r="BT119" i="26"/>
  <c r="BT118" i="26"/>
  <c r="BT162" i="26"/>
  <c r="BT52" i="26"/>
  <c r="BT53" i="26"/>
  <c r="BT34" i="26"/>
  <c r="BT173" i="26"/>
  <c r="BT101" i="26"/>
  <c r="BT85" i="26"/>
  <c r="BT54" i="26"/>
  <c r="BT43" i="26"/>
  <c r="BT33" i="26"/>
  <c r="BT128" i="26"/>
  <c r="BT135" i="26"/>
  <c r="BT120" i="26"/>
  <c r="BT84" i="26"/>
  <c r="BT35" i="26"/>
  <c r="BT136" i="26"/>
  <c r="BT102" i="26"/>
  <c r="BT86" i="26"/>
  <c r="BT37" i="26"/>
  <c r="BT94" i="26"/>
  <c r="BT36" i="26"/>
  <c r="BT103" i="26"/>
  <c r="BT88" i="26"/>
  <c r="BT51" i="26"/>
  <c r="BT50" i="26"/>
  <c r="BT26" i="26"/>
  <c r="CF128" i="26"/>
  <c r="CF120" i="26"/>
  <c r="CF110" i="26"/>
  <c r="CF103" i="26"/>
  <c r="CF170" i="26"/>
  <c r="CF153" i="26"/>
  <c r="CF152" i="26"/>
  <c r="CF121" i="26"/>
  <c r="CF95" i="26"/>
  <c r="CF161" i="26"/>
  <c r="CF144" i="26"/>
  <c r="CF137" i="26"/>
  <c r="CF129" i="26"/>
  <c r="CF172" i="26"/>
  <c r="CF155" i="26"/>
  <c r="CF154" i="26"/>
  <c r="CF145" i="26"/>
  <c r="CF112" i="26"/>
  <c r="CF171" i="26"/>
  <c r="CF146" i="26"/>
  <c r="CF135" i="26"/>
  <c r="CF102" i="26"/>
  <c r="CF101" i="26"/>
  <c r="CF169" i="26"/>
  <c r="CF139" i="26"/>
  <c r="CF77" i="26"/>
  <c r="CF27" i="26"/>
  <c r="CF51" i="26"/>
  <c r="CF78" i="26"/>
  <c r="CF52" i="26"/>
  <c r="CF42" i="26"/>
  <c r="CF136" i="26"/>
  <c r="CF127" i="26"/>
  <c r="CF53" i="26"/>
  <c r="CF34" i="26"/>
  <c r="CF85" i="26"/>
  <c r="CF33" i="26"/>
  <c r="CF138" i="26"/>
  <c r="CF87" i="26"/>
  <c r="CF93" i="26"/>
  <c r="CF84" i="26"/>
  <c r="CF35" i="26"/>
  <c r="CF119" i="26"/>
  <c r="CF86" i="26"/>
  <c r="CF118" i="26"/>
  <c r="CF36" i="26"/>
  <c r="CF25" i="26"/>
  <c r="CF76" i="26"/>
  <c r="CF50" i="26"/>
  <c r="CD163" i="26"/>
  <c r="BU146" i="26"/>
  <c r="BU145" i="26"/>
  <c r="BU144" i="26"/>
  <c r="BT144" i="26"/>
  <c r="BS146" i="26"/>
  <c r="CE144" i="26"/>
  <c r="CE153" i="26"/>
  <c r="CE152" i="26"/>
  <c r="CD154" i="26"/>
  <c r="CC153" i="26"/>
  <c r="BV146" i="26"/>
  <c r="BU128" i="26"/>
  <c r="BS129" i="26"/>
  <c r="CE136" i="26"/>
  <c r="CE135" i="26"/>
  <c r="CE138" i="26"/>
  <c r="CE127" i="26"/>
  <c r="CD129" i="26"/>
  <c r="CC136" i="26"/>
  <c r="CC128" i="26"/>
  <c r="CC127" i="26"/>
  <c r="CB135" i="26"/>
  <c r="BU112" i="26"/>
  <c r="BU110" i="26"/>
  <c r="BS112" i="26"/>
  <c r="CE119" i="26"/>
  <c r="CD120" i="26"/>
  <c r="CD112" i="26"/>
  <c r="CC110" i="26"/>
  <c r="CC119" i="26"/>
  <c r="CB110" i="26"/>
  <c r="BV112" i="26"/>
  <c r="CB101" i="26"/>
  <c r="BU95" i="26"/>
  <c r="CE101" i="26"/>
  <c r="CE93" i="26"/>
  <c r="CD103" i="26"/>
  <c r="CD95" i="26"/>
  <c r="CC93" i="26"/>
  <c r="BT76" i="26"/>
  <c r="CE85" i="26"/>
  <c r="CE84" i="26"/>
  <c r="CE87" i="26"/>
  <c r="CD86" i="26"/>
  <c r="CC78" i="26"/>
  <c r="CB84" i="26"/>
  <c r="BV78" i="26"/>
  <c r="BS78" i="26"/>
  <c r="BU78" i="26"/>
  <c r="CD52" i="26"/>
  <c r="CE42" i="26"/>
  <c r="CB42" i="26"/>
  <c r="BU44" i="26"/>
  <c r="BU43" i="26"/>
  <c r="CD27" i="26"/>
  <c r="CC26" i="26"/>
  <c r="CC25" i="26"/>
  <c r="BU25" i="26"/>
  <c r="BU26" i="26"/>
  <c r="AI59" i="24"/>
  <c r="K62" i="24"/>
  <c r="L31" i="24"/>
  <c r="L59" i="24" s="1"/>
  <c r="I60" i="24"/>
  <c r="I61" i="24"/>
  <c r="AG61" i="24" s="1"/>
  <c r="I57" i="24"/>
  <c r="H60" i="24"/>
  <c r="H61" i="24"/>
  <c r="I55" i="24"/>
  <c r="C57" i="24"/>
  <c r="H58" i="24"/>
  <c r="F57" i="24"/>
  <c r="AF55" i="24"/>
  <c r="I58" i="24"/>
  <c r="F59" i="24"/>
  <c r="C58" i="24"/>
  <c r="C59" i="24"/>
  <c r="C47" i="24"/>
  <c r="C46" i="24"/>
  <c r="C48" i="24"/>
  <c r="AA48" i="24" s="1"/>
  <c r="AD46" i="24"/>
  <c r="E47" i="24"/>
  <c r="E49" i="24"/>
  <c r="AC49" i="24" s="1"/>
  <c r="D48" i="24"/>
  <c r="E46" i="24"/>
  <c r="L19" i="24"/>
  <c r="L48" i="24" s="1"/>
  <c r="F47" i="24"/>
  <c r="D49" i="24"/>
  <c r="I40" i="24"/>
  <c r="AG40" i="24" s="1"/>
  <c r="J37" i="24"/>
  <c r="I37" i="24"/>
  <c r="C40" i="24"/>
  <c r="I39" i="24"/>
  <c r="H40" i="24"/>
  <c r="D40" i="24"/>
  <c r="D38" i="24"/>
  <c r="D41" i="24" s="1"/>
  <c r="H37" i="24"/>
  <c r="C38" i="24"/>
  <c r="AA38" i="24" s="1"/>
  <c r="C39" i="24"/>
  <c r="H38" i="24"/>
  <c r="AF38" i="24" s="1"/>
  <c r="S57" i="24"/>
  <c r="W48" i="24"/>
  <c r="AI48" i="24" s="1"/>
  <c r="W46" i="24"/>
  <c r="U37" i="24"/>
  <c r="BT19" i="26"/>
  <c r="BT16" i="26"/>
  <c r="BT20" i="26"/>
  <c r="BT17" i="26"/>
  <c r="BT9" i="26"/>
  <c r="BT18" i="26"/>
  <c r="CE20" i="26"/>
  <c r="CE18" i="26"/>
  <c r="BV18" i="26"/>
  <c r="BV19" i="26"/>
  <c r="BV16" i="26"/>
  <c r="BV20" i="26"/>
  <c r="BV17" i="26"/>
  <c r="CF10" i="26"/>
  <c r="CF19" i="26"/>
  <c r="CF16" i="26"/>
  <c r="BS19" i="26"/>
  <c r="BS16" i="26"/>
  <c r="BS20" i="26"/>
  <c r="AK7" i="26"/>
  <c r="BS8" i="26"/>
  <c r="BS17" i="26"/>
  <c r="BS9" i="26"/>
  <c r="BS18" i="26"/>
  <c r="BU18" i="26"/>
  <c r="BU19" i="26"/>
  <c r="BU17" i="26"/>
  <c r="BU16" i="26"/>
  <c r="BU20" i="26"/>
  <c r="CD20" i="26"/>
  <c r="CB17" i="26"/>
  <c r="CB18" i="26"/>
  <c r="CB10" i="26"/>
  <c r="CB19" i="26"/>
  <c r="CB20" i="26"/>
  <c r="CC20" i="26"/>
  <c r="O59" i="24"/>
  <c r="O61" i="24"/>
  <c r="S58" i="24"/>
  <c r="AE58" i="24" s="1"/>
  <c r="P55" i="24"/>
  <c r="S60" i="24"/>
  <c r="AE60" i="24" s="1"/>
  <c r="O58" i="24"/>
  <c r="V46" i="24"/>
  <c r="AH46" i="24" s="1"/>
  <c r="R47" i="24"/>
  <c r="R49" i="24"/>
  <c r="AD49" i="24" s="1"/>
  <c r="Q46" i="24"/>
  <c r="S48" i="24"/>
  <c r="AE48" i="24" s="1"/>
  <c r="T49" i="24"/>
  <c r="AF49" i="24" s="1"/>
  <c r="O39" i="24"/>
  <c r="W39" i="24"/>
  <c r="AI39" i="24" s="1"/>
  <c r="O40" i="24"/>
  <c r="W40" i="24"/>
  <c r="AI40" i="24" s="1"/>
  <c r="V38" i="24"/>
  <c r="AH38" i="24" s="1"/>
  <c r="U38" i="24"/>
  <c r="AG38" i="24" s="1"/>
  <c r="U39" i="24"/>
  <c r="AH21" i="26"/>
  <c r="BB7" i="26"/>
  <c r="U56" i="24"/>
  <c r="Q55" i="24"/>
  <c r="T58" i="24"/>
  <c r="T60" i="24"/>
  <c r="S56" i="24"/>
  <c r="AE56" i="24" s="1"/>
  <c r="R58" i="24"/>
  <c r="T57" i="24"/>
  <c r="AF57" i="24" s="1"/>
  <c r="O56" i="24"/>
  <c r="S59" i="24"/>
  <c r="AE59" i="24" s="1"/>
  <c r="W56" i="24"/>
  <c r="AI56" i="24" s="1"/>
  <c r="W58" i="24"/>
  <c r="AI58" i="24" s="1"/>
  <c r="R57" i="24"/>
  <c r="Q59" i="24"/>
  <c r="AC59" i="24" s="1"/>
  <c r="T59" i="24"/>
  <c r="AF59" i="24" s="1"/>
  <c r="R60" i="24"/>
  <c r="AD60" i="24" s="1"/>
  <c r="R55" i="24"/>
  <c r="AD55" i="24" s="1"/>
  <c r="V59" i="24"/>
  <c r="Q58" i="24"/>
  <c r="P60" i="24"/>
  <c r="R59" i="24"/>
  <c r="R61" i="24"/>
  <c r="AD61" i="24" s="1"/>
  <c r="Q61" i="24"/>
  <c r="O57" i="24"/>
  <c r="AA57" i="24" s="1"/>
  <c r="U60" i="24"/>
  <c r="AG60" i="24" s="1"/>
  <c r="P59" i="24"/>
  <c r="AB59" i="24" s="1"/>
  <c r="W61" i="24"/>
  <c r="AI61" i="24" s="1"/>
  <c r="Q60" i="24"/>
  <c r="V58" i="24"/>
  <c r="V57" i="24"/>
  <c r="AH57" i="24" s="1"/>
  <c r="U59" i="24"/>
  <c r="AG59" i="24" s="1"/>
  <c r="T61" i="24"/>
  <c r="W60" i="24"/>
  <c r="AI60" i="24" s="1"/>
  <c r="T56" i="24"/>
  <c r="P61" i="24"/>
  <c r="S61" i="24"/>
  <c r="AE61" i="24" s="1"/>
  <c r="U58" i="24"/>
  <c r="P56" i="24"/>
  <c r="V61" i="24"/>
  <c r="AH61" i="24" s="1"/>
  <c r="V56" i="24"/>
  <c r="AH56" i="24" s="1"/>
  <c r="Q56" i="24"/>
  <c r="AC56" i="24" s="1"/>
  <c r="V55" i="24"/>
  <c r="W55" i="24"/>
  <c r="O55" i="24"/>
  <c r="U57" i="24"/>
  <c r="W57" i="24"/>
  <c r="AI57" i="24" s="1"/>
  <c r="P57" i="24"/>
  <c r="AB57" i="24" s="1"/>
  <c r="U55" i="24"/>
  <c r="V47" i="24"/>
  <c r="AH47" i="24" s="1"/>
  <c r="V49" i="24"/>
  <c r="Q48" i="24"/>
  <c r="AC48" i="24" s="1"/>
  <c r="T47" i="24"/>
  <c r="AF47" i="24" s="1"/>
  <c r="U48" i="24"/>
  <c r="AG48" i="24" s="1"/>
  <c r="P49" i="24"/>
  <c r="Q47" i="24"/>
  <c r="AC47" i="24" s="1"/>
  <c r="O46" i="24"/>
  <c r="U47" i="24"/>
  <c r="AG47" i="24" s="1"/>
  <c r="T46" i="24"/>
  <c r="O47" i="24"/>
  <c r="AA47" i="24" s="1"/>
  <c r="O49" i="24"/>
  <c r="AA49" i="24" s="1"/>
  <c r="S47" i="24"/>
  <c r="S49" i="24"/>
  <c r="AE49" i="24" s="1"/>
  <c r="W47" i="24"/>
  <c r="AI47" i="24" s="1"/>
  <c r="P48" i="24"/>
  <c r="AB48" i="24" s="1"/>
  <c r="P47" i="24"/>
  <c r="AB47" i="24" s="1"/>
  <c r="R48" i="24"/>
  <c r="AB46" i="24"/>
  <c r="U46" i="24"/>
  <c r="T39" i="24"/>
  <c r="AI37" i="24"/>
  <c r="Q37" i="24"/>
  <c r="T40" i="24"/>
  <c r="P38" i="24"/>
  <c r="P40" i="24"/>
  <c r="R39" i="24"/>
  <c r="AD39" i="24" s="1"/>
  <c r="T37" i="24"/>
  <c r="Q40" i="24"/>
  <c r="AC40" i="24" s="1"/>
  <c r="V40" i="24"/>
  <c r="AH40" i="24" s="1"/>
  <c r="P39" i="24"/>
  <c r="AB39" i="24" s="1"/>
  <c r="S39" i="24"/>
  <c r="V39" i="24"/>
  <c r="AH39" i="24" s="1"/>
  <c r="Q39" i="24"/>
  <c r="AC39" i="24" s="1"/>
  <c r="R40" i="24"/>
  <c r="AD40" i="24" s="1"/>
  <c r="AB37" i="24"/>
  <c r="S40" i="24"/>
  <c r="O37" i="24"/>
  <c r="AA37" i="24" s="1"/>
  <c r="R37" i="24"/>
  <c r="S38" i="24"/>
  <c r="Q21" i="26"/>
  <c r="X10" i="24"/>
  <c r="X39" i="24" s="1"/>
  <c r="X31" i="24"/>
  <c r="X60" i="24" s="1"/>
  <c r="X19" i="24"/>
  <c r="X48" i="24" s="1"/>
  <c r="F50" i="24" l="1"/>
  <c r="AA61" i="24"/>
  <c r="AD57" i="24"/>
  <c r="AE57" i="24"/>
  <c r="AB60" i="24"/>
  <c r="K41" i="24"/>
  <c r="K50" i="24"/>
  <c r="D62" i="24"/>
  <c r="AC58" i="24"/>
  <c r="AH59" i="24"/>
  <c r="J41" i="24"/>
  <c r="AB55" i="24"/>
  <c r="AH37" i="24"/>
  <c r="AG57" i="24"/>
  <c r="AB56" i="24"/>
  <c r="AI46" i="24"/>
  <c r="AF61" i="24"/>
  <c r="J62" i="24"/>
  <c r="AH49" i="24"/>
  <c r="E62" i="24"/>
  <c r="H62" i="24"/>
  <c r="AF40" i="24"/>
  <c r="AG56" i="24"/>
  <c r="U41" i="24"/>
  <c r="BP21" i="26"/>
  <c r="BP19" i="26"/>
  <c r="BP11" i="26"/>
  <c r="BP13" i="26"/>
  <c r="BP18" i="26"/>
  <c r="BP10" i="26"/>
  <c r="BP17" i="26"/>
  <c r="BP9" i="26"/>
  <c r="BP16" i="26"/>
  <c r="BP8" i="26"/>
  <c r="BP15" i="26"/>
  <c r="BP7" i="26"/>
  <c r="BP14" i="26"/>
  <c r="BP20" i="26"/>
  <c r="BP12" i="26"/>
  <c r="W41" i="24"/>
  <c r="AI41" i="24" s="1"/>
  <c r="AY21" i="26"/>
  <c r="AY13" i="26"/>
  <c r="AY10" i="26"/>
  <c r="AY14" i="26"/>
  <c r="AY18" i="26"/>
  <c r="AY15" i="26"/>
  <c r="AY7" i="26"/>
  <c r="AY16" i="26"/>
  <c r="AY8" i="26"/>
  <c r="AY17" i="26"/>
  <c r="AY9" i="26"/>
  <c r="AY19" i="26"/>
  <c r="AY11" i="26"/>
  <c r="AY20" i="26"/>
  <c r="AY12" i="26"/>
  <c r="AH58" i="24"/>
  <c r="AA59" i="24"/>
  <c r="AA56" i="24"/>
  <c r="F62" i="24"/>
  <c r="AC46" i="24"/>
  <c r="J50" i="24"/>
  <c r="AI38" i="24"/>
  <c r="I41" i="24"/>
  <c r="G41" i="24"/>
  <c r="H41" i="24"/>
  <c r="AE39" i="24"/>
  <c r="CE110" i="26"/>
  <c r="CE51" i="26"/>
  <c r="CE33" i="26"/>
  <c r="CE53" i="26"/>
  <c r="BS44" i="26"/>
  <c r="CD44" i="26"/>
  <c r="CD78" i="26"/>
  <c r="CE36" i="26"/>
  <c r="CB50" i="26"/>
  <c r="CE104" i="26"/>
  <c r="BU129" i="26"/>
  <c r="BT25" i="26"/>
  <c r="CB76" i="26"/>
  <c r="CE118" i="26"/>
  <c r="CB127" i="26"/>
  <c r="CB93" i="26"/>
  <c r="CC76" i="26"/>
  <c r="BT95" i="26"/>
  <c r="BU93" i="26"/>
  <c r="CC112" i="26"/>
  <c r="BV129" i="26"/>
  <c r="CD137" i="26"/>
  <c r="CB144" i="26"/>
  <c r="BU27" i="26"/>
  <c r="BU94" i="26"/>
  <c r="AC55" i="24"/>
  <c r="C62" i="24"/>
  <c r="AA58" i="24"/>
  <c r="AC61" i="24"/>
  <c r="AG58" i="24"/>
  <c r="AF60" i="24"/>
  <c r="E50" i="24"/>
  <c r="D50" i="24"/>
  <c r="AD47" i="24"/>
  <c r="AJ48" i="24"/>
  <c r="L40" i="24"/>
  <c r="AG37" i="24"/>
  <c r="C41" i="24"/>
  <c r="E41" i="24"/>
  <c r="AA39" i="24"/>
  <c r="L39" i="24"/>
  <c r="AJ39" i="24" s="1"/>
  <c r="AG39" i="24"/>
  <c r="L38" i="24"/>
  <c r="AE38" i="24"/>
  <c r="AB38" i="24"/>
  <c r="BT172" i="26"/>
  <c r="CC154" i="26"/>
  <c r="CB145" i="26"/>
  <c r="BV128" i="26"/>
  <c r="CF156" i="26"/>
  <c r="CD145" i="26"/>
  <c r="BV145" i="26"/>
  <c r="CB128" i="26"/>
  <c r="CE145" i="26"/>
  <c r="CD155" i="26"/>
  <c r="W50" i="24"/>
  <c r="AB40" i="24"/>
  <c r="CF104" i="26"/>
  <c r="CF173" i="26"/>
  <c r="BV43" i="26"/>
  <c r="BV110" i="26"/>
  <c r="CB26" i="26"/>
  <c r="CD43" i="26"/>
  <c r="CC169" i="26"/>
  <c r="CE163" i="26"/>
  <c r="CF162" i="26"/>
  <c r="CF37" i="26"/>
  <c r="CF26" i="26"/>
  <c r="BV76" i="26"/>
  <c r="CC33" i="26"/>
  <c r="CC121" i="26"/>
  <c r="CC101" i="26"/>
  <c r="CB171" i="26"/>
  <c r="CD101" i="26"/>
  <c r="CD172" i="26"/>
  <c r="BU172" i="26"/>
  <c r="CE95" i="26"/>
  <c r="CC87" i="26"/>
  <c r="CF163" i="26"/>
  <c r="BV77" i="26"/>
  <c r="BV93" i="26"/>
  <c r="CC172" i="26"/>
  <c r="CB77" i="26"/>
  <c r="CD111" i="26"/>
  <c r="CD26" i="26"/>
  <c r="CD161" i="26"/>
  <c r="CD170" i="26"/>
  <c r="CD162" i="26"/>
  <c r="BU87" i="26"/>
  <c r="CE111" i="26"/>
  <c r="BV25" i="26"/>
  <c r="CB94" i="26"/>
  <c r="CB170" i="26"/>
  <c r="CD50" i="26"/>
  <c r="CD104" i="26"/>
  <c r="CD118" i="26"/>
  <c r="CE43" i="26"/>
  <c r="CF44" i="26"/>
  <c r="BV111" i="26"/>
  <c r="BV162" i="26"/>
  <c r="CC103" i="26"/>
  <c r="CC118" i="26"/>
  <c r="CB173" i="26"/>
  <c r="CD119" i="26"/>
  <c r="BU170" i="26"/>
  <c r="BU173" i="26"/>
  <c r="CF94" i="26"/>
  <c r="CF43" i="26"/>
  <c r="CF88" i="26"/>
  <c r="CF111" i="26"/>
  <c r="CF122" i="26"/>
  <c r="BV26" i="26"/>
  <c r="BV161" i="26"/>
  <c r="CC171" i="26"/>
  <c r="CB111" i="26"/>
  <c r="CB43" i="26"/>
  <c r="CD77" i="26"/>
  <c r="CD36" i="26"/>
  <c r="CD121" i="26"/>
  <c r="CE94" i="26"/>
  <c r="CF105" i="26"/>
  <c r="CF54" i="26"/>
  <c r="BT87" i="26"/>
  <c r="BT77" i="26"/>
  <c r="BV94" i="26"/>
  <c r="CC84" i="26"/>
  <c r="CC50" i="26"/>
  <c r="CC120" i="26"/>
  <c r="CB162" i="26"/>
  <c r="CD33" i="26"/>
  <c r="CD92" i="26"/>
  <c r="CD87" i="26"/>
  <c r="CD169" i="26"/>
  <c r="BU85" i="26"/>
  <c r="CE162" i="26"/>
  <c r="BS88" i="26"/>
  <c r="BS77" i="26"/>
  <c r="BS172" i="26"/>
  <c r="BS87" i="26"/>
  <c r="BS162" i="26"/>
  <c r="BS84" i="26"/>
  <c r="BS169" i="26"/>
  <c r="BS173" i="26"/>
  <c r="CE155" i="26"/>
  <c r="CD146" i="26"/>
  <c r="CB25" i="26"/>
  <c r="CC27" i="26"/>
  <c r="BS27" i="26"/>
  <c r="CC19" i="26"/>
  <c r="CB7" i="26"/>
  <c r="CD16" i="26"/>
  <c r="CE9" i="26"/>
  <c r="BV95" i="26"/>
  <c r="CC144" i="26"/>
  <c r="CC129" i="26"/>
  <c r="CD9" i="26"/>
  <c r="BT129" i="26"/>
  <c r="BT163" i="26"/>
  <c r="CC44" i="26"/>
  <c r="CC146" i="26"/>
  <c r="CF9" i="26"/>
  <c r="CF18" i="26"/>
  <c r="CE7" i="26"/>
  <c r="CC18" i="26"/>
  <c r="CD7" i="26"/>
  <c r="BV8" i="26"/>
  <c r="CC7" i="26"/>
  <c r="CD19" i="26"/>
  <c r="CF7" i="26"/>
  <c r="BV9" i="26"/>
  <c r="CF20" i="26"/>
  <c r="BT44" i="26"/>
  <c r="BS7" i="26"/>
  <c r="BT10" i="26"/>
  <c r="BT112" i="26"/>
  <c r="CE169" i="26"/>
  <c r="BT8" i="26"/>
  <c r="BT146" i="26"/>
  <c r="CD18" i="26"/>
  <c r="CC10" i="26"/>
  <c r="BV10" i="26"/>
  <c r="CE17" i="26"/>
  <c r="BU8" i="26"/>
  <c r="CD35" i="26"/>
  <c r="CE34" i="26"/>
  <c r="CC94" i="26"/>
  <c r="BU127" i="26"/>
  <c r="CE50" i="26"/>
  <c r="BV44" i="26"/>
  <c r="CE102" i="26"/>
  <c r="BT42" i="26"/>
  <c r="BU42" i="26"/>
  <c r="CC51" i="26"/>
  <c r="CC34" i="26"/>
  <c r="CB118" i="26"/>
  <c r="BT127" i="26"/>
  <c r="BT27" i="26"/>
  <c r="CC42" i="26"/>
  <c r="CC170" i="26"/>
  <c r="CC85" i="26"/>
  <c r="CC111" i="26"/>
  <c r="CC161" i="26"/>
  <c r="BU10" i="26"/>
  <c r="CE172" i="26"/>
  <c r="BU76" i="26"/>
  <c r="CC77" i="26"/>
  <c r="CE121" i="26"/>
  <c r="BT110" i="26"/>
  <c r="CC24" i="26"/>
  <c r="CB143" i="26"/>
  <c r="BT161" i="26"/>
  <c r="CD94" i="26"/>
  <c r="CD126" i="26"/>
  <c r="CD143" i="26"/>
  <c r="CE25" i="26"/>
  <c r="BV27" i="26"/>
  <c r="BU77" i="26"/>
  <c r="BT78" i="26"/>
  <c r="CB152" i="26"/>
  <c r="CC145" i="26"/>
  <c r="BV163" i="26"/>
  <c r="BV75" i="26"/>
  <c r="CC163" i="26"/>
  <c r="CC143" i="26"/>
  <c r="CB126" i="26"/>
  <c r="BS163" i="26"/>
  <c r="CC43" i="26"/>
  <c r="BU111" i="26"/>
  <c r="BV143" i="26"/>
  <c r="CC92" i="26"/>
  <c r="CC126" i="26"/>
  <c r="CC109" i="26"/>
  <c r="CB41" i="26"/>
  <c r="CB169" i="26"/>
  <c r="CD160" i="26"/>
  <c r="BU160" i="26"/>
  <c r="CF109" i="26"/>
  <c r="CD109" i="26"/>
  <c r="CE76" i="26"/>
  <c r="CC95" i="26"/>
  <c r="BS95" i="26"/>
  <c r="BT93" i="26"/>
  <c r="CD171" i="26"/>
  <c r="CF24" i="26"/>
  <c r="BV92" i="26"/>
  <c r="BV109" i="26"/>
  <c r="BV160" i="26"/>
  <c r="CC174" i="26"/>
  <c r="CC160" i="26"/>
  <c r="CC162" i="26"/>
  <c r="CB92" i="26"/>
  <c r="CB161" i="26"/>
  <c r="CE41" i="26"/>
  <c r="CE92" i="26"/>
  <c r="CE126" i="26"/>
  <c r="CE143" i="26"/>
  <c r="CD75" i="26"/>
  <c r="CE24" i="26"/>
  <c r="CB33" i="26"/>
  <c r="CF41" i="26"/>
  <c r="CF92" i="26"/>
  <c r="BV126" i="26"/>
  <c r="BS160" i="26"/>
  <c r="CG139" i="26"/>
  <c r="CG161" i="26"/>
  <c r="CC102" i="26"/>
  <c r="CF75" i="26"/>
  <c r="BV41" i="26"/>
  <c r="BV24" i="26"/>
  <c r="CC75" i="26"/>
  <c r="CB109" i="26"/>
  <c r="CB174" i="26"/>
  <c r="CB160" i="26"/>
  <c r="CD24" i="26"/>
  <c r="CE75" i="26"/>
  <c r="CE109" i="26"/>
  <c r="CE160" i="26"/>
  <c r="BS10" i="26"/>
  <c r="CF160" i="26"/>
  <c r="CF174" i="26"/>
  <c r="CF126" i="26"/>
  <c r="CF140" i="26"/>
  <c r="CF143" i="26"/>
  <c r="BT160" i="26"/>
  <c r="BU174" i="26"/>
  <c r="CC41" i="26"/>
  <c r="CB24" i="26"/>
  <c r="CB75" i="26"/>
  <c r="CD41" i="26"/>
  <c r="BU162" i="26"/>
  <c r="BU163" i="26"/>
  <c r="CE161" i="26"/>
  <c r="CE170" i="26"/>
  <c r="BS143" i="26"/>
  <c r="BT143" i="26"/>
  <c r="CG144" i="26"/>
  <c r="BU143" i="26"/>
  <c r="BT126" i="26"/>
  <c r="CG136" i="26"/>
  <c r="BU126" i="26"/>
  <c r="BS140" i="26"/>
  <c r="BS126" i="26"/>
  <c r="BT109" i="26"/>
  <c r="CG118" i="26"/>
  <c r="CG110" i="26"/>
  <c r="BU109" i="26"/>
  <c r="CB123" i="26"/>
  <c r="BS123" i="26"/>
  <c r="BS109" i="26"/>
  <c r="BU92" i="26"/>
  <c r="CG101" i="26"/>
  <c r="CG93" i="26"/>
  <c r="BS92" i="26"/>
  <c r="BT92" i="26"/>
  <c r="CD55" i="26"/>
  <c r="BS75" i="26"/>
  <c r="CB89" i="26"/>
  <c r="BT75" i="26"/>
  <c r="BU75" i="26"/>
  <c r="CG86" i="26"/>
  <c r="BT41" i="26"/>
  <c r="BU55" i="26"/>
  <c r="BU41" i="26"/>
  <c r="BS41" i="26"/>
  <c r="BS24" i="26"/>
  <c r="BT24" i="26"/>
  <c r="BU24" i="26"/>
  <c r="CG27" i="26"/>
  <c r="CE10" i="26"/>
  <c r="CE19" i="26"/>
  <c r="CC17" i="26"/>
  <c r="CC8" i="26"/>
  <c r="CB16" i="26"/>
  <c r="CD10" i="26"/>
  <c r="CE8" i="26"/>
  <c r="CC9" i="26"/>
  <c r="AD59" i="24"/>
  <c r="AF58" i="24"/>
  <c r="I62" i="24"/>
  <c r="L61" i="24"/>
  <c r="L55" i="24"/>
  <c r="L58" i="24"/>
  <c r="L57" i="24"/>
  <c r="L56" i="24"/>
  <c r="L60" i="24"/>
  <c r="AJ60" i="24" s="1"/>
  <c r="L47" i="24"/>
  <c r="L49" i="24"/>
  <c r="AB49" i="24"/>
  <c r="L46" i="24"/>
  <c r="C50" i="24"/>
  <c r="AA40" i="24"/>
  <c r="AF37" i="24"/>
  <c r="CB8" i="26"/>
  <c r="BV7" i="26"/>
  <c r="CC16" i="26"/>
  <c r="CB9" i="26"/>
  <c r="CD8" i="26"/>
  <c r="CF8" i="26"/>
  <c r="CE16" i="26"/>
  <c r="P62" i="24"/>
  <c r="AB62" i="24" s="1"/>
  <c r="V50" i="24"/>
  <c r="O41" i="24"/>
  <c r="AA41" i="24" s="1"/>
  <c r="BU7" i="26"/>
  <c r="BT7" i="26"/>
  <c r="AA55" i="24"/>
  <c r="O62" i="24"/>
  <c r="X57" i="24"/>
  <c r="AI55" i="24"/>
  <c r="W62" i="24"/>
  <c r="AI62" i="24" s="1"/>
  <c r="X61" i="24"/>
  <c r="X59" i="24"/>
  <c r="AJ59" i="24" s="1"/>
  <c r="X58" i="24"/>
  <c r="V62" i="24"/>
  <c r="AH55" i="24"/>
  <c r="U62" i="24"/>
  <c r="AG55" i="24"/>
  <c r="X55" i="24"/>
  <c r="R62" i="24"/>
  <c r="AD58" i="24"/>
  <c r="S62" i="24"/>
  <c r="AE62" i="24" s="1"/>
  <c r="X56" i="24"/>
  <c r="T62" i="24"/>
  <c r="AF56" i="24"/>
  <c r="Q62" i="24"/>
  <c r="AC62" i="24" s="1"/>
  <c r="AC60" i="24"/>
  <c r="R50" i="24"/>
  <c r="AD50" i="24" s="1"/>
  <c r="AD48" i="24"/>
  <c r="Q50" i="24"/>
  <c r="AG46" i="24"/>
  <c r="U50" i="24"/>
  <c r="AG50" i="24" s="1"/>
  <c r="X47" i="24"/>
  <c r="T50" i="24"/>
  <c r="AF50" i="24" s="1"/>
  <c r="AF46" i="24"/>
  <c r="X49" i="24"/>
  <c r="X46" i="24"/>
  <c r="P50" i="24"/>
  <c r="AA46" i="24"/>
  <c r="O50" i="24"/>
  <c r="S50" i="24"/>
  <c r="AE50" i="24" s="1"/>
  <c r="AE47" i="24"/>
  <c r="X38" i="24"/>
  <c r="Q41" i="24"/>
  <c r="AC37" i="24"/>
  <c r="X40" i="24"/>
  <c r="R41" i="24"/>
  <c r="AD41" i="24" s="1"/>
  <c r="AD37" i="24"/>
  <c r="T41" i="24"/>
  <c r="AF41" i="24" s="1"/>
  <c r="AF39" i="24"/>
  <c r="X37" i="24"/>
  <c r="S41" i="24"/>
  <c r="AE41" i="24" s="1"/>
  <c r="AE40" i="24"/>
  <c r="P41" i="24"/>
  <c r="AB41" i="24" s="1"/>
  <c r="V41" i="24"/>
  <c r="AH41" i="24" s="1"/>
  <c r="AG41" i="24" l="1"/>
  <c r="AH50" i="24"/>
  <c r="AI50" i="24"/>
  <c r="AJ47" i="24"/>
  <c r="AF62" i="24"/>
  <c r="AH62" i="24"/>
  <c r="AJ56" i="24"/>
  <c r="AJ40" i="24"/>
  <c r="AB50" i="24"/>
  <c r="AC41" i="24"/>
  <c r="AD62" i="24"/>
  <c r="AJ61" i="24"/>
  <c r="AJ38" i="24"/>
  <c r="AA62" i="24"/>
  <c r="AC50" i="24"/>
  <c r="BS89" i="26"/>
  <c r="AJ58" i="24"/>
  <c r="AA50" i="24"/>
  <c r="AJ49" i="24"/>
  <c r="L50" i="24"/>
  <c r="L41" i="24"/>
  <c r="CF157" i="26"/>
  <c r="CG156" i="26"/>
  <c r="CG173" i="26"/>
  <c r="CE174" i="26"/>
  <c r="CG172" i="26"/>
  <c r="CF106" i="26"/>
  <c r="CF38" i="26"/>
  <c r="CF55" i="26"/>
  <c r="CF123" i="26"/>
  <c r="CF89" i="26"/>
  <c r="CG122" i="26"/>
  <c r="CG105" i="26"/>
  <c r="CG88" i="26"/>
  <c r="CG37" i="26"/>
  <c r="CG54" i="26"/>
  <c r="CD106" i="26"/>
  <c r="CG35" i="26"/>
  <c r="CG155" i="26"/>
  <c r="BT157" i="26"/>
  <c r="BU140" i="26"/>
  <c r="BT123" i="26"/>
  <c r="CG104" i="26"/>
  <c r="CD89" i="26"/>
  <c r="CG78" i="26"/>
  <c r="BT55" i="26"/>
  <c r="CE55" i="26"/>
  <c r="CG36" i="26"/>
  <c r="BU38" i="26"/>
  <c r="BT38" i="26"/>
  <c r="CC38" i="26"/>
  <c r="CG33" i="26"/>
  <c r="CG119" i="26"/>
  <c r="CG128" i="26"/>
  <c r="CG50" i="26"/>
  <c r="CE140" i="26"/>
  <c r="CG163" i="26"/>
  <c r="BS106" i="26"/>
  <c r="CG95" i="26"/>
  <c r="BV55" i="26"/>
  <c r="CG169" i="26"/>
  <c r="CG20" i="26"/>
  <c r="CG127" i="26"/>
  <c r="CF21" i="26"/>
  <c r="CD123" i="26"/>
  <c r="BS174" i="26"/>
  <c r="CG42" i="26"/>
  <c r="CG44" i="26"/>
  <c r="BS157" i="26"/>
  <c r="CG52" i="26"/>
  <c r="CC123" i="26"/>
  <c r="CC157" i="26"/>
  <c r="BU106" i="26"/>
  <c r="CG84" i="26"/>
  <c r="CB38" i="26"/>
  <c r="BU157" i="26"/>
  <c r="CG53" i="26"/>
  <c r="BT89" i="26"/>
  <c r="CG94" i="26"/>
  <c r="CB106" i="26"/>
  <c r="CG111" i="26"/>
  <c r="CG87" i="26"/>
  <c r="CG120" i="26"/>
  <c r="CG43" i="26"/>
  <c r="CC89" i="26"/>
  <c r="BV106" i="26"/>
  <c r="CG121" i="26"/>
  <c r="CE89" i="26"/>
  <c r="CE106" i="26"/>
  <c r="CB157" i="26"/>
  <c r="CB140" i="26"/>
  <c r="CB55" i="26"/>
  <c r="CD140" i="26"/>
  <c r="CC106" i="26"/>
  <c r="CD157" i="26"/>
  <c r="CG34" i="26"/>
  <c r="CG137" i="26"/>
  <c r="CG135" i="26"/>
  <c r="CG145" i="26"/>
  <c r="BS55" i="26"/>
  <c r="CG51" i="26"/>
  <c r="BV123" i="26"/>
  <c r="CG25" i="26"/>
  <c r="CG76" i="26"/>
  <c r="CG26" i="26"/>
  <c r="BT106" i="26"/>
  <c r="BV89" i="26"/>
  <c r="BV174" i="26"/>
  <c r="CG85" i="26"/>
  <c r="BT140" i="26"/>
  <c r="CC140" i="26"/>
  <c r="BS38" i="26"/>
  <c r="CC55" i="26"/>
  <c r="CG103" i="26"/>
  <c r="BU123" i="26"/>
  <c r="CG112" i="26"/>
  <c r="CG154" i="26"/>
  <c r="BV38" i="26"/>
  <c r="BV140" i="26"/>
  <c r="CD38" i="26"/>
  <c r="CG77" i="26"/>
  <c r="BU89" i="26"/>
  <c r="CG102" i="26"/>
  <c r="CE38" i="26"/>
  <c r="CG146" i="26"/>
  <c r="CG170" i="26"/>
  <c r="CG138" i="26"/>
  <c r="CG153" i="26"/>
  <c r="CG152" i="26"/>
  <c r="CE157" i="26"/>
  <c r="CE123" i="26"/>
  <c r="CG129" i="26"/>
  <c r="CG171" i="26"/>
  <c r="CG160" i="26"/>
  <c r="CD174" i="26"/>
  <c r="BV157" i="26"/>
  <c r="CG162" i="26"/>
  <c r="BT174" i="26"/>
  <c r="CG143" i="26"/>
  <c r="CG126" i="26"/>
  <c r="CG109" i="26"/>
  <c r="CG92" i="26"/>
  <c r="CG75" i="26"/>
  <c r="CG41" i="26"/>
  <c r="CG24" i="26"/>
  <c r="BU21" i="26"/>
  <c r="CB21" i="26"/>
  <c r="BT21" i="26"/>
  <c r="CC21" i="26"/>
  <c r="CG16" i="26"/>
  <c r="CG19" i="26"/>
  <c r="CG18" i="26"/>
  <c r="CD21" i="26"/>
  <c r="CG8" i="26"/>
  <c r="BV21" i="26"/>
  <c r="CE21" i="26"/>
  <c r="CG7" i="26"/>
  <c r="CG10" i="26"/>
  <c r="AG62" i="24"/>
  <c r="AJ57" i="24"/>
  <c r="L62" i="24"/>
  <c r="CG17" i="26"/>
  <c r="BS21" i="26"/>
  <c r="CG9" i="26"/>
  <c r="AJ55" i="24"/>
  <c r="X62" i="24"/>
  <c r="AJ46" i="24"/>
  <c r="X50" i="24"/>
  <c r="AJ37" i="24"/>
  <c r="X41" i="24"/>
  <c r="K4" i="22"/>
  <c r="K3" i="22"/>
  <c r="D6" i="22"/>
  <c r="D12" i="22"/>
  <c r="D13" i="22"/>
  <c r="D14" i="22"/>
  <c r="D15" i="22"/>
  <c r="D16" i="22"/>
  <c r="D17" i="22"/>
  <c r="D18" i="22"/>
  <c r="D19" i="22"/>
  <c r="D20" i="22"/>
  <c r="D21" i="22"/>
  <c r="D22" i="22"/>
  <c r="D23" i="22"/>
  <c r="D24" i="22"/>
  <c r="D25" i="22"/>
  <c r="D26" i="22"/>
  <c r="D7" i="22"/>
  <c r="D8" i="22"/>
  <c r="D9" i="22"/>
  <c r="D10" i="22"/>
  <c r="D11" i="22"/>
  <c r="AJ50" i="24" l="1"/>
  <c r="AJ41" i="24"/>
  <c r="AJ62" i="24"/>
  <c r="CG157" i="26"/>
  <c r="CG140" i="26"/>
  <c r="CG123" i="26"/>
  <c r="CG38" i="26"/>
  <c r="CG174" i="26"/>
  <c r="CG55" i="26"/>
  <c r="CG89" i="26"/>
  <c r="CG106" i="26"/>
  <c r="CG21" i="26"/>
  <c r="G6" i="22"/>
  <c r="F11" i="22"/>
  <c r="G22" i="22"/>
  <c r="F10" i="22"/>
  <c r="F25" i="22"/>
  <c r="F17" i="22"/>
  <c r="G21" i="22"/>
  <c r="G13" i="22"/>
  <c r="G20" i="22"/>
  <c r="G12" i="22"/>
  <c r="F18" i="22"/>
  <c r="F9" i="22"/>
  <c r="G19" i="22"/>
  <c r="G11" i="22"/>
  <c r="F26" i="22"/>
  <c r="G14" i="22"/>
  <c r="G26" i="22"/>
  <c r="G18" i="22"/>
  <c r="G10" i="22"/>
  <c r="F21" i="22"/>
  <c r="G25" i="22"/>
  <c r="G17" i="22"/>
  <c r="G9" i="22"/>
  <c r="F20" i="22"/>
  <c r="F12" i="22"/>
  <c r="G24" i="22"/>
  <c r="G16" i="22"/>
  <c r="G8" i="22"/>
  <c r="F19" i="22"/>
  <c r="F8" i="22"/>
  <c r="G23" i="22"/>
  <c r="G15" i="22"/>
  <c r="G7" i="22"/>
  <c r="F7" i="22"/>
  <c r="F23" i="22"/>
  <c r="F14" i="22"/>
  <c r="F22" i="22"/>
  <c r="F13" i="22"/>
  <c r="F15" i="22"/>
  <c r="F6" i="22"/>
  <c r="F24" i="22"/>
  <c r="F16" i="2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40" i="12"/>
  <c r="O50" i="11" l="1"/>
  <c r="Q51" i="11"/>
  <c r="M53" i="11"/>
  <c r="O54" i="11"/>
  <c r="Q55" i="11"/>
  <c r="O49" i="11"/>
  <c r="N51" i="11"/>
  <c r="Q52" i="11"/>
  <c r="P50" i="11"/>
  <c r="L52" i="11"/>
  <c r="N53" i="11"/>
  <c r="P54" i="11"/>
  <c r="L56" i="11"/>
  <c r="P49" i="11"/>
  <c r="L50" i="11"/>
  <c r="M50" i="11"/>
  <c r="Q50" i="11"/>
  <c r="M52" i="11"/>
  <c r="O53" i="11"/>
  <c r="Q54" i="11"/>
  <c r="M56" i="11"/>
  <c r="Q49" i="11"/>
  <c r="P56" i="11"/>
  <c r="L51" i="11"/>
  <c r="N52" i="11"/>
  <c r="P53" i="11"/>
  <c r="L55" i="11"/>
  <c r="N56" i="11"/>
  <c r="M49" i="11"/>
  <c r="P52" i="11"/>
  <c r="O51" i="11"/>
  <c r="Q56" i="11"/>
  <c r="M51" i="11"/>
  <c r="O52" i="11"/>
  <c r="Q53" i="11"/>
  <c r="M55" i="11"/>
  <c r="O56" i="11"/>
  <c r="L49" i="11"/>
  <c r="N55" i="11"/>
  <c r="O55" i="11"/>
  <c r="N50" i="11"/>
  <c r="P51" i="11"/>
  <c r="L53" i="11"/>
  <c r="N54" i="11"/>
  <c r="P55" i="11"/>
  <c r="N49" i="11"/>
  <c r="L54" i="11"/>
  <c r="M54" i="11"/>
  <c r="C50" i="11"/>
  <c r="E51" i="11"/>
  <c r="G52" i="11"/>
  <c r="C54" i="11"/>
  <c r="E55" i="11"/>
  <c r="G56" i="11"/>
  <c r="D52" i="11"/>
  <c r="D56" i="11"/>
  <c r="D55" i="11"/>
  <c r="D50" i="11"/>
  <c r="F51" i="11"/>
  <c r="H52" i="11"/>
  <c r="D54" i="11"/>
  <c r="F55" i="11"/>
  <c r="H56" i="11"/>
  <c r="H54" i="11"/>
  <c r="F56" i="11"/>
  <c r="E50" i="11"/>
  <c r="G51" i="11"/>
  <c r="C53" i="11"/>
  <c r="E54" i="11"/>
  <c r="G55" i="11"/>
  <c r="D49" i="11"/>
  <c r="F50" i="11"/>
  <c r="H51" i="11"/>
  <c r="D53" i="11"/>
  <c r="F54" i="11"/>
  <c r="H55" i="11"/>
  <c r="E49" i="11"/>
  <c r="F53" i="11"/>
  <c r="G50" i="11"/>
  <c r="C52" i="11"/>
  <c r="E53" i="11"/>
  <c r="G54" i="11"/>
  <c r="C56" i="11"/>
  <c r="F49" i="11"/>
  <c r="H50" i="11"/>
  <c r="G49" i="11"/>
  <c r="H53" i="11"/>
  <c r="C51" i="11"/>
  <c r="E52" i="11"/>
  <c r="G53" i="11"/>
  <c r="C55" i="11"/>
  <c r="E56" i="11"/>
  <c r="H49" i="11"/>
  <c r="D51" i="11"/>
  <c r="F52" i="11"/>
  <c r="C49" i="11"/>
  <c r="C57" i="11" s="1"/>
  <c r="C10" i="5"/>
  <c r="D10" i="5"/>
  <c r="B10" i="5"/>
  <c r="I52" i="11" l="1"/>
  <c r="I50" i="11"/>
  <c r="I54" i="11"/>
  <c r="I56" i="11"/>
  <c r="D57" i="11"/>
  <c r="R49" i="11"/>
  <c r="M57" i="11"/>
  <c r="P57" i="11"/>
  <c r="R55" i="11"/>
  <c r="R51" i="11"/>
  <c r="N57" i="11"/>
  <c r="L57" i="11"/>
  <c r="R52" i="11"/>
  <c r="Q57" i="11"/>
  <c r="O57" i="11"/>
  <c r="R56" i="11"/>
  <c r="R54" i="11"/>
  <c r="I53" i="11"/>
  <c r="I55" i="11"/>
  <c r="H57" i="11"/>
  <c r="I49" i="11"/>
  <c r="E57" i="11"/>
  <c r="F57" i="11"/>
  <c r="I51" i="11"/>
  <c r="G57" i="11"/>
  <c r="R50" i="11"/>
  <c r="R53" i="11"/>
  <c r="Q38" i="17"/>
  <c r="Q39" i="17"/>
  <c r="Q40" i="17"/>
  <c r="Q41" i="17"/>
  <c r="Q42" i="17"/>
  <c r="Q43" i="17"/>
  <c r="Q44" i="17"/>
  <c r="Q45" i="17"/>
  <c r="Q47" i="17"/>
  <c r="Q48" i="17"/>
  <c r="Q49" i="17"/>
  <c r="Q50" i="17"/>
  <c r="Q51" i="17"/>
  <c r="Q37" i="17"/>
  <c r="F55" i="17"/>
  <c r="F56" i="17"/>
  <c r="F57" i="17"/>
  <c r="F58" i="17"/>
  <c r="F59" i="17"/>
  <c r="F60" i="17"/>
  <c r="F61" i="17"/>
  <c r="F62" i="17"/>
  <c r="F63" i="17"/>
  <c r="F64" i="17"/>
  <c r="F65" i="17"/>
  <c r="F66" i="17"/>
  <c r="F54" i="17"/>
  <c r="A53" i="17"/>
  <c r="A54" i="17"/>
  <c r="A55" i="17"/>
  <c r="A56" i="17"/>
  <c r="A57" i="17"/>
  <c r="A58" i="17"/>
  <c r="A59" i="17"/>
  <c r="A60" i="17"/>
  <c r="A61" i="17"/>
  <c r="A62" i="17"/>
  <c r="A63" i="17"/>
  <c r="A64" i="17"/>
  <c r="A52" i="17"/>
  <c r="I57" i="11" l="1"/>
  <c r="D77" i="16"/>
  <c r="F77" i="16"/>
  <c r="E77" i="16"/>
  <c r="D60" i="16"/>
  <c r="E59" i="16"/>
  <c r="D59" i="16"/>
  <c r="E60" i="16"/>
  <c r="F59" i="16"/>
  <c r="F60" i="16"/>
  <c r="G59" i="16"/>
  <c r="G60" i="16"/>
  <c r="D61" i="16"/>
  <c r="E61" i="16"/>
  <c r="F61" i="16"/>
  <c r="G61" i="16"/>
  <c r="H77" i="16"/>
  <c r="F78" i="16"/>
  <c r="G78" i="16"/>
  <c r="H78" i="16"/>
  <c r="G77" i="16"/>
  <c r="H79" i="16"/>
  <c r="D78" i="16"/>
  <c r="E79" i="16"/>
  <c r="D79" i="16"/>
  <c r="E78" i="16"/>
  <c r="G79" i="16"/>
  <c r="F79" i="16"/>
  <c r="R57" i="11"/>
  <c r="D62" i="16" l="1"/>
  <c r="F62" i="16"/>
  <c r="E62" i="16"/>
  <c r="G62" i="16"/>
  <c r="E72" i="16"/>
  <c r="G72" i="16"/>
  <c r="H72" i="16"/>
  <c r="F72" i="16"/>
  <c r="D72" i="16"/>
  <c r="D40" i="13"/>
  <c r="D41" i="13"/>
  <c r="D42" i="13"/>
  <c r="D43" i="13"/>
  <c r="D39" i="13"/>
  <c r="C36" i="13"/>
  <c r="C37" i="13"/>
  <c r="C38" i="13"/>
  <c r="C39" i="13"/>
  <c r="C40" i="13"/>
  <c r="C41" i="13"/>
  <c r="C42" i="13"/>
  <c r="C43" i="13"/>
  <c r="C35" i="13"/>
  <c r="F5" i="11"/>
  <c r="F6" i="11"/>
  <c r="F7" i="11"/>
  <c r="F8" i="11"/>
  <c r="F9" i="11"/>
  <c r="F10" i="11"/>
  <c r="F11" i="11"/>
  <c r="F4" i="11"/>
  <c r="E5" i="11"/>
  <c r="E6" i="11"/>
  <c r="E7" i="11"/>
  <c r="E8" i="11"/>
  <c r="E9" i="11"/>
  <c r="E10" i="11"/>
  <c r="E11" i="11"/>
  <c r="E4" i="11"/>
  <c r="D5" i="11"/>
  <c r="D6" i="11"/>
  <c r="D7" i="11"/>
  <c r="D8" i="11"/>
  <c r="D9" i="11"/>
  <c r="D10" i="11"/>
  <c r="D11" i="11"/>
  <c r="D4" i="11"/>
  <c r="C5" i="11"/>
  <c r="C6" i="11"/>
  <c r="C7" i="11"/>
  <c r="C8" i="11"/>
  <c r="C9" i="11"/>
  <c r="C10" i="11"/>
  <c r="C11" i="11"/>
  <c r="C4" i="11"/>
  <c r="I39" i="7"/>
  <c r="I38" i="7"/>
  <c r="I37" i="7"/>
  <c r="F38" i="7"/>
  <c r="F39" i="7"/>
  <c r="F37" i="7"/>
  <c r="F36" i="7" l="1"/>
  <c r="K37" i="7"/>
  <c r="L37" i="7" s="1"/>
  <c r="K38" i="7"/>
  <c r="L38" i="7" s="1"/>
  <c r="K39" i="7"/>
  <c r="L39" i="7" s="1"/>
  <c r="I36" i="7"/>
  <c r="E40" i="7"/>
  <c r="H40" i="7"/>
  <c r="G40" i="7"/>
  <c r="D40" i="7"/>
  <c r="X1" i="19"/>
  <c r="C22" i="15"/>
  <c r="K30" i="8"/>
  <c r="L30" i="8"/>
  <c r="M30" i="8"/>
  <c r="N30" i="8"/>
  <c r="O30" i="8"/>
  <c r="P30" i="8"/>
  <c r="K31" i="8"/>
  <c r="L31" i="8"/>
  <c r="M31" i="8"/>
  <c r="N31" i="8"/>
  <c r="O31" i="8"/>
  <c r="P31" i="8"/>
  <c r="J26" i="14"/>
  <c r="F24" i="14"/>
  <c r="F23" i="14"/>
  <c r="F22" i="14"/>
  <c r="F21" i="14"/>
  <c r="F20" i="14"/>
  <c r="F19" i="14"/>
  <c r="F18" i="14"/>
  <c r="F17" i="14"/>
  <c r="F16" i="14"/>
  <c r="F15" i="14"/>
  <c r="F14" i="14"/>
  <c r="F13" i="14"/>
  <c r="F12" i="14"/>
  <c r="F11" i="14"/>
  <c r="F10" i="14"/>
  <c r="F9" i="14"/>
  <c r="F8" i="14"/>
  <c r="F7" i="14"/>
  <c r="F6" i="14"/>
  <c r="F5" i="14"/>
  <c r="F4" i="14"/>
  <c r="F3" i="14"/>
  <c r="A4" i="14"/>
  <c r="A5" i="14"/>
  <c r="A6" i="14"/>
  <c r="A7" i="14"/>
  <c r="A8" i="14"/>
  <c r="A9" i="14"/>
  <c r="A10" i="14"/>
  <c r="A11" i="14"/>
  <c r="A12" i="14"/>
  <c r="A13" i="14"/>
  <c r="A14" i="14"/>
  <c r="A15" i="14"/>
  <c r="A16" i="14"/>
  <c r="A17" i="14"/>
  <c r="A18" i="14"/>
  <c r="A19" i="14"/>
  <c r="A20" i="14"/>
  <c r="A21" i="14"/>
  <c r="A22" i="14"/>
  <c r="A23" i="14"/>
  <c r="A24" i="14"/>
  <c r="A3" i="14"/>
  <c r="K36" i="7" l="1"/>
  <c r="L36" i="7" s="1"/>
  <c r="I5" i="7"/>
  <c r="K7" i="7"/>
  <c r="J10" i="7"/>
  <c r="I11" i="7"/>
  <c r="K11" i="7"/>
  <c r="I7" i="7"/>
  <c r="J5" i="7"/>
  <c r="I8" i="7"/>
  <c r="K10" i="7"/>
  <c r="J8" i="7"/>
  <c r="J11" i="7"/>
  <c r="J4" i="7"/>
  <c r="K5" i="7"/>
  <c r="I6" i="7"/>
  <c r="J6" i="7"/>
  <c r="I9" i="7"/>
  <c r="K6" i="7"/>
  <c r="K9" i="7"/>
  <c r="I4" i="7"/>
  <c r="J7" i="7"/>
  <c r="I10" i="7"/>
  <c r="K8" i="7"/>
  <c r="J9" i="7"/>
  <c r="K4" i="7"/>
  <c r="F40" i="7"/>
  <c r="C5" i="7"/>
  <c r="E7" i="7"/>
  <c r="D10" i="7"/>
  <c r="D5" i="7"/>
  <c r="C8" i="7"/>
  <c r="E10" i="7"/>
  <c r="E5" i="7"/>
  <c r="D8" i="7"/>
  <c r="C11" i="7"/>
  <c r="D4" i="7"/>
  <c r="C6" i="7"/>
  <c r="E8" i="7"/>
  <c r="D11" i="7"/>
  <c r="D9" i="7"/>
  <c r="D6" i="7"/>
  <c r="C9" i="7"/>
  <c r="E11" i="7"/>
  <c r="E6" i="7"/>
  <c r="C7" i="7"/>
  <c r="E9" i="7"/>
  <c r="E4" i="7"/>
  <c r="D7" i="7"/>
  <c r="C10" i="7"/>
  <c r="C4" i="7"/>
  <c r="I40" i="7"/>
  <c r="K40" i="7" l="1"/>
  <c r="L40" i="7" s="1"/>
  <c r="F8" i="7"/>
  <c r="F11" i="7"/>
  <c r="F6" i="7"/>
  <c r="D12" i="7"/>
  <c r="F5" i="7"/>
  <c r="F7" i="7"/>
  <c r="C12" i="7"/>
  <c r="E12" i="7"/>
  <c r="F10" i="7"/>
  <c r="F9" i="7"/>
  <c r="F4" i="7"/>
  <c r="F12" i="7" l="1"/>
  <c r="AA6" i="20"/>
  <c r="AG6" i="20" s="1"/>
  <c r="AC18" i="20"/>
  <c r="AI18" i="20" s="1"/>
  <c r="AA16" i="20"/>
  <c r="AG16" i="20" s="1"/>
  <c r="AB17" i="20"/>
  <c r="AH17" i="20" s="1"/>
  <c r="AB16" i="20"/>
  <c r="AH16" i="20" s="1"/>
  <c r="AC17" i="20"/>
  <c r="AI17" i="20" s="1"/>
  <c r="AA9" i="20"/>
  <c r="AC16" i="20"/>
  <c r="AI16" i="20" s="1"/>
  <c r="AA8" i="20"/>
  <c r="AG8" i="20" s="1"/>
  <c r="AB9" i="20"/>
  <c r="AH9" i="20" s="1"/>
  <c r="AA7" i="20"/>
  <c r="AG7" i="20" s="1"/>
  <c r="AB8" i="20"/>
  <c r="AH8" i="20" s="1"/>
  <c r="AC9" i="20"/>
  <c r="AI9" i="20" s="1"/>
  <c r="AA19" i="20"/>
  <c r="AG19" i="20" s="1"/>
  <c r="AB6" i="20"/>
  <c r="AH6" i="20" s="1"/>
  <c r="AB7" i="20"/>
  <c r="AH7" i="20" s="1"/>
  <c r="AC8" i="20"/>
  <c r="AI8" i="20" s="1"/>
  <c r="AA18" i="20"/>
  <c r="AG18" i="20" s="1"/>
  <c r="AB19" i="20"/>
  <c r="AH19" i="20" s="1"/>
  <c r="AC6" i="20"/>
  <c r="AI6" i="20" s="1"/>
  <c r="AC7" i="20"/>
  <c r="AI7" i="20" s="1"/>
  <c r="AA17" i="20"/>
  <c r="AG17" i="20" s="1"/>
  <c r="AB18" i="20"/>
  <c r="AH18" i="20" s="1"/>
  <c r="AC19" i="20"/>
  <c r="AI19" i="20" s="1"/>
  <c r="F17" i="20"/>
  <c r="L7" i="20"/>
  <c r="L16" i="20"/>
  <c r="F18" i="20"/>
  <c r="L17" i="20"/>
  <c r="L9" i="20"/>
  <c r="F9" i="20"/>
  <c r="F7" i="20"/>
  <c r="L18" i="20"/>
  <c r="L8" i="20"/>
  <c r="F8" i="20"/>
  <c r="L19" i="20"/>
  <c r="I20" i="20"/>
  <c r="K20" i="20"/>
  <c r="J20" i="20"/>
  <c r="L6" i="20"/>
  <c r="F16" i="20"/>
  <c r="F19" i="20"/>
  <c r="D20" i="20"/>
  <c r="E20" i="20"/>
  <c r="C20" i="20"/>
  <c r="F6" i="20"/>
  <c r="K48" i="18"/>
  <c r="N31" i="18" s="1"/>
  <c r="C48" i="18"/>
  <c r="F32" i="18" s="1"/>
  <c r="L24" i="18"/>
  <c r="J48" i="18"/>
  <c r="M40" i="18" s="1"/>
  <c r="E48" i="18"/>
  <c r="H24" i="18" s="1"/>
  <c r="D48" i="18"/>
  <c r="G17" i="18" s="1"/>
  <c r="U14" i="20" l="1"/>
  <c r="U12" i="20"/>
  <c r="U10" i="20"/>
  <c r="U15" i="20"/>
  <c r="U11" i="20"/>
  <c r="U7" i="20"/>
  <c r="U8" i="20"/>
  <c r="U13" i="20"/>
  <c r="U9" i="20"/>
  <c r="P10" i="20"/>
  <c r="P18" i="20"/>
  <c r="P12" i="20"/>
  <c r="P8" i="20"/>
  <c r="P13" i="20"/>
  <c r="P7" i="20"/>
  <c r="P9" i="20"/>
  <c r="P19" i="20"/>
  <c r="P11" i="20"/>
  <c r="P15" i="20"/>
  <c r="P16" i="20"/>
  <c r="P14" i="20"/>
  <c r="P17" i="20"/>
  <c r="W7" i="20"/>
  <c r="W11" i="20"/>
  <c r="W15" i="20"/>
  <c r="W9" i="20"/>
  <c r="W14" i="20"/>
  <c r="W8" i="20"/>
  <c r="W10" i="20"/>
  <c r="W12" i="20"/>
  <c r="W13" i="20"/>
  <c r="O6" i="20"/>
  <c r="O14" i="20"/>
  <c r="O16" i="20"/>
  <c r="O19" i="20"/>
  <c r="O11" i="20"/>
  <c r="O8" i="20"/>
  <c r="O18" i="20"/>
  <c r="O17" i="20"/>
  <c r="O10" i="20"/>
  <c r="O13" i="20"/>
  <c r="O15" i="20"/>
  <c r="O12" i="20"/>
  <c r="O9" i="20"/>
  <c r="O7" i="20"/>
  <c r="V10" i="20"/>
  <c r="V14" i="20"/>
  <c r="V15" i="20"/>
  <c r="V11" i="20"/>
  <c r="V9" i="20"/>
  <c r="V12" i="20"/>
  <c r="V7" i="20"/>
  <c r="V13" i="20"/>
  <c r="V8" i="20"/>
  <c r="Q7" i="20"/>
  <c r="Q15" i="20"/>
  <c r="Q12" i="20"/>
  <c r="Q8" i="20"/>
  <c r="Q16" i="20"/>
  <c r="Q14" i="20"/>
  <c r="Q13" i="20"/>
  <c r="Q10" i="20"/>
  <c r="Q17" i="20"/>
  <c r="Q9" i="20"/>
  <c r="Q18" i="20"/>
  <c r="Q11" i="20"/>
  <c r="Q19" i="20"/>
  <c r="AD18" i="20"/>
  <c r="AJ18" i="20" s="1"/>
  <c r="AD8" i="20"/>
  <c r="AJ8" i="20" s="1"/>
  <c r="AD9" i="20"/>
  <c r="AJ9" i="20" s="1"/>
  <c r="AD6" i="20"/>
  <c r="AJ6" i="20" s="1"/>
  <c r="AD19" i="20"/>
  <c r="AJ19" i="20" s="1"/>
  <c r="AD17" i="20"/>
  <c r="AJ17" i="20" s="1"/>
  <c r="AD7" i="20"/>
  <c r="AJ7" i="20" s="1"/>
  <c r="AB20" i="20"/>
  <c r="AH20" i="20" s="1"/>
  <c r="AC20" i="20"/>
  <c r="AI20" i="20" s="1"/>
  <c r="AD16" i="20"/>
  <c r="AJ16" i="20" s="1"/>
  <c r="AA20" i="20"/>
  <c r="AG20" i="20" s="1"/>
  <c r="Q6" i="20"/>
  <c r="M27" i="18"/>
  <c r="M34" i="18"/>
  <c r="N42" i="18"/>
  <c r="N24" i="18"/>
  <c r="N40" i="18"/>
  <c r="N29" i="18"/>
  <c r="M11" i="18"/>
  <c r="L31" i="18"/>
  <c r="N37" i="18"/>
  <c r="N8" i="18"/>
  <c r="N43" i="18"/>
  <c r="N45" i="18"/>
  <c r="N47" i="18"/>
  <c r="L40" i="18"/>
  <c r="M18" i="18"/>
  <c r="N41" i="18"/>
  <c r="M26" i="18"/>
  <c r="N14" i="18"/>
  <c r="N16" i="18"/>
  <c r="M9" i="18"/>
  <c r="N23" i="18"/>
  <c r="M12" i="18"/>
  <c r="M33" i="18"/>
  <c r="M39" i="18"/>
  <c r="M43" i="18"/>
  <c r="L47" i="18"/>
  <c r="L33" i="18"/>
  <c r="L10" i="18"/>
  <c r="L42" i="18"/>
  <c r="L14" i="18"/>
  <c r="L9" i="18"/>
  <c r="L11" i="18"/>
  <c r="L39" i="18"/>
  <c r="M20" i="18"/>
  <c r="L36" i="18"/>
  <c r="W16" i="20"/>
  <c r="W17" i="20"/>
  <c r="V18" i="20"/>
  <c r="V16" i="20"/>
  <c r="V20" i="20"/>
  <c r="U6" i="20"/>
  <c r="W20" i="20"/>
  <c r="W18" i="20"/>
  <c r="W6" i="20"/>
  <c r="O20" i="20"/>
  <c r="U16" i="20"/>
  <c r="U20" i="20"/>
  <c r="V19" i="20"/>
  <c r="U17" i="20"/>
  <c r="Q20" i="20"/>
  <c r="U18" i="20"/>
  <c r="V6" i="20"/>
  <c r="V17" i="20"/>
  <c r="P20" i="20"/>
  <c r="U19" i="20"/>
  <c r="P6" i="20"/>
  <c r="W19" i="20"/>
  <c r="L20" i="20"/>
  <c r="F20" i="20"/>
  <c r="M45" i="18"/>
  <c r="L45" i="18"/>
  <c r="N39" i="18"/>
  <c r="N9" i="18"/>
  <c r="N10" i="18"/>
  <c r="N22" i="18"/>
  <c r="N32" i="18"/>
  <c r="N17" i="18"/>
  <c r="N18" i="18"/>
  <c r="N12" i="18"/>
  <c r="N11" i="18"/>
  <c r="N30" i="18"/>
  <c r="M23" i="18"/>
  <c r="N25" i="18"/>
  <c r="N26" i="18"/>
  <c r="N20" i="18"/>
  <c r="N19" i="18"/>
  <c r="F26" i="18"/>
  <c r="N38" i="18"/>
  <c r="M47" i="18"/>
  <c r="N33" i="18"/>
  <c r="N34" i="18"/>
  <c r="N36" i="18"/>
  <c r="N27" i="18"/>
  <c r="N28" i="18"/>
  <c r="N13" i="18"/>
  <c r="N15" i="18"/>
  <c r="N46" i="18"/>
  <c r="N44" i="18"/>
  <c r="N35" i="18"/>
  <c r="F30" i="18"/>
  <c r="N21" i="18"/>
  <c r="H43" i="18"/>
  <c r="M35" i="18"/>
  <c r="M17" i="18"/>
  <c r="F33" i="18"/>
  <c r="F27" i="18"/>
  <c r="M42" i="18"/>
  <c r="M36" i="18"/>
  <c r="M22" i="18"/>
  <c r="M16" i="18"/>
  <c r="F17" i="18"/>
  <c r="F8" i="18"/>
  <c r="M28" i="18"/>
  <c r="F37" i="18"/>
  <c r="M19" i="18"/>
  <c r="M25" i="18"/>
  <c r="F41" i="18"/>
  <c r="F35" i="18"/>
  <c r="F31" i="18"/>
  <c r="M44" i="18"/>
  <c r="M38" i="18"/>
  <c r="M13" i="18"/>
  <c r="M24" i="18"/>
  <c r="M32" i="18"/>
  <c r="M41" i="18"/>
  <c r="M15" i="18"/>
  <c r="F20" i="18"/>
  <c r="F39" i="18"/>
  <c r="M29" i="18"/>
  <c r="M46" i="18"/>
  <c r="F9" i="18"/>
  <c r="F34" i="18"/>
  <c r="M21" i="18"/>
  <c r="M30" i="18"/>
  <c r="M8" i="18"/>
  <c r="M31" i="18"/>
  <c r="M10" i="18"/>
  <c r="F43" i="18"/>
  <c r="F10" i="18"/>
  <c r="F45" i="18"/>
  <c r="M37" i="18"/>
  <c r="F40" i="18"/>
  <c r="L17" i="18"/>
  <c r="G26" i="18"/>
  <c r="L8" i="18"/>
  <c r="H44" i="18"/>
  <c r="H29" i="18"/>
  <c r="L25" i="18"/>
  <c r="F25" i="18"/>
  <c r="F11" i="18"/>
  <c r="L15" i="18"/>
  <c r="L27" i="18"/>
  <c r="L30" i="18"/>
  <c r="F12" i="18"/>
  <c r="G20" i="18"/>
  <c r="M14" i="18"/>
  <c r="L23" i="18"/>
  <c r="L13" i="18"/>
  <c r="F16" i="18"/>
  <c r="L16" i="18"/>
  <c r="L41" i="18"/>
  <c r="H35" i="18"/>
  <c r="L12" i="18"/>
  <c r="F28" i="18"/>
  <c r="L21" i="18"/>
  <c r="F13" i="18"/>
  <c r="F47" i="18"/>
  <c r="F15" i="18"/>
  <c r="L32" i="18"/>
  <c r="G8" i="18"/>
  <c r="G9" i="18"/>
  <c r="L35" i="18"/>
  <c r="F14" i="18"/>
  <c r="G30" i="18"/>
  <c r="L26" i="18"/>
  <c r="G18" i="18"/>
  <c r="L38" i="18"/>
  <c r="F42" i="18"/>
  <c r="L20" i="18"/>
  <c r="F36" i="18"/>
  <c r="F22" i="18"/>
  <c r="L29" i="18"/>
  <c r="F21" i="18"/>
  <c r="G45" i="18"/>
  <c r="G15" i="18"/>
  <c r="F24" i="18"/>
  <c r="H19" i="18"/>
  <c r="G44" i="18"/>
  <c r="G46" i="18"/>
  <c r="L19" i="18"/>
  <c r="H47" i="18"/>
  <c r="L18" i="18"/>
  <c r="G16" i="18"/>
  <c r="G41" i="18"/>
  <c r="L43" i="18"/>
  <c r="F46" i="18"/>
  <c r="F23" i="18"/>
  <c r="L34" i="18"/>
  <c r="F19" i="18"/>
  <c r="L46" i="18"/>
  <c r="F18" i="18"/>
  <c r="L28" i="18"/>
  <c r="F44" i="18"/>
  <c r="L37" i="18"/>
  <c r="F29" i="18"/>
  <c r="F38" i="18"/>
  <c r="G24" i="18"/>
  <c r="G10" i="18"/>
  <c r="G31" i="18"/>
  <c r="L22" i="18"/>
  <c r="L44" i="18"/>
  <c r="H21" i="18"/>
  <c r="H37" i="18"/>
  <c r="H22" i="18"/>
  <c r="G11" i="18"/>
  <c r="G19" i="18"/>
  <c r="G43" i="18"/>
  <c r="G35" i="18"/>
  <c r="G27" i="18"/>
  <c r="G47" i="18"/>
  <c r="H9" i="18"/>
  <c r="G32" i="18"/>
  <c r="G25" i="18"/>
  <c r="G42" i="18"/>
  <c r="G34" i="18"/>
  <c r="H31" i="18"/>
  <c r="H32" i="18"/>
  <c r="G38" i="18"/>
  <c r="H45" i="18"/>
  <c r="H38" i="18"/>
  <c r="H23" i="18"/>
  <c r="H40" i="18"/>
  <c r="H39" i="18"/>
  <c r="H17" i="18"/>
  <c r="G40" i="18"/>
  <c r="G33" i="18"/>
  <c r="H8" i="18"/>
  <c r="G22" i="18"/>
  <c r="G39" i="18"/>
  <c r="H12" i="18"/>
  <c r="H14" i="18"/>
  <c r="G12" i="18"/>
  <c r="G13" i="18"/>
  <c r="G14" i="18"/>
  <c r="H25" i="18"/>
  <c r="H20" i="18"/>
  <c r="H33" i="18"/>
  <c r="H11" i="18"/>
  <c r="G37" i="18"/>
  <c r="H28" i="18"/>
  <c r="H46" i="18"/>
  <c r="G28" i="18"/>
  <c r="H10" i="18"/>
  <c r="H42" i="18"/>
  <c r="H26" i="18"/>
  <c r="H18" i="18"/>
  <c r="H34" i="18"/>
  <c r="H30" i="18"/>
  <c r="H41" i="18"/>
  <c r="H27" i="18"/>
  <c r="G21" i="18"/>
  <c r="H15" i="18"/>
  <c r="H36" i="18"/>
  <c r="G29" i="18"/>
  <c r="G23" i="18"/>
  <c r="H13" i="18"/>
  <c r="G36" i="18"/>
  <c r="H16" i="18"/>
  <c r="F80" i="16"/>
  <c r="I69" i="16"/>
  <c r="D41" i="16"/>
  <c r="D42" i="16"/>
  <c r="D43" i="16"/>
  <c r="D40" i="16"/>
  <c r="D32" i="16"/>
  <c r="D33" i="16"/>
  <c r="D31" i="16"/>
  <c r="C21" i="13"/>
  <c r="C22" i="13"/>
  <c r="C23" i="13"/>
  <c r="C24" i="13"/>
  <c r="C25" i="13"/>
  <c r="C26" i="13"/>
  <c r="C27" i="13"/>
  <c r="C20" i="13"/>
  <c r="R9" i="20" l="1"/>
  <c r="X8" i="20"/>
  <c r="X9" i="20"/>
  <c r="R16" i="20"/>
  <c r="X7" i="20"/>
  <c r="R8" i="20"/>
  <c r="R18" i="20"/>
  <c r="R7" i="20"/>
  <c r="R17" i="20"/>
  <c r="R10" i="20"/>
  <c r="R12" i="20"/>
  <c r="R11" i="20"/>
  <c r="R15" i="20"/>
  <c r="R13" i="20"/>
  <c r="R14" i="20"/>
  <c r="X11" i="20"/>
  <c r="X12" i="20"/>
  <c r="X13" i="20"/>
  <c r="X14" i="20"/>
  <c r="X10" i="20"/>
  <c r="X15" i="20"/>
  <c r="R19" i="20"/>
  <c r="H80" i="16"/>
  <c r="G80" i="16"/>
  <c r="D80" i="16"/>
  <c r="E80" i="16"/>
  <c r="F54" i="16"/>
  <c r="M53" i="16" s="1"/>
  <c r="H52" i="16"/>
  <c r="I70" i="16"/>
  <c r="L70" i="16" s="1"/>
  <c r="M69" i="16"/>
  <c r="I71" i="16"/>
  <c r="L71" i="16" s="1"/>
  <c r="E54" i="16"/>
  <c r="L53" i="16" s="1"/>
  <c r="X18" i="20"/>
  <c r="AD20" i="20"/>
  <c r="AJ20" i="20" s="1"/>
  <c r="N69" i="16"/>
  <c r="O69" i="16"/>
  <c r="P69" i="16"/>
  <c r="Q69" i="16"/>
  <c r="E34" i="16"/>
  <c r="G31" i="16" s="1"/>
  <c r="L69" i="16"/>
  <c r="N59" i="16"/>
  <c r="D54" i="16"/>
  <c r="K52" i="16" s="1"/>
  <c r="G54" i="16"/>
  <c r="N54" i="16" s="1"/>
  <c r="R20" i="20"/>
  <c r="R6" i="20"/>
  <c r="X20" i="20"/>
  <c r="X17" i="20"/>
  <c r="X16" i="20"/>
  <c r="X19" i="20"/>
  <c r="X6" i="20"/>
  <c r="N48" i="18"/>
  <c r="M48" i="18"/>
  <c r="F48" i="18"/>
  <c r="L48" i="18"/>
  <c r="G48" i="18"/>
  <c r="H48" i="18"/>
  <c r="I78" i="16"/>
  <c r="N78" i="16" s="1"/>
  <c r="I77" i="16"/>
  <c r="N77" i="16" s="1"/>
  <c r="I79" i="16"/>
  <c r="H60" i="16"/>
  <c r="L60" i="16"/>
  <c r="K59" i="16"/>
  <c r="H61" i="16"/>
  <c r="M62" i="16"/>
  <c r="H59" i="16"/>
  <c r="H51" i="16"/>
  <c r="E45" i="16"/>
  <c r="G41" i="16" s="1"/>
  <c r="H53" i="16"/>
  <c r="D45" i="16"/>
  <c r="F43" i="16" s="1"/>
  <c r="D34" i="16"/>
  <c r="F33" i="16" s="1"/>
  <c r="E25" i="16"/>
  <c r="D25" i="16"/>
  <c r="F36" i="13"/>
  <c r="F37" i="13"/>
  <c r="F38" i="13"/>
  <c r="F35" i="13"/>
  <c r="C44" i="13"/>
  <c r="G38" i="13" s="1"/>
  <c r="I20" i="13"/>
  <c r="C7" i="13"/>
  <c r="C8" i="13"/>
  <c r="C9" i="13"/>
  <c r="C10" i="13"/>
  <c r="C11" i="13"/>
  <c r="C12" i="13"/>
  <c r="C13" i="13"/>
  <c r="C6" i="13"/>
  <c r="H62" i="16" l="1"/>
  <c r="G11" i="16"/>
  <c r="G16" i="16"/>
  <c r="G8" i="16"/>
  <c r="G10" i="16"/>
  <c r="G22" i="16"/>
  <c r="G20" i="16"/>
  <c r="G5" i="16"/>
  <c r="G17" i="16"/>
  <c r="G14" i="16"/>
  <c r="G12" i="16"/>
  <c r="G7" i="16"/>
  <c r="G9" i="16"/>
  <c r="G6" i="16"/>
  <c r="G23" i="16"/>
  <c r="H23" i="16" s="1"/>
  <c r="I23" i="16" s="1"/>
  <c r="G21" i="16"/>
  <c r="G19" i="16"/>
  <c r="G24" i="16"/>
  <c r="I24" i="16" s="1"/>
  <c r="G4" i="16"/>
  <c r="G15" i="16"/>
  <c r="G13" i="16"/>
  <c r="G18" i="16"/>
  <c r="F22" i="16"/>
  <c r="F12" i="16"/>
  <c r="F17" i="16"/>
  <c r="F14" i="16"/>
  <c r="H14" i="16" s="1"/>
  <c r="I14" i="16" s="1"/>
  <c r="F19" i="16"/>
  <c r="F9" i="16"/>
  <c r="F6" i="16"/>
  <c r="F11" i="16"/>
  <c r="H11" i="16" s="1"/>
  <c r="I11" i="16" s="1"/>
  <c r="F24" i="16"/>
  <c r="H24" i="16" s="1"/>
  <c r="F21" i="16"/>
  <c r="F23" i="16"/>
  <c r="F16" i="16"/>
  <c r="F13" i="16"/>
  <c r="F18" i="16"/>
  <c r="F8" i="16"/>
  <c r="F5" i="16"/>
  <c r="F10" i="16"/>
  <c r="F4" i="16"/>
  <c r="H4" i="16" s="1"/>
  <c r="F7" i="16"/>
  <c r="F15" i="16"/>
  <c r="F20" i="16"/>
  <c r="V69" i="16"/>
  <c r="H26" i="13"/>
  <c r="C69" i="11"/>
  <c r="P69" i="11"/>
  <c r="N69" i="11"/>
  <c r="Q69" i="11"/>
  <c r="O69" i="11"/>
  <c r="M69" i="11"/>
  <c r="E69" i="11"/>
  <c r="H69" i="11"/>
  <c r="F69" i="11"/>
  <c r="D69" i="11"/>
  <c r="G69" i="11"/>
  <c r="L69" i="11"/>
  <c r="R69" i="11"/>
  <c r="I69" i="11"/>
  <c r="H23" i="13"/>
  <c r="N66" i="11"/>
  <c r="M66" i="11"/>
  <c r="L66" i="11"/>
  <c r="G66" i="11"/>
  <c r="E66" i="11"/>
  <c r="C66" i="11"/>
  <c r="P66" i="11"/>
  <c r="F66" i="11"/>
  <c r="Q66" i="11"/>
  <c r="H66" i="11"/>
  <c r="O66" i="11"/>
  <c r="D66" i="11"/>
  <c r="I66" i="11"/>
  <c r="R66" i="11"/>
  <c r="H25" i="13"/>
  <c r="D68" i="11"/>
  <c r="G68" i="11"/>
  <c r="L68" i="11"/>
  <c r="O68" i="11"/>
  <c r="M68" i="11"/>
  <c r="Q68" i="11"/>
  <c r="F68" i="11"/>
  <c r="C68" i="11"/>
  <c r="H68" i="11"/>
  <c r="P68" i="11"/>
  <c r="G81" i="11" s="1"/>
  <c r="P81" i="11" s="1"/>
  <c r="E68" i="11"/>
  <c r="N68" i="11"/>
  <c r="I68" i="11"/>
  <c r="R68" i="11"/>
  <c r="N67" i="11"/>
  <c r="H67" i="11"/>
  <c r="C67" i="11"/>
  <c r="G67" i="11"/>
  <c r="E67" i="11"/>
  <c r="L67" i="11"/>
  <c r="M67" i="11"/>
  <c r="O67" i="11"/>
  <c r="D67" i="11"/>
  <c r="Q67" i="11"/>
  <c r="F67" i="11"/>
  <c r="P67" i="11"/>
  <c r="G80" i="11" s="1"/>
  <c r="P80" i="11" s="1"/>
  <c r="I67" i="11"/>
  <c r="R67" i="11"/>
  <c r="H22" i="13"/>
  <c r="G65" i="11"/>
  <c r="M65" i="11"/>
  <c r="P65" i="11"/>
  <c r="L65" i="11"/>
  <c r="D65" i="11"/>
  <c r="Q65" i="11"/>
  <c r="C65" i="11"/>
  <c r="N65" i="11"/>
  <c r="O65" i="11"/>
  <c r="E65" i="11"/>
  <c r="H65" i="11"/>
  <c r="F65" i="11"/>
  <c r="I65" i="11"/>
  <c r="R65" i="11"/>
  <c r="H21" i="13"/>
  <c r="F64" i="11"/>
  <c r="D64" i="11"/>
  <c r="H64" i="11"/>
  <c r="L64" i="11"/>
  <c r="P64" i="11"/>
  <c r="N64" i="11"/>
  <c r="E64" i="11"/>
  <c r="G64" i="11"/>
  <c r="O64" i="11"/>
  <c r="M64" i="11"/>
  <c r="D77" i="11" s="1"/>
  <c r="M77" i="11" s="1"/>
  <c r="Q64" i="11"/>
  <c r="C64" i="11"/>
  <c r="R64" i="11"/>
  <c r="I64" i="11"/>
  <c r="H20" i="13"/>
  <c r="F63" i="11"/>
  <c r="M63" i="11"/>
  <c r="N63" i="11"/>
  <c r="P63" i="11"/>
  <c r="O63" i="11"/>
  <c r="E63" i="11"/>
  <c r="L63" i="11"/>
  <c r="C63" i="11"/>
  <c r="G63" i="11"/>
  <c r="D63" i="11"/>
  <c r="Q63" i="11"/>
  <c r="H63" i="11"/>
  <c r="I63" i="11"/>
  <c r="R63" i="11"/>
  <c r="H24" i="13"/>
  <c r="H27" i="13"/>
  <c r="P70" i="11"/>
  <c r="F70" i="11"/>
  <c r="Q70" i="11"/>
  <c r="N70" i="11"/>
  <c r="G70" i="11"/>
  <c r="M70" i="11"/>
  <c r="H70" i="11"/>
  <c r="O70" i="11"/>
  <c r="D70" i="11"/>
  <c r="L70" i="11"/>
  <c r="C70" i="11"/>
  <c r="E70" i="11"/>
  <c r="I70" i="11"/>
  <c r="R70" i="11"/>
  <c r="E44" i="13"/>
  <c r="I44" i="13" s="1"/>
  <c r="F44" i="13"/>
  <c r="J44" i="13" s="1"/>
  <c r="I26" i="13"/>
  <c r="I25" i="13"/>
  <c r="I24" i="13"/>
  <c r="I23" i="13"/>
  <c r="D14" i="13"/>
  <c r="F8" i="13" s="1"/>
  <c r="I22" i="13"/>
  <c r="I21" i="13"/>
  <c r="I27" i="13"/>
  <c r="J27" i="13" s="1"/>
  <c r="K27" i="13" s="1"/>
  <c r="I3" i="8"/>
  <c r="Q70" i="16"/>
  <c r="G33" i="16"/>
  <c r="H33" i="16" s="1"/>
  <c r="I33" i="16" s="1"/>
  <c r="P70" i="16"/>
  <c r="O71" i="16"/>
  <c r="M52" i="16"/>
  <c r="M54" i="16"/>
  <c r="F45" i="16"/>
  <c r="F44" i="16"/>
  <c r="K54" i="16"/>
  <c r="G43" i="16"/>
  <c r="H43" i="16" s="1"/>
  <c r="I43" i="16" s="1"/>
  <c r="G45" i="16"/>
  <c r="M60" i="16"/>
  <c r="L78" i="16"/>
  <c r="G32" i="16"/>
  <c r="M61" i="16"/>
  <c r="N70" i="16"/>
  <c r="V70" i="16" s="1"/>
  <c r="M70" i="16"/>
  <c r="O70" i="16"/>
  <c r="G42" i="16"/>
  <c r="G44" i="16"/>
  <c r="G40" i="16"/>
  <c r="F42" i="16"/>
  <c r="P71" i="16"/>
  <c r="Q71" i="16"/>
  <c r="N71" i="16"/>
  <c r="H17" i="16"/>
  <c r="I17" i="16" s="1"/>
  <c r="M51" i="16"/>
  <c r="I72" i="16"/>
  <c r="N72" i="16" s="1"/>
  <c r="K51" i="16"/>
  <c r="R51" i="16" s="1"/>
  <c r="L51" i="16"/>
  <c r="M71" i="16"/>
  <c r="N52" i="16"/>
  <c r="L52" i="16"/>
  <c r="S52" i="16" s="1"/>
  <c r="F40" i="16"/>
  <c r="L54" i="16"/>
  <c r="J20" i="13"/>
  <c r="K20" i="13" s="1"/>
  <c r="D28" i="13"/>
  <c r="F22" i="13" s="1"/>
  <c r="O77" i="16"/>
  <c r="W69" i="16" s="1"/>
  <c r="P77" i="16"/>
  <c r="X69" i="16" s="1"/>
  <c r="M78" i="16"/>
  <c r="O79" i="16"/>
  <c r="M79" i="16"/>
  <c r="Q79" i="16"/>
  <c r="L79" i="16"/>
  <c r="K53" i="16"/>
  <c r="N62" i="16"/>
  <c r="N60" i="16"/>
  <c r="N61" i="16"/>
  <c r="K60" i="16"/>
  <c r="K62" i="16"/>
  <c r="N51" i="16"/>
  <c r="U51" i="16" s="1"/>
  <c r="H54" i="16"/>
  <c r="O53" i="16" s="1"/>
  <c r="L59" i="16"/>
  <c r="L61" i="16"/>
  <c r="L62" i="16"/>
  <c r="P78" i="16"/>
  <c r="Q78" i="16"/>
  <c r="O78" i="16"/>
  <c r="M59" i="16"/>
  <c r="T51" i="16" s="1"/>
  <c r="P79" i="16"/>
  <c r="N53" i="16"/>
  <c r="L77" i="16"/>
  <c r="M77" i="16"/>
  <c r="Q77" i="16"/>
  <c r="N79" i="16"/>
  <c r="K61" i="16"/>
  <c r="G44" i="13"/>
  <c r="G41" i="13"/>
  <c r="G42" i="13"/>
  <c r="G43" i="13"/>
  <c r="G39" i="13"/>
  <c r="G37" i="13"/>
  <c r="G40" i="13"/>
  <c r="G35" i="13"/>
  <c r="G36" i="13"/>
  <c r="D12" i="11"/>
  <c r="I80" i="16"/>
  <c r="Q80" i="16" s="1"/>
  <c r="O62" i="16"/>
  <c r="F41" i="16"/>
  <c r="H41" i="16" s="1"/>
  <c r="I41" i="16" s="1"/>
  <c r="F31" i="16"/>
  <c r="H31" i="16" s="1"/>
  <c r="I31" i="16" s="1"/>
  <c r="F32" i="16"/>
  <c r="D44" i="13"/>
  <c r="H41" i="13" s="1"/>
  <c r="C28" i="13"/>
  <c r="E28" i="13" s="1"/>
  <c r="C14" i="13"/>
  <c r="H13" i="16" l="1"/>
  <c r="I13" i="16" s="1"/>
  <c r="J21" i="13"/>
  <c r="K21" i="13" s="1"/>
  <c r="H18" i="16"/>
  <c r="I18" i="16" s="1"/>
  <c r="H22" i="16"/>
  <c r="I22" i="16" s="1"/>
  <c r="G77" i="11"/>
  <c r="P77" i="11" s="1"/>
  <c r="D83" i="11"/>
  <c r="M83" i="11" s="1"/>
  <c r="J23" i="13"/>
  <c r="K23" i="13" s="1"/>
  <c r="H19" i="16"/>
  <c r="I19" i="16" s="1"/>
  <c r="H21" i="16"/>
  <c r="I21" i="16" s="1"/>
  <c r="F25" i="16"/>
  <c r="H20" i="16"/>
  <c r="I20" i="16" s="1"/>
  <c r="H9" i="16"/>
  <c r="I9" i="16" s="1"/>
  <c r="H10" i="16"/>
  <c r="I10" i="16" s="1"/>
  <c r="H7" i="16"/>
  <c r="I7" i="16" s="1"/>
  <c r="H8" i="16"/>
  <c r="I8" i="16" s="1"/>
  <c r="H16" i="16"/>
  <c r="I16" i="16" s="1"/>
  <c r="I4" i="16"/>
  <c r="G25" i="16"/>
  <c r="I25" i="16" s="1"/>
  <c r="H5" i="16"/>
  <c r="I5" i="16" s="1"/>
  <c r="H15" i="16"/>
  <c r="I15" i="16" s="1"/>
  <c r="H12" i="16"/>
  <c r="I12" i="16" s="1"/>
  <c r="H6" i="16"/>
  <c r="I6" i="16" s="1"/>
  <c r="F77" i="11"/>
  <c r="O77" i="11" s="1"/>
  <c r="J22" i="13"/>
  <c r="K22" i="13" s="1"/>
  <c r="C78" i="11"/>
  <c r="L78" i="11" s="1"/>
  <c r="J25" i="13"/>
  <c r="K25" i="13" s="1"/>
  <c r="D78" i="11"/>
  <c r="M78" i="11" s="1"/>
  <c r="I83" i="11"/>
  <c r="R83" i="11" s="1"/>
  <c r="J24" i="13"/>
  <c r="K24" i="13" s="1"/>
  <c r="T52" i="16"/>
  <c r="T60" i="16" s="1"/>
  <c r="W71" i="16"/>
  <c r="W79" i="16" s="1"/>
  <c r="U52" i="16"/>
  <c r="U60" i="16" s="1"/>
  <c r="H44" i="16"/>
  <c r="I44" i="16" s="1"/>
  <c r="V71" i="16"/>
  <c r="V79" i="16" s="1"/>
  <c r="W70" i="16"/>
  <c r="U53" i="16"/>
  <c r="U61" i="16" s="1"/>
  <c r="S51" i="16"/>
  <c r="S59" i="16" s="1"/>
  <c r="U71" i="16"/>
  <c r="U79" i="16" s="1"/>
  <c r="X70" i="16"/>
  <c r="S60" i="16"/>
  <c r="R53" i="16"/>
  <c r="R61" i="16" s="1"/>
  <c r="X71" i="16"/>
  <c r="X79" i="16" s="1"/>
  <c r="U59" i="16"/>
  <c r="R59" i="16"/>
  <c r="J38" i="13"/>
  <c r="J37" i="13"/>
  <c r="J26" i="13"/>
  <c r="K26" i="13" s="1"/>
  <c r="E80" i="11"/>
  <c r="N80" i="11" s="1"/>
  <c r="F82" i="11"/>
  <c r="O82" i="11" s="1"/>
  <c r="C82" i="11"/>
  <c r="L82" i="11" s="1"/>
  <c r="I80" i="11"/>
  <c r="R80" i="11" s="1"/>
  <c r="E77" i="11"/>
  <c r="N77" i="11" s="1"/>
  <c r="G76" i="11"/>
  <c r="P76" i="11" s="1"/>
  <c r="I76" i="11"/>
  <c r="R76" i="11" s="1"/>
  <c r="C76" i="11"/>
  <c r="L76" i="11" s="1"/>
  <c r="I79" i="11"/>
  <c r="R79" i="11" s="1"/>
  <c r="I82" i="11"/>
  <c r="R82" i="11" s="1"/>
  <c r="F78" i="11"/>
  <c r="O78" i="11" s="1"/>
  <c r="F80" i="11"/>
  <c r="O80" i="11" s="1"/>
  <c r="I81" i="11"/>
  <c r="R81" i="11" s="1"/>
  <c r="G83" i="11"/>
  <c r="P83" i="11" s="1"/>
  <c r="E81" i="11"/>
  <c r="N81" i="11" s="1"/>
  <c r="H80" i="11"/>
  <c r="Q80" i="11" s="1"/>
  <c r="H79" i="11"/>
  <c r="Q79" i="11" s="1"/>
  <c r="I77" i="11"/>
  <c r="R77" i="11" s="1"/>
  <c r="F76" i="11"/>
  <c r="O76" i="11" s="1"/>
  <c r="C77" i="11"/>
  <c r="L77" i="11" s="1"/>
  <c r="G78" i="11"/>
  <c r="P78" i="11" s="1"/>
  <c r="G79" i="11"/>
  <c r="P79" i="11" s="1"/>
  <c r="D82" i="11"/>
  <c r="M82" i="11" s="1"/>
  <c r="E83" i="11"/>
  <c r="N83" i="11" s="1"/>
  <c r="H77" i="11"/>
  <c r="Q77" i="11" s="1"/>
  <c r="H76" i="11"/>
  <c r="Q76" i="11" s="1"/>
  <c r="H81" i="11"/>
  <c r="Q81" i="11" s="1"/>
  <c r="H82" i="11"/>
  <c r="Q82" i="11" s="1"/>
  <c r="C83" i="11"/>
  <c r="L83" i="11" s="1"/>
  <c r="D76" i="11"/>
  <c r="M76" i="11" s="1"/>
  <c r="E78" i="11"/>
  <c r="N78" i="11" s="1"/>
  <c r="D80" i="11"/>
  <c r="M80" i="11" s="1"/>
  <c r="D81" i="11"/>
  <c r="M81" i="11" s="1"/>
  <c r="E82" i="11"/>
  <c r="N82" i="11" s="1"/>
  <c r="C80" i="11"/>
  <c r="L80" i="11" s="1"/>
  <c r="F81" i="11"/>
  <c r="O81" i="11" s="1"/>
  <c r="F79" i="11"/>
  <c r="O79" i="11" s="1"/>
  <c r="C79" i="11"/>
  <c r="L79" i="11" s="1"/>
  <c r="G82" i="11"/>
  <c r="P82" i="11" s="1"/>
  <c r="O71" i="11"/>
  <c r="C71" i="11"/>
  <c r="M71" i="11"/>
  <c r="H71" i="11"/>
  <c r="F71" i="11"/>
  <c r="Q71" i="11"/>
  <c r="N71" i="11"/>
  <c r="E71" i="11"/>
  <c r="L71" i="11"/>
  <c r="D71" i="11"/>
  <c r="P71" i="11"/>
  <c r="G71" i="11"/>
  <c r="I71" i="11"/>
  <c r="R71" i="11"/>
  <c r="H83" i="11"/>
  <c r="Q83" i="11" s="1"/>
  <c r="E76" i="11"/>
  <c r="N76" i="11" s="1"/>
  <c r="F83" i="11"/>
  <c r="O83" i="11" s="1"/>
  <c r="I78" i="11"/>
  <c r="R78" i="11" s="1"/>
  <c r="H78" i="11"/>
  <c r="Q78" i="11" s="1"/>
  <c r="C81" i="11"/>
  <c r="L81" i="11" s="1"/>
  <c r="D79" i="11"/>
  <c r="M79" i="11" s="1"/>
  <c r="E79" i="11"/>
  <c r="N79" i="11" s="1"/>
  <c r="J35" i="13"/>
  <c r="T69" i="16"/>
  <c r="T77" i="16" s="1"/>
  <c r="T71" i="16"/>
  <c r="T79" i="16" s="1"/>
  <c r="T53" i="16"/>
  <c r="T61" i="16" s="1"/>
  <c r="S53" i="16"/>
  <c r="S61" i="16" s="1"/>
  <c r="T70" i="16"/>
  <c r="T78" i="16" s="1"/>
  <c r="U70" i="16"/>
  <c r="U78" i="16" s="1"/>
  <c r="R52" i="16"/>
  <c r="R60" i="16" s="1"/>
  <c r="U69" i="16"/>
  <c r="U77" i="16" s="1"/>
  <c r="I39" i="13"/>
  <c r="L39" i="13" s="1"/>
  <c r="N39" i="13" s="1"/>
  <c r="J39" i="13"/>
  <c r="I36" i="13"/>
  <c r="L36" i="13" s="1"/>
  <c r="N36" i="13" s="1"/>
  <c r="J41" i="13"/>
  <c r="M41" i="13" s="1"/>
  <c r="O41" i="13" s="1"/>
  <c r="I40" i="13"/>
  <c r="L40" i="13" s="1"/>
  <c r="N40" i="13" s="1"/>
  <c r="J42" i="13"/>
  <c r="J36" i="13"/>
  <c r="I37" i="13"/>
  <c r="L37" i="13" s="1"/>
  <c r="N37" i="13" s="1"/>
  <c r="I43" i="13"/>
  <c r="L43" i="13" s="1"/>
  <c r="N43" i="13" s="1"/>
  <c r="J40" i="13"/>
  <c r="I38" i="13"/>
  <c r="L38" i="13" s="1"/>
  <c r="N38" i="13" s="1"/>
  <c r="J43" i="13"/>
  <c r="I35" i="13"/>
  <c r="L35" i="13" s="1"/>
  <c r="N35" i="13" s="1"/>
  <c r="I42" i="13"/>
  <c r="L42" i="13" s="1"/>
  <c r="N42" i="13" s="1"/>
  <c r="I41" i="13"/>
  <c r="L41" i="13" s="1"/>
  <c r="N41" i="13" s="1"/>
  <c r="F6" i="13"/>
  <c r="F7" i="13"/>
  <c r="F13" i="13"/>
  <c r="F14" i="13"/>
  <c r="F9" i="13"/>
  <c r="F11" i="13"/>
  <c r="F10" i="13"/>
  <c r="F12" i="13"/>
  <c r="T59" i="16"/>
  <c r="H42" i="16"/>
  <c r="I42" i="16" s="1"/>
  <c r="G34" i="16"/>
  <c r="F34" i="16"/>
  <c r="H40" i="16"/>
  <c r="I40" i="16" s="1"/>
  <c r="M80" i="16"/>
  <c r="M72" i="16"/>
  <c r="L72" i="16"/>
  <c r="P72" i="16"/>
  <c r="Q72" i="16"/>
  <c r="O72" i="16"/>
  <c r="H32" i="16"/>
  <c r="I32" i="16" s="1"/>
  <c r="F20" i="13"/>
  <c r="I28" i="13"/>
  <c r="F26" i="13"/>
  <c r="F24" i="13"/>
  <c r="F28" i="13"/>
  <c r="F25" i="13"/>
  <c r="F23" i="13"/>
  <c r="F21" i="13"/>
  <c r="F27" i="13"/>
  <c r="O60" i="16"/>
  <c r="O80" i="16"/>
  <c r="N80" i="16"/>
  <c r="O51" i="16"/>
  <c r="O61" i="16"/>
  <c r="O54" i="16"/>
  <c r="O52" i="16"/>
  <c r="P80" i="16"/>
  <c r="L80" i="16"/>
  <c r="O59" i="16"/>
  <c r="H40" i="13"/>
  <c r="H43" i="13"/>
  <c r="H37" i="13"/>
  <c r="H35" i="13"/>
  <c r="H36" i="13"/>
  <c r="H38" i="13"/>
  <c r="H44" i="13"/>
  <c r="H39" i="13"/>
  <c r="H42" i="13"/>
  <c r="E24" i="13"/>
  <c r="H28" i="13"/>
  <c r="E27" i="13"/>
  <c r="E22" i="13"/>
  <c r="E21" i="13"/>
  <c r="E26" i="13"/>
  <c r="E23" i="13"/>
  <c r="E25" i="13"/>
  <c r="E20" i="13"/>
  <c r="E14" i="13"/>
  <c r="E7" i="13"/>
  <c r="E9" i="13"/>
  <c r="E11" i="13"/>
  <c r="E8" i="13"/>
  <c r="E10" i="13"/>
  <c r="E12" i="13"/>
  <c r="E13" i="13"/>
  <c r="E6" i="13"/>
  <c r="G5" i="11"/>
  <c r="G7" i="11"/>
  <c r="G11" i="11"/>
  <c r="N8" i="11"/>
  <c r="N7" i="11"/>
  <c r="O5" i="1"/>
  <c r="O6" i="1"/>
  <c r="O7" i="1"/>
  <c r="O8" i="1"/>
  <c r="O9" i="1"/>
  <c r="O10" i="1"/>
  <c r="O11" i="1"/>
  <c r="O12" i="1"/>
  <c r="O13" i="1"/>
  <c r="O14" i="1"/>
  <c r="O15" i="1"/>
  <c r="O16" i="1"/>
  <c r="O17" i="1"/>
  <c r="O18" i="1"/>
  <c r="O19" i="1"/>
  <c r="O20" i="1"/>
  <c r="O21" i="1"/>
  <c r="O22" i="1"/>
  <c r="O23" i="1"/>
  <c r="O24" i="1"/>
  <c r="O4" i="1"/>
  <c r="M5" i="1"/>
  <c r="M6" i="1"/>
  <c r="M7" i="1"/>
  <c r="M8" i="1"/>
  <c r="M9" i="1"/>
  <c r="M10" i="1"/>
  <c r="M11" i="1"/>
  <c r="M12" i="1"/>
  <c r="M13" i="1"/>
  <c r="M14" i="1"/>
  <c r="M15" i="1"/>
  <c r="M16" i="1"/>
  <c r="M17" i="1"/>
  <c r="M18" i="1"/>
  <c r="M19" i="1"/>
  <c r="M20" i="1"/>
  <c r="M21" i="1"/>
  <c r="M22" i="1"/>
  <c r="M23" i="1"/>
  <c r="M24" i="1"/>
  <c r="M4" i="1"/>
  <c r="K5" i="1"/>
  <c r="Q5" i="1" s="1"/>
  <c r="W5" i="1" s="1"/>
  <c r="K6" i="1"/>
  <c r="Q6" i="1" s="1"/>
  <c r="W6" i="1" s="1"/>
  <c r="K7" i="1"/>
  <c r="Q7" i="1" s="1"/>
  <c r="W7" i="1" s="1"/>
  <c r="K8" i="1"/>
  <c r="Q8" i="1" s="1"/>
  <c r="W8" i="1" s="1"/>
  <c r="K9" i="1"/>
  <c r="Q9" i="1" s="1"/>
  <c r="W9" i="1" s="1"/>
  <c r="K10" i="1"/>
  <c r="Q10" i="1" s="1"/>
  <c r="W10" i="1" s="1"/>
  <c r="K11" i="1"/>
  <c r="Q11" i="1" s="1"/>
  <c r="W11" i="1" s="1"/>
  <c r="K12" i="1"/>
  <c r="Q12" i="1" s="1"/>
  <c r="W12" i="1" s="1"/>
  <c r="K13" i="1"/>
  <c r="Q13" i="1" s="1"/>
  <c r="W13" i="1" s="1"/>
  <c r="K14" i="1"/>
  <c r="Q14" i="1" s="1"/>
  <c r="W14" i="1" s="1"/>
  <c r="K15" i="1"/>
  <c r="Q15" i="1" s="1"/>
  <c r="W15" i="1" s="1"/>
  <c r="K16" i="1"/>
  <c r="Q16" i="1" s="1"/>
  <c r="W16" i="1" s="1"/>
  <c r="K17" i="1"/>
  <c r="Q17" i="1" s="1"/>
  <c r="W17" i="1" s="1"/>
  <c r="K18" i="1"/>
  <c r="Q18" i="1" s="1"/>
  <c r="W18" i="1" s="1"/>
  <c r="K19" i="1"/>
  <c r="Q19" i="1" s="1"/>
  <c r="W19" i="1" s="1"/>
  <c r="K20" i="1"/>
  <c r="Q20" i="1" s="1"/>
  <c r="W20" i="1" s="1"/>
  <c r="K21" i="1"/>
  <c r="Q21" i="1" s="1"/>
  <c r="W21" i="1" s="1"/>
  <c r="K22" i="1"/>
  <c r="Q22" i="1" s="1"/>
  <c r="W22" i="1" s="1"/>
  <c r="K23" i="1"/>
  <c r="Q23" i="1" s="1"/>
  <c r="W23" i="1" s="1"/>
  <c r="K24" i="1"/>
  <c r="Q24" i="1" s="1"/>
  <c r="W24" i="1" s="1"/>
  <c r="K4" i="1"/>
  <c r="Q4" i="1" s="1"/>
  <c r="W4" i="1" s="1"/>
  <c r="M35" i="13" l="1"/>
  <c r="H25" i="16"/>
  <c r="M38" i="13"/>
  <c r="M36" i="13"/>
  <c r="V51" i="16"/>
  <c r="V59" i="16" s="1"/>
  <c r="V52" i="16"/>
  <c r="V60" i="16" s="1"/>
  <c r="M42" i="13"/>
  <c r="O42" i="13" s="1"/>
  <c r="M43" i="13"/>
  <c r="O43" i="13" s="1"/>
  <c r="M40" i="13"/>
  <c r="O40" i="13" s="1"/>
  <c r="M39" i="13"/>
  <c r="O39" i="13" s="1"/>
  <c r="M37" i="13"/>
  <c r="H84" i="11"/>
  <c r="Q84" i="11" s="1"/>
  <c r="I84" i="11"/>
  <c r="R84" i="11" s="1"/>
  <c r="G84" i="11"/>
  <c r="P84" i="11" s="1"/>
  <c r="E84" i="11"/>
  <c r="N84" i="11" s="1"/>
  <c r="C84" i="11"/>
  <c r="L84" i="11" s="1"/>
  <c r="F84" i="11"/>
  <c r="O84" i="11" s="1"/>
  <c r="D84" i="11"/>
  <c r="M84" i="11" s="1"/>
  <c r="V53" i="16"/>
  <c r="V61" i="16" s="1"/>
  <c r="J28" i="13"/>
  <c r="K28" i="13" s="1"/>
  <c r="J19" i="11"/>
  <c r="K19" i="11"/>
  <c r="L19" i="11"/>
  <c r="M19" i="11"/>
  <c r="J18" i="11"/>
  <c r="K18" i="11"/>
  <c r="L18" i="11"/>
  <c r="M18" i="11"/>
  <c r="E12" i="11"/>
  <c r="D18" i="11"/>
  <c r="F18" i="11"/>
  <c r="C18" i="11"/>
  <c r="G8" i="11"/>
  <c r="F19" i="11" s="1"/>
  <c r="E18" i="11"/>
  <c r="F12" i="11"/>
  <c r="G9" i="11"/>
  <c r="F20" i="11" s="1"/>
  <c r="G6" i="11"/>
  <c r="C17" i="11" s="1"/>
  <c r="G10" i="11"/>
  <c r="C21" i="11" s="1"/>
  <c r="G4" i="11"/>
  <c r="C15" i="11" s="1"/>
  <c r="C12" i="11"/>
  <c r="N6" i="11"/>
  <c r="K17" i="11" s="1"/>
  <c r="K12" i="11"/>
  <c r="N4" i="11"/>
  <c r="L15" i="11" s="1"/>
  <c r="J12" i="11"/>
  <c r="N11" i="11"/>
  <c r="J22" i="11" s="1"/>
  <c r="N9" i="11"/>
  <c r="J20" i="11" s="1"/>
  <c r="L12" i="11"/>
  <c r="C16" i="11"/>
  <c r="C22" i="11"/>
  <c r="N5" i="11"/>
  <c r="J16" i="11" s="1"/>
  <c r="M12" i="11"/>
  <c r="D16" i="11"/>
  <c r="D22" i="11"/>
  <c r="E16" i="11"/>
  <c r="E22" i="11"/>
  <c r="F16" i="11"/>
  <c r="F22" i="11"/>
  <c r="N10" i="11"/>
  <c r="L21" i="11" s="1"/>
  <c r="M36" i="11" l="1"/>
  <c r="M35" i="11"/>
  <c r="L35" i="11"/>
  <c r="J39" i="11"/>
  <c r="J33" i="11"/>
  <c r="J35" i="11"/>
  <c r="K35" i="11"/>
  <c r="N18" i="11"/>
  <c r="K20" i="11"/>
  <c r="M20" i="11"/>
  <c r="M37" i="11" s="1"/>
  <c r="L20" i="11"/>
  <c r="N19" i="11"/>
  <c r="E19" i="11"/>
  <c r="L36" i="11" s="1"/>
  <c r="D19" i="11"/>
  <c r="K36" i="11" s="1"/>
  <c r="C19" i="11"/>
  <c r="J36" i="11" s="1"/>
  <c r="G18" i="11"/>
  <c r="K15" i="11"/>
  <c r="G12" i="11"/>
  <c r="E23" i="11" s="1"/>
  <c r="E15" i="11"/>
  <c r="L32" i="11" s="1"/>
  <c r="E20" i="11"/>
  <c r="C20" i="11"/>
  <c r="J37" i="11" s="1"/>
  <c r="D20" i="11"/>
  <c r="D15" i="11"/>
  <c r="E17" i="11"/>
  <c r="D21" i="11"/>
  <c r="F21" i="11"/>
  <c r="E21" i="11"/>
  <c r="L38" i="11" s="1"/>
  <c r="F15" i="11"/>
  <c r="F17" i="11"/>
  <c r="D17" i="11"/>
  <c r="K34" i="11" s="1"/>
  <c r="L17" i="11"/>
  <c r="J17" i="11"/>
  <c r="J34" i="11" s="1"/>
  <c r="G22" i="11"/>
  <c r="K22" i="11"/>
  <c r="K39" i="11" s="1"/>
  <c r="L22" i="11"/>
  <c r="L39" i="11" s="1"/>
  <c r="M17" i="11"/>
  <c r="M22" i="11"/>
  <c r="M39" i="11" s="1"/>
  <c r="M15" i="11"/>
  <c r="J15" i="11"/>
  <c r="J32" i="11" s="1"/>
  <c r="N12" i="11"/>
  <c r="J23" i="11" s="1"/>
  <c r="D27" i="11" s="1"/>
  <c r="M21" i="11"/>
  <c r="G16" i="11"/>
  <c r="K21" i="11"/>
  <c r="J21" i="11"/>
  <c r="J38" i="11" s="1"/>
  <c r="M16" i="11"/>
  <c r="M33" i="11" s="1"/>
  <c r="L16" i="11"/>
  <c r="L33" i="11" s="1"/>
  <c r="K16" i="11"/>
  <c r="K33" i="11" s="1"/>
  <c r="L37" i="11" l="1"/>
  <c r="N35" i="11"/>
  <c r="M38" i="11"/>
  <c r="K32" i="11"/>
  <c r="K37" i="11"/>
  <c r="M32" i="11"/>
  <c r="K38" i="11"/>
  <c r="L34" i="11"/>
  <c r="M34" i="11"/>
  <c r="F26" i="11"/>
  <c r="N20" i="11"/>
  <c r="G19" i="11"/>
  <c r="N36" i="11" s="1"/>
  <c r="D23" i="11"/>
  <c r="G15" i="11"/>
  <c r="N16" i="11"/>
  <c r="N33" i="11" s="1"/>
  <c r="N17" i="11"/>
  <c r="N22" i="11"/>
  <c r="N39" i="11" s="1"/>
  <c r="G21" i="11"/>
  <c r="G20" i="11"/>
  <c r="C23" i="11"/>
  <c r="F23" i="11"/>
  <c r="G17" i="11"/>
  <c r="N15" i="11"/>
  <c r="N21" i="11"/>
  <c r="L23" i="11"/>
  <c r="F27" i="11" s="1"/>
  <c r="K23" i="11"/>
  <c r="E27" i="11" s="1"/>
  <c r="M23" i="11"/>
  <c r="G27" i="11" s="1"/>
  <c r="N37" i="11" l="1"/>
  <c r="N38" i="11"/>
  <c r="N34" i="11"/>
  <c r="N32" i="11"/>
  <c r="D26" i="11"/>
  <c r="J40" i="11"/>
  <c r="G26" i="11"/>
  <c r="M40" i="11"/>
  <c r="E26" i="11"/>
  <c r="K40" i="11"/>
  <c r="L40" i="11"/>
  <c r="G23" i="11"/>
  <c r="N23" i="11"/>
  <c r="N40" i="11" l="1"/>
  <c r="N24" i="1"/>
  <c r="S24" i="1" s="1"/>
  <c r="Y24" i="1" s="1"/>
  <c r="L24" i="1"/>
  <c r="R24" i="1" s="1"/>
  <c r="X24" i="1" s="1"/>
  <c r="N23" i="1"/>
  <c r="S23" i="1" s="1"/>
  <c r="Y23" i="1" s="1"/>
  <c r="L23" i="1"/>
  <c r="R23" i="1" s="1"/>
  <c r="X23" i="1" s="1"/>
  <c r="N22" i="1"/>
  <c r="S22" i="1" s="1"/>
  <c r="Y22" i="1" s="1"/>
  <c r="L22" i="1"/>
  <c r="R22" i="1" s="1"/>
  <c r="X22" i="1" s="1"/>
  <c r="N21" i="1"/>
  <c r="S21" i="1" s="1"/>
  <c r="Y21" i="1" s="1"/>
  <c r="L21" i="1"/>
  <c r="R21" i="1" s="1"/>
  <c r="X21" i="1" s="1"/>
  <c r="N20" i="1"/>
  <c r="S20" i="1" s="1"/>
  <c r="Y20" i="1" s="1"/>
  <c r="L20" i="1"/>
  <c r="R20" i="1" s="1"/>
  <c r="X20" i="1" s="1"/>
  <c r="N19" i="1"/>
  <c r="S19" i="1" s="1"/>
  <c r="Y19" i="1" s="1"/>
  <c r="L19" i="1"/>
  <c r="R19" i="1" s="1"/>
  <c r="X19" i="1" s="1"/>
  <c r="N18" i="1"/>
  <c r="S18" i="1" s="1"/>
  <c r="Y18" i="1" s="1"/>
  <c r="L18" i="1"/>
  <c r="R18" i="1" s="1"/>
  <c r="X18" i="1" s="1"/>
  <c r="N17" i="1"/>
  <c r="S17" i="1" s="1"/>
  <c r="Y17" i="1" s="1"/>
  <c r="L17" i="1"/>
  <c r="R17" i="1" s="1"/>
  <c r="X17" i="1" s="1"/>
  <c r="N16" i="1"/>
  <c r="S16" i="1" s="1"/>
  <c r="Y16" i="1" s="1"/>
  <c r="L16" i="1"/>
  <c r="R16" i="1" s="1"/>
  <c r="X16" i="1" s="1"/>
  <c r="N15" i="1"/>
  <c r="S15" i="1" s="1"/>
  <c r="Y15" i="1" s="1"/>
  <c r="L15" i="1"/>
  <c r="R15" i="1" s="1"/>
  <c r="X15" i="1" s="1"/>
  <c r="N14" i="1"/>
  <c r="S14" i="1" s="1"/>
  <c r="Y14" i="1" s="1"/>
  <c r="L14" i="1"/>
  <c r="R14" i="1" s="1"/>
  <c r="X14" i="1" s="1"/>
  <c r="N13" i="1"/>
  <c r="S13" i="1" s="1"/>
  <c r="Y13" i="1" s="1"/>
  <c r="L13" i="1"/>
  <c r="R13" i="1" s="1"/>
  <c r="X13" i="1" s="1"/>
  <c r="N12" i="1"/>
  <c r="S12" i="1" s="1"/>
  <c r="Y12" i="1" s="1"/>
  <c r="L12" i="1"/>
  <c r="R12" i="1" s="1"/>
  <c r="X12" i="1" s="1"/>
  <c r="N11" i="1"/>
  <c r="S11" i="1" s="1"/>
  <c r="Y11" i="1" s="1"/>
  <c r="L11" i="1"/>
  <c r="R11" i="1" s="1"/>
  <c r="X11" i="1" s="1"/>
  <c r="N10" i="1"/>
  <c r="S10" i="1" s="1"/>
  <c r="Y10" i="1" s="1"/>
  <c r="L10" i="1"/>
  <c r="R10" i="1" s="1"/>
  <c r="X10" i="1" s="1"/>
  <c r="N9" i="1"/>
  <c r="S9" i="1" s="1"/>
  <c r="Y9" i="1" s="1"/>
  <c r="L9" i="1"/>
  <c r="R9" i="1" s="1"/>
  <c r="X9" i="1" s="1"/>
  <c r="N8" i="1"/>
  <c r="S8" i="1" s="1"/>
  <c r="Y8" i="1" s="1"/>
  <c r="L8" i="1"/>
  <c r="R8" i="1" s="1"/>
  <c r="X8" i="1" s="1"/>
  <c r="N7" i="1"/>
  <c r="S7" i="1" s="1"/>
  <c r="Y7" i="1" s="1"/>
  <c r="L7" i="1"/>
  <c r="R7" i="1" s="1"/>
  <c r="X7" i="1" s="1"/>
  <c r="N6" i="1"/>
  <c r="S6" i="1" s="1"/>
  <c r="Y6" i="1" s="1"/>
  <c r="L6" i="1"/>
  <c r="R6" i="1" s="1"/>
  <c r="X6" i="1" s="1"/>
  <c r="N5" i="1"/>
  <c r="S5" i="1" s="1"/>
  <c r="Y5" i="1" s="1"/>
  <c r="L5" i="1"/>
  <c r="R5" i="1" s="1"/>
  <c r="X5" i="1" s="1"/>
  <c r="N4" i="1"/>
  <c r="S4" i="1" s="1"/>
  <c r="Y4" i="1" s="1"/>
  <c r="L4" i="1"/>
  <c r="R4" i="1" s="1"/>
  <c r="X4" i="1" s="1"/>
  <c r="P11" i="8" l="1"/>
  <c r="L12" i="8"/>
  <c r="P8" i="8"/>
  <c r="P7" i="8"/>
  <c r="P5" i="8"/>
  <c r="P4" i="8"/>
  <c r="K22" i="8" l="1"/>
  <c r="L22" i="8"/>
  <c r="N22" i="8"/>
  <c r="O22" i="8"/>
  <c r="L15" i="8"/>
  <c r="O12" i="8"/>
  <c r="K15" i="8"/>
  <c r="O15" i="8"/>
  <c r="M15" i="8"/>
  <c r="N15" i="8"/>
  <c r="O16" i="8"/>
  <c r="N16" i="8"/>
  <c r="M16" i="8"/>
  <c r="L16" i="8"/>
  <c r="K16" i="8"/>
  <c r="K12" i="8"/>
  <c r="M22" i="8"/>
  <c r="P10" i="8"/>
  <c r="M21" i="8" s="1"/>
  <c r="M12" i="8"/>
  <c r="P9" i="8"/>
  <c r="N20" i="8" s="1"/>
  <c r="N12" i="8"/>
  <c r="P6" i="8"/>
  <c r="K17" i="8" s="1"/>
  <c r="H9" i="8"/>
  <c r="H7" i="8"/>
  <c r="H5" i="8"/>
  <c r="H8" i="8"/>
  <c r="H11" i="8"/>
  <c r="H4" i="8"/>
  <c r="N21" i="8" l="1"/>
  <c r="C22" i="8"/>
  <c r="K34" i="8" s="1"/>
  <c r="F22" i="8"/>
  <c r="N34" i="8" s="1"/>
  <c r="G22" i="8"/>
  <c r="O34" i="8" s="1"/>
  <c r="D22" i="8"/>
  <c r="L34" i="8" s="1"/>
  <c r="E22" i="8"/>
  <c r="M34" i="8" s="1"/>
  <c r="D20" i="8"/>
  <c r="G20" i="8"/>
  <c r="C20" i="8"/>
  <c r="E20" i="8"/>
  <c r="F20" i="8"/>
  <c r="N32" i="8" s="1"/>
  <c r="C16" i="8"/>
  <c r="K28" i="8" s="1"/>
  <c r="D16" i="8"/>
  <c r="L28" i="8" s="1"/>
  <c r="G16" i="8"/>
  <c r="O28" i="8" s="1"/>
  <c r="E16" i="8"/>
  <c r="M28" i="8" s="1"/>
  <c r="F16" i="8"/>
  <c r="N28" i="8" s="1"/>
  <c r="F15" i="8"/>
  <c r="N27" i="8" s="1"/>
  <c r="E15" i="8"/>
  <c r="M27" i="8" s="1"/>
  <c r="G15" i="8"/>
  <c r="O27" i="8" s="1"/>
  <c r="C15" i="8"/>
  <c r="K27" i="8" s="1"/>
  <c r="D15" i="8"/>
  <c r="L27" i="8" s="1"/>
  <c r="M20" i="8"/>
  <c r="L17" i="8"/>
  <c r="M17" i="8"/>
  <c r="N17" i="8"/>
  <c r="O17" i="8"/>
  <c r="P16" i="8"/>
  <c r="P15" i="8"/>
  <c r="K20" i="8"/>
  <c r="L20" i="8"/>
  <c r="O20" i="8"/>
  <c r="K21" i="8"/>
  <c r="O21" i="8"/>
  <c r="L21" i="8"/>
  <c r="P22" i="8"/>
  <c r="P12" i="8"/>
  <c r="L23" i="8" s="1"/>
  <c r="E28" i="8" s="1"/>
  <c r="H10" i="8"/>
  <c r="G12" i="8"/>
  <c r="F12" i="8"/>
  <c r="E12" i="8"/>
  <c r="H6" i="8"/>
  <c r="D12" i="8"/>
  <c r="C12" i="8"/>
  <c r="L32" i="8" l="1"/>
  <c r="K32" i="8"/>
  <c r="O32" i="8"/>
  <c r="M32" i="8"/>
  <c r="H22" i="8"/>
  <c r="P34" i="8" s="1"/>
  <c r="C21" i="8"/>
  <c r="K33" i="8" s="1"/>
  <c r="D21" i="8"/>
  <c r="L33" i="8" s="1"/>
  <c r="F21" i="8"/>
  <c r="N33" i="8" s="1"/>
  <c r="G21" i="8"/>
  <c r="O33" i="8" s="1"/>
  <c r="E21" i="8"/>
  <c r="M33" i="8" s="1"/>
  <c r="H20" i="8"/>
  <c r="D17" i="8"/>
  <c r="L29" i="8" s="1"/>
  <c r="E17" i="8"/>
  <c r="M29" i="8" s="1"/>
  <c r="F17" i="8"/>
  <c r="N29" i="8" s="1"/>
  <c r="G17" i="8"/>
  <c r="O29" i="8" s="1"/>
  <c r="C17" i="8"/>
  <c r="K29" i="8" s="1"/>
  <c r="H16" i="8"/>
  <c r="P28" i="8" s="1"/>
  <c r="H15" i="8"/>
  <c r="P27" i="8" s="1"/>
  <c r="N23" i="8"/>
  <c r="G28" i="8" s="1"/>
  <c r="M23" i="8"/>
  <c r="F28" i="8" s="1"/>
  <c r="P21" i="8"/>
  <c r="P17" i="8"/>
  <c r="P20" i="8"/>
  <c r="O23" i="8"/>
  <c r="H28" i="8" s="1"/>
  <c r="K23" i="8"/>
  <c r="H12" i="8"/>
  <c r="P32" i="8" l="1"/>
  <c r="H21" i="8"/>
  <c r="P33" i="8" s="1"/>
  <c r="H17" i="8"/>
  <c r="P29" i="8" s="1"/>
  <c r="F23" i="8"/>
  <c r="D23" i="8"/>
  <c r="E23" i="8"/>
  <c r="G23" i="8"/>
  <c r="C23" i="8"/>
  <c r="K35" i="8" s="1"/>
  <c r="D28" i="8"/>
  <c r="P23" i="8"/>
  <c r="H27" i="8" l="1"/>
  <c r="O35" i="8"/>
  <c r="F27" i="8"/>
  <c r="M35" i="8"/>
  <c r="G27" i="8"/>
  <c r="N35" i="8"/>
  <c r="E27" i="8"/>
  <c r="L35" i="8"/>
  <c r="D27" i="8"/>
  <c r="H23" i="8"/>
  <c r="P35" i="8" s="1"/>
  <c r="J12" i="7"/>
  <c r="K12" i="7"/>
  <c r="I12" i="7"/>
  <c r="T5" i="7"/>
  <c r="U5" i="7"/>
  <c r="V5" i="7"/>
  <c r="T6" i="7"/>
  <c r="U6" i="7"/>
  <c r="V6" i="7"/>
  <c r="T7" i="7"/>
  <c r="U7" i="7"/>
  <c r="V7" i="7"/>
  <c r="T8" i="7"/>
  <c r="U8" i="7"/>
  <c r="V8" i="7"/>
  <c r="T9" i="7"/>
  <c r="U9" i="7"/>
  <c r="V9" i="7"/>
  <c r="T10" i="7"/>
  <c r="U10" i="7"/>
  <c r="V10" i="7"/>
  <c r="T11" i="7"/>
  <c r="U11" i="7"/>
  <c r="V11" i="7"/>
  <c r="U4" i="7"/>
  <c r="V4" i="7"/>
  <c r="T4" i="7"/>
  <c r="L5" i="7"/>
  <c r="L6" i="7"/>
  <c r="L7" i="7"/>
  <c r="L8" i="7"/>
  <c r="L9" i="7"/>
  <c r="L10" i="7"/>
  <c r="L11" i="7"/>
  <c r="L4" i="7"/>
  <c r="P5" i="7"/>
  <c r="Q6" i="7"/>
  <c r="O7" i="7"/>
  <c r="Q7" i="7"/>
  <c r="O8" i="7"/>
  <c r="Q9" i="7"/>
  <c r="P9" i="7"/>
  <c r="Q10" i="7"/>
  <c r="Q11" i="7"/>
  <c r="P11" i="7"/>
  <c r="P12" i="7"/>
  <c r="Q4" i="7"/>
  <c r="Q12" i="7"/>
  <c r="O11" i="7"/>
  <c r="P10" i="7"/>
  <c r="O10" i="7"/>
  <c r="Q8" i="7"/>
  <c r="P8" i="7"/>
  <c r="P7" i="7"/>
  <c r="P6" i="7"/>
  <c r="O6" i="7"/>
  <c r="Q5" i="7"/>
  <c r="D25" i="7" l="1"/>
  <c r="D26" i="7"/>
  <c r="F22" i="7"/>
  <c r="E24" i="7"/>
  <c r="F25" i="7"/>
  <c r="E25" i="7"/>
  <c r="F24" i="7"/>
  <c r="E27" i="7"/>
  <c r="F27" i="7"/>
  <c r="D24" i="7"/>
  <c r="E23" i="7"/>
  <c r="E26" i="7"/>
  <c r="E29" i="7"/>
  <c r="F16" i="7"/>
  <c r="F28" i="7"/>
  <c r="E28" i="7"/>
  <c r="F26" i="7"/>
  <c r="F29" i="7"/>
  <c r="D28" i="7"/>
  <c r="F23" i="7"/>
  <c r="D29" i="7"/>
  <c r="L12" i="7"/>
  <c r="D17" i="7"/>
  <c r="F17" i="7"/>
  <c r="E17" i="7"/>
  <c r="V12" i="7"/>
  <c r="F30" i="7" s="1"/>
  <c r="U12" i="7"/>
  <c r="E30" i="7" s="1"/>
  <c r="T12" i="7"/>
  <c r="O9" i="7"/>
  <c r="D27" i="7" s="1"/>
  <c r="O12" i="7"/>
  <c r="O5" i="7"/>
  <c r="D23" i="7" s="1"/>
  <c r="P4" i="7"/>
  <c r="E22" i="7" s="1"/>
  <c r="O4" i="7"/>
  <c r="D22" i="7" s="1"/>
  <c r="E16" i="7" l="1"/>
  <c r="D16" i="7"/>
  <c r="D30" i="7"/>
  <c r="E5" i="5"/>
  <c r="F5" i="5"/>
  <c r="N29" i="6" l="1"/>
  <c r="M29" i="6"/>
  <c r="L29" i="6"/>
  <c r="K29" i="6"/>
  <c r="N20" i="6"/>
  <c r="M20" i="6"/>
  <c r="L20" i="6"/>
  <c r="K20" i="6"/>
  <c r="N11" i="6"/>
  <c r="M11" i="6"/>
  <c r="L11" i="6"/>
  <c r="O28" i="6"/>
  <c r="O27" i="6"/>
  <c r="O26" i="6"/>
  <c r="O25" i="6"/>
  <c r="O24" i="6"/>
  <c r="O19" i="6"/>
  <c r="O18" i="6"/>
  <c r="O17" i="6"/>
  <c r="O16" i="6"/>
  <c r="O15" i="6"/>
  <c r="O10" i="6"/>
  <c r="O9" i="6"/>
  <c r="O8" i="6"/>
  <c r="O7" i="6"/>
  <c r="O6" i="6"/>
  <c r="G28" i="6"/>
  <c r="G27" i="6"/>
  <c r="G26" i="6"/>
  <c r="G25" i="6"/>
  <c r="G24" i="6"/>
  <c r="G19" i="6"/>
  <c r="G18" i="6"/>
  <c r="G17" i="6"/>
  <c r="G16" i="6"/>
  <c r="G15" i="6"/>
  <c r="F29" i="6"/>
  <c r="E29" i="6"/>
  <c r="D29" i="6"/>
  <c r="C29" i="6"/>
  <c r="F20" i="6"/>
  <c r="E20" i="6"/>
  <c r="D20" i="6"/>
  <c r="C20" i="6"/>
  <c r="D11" i="6"/>
  <c r="E11" i="6"/>
  <c r="F11" i="6"/>
  <c r="C11" i="6"/>
  <c r="G7" i="6"/>
  <c r="G8" i="6"/>
  <c r="G9" i="6"/>
  <c r="G10" i="6"/>
  <c r="G6" i="6"/>
  <c r="O20" i="6" l="1"/>
  <c r="G11" i="6"/>
  <c r="O29" i="6"/>
  <c r="G29" i="6"/>
  <c r="G20" i="6"/>
  <c r="K34" i="6" l="1"/>
  <c r="K36" i="6"/>
  <c r="K38" i="6"/>
  <c r="M35" i="6"/>
  <c r="N37" i="6"/>
  <c r="L34" i="6"/>
  <c r="L36" i="6"/>
  <c r="L38" i="6"/>
  <c r="K37" i="6"/>
  <c r="M37" i="6"/>
  <c r="M34" i="6"/>
  <c r="M36" i="6"/>
  <c r="M38" i="6"/>
  <c r="L35" i="6"/>
  <c r="N34" i="6"/>
  <c r="N36" i="6"/>
  <c r="N38" i="6"/>
  <c r="L37" i="6"/>
  <c r="N35" i="6"/>
  <c r="K35" i="6"/>
  <c r="C36" i="6"/>
  <c r="C38" i="6"/>
  <c r="E38" i="6"/>
  <c r="D36" i="6"/>
  <c r="D38" i="6"/>
  <c r="E36" i="6"/>
  <c r="F36" i="6"/>
  <c r="F38" i="6"/>
  <c r="C35" i="6"/>
  <c r="C37" i="6"/>
  <c r="D34" i="6"/>
  <c r="D35" i="6"/>
  <c r="D37" i="6"/>
  <c r="E34" i="6"/>
  <c r="E35" i="6"/>
  <c r="E37" i="6"/>
  <c r="F34" i="6"/>
  <c r="F35" i="6"/>
  <c r="F37" i="6"/>
  <c r="C34" i="6"/>
  <c r="C53" i="6"/>
  <c r="C55" i="6"/>
  <c r="D52" i="6"/>
  <c r="D53" i="6"/>
  <c r="D55" i="6"/>
  <c r="E52" i="6"/>
  <c r="E53" i="6"/>
  <c r="E55" i="6"/>
  <c r="F52" i="6"/>
  <c r="F53" i="6"/>
  <c r="F55" i="6"/>
  <c r="C52" i="6"/>
  <c r="C54" i="6"/>
  <c r="C56" i="6"/>
  <c r="D54" i="6"/>
  <c r="D56" i="6"/>
  <c r="E54" i="6"/>
  <c r="E56" i="6"/>
  <c r="F54" i="6"/>
  <c r="F56" i="6"/>
  <c r="K53" i="6"/>
  <c r="K55" i="6"/>
  <c r="L52" i="6"/>
  <c r="T60" i="6" s="1"/>
  <c r="V60" i="6" s="1"/>
  <c r="L53" i="6"/>
  <c r="L55" i="6"/>
  <c r="M52" i="6"/>
  <c r="T61" i="6" s="1"/>
  <c r="V61" i="6" s="1"/>
  <c r="M53" i="6"/>
  <c r="M55" i="6"/>
  <c r="N52" i="6"/>
  <c r="T62" i="6" s="1"/>
  <c r="V62" i="6" s="1"/>
  <c r="N53" i="6"/>
  <c r="N55" i="6"/>
  <c r="K52" i="6"/>
  <c r="K54" i="6"/>
  <c r="K56" i="6"/>
  <c r="L54" i="6"/>
  <c r="L56" i="6"/>
  <c r="N56" i="6"/>
  <c r="M54" i="6"/>
  <c r="M56" i="6"/>
  <c r="N54" i="6"/>
  <c r="K44" i="6"/>
  <c r="K46" i="6"/>
  <c r="L43" i="6"/>
  <c r="N45" i="6"/>
  <c r="L44" i="6"/>
  <c r="L46" i="6"/>
  <c r="M43" i="6"/>
  <c r="N47" i="6"/>
  <c r="M44" i="6"/>
  <c r="M46" i="6"/>
  <c r="N43" i="6"/>
  <c r="N44" i="6"/>
  <c r="N46" i="6"/>
  <c r="K43" i="6"/>
  <c r="K45" i="6"/>
  <c r="K47" i="6"/>
  <c r="L45" i="6"/>
  <c r="L47" i="6"/>
  <c r="M45" i="6"/>
  <c r="M47" i="6"/>
  <c r="C45" i="6"/>
  <c r="C47" i="6"/>
  <c r="D45" i="6"/>
  <c r="D47" i="6"/>
  <c r="E45" i="6"/>
  <c r="E47" i="6"/>
  <c r="F44" i="6"/>
  <c r="F45" i="6"/>
  <c r="F47" i="6"/>
  <c r="C44" i="6"/>
  <c r="C46" i="6"/>
  <c r="D43" i="6"/>
  <c r="D44" i="6"/>
  <c r="D46" i="6"/>
  <c r="E43" i="6"/>
  <c r="E44" i="6"/>
  <c r="E46" i="6"/>
  <c r="F43" i="6"/>
  <c r="F46" i="6"/>
  <c r="C43" i="6"/>
  <c r="G5" i="5"/>
  <c r="F6" i="5"/>
  <c r="G6" i="5"/>
  <c r="F7" i="5"/>
  <c r="G7" i="5"/>
  <c r="R7" i="5" s="1"/>
  <c r="F8" i="5"/>
  <c r="G8" i="5"/>
  <c r="F9" i="5"/>
  <c r="G9" i="5"/>
  <c r="E6" i="5"/>
  <c r="E7" i="5"/>
  <c r="E8" i="5"/>
  <c r="E9" i="5"/>
  <c r="R8" i="5" l="1"/>
  <c r="R6" i="5"/>
  <c r="T6" i="5" s="1"/>
  <c r="G54" i="6"/>
  <c r="R9" i="5"/>
  <c r="T9" i="5" s="1"/>
  <c r="T7" i="5"/>
  <c r="H5" i="5"/>
  <c r="R5" i="5"/>
  <c r="T5" i="5" s="1"/>
  <c r="G38" i="6"/>
  <c r="E48" i="6"/>
  <c r="D57" i="6"/>
  <c r="G36" i="6"/>
  <c r="O54" i="6"/>
  <c r="C39" i="6"/>
  <c r="G34" i="6"/>
  <c r="E39" i="6"/>
  <c r="L57" i="6"/>
  <c r="D39" i="6"/>
  <c r="E57" i="6"/>
  <c r="F39" i="6"/>
  <c r="G37" i="6"/>
  <c r="G35" i="6"/>
  <c r="H6" i="5"/>
  <c r="F10" i="5"/>
  <c r="H8" i="5"/>
  <c r="H9" i="5"/>
  <c r="H7" i="5"/>
  <c r="G10" i="5"/>
  <c r="E10" i="5"/>
  <c r="O37" i="6"/>
  <c r="G55" i="6"/>
  <c r="G56" i="6"/>
  <c r="G52" i="6"/>
  <c r="G53" i="6"/>
  <c r="F57" i="6"/>
  <c r="C57" i="6"/>
  <c r="M57" i="6"/>
  <c r="O55" i="6"/>
  <c r="O52" i="6"/>
  <c r="N57" i="6"/>
  <c r="O56" i="6"/>
  <c r="K57" i="6"/>
  <c r="O53" i="6"/>
  <c r="O47" i="6"/>
  <c r="M48" i="6"/>
  <c r="K48" i="6"/>
  <c r="O43" i="6"/>
  <c r="O46" i="6"/>
  <c r="N48" i="6"/>
  <c r="O45" i="6"/>
  <c r="L48" i="6"/>
  <c r="O44" i="6"/>
  <c r="G45" i="6"/>
  <c r="F48" i="6"/>
  <c r="D48" i="6"/>
  <c r="G43" i="6"/>
  <c r="G46" i="6"/>
  <c r="C48" i="6"/>
  <c r="G44" i="6"/>
  <c r="G47" i="6"/>
  <c r="O38" i="6"/>
  <c r="O36" i="6"/>
  <c r="M39" i="6"/>
  <c r="K39" i="6"/>
  <c r="N39" i="6"/>
  <c r="O34" i="6"/>
  <c r="L39" i="6"/>
  <c r="O35" i="6"/>
  <c r="T8" i="5" l="1"/>
  <c r="G39" i="6"/>
  <c r="G57" i="6"/>
  <c r="O39" i="6"/>
  <c r="O57" i="6"/>
  <c r="O48" i="6"/>
  <c r="G48" i="6"/>
  <c r="AM18" i="52"/>
  <c r="AM20" i="52" s="1"/>
  <c r="AH20" i="52"/>
  <c r="AM162" i="52"/>
  <c r="AM164" i="52" s="1"/>
  <c r="BS177" i="52" l="1"/>
  <c r="BS175" i="52"/>
  <c r="CY175" i="52" s="1"/>
  <c r="BS173" i="52"/>
  <c r="CY173" i="52" s="1"/>
  <c r="BS185" i="52"/>
  <c r="CY185" i="52" s="1"/>
  <c r="BS180" i="52"/>
  <c r="BS181" i="52"/>
  <c r="CY181" i="52" s="1"/>
  <c r="BS183" i="52"/>
  <c r="CY183" i="52" s="1"/>
  <c r="BS182" i="52"/>
  <c r="CY182" i="52" s="1"/>
  <c r="BS179" i="52"/>
  <c r="BS184" i="52"/>
  <c r="CY184" i="52" s="1"/>
  <c r="BS186" i="52"/>
  <c r="CY186" i="52" s="1"/>
  <c r="BN11" i="52"/>
  <c r="DJ11" i="52" s="1"/>
  <c r="BN9" i="52"/>
  <c r="BN7" i="52"/>
  <c r="CT7" i="52" s="1"/>
  <c r="BN15" i="52"/>
  <c r="BN19" i="52"/>
  <c r="CT19" i="52" s="1"/>
  <c r="BN16" i="52"/>
  <c r="CT16" i="52" s="1"/>
  <c r="BN20" i="52"/>
  <c r="CT20" i="52" s="1"/>
  <c r="BN17" i="52"/>
  <c r="CT17" i="52" s="1"/>
  <c r="BN14" i="52"/>
  <c r="BN18" i="52"/>
  <c r="BN13" i="52"/>
  <c r="DJ13" i="52" s="1"/>
  <c r="BS11" i="52"/>
  <c r="BS9" i="52"/>
  <c r="CY9" i="52" s="1"/>
  <c r="BS7" i="52"/>
  <c r="CY7" i="52" s="1"/>
  <c r="BS16" i="52"/>
  <c r="CY16" i="52" s="1"/>
  <c r="BS20" i="52"/>
  <c r="CY20" i="52" s="1"/>
  <c r="BS13" i="52"/>
  <c r="BS17" i="52"/>
  <c r="CY17" i="52" s="1"/>
  <c r="BS14" i="52"/>
  <c r="BS18" i="52"/>
  <c r="CY18" i="52" s="1"/>
  <c r="BS15" i="52"/>
  <c r="CY15" i="52" s="1"/>
  <c r="BS19" i="52"/>
  <c r="CY19" i="52" s="1"/>
  <c r="BS153" i="52"/>
  <c r="CY153" i="52" s="1"/>
  <c r="BS155" i="52"/>
  <c r="BS151" i="52"/>
  <c r="CY151" i="52" s="1"/>
  <c r="BS161" i="52"/>
  <c r="CY161" i="52" s="1"/>
  <c r="BS158" i="52"/>
  <c r="BS163" i="52"/>
  <c r="CY163" i="52" s="1"/>
  <c r="BS160" i="52"/>
  <c r="CY160" i="52" s="1"/>
  <c r="BS157" i="52"/>
  <c r="BS159" i="52"/>
  <c r="CY159" i="52" s="1"/>
  <c r="BS164" i="52"/>
  <c r="CY164" i="52" s="1"/>
  <c r="BS162" i="52"/>
  <c r="CY162" i="52" s="1"/>
  <c r="AH164" i="52"/>
  <c r="CT18" i="52" l="1"/>
  <c r="DJ18" i="52"/>
  <c r="BN177" i="52"/>
  <c r="DJ177" i="52" s="1"/>
  <c r="BN179" i="52"/>
  <c r="DJ179" i="52" s="1"/>
  <c r="BN185" i="52"/>
  <c r="BN182" i="52"/>
  <c r="BN180" i="52"/>
  <c r="BN184" i="52"/>
  <c r="BN173" i="52"/>
  <c r="CT173" i="52" s="1"/>
  <c r="BN181" i="52"/>
  <c r="BN183" i="52"/>
  <c r="CT183" i="52" s="1"/>
  <c r="BN175" i="52"/>
  <c r="BN186" i="52"/>
  <c r="CT186" i="52" s="1"/>
  <c r="CT9" i="52"/>
  <c r="DJ9" i="52"/>
  <c r="CT15" i="52"/>
  <c r="DJ15" i="52"/>
  <c r="AH167" i="52"/>
  <c r="BN155" i="52"/>
  <c r="DJ155" i="52" s="1"/>
  <c r="BN153" i="52"/>
  <c r="BN151" i="52"/>
  <c r="CT151" i="52" s="1"/>
  <c r="BN162" i="52"/>
  <c r="BN159" i="52"/>
  <c r="BN164" i="52"/>
  <c r="CT164" i="52" s="1"/>
  <c r="BN161" i="52"/>
  <c r="CT161" i="52" s="1"/>
  <c r="BN158" i="52"/>
  <c r="BN160" i="52"/>
  <c r="CT160" i="52" s="1"/>
  <c r="BN157" i="52"/>
  <c r="DJ157" i="52" s="1"/>
  <c r="BN163" i="52"/>
  <c r="CT163" i="52" s="1"/>
  <c r="AH169" i="52"/>
  <c r="CT184" i="52" l="1"/>
  <c r="DJ184" i="52"/>
  <c r="CT185" i="52"/>
  <c r="DJ185" i="52"/>
  <c r="CT162" i="52"/>
  <c r="DJ162" i="52"/>
  <c r="H167" i="53"/>
  <c r="I116" i="53" s="1"/>
  <c r="CT182" i="52"/>
  <c r="DJ182" i="52"/>
  <c r="CT175" i="52"/>
  <c r="DJ175" i="52"/>
  <c r="CT181" i="52"/>
  <c r="DJ181" i="52"/>
  <c r="CT159" i="52"/>
  <c r="DJ159" i="52"/>
  <c r="CT153" i="52"/>
  <c r="DJ153" i="52"/>
  <c r="EP12" i="52"/>
  <c r="FC15" i="52" s="1"/>
  <c r="EP11" i="52"/>
  <c r="FB15" i="52" s="1"/>
  <c r="EP9" i="52"/>
  <c r="EZ15" i="52" s="1"/>
  <c r="EP10" i="52"/>
  <c r="FA15" i="52" s="1"/>
  <c r="EP18" i="52"/>
  <c r="FJ15" i="52" s="1"/>
  <c r="EP13" i="52"/>
  <c r="FD15" i="52" s="1"/>
  <c r="EP184" i="52" l="1"/>
  <c r="FJ181" i="52" s="1"/>
  <c r="I82" i="53"/>
  <c r="M82" i="53" s="1"/>
  <c r="I65" i="53"/>
  <c r="N65" i="53" s="1"/>
  <c r="I14" i="53"/>
  <c r="M14" i="53" s="1"/>
  <c r="I48" i="53"/>
  <c r="M48" i="53" s="1"/>
  <c r="I150" i="53"/>
  <c r="O150" i="53" s="1"/>
  <c r="I31" i="53"/>
  <c r="I99" i="53"/>
  <c r="M99" i="53" s="1"/>
  <c r="I133" i="53"/>
  <c r="N133" i="53" s="1"/>
  <c r="I31" i="57"/>
  <c r="I133" i="57"/>
  <c r="I65" i="57"/>
  <c r="I99" i="57"/>
  <c r="I48" i="57"/>
  <c r="I82" i="57"/>
  <c r="I14" i="57"/>
  <c r="I150" i="57"/>
  <c r="I116" i="57"/>
  <c r="EP178" i="52"/>
  <c r="FC181" i="52" s="1"/>
  <c r="EP179" i="52"/>
  <c r="FD181" i="52" s="1"/>
  <c r="EP176" i="52"/>
  <c r="FA181" i="52" s="1"/>
  <c r="EP175" i="52"/>
  <c r="EZ181" i="52" s="1"/>
  <c r="EP177" i="52"/>
  <c r="FB181" i="52" s="1"/>
  <c r="O116" i="53"/>
  <c r="M116" i="53"/>
  <c r="N116" i="53"/>
  <c r="O48" i="53" l="1"/>
  <c r="V48" i="53" s="1"/>
  <c r="O65" i="53"/>
  <c r="V65" i="53" s="1"/>
  <c r="N99" i="53"/>
  <c r="N201" i="53" s="1"/>
  <c r="N206" i="53" s="1"/>
  <c r="N48" i="53"/>
  <c r="U48" i="53" s="1"/>
  <c r="M65" i="53"/>
  <c r="M70" i="53" s="1"/>
  <c r="M71" i="53" s="1"/>
  <c r="O14" i="53"/>
  <c r="V14" i="53" s="1"/>
  <c r="N82" i="53"/>
  <c r="N184" i="53" s="1"/>
  <c r="N189" i="53" s="1"/>
  <c r="O133" i="53"/>
  <c r="V133" i="53" s="1"/>
  <c r="O99" i="53"/>
  <c r="V99" i="53" s="1"/>
  <c r="N14" i="53"/>
  <c r="U14" i="53" s="1"/>
  <c r="O82" i="53"/>
  <c r="O184" i="53" s="1"/>
  <c r="O189" i="53" s="1"/>
  <c r="M133" i="53"/>
  <c r="M138" i="53" s="1"/>
  <c r="M139" i="53" s="1"/>
  <c r="M150" i="53"/>
  <c r="T150" i="53" s="1"/>
  <c r="N150" i="53"/>
  <c r="U150" i="53" s="1"/>
  <c r="I167" i="53"/>
  <c r="N31" i="53"/>
  <c r="N36" i="53" s="1"/>
  <c r="N37" i="53" s="1"/>
  <c r="M31" i="53"/>
  <c r="T31" i="53" s="1"/>
  <c r="O31" i="53"/>
  <c r="V31" i="53" s="1"/>
  <c r="I167" i="57"/>
  <c r="M14" i="57"/>
  <c r="O14" i="57"/>
  <c r="N14" i="57"/>
  <c r="M82" i="57"/>
  <c r="O82" i="57"/>
  <c r="N82" i="57"/>
  <c r="M48" i="57"/>
  <c r="O48" i="57"/>
  <c r="N48" i="57"/>
  <c r="O99" i="57"/>
  <c r="N99" i="57"/>
  <c r="M99" i="57"/>
  <c r="M150" i="57"/>
  <c r="N150" i="57"/>
  <c r="O150" i="57"/>
  <c r="N65" i="57"/>
  <c r="M65" i="57"/>
  <c r="O65" i="57"/>
  <c r="O133" i="57"/>
  <c r="M133" i="57"/>
  <c r="N133" i="57"/>
  <c r="M116" i="57"/>
  <c r="N116" i="57"/>
  <c r="O116" i="57"/>
  <c r="M31" i="57"/>
  <c r="O31" i="57"/>
  <c r="N31" i="57"/>
  <c r="U82" i="53"/>
  <c r="U133" i="53"/>
  <c r="N138" i="53"/>
  <c r="N139" i="53" s="1"/>
  <c r="T48" i="53"/>
  <c r="M53" i="53"/>
  <c r="M54" i="53" s="1"/>
  <c r="V116" i="53"/>
  <c r="O121" i="53"/>
  <c r="O122" i="53" s="1"/>
  <c r="N70" i="53"/>
  <c r="N71" i="53" s="1"/>
  <c r="U65" i="53"/>
  <c r="M184" i="53"/>
  <c r="M87" i="53"/>
  <c r="M88" i="53" s="1"/>
  <c r="T82" i="53"/>
  <c r="T14" i="53"/>
  <c r="M19" i="53"/>
  <c r="M20" i="53" s="1"/>
  <c r="T99" i="53"/>
  <c r="M104" i="53"/>
  <c r="M105" i="53" s="1"/>
  <c r="U116" i="53"/>
  <c r="N121" i="53"/>
  <c r="N122" i="53" s="1"/>
  <c r="V150" i="53"/>
  <c r="O155" i="53"/>
  <c r="O156" i="53" s="1"/>
  <c r="T116" i="53"/>
  <c r="P116" i="53"/>
  <c r="P121" i="53" s="1"/>
  <c r="M121" i="53"/>
  <c r="M122" i="53" s="1"/>
  <c r="O70" i="53" l="1"/>
  <c r="O71" i="53" s="1"/>
  <c r="N104" i="53"/>
  <c r="N105" i="53" s="1"/>
  <c r="P48" i="53"/>
  <c r="P53" i="53" s="1"/>
  <c r="N53" i="53"/>
  <c r="N54" i="53" s="1"/>
  <c r="O104" i="53"/>
  <c r="O105" i="53" s="1"/>
  <c r="O53" i="53"/>
  <c r="O54" i="53" s="1"/>
  <c r="M36" i="53"/>
  <c r="M37" i="53" s="1"/>
  <c r="P82" i="53"/>
  <c r="P87" i="53" s="1"/>
  <c r="O19" i="53"/>
  <c r="O20" i="53" s="1"/>
  <c r="P99" i="53"/>
  <c r="P104" i="53" s="1"/>
  <c r="V82" i="53"/>
  <c r="V167" i="53" s="1"/>
  <c r="U99" i="53"/>
  <c r="U201" i="53" s="1"/>
  <c r="T65" i="53"/>
  <c r="T71" i="53" s="1"/>
  <c r="T58" i="53" s="1"/>
  <c r="P65" i="53"/>
  <c r="P70" i="53" s="1"/>
  <c r="O87" i="53"/>
  <c r="O88" i="53" s="1"/>
  <c r="N87" i="53"/>
  <c r="N88" i="53" s="1"/>
  <c r="M201" i="53"/>
  <c r="M206" i="53" s="1"/>
  <c r="T133" i="53"/>
  <c r="W133" i="53" s="1"/>
  <c r="M167" i="53"/>
  <c r="M172" i="53" s="1"/>
  <c r="O201" i="53"/>
  <c r="O206" i="53" s="1"/>
  <c r="O138" i="53"/>
  <c r="O139" i="53" s="1"/>
  <c r="N167" i="53"/>
  <c r="N172" i="53" s="1"/>
  <c r="P133" i="53"/>
  <c r="P138" i="53" s="1"/>
  <c r="U31" i="53"/>
  <c r="U37" i="53" s="1"/>
  <c r="U29" i="53" s="1"/>
  <c r="P14" i="53"/>
  <c r="P19" i="53" s="1"/>
  <c r="N155" i="53"/>
  <c r="N156" i="53" s="1"/>
  <c r="O167" i="53"/>
  <c r="O172" i="53" s="1"/>
  <c r="O36" i="53"/>
  <c r="O37" i="53" s="1"/>
  <c r="N19" i="53"/>
  <c r="N20" i="53" s="1"/>
  <c r="P31" i="53"/>
  <c r="P36" i="53" s="1"/>
  <c r="P150" i="53"/>
  <c r="P155" i="53" s="1"/>
  <c r="M155" i="53"/>
  <c r="M156" i="53" s="1"/>
  <c r="V150" i="57"/>
  <c r="O155" i="57"/>
  <c r="O156" i="57" s="1"/>
  <c r="T116" i="57"/>
  <c r="P116" i="57"/>
  <c r="P121" i="57" s="1"/>
  <c r="M121" i="57"/>
  <c r="M122" i="57" s="1"/>
  <c r="U150" i="57"/>
  <c r="N155" i="57"/>
  <c r="N156" i="57" s="1"/>
  <c r="N184" i="57"/>
  <c r="N189" i="57" s="1"/>
  <c r="U82" i="57"/>
  <c r="N87" i="57"/>
  <c r="N88" i="57" s="1"/>
  <c r="U133" i="57"/>
  <c r="N138" i="57"/>
  <c r="N139" i="57" s="1"/>
  <c r="T150" i="57"/>
  <c r="P150" i="57"/>
  <c r="P155" i="57" s="1"/>
  <c r="M155" i="57"/>
  <c r="M156" i="57" s="1"/>
  <c r="O184" i="57"/>
  <c r="O189" i="57" s="1"/>
  <c r="V82" i="57"/>
  <c r="O87" i="57"/>
  <c r="O88" i="57" s="1"/>
  <c r="T133" i="57"/>
  <c r="P133" i="57"/>
  <c r="P138" i="57" s="1"/>
  <c r="M138" i="57"/>
  <c r="M139" i="57" s="1"/>
  <c r="M201" i="57"/>
  <c r="P99" i="57"/>
  <c r="P104" i="57" s="1"/>
  <c r="T99" i="57"/>
  <c r="M104" i="57"/>
  <c r="M105" i="57" s="1"/>
  <c r="M184" i="57"/>
  <c r="P82" i="57"/>
  <c r="P87" i="57" s="1"/>
  <c r="T82" i="57"/>
  <c r="M87" i="57"/>
  <c r="M88" i="57" s="1"/>
  <c r="U116" i="57"/>
  <c r="N121" i="57"/>
  <c r="N122" i="57" s="1"/>
  <c r="U31" i="57"/>
  <c r="N36" i="57"/>
  <c r="N37" i="57" s="1"/>
  <c r="V133" i="57"/>
  <c r="O138" i="57"/>
  <c r="O139" i="57" s="1"/>
  <c r="N201" i="57"/>
  <c r="N206" i="57" s="1"/>
  <c r="U99" i="57"/>
  <c r="N104" i="57"/>
  <c r="N105" i="57" s="1"/>
  <c r="N167" i="57"/>
  <c r="N172" i="57" s="1"/>
  <c r="U14" i="57"/>
  <c r="N19" i="57"/>
  <c r="N20" i="57" s="1"/>
  <c r="V31" i="57"/>
  <c r="O36" i="57"/>
  <c r="O37" i="57" s="1"/>
  <c r="V65" i="57"/>
  <c r="O70" i="57"/>
  <c r="O71" i="57" s="1"/>
  <c r="O201" i="57"/>
  <c r="O206" i="57" s="1"/>
  <c r="V99" i="57"/>
  <c r="O104" i="57"/>
  <c r="O105" i="57" s="1"/>
  <c r="O167" i="57"/>
  <c r="O172" i="57" s="1"/>
  <c r="V14" i="57"/>
  <c r="O19" i="57"/>
  <c r="O20" i="57" s="1"/>
  <c r="P48" i="57"/>
  <c r="P53" i="57" s="1"/>
  <c r="T48" i="57"/>
  <c r="M53" i="57"/>
  <c r="M54" i="57" s="1"/>
  <c r="T31" i="57"/>
  <c r="P31" i="57"/>
  <c r="P36" i="57" s="1"/>
  <c r="M36" i="57"/>
  <c r="T65" i="57"/>
  <c r="P65" i="57"/>
  <c r="P70" i="57" s="1"/>
  <c r="M70" i="57"/>
  <c r="M71" i="57" s="1"/>
  <c r="U48" i="57"/>
  <c r="N53" i="57"/>
  <c r="N54" i="57" s="1"/>
  <c r="M167" i="57"/>
  <c r="T14" i="57"/>
  <c r="P14" i="57"/>
  <c r="P19" i="57" s="1"/>
  <c r="M19" i="57"/>
  <c r="M20" i="57" s="1"/>
  <c r="V116" i="57"/>
  <c r="O121" i="57"/>
  <c r="O122" i="57" s="1"/>
  <c r="U65" i="57"/>
  <c r="N70" i="57"/>
  <c r="N71" i="57" s="1"/>
  <c r="V48" i="57"/>
  <c r="O53" i="57"/>
  <c r="O54" i="57" s="1"/>
  <c r="AU150" i="53"/>
  <c r="BA150" i="53" s="1"/>
  <c r="U156" i="53"/>
  <c r="U145" i="53" s="1"/>
  <c r="AU145" i="53" s="1"/>
  <c r="V71" i="53"/>
  <c r="V57" i="53" s="1"/>
  <c r="AV65" i="53"/>
  <c r="BB65" i="53" s="1"/>
  <c r="V201" i="53"/>
  <c r="V105" i="53"/>
  <c r="V103" i="53" s="1"/>
  <c r="AV99" i="53"/>
  <c r="BB99" i="53" s="1"/>
  <c r="M189" i="53"/>
  <c r="P184" i="53"/>
  <c r="P189" i="53" s="1"/>
  <c r="AV48" i="53"/>
  <c r="BB48" i="53" s="1"/>
  <c r="V54" i="53"/>
  <c r="T54" i="53"/>
  <c r="T45" i="53" s="1"/>
  <c r="W48" i="53"/>
  <c r="AT48" i="53"/>
  <c r="AZ48" i="53" s="1"/>
  <c r="AV14" i="53"/>
  <c r="BB14" i="53" s="1"/>
  <c r="V20" i="53"/>
  <c r="V37" i="53"/>
  <c r="AV31" i="53"/>
  <c r="BB31" i="53" s="1"/>
  <c r="U71" i="53"/>
  <c r="U59" i="53" s="1"/>
  <c r="AU65" i="53"/>
  <c r="BA65" i="53" s="1"/>
  <c r="AV133" i="53"/>
  <c r="BB133" i="53" s="1"/>
  <c r="V139" i="53"/>
  <c r="AU14" i="53"/>
  <c r="BA14" i="53" s="1"/>
  <c r="U20" i="53"/>
  <c r="T156" i="53"/>
  <c r="AT150" i="53"/>
  <c r="AZ150" i="53" s="1"/>
  <c r="W150" i="53"/>
  <c r="U139" i="53"/>
  <c r="U137" i="53" s="1"/>
  <c r="AU133" i="53"/>
  <c r="BA133" i="53" s="1"/>
  <c r="T122" i="53"/>
  <c r="T114" i="53" s="1"/>
  <c r="AT116" i="53"/>
  <c r="AZ116" i="53" s="1"/>
  <c r="W116" i="53"/>
  <c r="T37" i="53"/>
  <c r="AT31" i="53"/>
  <c r="AZ31" i="53" s="1"/>
  <c r="T20" i="53"/>
  <c r="T12" i="53" s="1"/>
  <c r="AT14" i="53"/>
  <c r="AZ14" i="53" s="1"/>
  <c r="W14" i="53"/>
  <c r="V122" i="53"/>
  <c r="V111" i="53" s="1"/>
  <c r="AV111" i="53" s="1"/>
  <c r="BB111" i="53" s="1"/>
  <c r="AV116" i="53"/>
  <c r="BB116" i="53" s="1"/>
  <c r="AT99" i="53"/>
  <c r="AZ99" i="53" s="1"/>
  <c r="T105" i="53"/>
  <c r="T91" i="53" s="1"/>
  <c r="T88" i="53"/>
  <c r="T86" i="53" s="1"/>
  <c r="T184" i="53"/>
  <c r="AT82" i="53"/>
  <c r="AZ82" i="53" s="1"/>
  <c r="AV150" i="53"/>
  <c r="BB150" i="53" s="1"/>
  <c r="V156" i="53"/>
  <c r="V148" i="53" s="1"/>
  <c r="AU116" i="53"/>
  <c r="BA116" i="53" s="1"/>
  <c r="U122" i="53"/>
  <c r="U111" i="53" s="1"/>
  <c r="AU111" i="53" s="1"/>
  <c r="BA111" i="53" s="1"/>
  <c r="AU48" i="53"/>
  <c r="BA48" i="53" s="1"/>
  <c r="U54" i="53"/>
  <c r="U184" i="53"/>
  <c r="U88" i="53"/>
  <c r="AU82" i="53"/>
  <c r="BA82" i="53" s="1"/>
  <c r="W99" i="53" l="1"/>
  <c r="AW99" i="53" s="1"/>
  <c r="BC99" i="53" s="1"/>
  <c r="V130" i="53"/>
  <c r="AV130" i="53" s="1"/>
  <c r="BB130" i="53" s="1"/>
  <c r="W65" i="53"/>
  <c r="AW65" i="53" s="1"/>
  <c r="BC65" i="53" s="1"/>
  <c r="AT65" i="53"/>
  <c r="AZ65" i="53" s="1"/>
  <c r="U13" i="53"/>
  <c r="AU13" i="53" s="1"/>
  <c r="BA13" i="53" s="1"/>
  <c r="AU99" i="53"/>
  <c r="BA99" i="53" s="1"/>
  <c r="U51" i="53"/>
  <c r="AU51" i="53" s="1"/>
  <c r="BA51" i="53" s="1"/>
  <c r="U105" i="53"/>
  <c r="U102" i="53" s="1"/>
  <c r="AU102" i="53" s="1"/>
  <c r="BA102" i="53" s="1"/>
  <c r="V45" i="53"/>
  <c r="AV45" i="53" s="1"/>
  <c r="BB45" i="53" s="1"/>
  <c r="V41" i="53"/>
  <c r="AV41" i="53" s="1"/>
  <c r="AT133" i="53"/>
  <c r="AZ133" i="53" s="1"/>
  <c r="V6" i="53"/>
  <c r="AV6" i="53" s="1"/>
  <c r="BB6" i="53" s="1"/>
  <c r="AV82" i="53"/>
  <c r="BB82" i="53" s="1"/>
  <c r="V184" i="53"/>
  <c r="W184" i="53" s="1"/>
  <c r="W82" i="53"/>
  <c r="AW82" i="53" s="1"/>
  <c r="BC82" i="53" s="1"/>
  <c r="V88" i="53"/>
  <c r="V74" i="53" s="1"/>
  <c r="AV74" i="53" s="1"/>
  <c r="BB74" i="53" s="1"/>
  <c r="T167" i="53"/>
  <c r="AT167" i="53" s="1"/>
  <c r="AZ167" i="53" s="1"/>
  <c r="T201" i="53"/>
  <c r="W201" i="53" s="1"/>
  <c r="T139" i="53"/>
  <c r="T126" i="53" s="1"/>
  <c r="AT126" i="53" s="1"/>
  <c r="V35" i="53"/>
  <c r="AV35" i="53" s="1"/>
  <c r="BB35" i="53" s="1"/>
  <c r="P201" i="53"/>
  <c r="P206" i="53" s="1"/>
  <c r="U80" i="53"/>
  <c r="AU80" i="53" s="1"/>
  <c r="BA80" i="53" s="1"/>
  <c r="U167" i="53"/>
  <c r="AU167" i="53" s="1"/>
  <c r="BA167" i="53" s="1"/>
  <c r="V62" i="53"/>
  <c r="AV62" i="53" s="1"/>
  <c r="BB62" i="53" s="1"/>
  <c r="W31" i="53"/>
  <c r="AW31" i="53" s="1"/>
  <c r="BC31" i="53" s="1"/>
  <c r="AU31" i="53"/>
  <c r="BA31" i="53" s="1"/>
  <c r="P167" i="53"/>
  <c r="P172" i="53" s="1"/>
  <c r="T142" i="53"/>
  <c r="AT142" i="53" s="1"/>
  <c r="V54" i="57"/>
  <c r="V43" i="57" s="1"/>
  <c r="P167" i="57"/>
  <c r="P172" i="57" s="1"/>
  <c r="M172" i="57"/>
  <c r="W31" i="57"/>
  <c r="AI31" i="57" s="1"/>
  <c r="AO31" i="57" s="1"/>
  <c r="T37" i="57"/>
  <c r="V201" i="57"/>
  <c r="V105" i="57"/>
  <c r="V95" i="57" s="1"/>
  <c r="U122" i="57"/>
  <c r="U109" i="57" s="1"/>
  <c r="P201" i="57"/>
  <c r="P206" i="57" s="1"/>
  <c r="M206" i="57"/>
  <c r="U156" i="57"/>
  <c r="U149" i="57" s="1"/>
  <c r="U71" i="57"/>
  <c r="U68" i="57" s="1"/>
  <c r="U54" i="57"/>
  <c r="U47" i="57" s="1"/>
  <c r="W48" i="57"/>
  <c r="AI48" i="57" s="1"/>
  <c r="AO48" i="57" s="1"/>
  <c r="T54" i="57"/>
  <c r="T40" i="57" s="1"/>
  <c r="U201" i="57"/>
  <c r="U105" i="57"/>
  <c r="U96" i="57" s="1"/>
  <c r="W150" i="57"/>
  <c r="AI150" i="57" s="1"/>
  <c r="AO150" i="57" s="1"/>
  <c r="T156" i="57"/>
  <c r="T148" i="57" s="1"/>
  <c r="T167" i="57"/>
  <c r="W14" i="57"/>
  <c r="AI14" i="57" s="1"/>
  <c r="AO14" i="57" s="1"/>
  <c r="T20" i="57"/>
  <c r="T9" i="57" s="1"/>
  <c r="U37" i="57"/>
  <c r="U35" i="57" s="1"/>
  <c r="V71" i="57"/>
  <c r="V69" i="57" s="1"/>
  <c r="T184" i="57"/>
  <c r="W82" i="57"/>
  <c r="AI82" i="57" s="1"/>
  <c r="AO82" i="57" s="1"/>
  <c r="T88" i="57"/>
  <c r="T77" i="57" s="1"/>
  <c r="U167" i="57"/>
  <c r="U20" i="57"/>
  <c r="U7" i="57" s="1"/>
  <c r="V122" i="57"/>
  <c r="V120" i="57" s="1"/>
  <c r="W133" i="57"/>
  <c r="AI133" i="57" s="1"/>
  <c r="AO133" i="57" s="1"/>
  <c r="T139" i="57"/>
  <c r="T131" i="57" s="1"/>
  <c r="U139" i="57"/>
  <c r="U127" i="57" s="1"/>
  <c r="W116" i="57"/>
  <c r="AI116" i="57" s="1"/>
  <c r="AO116" i="57" s="1"/>
  <c r="T122" i="57"/>
  <c r="T111" i="57" s="1"/>
  <c r="T201" i="57"/>
  <c r="W99" i="57"/>
  <c r="AI99" i="57" s="1"/>
  <c r="AO99" i="57" s="1"/>
  <c r="T105" i="57"/>
  <c r="T103" i="57" s="1"/>
  <c r="W65" i="57"/>
  <c r="AI65" i="57" s="1"/>
  <c r="AO65" i="57" s="1"/>
  <c r="T71" i="57"/>
  <c r="T57" i="57" s="1"/>
  <c r="V167" i="57"/>
  <c r="V20" i="57"/>
  <c r="V18" i="57" s="1"/>
  <c r="V37" i="57"/>
  <c r="V35" i="57" s="1"/>
  <c r="V139" i="57"/>
  <c r="V131" i="57" s="1"/>
  <c r="P184" i="57"/>
  <c r="P189" i="57" s="1"/>
  <c r="M189" i="57"/>
  <c r="M37" i="57"/>
  <c r="V184" i="57"/>
  <c r="V88" i="57"/>
  <c r="V77" i="57" s="1"/>
  <c r="U184" i="57"/>
  <c r="U88" i="57"/>
  <c r="U85" i="57" s="1"/>
  <c r="V156" i="57"/>
  <c r="V144" i="57" s="1"/>
  <c r="V64" i="53"/>
  <c r="AV64" i="53" s="1"/>
  <c r="BB64" i="53" s="1"/>
  <c r="V63" i="53"/>
  <c r="AV63" i="53" s="1"/>
  <c r="BB63" i="53" s="1"/>
  <c r="V60" i="53"/>
  <c r="AV60" i="53" s="1"/>
  <c r="BB60" i="53" s="1"/>
  <c r="V61" i="53"/>
  <c r="AV61" i="53" s="1"/>
  <c r="BB61" i="53" s="1"/>
  <c r="V58" i="53"/>
  <c r="AV58" i="53" s="1"/>
  <c r="V68" i="53"/>
  <c r="AV68" i="53" s="1"/>
  <c r="V69" i="53"/>
  <c r="AV69" i="53" s="1"/>
  <c r="BB69" i="53" s="1"/>
  <c r="V59" i="53"/>
  <c r="AV59" i="53" s="1"/>
  <c r="BB59" i="53" s="1"/>
  <c r="V46" i="53"/>
  <c r="AV46" i="53" s="1"/>
  <c r="BB46" i="53" s="1"/>
  <c r="V43" i="53"/>
  <c r="AV43" i="53" s="1"/>
  <c r="BB43" i="53" s="1"/>
  <c r="V51" i="53"/>
  <c r="AV51" i="53" s="1"/>
  <c r="BB51" i="53" s="1"/>
  <c r="T57" i="53"/>
  <c r="AT57" i="53" s="1"/>
  <c r="T59" i="53"/>
  <c r="AT59" i="53" s="1"/>
  <c r="AZ59" i="53" s="1"/>
  <c r="T61" i="53"/>
  <c r="AT61" i="53" s="1"/>
  <c r="T68" i="53"/>
  <c r="AT68" i="53" s="1"/>
  <c r="V92" i="53"/>
  <c r="AV92" i="53" s="1"/>
  <c r="BB92" i="53" s="1"/>
  <c r="T64" i="53"/>
  <c r="AT64" i="53" s="1"/>
  <c r="AZ64" i="53" s="1"/>
  <c r="T60" i="53"/>
  <c r="AT60" i="53" s="1"/>
  <c r="T62" i="53"/>
  <c r="AT62" i="53" s="1"/>
  <c r="T98" i="53"/>
  <c r="T154" i="53"/>
  <c r="AT154" i="53" s="1"/>
  <c r="T63" i="53"/>
  <c r="AT63" i="53" s="1"/>
  <c r="AZ63" i="53" s="1"/>
  <c r="T97" i="53"/>
  <c r="AT97" i="53" s="1"/>
  <c r="AZ97" i="53" s="1"/>
  <c r="T69" i="53"/>
  <c r="AT69" i="53" s="1"/>
  <c r="U26" i="53"/>
  <c r="AU26" i="53" s="1"/>
  <c r="U24" i="53"/>
  <c r="AU24" i="53" s="1"/>
  <c r="BA24" i="53" s="1"/>
  <c r="T149" i="53"/>
  <c r="AT149" i="53" s="1"/>
  <c r="AZ149" i="53" s="1"/>
  <c r="U34" i="53"/>
  <c r="AU34" i="53" s="1"/>
  <c r="U28" i="53"/>
  <c r="AU28" i="53" s="1"/>
  <c r="T143" i="53"/>
  <c r="AT143" i="53" s="1"/>
  <c r="T145" i="53"/>
  <c r="AT145" i="53" s="1"/>
  <c r="T96" i="53"/>
  <c r="AT96" i="53" s="1"/>
  <c r="V96" i="53"/>
  <c r="AV96" i="53" s="1"/>
  <c r="BB96" i="53" s="1"/>
  <c r="U62" i="53"/>
  <c r="AU62" i="53" s="1"/>
  <c r="BA62" i="53" s="1"/>
  <c r="V95" i="53"/>
  <c r="AV95" i="53" s="1"/>
  <c r="BB95" i="53" s="1"/>
  <c r="V91" i="53"/>
  <c r="AV91" i="53" s="1"/>
  <c r="BB91" i="53" s="1"/>
  <c r="V97" i="53"/>
  <c r="AV97" i="53" s="1"/>
  <c r="BB97" i="53" s="1"/>
  <c r="T131" i="53"/>
  <c r="U126" i="53"/>
  <c r="AU126" i="53" s="1"/>
  <c r="U69" i="53"/>
  <c r="AU69" i="53" s="1"/>
  <c r="T95" i="53"/>
  <c r="AT95" i="53" s="1"/>
  <c r="AZ95" i="53" s="1"/>
  <c r="U58" i="53"/>
  <c r="AU58" i="53" s="1"/>
  <c r="U68" i="53"/>
  <c r="AU68" i="53" s="1"/>
  <c r="T93" i="53"/>
  <c r="AT93" i="53" s="1"/>
  <c r="AZ93" i="53" s="1"/>
  <c r="T146" i="53"/>
  <c r="AT146" i="53" s="1"/>
  <c r="U64" i="53"/>
  <c r="AU64" i="53" s="1"/>
  <c r="BA64" i="53" s="1"/>
  <c r="U57" i="53"/>
  <c r="AU57" i="53" s="1"/>
  <c r="U63" i="53"/>
  <c r="V11" i="53"/>
  <c r="AV11" i="53" s="1"/>
  <c r="BB11" i="53" s="1"/>
  <c r="T153" i="53"/>
  <c r="AT153" i="53" s="1"/>
  <c r="AZ153" i="53" s="1"/>
  <c r="U61" i="53"/>
  <c r="AU61" i="53" s="1"/>
  <c r="BA61" i="53" s="1"/>
  <c r="T148" i="53"/>
  <c r="AT148" i="53" s="1"/>
  <c r="AZ148" i="53" s="1"/>
  <c r="U60" i="53"/>
  <c r="AU60" i="53" s="1"/>
  <c r="T40" i="53"/>
  <c r="AT40" i="53" s="1"/>
  <c r="V10" i="53"/>
  <c r="AV10" i="53" s="1"/>
  <c r="BB10" i="53" s="1"/>
  <c r="T42" i="53"/>
  <c r="AT42" i="53" s="1"/>
  <c r="AZ42" i="53" s="1"/>
  <c r="V18" i="53"/>
  <c r="AV18" i="53" s="1"/>
  <c r="BB18" i="53" s="1"/>
  <c r="T51" i="53"/>
  <c r="AT51" i="53" s="1"/>
  <c r="V17" i="53"/>
  <c r="T47" i="53"/>
  <c r="AT47" i="53" s="1"/>
  <c r="AZ47" i="53" s="1"/>
  <c r="V8" i="53"/>
  <c r="AV8" i="53" s="1"/>
  <c r="BB8" i="53" s="1"/>
  <c r="T52" i="53"/>
  <c r="AT52" i="53" s="1"/>
  <c r="AZ52" i="53" s="1"/>
  <c r="V9" i="53"/>
  <c r="AV9" i="53" s="1"/>
  <c r="BB9" i="53" s="1"/>
  <c r="V7" i="53"/>
  <c r="AV7" i="53" s="1"/>
  <c r="BB7" i="53" s="1"/>
  <c r="V24" i="53"/>
  <c r="AV24" i="53" s="1"/>
  <c r="BB24" i="53" s="1"/>
  <c r="V13" i="53"/>
  <c r="AV13" i="53" s="1"/>
  <c r="BB13" i="53" s="1"/>
  <c r="V12" i="53"/>
  <c r="AV12" i="53" s="1"/>
  <c r="BB12" i="53" s="1"/>
  <c r="V115" i="53"/>
  <c r="AV115" i="53" s="1"/>
  <c r="BB115" i="53" s="1"/>
  <c r="V26" i="53"/>
  <c r="AV26" i="53" s="1"/>
  <c r="BB26" i="53" s="1"/>
  <c r="T74" i="53"/>
  <c r="AT74" i="53" s="1"/>
  <c r="U75" i="53"/>
  <c r="AU75" i="53" s="1"/>
  <c r="BA75" i="53" s="1"/>
  <c r="V110" i="53"/>
  <c r="AV110" i="53" s="1"/>
  <c r="BB110" i="53" s="1"/>
  <c r="T79" i="53"/>
  <c r="AT79" i="53" s="1"/>
  <c r="U78" i="53"/>
  <c r="AU78" i="53" s="1"/>
  <c r="BA78" i="53" s="1"/>
  <c r="V120" i="53"/>
  <c r="AV120" i="53" s="1"/>
  <c r="T10" i="53"/>
  <c r="AT10" i="53" s="1"/>
  <c r="AZ10" i="53" s="1"/>
  <c r="V28" i="53"/>
  <c r="AV28" i="53" s="1"/>
  <c r="BB28" i="53" s="1"/>
  <c r="T76" i="53"/>
  <c r="AT76" i="53" s="1"/>
  <c r="AZ76" i="53" s="1"/>
  <c r="U86" i="53"/>
  <c r="AU86" i="53" s="1"/>
  <c r="BA86" i="53" s="1"/>
  <c r="U115" i="53"/>
  <c r="AU115" i="53" s="1"/>
  <c r="BA115" i="53" s="1"/>
  <c r="V112" i="53"/>
  <c r="U130" i="53"/>
  <c r="AU130" i="53" s="1"/>
  <c r="BA130" i="53" s="1"/>
  <c r="T17" i="53"/>
  <c r="AT17" i="53" s="1"/>
  <c r="AZ17" i="53" s="1"/>
  <c r="V25" i="53"/>
  <c r="AV25" i="53" s="1"/>
  <c r="BB25" i="53" s="1"/>
  <c r="U147" i="53"/>
  <c r="AU147" i="53" s="1"/>
  <c r="U76" i="53"/>
  <c r="AU76" i="53" s="1"/>
  <c r="BA76" i="53" s="1"/>
  <c r="U119" i="53"/>
  <c r="AU119" i="53" s="1"/>
  <c r="BA119" i="53" s="1"/>
  <c r="V108" i="53"/>
  <c r="AV108" i="53" s="1"/>
  <c r="BB108" i="53" s="1"/>
  <c r="U128" i="53"/>
  <c r="AU128" i="53" s="1"/>
  <c r="BA128" i="53" s="1"/>
  <c r="T7" i="53"/>
  <c r="AT7" i="53" s="1"/>
  <c r="V30" i="53"/>
  <c r="AV30" i="53" s="1"/>
  <c r="BB30" i="53" s="1"/>
  <c r="U142" i="53"/>
  <c r="AU142" i="53" s="1"/>
  <c r="BA142" i="53" s="1"/>
  <c r="U77" i="53"/>
  <c r="AU77" i="53" s="1"/>
  <c r="V113" i="53"/>
  <c r="AV113" i="53" s="1"/>
  <c r="BB113" i="53" s="1"/>
  <c r="T8" i="53"/>
  <c r="AT8" i="53" s="1"/>
  <c r="AZ8" i="53" s="1"/>
  <c r="U144" i="53"/>
  <c r="AU144" i="53" s="1"/>
  <c r="BA144" i="53" s="1"/>
  <c r="U129" i="53"/>
  <c r="AU129" i="53" s="1"/>
  <c r="BA129" i="53" s="1"/>
  <c r="T18" i="53"/>
  <c r="AT18" i="53" s="1"/>
  <c r="U154" i="53"/>
  <c r="AU154" i="53" s="1"/>
  <c r="BA154" i="53" s="1"/>
  <c r="V109" i="53"/>
  <c r="AV109" i="53" s="1"/>
  <c r="U136" i="53"/>
  <c r="AU136" i="53" s="1"/>
  <c r="BA136" i="53" s="1"/>
  <c r="T75" i="53"/>
  <c r="AT75" i="53" s="1"/>
  <c r="U149" i="53"/>
  <c r="AU149" i="53" s="1"/>
  <c r="AT45" i="53"/>
  <c r="U42" i="53"/>
  <c r="AT114" i="53"/>
  <c r="AZ114" i="53" s="1"/>
  <c r="AU29" i="53"/>
  <c r="BA29" i="53" s="1"/>
  <c r="T109" i="53"/>
  <c r="U18" i="53"/>
  <c r="V129" i="53"/>
  <c r="V40" i="53"/>
  <c r="T103" i="53"/>
  <c r="U85" i="53"/>
  <c r="T41" i="53"/>
  <c r="T44" i="53"/>
  <c r="U47" i="53"/>
  <c r="U43" i="53"/>
  <c r="AU43" i="53" s="1"/>
  <c r="BA43" i="53" s="1"/>
  <c r="U112" i="53"/>
  <c r="AU112" i="53" s="1"/>
  <c r="BA112" i="53" s="1"/>
  <c r="V146" i="53"/>
  <c r="U25" i="53"/>
  <c r="T144" i="53"/>
  <c r="V119" i="53"/>
  <c r="T120" i="53"/>
  <c r="U127" i="53"/>
  <c r="T9" i="53"/>
  <c r="V102" i="53"/>
  <c r="U9" i="53"/>
  <c r="V131" i="53"/>
  <c r="AV57" i="53"/>
  <c r="V23" i="53"/>
  <c r="T78" i="53"/>
  <c r="U153" i="53"/>
  <c r="AV148" i="53"/>
  <c r="BB148" i="53" s="1"/>
  <c r="AW150" i="53"/>
  <c r="BC150" i="53" s="1"/>
  <c r="U17" i="53"/>
  <c r="AW133" i="53"/>
  <c r="BC133" i="53" s="1"/>
  <c r="U114" i="53"/>
  <c r="V153" i="53"/>
  <c r="T108" i="53"/>
  <c r="V52" i="53"/>
  <c r="T92" i="53"/>
  <c r="U81" i="53"/>
  <c r="T43" i="53"/>
  <c r="U46" i="53"/>
  <c r="U120" i="53"/>
  <c r="U110" i="53"/>
  <c r="V154" i="53"/>
  <c r="AV154" i="53" s="1"/>
  <c r="BB154" i="53" s="1"/>
  <c r="U30" i="53"/>
  <c r="T110" i="53"/>
  <c r="U125" i="53"/>
  <c r="T11" i="53"/>
  <c r="V98" i="53"/>
  <c r="U10" i="53"/>
  <c r="V137" i="53"/>
  <c r="AV137" i="53" s="1"/>
  <c r="V29" i="53"/>
  <c r="T85" i="53"/>
  <c r="U143" i="53"/>
  <c r="AU143" i="53" s="1"/>
  <c r="BA143" i="53" s="1"/>
  <c r="U44" i="53"/>
  <c r="AT91" i="53"/>
  <c r="V136" i="53"/>
  <c r="V42" i="53"/>
  <c r="T94" i="53"/>
  <c r="U79" i="53"/>
  <c r="T46" i="53"/>
  <c r="U40" i="53"/>
  <c r="U108" i="53"/>
  <c r="V147" i="53"/>
  <c r="AV147" i="53" s="1"/>
  <c r="V143" i="53"/>
  <c r="AV143" i="53" s="1"/>
  <c r="BB143" i="53" s="1"/>
  <c r="U23" i="53"/>
  <c r="AW14" i="53"/>
  <c r="BC14" i="53" s="1"/>
  <c r="AU137" i="53"/>
  <c r="T115" i="53"/>
  <c r="T111" i="53"/>
  <c r="U131" i="53"/>
  <c r="T13" i="53"/>
  <c r="V94" i="53"/>
  <c r="U7" i="53"/>
  <c r="U11" i="53"/>
  <c r="AT58" i="53"/>
  <c r="V132" i="53"/>
  <c r="V128" i="53"/>
  <c r="AV128" i="53" s="1"/>
  <c r="BB128" i="53" s="1"/>
  <c r="V27" i="53"/>
  <c r="T77" i="53"/>
  <c r="U146" i="53"/>
  <c r="V142" i="53"/>
  <c r="U45" i="53"/>
  <c r="AU45" i="53" s="1"/>
  <c r="U109" i="53"/>
  <c r="AU109" i="53" s="1"/>
  <c r="U35" i="53"/>
  <c r="T119" i="53"/>
  <c r="U12" i="53"/>
  <c r="AV103" i="53"/>
  <c r="BB103" i="53" s="1"/>
  <c r="V145" i="53"/>
  <c r="AV145" i="53" s="1"/>
  <c r="BB145" i="53" s="1"/>
  <c r="V127" i="53"/>
  <c r="V47" i="53"/>
  <c r="V44" i="53"/>
  <c r="T102" i="53"/>
  <c r="U74" i="53"/>
  <c r="AT86" i="53"/>
  <c r="AZ86" i="53" s="1"/>
  <c r="U52" i="53"/>
  <c r="U113" i="53"/>
  <c r="AU113" i="53" s="1"/>
  <c r="BA113" i="53" s="1"/>
  <c r="V149" i="53"/>
  <c r="U27" i="53"/>
  <c r="AT12" i="53"/>
  <c r="AZ12" i="53" s="1"/>
  <c r="T147" i="53"/>
  <c r="AW116" i="53"/>
  <c r="BC116" i="53" s="1"/>
  <c r="V114" i="53"/>
  <c r="T29" i="53"/>
  <c r="T30" i="53"/>
  <c r="T34" i="53"/>
  <c r="T26" i="53"/>
  <c r="T27" i="53"/>
  <c r="T23" i="53"/>
  <c r="T35" i="53"/>
  <c r="T25" i="53"/>
  <c r="T24" i="53"/>
  <c r="T28" i="53"/>
  <c r="T113" i="53"/>
  <c r="U132" i="53"/>
  <c r="T6" i="53"/>
  <c r="AU59" i="53"/>
  <c r="BA59" i="53" s="1"/>
  <c r="V93" i="53"/>
  <c r="U8" i="53"/>
  <c r="V125" i="53"/>
  <c r="V34" i="53"/>
  <c r="T81" i="53"/>
  <c r="T80" i="53"/>
  <c r="U148" i="53"/>
  <c r="U41" i="53"/>
  <c r="AU41" i="53" s="1"/>
  <c r="V144" i="53"/>
  <c r="T112" i="53"/>
  <c r="U6" i="53"/>
  <c r="AV167" i="53"/>
  <c r="BB167" i="53" s="1"/>
  <c r="AW48" i="53"/>
  <c r="BC48" i="53" s="1"/>
  <c r="V126" i="53"/>
  <c r="AV126" i="53" s="1"/>
  <c r="T130" i="53" l="1"/>
  <c r="T127" i="53"/>
  <c r="AT127" i="53" s="1"/>
  <c r="AZ127" i="53" s="1"/>
  <c r="T125" i="53"/>
  <c r="AT125" i="53" s="1"/>
  <c r="T128" i="53"/>
  <c r="AT128" i="53" s="1"/>
  <c r="T132" i="53"/>
  <c r="AT132" i="53" s="1"/>
  <c r="U103" i="53"/>
  <c r="W103" i="53" s="1"/>
  <c r="AW103" i="53" s="1"/>
  <c r="BC103" i="53" s="1"/>
  <c r="U96" i="53"/>
  <c r="W96" i="53" s="1"/>
  <c r="AW96" i="53" s="1"/>
  <c r="BC96" i="53" s="1"/>
  <c r="U92" i="53"/>
  <c r="AU92" i="53" s="1"/>
  <c r="BA92" i="53" s="1"/>
  <c r="U93" i="53"/>
  <c r="U94" i="53"/>
  <c r="AU94" i="53" s="1"/>
  <c r="BA94" i="53" s="1"/>
  <c r="U97" i="53"/>
  <c r="U165" i="53" s="1"/>
  <c r="U95" i="53"/>
  <c r="AU95" i="53" s="1"/>
  <c r="BA95" i="53" s="1"/>
  <c r="U91" i="53"/>
  <c r="AU91" i="53" s="1"/>
  <c r="BA91" i="53" s="1"/>
  <c r="U98" i="53"/>
  <c r="AU98" i="53" s="1"/>
  <c r="BA98" i="53" s="1"/>
  <c r="T136" i="53"/>
  <c r="AT136" i="53" s="1"/>
  <c r="T129" i="53"/>
  <c r="AT129" i="53" s="1"/>
  <c r="AZ129" i="53" s="1"/>
  <c r="T137" i="53"/>
  <c r="AT137" i="53" s="1"/>
  <c r="V78" i="53"/>
  <c r="AV78" i="53" s="1"/>
  <c r="BB78" i="53" s="1"/>
  <c r="V85" i="53"/>
  <c r="W85" i="53" s="1"/>
  <c r="V80" i="53"/>
  <c r="V165" i="53" s="1"/>
  <c r="AV165" i="53" s="1"/>
  <c r="BB165" i="53" s="1"/>
  <c r="V79" i="53"/>
  <c r="W79" i="53" s="1"/>
  <c r="AW79" i="53" s="1"/>
  <c r="BC79" i="53" s="1"/>
  <c r="W167" i="53"/>
  <c r="AW167" i="53" s="1"/>
  <c r="BC167" i="53" s="1"/>
  <c r="V77" i="53"/>
  <c r="AV77" i="53" s="1"/>
  <c r="BB77" i="53" s="1"/>
  <c r="V86" i="53"/>
  <c r="V171" i="53" s="1"/>
  <c r="AV171" i="53" s="1"/>
  <c r="BB171" i="53" s="1"/>
  <c r="V75" i="53"/>
  <c r="V177" i="53" s="1"/>
  <c r="V81" i="53"/>
  <c r="AV81" i="53" s="1"/>
  <c r="BB81" i="53" s="1"/>
  <c r="V76" i="53"/>
  <c r="AV76" i="53" s="1"/>
  <c r="BB76" i="53" s="1"/>
  <c r="U182" i="53"/>
  <c r="V41" i="57"/>
  <c r="V199" i="53"/>
  <c r="V40" i="57"/>
  <c r="U24" i="57"/>
  <c r="V44" i="57"/>
  <c r="V52" i="57"/>
  <c r="W51" i="53"/>
  <c r="AW51" i="53" s="1"/>
  <c r="BC51" i="53" s="1"/>
  <c r="V193" i="53"/>
  <c r="T11" i="57"/>
  <c r="V51" i="57"/>
  <c r="T13" i="57"/>
  <c r="V45" i="57"/>
  <c r="V42" i="57"/>
  <c r="T10" i="57"/>
  <c r="T102" i="57"/>
  <c r="T12" i="57"/>
  <c r="T17" i="57"/>
  <c r="T8" i="57"/>
  <c r="T18" i="57"/>
  <c r="T7" i="57"/>
  <c r="V46" i="57"/>
  <c r="V47" i="57"/>
  <c r="U10" i="57"/>
  <c r="T6" i="57"/>
  <c r="U23" i="57"/>
  <c r="U25" i="57"/>
  <c r="U27" i="57"/>
  <c r="U34" i="57"/>
  <c r="U26" i="57"/>
  <c r="U28" i="57"/>
  <c r="U29" i="57"/>
  <c r="U30" i="57"/>
  <c r="U11" i="57"/>
  <c r="U17" i="57"/>
  <c r="T94" i="57"/>
  <c r="T93" i="57"/>
  <c r="T96" i="57"/>
  <c r="U8" i="57"/>
  <c r="T97" i="57"/>
  <c r="T199" i="57" s="1"/>
  <c r="U9" i="57"/>
  <c r="T92" i="57"/>
  <c r="U18" i="57"/>
  <c r="T91" i="57"/>
  <c r="U6" i="57"/>
  <c r="U12" i="57"/>
  <c r="U13" i="57"/>
  <c r="T95" i="57"/>
  <c r="V119" i="57"/>
  <c r="V34" i="57"/>
  <c r="T127" i="57"/>
  <c r="V11" i="57"/>
  <c r="T47" i="57"/>
  <c r="U78" i="57"/>
  <c r="U45" i="57"/>
  <c r="V64" i="57"/>
  <c r="W201" i="57"/>
  <c r="T64" i="57"/>
  <c r="T177" i="53"/>
  <c r="V154" i="57"/>
  <c r="V127" i="57"/>
  <c r="V12" i="57"/>
  <c r="U132" i="57"/>
  <c r="V92" i="57"/>
  <c r="U81" i="57"/>
  <c r="V24" i="57"/>
  <c r="U129" i="57"/>
  <c r="T125" i="57"/>
  <c r="V57" i="57"/>
  <c r="U91" i="57"/>
  <c r="V96" i="57"/>
  <c r="U131" i="57"/>
  <c r="W131" i="57" s="1"/>
  <c r="V97" i="57"/>
  <c r="V142" i="57"/>
  <c r="V28" i="57"/>
  <c r="U136" i="57"/>
  <c r="T68" i="57"/>
  <c r="T136" i="57"/>
  <c r="V63" i="57"/>
  <c r="T44" i="57"/>
  <c r="U144" i="57"/>
  <c r="V147" i="57"/>
  <c r="V23" i="57"/>
  <c r="V114" i="57"/>
  <c r="T81" i="57"/>
  <c r="T51" i="57"/>
  <c r="T147" i="57"/>
  <c r="V146" i="57"/>
  <c r="V25" i="57"/>
  <c r="V110" i="57"/>
  <c r="T114" i="57"/>
  <c r="T80" i="57"/>
  <c r="U46" i="57"/>
  <c r="T154" i="57"/>
  <c r="V145" i="57"/>
  <c r="U130" i="57"/>
  <c r="V148" i="57"/>
  <c r="V125" i="57"/>
  <c r="V10" i="57"/>
  <c r="U125" i="57"/>
  <c r="U44" i="57"/>
  <c r="T179" i="57"/>
  <c r="W167" i="57"/>
  <c r="AI167" i="57" s="1"/>
  <c r="AO167" i="57" s="1"/>
  <c r="U69" i="57"/>
  <c r="T98" i="57"/>
  <c r="V153" i="57"/>
  <c r="U86" i="57"/>
  <c r="V74" i="57"/>
  <c r="V85" i="57"/>
  <c r="V132" i="57"/>
  <c r="V26" i="57"/>
  <c r="V27" i="57"/>
  <c r="V7" i="57"/>
  <c r="U126" i="57"/>
  <c r="W184" i="57"/>
  <c r="T58" i="57"/>
  <c r="V108" i="57"/>
  <c r="T108" i="57"/>
  <c r="T119" i="57"/>
  <c r="T132" i="57"/>
  <c r="T74" i="57"/>
  <c r="T85" i="57"/>
  <c r="V60" i="57"/>
  <c r="U98" i="57"/>
  <c r="T45" i="57"/>
  <c r="U41" i="57"/>
  <c r="U57" i="57"/>
  <c r="U63" i="57"/>
  <c r="V98" i="57"/>
  <c r="U146" i="57"/>
  <c r="T142" i="57"/>
  <c r="U119" i="57"/>
  <c r="U111" i="57"/>
  <c r="V80" i="57"/>
  <c r="U112" i="57"/>
  <c r="T29" i="57"/>
  <c r="T26" i="57"/>
  <c r="T24" i="57"/>
  <c r="T27" i="57"/>
  <c r="T25" i="57"/>
  <c r="T35" i="57"/>
  <c r="T30" i="57"/>
  <c r="T23" i="57"/>
  <c r="T28" i="57"/>
  <c r="T34" i="57"/>
  <c r="V143" i="57"/>
  <c r="U76" i="57"/>
  <c r="V81" i="57"/>
  <c r="V137" i="57"/>
  <c r="V29" i="57"/>
  <c r="V6" i="57"/>
  <c r="V9" i="57"/>
  <c r="U128" i="57"/>
  <c r="T61" i="57"/>
  <c r="V113" i="57"/>
  <c r="T113" i="57"/>
  <c r="T120" i="57"/>
  <c r="T137" i="57"/>
  <c r="T86" i="57"/>
  <c r="T79" i="57"/>
  <c r="V62" i="57"/>
  <c r="U103" i="57"/>
  <c r="T43" i="57"/>
  <c r="U42" i="57"/>
  <c r="U60" i="57"/>
  <c r="U59" i="57"/>
  <c r="V103" i="57"/>
  <c r="U153" i="57"/>
  <c r="T149" i="57"/>
  <c r="U120" i="57"/>
  <c r="U114" i="57"/>
  <c r="V79" i="57"/>
  <c r="V86" i="57"/>
  <c r="T110" i="57"/>
  <c r="U92" i="57"/>
  <c r="U95" i="57"/>
  <c r="U62" i="57"/>
  <c r="U143" i="57"/>
  <c r="T146" i="57"/>
  <c r="U108" i="57"/>
  <c r="U75" i="57"/>
  <c r="V76" i="57"/>
  <c r="V129" i="57"/>
  <c r="V197" i="57" s="1"/>
  <c r="V8" i="57"/>
  <c r="T69" i="57"/>
  <c r="V115" i="57"/>
  <c r="T115" i="57"/>
  <c r="T129" i="57"/>
  <c r="T76" i="57"/>
  <c r="V58" i="57"/>
  <c r="U94" i="57"/>
  <c r="U102" i="57"/>
  <c r="U43" i="57"/>
  <c r="U64" i="57"/>
  <c r="V94" i="57"/>
  <c r="V102" i="57"/>
  <c r="U145" i="57"/>
  <c r="T153" i="57"/>
  <c r="U113" i="57"/>
  <c r="U77" i="57"/>
  <c r="W77" i="57" s="1"/>
  <c r="V78" i="57"/>
  <c r="V126" i="57"/>
  <c r="V17" i="57"/>
  <c r="T62" i="57"/>
  <c r="T63" i="57"/>
  <c r="V109" i="57"/>
  <c r="T109" i="57"/>
  <c r="T126" i="57"/>
  <c r="T78" i="57"/>
  <c r="V61" i="57"/>
  <c r="U93" i="57"/>
  <c r="T41" i="57"/>
  <c r="T52" i="57"/>
  <c r="U51" i="57"/>
  <c r="U58" i="57"/>
  <c r="V91" i="57"/>
  <c r="U142" i="57"/>
  <c r="U148" i="57"/>
  <c r="T143" i="57"/>
  <c r="U110" i="57"/>
  <c r="V149" i="57"/>
  <c r="U79" i="57"/>
  <c r="U80" i="57"/>
  <c r="V75" i="57"/>
  <c r="V136" i="57"/>
  <c r="V128" i="57"/>
  <c r="V30" i="57"/>
  <c r="V13" i="57"/>
  <c r="U137" i="57"/>
  <c r="T60" i="57"/>
  <c r="T59" i="57"/>
  <c r="V112" i="57"/>
  <c r="T112" i="57"/>
  <c r="T128" i="57"/>
  <c r="T75" i="57"/>
  <c r="V68" i="57"/>
  <c r="U97" i="57"/>
  <c r="T42" i="57"/>
  <c r="T46" i="57"/>
  <c r="U52" i="57"/>
  <c r="U61" i="57"/>
  <c r="V93" i="57"/>
  <c r="U147" i="57"/>
  <c r="U154" i="57"/>
  <c r="T145" i="57"/>
  <c r="U115" i="57"/>
  <c r="U74" i="57"/>
  <c r="V130" i="57"/>
  <c r="V111" i="57"/>
  <c r="T130" i="57"/>
  <c r="V59" i="57"/>
  <c r="U40" i="57"/>
  <c r="T144" i="57"/>
  <c r="W59" i="53"/>
  <c r="AW59" i="53" s="1"/>
  <c r="BC59" i="53" s="1"/>
  <c r="W57" i="53"/>
  <c r="AW57" i="53" s="1"/>
  <c r="W130" i="53"/>
  <c r="AW130" i="53" s="1"/>
  <c r="BC130" i="53" s="1"/>
  <c r="W63" i="53"/>
  <c r="AW63" i="53" s="1"/>
  <c r="BC63" i="53" s="1"/>
  <c r="V70" i="53"/>
  <c r="AJ68" i="53" s="1"/>
  <c r="BH68" i="53" s="1"/>
  <c r="T198" i="53"/>
  <c r="T178" i="53"/>
  <c r="U194" i="53"/>
  <c r="W7" i="53"/>
  <c r="AW7" i="53" s="1"/>
  <c r="BC7" i="53" s="1"/>
  <c r="W62" i="53"/>
  <c r="AW62" i="53" s="1"/>
  <c r="BC62" i="53" s="1"/>
  <c r="W61" i="53"/>
  <c r="AW61" i="53" s="1"/>
  <c r="BC61" i="53" s="1"/>
  <c r="T70" i="53"/>
  <c r="AH57" i="53" s="1"/>
  <c r="AU63" i="53"/>
  <c r="BA63" i="53" s="1"/>
  <c r="AT130" i="53"/>
  <c r="U179" i="53"/>
  <c r="T199" i="53"/>
  <c r="W58" i="53"/>
  <c r="AW58" i="53" s="1"/>
  <c r="W69" i="53"/>
  <c r="AW69" i="53" s="1"/>
  <c r="BC69" i="53" s="1"/>
  <c r="W42" i="53"/>
  <c r="AW42" i="53" s="1"/>
  <c r="BC42" i="53" s="1"/>
  <c r="U188" i="53"/>
  <c r="W13" i="53"/>
  <c r="AW13" i="53" s="1"/>
  <c r="BC13" i="53" s="1"/>
  <c r="W149" i="53"/>
  <c r="AW149" i="53" s="1"/>
  <c r="BC149" i="53" s="1"/>
  <c r="AT98" i="53"/>
  <c r="AZ98" i="53" s="1"/>
  <c r="W12" i="53"/>
  <c r="AW12" i="53" s="1"/>
  <c r="BC12" i="53" s="1"/>
  <c r="W60" i="53"/>
  <c r="AW60" i="53" s="1"/>
  <c r="BC60" i="53" s="1"/>
  <c r="W153" i="53"/>
  <c r="AW153" i="53" s="1"/>
  <c r="BC153" i="53" s="1"/>
  <c r="W10" i="53"/>
  <c r="AW10" i="53" s="1"/>
  <c r="BC10" i="53" s="1"/>
  <c r="W74" i="53"/>
  <c r="AW74" i="53" s="1"/>
  <c r="BC74" i="53" s="1"/>
  <c r="V205" i="53"/>
  <c r="V197" i="53"/>
  <c r="W95" i="53"/>
  <c r="AW95" i="53" s="1"/>
  <c r="BC95" i="53" s="1"/>
  <c r="W18" i="53"/>
  <c r="AW18" i="53" s="1"/>
  <c r="BC18" i="53" s="1"/>
  <c r="V198" i="53"/>
  <c r="V104" i="53"/>
  <c r="AJ101" i="53" s="1"/>
  <c r="BH101" i="53" s="1"/>
  <c r="W17" i="53"/>
  <c r="AW17" i="53" s="1"/>
  <c r="BC17" i="53" s="1"/>
  <c r="AT131" i="53"/>
  <c r="AZ131" i="53" s="1"/>
  <c r="W68" i="53"/>
  <c r="AW68" i="53" s="1"/>
  <c r="AV17" i="53"/>
  <c r="BB17" i="53" s="1"/>
  <c r="U204" i="53"/>
  <c r="U178" i="53"/>
  <c r="W75" i="53"/>
  <c r="AW75" i="53" s="1"/>
  <c r="BC75" i="53" s="1"/>
  <c r="T181" i="53"/>
  <c r="AV112" i="53"/>
  <c r="BB112" i="53" s="1"/>
  <c r="V176" i="53"/>
  <c r="U180" i="53"/>
  <c r="U183" i="53"/>
  <c r="U70" i="53"/>
  <c r="AI64" i="53" s="1"/>
  <c r="BG64" i="53" s="1"/>
  <c r="BS64" i="53" s="1"/>
  <c r="CE59" i="53" s="1"/>
  <c r="W64" i="53"/>
  <c r="AW64" i="53" s="1"/>
  <c r="BC64" i="53" s="1"/>
  <c r="V19" i="53"/>
  <c r="AJ18" i="53" s="1"/>
  <c r="T160" i="53"/>
  <c r="AT160" i="53" s="1"/>
  <c r="W8" i="53"/>
  <c r="AW8" i="53" s="1"/>
  <c r="BC8" i="53" s="1"/>
  <c r="W137" i="53"/>
  <c r="AW137" i="53" s="1"/>
  <c r="W145" i="53"/>
  <c r="AW145" i="53" s="1"/>
  <c r="BC145" i="53" s="1"/>
  <c r="W47" i="53"/>
  <c r="AW47" i="53" s="1"/>
  <c r="BC47" i="53" s="1"/>
  <c r="AV142" i="53"/>
  <c r="BB142" i="53" s="1"/>
  <c r="V155" i="53"/>
  <c r="AJ142" i="53" s="1"/>
  <c r="BH142" i="53" s="1"/>
  <c r="W108" i="53"/>
  <c r="T121" i="53"/>
  <c r="AH120" i="53" s="1"/>
  <c r="BF120" i="53" s="1"/>
  <c r="AT108" i="53"/>
  <c r="AU9" i="53"/>
  <c r="BA9" i="53" s="1"/>
  <c r="AU85" i="53"/>
  <c r="BA85" i="53" s="1"/>
  <c r="W148" i="53"/>
  <c r="AU148" i="53"/>
  <c r="BA148" i="53" s="1"/>
  <c r="AT24" i="53"/>
  <c r="W24" i="53"/>
  <c r="AW24" i="53" s="1"/>
  <c r="BC24" i="53" s="1"/>
  <c r="W29" i="53"/>
  <c r="AT29" i="53"/>
  <c r="AZ29" i="53" s="1"/>
  <c r="AT147" i="53"/>
  <c r="W147" i="53"/>
  <c r="AW147" i="53" s="1"/>
  <c r="W119" i="53"/>
  <c r="AT119" i="53"/>
  <c r="AZ119" i="53" s="1"/>
  <c r="AV132" i="53"/>
  <c r="BB132" i="53" s="1"/>
  <c r="AV42" i="53"/>
  <c r="BB42" i="53" s="1"/>
  <c r="AU81" i="53"/>
  <c r="BA81" i="53" s="1"/>
  <c r="U170" i="53"/>
  <c r="AU17" i="53"/>
  <c r="BA17" i="53" s="1"/>
  <c r="V36" i="53"/>
  <c r="AJ23" i="53" s="1"/>
  <c r="BH23" i="53" s="1"/>
  <c r="AV23" i="53"/>
  <c r="BB23" i="53" s="1"/>
  <c r="AV146" i="53"/>
  <c r="BB146" i="53" s="1"/>
  <c r="AT103" i="53"/>
  <c r="AZ103" i="53" s="1"/>
  <c r="AT109" i="53"/>
  <c r="W109" i="53"/>
  <c r="AW109" i="53" s="1"/>
  <c r="W93" i="53"/>
  <c r="AT112" i="53"/>
  <c r="AZ112" i="53" s="1"/>
  <c r="W112" i="53"/>
  <c r="W30" i="53"/>
  <c r="AW30" i="53" s="1"/>
  <c r="BC30" i="53" s="1"/>
  <c r="AT30" i="53"/>
  <c r="AZ30" i="53" s="1"/>
  <c r="AT43" i="53"/>
  <c r="W43" i="53"/>
  <c r="AW43" i="53" s="1"/>
  <c r="BC43" i="53" s="1"/>
  <c r="AV144" i="53"/>
  <c r="BB144" i="53" s="1"/>
  <c r="U161" i="53"/>
  <c r="AU161" i="53" s="1"/>
  <c r="BA161" i="53" s="1"/>
  <c r="AU8" i="53"/>
  <c r="BA8" i="53" s="1"/>
  <c r="AV114" i="53"/>
  <c r="BB114" i="53" s="1"/>
  <c r="U176" i="53"/>
  <c r="AU74" i="53"/>
  <c r="BA74" i="53" s="1"/>
  <c r="U87" i="53"/>
  <c r="AI85" i="53" s="1"/>
  <c r="BG85" i="53" s="1"/>
  <c r="W142" i="53"/>
  <c r="AU23" i="53"/>
  <c r="BA23" i="53" s="1"/>
  <c r="U36" i="53"/>
  <c r="AI23" i="53" s="1"/>
  <c r="BG23" i="53" s="1"/>
  <c r="BS35" i="53" s="1"/>
  <c r="U53" i="53"/>
  <c r="AI44" i="53" s="1"/>
  <c r="BG44" i="53" s="1"/>
  <c r="AU40" i="53"/>
  <c r="BA40" i="53" s="1"/>
  <c r="AU125" i="53"/>
  <c r="U138" i="53"/>
  <c r="AI125" i="53" s="1"/>
  <c r="AU110" i="53"/>
  <c r="BA110" i="53" s="1"/>
  <c r="T194" i="53"/>
  <c r="AT92" i="53"/>
  <c r="AV40" i="53"/>
  <c r="BB40" i="53" s="1"/>
  <c r="V53" i="53"/>
  <c r="AJ40" i="53" s="1"/>
  <c r="BH40" i="53" s="1"/>
  <c r="T176" i="53"/>
  <c r="AT78" i="53"/>
  <c r="AZ78" i="53" s="1"/>
  <c r="T180" i="53"/>
  <c r="AT80" i="53"/>
  <c r="AZ80" i="53" s="1"/>
  <c r="T182" i="53"/>
  <c r="W25" i="53"/>
  <c r="AT25" i="53"/>
  <c r="AZ25" i="53" s="1"/>
  <c r="AT81" i="53"/>
  <c r="AZ81" i="53" s="1"/>
  <c r="T183" i="53"/>
  <c r="W35" i="53"/>
  <c r="AT35" i="53"/>
  <c r="T165" i="53"/>
  <c r="W9" i="53"/>
  <c r="AW9" i="53" s="1"/>
  <c r="BC9" i="53" s="1"/>
  <c r="AT102" i="53"/>
  <c r="AZ102" i="53" s="1"/>
  <c r="AU35" i="53"/>
  <c r="BA35" i="53" s="1"/>
  <c r="T155" i="53"/>
  <c r="AH144" i="53" s="1"/>
  <c r="BF144" i="53" s="1"/>
  <c r="AT46" i="53"/>
  <c r="AZ46" i="53" s="1"/>
  <c r="W46" i="53"/>
  <c r="AU44" i="53"/>
  <c r="BA44" i="53" s="1"/>
  <c r="AT110" i="53"/>
  <c r="AZ110" i="53" s="1"/>
  <c r="W110" i="53"/>
  <c r="W143" i="53"/>
  <c r="AW143" i="53" s="1"/>
  <c r="BC143" i="53" s="1"/>
  <c r="AU120" i="53"/>
  <c r="W52" i="53"/>
  <c r="AV52" i="53"/>
  <c r="BB52" i="53" s="1"/>
  <c r="W102" i="53"/>
  <c r="AW102" i="53" s="1"/>
  <c r="BC102" i="53" s="1"/>
  <c r="V204" i="53"/>
  <c r="AV102" i="53"/>
  <c r="BB102" i="53" s="1"/>
  <c r="AU127" i="53"/>
  <c r="BA127" i="53" s="1"/>
  <c r="AT6" i="53"/>
  <c r="T19" i="53"/>
  <c r="AH6" i="53" s="1"/>
  <c r="W6" i="53"/>
  <c r="AT94" i="53"/>
  <c r="AV119" i="53"/>
  <c r="AV34" i="53"/>
  <c r="BB34" i="53" s="1"/>
  <c r="AT23" i="53"/>
  <c r="T36" i="53"/>
  <c r="AH30" i="53" s="1"/>
  <c r="BF30" i="53" s="1"/>
  <c r="W23" i="53"/>
  <c r="AV149" i="53"/>
  <c r="BB149" i="53" s="1"/>
  <c r="AV44" i="53"/>
  <c r="BB44" i="53" s="1"/>
  <c r="AU11" i="53"/>
  <c r="BA11" i="53" s="1"/>
  <c r="AU79" i="53"/>
  <c r="U181" i="53"/>
  <c r="U187" i="53"/>
  <c r="AT85" i="53"/>
  <c r="AZ85" i="53" s="1"/>
  <c r="T187" i="53"/>
  <c r="V200" i="53"/>
  <c r="AV98" i="53"/>
  <c r="BB98" i="53" s="1"/>
  <c r="AT9" i="53"/>
  <c r="T188" i="53"/>
  <c r="W120" i="53"/>
  <c r="AT120" i="53"/>
  <c r="V194" i="53"/>
  <c r="W154" i="53"/>
  <c r="AW154" i="53" s="1"/>
  <c r="BC154" i="53" s="1"/>
  <c r="AT28" i="53"/>
  <c r="W28" i="53"/>
  <c r="AW28" i="53" s="1"/>
  <c r="BC28" i="53" s="1"/>
  <c r="W115" i="53"/>
  <c r="AT115" i="53"/>
  <c r="V195" i="53"/>
  <c r="AV93" i="53"/>
  <c r="BB93" i="53" s="1"/>
  <c r="W27" i="53"/>
  <c r="AT27" i="53"/>
  <c r="AV47" i="53"/>
  <c r="BB47" i="53" s="1"/>
  <c r="AU146" i="53"/>
  <c r="BA146" i="53" s="1"/>
  <c r="AU7" i="53"/>
  <c r="BA7" i="53" s="1"/>
  <c r="AV136" i="53"/>
  <c r="BB136" i="53" s="1"/>
  <c r="AV29" i="53"/>
  <c r="BB29" i="53" s="1"/>
  <c r="AT11" i="53"/>
  <c r="T164" i="53"/>
  <c r="W11" i="53"/>
  <c r="AW11" i="53" s="1"/>
  <c r="BC11" i="53" s="1"/>
  <c r="U195" i="53"/>
  <c r="AU93" i="53"/>
  <c r="BA93" i="53" s="1"/>
  <c r="AU30" i="53"/>
  <c r="BA30" i="53" s="1"/>
  <c r="AU46" i="53"/>
  <c r="BA46" i="53" s="1"/>
  <c r="U177" i="53"/>
  <c r="W126" i="53"/>
  <c r="AW126" i="53" s="1"/>
  <c r="W144" i="53"/>
  <c r="AT144" i="53"/>
  <c r="AZ144" i="53" s="1"/>
  <c r="AU47" i="53"/>
  <c r="BA47" i="53" s="1"/>
  <c r="U155" i="53"/>
  <c r="AI153" i="53" s="1"/>
  <c r="BG153" i="53" s="1"/>
  <c r="AV129" i="53"/>
  <c r="BB129" i="53" s="1"/>
  <c r="U121" i="53"/>
  <c r="AI120" i="53" s="1"/>
  <c r="AU108" i="53"/>
  <c r="V138" i="53"/>
  <c r="AJ136" i="53" s="1"/>
  <c r="BH136" i="53" s="1"/>
  <c r="BT136" i="53" s="1"/>
  <c r="CJ128" i="53" s="1"/>
  <c r="AV125" i="53"/>
  <c r="AU132" i="53"/>
  <c r="BA132" i="53" s="1"/>
  <c r="W113" i="53"/>
  <c r="AW113" i="53" s="1"/>
  <c r="BC113" i="53" s="1"/>
  <c r="AT113" i="53"/>
  <c r="W26" i="53"/>
  <c r="AW26" i="53" s="1"/>
  <c r="BC26" i="53" s="1"/>
  <c r="AT26" i="53"/>
  <c r="AU27" i="53"/>
  <c r="BA27" i="53" s="1"/>
  <c r="AV127" i="53"/>
  <c r="BB127" i="53" s="1"/>
  <c r="T179" i="53"/>
  <c r="AT77" i="53"/>
  <c r="AZ77" i="53" s="1"/>
  <c r="V196" i="53"/>
  <c r="AV94" i="53"/>
  <c r="BB94" i="53" s="1"/>
  <c r="AU131" i="53"/>
  <c r="BA131" i="53" s="1"/>
  <c r="V121" i="53"/>
  <c r="W146" i="53"/>
  <c r="W40" i="53"/>
  <c r="AV153" i="53"/>
  <c r="BB153" i="53" s="1"/>
  <c r="W131" i="53"/>
  <c r="AU25" i="53"/>
  <c r="BA25" i="53" s="1"/>
  <c r="AT44" i="53"/>
  <c r="AZ44" i="53" s="1"/>
  <c r="W44" i="53"/>
  <c r="AU18" i="53"/>
  <c r="BA18" i="53" s="1"/>
  <c r="T171" i="53"/>
  <c r="W45" i="53"/>
  <c r="AW45" i="53" s="1"/>
  <c r="BC45" i="53" s="1"/>
  <c r="BH7" i="53"/>
  <c r="AU6" i="53"/>
  <c r="BA6" i="53" s="1"/>
  <c r="U19" i="53"/>
  <c r="AI18" i="53" s="1"/>
  <c r="V159" i="53"/>
  <c r="W34" i="53"/>
  <c r="AT34" i="53"/>
  <c r="AU52" i="53"/>
  <c r="BA52" i="53" s="1"/>
  <c r="AU12" i="53"/>
  <c r="BA12" i="53" s="1"/>
  <c r="AV27" i="53"/>
  <c r="BB27" i="53" s="1"/>
  <c r="AT13" i="53"/>
  <c r="AZ13" i="53" s="1"/>
  <c r="AT111" i="53"/>
  <c r="W111" i="53"/>
  <c r="AW111" i="53" s="1"/>
  <c r="BC111" i="53" s="1"/>
  <c r="T104" i="53"/>
  <c r="T53" i="53"/>
  <c r="AH44" i="53" s="1"/>
  <c r="BF44" i="53" s="1"/>
  <c r="AU10" i="53"/>
  <c r="BA10" i="53" s="1"/>
  <c r="AU114" i="53"/>
  <c r="BA114" i="53" s="1"/>
  <c r="AU153" i="53"/>
  <c r="BA153" i="53" s="1"/>
  <c r="AV131" i="53"/>
  <c r="BB131" i="53" s="1"/>
  <c r="AT41" i="53"/>
  <c r="W41" i="53"/>
  <c r="AW41" i="53" s="1"/>
  <c r="T87" i="53"/>
  <c r="AH78" i="53" s="1"/>
  <c r="BF78" i="53" s="1"/>
  <c r="W114" i="53"/>
  <c r="AU42" i="53"/>
  <c r="BA42" i="53" s="1"/>
  <c r="W81" i="53" l="1"/>
  <c r="V163" i="53"/>
  <c r="AV163" i="53" s="1"/>
  <c r="BB163" i="53" s="1"/>
  <c r="T195" i="53"/>
  <c r="W94" i="53"/>
  <c r="AW94" i="53" s="1"/>
  <c r="BC94" i="53" s="1"/>
  <c r="W125" i="53"/>
  <c r="W132" i="53"/>
  <c r="W127" i="53"/>
  <c r="AW127" i="53" s="1"/>
  <c r="BC127" i="53" s="1"/>
  <c r="U196" i="53"/>
  <c r="T161" i="53"/>
  <c r="AT161" i="53" s="1"/>
  <c r="AZ161" i="53" s="1"/>
  <c r="V183" i="53"/>
  <c r="W183" i="53" s="1"/>
  <c r="V166" i="53"/>
  <c r="AV166" i="53" s="1"/>
  <c r="BB166" i="53" s="1"/>
  <c r="U162" i="53"/>
  <c r="AU162" i="53" s="1"/>
  <c r="BA162" i="53" s="1"/>
  <c r="T162" i="53"/>
  <c r="AT162" i="53" s="1"/>
  <c r="AZ162" i="53" s="1"/>
  <c r="W128" i="53"/>
  <c r="AW128" i="53" s="1"/>
  <c r="BC128" i="53" s="1"/>
  <c r="T166" i="53"/>
  <c r="AT166" i="53" s="1"/>
  <c r="AZ166" i="53" s="1"/>
  <c r="T200" i="53"/>
  <c r="T196" i="53"/>
  <c r="U197" i="53"/>
  <c r="T193" i="53"/>
  <c r="T159" i="53"/>
  <c r="AT159" i="53" s="1"/>
  <c r="U166" i="53"/>
  <c r="AU166" i="53" s="1"/>
  <c r="BA166" i="53" s="1"/>
  <c r="AU103" i="53"/>
  <c r="BA103" i="53" s="1"/>
  <c r="U198" i="53"/>
  <c r="W198" i="53" s="1"/>
  <c r="U199" i="53"/>
  <c r="W199" i="53" s="1"/>
  <c r="W136" i="53"/>
  <c r="AW136" i="53" s="1"/>
  <c r="BC136" i="53" s="1"/>
  <c r="U200" i="53"/>
  <c r="W200" i="53" s="1"/>
  <c r="AU97" i="53"/>
  <c r="BA97" i="53" s="1"/>
  <c r="U171" i="53"/>
  <c r="AU171" i="53" s="1"/>
  <c r="BA171" i="53" s="1"/>
  <c r="T204" i="53"/>
  <c r="W204" i="53" s="1"/>
  <c r="W97" i="53"/>
  <c r="AW97" i="53" s="1"/>
  <c r="BC97" i="53" s="1"/>
  <c r="U205" i="53"/>
  <c r="U164" i="53"/>
  <c r="AU164" i="53" s="1"/>
  <c r="BA164" i="53" s="1"/>
  <c r="W98" i="53"/>
  <c r="AW98" i="53" s="1"/>
  <c r="BC98" i="53" s="1"/>
  <c r="W92" i="53"/>
  <c r="AW92" i="53" s="1"/>
  <c r="BC92" i="53" s="1"/>
  <c r="U160" i="53"/>
  <c r="AU160" i="53" s="1"/>
  <c r="BA160" i="53" s="1"/>
  <c r="V179" i="53"/>
  <c r="W179" i="53" s="1"/>
  <c r="T197" i="53"/>
  <c r="W129" i="53"/>
  <c r="AW129" i="53" s="1"/>
  <c r="BC129" i="53" s="1"/>
  <c r="T138" i="53"/>
  <c r="AH129" i="53" s="1"/>
  <c r="BF129" i="53" s="1"/>
  <c r="U163" i="53"/>
  <c r="AU163" i="53" s="1"/>
  <c r="BA163" i="53" s="1"/>
  <c r="U159" i="53"/>
  <c r="AU159" i="53" s="1"/>
  <c r="BA159" i="53" s="1"/>
  <c r="U104" i="53"/>
  <c r="AI98" i="53" s="1"/>
  <c r="BG98" i="53" s="1"/>
  <c r="T170" i="53"/>
  <c r="AT170" i="53" s="1"/>
  <c r="AZ170" i="53" s="1"/>
  <c r="T163" i="53"/>
  <c r="AT163" i="53" s="1"/>
  <c r="AZ163" i="53" s="1"/>
  <c r="AU96" i="53"/>
  <c r="BA96" i="53" s="1"/>
  <c r="U193" i="53"/>
  <c r="W91" i="53"/>
  <c r="AW91" i="53" s="1"/>
  <c r="BC91" i="53" s="1"/>
  <c r="V187" i="53"/>
  <c r="W187" i="53" s="1"/>
  <c r="V178" i="53"/>
  <c r="W178" i="53" s="1"/>
  <c r="V164" i="53"/>
  <c r="AV164" i="53" s="1"/>
  <c r="BB164" i="53" s="1"/>
  <c r="V181" i="53"/>
  <c r="W181" i="53" s="1"/>
  <c r="AV85" i="53"/>
  <c r="BB85" i="53" s="1"/>
  <c r="V170" i="53"/>
  <c r="AV170" i="53" s="1"/>
  <c r="BB170" i="53" s="1"/>
  <c r="W76" i="53"/>
  <c r="AW76" i="53" s="1"/>
  <c r="BC76" i="53" s="1"/>
  <c r="AV79" i="53"/>
  <c r="BB79" i="53" s="1"/>
  <c r="AV80" i="53"/>
  <c r="BB80" i="53" s="1"/>
  <c r="W80" i="53"/>
  <c r="AW80" i="53" s="1"/>
  <c r="BC80" i="53" s="1"/>
  <c r="V182" i="53"/>
  <c r="W182" i="53" s="1"/>
  <c r="V162" i="53"/>
  <c r="AV162" i="53" s="1"/>
  <c r="BB162" i="53" s="1"/>
  <c r="T205" i="53"/>
  <c r="AV75" i="53"/>
  <c r="BB75" i="53" s="1"/>
  <c r="V160" i="53"/>
  <c r="AV160" i="53" s="1"/>
  <c r="BB160" i="53" s="1"/>
  <c r="AV86" i="53"/>
  <c r="BB86" i="53" s="1"/>
  <c r="W77" i="53"/>
  <c r="AW77" i="53" s="1"/>
  <c r="BC77" i="53" s="1"/>
  <c r="W86" i="53"/>
  <c r="AW86" i="53" s="1"/>
  <c r="BC86" i="53" s="1"/>
  <c r="W78" i="53"/>
  <c r="AW78" i="53" s="1"/>
  <c r="BC78" i="53" s="1"/>
  <c r="V188" i="53"/>
  <c r="W188" i="53" s="1"/>
  <c r="V180" i="53"/>
  <c r="W180" i="53" s="1"/>
  <c r="V87" i="53"/>
  <c r="AJ85" i="53" s="1"/>
  <c r="BH85" i="53" s="1"/>
  <c r="AH67" i="53"/>
  <c r="BF67" i="53" s="1"/>
  <c r="V161" i="53"/>
  <c r="AV161" i="53" s="1"/>
  <c r="BB161" i="53" s="1"/>
  <c r="AH70" i="53"/>
  <c r="AT70" i="53"/>
  <c r="AZ70" i="53" s="1"/>
  <c r="AH66" i="53"/>
  <c r="BF66" i="53" s="1"/>
  <c r="AH69" i="53"/>
  <c r="BF69" i="53" s="1"/>
  <c r="AH64" i="53"/>
  <c r="BF64" i="53" s="1"/>
  <c r="AH68" i="53"/>
  <c r="BF68" i="53" s="1"/>
  <c r="AH63" i="53"/>
  <c r="BF63" i="53" s="1"/>
  <c r="AH65" i="53"/>
  <c r="BF65" i="53" s="1"/>
  <c r="AV70" i="53"/>
  <c r="BB70" i="53" s="1"/>
  <c r="AJ59" i="53"/>
  <c r="BH59" i="53" s="1"/>
  <c r="T204" i="57"/>
  <c r="W7" i="57"/>
  <c r="T198" i="57"/>
  <c r="AJ19" i="53"/>
  <c r="AJ95" i="53"/>
  <c r="BH95" i="53" s="1"/>
  <c r="W96" i="57"/>
  <c r="W51" i="57"/>
  <c r="AJ70" i="53"/>
  <c r="W17" i="57"/>
  <c r="AJ57" i="53"/>
  <c r="BH57" i="53" s="1"/>
  <c r="BT68" i="53" s="1"/>
  <c r="AJ64" i="53"/>
  <c r="BH64" i="53" s="1"/>
  <c r="AJ61" i="53"/>
  <c r="BH61" i="53" s="1"/>
  <c r="V53" i="57"/>
  <c r="AJ65" i="53"/>
  <c r="BH65" i="53" s="1"/>
  <c r="AJ66" i="53"/>
  <c r="BH66" i="53" s="1"/>
  <c r="AJ67" i="53"/>
  <c r="BH67" i="53" s="1"/>
  <c r="W8" i="57"/>
  <c r="W18" i="57"/>
  <c r="W47" i="57"/>
  <c r="W12" i="57"/>
  <c r="U193" i="57"/>
  <c r="T19" i="57"/>
  <c r="W11" i="57"/>
  <c r="W127" i="57"/>
  <c r="U36" i="57"/>
  <c r="U19" i="57"/>
  <c r="T197" i="57"/>
  <c r="W95" i="57"/>
  <c r="W92" i="57"/>
  <c r="T104" i="57"/>
  <c r="U183" i="57"/>
  <c r="W44" i="57"/>
  <c r="T193" i="57"/>
  <c r="W136" i="57"/>
  <c r="T159" i="57"/>
  <c r="W91" i="57"/>
  <c r="W154" i="57"/>
  <c r="T183" i="57"/>
  <c r="W6" i="57"/>
  <c r="W64" i="57"/>
  <c r="W10" i="57"/>
  <c r="T182" i="57"/>
  <c r="T195" i="57"/>
  <c r="W114" i="57"/>
  <c r="V165" i="57"/>
  <c r="U162" i="57"/>
  <c r="V199" i="57"/>
  <c r="U138" i="57"/>
  <c r="W81" i="57"/>
  <c r="T162" i="57"/>
  <c r="W125" i="57"/>
  <c r="U161" i="57"/>
  <c r="W94" i="57"/>
  <c r="U104" i="57"/>
  <c r="V163" i="57"/>
  <c r="U198" i="57"/>
  <c r="T170" i="57"/>
  <c r="V171" i="57"/>
  <c r="T165" i="57"/>
  <c r="T138" i="57"/>
  <c r="U160" i="57"/>
  <c r="W102" i="57"/>
  <c r="U176" i="57"/>
  <c r="U87" i="57"/>
  <c r="W112" i="57"/>
  <c r="T188" i="57"/>
  <c r="W86" i="57"/>
  <c r="U166" i="57"/>
  <c r="U70" i="57"/>
  <c r="U159" i="57"/>
  <c r="W144" i="57"/>
  <c r="W42" i="57"/>
  <c r="U181" i="57"/>
  <c r="W143" i="57"/>
  <c r="U195" i="57"/>
  <c r="V180" i="57"/>
  <c r="W146" i="57"/>
  <c r="V181" i="57"/>
  <c r="W137" i="57"/>
  <c r="V162" i="57"/>
  <c r="V183" i="57"/>
  <c r="W25" i="57"/>
  <c r="W147" i="57"/>
  <c r="T121" i="57"/>
  <c r="W108" i="57"/>
  <c r="U53" i="57"/>
  <c r="W145" i="57"/>
  <c r="U199" i="57"/>
  <c r="W59" i="57"/>
  <c r="U179" i="57"/>
  <c r="T178" i="57"/>
  <c r="W76" i="57"/>
  <c r="W97" i="57"/>
  <c r="W120" i="57"/>
  <c r="V159" i="57"/>
  <c r="V19" i="57"/>
  <c r="U178" i="57"/>
  <c r="W27" i="57"/>
  <c r="W45" i="57"/>
  <c r="V121" i="57"/>
  <c r="V187" i="57"/>
  <c r="W52" i="57"/>
  <c r="V196" i="57"/>
  <c r="W110" i="57"/>
  <c r="T181" i="57"/>
  <c r="W79" i="57"/>
  <c r="W30" i="57"/>
  <c r="W132" i="57"/>
  <c r="W46" i="57"/>
  <c r="U121" i="57"/>
  <c r="T161" i="57"/>
  <c r="W119" i="57"/>
  <c r="AH146" i="53"/>
  <c r="BF146" i="53" s="1"/>
  <c r="BR146" i="53" s="1"/>
  <c r="CB143" i="53" s="1"/>
  <c r="CC143" i="53" s="1"/>
  <c r="W60" i="57"/>
  <c r="U155" i="57"/>
  <c r="T180" i="57"/>
  <c r="W78" i="57"/>
  <c r="V170" i="57"/>
  <c r="W129" i="57"/>
  <c r="V155" i="57"/>
  <c r="V164" i="57"/>
  <c r="W113" i="57"/>
  <c r="W24" i="57"/>
  <c r="V198" i="57"/>
  <c r="U200" i="57"/>
  <c r="W58" i="57"/>
  <c r="V176" i="57"/>
  <c r="V87" i="57"/>
  <c r="U171" i="57"/>
  <c r="V177" i="57"/>
  <c r="W63" i="57"/>
  <c r="V194" i="57"/>
  <c r="T70" i="57"/>
  <c r="AI30" i="53"/>
  <c r="BG30" i="53" s="1"/>
  <c r="BS30" i="53" s="1"/>
  <c r="CE25" i="53" s="1"/>
  <c r="U180" i="57"/>
  <c r="U182" i="57"/>
  <c r="W57" i="57"/>
  <c r="W130" i="57"/>
  <c r="T177" i="57"/>
  <c r="W75" i="57"/>
  <c r="V193" i="57"/>
  <c r="V104" i="57"/>
  <c r="W126" i="57"/>
  <c r="W153" i="57"/>
  <c r="W115" i="57"/>
  <c r="V161" i="57"/>
  <c r="U197" i="57"/>
  <c r="W68" i="57"/>
  <c r="W43" i="57"/>
  <c r="W34" i="57"/>
  <c r="W26" i="57"/>
  <c r="W93" i="57"/>
  <c r="W142" i="57"/>
  <c r="T155" i="57"/>
  <c r="U188" i="57"/>
  <c r="T160" i="57"/>
  <c r="W111" i="57"/>
  <c r="V179" i="57"/>
  <c r="W41" i="57"/>
  <c r="V138" i="57"/>
  <c r="V195" i="57"/>
  <c r="W128" i="57"/>
  <c r="V166" i="57"/>
  <c r="W13" i="57"/>
  <c r="U163" i="57"/>
  <c r="W109" i="57"/>
  <c r="V36" i="57"/>
  <c r="U204" i="57"/>
  <c r="V178" i="57"/>
  <c r="U164" i="57"/>
  <c r="U194" i="57"/>
  <c r="T163" i="57"/>
  <c r="U205" i="57"/>
  <c r="W61" i="57"/>
  <c r="W28" i="57"/>
  <c r="W29" i="57"/>
  <c r="V70" i="57"/>
  <c r="T187" i="57"/>
  <c r="W85" i="57"/>
  <c r="W80" i="57"/>
  <c r="W40" i="57"/>
  <c r="W103" i="57"/>
  <c r="U165" i="57"/>
  <c r="W62" i="57"/>
  <c r="V205" i="57"/>
  <c r="W35" i="57"/>
  <c r="U170" i="57"/>
  <c r="T171" i="57"/>
  <c r="T166" i="57"/>
  <c r="T164" i="57"/>
  <c r="T196" i="57"/>
  <c r="V204" i="57"/>
  <c r="U196" i="57"/>
  <c r="W69" i="57"/>
  <c r="U177" i="57"/>
  <c r="T194" i="57"/>
  <c r="V188" i="57"/>
  <c r="W149" i="57"/>
  <c r="W23" i="57"/>
  <c r="T36" i="57"/>
  <c r="V182" i="57"/>
  <c r="V200" i="57"/>
  <c r="T176" i="57"/>
  <c r="T87" i="57"/>
  <c r="W74" i="57"/>
  <c r="V160" i="57"/>
  <c r="W9" i="57"/>
  <c r="T200" i="57"/>
  <c r="W98" i="57"/>
  <c r="W148" i="57"/>
  <c r="T53" i="57"/>
  <c r="T205" i="57"/>
  <c r="U187" i="57"/>
  <c r="AH61" i="53"/>
  <c r="BF61" i="53" s="1"/>
  <c r="AH59" i="53"/>
  <c r="BF59" i="53" s="1"/>
  <c r="AJ69" i="53"/>
  <c r="BH69" i="53" s="1"/>
  <c r="AJ63" i="53"/>
  <c r="BH63" i="53" s="1"/>
  <c r="AJ27" i="53"/>
  <c r="BH27" i="53" s="1"/>
  <c r="BT27" i="53" s="1"/>
  <c r="CB26" i="53" s="1"/>
  <c r="CC26" i="53" s="1"/>
  <c r="AH34" i="53"/>
  <c r="BF34" i="53" s="1"/>
  <c r="AJ29" i="53"/>
  <c r="BH29" i="53" s="1"/>
  <c r="BT29" i="53" s="1"/>
  <c r="CD26" i="53" s="1"/>
  <c r="AI127" i="53"/>
  <c r="BG127" i="53" s="1"/>
  <c r="BS127" i="53" s="1"/>
  <c r="BZ127" i="53" s="1"/>
  <c r="CA127" i="53" s="1"/>
  <c r="AI131" i="53"/>
  <c r="BG131" i="53" s="1"/>
  <c r="BS131" i="53" s="1"/>
  <c r="CD127" i="53" s="1"/>
  <c r="AJ34" i="53"/>
  <c r="BH34" i="53" s="1"/>
  <c r="BT34" i="53" s="1"/>
  <c r="CJ26" i="53" s="1"/>
  <c r="AI132" i="53"/>
  <c r="BG132" i="53" s="1"/>
  <c r="BS132" i="53" s="1"/>
  <c r="CE127" i="53" s="1"/>
  <c r="AJ103" i="53"/>
  <c r="AI10" i="53"/>
  <c r="BG10" i="53" s="1"/>
  <c r="AJ91" i="53"/>
  <c r="BH91" i="53" s="1"/>
  <c r="BT103" i="53" s="1"/>
  <c r="AJ98" i="53"/>
  <c r="BH98" i="53" s="1"/>
  <c r="AJ97" i="53"/>
  <c r="BH97" i="53" s="1"/>
  <c r="AJ99" i="53"/>
  <c r="BH99" i="53" s="1"/>
  <c r="AJ100" i="53"/>
  <c r="BH100" i="53" s="1"/>
  <c r="AJ102" i="53"/>
  <c r="BH102" i="53" s="1"/>
  <c r="AV104" i="53"/>
  <c r="BB104" i="53" s="1"/>
  <c r="AJ93" i="53"/>
  <c r="BH93" i="53" s="1"/>
  <c r="W177" i="53"/>
  <c r="AI65" i="53"/>
  <c r="BG65" i="53" s="1"/>
  <c r="BS65" i="53" s="1"/>
  <c r="CG59" i="53" s="1"/>
  <c r="AI27" i="53"/>
  <c r="BG27" i="53" s="1"/>
  <c r="BS27" i="53" s="1"/>
  <c r="CB25" i="53" s="1"/>
  <c r="CC25" i="53" s="1"/>
  <c r="AI25" i="53"/>
  <c r="BG25" i="53" s="1"/>
  <c r="BS25" i="53" s="1"/>
  <c r="BZ25" i="53" s="1"/>
  <c r="CA25" i="53" s="1"/>
  <c r="AJ16" i="53"/>
  <c r="BH16" i="53" s="1"/>
  <c r="AJ8" i="53"/>
  <c r="BH8" i="53" s="1"/>
  <c r="AJ10" i="53"/>
  <c r="BH10" i="53" s="1"/>
  <c r="AJ12" i="53"/>
  <c r="BH12" i="53" s="1"/>
  <c r="AJ17" i="53"/>
  <c r="BH17" i="53" s="1"/>
  <c r="AJ149" i="53"/>
  <c r="BH149" i="53" s="1"/>
  <c r="BT149" i="53" s="1"/>
  <c r="CE145" i="53" s="1"/>
  <c r="AJ14" i="53"/>
  <c r="BH14" i="53" s="1"/>
  <c r="W195" i="53"/>
  <c r="AJ146" i="53"/>
  <c r="BH146" i="53" s="1"/>
  <c r="BT146" i="53" s="1"/>
  <c r="CB145" i="53" s="1"/>
  <c r="CC145" i="53" s="1"/>
  <c r="AJ15" i="53"/>
  <c r="BH15" i="53" s="1"/>
  <c r="AJ6" i="53"/>
  <c r="BH6" i="53" s="1"/>
  <c r="BT18" i="53" s="1"/>
  <c r="AV19" i="53"/>
  <c r="BB19" i="53" s="1"/>
  <c r="AJ153" i="53"/>
  <c r="BH153" i="53" s="1"/>
  <c r="BT153" i="53" s="1"/>
  <c r="CJ145" i="53" s="1"/>
  <c r="AJ13" i="53"/>
  <c r="BH13" i="53" s="1"/>
  <c r="AJ144" i="53"/>
  <c r="BH144" i="53" s="1"/>
  <c r="BT144" i="53" s="1"/>
  <c r="BZ145" i="53" s="1"/>
  <c r="CA145" i="53" s="1"/>
  <c r="AI6" i="53"/>
  <c r="BG6" i="53" s="1"/>
  <c r="BS18" i="53" s="1"/>
  <c r="W70" i="53"/>
  <c r="AK69" i="53" s="1"/>
  <c r="AI114" i="53"/>
  <c r="BG114" i="53" s="1"/>
  <c r="BS114" i="53" s="1"/>
  <c r="CD110" i="53" s="1"/>
  <c r="AI108" i="53"/>
  <c r="AH23" i="53"/>
  <c r="AJ47" i="53"/>
  <c r="BH47" i="53" s="1"/>
  <c r="BT47" i="53" s="1"/>
  <c r="CE43" i="53" s="1"/>
  <c r="AI61" i="53"/>
  <c r="BG61" i="53" s="1"/>
  <c r="BS61" i="53" s="1"/>
  <c r="CB59" i="53" s="1"/>
  <c r="CC59" i="53" s="1"/>
  <c r="AI63" i="53"/>
  <c r="BG63" i="53" s="1"/>
  <c r="BS63" i="53" s="1"/>
  <c r="CD59" i="53" s="1"/>
  <c r="AI68" i="53"/>
  <c r="BG68" i="53" s="1"/>
  <c r="BS68" i="53" s="1"/>
  <c r="AI69" i="53"/>
  <c r="BG69" i="53" s="1"/>
  <c r="BS69" i="53" s="1"/>
  <c r="AH13" i="53"/>
  <c r="BF13" i="53" s="1"/>
  <c r="AI46" i="53"/>
  <c r="BG46" i="53" s="1"/>
  <c r="AI59" i="53"/>
  <c r="BG59" i="53" s="1"/>
  <c r="BS59" i="53" s="1"/>
  <c r="BZ59" i="53" s="1"/>
  <c r="CA59" i="53" s="1"/>
  <c r="AI67" i="53"/>
  <c r="BG67" i="53" s="1"/>
  <c r="BS67" i="53" s="1"/>
  <c r="AI66" i="53"/>
  <c r="BG66" i="53" s="1"/>
  <c r="BS66" i="53" s="1"/>
  <c r="AI47" i="53"/>
  <c r="BG47" i="53" s="1"/>
  <c r="AI52" i="53"/>
  <c r="BG52" i="53" s="1"/>
  <c r="AI70" i="53"/>
  <c r="AU70" i="53"/>
  <c r="BA70" i="53" s="1"/>
  <c r="AI42" i="53"/>
  <c r="BG42" i="53" s="1"/>
  <c r="AI57" i="53"/>
  <c r="AI35" i="53"/>
  <c r="AH27" i="53"/>
  <c r="AJ131" i="53"/>
  <c r="BH131" i="53" s="1"/>
  <c r="BT131" i="53" s="1"/>
  <c r="CD128" i="53" s="1"/>
  <c r="V206" i="53"/>
  <c r="AJ125" i="53"/>
  <c r="AJ44" i="53"/>
  <c r="BH44" i="53" s="1"/>
  <c r="BT44" i="53" s="1"/>
  <c r="CB43" i="53" s="1"/>
  <c r="CC43" i="53" s="1"/>
  <c r="AI81" i="53"/>
  <c r="BG81" i="53" s="1"/>
  <c r="BT35" i="53"/>
  <c r="AV159" i="53"/>
  <c r="BB159" i="53" s="1"/>
  <c r="AJ121" i="53"/>
  <c r="AV121" i="53"/>
  <c r="BB121" i="53" s="1"/>
  <c r="AJ117" i="53"/>
  <c r="BH117" i="53" s="1"/>
  <c r="BT117" i="53" s="1"/>
  <c r="CH111" i="53" s="1"/>
  <c r="AJ118" i="53"/>
  <c r="BH118" i="53" s="1"/>
  <c r="BT118" i="53" s="1"/>
  <c r="CI111" i="53" s="1"/>
  <c r="AJ116" i="53"/>
  <c r="BH116" i="53" s="1"/>
  <c r="BT116" i="53" s="1"/>
  <c r="CG111" i="53" s="1"/>
  <c r="AJ112" i="53"/>
  <c r="BH112" i="53" s="1"/>
  <c r="BT112" i="53" s="1"/>
  <c r="CB111" i="53" s="1"/>
  <c r="CC111" i="53" s="1"/>
  <c r="AJ108" i="53"/>
  <c r="AJ120" i="53"/>
  <c r="AJ115" i="53"/>
  <c r="BH115" i="53" s="1"/>
  <c r="BT115" i="53" s="1"/>
  <c r="CE111" i="53" s="1"/>
  <c r="AJ110" i="53"/>
  <c r="BH110" i="53" s="1"/>
  <c r="BT110" i="53" s="1"/>
  <c r="BZ111" i="53" s="1"/>
  <c r="CA111" i="53" s="1"/>
  <c r="AW35" i="53"/>
  <c r="BC35" i="53" s="1"/>
  <c r="W176" i="53"/>
  <c r="T189" i="53"/>
  <c r="AH119" i="53"/>
  <c r="BF119" i="53" s="1"/>
  <c r="AW114" i="53"/>
  <c r="BC114" i="53" s="1"/>
  <c r="AH50" i="53"/>
  <c r="BF50" i="53" s="1"/>
  <c r="AH53" i="53"/>
  <c r="AT53" i="53"/>
  <c r="AZ53" i="53" s="1"/>
  <c r="AH49" i="53"/>
  <c r="BF49" i="53" s="1"/>
  <c r="AH48" i="53"/>
  <c r="BF48" i="53" s="1"/>
  <c r="AH51" i="53"/>
  <c r="BF51" i="53" s="1"/>
  <c r="AH40" i="53"/>
  <c r="AH47" i="53"/>
  <c r="BF47" i="53" s="1"/>
  <c r="AH52" i="53"/>
  <c r="BF52" i="53" s="1"/>
  <c r="AI12" i="53"/>
  <c r="BG12" i="53" s="1"/>
  <c r="AI16" i="53"/>
  <c r="BG16" i="53" s="1"/>
  <c r="AI19" i="53"/>
  <c r="AU19" i="53"/>
  <c r="BA19" i="53" s="1"/>
  <c r="AI15" i="53"/>
  <c r="BG15" i="53" s="1"/>
  <c r="AI14" i="53"/>
  <c r="BG14" i="53" s="1"/>
  <c r="AI13" i="53"/>
  <c r="BG13" i="53" s="1"/>
  <c r="AW44" i="53"/>
  <c r="BC44" i="53" s="1"/>
  <c r="AJ127" i="53"/>
  <c r="BH127" i="53" s="1"/>
  <c r="BT127" i="53" s="1"/>
  <c r="BZ128" i="53" s="1"/>
  <c r="CA128" i="53" s="1"/>
  <c r="AJ129" i="53"/>
  <c r="BH129" i="53" s="1"/>
  <c r="BT129" i="53" s="1"/>
  <c r="CB128" i="53" s="1"/>
  <c r="CC128" i="53" s="1"/>
  <c r="AH85" i="53"/>
  <c r="BF85" i="53" s="1"/>
  <c r="AH46" i="53"/>
  <c r="BF46" i="53" s="1"/>
  <c r="AH81" i="53"/>
  <c r="BF81" i="53" s="1"/>
  <c r="AI74" i="53"/>
  <c r="BG74" i="53" s="1"/>
  <c r="AW93" i="53"/>
  <c r="BC93" i="53" s="1"/>
  <c r="AW108" i="53"/>
  <c r="BC108" i="53" s="1"/>
  <c r="W121" i="53"/>
  <c r="AK114" i="53" s="1"/>
  <c r="AW144" i="53"/>
  <c r="BC144" i="53" s="1"/>
  <c r="AW27" i="53"/>
  <c r="BC27" i="53" s="1"/>
  <c r="AH93" i="53"/>
  <c r="BF93" i="53" s="1"/>
  <c r="AH100" i="53"/>
  <c r="BF100" i="53" s="1"/>
  <c r="AH101" i="53"/>
  <c r="BF101" i="53" s="1"/>
  <c r="AT104" i="53"/>
  <c r="AZ104" i="53" s="1"/>
  <c r="AH99" i="53"/>
  <c r="BF99" i="53" s="1"/>
  <c r="AH98" i="53"/>
  <c r="BF98" i="53" s="1"/>
  <c r="AH97" i="53"/>
  <c r="BF97" i="53" s="1"/>
  <c r="AH95" i="53"/>
  <c r="BF95" i="53" s="1"/>
  <c r="AJ137" i="53"/>
  <c r="AJ134" i="53"/>
  <c r="BH134" i="53" s="1"/>
  <c r="BT134" i="53" s="1"/>
  <c r="CH128" i="53" s="1"/>
  <c r="AJ135" i="53"/>
  <c r="BH135" i="53" s="1"/>
  <c r="BT135" i="53" s="1"/>
  <c r="CI128" i="53" s="1"/>
  <c r="AV138" i="53"/>
  <c r="BB138" i="53" s="1"/>
  <c r="AJ138" i="53"/>
  <c r="AJ133" i="53"/>
  <c r="BH133" i="53" s="1"/>
  <c r="BT133" i="53" s="1"/>
  <c r="CG128" i="53" s="1"/>
  <c r="AW85" i="53"/>
  <c r="BC85" i="53" s="1"/>
  <c r="AW81" i="53"/>
  <c r="BC81" i="53" s="1"/>
  <c r="AJ52" i="53"/>
  <c r="BH52" i="53" s="1"/>
  <c r="BT52" i="53" s="1"/>
  <c r="CK43" i="53" s="1"/>
  <c r="AV53" i="53"/>
  <c r="BB53" i="53" s="1"/>
  <c r="AJ49" i="53"/>
  <c r="BH49" i="53" s="1"/>
  <c r="BT49" i="53" s="1"/>
  <c r="CH43" i="53" s="1"/>
  <c r="AJ50" i="53"/>
  <c r="BH50" i="53" s="1"/>
  <c r="BT50" i="53" s="1"/>
  <c r="CI43" i="53" s="1"/>
  <c r="AJ53" i="53"/>
  <c r="AJ48" i="53"/>
  <c r="BH48" i="53" s="1"/>
  <c r="BT48" i="53" s="1"/>
  <c r="CG43" i="53" s="1"/>
  <c r="AJ46" i="53"/>
  <c r="BH46" i="53" s="1"/>
  <c r="BT46" i="53" s="1"/>
  <c r="CD43" i="53" s="1"/>
  <c r="AJ51" i="53"/>
  <c r="BH51" i="53" s="1"/>
  <c r="BT51" i="53" s="1"/>
  <c r="CJ43" i="53" s="1"/>
  <c r="AI129" i="53"/>
  <c r="BG129" i="53" s="1"/>
  <c r="BS129" i="53" s="1"/>
  <c r="CB127" i="53" s="1"/>
  <c r="CC127" i="53" s="1"/>
  <c r="AI134" i="53"/>
  <c r="BG134" i="53" s="1"/>
  <c r="BS134" i="53" s="1"/>
  <c r="CH127" i="53" s="1"/>
  <c r="AI138" i="53"/>
  <c r="AU138" i="53"/>
  <c r="BA138" i="53" s="1"/>
  <c r="AI135" i="53"/>
  <c r="BG135" i="53" s="1"/>
  <c r="BS135" i="53" s="1"/>
  <c r="CI127" i="53" s="1"/>
  <c r="AI133" i="53"/>
  <c r="BG133" i="53" s="1"/>
  <c r="BS133" i="53" s="1"/>
  <c r="CG127" i="53" s="1"/>
  <c r="AI136" i="53"/>
  <c r="BG136" i="53" s="1"/>
  <c r="BS136" i="53" s="1"/>
  <c r="CJ127" i="53" s="1"/>
  <c r="AI137" i="53"/>
  <c r="AW142" i="53"/>
  <c r="BC142" i="53" s="1"/>
  <c r="W155" i="53"/>
  <c r="AK148" i="53" s="1"/>
  <c r="AI78" i="53"/>
  <c r="BG78" i="53" s="1"/>
  <c r="AI87" i="53"/>
  <c r="AU87" i="53"/>
  <c r="BA87" i="53" s="1"/>
  <c r="AI83" i="53"/>
  <c r="BG83" i="53" s="1"/>
  <c r="AI84" i="53"/>
  <c r="BG84" i="53" s="1"/>
  <c r="AI82" i="53"/>
  <c r="BG82" i="53" s="1"/>
  <c r="AI76" i="53"/>
  <c r="BG76" i="53" s="1"/>
  <c r="AI80" i="53"/>
  <c r="BG80" i="53" s="1"/>
  <c r="AI86" i="53"/>
  <c r="AW119" i="53"/>
  <c r="BC119" i="53" s="1"/>
  <c r="AI149" i="53"/>
  <c r="BG149" i="53" s="1"/>
  <c r="AU155" i="53"/>
  <c r="BA155" i="53" s="1"/>
  <c r="AI155" i="53"/>
  <c r="AI152" i="53"/>
  <c r="AI151" i="53"/>
  <c r="AI150" i="53"/>
  <c r="BG150" i="53" s="1"/>
  <c r="AI144" i="53"/>
  <c r="BG144" i="53" s="1"/>
  <c r="AI154" i="53"/>
  <c r="AT164" i="53"/>
  <c r="AW6" i="53"/>
  <c r="BC6" i="53" s="1"/>
  <c r="W19" i="53"/>
  <c r="AK10" i="53" s="1"/>
  <c r="AH102" i="53"/>
  <c r="BF102" i="53" s="1"/>
  <c r="AH25" i="53"/>
  <c r="BF25" i="53" s="1"/>
  <c r="BH24" i="53"/>
  <c r="AJ32" i="53"/>
  <c r="BH32" i="53" s="1"/>
  <c r="BT32" i="53" s="1"/>
  <c r="CH26" i="53" s="1"/>
  <c r="AJ33" i="53"/>
  <c r="BH33" i="53" s="1"/>
  <c r="BT33" i="53" s="1"/>
  <c r="CI26" i="53" s="1"/>
  <c r="AJ36" i="53"/>
  <c r="AV36" i="53"/>
  <c r="BB36" i="53" s="1"/>
  <c r="AJ31" i="53"/>
  <c r="BH31" i="53" s="1"/>
  <c r="BT31" i="53" s="1"/>
  <c r="CG26" i="53" s="1"/>
  <c r="AJ35" i="53"/>
  <c r="AJ25" i="53"/>
  <c r="BH25" i="53" s="1"/>
  <c r="BT25" i="53" s="1"/>
  <c r="BZ26" i="53" s="1"/>
  <c r="CA26" i="53" s="1"/>
  <c r="AJ30" i="53"/>
  <c r="BH30" i="53" s="1"/>
  <c r="BT30" i="53" s="1"/>
  <c r="CE26" i="53" s="1"/>
  <c r="AW125" i="53"/>
  <c r="AW132" i="53"/>
  <c r="BC132" i="53" s="1"/>
  <c r="AW115" i="53"/>
  <c r="BC115" i="53" s="1"/>
  <c r="AW46" i="53"/>
  <c r="BC46" i="53" s="1"/>
  <c r="AW34" i="53"/>
  <c r="BC34" i="53" s="1"/>
  <c r="AT171" i="53"/>
  <c r="AZ171" i="53" s="1"/>
  <c r="AW120" i="53"/>
  <c r="AW23" i="53"/>
  <c r="BC23" i="53" s="1"/>
  <c r="W36" i="53"/>
  <c r="AJ119" i="53"/>
  <c r="BH119" i="53" s="1"/>
  <c r="BT119" i="53" s="1"/>
  <c r="CJ111" i="53" s="1"/>
  <c r="AH19" i="53"/>
  <c r="AT19" i="53"/>
  <c r="AZ19" i="53" s="1"/>
  <c r="AH15" i="53"/>
  <c r="BF15" i="53" s="1"/>
  <c r="AH16" i="53"/>
  <c r="BF16" i="53" s="1"/>
  <c r="AH14" i="53"/>
  <c r="BF14" i="53" s="1"/>
  <c r="AH8" i="53"/>
  <c r="BF8" i="53" s="1"/>
  <c r="AH18" i="53"/>
  <c r="BF18" i="53" s="1"/>
  <c r="AH17" i="53"/>
  <c r="BF17" i="53" s="1"/>
  <c r="AH12" i="53"/>
  <c r="BF12" i="53" s="1"/>
  <c r="AW110" i="53"/>
  <c r="BC110" i="53" s="1"/>
  <c r="AH142" i="53"/>
  <c r="AH151" i="53"/>
  <c r="BF151" i="53" s="1"/>
  <c r="BR151" i="53" s="1"/>
  <c r="CH143" i="53" s="1"/>
  <c r="AH152" i="53"/>
  <c r="AT155" i="53"/>
  <c r="AZ155" i="53" s="1"/>
  <c r="AH155" i="53"/>
  <c r="AH150" i="53"/>
  <c r="BF150" i="53" s="1"/>
  <c r="BR150" i="53" s="1"/>
  <c r="CG143" i="53" s="1"/>
  <c r="AH154" i="53"/>
  <c r="BF154" i="53" s="1"/>
  <c r="BR154" i="53" s="1"/>
  <c r="AH149" i="53"/>
  <c r="BF149" i="53" s="1"/>
  <c r="BR149" i="53" s="1"/>
  <c r="CE143" i="53" s="1"/>
  <c r="AH148" i="53"/>
  <c r="BF148" i="53" s="1"/>
  <c r="BR148" i="53" s="1"/>
  <c r="CD143" i="53" s="1"/>
  <c r="AH153" i="53"/>
  <c r="BF153" i="53" s="1"/>
  <c r="BR153" i="53" s="1"/>
  <c r="CJ143" i="53" s="1"/>
  <c r="U189" i="53"/>
  <c r="AH103" i="53"/>
  <c r="BF103" i="53" s="1"/>
  <c r="AI148" i="53"/>
  <c r="BG148" i="53" s="1"/>
  <c r="BT151" i="53"/>
  <c r="CH145" i="53" s="1"/>
  <c r="BT154" i="53"/>
  <c r="BT152" i="53"/>
  <c r="CI145" i="53" s="1"/>
  <c r="AH110" i="53"/>
  <c r="BF110" i="53" s="1"/>
  <c r="BR120" i="53" s="1"/>
  <c r="AH118" i="53"/>
  <c r="BF118" i="53" s="1"/>
  <c r="AT121" i="53"/>
  <c r="AZ121" i="53" s="1"/>
  <c r="AH121" i="53"/>
  <c r="AH117" i="53"/>
  <c r="BF117" i="53" s="1"/>
  <c r="AH116" i="53"/>
  <c r="BF116" i="53" s="1"/>
  <c r="AH114" i="53"/>
  <c r="BF114" i="53" s="1"/>
  <c r="AH80" i="53"/>
  <c r="BF80" i="53" s="1"/>
  <c r="AH87" i="53"/>
  <c r="AH83" i="53"/>
  <c r="BF83" i="53" s="1"/>
  <c r="AT87" i="53"/>
  <c r="AZ87" i="53" s="1"/>
  <c r="AH84" i="53"/>
  <c r="BF84" i="53" s="1"/>
  <c r="AH82" i="53"/>
  <c r="BF82" i="53" s="1"/>
  <c r="AH86" i="53"/>
  <c r="BF86" i="53" s="1"/>
  <c r="AH74" i="53"/>
  <c r="AH76" i="53"/>
  <c r="BF76" i="53" s="1"/>
  <c r="AW131" i="53"/>
  <c r="BC131" i="53" s="1"/>
  <c r="W53" i="53"/>
  <c r="AK46" i="53" s="1"/>
  <c r="AW40" i="53"/>
  <c r="BC40" i="53" s="1"/>
  <c r="AH35" i="53"/>
  <c r="BF35" i="53" s="1"/>
  <c r="AH33" i="53"/>
  <c r="BF33" i="53" s="1"/>
  <c r="AH36" i="53"/>
  <c r="AT36" i="53"/>
  <c r="AZ36" i="53" s="1"/>
  <c r="AH32" i="53"/>
  <c r="BF32" i="53" s="1"/>
  <c r="T38" i="53"/>
  <c r="AH31" i="53"/>
  <c r="BF31" i="53" s="1"/>
  <c r="AW25" i="53"/>
  <c r="BC25" i="53" s="1"/>
  <c r="AI40" i="53"/>
  <c r="BG40" i="53" s="1"/>
  <c r="BS44" i="53" s="1"/>
  <c r="CB42" i="53" s="1"/>
  <c r="CC42" i="53" s="1"/>
  <c r="AI49" i="53"/>
  <c r="BG49" i="53" s="1"/>
  <c r="AI50" i="53"/>
  <c r="BG50" i="53" s="1"/>
  <c r="AI53" i="53"/>
  <c r="AU53" i="53"/>
  <c r="BA53" i="53" s="1"/>
  <c r="AI48" i="53"/>
  <c r="BG48" i="53" s="1"/>
  <c r="AI51" i="53"/>
  <c r="BG51" i="53" s="1"/>
  <c r="AJ114" i="53"/>
  <c r="BH114" i="53" s="1"/>
  <c r="BT114" i="53" s="1"/>
  <c r="CD111" i="53" s="1"/>
  <c r="AI17" i="53"/>
  <c r="BG17" i="53" s="1"/>
  <c r="AJ154" i="53"/>
  <c r="AJ155" i="53"/>
  <c r="AV155" i="53"/>
  <c r="BB155" i="53" s="1"/>
  <c r="AJ151" i="53"/>
  <c r="AJ152" i="53"/>
  <c r="AJ150" i="53"/>
  <c r="BH150" i="53" s="1"/>
  <c r="BT150" i="53" s="1"/>
  <c r="CG145" i="53" s="1"/>
  <c r="AJ148" i="53"/>
  <c r="BH148" i="53" s="1"/>
  <c r="BT148" i="53" s="1"/>
  <c r="CD145" i="53" s="1"/>
  <c r="AH10" i="53"/>
  <c r="BF10" i="53" s="1"/>
  <c r="AU165" i="53"/>
  <c r="BA165" i="53" s="1"/>
  <c r="AH91" i="53"/>
  <c r="BR152" i="53"/>
  <c r="CI143" i="53" s="1"/>
  <c r="AI146" i="53"/>
  <c r="BG146" i="53" s="1"/>
  <c r="AH115" i="53"/>
  <c r="BF115" i="53" s="1"/>
  <c r="AH42" i="53"/>
  <c r="BF42" i="53" s="1"/>
  <c r="BR44" i="53" s="1"/>
  <c r="CB41" i="53" s="1"/>
  <c r="CC41" i="53" s="1"/>
  <c r="AI142" i="53"/>
  <c r="BG142" i="53" s="1"/>
  <c r="AT165" i="53"/>
  <c r="AZ165" i="53" s="1"/>
  <c r="W165" i="53"/>
  <c r="W194" i="53"/>
  <c r="AH112" i="53"/>
  <c r="BF112" i="53" s="1"/>
  <c r="AJ132" i="53"/>
  <c r="BH132" i="53" s="1"/>
  <c r="BT132" i="53" s="1"/>
  <c r="CE128" i="53" s="1"/>
  <c r="AH29" i="53"/>
  <c r="BF29" i="53" s="1"/>
  <c r="AW148" i="53"/>
  <c r="BC148" i="53" s="1"/>
  <c r="AH108" i="53"/>
  <c r="AW52" i="53"/>
  <c r="BC52" i="53" s="1"/>
  <c r="AW29" i="53"/>
  <c r="BC29" i="53" s="1"/>
  <c r="AW146" i="53"/>
  <c r="BC146" i="53" s="1"/>
  <c r="AI112" i="53"/>
  <c r="BG112" i="53" s="1"/>
  <c r="BS112" i="53" s="1"/>
  <c r="CB110" i="53" s="1"/>
  <c r="CC110" i="53" s="1"/>
  <c r="AU121" i="53"/>
  <c r="BA121" i="53" s="1"/>
  <c r="AI117" i="53"/>
  <c r="BG117" i="53" s="1"/>
  <c r="BS117" i="53" s="1"/>
  <c r="CH110" i="53" s="1"/>
  <c r="AI118" i="53"/>
  <c r="BG118" i="53" s="1"/>
  <c r="BS118" i="53" s="1"/>
  <c r="CI110" i="53" s="1"/>
  <c r="AI121" i="53"/>
  <c r="AI116" i="53"/>
  <c r="BG116" i="53" s="1"/>
  <c r="BS116" i="53" s="1"/>
  <c r="CG110" i="53" s="1"/>
  <c r="AI115" i="53"/>
  <c r="BG115" i="53" s="1"/>
  <c r="BS115" i="53" s="1"/>
  <c r="CE110" i="53" s="1"/>
  <c r="AI119" i="53"/>
  <c r="BG119" i="53" s="1"/>
  <c r="BS119" i="53" s="1"/>
  <c r="CJ110" i="53" s="1"/>
  <c r="AI110" i="53"/>
  <c r="BG110" i="53" s="1"/>
  <c r="BS110" i="53" s="1"/>
  <c r="BZ110" i="53" s="1"/>
  <c r="CA110" i="53" s="1"/>
  <c r="BG24" i="53"/>
  <c r="AU36" i="53"/>
  <c r="BA36" i="53" s="1"/>
  <c r="AI36" i="53"/>
  <c r="AI32" i="53"/>
  <c r="BG32" i="53" s="1"/>
  <c r="BS32" i="53" s="1"/>
  <c r="CH25" i="53" s="1"/>
  <c r="AI33" i="53"/>
  <c r="BG33" i="53" s="1"/>
  <c r="BS33" i="53" s="1"/>
  <c r="CI25" i="53" s="1"/>
  <c r="AI31" i="53"/>
  <c r="BG31" i="53" s="1"/>
  <c r="BS31" i="53" s="1"/>
  <c r="CG25" i="53" s="1"/>
  <c r="AI34" i="53"/>
  <c r="BG34" i="53" s="1"/>
  <c r="BS34" i="53" s="1"/>
  <c r="CJ25" i="53" s="1"/>
  <c r="AI29" i="53"/>
  <c r="BG29" i="53" s="1"/>
  <c r="BS29" i="53" s="1"/>
  <c r="CD25" i="53" s="1"/>
  <c r="AI8" i="53"/>
  <c r="BG8" i="53" s="1"/>
  <c r="AW112" i="53"/>
  <c r="BC112" i="53" s="1"/>
  <c r="AU170" i="53"/>
  <c r="BA170" i="53" s="1"/>
  <c r="AJ42" i="53"/>
  <c r="BH42" i="53" s="1"/>
  <c r="BT42" i="53" s="1"/>
  <c r="BZ43" i="53" s="1"/>
  <c r="CA43" i="53" s="1"/>
  <c r="W196" i="53" l="1"/>
  <c r="AH135" i="53"/>
  <c r="BF135" i="53" s="1"/>
  <c r="W197" i="53"/>
  <c r="W166" i="53"/>
  <c r="AW166" i="53" s="1"/>
  <c r="BC166" i="53" s="1"/>
  <c r="W171" i="53"/>
  <c r="AW171" i="53" s="1"/>
  <c r="BC171" i="53" s="1"/>
  <c r="W159" i="53"/>
  <c r="AW159" i="53" s="1"/>
  <c r="BC159" i="53" s="1"/>
  <c r="W193" i="53"/>
  <c r="AI103" i="53"/>
  <c r="AI102" i="53"/>
  <c r="BG102" i="53" s="1"/>
  <c r="AU104" i="53"/>
  <c r="BA104" i="53" s="1"/>
  <c r="AH136" i="53"/>
  <c r="BF136" i="53" s="1"/>
  <c r="AI91" i="53"/>
  <c r="BG91" i="53" s="1"/>
  <c r="BS103" i="53" s="1"/>
  <c r="AI99" i="53"/>
  <c r="BG99" i="53" s="1"/>
  <c r="AI100" i="53"/>
  <c r="BG100" i="53" s="1"/>
  <c r="AI93" i="53"/>
  <c r="BG93" i="53" s="1"/>
  <c r="AI101" i="53"/>
  <c r="BG101" i="53" s="1"/>
  <c r="AI95" i="53"/>
  <c r="BG95" i="53" s="1"/>
  <c r="U172" i="53"/>
  <c r="AI163" i="53" s="1"/>
  <c r="BG163" i="53" s="1"/>
  <c r="AI97" i="53"/>
  <c r="BG97" i="53" s="1"/>
  <c r="U206" i="53"/>
  <c r="W104" i="53"/>
  <c r="AK91" i="53" s="1"/>
  <c r="AH133" i="53"/>
  <c r="BF133" i="53" s="1"/>
  <c r="AH132" i="53"/>
  <c r="BF132" i="53" s="1"/>
  <c r="AH137" i="53"/>
  <c r="BF137" i="53" s="1"/>
  <c r="W205" i="53"/>
  <c r="AH134" i="53"/>
  <c r="BF134" i="53" s="1"/>
  <c r="AH125" i="53"/>
  <c r="AH131" i="53"/>
  <c r="BF131" i="53" s="1"/>
  <c r="AT138" i="53"/>
  <c r="AZ138" i="53" s="1"/>
  <c r="AH138" i="53"/>
  <c r="AH127" i="53"/>
  <c r="BF127" i="53" s="1"/>
  <c r="W138" i="53"/>
  <c r="AK125" i="53" s="1"/>
  <c r="T172" i="53"/>
  <c r="AH166" i="53" s="1"/>
  <c r="BF166" i="53" s="1"/>
  <c r="T206" i="53"/>
  <c r="W163" i="53"/>
  <c r="AW163" i="53" s="1"/>
  <c r="BC163" i="53" s="1"/>
  <c r="W164" i="53"/>
  <c r="AW164" i="53" s="1"/>
  <c r="BC164" i="53" s="1"/>
  <c r="W170" i="53"/>
  <c r="AW170" i="53" s="1"/>
  <c r="BC170" i="53" s="1"/>
  <c r="W162" i="53"/>
  <c r="AW162" i="53" s="1"/>
  <c r="BC162" i="53" s="1"/>
  <c r="BT67" i="53"/>
  <c r="W160" i="53"/>
  <c r="AW160" i="53" s="1"/>
  <c r="BC160" i="53" s="1"/>
  <c r="V172" i="53"/>
  <c r="AJ159" i="53" s="1"/>
  <c r="BH159" i="53" s="1"/>
  <c r="AJ82" i="53"/>
  <c r="BH82" i="53" s="1"/>
  <c r="W161" i="53"/>
  <c r="AW161" i="53" s="1"/>
  <c r="BC161" i="53" s="1"/>
  <c r="BT59" i="53"/>
  <c r="BZ60" i="53" s="1"/>
  <c r="CA60" i="53" s="1"/>
  <c r="W87" i="53"/>
  <c r="AK85" i="53" s="1"/>
  <c r="BR69" i="53"/>
  <c r="V189" i="53"/>
  <c r="AJ76" i="53"/>
  <c r="BH76" i="53" s="1"/>
  <c r="AJ74" i="53"/>
  <c r="BH74" i="53" s="1"/>
  <c r="BT86" i="53" s="1"/>
  <c r="AJ78" i="53"/>
  <c r="BH78" i="53" s="1"/>
  <c r="AJ87" i="53"/>
  <c r="AJ80" i="53"/>
  <c r="BH80" i="53" s="1"/>
  <c r="AJ86" i="53"/>
  <c r="AJ84" i="53"/>
  <c r="BH84" i="53" s="1"/>
  <c r="AV87" i="53"/>
  <c r="BB87" i="53" s="1"/>
  <c r="AJ83" i="53"/>
  <c r="BH83" i="53" s="1"/>
  <c r="BT63" i="53"/>
  <c r="CD60" i="53" s="1"/>
  <c r="AJ81" i="53"/>
  <c r="BH81" i="53" s="1"/>
  <c r="BT69" i="53"/>
  <c r="BT65" i="53"/>
  <c r="CG60" i="53" s="1"/>
  <c r="BT64" i="53"/>
  <c r="CE60" i="53" s="1"/>
  <c r="BT95" i="53"/>
  <c r="CB94" i="53" s="1"/>
  <c r="CC94" i="53" s="1"/>
  <c r="BT101" i="53"/>
  <c r="CI94" i="53" s="1"/>
  <c r="BT66" i="53"/>
  <c r="BT61" i="53"/>
  <c r="CB60" i="53" s="1"/>
  <c r="CC60" i="53" s="1"/>
  <c r="BT93" i="53"/>
  <c r="BZ94" i="53" s="1"/>
  <c r="CA94" i="53" s="1"/>
  <c r="BR61" i="53"/>
  <c r="CB58" i="53" s="1"/>
  <c r="CC58" i="53" s="1"/>
  <c r="BS12" i="53"/>
  <c r="CD8" i="53" s="1"/>
  <c r="W182" i="57"/>
  <c r="BT97" i="53"/>
  <c r="CD94" i="53" s="1"/>
  <c r="BR64" i="53"/>
  <c r="CE58" i="53" s="1"/>
  <c r="BR63" i="53"/>
  <c r="CD58" i="53" s="1"/>
  <c r="W197" i="57"/>
  <c r="W193" i="57"/>
  <c r="W183" i="57"/>
  <c r="W199" i="57"/>
  <c r="W195" i="57"/>
  <c r="W198" i="57"/>
  <c r="W159" i="57"/>
  <c r="W165" i="57"/>
  <c r="W162" i="57"/>
  <c r="W205" i="57"/>
  <c r="W170" i="57"/>
  <c r="U206" i="57"/>
  <c r="W204" i="57"/>
  <c r="W179" i="57"/>
  <c r="V189" i="57"/>
  <c r="W180" i="57"/>
  <c r="W160" i="57"/>
  <c r="BS13" i="53"/>
  <c r="CE8" i="53" s="1"/>
  <c r="V172" i="57"/>
  <c r="W138" i="57"/>
  <c r="U189" i="57"/>
  <c r="T189" i="57"/>
  <c r="W176" i="57"/>
  <c r="W164" i="57"/>
  <c r="BS14" i="53"/>
  <c r="CG8" i="53" s="1"/>
  <c r="W36" i="57"/>
  <c r="W171" i="57"/>
  <c r="W70" i="57"/>
  <c r="T38" i="57"/>
  <c r="W155" i="57"/>
  <c r="BS17" i="53"/>
  <c r="CJ8" i="53" s="1"/>
  <c r="BS15" i="53"/>
  <c r="CH8" i="53" s="1"/>
  <c r="W194" i="57"/>
  <c r="W181" i="57"/>
  <c r="W166" i="57"/>
  <c r="W53" i="57"/>
  <c r="W187" i="57"/>
  <c r="T172" i="57"/>
  <c r="V206" i="57"/>
  <c r="W161" i="57"/>
  <c r="W163" i="57"/>
  <c r="BS8" i="53"/>
  <c r="BZ8" i="53" s="1"/>
  <c r="CA8" i="53" s="1"/>
  <c r="BR68" i="53"/>
  <c r="W87" i="57"/>
  <c r="T206" i="57"/>
  <c r="W177" i="57"/>
  <c r="W178" i="57"/>
  <c r="BS16" i="53"/>
  <c r="CI8" i="53" s="1"/>
  <c r="W200" i="57"/>
  <c r="W196" i="57"/>
  <c r="W19" i="57"/>
  <c r="W104" i="57"/>
  <c r="W121" i="57"/>
  <c r="U172" i="57"/>
  <c r="W188" i="57"/>
  <c r="BR66" i="53"/>
  <c r="BR67" i="53"/>
  <c r="BR65" i="53"/>
  <c r="CG58" i="53" s="1"/>
  <c r="BT16" i="53"/>
  <c r="CI9" i="53" s="1"/>
  <c r="BT13" i="53"/>
  <c r="CE9" i="53" s="1"/>
  <c r="BT17" i="53"/>
  <c r="CJ9" i="53" s="1"/>
  <c r="BS10" i="53"/>
  <c r="CB8" i="53" s="1"/>
  <c r="CC8" i="53" s="1"/>
  <c r="BR103" i="53"/>
  <c r="BS76" i="53"/>
  <c r="BZ76" i="53" s="1"/>
  <c r="CA76" i="53" s="1"/>
  <c r="BR86" i="53"/>
  <c r="BS82" i="53"/>
  <c r="CG76" i="53" s="1"/>
  <c r="BS84" i="53"/>
  <c r="CI76" i="53" s="1"/>
  <c r="BS83" i="53"/>
  <c r="CH76" i="53" s="1"/>
  <c r="BT98" i="53"/>
  <c r="CE94" i="53" s="1"/>
  <c r="BT100" i="53"/>
  <c r="CH94" i="53" s="1"/>
  <c r="BT15" i="53"/>
  <c r="CH9" i="53" s="1"/>
  <c r="AK57" i="53"/>
  <c r="BT12" i="53"/>
  <c r="CD9" i="53" s="1"/>
  <c r="BT99" i="53"/>
  <c r="CG94" i="53" s="1"/>
  <c r="BR33" i="53"/>
  <c r="CI24" i="53" s="1"/>
  <c r="BT102" i="53"/>
  <c r="CJ94" i="53" s="1"/>
  <c r="BR31" i="53"/>
  <c r="CG24" i="53" s="1"/>
  <c r="AK119" i="53"/>
  <c r="BR29" i="53"/>
  <c r="CD24" i="53" s="1"/>
  <c r="BR32" i="53"/>
  <c r="CH24" i="53" s="1"/>
  <c r="BT8" i="53"/>
  <c r="BZ9" i="53" s="1"/>
  <c r="CA9" i="53" s="1"/>
  <c r="AK52" i="53"/>
  <c r="BT14" i="53"/>
  <c r="CG9" i="53" s="1"/>
  <c r="BR112" i="53"/>
  <c r="CB109" i="53" s="1"/>
  <c r="CC109" i="53" s="1"/>
  <c r="BS78" i="53"/>
  <c r="CB76" i="53" s="1"/>
  <c r="CC76" i="53" s="1"/>
  <c r="BT10" i="53"/>
  <c r="CB9" i="53" s="1"/>
  <c r="CC9" i="53" s="1"/>
  <c r="AK120" i="53"/>
  <c r="AK64" i="53"/>
  <c r="AK65" i="53"/>
  <c r="AK61" i="53"/>
  <c r="AK68" i="53"/>
  <c r="AK70" i="53"/>
  <c r="AW70" i="53"/>
  <c r="BC70" i="53" s="1"/>
  <c r="BR115" i="53"/>
  <c r="CE109" i="53" s="1"/>
  <c r="AK66" i="53"/>
  <c r="AK67" i="53"/>
  <c r="AK59" i="53"/>
  <c r="AK110" i="53"/>
  <c r="AK112" i="53"/>
  <c r="AK115" i="53"/>
  <c r="AK63" i="53"/>
  <c r="BR102" i="53"/>
  <c r="CJ92" i="53" s="1"/>
  <c r="BR117" i="53"/>
  <c r="CH109" i="53" s="1"/>
  <c r="BR114" i="53"/>
  <c r="CD109" i="53" s="1"/>
  <c r="BS144" i="53"/>
  <c r="BZ144" i="53" s="1"/>
  <c r="CA144" i="53" s="1"/>
  <c r="BR97" i="53"/>
  <c r="CD92" i="53" s="1"/>
  <c r="BR116" i="53"/>
  <c r="CG109" i="53" s="1"/>
  <c r="BR98" i="53"/>
  <c r="CE92" i="53" s="1"/>
  <c r="BR101" i="53"/>
  <c r="CI92" i="53" s="1"/>
  <c r="BR118" i="53"/>
  <c r="CI109" i="53" s="1"/>
  <c r="BR100" i="53"/>
  <c r="CH92" i="53" s="1"/>
  <c r="BR47" i="53"/>
  <c r="CE41" i="53" s="1"/>
  <c r="BR80" i="53"/>
  <c r="CD75" i="53" s="1"/>
  <c r="BR10" i="53"/>
  <c r="CB7" i="53" s="1"/>
  <c r="CC7" i="53" s="1"/>
  <c r="BR18" i="53"/>
  <c r="BR78" i="53"/>
  <c r="CB75" i="53" s="1"/>
  <c r="CC75" i="53" s="1"/>
  <c r="BS42" i="53"/>
  <c r="BZ42" i="53" s="1"/>
  <c r="CA42" i="53" s="1"/>
  <c r="BS146" i="53"/>
  <c r="CB144" i="53" s="1"/>
  <c r="CC144" i="53" s="1"/>
  <c r="BS154" i="53"/>
  <c r="BS151" i="53"/>
  <c r="CH144" i="53" s="1"/>
  <c r="BS152" i="53"/>
  <c r="CI144" i="53" s="1"/>
  <c r="BS50" i="53"/>
  <c r="CI42" i="53" s="1"/>
  <c r="BR14" i="53"/>
  <c r="CG7" i="53" s="1"/>
  <c r="AK6" i="53"/>
  <c r="AK15" i="53"/>
  <c r="AK16" i="53"/>
  <c r="AW19" i="53"/>
  <c r="BC19" i="53" s="1"/>
  <c r="AK19" i="53"/>
  <c r="AK14" i="53"/>
  <c r="AK18" i="53"/>
  <c r="AK13" i="53"/>
  <c r="AK8" i="53"/>
  <c r="AK12" i="53"/>
  <c r="AK17" i="53"/>
  <c r="BS150" i="53"/>
  <c r="CG144" i="53" s="1"/>
  <c r="BS81" i="53"/>
  <c r="CE76" i="53" s="1"/>
  <c r="BS86" i="53"/>
  <c r="AK30" i="53"/>
  <c r="AW36" i="53"/>
  <c r="BC36" i="53" s="1"/>
  <c r="AK32" i="53"/>
  <c r="AK36" i="53"/>
  <c r="AK33" i="53"/>
  <c r="AK31" i="53"/>
  <c r="BR13" i="53"/>
  <c r="CE7" i="53" s="1"/>
  <c r="BS49" i="53"/>
  <c r="CH42" i="53" s="1"/>
  <c r="BR16" i="53"/>
  <c r="CI7" i="53" s="1"/>
  <c r="BS47" i="53"/>
  <c r="CE42" i="53" s="1"/>
  <c r="BR51" i="53"/>
  <c r="CJ41" i="53" s="1"/>
  <c r="BR81" i="53"/>
  <c r="CE75" i="53" s="1"/>
  <c r="BR48" i="53"/>
  <c r="CG41" i="53" s="1"/>
  <c r="BR119" i="53"/>
  <c r="CJ109" i="53" s="1"/>
  <c r="AK25" i="53"/>
  <c r="BR84" i="53"/>
  <c r="CI75" i="53" s="1"/>
  <c r="BR95" i="53"/>
  <c r="CB92" i="53" s="1"/>
  <c r="CC92" i="53" s="1"/>
  <c r="AK27" i="53"/>
  <c r="AK108" i="53"/>
  <c r="AK121" i="53"/>
  <c r="AW121" i="53"/>
  <c r="BC121" i="53" s="1"/>
  <c r="AK117" i="53"/>
  <c r="AK118" i="53"/>
  <c r="AK116" i="53"/>
  <c r="BR46" i="53"/>
  <c r="CD41" i="53" s="1"/>
  <c r="BR49" i="53"/>
  <c r="CH41" i="53" s="1"/>
  <c r="AK29" i="53"/>
  <c r="AW165" i="53"/>
  <c r="BC165" i="53" s="1"/>
  <c r="BS52" i="53"/>
  <c r="CK42" i="53" s="1"/>
  <c r="BS51" i="53"/>
  <c r="CJ42" i="53" s="1"/>
  <c r="AK40" i="53"/>
  <c r="AK53" i="53"/>
  <c r="AW53" i="53"/>
  <c r="BC53" i="53" s="1"/>
  <c r="AK49" i="53"/>
  <c r="AK50" i="53"/>
  <c r="AK48" i="53"/>
  <c r="AK42" i="53"/>
  <c r="AK51" i="53"/>
  <c r="AK47" i="53"/>
  <c r="BS148" i="53"/>
  <c r="CD144" i="53" s="1"/>
  <c r="BR12" i="53"/>
  <c r="CD7" i="53" s="1"/>
  <c r="BR34" i="53"/>
  <c r="CJ24" i="53" s="1"/>
  <c r="BR27" i="53"/>
  <c r="CB24" i="53" s="1"/>
  <c r="CC24" i="53" s="1"/>
  <c r="BR35" i="53"/>
  <c r="AK154" i="53"/>
  <c r="AW155" i="53"/>
  <c r="BC155" i="53" s="1"/>
  <c r="AK155" i="53"/>
  <c r="AK151" i="53"/>
  <c r="AK152" i="53"/>
  <c r="AK150" i="53"/>
  <c r="AK153" i="53"/>
  <c r="AK149" i="53"/>
  <c r="BR85" i="53"/>
  <c r="CJ75" i="53" s="1"/>
  <c r="BR15" i="53"/>
  <c r="CH7" i="53" s="1"/>
  <c r="BR83" i="53"/>
  <c r="CH75" i="53" s="1"/>
  <c r="BR17" i="53"/>
  <c r="CJ7" i="53" s="1"/>
  <c r="AK34" i="53"/>
  <c r="BS46" i="53"/>
  <c r="CD42" i="53" s="1"/>
  <c r="BS149" i="53"/>
  <c r="CE144" i="53" s="1"/>
  <c r="AK144" i="53"/>
  <c r="AK44" i="53"/>
  <c r="W189" i="53"/>
  <c r="BS153" i="53"/>
  <c r="CJ144" i="53" s="1"/>
  <c r="BS85" i="53"/>
  <c r="CJ76" i="53" s="1"/>
  <c r="BR82" i="53"/>
  <c r="CG75" i="53" s="1"/>
  <c r="BS48" i="53"/>
  <c r="CG42" i="53" s="1"/>
  <c r="AK146" i="53"/>
  <c r="AK23" i="53"/>
  <c r="BS80" i="53"/>
  <c r="CD76" i="53" s="1"/>
  <c r="AK142" i="53"/>
  <c r="BR99" i="53"/>
  <c r="CG92" i="53" s="1"/>
  <c r="BR52" i="53"/>
  <c r="CK41" i="53" s="1"/>
  <c r="BR50" i="53"/>
  <c r="CI41" i="53" s="1"/>
  <c r="AK35" i="53"/>
  <c r="BR30" i="53"/>
  <c r="CE24" i="53" s="1"/>
  <c r="AK135" i="53" l="1"/>
  <c r="W206" i="53"/>
  <c r="AK133" i="53"/>
  <c r="AK131" i="53"/>
  <c r="BS102" i="53"/>
  <c r="CJ93" i="53" s="1"/>
  <c r="AK137" i="53"/>
  <c r="AK136" i="53"/>
  <c r="AI167" i="53"/>
  <c r="BG167" i="53" s="1"/>
  <c r="AH165" i="53"/>
  <c r="BF165" i="53" s="1"/>
  <c r="AJ163" i="53"/>
  <c r="BH163" i="53" s="1"/>
  <c r="BT163" i="53" s="1"/>
  <c r="CB162" i="53" s="1"/>
  <c r="CC162" i="53" s="1"/>
  <c r="AV172" i="53"/>
  <c r="BB172" i="53" s="1"/>
  <c r="AI165" i="53"/>
  <c r="BG165" i="53" s="1"/>
  <c r="BS98" i="53"/>
  <c r="CE93" i="53" s="1"/>
  <c r="BS101" i="53"/>
  <c r="CI93" i="53" s="1"/>
  <c r="BS99" i="53"/>
  <c r="CG93" i="53" s="1"/>
  <c r="BS100" i="53"/>
  <c r="CH93" i="53" s="1"/>
  <c r="BR136" i="53"/>
  <c r="CJ126" i="53" s="1"/>
  <c r="BS93" i="53"/>
  <c r="BZ93" i="53" s="1"/>
  <c r="CA93" i="53" s="1"/>
  <c r="BS97" i="53"/>
  <c r="CD93" i="53" s="1"/>
  <c r="BS95" i="53"/>
  <c r="CB93" i="53" s="1"/>
  <c r="CC93" i="53" s="1"/>
  <c r="AI169" i="53"/>
  <c r="BG169" i="53" s="1"/>
  <c r="BR129" i="53"/>
  <c r="CB126" i="53" s="1"/>
  <c r="CC126" i="53" s="1"/>
  <c r="AI168" i="53"/>
  <c r="BG168" i="53" s="1"/>
  <c r="AI172" i="53"/>
  <c r="AI171" i="53"/>
  <c r="BG171" i="53" s="1"/>
  <c r="BR134" i="53"/>
  <c r="CH126" i="53" s="1"/>
  <c r="AI159" i="53"/>
  <c r="BG159" i="53" s="1"/>
  <c r="AU172" i="53"/>
  <c r="BA172" i="53" s="1"/>
  <c r="AI170" i="53"/>
  <c r="BG170" i="53" s="1"/>
  <c r="AW104" i="53"/>
  <c r="BC104" i="53" s="1"/>
  <c r="AI161" i="53"/>
  <c r="BG161" i="53" s="1"/>
  <c r="AK81" i="53"/>
  <c r="AI166" i="53"/>
  <c r="BG166" i="53" s="1"/>
  <c r="AK95" i="53"/>
  <c r="AK93" i="53"/>
  <c r="BR132" i="53"/>
  <c r="CE126" i="53" s="1"/>
  <c r="AH163" i="53"/>
  <c r="BF163" i="53" s="1"/>
  <c r="AJ171" i="53"/>
  <c r="BH171" i="53" s="1"/>
  <c r="BT171" i="53" s="1"/>
  <c r="CK162" i="53" s="1"/>
  <c r="AH171" i="53"/>
  <c r="BF171" i="53" s="1"/>
  <c r="AJ161" i="53"/>
  <c r="BH161" i="53" s="1"/>
  <c r="BT161" i="53" s="1"/>
  <c r="BZ162" i="53" s="1"/>
  <c r="CA162" i="53" s="1"/>
  <c r="AW138" i="53"/>
  <c r="BC138" i="53" s="1"/>
  <c r="AT172" i="53"/>
  <c r="AZ172" i="53" s="1"/>
  <c r="AJ170" i="53"/>
  <c r="BH170" i="53" s="1"/>
  <c r="BT170" i="53" s="1"/>
  <c r="CJ162" i="53" s="1"/>
  <c r="AJ166" i="53"/>
  <c r="BH166" i="53" s="1"/>
  <c r="BT166" i="53" s="1"/>
  <c r="CE162" i="53" s="1"/>
  <c r="AK134" i="53"/>
  <c r="AJ167" i="53"/>
  <c r="BH167" i="53" s="1"/>
  <c r="BT167" i="53" s="1"/>
  <c r="CG162" i="53" s="1"/>
  <c r="AK127" i="53"/>
  <c r="AK138" i="53"/>
  <c r="AH172" i="53"/>
  <c r="AH167" i="53"/>
  <c r="BF167" i="53" s="1"/>
  <c r="AK132" i="53"/>
  <c r="AH159" i="53"/>
  <c r="AJ168" i="53"/>
  <c r="BH168" i="53" s="1"/>
  <c r="BT168" i="53" s="1"/>
  <c r="CH162" i="53" s="1"/>
  <c r="AK129" i="53"/>
  <c r="AH170" i="53"/>
  <c r="BF170" i="53" s="1"/>
  <c r="BR133" i="53"/>
  <c r="CG126" i="53" s="1"/>
  <c r="BR131" i="53"/>
  <c r="CD126" i="53" s="1"/>
  <c r="AJ165" i="53"/>
  <c r="BH165" i="53" s="1"/>
  <c r="BT165" i="53" s="1"/>
  <c r="CD162" i="53" s="1"/>
  <c r="BR135" i="53"/>
  <c r="CI126" i="53" s="1"/>
  <c r="BR137" i="53"/>
  <c r="AH161" i="53"/>
  <c r="BF161" i="53" s="1"/>
  <c r="BR166" i="53" s="1"/>
  <c r="CE160" i="53" s="1"/>
  <c r="AJ172" i="53"/>
  <c r="AH169" i="53"/>
  <c r="BF169" i="53" s="1"/>
  <c r="AJ169" i="53"/>
  <c r="BH169" i="53" s="1"/>
  <c r="BT169" i="53" s="1"/>
  <c r="CI162" i="53" s="1"/>
  <c r="AH168" i="53"/>
  <c r="BF168" i="53" s="1"/>
  <c r="W172" i="53"/>
  <c r="AK159" i="53" s="1"/>
  <c r="AK74" i="53"/>
  <c r="AK83" i="53"/>
  <c r="AK80" i="53"/>
  <c r="AK82" i="53"/>
  <c r="AW87" i="53"/>
  <c r="BC87" i="53" s="1"/>
  <c r="AK87" i="53"/>
  <c r="AK84" i="53"/>
  <c r="AK76" i="53"/>
  <c r="AK78" i="53"/>
  <c r="AK86" i="53"/>
  <c r="BT85" i="53"/>
  <c r="CJ77" i="53" s="1"/>
  <c r="BT76" i="53"/>
  <c r="BZ77" i="53" s="1"/>
  <c r="CA77" i="53" s="1"/>
  <c r="BT80" i="53"/>
  <c r="CD77" i="53" s="1"/>
  <c r="BT84" i="53"/>
  <c r="CI77" i="53" s="1"/>
  <c r="BT83" i="53"/>
  <c r="CH77" i="53" s="1"/>
  <c r="BT81" i="53"/>
  <c r="CE77" i="53" s="1"/>
  <c r="BT78" i="53"/>
  <c r="CB77" i="53" s="1"/>
  <c r="CC77" i="53" s="1"/>
  <c r="BT82" i="53"/>
  <c r="CG77" i="53" s="1"/>
  <c r="W206" i="57"/>
  <c r="W172" i="57"/>
  <c r="W189" i="57"/>
  <c r="BS167" i="53" l="1"/>
  <c r="CG161" i="53" s="1"/>
  <c r="BS166" i="53"/>
  <c r="CE161" i="53" s="1"/>
  <c r="BS171" i="53"/>
  <c r="CK161" i="53" s="1"/>
  <c r="BS161" i="53"/>
  <c r="BZ161" i="53" s="1"/>
  <c r="CA161" i="53" s="1"/>
  <c r="BR163" i="53"/>
  <c r="CB160" i="53" s="1"/>
  <c r="CC160" i="53" s="1"/>
  <c r="BS169" i="53"/>
  <c r="CI161" i="53" s="1"/>
  <c r="BR170" i="53"/>
  <c r="CJ160" i="53" s="1"/>
  <c r="BR171" i="53"/>
  <c r="CK160" i="53" s="1"/>
  <c r="BS168" i="53"/>
  <c r="CH161" i="53" s="1"/>
  <c r="AK167" i="53"/>
  <c r="BS165" i="53"/>
  <c r="CD161" i="53" s="1"/>
  <c r="BS170" i="53"/>
  <c r="CJ161" i="53" s="1"/>
  <c r="BS163" i="53"/>
  <c r="CB161" i="53" s="1"/>
  <c r="CC161" i="53" s="1"/>
  <c r="AK165" i="53"/>
  <c r="BR167" i="53"/>
  <c r="CG160" i="53" s="1"/>
  <c r="AK170" i="53"/>
  <c r="AW172" i="53"/>
  <c r="BC172" i="53" s="1"/>
  <c r="AK171" i="53"/>
  <c r="AK168" i="53"/>
  <c r="AK163" i="53"/>
  <c r="AK172" i="53"/>
  <c r="BR169" i="53"/>
  <c r="CI160" i="53" s="1"/>
  <c r="AK166" i="53"/>
  <c r="AK169" i="53"/>
  <c r="AK161" i="53"/>
  <c r="BR168" i="53"/>
  <c r="CH160" i="53" s="1"/>
  <c r="BR165" i="53"/>
  <c r="CD160" i="53" s="1"/>
  <c r="C36" i="45"/>
  <c r="C61" i="45" s="1"/>
  <c r="AB36" i="45" l="1"/>
  <c r="C65" i="45"/>
  <c r="AB65" i="45" l="1"/>
  <c r="C94" i="45"/>
  <c r="C90" i="45"/>
  <c r="C119" i="45" s="1"/>
  <c r="AF36" i="45"/>
  <c r="AF65" i="45" s="1"/>
  <c r="AS36" i="45"/>
  <c r="AS65" i="45" s="1"/>
  <c r="AP36" i="45"/>
  <c r="AP65" i="45" s="1"/>
  <c r="AU36" i="45"/>
  <c r="AU65" i="45" s="1"/>
  <c r="AQ36" i="45"/>
  <c r="AQ65" i="45" s="1"/>
  <c r="AO36" i="45"/>
  <c r="AO65" i="45" s="1"/>
  <c r="AZ36" i="45"/>
  <c r="AZ65" i="45" s="1"/>
  <c r="AR36" i="45"/>
  <c r="AR65" i="45" s="1"/>
  <c r="BA36" i="45"/>
  <c r="BA65" i="45" s="1"/>
  <c r="AI36" i="45"/>
  <c r="AI65" i="45" s="1"/>
  <c r="AV36" i="45"/>
  <c r="AV65" i="45" s="1"/>
  <c r="AG36" i="45"/>
  <c r="AG65" i="45" s="1"/>
  <c r="AY36" i="45"/>
  <c r="AY65" i="45" s="1"/>
  <c r="AT36" i="45"/>
  <c r="AT65" i="45" s="1"/>
  <c r="BC36" i="45"/>
  <c r="BC65" i="45" s="1"/>
  <c r="AW36" i="45"/>
  <c r="AW65" i="45" s="1"/>
  <c r="BB36" i="45"/>
  <c r="BB65" i="45" s="1"/>
  <c r="AJ36" i="45"/>
  <c r="AJ65" i="45" s="1"/>
  <c r="AN36" i="45"/>
  <c r="AN65" i="45" s="1"/>
  <c r="AM36" i="45"/>
  <c r="AM65" i="45" s="1"/>
  <c r="AK36" i="45"/>
  <c r="AK65" i="45" s="1"/>
  <c r="AE36" i="45"/>
  <c r="AX36" i="45"/>
  <c r="AX65" i="45" s="1"/>
  <c r="AH36" i="45"/>
  <c r="AH65" i="45" s="1"/>
  <c r="AL36" i="45"/>
  <c r="AL65" i="45" s="1"/>
  <c r="AB61" i="45"/>
  <c r="AE61" i="45" l="1"/>
  <c r="BC61" i="45"/>
  <c r="BC90" i="45" s="1"/>
  <c r="AG61" i="45"/>
  <c r="AG90" i="45" s="1"/>
  <c r="AZ61" i="45"/>
  <c r="AZ90" i="45" s="1"/>
  <c r="AN61" i="45"/>
  <c r="AN90" i="45" s="1"/>
  <c r="AX61" i="45"/>
  <c r="AX90" i="45" s="1"/>
  <c r="AV61" i="45"/>
  <c r="AV90" i="45" s="1"/>
  <c r="BA61" i="45"/>
  <c r="BA90" i="45" s="1"/>
  <c r="AI61" i="45"/>
  <c r="AI90" i="45" s="1"/>
  <c r="AS61" i="45"/>
  <c r="AS90" i="45" s="1"/>
  <c r="AY61" i="45"/>
  <c r="AY90" i="45" s="1"/>
  <c r="AF61" i="45"/>
  <c r="AF90" i="45" s="1"/>
  <c r="AT61" i="45"/>
  <c r="AT90" i="45" s="1"/>
  <c r="AO61" i="45"/>
  <c r="AO90" i="45" s="1"/>
  <c r="AJ61" i="45"/>
  <c r="AJ90" i="45" s="1"/>
  <c r="AP61" i="45"/>
  <c r="AP90" i="45" s="1"/>
  <c r="AM61" i="45"/>
  <c r="AM90" i="45" s="1"/>
  <c r="AK61" i="45"/>
  <c r="AK90" i="45" s="1"/>
  <c r="AL61" i="45"/>
  <c r="AL90" i="45" s="1"/>
  <c r="AW61" i="45"/>
  <c r="AW90" i="45" s="1"/>
  <c r="AH61" i="45"/>
  <c r="AH90" i="45" s="1"/>
  <c r="AQ61" i="45"/>
  <c r="AQ90" i="45" s="1"/>
  <c r="AU61" i="45"/>
  <c r="AU90" i="45" s="1"/>
  <c r="BB61" i="45"/>
  <c r="BB90" i="45" s="1"/>
  <c r="AR61" i="45"/>
  <c r="AR90" i="45" s="1"/>
  <c r="BD36" i="45"/>
  <c r="AE65" i="45"/>
  <c r="BD65" i="45" s="1"/>
  <c r="AB94" i="45"/>
  <c r="AB90" i="45"/>
  <c r="AB119" i="45" s="1"/>
  <c r="BD61" i="45" l="1"/>
  <c r="AE90" i="45"/>
  <c r="BD90" i="45" s="1"/>
</calcChain>
</file>

<file path=xl/sharedStrings.xml><?xml version="1.0" encoding="utf-8"?>
<sst xmlns="http://schemas.openxmlformats.org/spreadsheetml/2006/main" count="19950" uniqueCount="702">
  <si>
    <t>lowValues</t>
  </si>
  <si>
    <t>upValues</t>
  </si>
  <si>
    <t>Inf</t>
  </si>
  <si>
    <t>Model</t>
  </si>
  <si>
    <t>Work</t>
  </si>
  <si>
    <t>University</t>
  </si>
  <si>
    <t>School</t>
  </si>
  <si>
    <t>Survey</t>
  </si>
  <si>
    <t>AO_Level</t>
  </si>
  <si>
    <t>4+</t>
  </si>
  <si>
    <t>Count</t>
  </si>
  <si>
    <t>Percent</t>
  </si>
  <si>
    <t>workFreqJa</t>
  </si>
  <si>
    <t>univFreqJa</t>
  </si>
  <si>
    <t>schFreqJa</t>
  </si>
  <si>
    <t>Autos</t>
  </si>
  <si>
    <t>0-30K</t>
  </si>
  <si>
    <t>30K-60k</t>
  </si>
  <si>
    <t>60K-100K</t>
  </si>
  <si>
    <t>100K+</t>
  </si>
  <si>
    <t>HH Income</t>
  </si>
  <si>
    <t>HH Size</t>
  </si>
  <si>
    <t># Workers</t>
  </si>
  <si>
    <t>3+</t>
  </si>
  <si>
    <t>Census</t>
  </si>
  <si>
    <t>PERSONTYPE</t>
  </si>
  <si>
    <t>M</t>
  </si>
  <si>
    <t>N</t>
  </si>
  <si>
    <t>H</t>
  </si>
  <si>
    <t>Total</t>
  </si>
  <si>
    <t>Full-time worker</t>
  </si>
  <si>
    <t>Part-time worker</t>
  </si>
  <si>
    <t>University student</t>
  </si>
  <si>
    <t>Non-working adult</t>
  </si>
  <si>
    <t>Non-working senior</t>
  </si>
  <si>
    <t>Driving age student</t>
  </si>
  <si>
    <t>Non-driving student</t>
  </si>
  <si>
    <t>Pre-school</t>
  </si>
  <si>
    <t>imf_choice</t>
  </si>
  <si>
    <t>freq</t>
  </si>
  <si>
    <t>Child too young for school</t>
  </si>
  <si>
    <t>Student of driving age</t>
  </si>
  <si>
    <t>Student of non-driving age</t>
  </si>
  <si>
    <t>PERTYPE</t>
  </si>
  <si>
    <t>mtf</t>
  </si>
  <si>
    <t>persontype</t>
  </si>
  <si>
    <t>1W</t>
  </si>
  <si>
    <t>2W</t>
  </si>
  <si>
    <t>1S</t>
  </si>
  <si>
    <t>2S</t>
  </si>
  <si>
    <t>1W1S</t>
  </si>
  <si>
    <t>Select Person Type</t>
  </si>
  <si>
    <t>M: Mandatory</t>
  </si>
  <si>
    <t>N: Non-Mandatory</t>
  </si>
  <si>
    <t>H: Home</t>
  </si>
  <si>
    <t>work</t>
  </si>
  <si>
    <t>univ</t>
  </si>
  <si>
    <t>schl</t>
  </si>
  <si>
    <t>DAP</t>
  </si>
  <si>
    <t>activity_pattern</t>
  </si>
  <si>
    <t>TOURPURP</t>
  </si>
  <si>
    <t>indi</t>
  </si>
  <si>
    <t>joint</t>
  </si>
  <si>
    <t>Total Tours by Purpose &amp; Type</t>
  </si>
  <si>
    <t>Escorting</t>
  </si>
  <si>
    <t>Shopping</t>
  </si>
  <si>
    <t>Maintenance</t>
  </si>
  <si>
    <t>Eat Out</t>
  </si>
  <si>
    <t>Social/Visit</t>
  </si>
  <si>
    <t>Discretionary</t>
  </si>
  <si>
    <t>TOURPURPOSE</t>
  </si>
  <si>
    <t>Individual</t>
  </si>
  <si>
    <t>Joint</t>
  </si>
  <si>
    <t>Avg by PerType</t>
  </si>
  <si>
    <t>Individual Tours by PersonType [excluding at-work]</t>
  </si>
  <si>
    <t>jtf</t>
  </si>
  <si>
    <t>COMPOSITION</t>
  </si>
  <si>
    <t>NUMBER_HH</t>
  </si>
  <si>
    <t>HHSIZE</t>
  </si>
  <si>
    <t>jointCat</t>
  </si>
  <si>
    <t>tour_composition</t>
  </si>
  <si>
    <t>Joint Tour Frequency</t>
  </si>
  <si>
    <t>No Joint Tours</t>
  </si>
  <si>
    <t>1 Shopping</t>
  </si>
  <si>
    <t>1 Maintenance</t>
  </si>
  <si>
    <t>1 Eating Out</t>
  </si>
  <si>
    <t>1 Visiting</t>
  </si>
  <si>
    <t>1 Other Discretionary</t>
  </si>
  <si>
    <t>2 Shopping</t>
  </si>
  <si>
    <t>1 Shopping / 1 Maintenance</t>
  </si>
  <si>
    <t>1 Shopping / 1 Eating Out</t>
  </si>
  <si>
    <t>1 Shopping / 1 Visiting</t>
  </si>
  <si>
    <t>1 Shopping / 1 Other Discretionary</t>
  </si>
  <si>
    <t>2 Maintenance</t>
  </si>
  <si>
    <t>1 Maintenance / 1 Eating Out</t>
  </si>
  <si>
    <t>1 Maintenance / 1 Visiting</t>
  </si>
  <si>
    <t>1 Maintenance / 1 Other Discretionary</t>
  </si>
  <si>
    <t>2 Eating Out</t>
  </si>
  <si>
    <t>1 Eating Out / 1 Visiting</t>
  </si>
  <si>
    <t>1 Eating Out / 1 Other Discretionary</t>
  </si>
  <si>
    <t>2 Visiting</t>
  </si>
  <si>
    <t>1 Visiting / 1 Other Discretionary</t>
  </si>
  <si>
    <t>2 Other Discretionary</t>
  </si>
  <si>
    <t>Joint Tour Composition</t>
  </si>
  <si>
    <t>ALL ADULT</t>
  </si>
  <si>
    <t>ALL CHILDREN</t>
  </si>
  <si>
    <t>MIXED</t>
  </si>
  <si>
    <t>Joint Tour Party Size</t>
  </si>
  <si>
    <t>PartySize</t>
  </si>
  <si>
    <t>Joint Tours</t>
  </si>
  <si>
    <t>Joint Tours by Household Size (Survey)</t>
  </si>
  <si>
    <t>Joint Tours by Household Size (Model)</t>
  </si>
  <si>
    <t>PARTY SIZE</t>
  </si>
  <si>
    <t>Joint Tour Composition by Party Size (Survey)</t>
  </si>
  <si>
    <t>Joint Tour Composition by Party Size (Model)</t>
  </si>
  <si>
    <t>sch</t>
  </si>
  <si>
    <t>esc</t>
  </si>
  <si>
    <t>imain</t>
  </si>
  <si>
    <t>idisc</t>
  </si>
  <si>
    <t>jmain</t>
  </si>
  <si>
    <t>jdisc</t>
  </si>
  <si>
    <t>atwork</t>
  </si>
  <si>
    <t>Dep</t>
  </si>
  <si>
    <t>Arr</t>
  </si>
  <si>
    <t>Dur</t>
  </si>
  <si>
    <t>Select Purpose</t>
  </si>
  <si>
    <t>Model-Dep</t>
  </si>
  <si>
    <t>Survey-Arr</t>
  </si>
  <si>
    <t>Survey-Dur</t>
  </si>
  <si>
    <t>Model-Arr</t>
  </si>
  <si>
    <t>Model-Dur</t>
  </si>
  <si>
    <t>AS0</t>
  </si>
  <si>
    <t>AS1</t>
  </si>
  <si>
    <t>AS2</t>
  </si>
  <si>
    <t>Mode</t>
  </si>
  <si>
    <t>0 Auto</t>
  </si>
  <si>
    <t>Autos &lt;  Adults</t>
  </si>
  <si>
    <t>Autos &gt;= Adults</t>
  </si>
  <si>
    <t>modePurpose</t>
  </si>
  <si>
    <t>Notes</t>
  </si>
  <si>
    <t>Difference</t>
  </si>
  <si>
    <t>NOTES</t>
  </si>
  <si>
    <t>Percent Difference</t>
  </si>
  <si>
    <t>Not allowed in model</t>
  </si>
  <si>
    <t>Diff</t>
  </si>
  <si>
    <t>% Diff</t>
  </si>
  <si>
    <t>Household distribution</t>
  </si>
  <si>
    <t>Persons by Person Type Distribution</t>
  </si>
  <si>
    <t>Per. Diff</t>
  </si>
  <si>
    <t>College\University</t>
  </si>
  <si>
    <t>Individual - Maintenance</t>
  </si>
  <si>
    <t>Individual - Discretionary</t>
  </si>
  <si>
    <t>Joint - Maintenance</t>
  </si>
  <si>
    <t>Joint - Discretionary</t>
  </si>
  <si>
    <t>Difference (Tours)</t>
  </si>
  <si>
    <t>Joint%</t>
  </si>
  <si>
    <t>Diff%</t>
  </si>
  <si>
    <t>JOINT</t>
  </si>
  <si>
    <t>No Joint</t>
  </si>
  <si>
    <t>% Households with a joint tour</t>
  </si>
  <si>
    <t>% Difference</t>
  </si>
  <si>
    <t>%Difference</t>
  </si>
  <si>
    <t>%Diff</t>
  </si>
  <si>
    <t>At-Work Subtour</t>
  </si>
  <si>
    <t>Percent difference</t>
  </si>
  <si>
    <t>Overall - too many 3+ non-mandatory tours (accessibilities too high compared to San Diego?)</t>
  </si>
  <si>
    <t>But, possibly too many stay-at-home for non-workers in OHAS.</t>
  </si>
  <si>
    <t>Survey data is thin</t>
  </si>
  <si>
    <t>Survey-Dep</t>
  </si>
  <si>
    <t>% Diff Final</t>
  </si>
  <si>
    <t>Esco</t>
  </si>
  <si>
    <t>Main</t>
  </si>
  <si>
    <t>Disc</t>
  </si>
  <si>
    <t>Shop</t>
  </si>
  <si>
    <t>Eati</t>
  </si>
  <si>
    <t>Visi</t>
  </si>
  <si>
    <t>Difference (Model - Survey)</t>
  </si>
  <si>
    <t xml:space="preserve">% Difference </t>
  </si>
  <si>
    <t>Total Tours</t>
  </si>
  <si>
    <t>Tour Rates</t>
  </si>
  <si>
    <t>esco</t>
  </si>
  <si>
    <t>DistBin</t>
  </si>
  <si>
    <t>Average Tour distance</t>
  </si>
  <si>
    <t>Outbound</t>
  </si>
  <si>
    <t>Inbound</t>
  </si>
  <si>
    <t>Tours by stops on inbound leg by tour purpose</t>
  </si>
  <si>
    <t>INBOUND</t>
  </si>
  <si>
    <t>OUTBOUND</t>
  </si>
  <si>
    <t>Tours by stops on outbound leg by tour purpose</t>
  </si>
  <si>
    <t>Univ</t>
  </si>
  <si>
    <t>Schl</t>
  </si>
  <si>
    <t>SURVEY</t>
  </si>
  <si>
    <t>Tours by total stops by tour purpose</t>
  </si>
  <si>
    <t>TOTAL</t>
  </si>
  <si>
    <t>iMain</t>
  </si>
  <si>
    <t>iDisc</t>
  </si>
  <si>
    <t>jMain</t>
  </si>
  <si>
    <t>jDisc</t>
  </si>
  <si>
    <t>AtWork</t>
  </si>
  <si>
    <t>6+</t>
  </si>
  <si>
    <t>MODEL</t>
  </si>
  <si>
    <t>Percentages</t>
  </si>
  <si>
    <t>SURVEY(Percentages)</t>
  </si>
  <si>
    <t>MODEL (Percentages)</t>
  </si>
  <si>
    <t>Percentage Difference</t>
  </si>
  <si>
    <t>Purpose: Work</t>
  </si>
  <si>
    <t>Tour Mode</t>
  </si>
  <si>
    <t>Trip Mode</t>
  </si>
  <si>
    <t>tourmode1</t>
  </si>
  <si>
    <t>tourmode2</t>
  </si>
  <si>
    <t>tourmode3</t>
  </si>
  <si>
    <t>tourmode4</t>
  </si>
  <si>
    <t>tourmode5</t>
  </si>
  <si>
    <t>tourmode6</t>
  </si>
  <si>
    <t>tourmode7</t>
  </si>
  <si>
    <t>tourmode8</t>
  </si>
  <si>
    <t>tourmode9</t>
  </si>
  <si>
    <t>Purpose: Univ</t>
  </si>
  <si>
    <t>Purpose: Schl</t>
  </si>
  <si>
    <t>total</t>
  </si>
  <si>
    <t>Purpose: At Work</t>
  </si>
  <si>
    <t>Purpose: iMain</t>
  </si>
  <si>
    <t>Purpose: iDisc</t>
  </si>
  <si>
    <t>Purpose: jMain</t>
  </si>
  <si>
    <t>Purpose: jDisc</t>
  </si>
  <si>
    <t>Purpose: Total</t>
  </si>
  <si>
    <t>Purpose: AtWork</t>
  </si>
  <si>
    <t>Counts</t>
  </si>
  <si>
    <t>Percentage Differences</t>
  </si>
  <si>
    <t>Average One-way Trip Distance (miles)</t>
  </si>
  <si>
    <t>Tour Purpose</t>
  </si>
  <si>
    <t>Stop Purpose</t>
  </si>
  <si>
    <t>Work-related</t>
  </si>
  <si>
    <t>Sno</t>
  </si>
  <si>
    <t>Bin</t>
  </si>
  <si>
    <t>Less than 0</t>
  </si>
  <si>
    <t>0 to 1 mile</t>
  </si>
  <si>
    <t>1 to 2 mile</t>
  </si>
  <si>
    <t>2 to 3 mile</t>
  </si>
  <si>
    <t>3 to 4 mile</t>
  </si>
  <si>
    <t>4 to 5 mile</t>
  </si>
  <si>
    <t>5 to 6 mile</t>
  </si>
  <si>
    <t>6 to 7 mile</t>
  </si>
  <si>
    <t>7 to 8 mile</t>
  </si>
  <si>
    <t>8 to 9 mile</t>
  </si>
  <si>
    <t>9 to 10 mile</t>
  </si>
  <si>
    <t>10 to 11 mile</t>
  </si>
  <si>
    <t>11 to 12 mile</t>
  </si>
  <si>
    <t>12 to 13 mile</t>
  </si>
  <si>
    <t>13 to 14 mile</t>
  </si>
  <si>
    <t>14 to 15 mile</t>
  </si>
  <si>
    <t>15 to 16 mile</t>
  </si>
  <si>
    <t>16 to 17 mile</t>
  </si>
  <si>
    <t>17 to 18 mile</t>
  </si>
  <si>
    <t>18 to 19 mile</t>
  </si>
  <si>
    <t>19 to 20 mile</t>
  </si>
  <si>
    <t>20 to 21 mile</t>
  </si>
  <si>
    <t>21 to 22 mile</t>
  </si>
  <si>
    <t>22 to 23 mile</t>
  </si>
  <si>
    <t>23 to 24 mile</t>
  </si>
  <si>
    <t>24 to 25 mile</t>
  </si>
  <si>
    <t>25 to 26 mile</t>
  </si>
  <si>
    <t>26 to 27 mile</t>
  </si>
  <si>
    <t>27 to 28 mile</t>
  </si>
  <si>
    <t>28 to 29 mile</t>
  </si>
  <si>
    <t>29 to 30 mile</t>
  </si>
  <si>
    <t>30 to 31 mile</t>
  </si>
  <si>
    <t>31 to 32 mile</t>
  </si>
  <si>
    <t>32 to 33 mile</t>
  </si>
  <si>
    <t>33 to 34 mile</t>
  </si>
  <si>
    <t>34 to 35 mile</t>
  </si>
  <si>
    <t>35 to 36 mile</t>
  </si>
  <si>
    <t>36 to 37 mile</t>
  </si>
  <si>
    <t>37 to 38 mile</t>
  </si>
  <si>
    <t>38 to 39 mile</t>
  </si>
  <si>
    <t>39 to 40 mile</t>
  </si>
  <si>
    <t>40 plus miles</t>
  </si>
  <si>
    <t>03:00 AM to 05:00 AM</t>
  </si>
  <si>
    <t xml:space="preserve">05:00 AM to 05:30 AM </t>
  </si>
  <si>
    <t xml:space="preserve">05:30 AM to 06:00 AM </t>
  </si>
  <si>
    <t xml:space="preserve">06:00 AM to 06:30 AM </t>
  </si>
  <si>
    <t xml:space="preserve">06:30 AM to 07:00 AM </t>
  </si>
  <si>
    <t xml:space="preserve">07:00 AM to 07:30 AM </t>
  </si>
  <si>
    <t xml:space="preserve">07:30 AM to 08:00 AM </t>
  </si>
  <si>
    <t xml:space="preserve">08:00 AM to 08:30 AM </t>
  </si>
  <si>
    <t xml:space="preserve">08:30 AM to 09:00 AM </t>
  </si>
  <si>
    <t xml:space="preserve">09:00 AM to 09:30 AM </t>
  </si>
  <si>
    <t xml:space="preserve">09:30 AM to 10:00 AM </t>
  </si>
  <si>
    <t xml:space="preserve">10:00 AM to 10:30 AM </t>
  </si>
  <si>
    <t xml:space="preserve">10:30 AM to 11:00 AM </t>
  </si>
  <si>
    <t xml:space="preserve">11:00 AM to 11:30 AM </t>
  </si>
  <si>
    <t xml:space="preserve">11:30 AM to 12:00 PM </t>
  </si>
  <si>
    <t xml:space="preserve">12:00 PM to 12:30 PM </t>
  </si>
  <si>
    <t xml:space="preserve">12:30 PM to 01:00 PM </t>
  </si>
  <si>
    <t xml:space="preserve">01:00 PM to 01:30 PM </t>
  </si>
  <si>
    <t xml:space="preserve">01:30 PM to 02:00 PM </t>
  </si>
  <si>
    <t xml:space="preserve">02:00 PM to 02:30 PM </t>
  </si>
  <si>
    <t xml:space="preserve">02:30 PM to 03:00 PM </t>
  </si>
  <si>
    <t xml:space="preserve">03:00 PM to 03:30 PM </t>
  </si>
  <si>
    <t xml:space="preserve">03:30 PM to 04:00 PM </t>
  </si>
  <si>
    <t xml:space="preserve">04:00 PM to 04:30 PM </t>
  </si>
  <si>
    <t xml:space="preserve">04:30 PM to 05:00 PM </t>
  </si>
  <si>
    <t xml:space="preserve">05:00 PM to 05:30 PM </t>
  </si>
  <si>
    <t xml:space="preserve">05:30 PM to 06:00 PM </t>
  </si>
  <si>
    <t xml:space="preserve">06:00 PM to 06:30 PM </t>
  </si>
  <si>
    <t xml:space="preserve">06:30 PM to 07:00 PM </t>
  </si>
  <si>
    <t xml:space="preserve">07:00 PM to 07:30 PM </t>
  </si>
  <si>
    <t xml:space="preserve">07:30 PM to 08:00 PM </t>
  </si>
  <si>
    <t xml:space="preserve">08:00 PM to 08:30 PM </t>
  </si>
  <si>
    <t xml:space="preserve">08:30 PM to 09:00 PM </t>
  </si>
  <si>
    <t xml:space="preserve">09:00 PM to 09:30 PM </t>
  </si>
  <si>
    <t xml:space="preserve">09:30 PM to 10:00 PM </t>
  </si>
  <si>
    <t xml:space="preserve">10:00 PM to 10:30 PM </t>
  </si>
  <si>
    <t xml:space="preserve">10:30 PM to 11:00 PM </t>
  </si>
  <si>
    <t xml:space="preserve">11:00 PM to 11:30 PM </t>
  </si>
  <si>
    <t xml:space="preserve">11:30 PM to 12:00 AM </t>
  </si>
  <si>
    <t xml:space="preserve">12:00 PM to 03:00 AM </t>
  </si>
  <si>
    <t>(0.5 hours)</t>
  </si>
  <si>
    <t>(1 hours)</t>
  </si>
  <si>
    <t>(1.5 hours)</t>
  </si>
  <si>
    <t>(2 hours)</t>
  </si>
  <si>
    <t>(2.5 hours)</t>
  </si>
  <si>
    <t>(3 hours)</t>
  </si>
  <si>
    <t>(3.5 hours)</t>
  </si>
  <si>
    <t>(4 hours)</t>
  </si>
  <si>
    <t>(4.5 hours)</t>
  </si>
  <si>
    <t>(5 hours)</t>
  </si>
  <si>
    <t>(5.5 hours)</t>
  </si>
  <si>
    <t>(6 hours)</t>
  </si>
  <si>
    <t>(6.5 hours)</t>
  </si>
  <si>
    <t>(7 hours)</t>
  </si>
  <si>
    <t>(7.5 hours)</t>
  </si>
  <si>
    <t>(8 hours)</t>
  </si>
  <si>
    <t>(8.5 hours)</t>
  </si>
  <si>
    <t>(9 hours)</t>
  </si>
  <si>
    <t>(9.5 hours)</t>
  </si>
  <si>
    <t>(10 hours)</t>
  </si>
  <si>
    <t>(10.5 hours)</t>
  </si>
  <si>
    <t>(11 hours)</t>
  </si>
  <si>
    <t>(11.5 hours)</t>
  </si>
  <si>
    <t>(12 hours)</t>
  </si>
  <si>
    <t>(12.5 hours)</t>
  </si>
  <si>
    <t>(13 hours)</t>
  </si>
  <si>
    <t>(13.5 hours)</t>
  </si>
  <si>
    <t>(14 hours)</t>
  </si>
  <si>
    <t>(14.5 hours)</t>
  </si>
  <si>
    <t>(15 hours)</t>
  </si>
  <si>
    <t>(15.5 hours)</t>
  </si>
  <si>
    <t>(16 hours)</t>
  </si>
  <si>
    <t>(16.5 hours)</t>
  </si>
  <si>
    <t>(17 hours)</t>
  </si>
  <si>
    <t>(17.5 hours)</t>
  </si>
  <si>
    <t>(18 hours)</t>
  </si>
  <si>
    <t>(18.5 hours)</t>
  </si>
  <si>
    <t>(19 hours)</t>
  </si>
  <si>
    <t>(19.5 hours)</t>
  </si>
  <si>
    <t>(20 hours)</t>
  </si>
  <si>
    <t>Mandatory DC - TLFD</t>
  </si>
  <si>
    <t>Auto Ownership</t>
  </si>
  <si>
    <t>Mandatory Tour Frequency</t>
  </si>
  <si>
    <t>Individual Non Mandatory Tour Frequency</t>
  </si>
  <si>
    <t>Tours Summary</t>
  </si>
  <si>
    <t>Time of Day</t>
  </si>
  <si>
    <t>Tour Mode Choice</t>
  </si>
  <si>
    <t>Non Mandatory DC - TLFD</t>
  </si>
  <si>
    <t>Stop Frequency</t>
  </si>
  <si>
    <t>Trip Mode Choice</t>
  </si>
  <si>
    <t>StopPurpose</t>
  </si>
  <si>
    <t>Stop Location (out-of-direction)</t>
  </si>
  <si>
    <t>Stop Departure Time</t>
  </si>
  <si>
    <t>Summary Type</t>
  </si>
  <si>
    <t>Index</t>
  </si>
  <si>
    <t>Select Tour Purpose</t>
  </si>
  <si>
    <t>* Stop departures from stop location, stop period for model output</t>
  </si>
  <si>
    <t>* Trip departures from trip origins, stop period for model output</t>
  </si>
  <si>
    <t>Trip Departure Time</t>
  </si>
  <si>
    <t>Total Stops</t>
  </si>
  <si>
    <t>Total Trips</t>
  </si>
  <si>
    <t>Avg # Stops per Tour</t>
  </si>
  <si>
    <t>Avg # Trips per Tour</t>
  </si>
  <si>
    <t>Total Stops&amp;Trips</t>
  </si>
  <si>
    <t>Mandatory</t>
  </si>
  <si>
    <t>Non-Mandatory</t>
  </si>
  <si>
    <t>Home</t>
  </si>
  <si>
    <t>Average Trip Length (miles)</t>
  </si>
  <si>
    <t>PRIM_PURP</t>
  </si>
  <si>
    <t>SOVNT</t>
  </si>
  <si>
    <t>SOVTL</t>
  </si>
  <si>
    <t>HOV2NT</t>
  </si>
  <si>
    <t>HOV2TL</t>
  </si>
  <si>
    <t>HOV3NT</t>
  </si>
  <si>
    <t>HOV3TL</t>
  </si>
  <si>
    <t>WALK</t>
  </si>
  <si>
    <t>BIKE</t>
  </si>
  <si>
    <t>WK CONV</t>
  </si>
  <si>
    <t>WK PRE</t>
  </si>
  <si>
    <t>KNR</t>
  </si>
  <si>
    <t>PNR</t>
  </si>
  <si>
    <t>TAXI</t>
  </si>
  <si>
    <t>SCHBUS</t>
  </si>
  <si>
    <t>tourmode10</t>
  </si>
  <si>
    <t>tourmode11</t>
  </si>
  <si>
    <t>tourmode12</t>
  </si>
  <si>
    <t>tourmode13</t>
  </si>
  <si>
    <t>tourmode14</t>
  </si>
  <si>
    <t>Sector Flows</t>
  </si>
  <si>
    <t>*work related purpose in survey coded as work</t>
  </si>
  <si>
    <t>Transit Boardings</t>
  </si>
  <si>
    <t>Boardings</t>
  </si>
  <si>
    <t>Agency</t>
  </si>
  <si>
    <t>Observed</t>
  </si>
  <si>
    <t>Mod_Obs</t>
  </si>
  <si>
    <t>CTA</t>
  </si>
  <si>
    <t>B</t>
  </si>
  <si>
    <t>E</t>
  </si>
  <si>
    <t>Pace</t>
  </si>
  <si>
    <t>P</t>
  </si>
  <si>
    <t>L</t>
  </si>
  <si>
    <t>Q</t>
  </si>
  <si>
    <t>CTA Rail</t>
  </si>
  <si>
    <t>C</t>
  </si>
  <si>
    <t>Metra</t>
  </si>
  <si>
    <t>All</t>
  </si>
  <si>
    <t>model_input</t>
  </si>
  <si>
    <t>index</t>
  </si>
  <si>
    <t>IDAP</t>
  </si>
  <si>
    <t>census_input</t>
  </si>
  <si>
    <t>CMAP ABM Calibration Summaries</t>
  </si>
  <si>
    <t xml:space="preserve">Survey </t>
  </si>
  <si>
    <t>sec1</t>
  </si>
  <si>
    <t>sec2</t>
  </si>
  <si>
    <t>sec3</t>
  </si>
  <si>
    <t>sec4</t>
  </si>
  <si>
    <t>sec5</t>
  </si>
  <si>
    <t>sec6</t>
  </si>
  <si>
    <t>sec7</t>
  </si>
  <si>
    <t>sec8</t>
  </si>
  <si>
    <t>sec9</t>
  </si>
  <si>
    <t>sec10</t>
  </si>
  <si>
    <t>sec11</t>
  </si>
  <si>
    <t>sec12</t>
  </si>
  <si>
    <t>sec13</t>
  </si>
  <si>
    <t>sec14</t>
  </si>
  <si>
    <t>sec15</t>
  </si>
  <si>
    <t>sec16</t>
  </si>
  <si>
    <t>sec17</t>
  </si>
  <si>
    <t>sec18</t>
  </si>
  <si>
    <t>sec19</t>
  </si>
  <si>
    <t>sec20</t>
  </si>
  <si>
    <t>sec21</t>
  </si>
  <si>
    <t>sec22</t>
  </si>
  <si>
    <t>sec23</t>
  </si>
  <si>
    <t>sec24</t>
  </si>
  <si>
    <t>sec25</t>
  </si>
  <si>
    <t>Origin Sector</t>
  </si>
  <si>
    <t>Destination Sector</t>
  </si>
  <si>
    <t>2N</t>
  </si>
  <si>
    <t>2NW</t>
  </si>
  <si>
    <t>2WNW</t>
  </si>
  <si>
    <t>2WSW</t>
  </si>
  <si>
    <t>2SW</t>
  </si>
  <si>
    <t>3N</t>
  </si>
  <si>
    <t>3NW</t>
  </si>
  <si>
    <t>3WNW</t>
  </si>
  <si>
    <t>3W</t>
  </si>
  <si>
    <t>3WSW</t>
  </si>
  <si>
    <t>3SW</t>
  </si>
  <si>
    <t>3S</t>
  </si>
  <si>
    <t>XWI</t>
  </si>
  <si>
    <t>XIL</t>
  </si>
  <si>
    <t>3IN</t>
  </si>
  <si>
    <t>XIN</t>
  </si>
  <si>
    <t>4NW</t>
  </si>
  <si>
    <t>4N</t>
  </si>
  <si>
    <t>4WNW</t>
  </si>
  <si>
    <t>4W</t>
  </si>
  <si>
    <t>4WSW</t>
  </si>
  <si>
    <t>4SW</t>
  </si>
  <si>
    <t>survey</t>
  </si>
  <si>
    <t>model</t>
  </si>
  <si>
    <t>DIFFERENCE</t>
  </si>
  <si>
    <t>Row wise percentages</t>
  </si>
  <si>
    <t>0-35K</t>
  </si>
  <si>
    <t>35K-60k</t>
  </si>
  <si>
    <t>BOONE</t>
  </si>
  <si>
    <t>COOK</t>
  </si>
  <si>
    <t>DEKALB</t>
  </si>
  <si>
    <t>DUPAGE</t>
  </si>
  <si>
    <t>GRUNDY</t>
  </si>
  <si>
    <t>KANE</t>
  </si>
  <si>
    <t>KANKAKEE</t>
  </si>
  <si>
    <t>KENDALL</t>
  </si>
  <si>
    <t>KENOSHA</t>
  </si>
  <si>
    <t>LAKE</t>
  </si>
  <si>
    <t>LAPORTE</t>
  </si>
  <si>
    <t>LASALLE</t>
  </si>
  <si>
    <t>LEE</t>
  </si>
  <si>
    <t>MCHENRY</t>
  </si>
  <si>
    <t>OGLE</t>
  </si>
  <si>
    <t>PORTER</t>
  </si>
  <si>
    <t>RACINE</t>
  </si>
  <si>
    <t>WALWORTH</t>
  </si>
  <si>
    <t>WILL</t>
  </si>
  <si>
    <t>WINNEBAGO</t>
  </si>
  <si>
    <t>Origin County</t>
  </si>
  <si>
    <t>Destination County</t>
  </si>
  <si>
    <t>CENSUS (journey to work)</t>
  </si>
  <si>
    <t>Census (ACS 2009-13)</t>
  </si>
  <si>
    <t xml:space="preserve">Census </t>
  </si>
  <si>
    <t>County Flows</t>
  </si>
  <si>
    <t>AO CrossTabs</t>
  </si>
  <si>
    <t>census: ACS 2009-13, all PUMAs covering the modeling region</t>
  </si>
  <si>
    <t xml:space="preserve">HH Size </t>
  </si>
  <si>
    <t xml:space="preserve"># Workers </t>
  </si>
  <si>
    <t>Total Jobs</t>
  </si>
  <si>
    <t>% DIFFERENCE</t>
  </si>
  <si>
    <t>Threshold</t>
  </si>
  <si>
    <t>Jobs-workers</t>
  </si>
  <si>
    <t>x</t>
  </si>
  <si>
    <t>individual trips</t>
  </si>
  <si>
    <t>joint trips</t>
  </si>
  <si>
    <t>SURVEY (PA Format)</t>
  </si>
  <si>
    <t>MODEL (PA Format)</t>
  </si>
  <si>
    <t>Total Maintenance</t>
  </si>
  <si>
    <t>Total Discretionary</t>
  </si>
  <si>
    <t>Escort</t>
  </si>
  <si>
    <t>OriginCounty</t>
  </si>
  <si>
    <t>DestCounty</t>
  </si>
  <si>
    <t>Orig_Sec</t>
  </si>
  <si>
    <t>Dest_Sec</t>
  </si>
  <si>
    <t>HIS</t>
  </si>
  <si>
    <t>OBS</t>
  </si>
  <si>
    <t>Total Transit Trips</t>
  </si>
  <si>
    <t>By Access</t>
  </si>
  <si>
    <t>NA</t>
  </si>
  <si>
    <t>Taxi</t>
  </si>
  <si>
    <t>Walk/Bike</t>
  </si>
  <si>
    <t>Other Transit</t>
  </si>
  <si>
    <t>SOV</t>
  </si>
  <si>
    <t>PNR/KNR</t>
  </si>
  <si>
    <t>PACE</t>
  </si>
  <si>
    <t>OBS - Access Mode Distrbution</t>
  </si>
  <si>
    <t>WK*</t>
  </si>
  <si>
    <t>*For OBS, all NAs have been assumed as Walk Access</t>
  </si>
  <si>
    <t>NA*</t>
  </si>
  <si>
    <t>* NA are non-homebased trips or missing values</t>
  </si>
  <si>
    <t>WLK-TRN</t>
  </si>
  <si>
    <t>escorting</t>
  </si>
  <si>
    <t>Purpose: Esc</t>
  </si>
  <si>
    <t>Ratio of non-main mode to main mode (off-diagonal ratios)</t>
  </si>
  <si>
    <t>Ratio of transit trips in purpose to total transit trips</t>
  </si>
  <si>
    <t>Main mode trips/tour</t>
  </si>
  <si>
    <t>Trips/Tour</t>
  </si>
  <si>
    <t>Implied target tours</t>
  </si>
  <si>
    <t>Share in purpose</t>
  </si>
  <si>
    <t>WLK TRN</t>
  </si>
  <si>
    <t>KNR TRN</t>
  </si>
  <si>
    <t>PNR TRN</t>
  </si>
  <si>
    <t>Target</t>
  </si>
  <si>
    <t>KNR-TRN</t>
  </si>
  <si>
    <t>PNR-TRN</t>
  </si>
  <si>
    <t>Scaled Survey with Transit Targets</t>
  </si>
  <si>
    <t>Scaled Survey to Estimated Totals</t>
  </si>
  <si>
    <t>0 auto 1 worker</t>
  </si>
  <si>
    <t>0 auto 2 worker</t>
  </si>
  <si>
    <t>0 auto 3p worker</t>
  </si>
  <si>
    <t>Tour Mode Choice Adjustments</t>
  </si>
  <si>
    <t>Previous Constants</t>
  </si>
  <si>
    <t>Final Constants</t>
  </si>
  <si>
    <t>WK Transit</t>
  </si>
  <si>
    <t>Dampening</t>
  </si>
  <si>
    <t>placeholder</t>
  </si>
  <si>
    <t>Adjustments</t>
  </si>
  <si>
    <t>Dampening Fcator</t>
  </si>
  <si>
    <t>Adjustment</t>
  </si>
  <si>
    <t>Dampening Factor</t>
  </si>
  <si>
    <t>HOV2</t>
  </si>
  <si>
    <t>HOV3</t>
  </si>
  <si>
    <t>Calibration Adjustments</t>
  </si>
  <si>
    <t>Esc</t>
  </si>
  <si>
    <t>At Work</t>
  </si>
  <si>
    <t>WK TRN</t>
  </si>
  <si>
    <t>Transposed Constants</t>
  </si>
  <si>
    <t>by auto ownership</t>
  </si>
  <si>
    <t>AutoSuff=0</t>
  </si>
  <si>
    <t>AutoSuff=1</t>
  </si>
  <si>
    <t>AutoSuff=2</t>
  </si>
  <si>
    <t>Survey - University Students</t>
  </si>
  <si>
    <t>Model - University Students</t>
  </si>
  <si>
    <t>univ tours</t>
  </si>
  <si>
    <t>ctpp</t>
  </si>
  <si>
    <t>CTPP</t>
  </si>
  <si>
    <t>access mode is tour access mode</t>
  </si>
  <si>
    <t>Description</t>
  </si>
  <si>
    <t>Set Output Expansion Factor</t>
  </si>
  <si>
    <t>Target Data Source</t>
  </si>
  <si>
    <t>HH Survey</t>
  </si>
  <si>
    <t>This frequency distribution chart summarizes the outputs from the usual work or school location choice for workers and students. Distance between home and usual work or school location is plotted for workers, grade schoolers and university students. Avergae trip lengths are also compared.</t>
  </si>
  <si>
    <t>Census journey to work data (ACS 2009-13)</t>
  </si>
  <si>
    <t>County Flows - Scatter Plot</t>
  </si>
  <si>
    <t>This is a scatter plot comparing worker flow between each County pair in the taregt to model output</t>
  </si>
  <si>
    <t>Sector Flows - Scatter Plot</t>
  </si>
  <si>
    <t>This is a scatter plot comparing worker flow between each Sector pair in the taregt to model output</t>
  </si>
  <si>
    <t>Sector-Sector Transit Trips(PA)</t>
  </si>
  <si>
    <t>This table summarizes the flow of workers between different counties in the CMAP modeling region</t>
  </si>
  <si>
    <t>This table summarizes the flow of workers between different sectors in the CMAP modeling region</t>
  </si>
  <si>
    <t>Flow of transit trips between origin and destination sector in production-attraction format. O-D is reversed for trips going back home</t>
  </si>
  <si>
    <t>CTPP journey to work table based on 2006-10 ACS data, HH Survey</t>
  </si>
  <si>
    <t>Census (ACS 2009-13), HH Survey</t>
  </si>
  <si>
    <t>Auto ownership distribution comparison at a regional level</t>
  </si>
  <si>
    <t>Two way distribution of auto ownership with HH size and number of workers in the HH</t>
  </si>
  <si>
    <t>Census (ACS 2009-13), Census 2-way tables, HH Survey</t>
  </si>
  <si>
    <t>Summarizes outputs of Coordinated Daily Activity Pattern (CDAP) model which is the first model in the chain of tour-level models. Following summaries are produced:
1. Distribution of DAP types by perosn types
2. Distribution of HHs with a joint tour by HH size</t>
  </si>
  <si>
    <t>Conv</t>
  </si>
  <si>
    <t>Prem</t>
  </si>
  <si>
    <t>Access Switch</t>
  </si>
  <si>
    <t>Summaries of MTF model output which predicts the number of mandatory tours for person with a "mandatory" DAP. Summaries include: Distribution of mandatory tours by frequency, type (work/school) and person type</t>
  </si>
  <si>
    <t>Summaires of INMTF model which predicts the frequency of individual non-mandatory tours by purpose for each person. Summaries include the following:
1. Individual non-mandatory tour frequency distribution by tour purpose and person type
2. Individual non-mandatory tour rates by tour purpose and person type</t>
  </si>
  <si>
    <t>Aggregate summaries:
1. Persons by person type
2. Individual tours by person type
3. Total tours by person type and tour type</t>
  </si>
  <si>
    <t>Summaries of JTF model output. Following summaries are produced:
1. Joint tour fequency by purpose of tours
2. Distribution of tours by tour party composition
3. Distribution of tours by joint tour party size
4. Joint tour frequncy distribution by HH size
5. Joint tour composition by party composition and party size</t>
  </si>
  <si>
    <t>This presents tour departure, arrival and duration profile for each tour purpose and for all tours. Departure and arrival times are presented in half hour time bins. Departure is the departure time from the  tour origin while arrival is the time of arrival back at the origin.</t>
  </si>
  <si>
    <t>Tour Mode Choice2</t>
  </si>
  <si>
    <t>Tour Mode Choice2 - CBD</t>
  </si>
  <si>
    <t>Tour mode choice distribution segmented by auto sufficiency group and tour purpose</t>
  </si>
  <si>
    <t>Tour mode choice distribution segmented by auto sufficiency group and tour purpose. Does not include redundant mode choice categories. Targets have been scaled to match the on-board survey transit trips</t>
  </si>
  <si>
    <t>HH Survey, On-board Survey</t>
  </si>
  <si>
    <t>Same as Tour Mode Choice 2 summary but only for tour with destination as CBD</t>
  </si>
  <si>
    <t>Trip length frequency distribution of non mandtory tours. Distributions are presented for each non-mandatory purpose. Average trips lengths are also compared.</t>
  </si>
  <si>
    <t>Comparison of total number of tours, trips and stops. Number of stops and trips are also compared.</t>
  </si>
  <si>
    <t>Distribution of tours by frquency of stops on outbound leg, inbound leg and total for all tour purposes</t>
  </si>
  <si>
    <t>Distribution of tours by frquency of stops by stop purpose for all tour purposes</t>
  </si>
  <si>
    <t>Distribution of out of direction distribution of stops segmented by tour purpose. Out of direction distance is defined as the extra distance travelled to pursue an activity at the stop location:
out-of-direction distance = distance from tour origin to stop location + distance from stop location to tour destination - direct distance between tour origin and destination</t>
  </si>
  <si>
    <t>Distribution of trips by their departure time from the stop location segmented by tour purpose. Only trips from a stop location were included</t>
  </si>
  <si>
    <t>Distribution of trips by their depature time from the trip origin, segmented by tour purpose</t>
  </si>
  <si>
    <t>Distribution of trips by trip and tour mode choice, segmented by tour purpose</t>
  </si>
  <si>
    <t>Trip Mode Choice2 - CBD</t>
  </si>
  <si>
    <t>Trip Mode Choice2</t>
  </si>
  <si>
    <t>Distribution of trips by trip and tour mode choice, segmented by tour purpose. Does not include redundant mode choice categories. Targets correspond to Tour Mode Choice 2 targets</t>
  </si>
  <si>
    <t>Same as Trip Mode Choice2 but only for trips whose tour destination is CBD</t>
  </si>
  <si>
    <t>Comparison of boardings by different transit agencies</t>
  </si>
  <si>
    <t>On-board survey, RTAMS2010</t>
  </si>
  <si>
    <t>HIS vs OBS</t>
  </si>
  <si>
    <t>Comparison between HH survey and the OBS. Summaries include the following:
1. Total transit trips
2. Trips by access mode
3. To CBD</t>
  </si>
  <si>
    <t>To CBD</t>
  </si>
  <si>
    <t>Work and university were calibrated, looks reasonable.</t>
  </si>
  <si>
    <t>Overall good match with CTPP data</t>
  </si>
  <si>
    <t>Mode choice model was calibrated to match the total number of transit trips with destination as CBD</t>
  </si>
  <si>
    <t>Was calibrated to match the Census regional distribution</t>
  </si>
  <si>
    <t>This summary was used to calibrate the number of workers distribution in zero auto HHs</t>
  </si>
  <si>
    <t>Good match with the survey targets</t>
  </si>
  <si>
    <t>Good match with the survey targets. University student distribution improved with new synthetic population</t>
  </si>
  <si>
    <t>Reasonable match. However, model over-estimates non-mandatory tours overall</t>
  </si>
  <si>
    <t>Average number of tours per person is higher than survey. Survey tour rate seem to be lower than usual</t>
  </si>
  <si>
    <t>Good match</t>
  </si>
  <si>
    <t>Slightly fewer transit tours but still in the ballpark</t>
  </si>
  <si>
    <t>Not perfect but still a reasonable match</t>
  </si>
  <si>
    <t>Decent match</t>
  </si>
  <si>
    <t xml:space="preserve">Reasonable </t>
  </si>
  <si>
    <t>Good overall match</t>
  </si>
  <si>
    <t>HH Survey and OBS are quite close in terms of total transit trips. Even distribution by access modes is reasonable. For OBS, all missing access modes are assumed as Walk to Transit</t>
  </si>
  <si>
    <t>Total transit trips is very close to the OBS survey based target</t>
  </si>
  <si>
    <t>Model has boarding rate of about 1.5 and slightly overestimates the total number of boardings. PACE and METRA is slightly over-estimated, others are within close range of the target</t>
  </si>
  <si>
    <t>Model output matches well with Census data</t>
  </si>
  <si>
    <t>Model replicates survey profiles quite well</t>
  </si>
  <si>
    <t>Model has a higher trips and stops per tour rate</t>
  </si>
  <si>
    <t>Script:SummarizeABM.R</t>
  </si>
  <si>
    <t>RSG</t>
  </si>
  <si>
    <t>LAKE, IN</t>
  </si>
  <si>
    <t>LAKE,IN</t>
  </si>
  <si>
    <t>ALL</t>
  </si>
  <si>
    <t>ADULT</t>
  </si>
  <si>
    <t>CHILDREN</t>
  </si>
  <si>
    <t>PARTYSIZE</t>
  </si>
  <si>
    <t>* 0 joint trip stops</t>
  </si>
  <si>
    <t>tripmode1</t>
  </si>
  <si>
    <t>tripmode2</t>
  </si>
  <si>
    <t>tripmode3</t>
  </si>
  <si>
    <t>tripmode4</t>
  </si>
  <si>
    <t>tripmode5</t>
  </si>
  <si>
    <t>tripmode6</t>
  </si>
  <si>
    <t>tripmode7</t>
  </si>
  <si>
    <t>tripmode8</t>
  </si>
  <si>
    <t>tripmode9</t>
  </si>
  <si>
    <t>tripmode10</t>
  </si>
  <si>
    <t>tripmode11</t>
  </si>
  <si>
    <t>tripmode12</t>
  </si>
  <si>
    <t>tripmode13</t>
  </si>
  <si>
    <t>tripmode14</t>
  </si>
  <si>
    <t>Commentsv1</t>
  </si>
  <si>
    <t>Commentsv2</t>
  </si>
  <si>
    <t>More variability  between survey and modeled in low distance work trips</t>
  </si>
  <si>
    <t xml:space="preserve">Mode output shows smaller differences with Census Data.
Lake County in IN and IL corrected. Boone Census data corrected. </t>
  </si>
  <si>
    <t>r improved from .997 to .9979</t>
  </si>
  <si>
    <t>Model underestimates transit trips compared to survey data</t>
  </si>
  <si>
    <t>DIFF Model and Census</t>
  </si>
  <si>
    <t>% DIFF</t>
  </si>
  <si>
    <t>*Updating Joint Tours</t>
  </si>
  <si>
    <t>Decrease in total  M and N trips, Increase in H trips
Increase in parttime person trips
*Updating joint tours script</t>
  </si>
  <si>
    <t>decrease in fulltime person tours  (model underestimating)
Overestimating parttime and university tours
Model improved slightly with increase in 0 veh and more veh than adult hhs</t>
  </si>
  <si>
    <t>r improved from .8701to .9557</t>
  </si>
  <si>
    <t>as.factor(wt$ASEC)</t>
  </si>
  <si>
    <t>as.factor(wt$PSEC)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</si>
</sst>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0.0%"/>
    <numFmt numFmtId="165" formatCode="_(* #,##0_);_(* \(#,##0\);_(* &quot;-&quot;??_);_(@_)"/>
    <numFmt numFmtId="166" formatCode="0.000"/>
    <numFmt numFmtId="167" formatCode="0.0000"/>
  </numFmts>
  <fonts count="43" x14ac:knownFonts="1">
    <font>
      <sz val="11"/>
      <color theme="1"/>
      <name val="Calibri"/>
      <family val="2"/>
      <scheme val="minor"/>
    </font>
    <font>
      <sz val="11"/>
      <color theme="1"/>
      <name val="Calibri"/>
      <family val="2"/>
      <scheme val="minor"/>
    </font>
    <font>
      <b/>
      <sz val="11"/>
      <color theme="1"/>
      <name val="Calibri"/>
      <family val="2"/>
      <scheme val="minor"/>
    </font>
    <font>
      <b/>
      <sz val="16"/>
      <color theme="1"/>
      <name val="Calibri"/>
      <family val="2"/>
      <scheme val="minor"/>
    </font>
    <font>
      <b/>
      <sz val="18"/>
      <color theme="1"/>
      <name val="Calibri"/>
      <family val="2"/>
      <scheme val="minor"/>
    </font>
    <font>
      <b/>
      <sz val="22"/>
      <color theme="1"/>
      <name val="Calibri"/>
      <family val="2"/>
      <scheme val="minor"/>
    </font>
    <font>
      <b/>
      <sz val="20"/>
      <color theme="1"/>
      <name val="Calibri"/>
      <family val="2"/>
      <scheme val="minor"/>
    </font>
    <font>
      <b/>
      <sz val="14"/>
      <color theme="1"/>
      <name val="Calibri"/>
      <family val="2"/>
      <scheme val="minor"/>
    </font>
    <font>
      <b/>
      <sz val="11"/>
      <color rgb="FF000000"/>
      <name val="Calibri"/>
      <family val="2"/>
    </font>
    <font>
      <sz val="11"/>
      <color rgb="FF000000"/>
      <name val="Calibri"/>
      <family val="2"/>
    </font>
    <font>
      <sz val="11"/>
      <color theme="1"/>
      <name val="Calibri"/>
      <family val="2"/>
    </font>
    <font>
      <b/>
      <i/>
      <sz val="14"/>
      <color theme="1"/>
      <name val="Calibri"/>
      <family val="2"/>
      <scheme val="minor"/>
    </font>
    <font>
      <b/>
      <i/>
      <sz val="14"/>
      <color rgb="FF000000"/>
      <name val="Calibri"/>
      <family val="2"/>
    </font>
    <font>
      <b/>
      <i/>
      <sz val="11"/>
      <color theme="1"/>
      <name val="Calibri"/>
      <family val="2"/>
      <scheme val="minor"/>
    </font>
    <font>
      <sz val="10"/>
      <color indexed="8"/>
      <name val="Calibri"/>
      <family val="2"/>
    </font>
    <font>
      <sz val="11"/>
      <color rgb="FFFF0000"/>
      <name val="Calibri"/>
      <family val="2"/>
      <scheme val="minor"/>
    </font>
    <font>
      <b/>
      <sz val="11"/>
      <color rgb="FFFF0000"/>
      <name val="Calibri"/>
      <family val="2"/>
    </font>
    <font>
      <sz val="20"/>
      <color theme="1"/>
      <name val="Calibri"/>
      <family val="2"/>
      <scheme val="minor"/>
    </font>
    <font>
      <b/>
      <sz val="12"/>
      <color theme="1"/>
      <name val="Calibri"/>
      <family val="2"/>
      <scheme val="minor"/>
    </font>
    <font>
      <sz val="10"/>
      <color rgb="FF000000"/>
      <name val="Lucida Console"/>
      <family val="3"/>
    </font>
    <font>
      <sz val="10"/>
      <color theme="1"/>
      <name val="Arial Narrow"/>
      <family val="2"/>
    </font>
    <font>
      <b/>
      <i/>
      <sz val="16"/>
      <color theme="1"/>
      <name val="Calibri"/>
      <family val="2"/>
      <scheme val="minor"/>
    </font>
    <font>
      <sz val="16"/>
      <color theme="1"/>
      <name val="Calibri"/>
      <family val="2"/>
      <scheme val="minor"/>
    </font>
    <font>
      <sz val="9"/>
      <color theme="1"/>
      <name val="Calibri"/>
      <family val="2"/>
      <scheme val="minor"/>
    </font>
    <font>
      <u/>
      <sz val="11"/>
      <color theme="10"/>
      <name val="Calibri"/>
      <family val="2"/>
      <scheme val="minor"/>
    </font>
    <font>
      <u/>
      <sz val="16"/>
      <color theme="10"/>
      <name val="Calibri"/>
      <family val="2"/>
      <scheme val="minor"/>
    </font>
    <font>
      <u/>
      <sz val="18"/>
      <color theme="10"/>
      <name val="Calibri"/>
      <family val="2"/>
      <scheme val="minor"/>
    </font>
    <font>
      <u/>
      <sz val="22"/>
      <color theme="10"/>
      <name val="Calibri"/>
      <family val="2"/>
      <scheme val="minor"/>
    </font>
    <font>
      <b/>
      <i/>
      <u/>
      <sz val="16"/>
      <color theme="10"/>
      <name val="Calibri"/>
      <family val="2"/>
      <scheme val="minor"/>
    </font>
    <font>
      <b/>
      <u/>
      <sz val="22"/>
      <color theme="1"/>
      <name val="Calibri"/>
      <family val="2"/>
      <scheme val="minor"/>
    </font>
    <font>
      <b/>
      <sz val="11"/>
      <color rgb="FFFA7D00"/>
      <name val="Calibri"/>
      <family val="2"/>
      <scheme val="minor"/>
    </font>
    <font>
      <u/>
      <sz val="12"/>
      <color theme="10"/>
      <name val="Calibri"/>
      <family val="2"/>
      <scheme val="minor"/>
    </font>
    <font>
      <sz val="11"/>
      <color rgb="FF3F3F76"/>
      <name val="Calibri"/>
      <family val="2"/>
      <scheme val="minor"/>
    </font>
    <font>
      <b/>
      <sz val="11"/>
      <color rgb="FF3F3F3F"/>
      <name val="Calibri"/>
      <family val="2"/>
      <scheme val="minor"/>
    </font>
    <font>
      <b/>
      <u/>
      <sz val="11"/>
      <color rgb="FF000000"/>
      <name val="Calibri"/>
      <family val="2"/>
      <scheme val="minor"/>
    </font>
    <font>
      <sz val="11"/>
      <color rgb="FF000000"/>
      <name val="Calibri"/>
      <family val="2"/>
      <scheme val="minor"/>
    </font>
    <font>
      <b/>
      <sz val="11"/>
      <color rgb="FF000000"/>
      <name val="Calibri"/>
      <family val="2"/>
      <scheme val="minor"/>
    </font>
    <font>
      <b/>
      <i/>
      <u/>
      <sz val="14"/>
      <color theme="1"/>
      <name val="Calibri"/>
      <family val="2"/>
      <scheme val="minor"/>
    </font>
    <font>
      <b/>
      <sz val="16"/>
      <color rgb="FFFA7D00"/>
      <name val="Calibri"/>
      <family val="2"/>
      <scheme val="minor"/>
    </font>
    <font>
      <b/>
      <sz val="11"/>
      <color rgb="FF3F3F76"/>
      <name val="Calibri"/>
      <family val="2"/>
      <scheme val="minor"/>
    </font>
    <font>
      <b/>
      <i/>
      <sz val="18"/>
      <color theme="1"/>
      <name val="Calibri"/>
      <family val="2"/>
      <scheme val="minor"/>
    </font>
    <font>
      <b/>
      <sz val="11"/>
      <color theme="0"/>
      <name val="Calibri"/>
      <family val="2"/>
      <scheme val="minor"/>
    </font>
    <font>
      <i/>
      <sz val="11"/>
      <color theme="1"/>
      <name val="Calibri"/>
      <family val="2"/>
      <scheme val="minor"/>
    </font>
  </fonts>
  <fills count="21">
    <fill>
      <patternFill patternType="none"/>
    </fill>
    <fill>
      <patternFill patternType="gray125"/>
    </fill>
    <fill>
      <patternFill patternType="solid">
        <fgColor theme="4" tint="0.79998168889431442"/>
        <bgColor theme="4" tint="0.79998168889431442"/>
      </patternFill>
    </fill>
    <fill>
      <patternFill patternType="solid">
        <fgColor theme="6"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6" tint="0.79998168889431442"/>
        <bgColor indexed="64"/>
      </patternFill>
    </fill>
    <fill>
      <patternFill patternType="solid">
        <fgColor rgb="FFF2F2F2"/>
      </patternFill>
    </fill>
    <fill>
      <patternFill patternType="solid">
        <fgColor rgb="FFFFCC99"/>
      </patternFill>
    </fill>
    <fill>
      <patternFill patternType="solid">
        <fgColor rgb="FFF2F2F2"/>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rgb="FFA5A5A5"/>
      </patternFill>
    </fill>
    <fill>
      <patternFill patternType="solid">
        <fgColor theme="0" tint="-0.34998626667073579"/>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9"/>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double">
        <color indexed="64"/>
      </top>
      <bottom style="double">
        <color indexed="64"/>
      </bottom>
      <diagonal/>
    </border>
    <border>
      <left style="thin">
        <color indexed="64"/>
      </left>
      <right style="thin">
        <color indexed="64"/>
      </right>
      <top style="thin">
        <color indexed="64"/>
      </top>
      <bottom/>
      <diagonal/>
    </border>
    <border>
      <left/>
      <right style="thin">
        <color indexed="64"/>
      </right>
      <top/>
      <bottom style="double">
        <color indexed="64"/>
      </bottom>
      <diagonal/>
    </border>
    <border>
      <left style="thin">
        <color indexed="64"/>
      </left>
      <right/>
      <top/>
      <bottom style="double">
        <color indexed="64"/>
      </bottom>
      <diagonal/>
    </border>
    <border>
      <left style="thin">
        <color indexed="64"/>
      </left>
      <right style="thin">
        <color indexed="64"/>
      </right>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auto="1"/>
      </left>
      <right/>
      <top style="thin">
        <color auto="1"/>
      </top>
      <bottom style="double">
        <color indexed="64"/>
      </bottom>
      <diagonal/>
    </border>
    <border>
      <left/>
      <right/>
      <top style="thin">
        <color auto="1"/>
      </top>
      <bottom style="double">
        <color indexed="64"/>
      </bottom>
      <diagonal/>
    </border>
    <border>
      <left/>
      <right style="thin">
        <color auto="1"/>
      </right>
      <top style="thin">
        <color auto="1"/>
      </top>
      <bottom style="double">
        <color indexed="64"/>
      </bottom>
      <diagonal/>
    </border>
    <border>
      <left/>
      <right/>
      <top style="double">
        <color indexed="64"/>
      </top>
      <bottom/>
      <diagonal/>
    </border>
    <border>
      <left style="medium">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double">
        <color indexed="64"/>
      </bottom>
      <diagonal/>
    </border>
    <border>
      <left/>
      <right/>
      <top style="double">
        <color indexed="64"/>
      </top>
      <bottom style="thin">
        <color indexed="64"/>
      </bottom>
      <diagonal/>
    </border>
    <border>
      <left/>
      <right style="thin">
        <color rgb="FF7F7F7F"/>
      </right>
      <top/>
      <bottom style="thin">
        <color rgb="FF7F7F7F"/>
      </bottom>
      <diagonal/>
    </border>
    <border>
      <left/>
      <right style="thin">
        <color rgb="FF7F7F7F"/>
      </right>
      <top style="thin">
        <color indexed="64"/>
      </top>
      <bottom style="thin">
        <color indexed="64"/>
      </bottom>
      <diagonal/>
    </border>
    <border>
      <left style="thin">
        <color indexed="64"/>
      </left>
      <right style="thin">
        <color rgb="FF7F7F7F"/>
      </right>
      <top style="thin">
        <color indexed="64"/>
      </top>
      <bottom style="thin">
        <color rgb="FF7F7F7F"/>
      </bottom>
      <diagonal/>
    </border>
    <border>
      <left/>
      <right style="thin">
        <color rgb="FF7F7F7F"/>
      </right>
      <top style="thin">
        <color indexed="64"/>
      </top>
      <bottom style="thin">
        <color rgb="FF7F7F7F"/>
      </bottom>
      <diagonal/>
    </border>
    <border>
      <left/>
      <right style="thin">
        <color indexed="64"/>
      </right>
      <top style="thin">
        <color indexed="64"/>
      </top>
      <bottom style="thin">
        <color rgb="FF7F7F7F"/>
      </bottom>
      <diagonal/>
    </border>
    <border>
      <left style="thin">
        <color indexed="64"/>
      </left>
      <right style="thin">
        <color rgb="FF7F7F7F"/>
      </right>
      <top/>
      <bottom style="thin">
        <color rgb="FF7F7F7F"/>
      </bottom>
      <diagonal/>
    </border>
    <border>
      <left/>
      <right style="thin">
        <color indexed="64"/>
      </right>
      <top/>
      <bottom style="thin">
        <color rgb="FF7F7F7F"/>
      </bottom>
      <diagonal/>
    </border>
    <border>
      <left style="thin">
        <color indexed="64"/>
      </left>
      <right style="thin">
        <color rgb="FF7F7F7F"/>
      </right>
      <top/>
      <bottom style="thin">
        <color indexed="64"/>
      </bottom>
      <diagonal/>
    </border>
    <border>
      <left/>
      <right style="thin">
        <color rgb="FF7F7F7F"/>
      </right>
      <top/>
      <bottom style="thin">
        <color indexed="64"/>
      </bottom>
      <diagonal/>
    </border>
    <border>
      <left style="double">
        <color rgb="FF3F3F3F"/>
      </left>
      <right style="double">
        <color rgb="FF3F3F3F"/>
      </right>
      <top style="double">
        <color rgb="FF3F3F3F"/>
      </top>
      <bottom style="double">
        <color rgb="FF3F3F3F"/>
      </bottom>
      <diagonal/>
    </border>
    <border>
      <left/>
      <right style="thin">
        <color indexed="64"/>
      </right>
      <top style="double">
        <color indexed="64"/>
      </top>
      <bottom/>
      <diagonal/>
    </border>
    <border>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24" fillId="0" borderId="0" applyNumberFormat="0" applyFill="0" applyBorder="0" applyAlignment="0" applyProtection="0"/>
    <xf numFmtId="0" fontId="30" fillId="8" borderId="36" applyNumberFormat="0" applyAlignment="0" applyProtection="0"/>
    <xf numFmtId="0" fontId="32" fillId="9" borderId="36" applyNumberFormat="0" applyAlignment="0" applyProtection="0"/>
    <xf numFmtId="0" fontId="33" fillId="8" borderId="37" applyNumberFormat="0" applyAlignment="0" applyProtection="0"/>
    <xf numFmtId="0" fontId="41" fillId="16" borderId="49" applyNumberFormat="0" applyAlignment="0" applyProtection="0"/>
  </cellStyleXfs>
  <cellXfs count="413">
    <xf numFmtId="0" fontId="0" fillId="0" borderId="0" xfId="0"/>
    <xf numFmtId="10" fontId="0" fillId="0" borderId="0" xfId="0" applyNumberFormat="1"/>
    <xf numFmtId="164" fontId="0" fillId="0" borderId="0" xfId="2" applyNumberFormat="1" applyFont="1"/>
    <xf numFmtId="0" fontId="0" fillId="3" borderId="0" xfId="0" applyFill="1"/>
    <xf numFmtId="0" fontId="0" fillId="3" borderId="0" xfId="0" applyFill="1" applyAlignment="1"/>
    <xf numFmtId="0" fontId="2" fillId="0" borderId="0" xfId="0" applyFont="1"/>
    <xf numFmtId="0" fontId="2" fillId="0" borderId="0" xfId="0" applyFont="1" applyAlignment="1">
      <alignment horizontal="right"/>
    </xf>
    <xf numFmtId="0" fontId="0" fillId="0" borderId="0" xfId="0" applyFont="1"/>
    <xf numFmtId="0" fontId="0" fillId="0" borderId="3" xfId="0" applyBorder="1" applyAlignment="1">
      <alignment horizontal="center"/>
    </xf>
    <xf numFmtId="10" fontId="0" fillId="0" borderId="4" xfId="2" applyNumberFormat="1" applyFont="1" applyBorder="1"/>
    <xf numFmtId="10" fontId="0" fillId="0" borderId="5" xfId="2" applyNumberFormat="1" applyFont="1" applyBorder="1"/>
    <xf numFmtId="0" fontId="0" fillId="0" borderId="6" xfId="0" applyBorder="1" applyAlignment="1">
      <alignment horizontal="center"/>
    </xf>
    <xf numFmtId="10" fontId="0" fillId="0" borderId="0" xfId="2" applyNumberFormat="1" applyFont="1" applyBorder="1"/>
    <xf numFmtId="10" fontId="0" fillId="0" borderId="7" xfId="2" applyNumberFormat="1" applyFont="1" applyBorder="1"/>
    <xf numFmtId="0" fontId="0" fillId="0" borderId="8" xfId="0" applyBorder="1" applyAlignment="1">
      <alignment horizontal="center"/>
    </xf>
    <xf numFmtId="10" fontId="0" fillId="0" borderId="9" xfId="2" applyNumberFormat="1" applyFont="1" applyBorder="1"/>
    <xf numFmtId="10" fontId="0" fillId="0" borderId="10" xfId="2" applyNumberFormat="1" applyFont="1" applyBorder="1"/>
    <xf numFmtId="0" fontId="2" fillId="4" borderId="11" xfId="0" applyFont="1" applyFill="1" applyBorder="1"/>
    <xf numFmtId="165" fontId="0" fillId="0" borderId="0" xfId="1" applyNumberFormat="1" applyFont="1" applyBorder="1"/>
    <xf numFmtId="165" fontId="0" fillId="0" borderId="9" xfId="1" applyNumberFormat="1" applyFont="1" applyBorder="1"/>
    <xf numFmtId="0" fontId="2" fillId="4" borderId="11" xfId="0" applyFont="1" applyFill="1" applyBorder="1" applyAlignment="1">
      <alignment vertical="center"/>
    </xf>
    <xf numFmtId="0" fontId="2" fillId="4" borderId="12" xfId="0" applyFont="1" applyFill="1" applyBorder="1" applyAlignment="1">
      <alignment vertical="center" wrapText="1"/>
    </xf>
    <xf numFmtId="0" fontId="2" fillId="4" borderId="13" xfId="0" applyFont="1" applyFill="1" applyBorder="1" applyAlignment="1">
      <alignment vertical="center" wrapText="1"/>
    </xf>
    <xf numFmtId="165" fontId="0" fillId="0" borderId="3" xfId="1" applyNumberFormat="1" applyFont="1" applyBorder="1"/>
    <xf numFmtId="165" fontId="0" fillId="0" borderId="6" xfId="1" applyNumberFormat="1" applyFont="1" applyBorder="1"/>
    <xf numFmtId="165" fontId="0" fillId="0" borderId="7" xfId="1" applyNumberFormat="1" applyFont="1" applyBorder="1"/>
    <xf numFmtId="165" fontId="0" fillId="0" borderId="10" xfId="1" applyNumberFormat="1" applyFont="1" applyBorder="1"/>
    <xf numFmtId="0" fontId="2" fillId="2" borderId="1" xfId="0" applyFont="1" applyFill="1" applyBorder="1"/>
    <xf numFmtId="164" fontId="0" fillId="0" borderId="0" xfId="2" applyNumberFormat="1" applyFont="1" applyBorder="1"/>
    <xf numFmtId="165" fontId="0" fillId="0" borderId="0" xfId="1" applyNumberFormat="1" applyFont="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0" fillId="0" borderId="7" xfId="0" applyBorder="1"/>
    <xf numFmtId="0" fontId="0" fillId="0" borderId="8" xfId="0" applyBorder="1"/>
    <xf numFmtId="0" fontId="0" fillId="0" borderId="9" xfId="0" applyBorder="1"/>
    <xf numFmtId="0" fontId="0" fillId="0" borderId="1" xfId="0" applyBorder="1"/>
    <xf numFmtId="0" fontId="2" fillId="0" borderId="14" xfId="0" applyFont="1" applyBorder="1"/>
    <xf numFmtId="0" fontId="2" fillId="0" borderId="15" xfId="0" applyFont="1" applyBorder="1"/>
    <xf numFmtId="0" fontId="2" fillId="0" borderId="12" xfId="0" applyFont="1" applyBorder="1" applyAlignment="1">
      <alignment horizontal="center"/>
    </xf>
    <xf numFmtId="0" fontId="2" fillId="0" borderId="13" xfId="0" applyFont="1" applyBorder="1" applyAlignment="1">
      <alignment horizontal="center"/>
    </xf>
    <xf numFmtId="164" fontId="2" fillId="0" borderId="7" xfId="2" applyNumberFormat="1" applyFont="1" applyBorder="1"/>
    <xf numFmtId="164" fontId="2" fillId="2" borderId="9" xfId="2" applyNumberFormat="1" applyFont="1" applyFill="1" applyBorder="1"/>
    <xf numFmtId="164" fontId="0" fillId="0" borderId="3" xfId="2" applyNumberFormat="1" applyFont="1" applyBorder="1"/>
    <xf numFmtId="164" fontId="0" fillId="0" borderId="4" xfId="2" applyNumberFormat="1" applyFont="1" applyBorder="1"/>
    <xf numFmtId="164" fontId="0" fillId="0" borderId="5" xfId="2" applyNumberFormat="1" applyFont="1" applyBorder="1"/>
    <xf numFmtId="164" fontId="0" fillId="0" borderId="6" xfId="2" applyNumberFormat="1" applyFont="1" applyBorder="1"/>
    <xf numFmtId="164" fontId="0" fillId="0" borderId="7" xfId="2" applyNumberFormat="1" applyFont="1" applyBorder="1"/>
    <xf numFmtId="164" fontId="0" fillId="0" borderId="8" xfId="2" applyNumberFormat="1" applyFont="1" applyBorder="1"/>
    <xf numFmtId="164" fontId="0" fillId="0" borderId="9" xfId="2" applyNumberFormat="1" applyFont="1" applyBorder="1"/>
    <xf numFmtId="164" fontId="0" fillId="0" borderId="10" xfId="2" applyNumberFormat="1" applyFont="1" applyBorder="1"/>
    <xf numFmtId="164" fontId="2" fillId="2" borderId="10" xfId="2" applyNumberFormat="1" applyFont="1" applyFill="1" applyBorder="1"/>
    <xf numFmtId="0" fontId="2" fillId="0" borderId="2" xfId="0" applyFont="1" applyBorder="1"/>
    <xf numFmtId="9" fontId="0" fillId="0" borderId="0" xfId="2" applyFont="1" applyBorder="1"/>
    <xf numFmtId="9" fontId="0" fillId="0" borderId="7" xfId="2" applyFont="1" applyBorder="1"/>
    <xf numFmtId="9" fontId="0" fillId="0" borderId="9" xfId="2" applyFont="1" applyBorder="1"/>
    <xf numFmtId="9" fontId="0" fillId="0" borderId="10" xfId="2" applyFont="1" applyBorder="1"/>
    <xf numFmtId="0" fontId="7" fillId="0" borderId="0" xfId="0" applyFont="1"/>
    <xf numFmtId="0" fontId="2" fillId="0" borderId="1" xfId="0" applyFont="1" applyBorder="1"/>
    <xf numFmtId="0" fontId="8" fillId="0" borderId="0" xfId="0" applyFont="1" applyFill="1" applyBorder="1"/>
    <xf numFmtId="165" fontId="10" fillId="0" borderId="0" xfId="1" applyNumberFormat="1" applyFont="1" applyFill="1" applyBorder="1"/>
    <xf numFmtId="165" fontId="9" fillId="0" borderId="0" xfId="1" applyNumberFormat="1" applyFont="1" applyFill="1" applyBorder="1"/>
    <xf numFmtId="0" fontId="8" fillId="0" borderId="16" xfId="0" applyFont="1" applyFill="1" applyBorder="1"/>
    <xf numFmtId="164" fontId="10" fillId="0" borderId="0" xfId="2" applyNumberFormat="1" applyFont="1" applyFill="1" applyBorder="1"/>
    <xf numFmtId="0" fontId="11" fillId="0" borderId="0" xfId="0" applyFont="1"/>
    <xf numFmtId="0" fontId="12" fillId="0" borderId="0" xfId="0" applyFont="1" applyFill="1" applyBorder="1"/>
    <xf numFmtId="0" fontId="8" fillId="0" borderId="16" xfId="0" applyFont="1" applyFill="1" applyBorder="1" applyAlignment="1">
      <alignment horizontal="center"/>
    </xf>
    <xf numFmtId="0" fontId="8" fillId="0" borderId="9" xfId="0" applyFont="1" applyFill="1" applyBorder="1"/>
    <xf numFmtId="164" fontId="10" fillId="0" borderId="9" xfId="2" applyNumberFormat="1" applyFont="1" applyFill="1" applyBorder="1"/>
    <xf numFmtId="0" fontId="2" fillId="0" borderId="2" xfId="0" applyFont="1" applyBorder="1" applyAlignment="1">
      <alignment horizontal="center"/>
    </xf>
    <xf numFmtId="0" fontId="2" fillId="0" borderId="0" xfId="0" applyFont="1" applyBorder="1" applyAlignment="1">
      <alignment horizontal="center"/>
    </xf>
    <xf numFmtId="0" fontId="13" fillId="0" borderId="2" xfId="0" applyFont="1" applyBorder="1"/>
    <xf numFmtId="165" fontId="0" fillId="0" borderId="19" xfId="1" applyNumberFormat="1" applyFont="1" applyBorder="1"/>
    <xf numFmtId="165" fontId="0" fillId="0" borderId="18" xfId="1" applyNumberFormat="1" applyFont="1" applyBorder="1"/>
    <xf numFmtId="164" fontId="0" fillId="0" borderId="19" xfId="2" applyNumberFormat="1" applyFont="1" applyBorder="1"/>
    <xf numFmtId="0" fontId="0" fillId="0" borderId="14" xfId="0" applyBorder="1"/>
    <xf numFmtId="0" fontId="0" fillId="0" borderId="20" xfId="0" applyBorder="1"/>
    <xf numFmtId="164" fontId="0" fillId="0" borderId="18" xfId="2" applyNumberFormat="1" applyFont="1" applyBorder="1"/>
    <xf numFmtId="2" fontId="0" fillId="0" borderId="0" xfId="0" applyNumberFormat="1" applyAlignment="1">
      <alignment horizontal="center"/>
    </xf>
    <xf numFmtId="2" fontId="0" fillId="0" borderId="2" xfId="0" applyNumberFormat="1" applyBorder="1" applyAlignment="1">
      <alignment horizontal="center"/>
    </xf>
    <xf numFmtId="0" fontId="13" fillId="0" borderId="0" xfId="0" applyFont="1"/>
    <xf numFmtId="0" fontId="13" fillId="0" borderId="2" xfId="0" applyFont="1" applyBorder="1" applyAlignment="1">
      <alignment horizontal="center"/>
    </xf>
    <xf numFmtId="165" fontId="0" fillId="0" borderId="2" xfId="1" applyNumberFormat="1" applyFont="1" applyBorder="1"/>
    <xf numFmtId="164" fontId="0" fillId="0" borderId="2" xfId="2" applyNumberFormat="1" applyFont="1" applyBorder="1"/>
    <xf numFmtId="0" fontId="2" fillId="0" borderId="0" xfId="0" applyFont="1" applyBorder="1"/>
    <xf numFmtId="164" fontId="0" fillId="0" borderId="0" xfId="0" applyNumberFormat="1"/>
    <xf numFmtId="0" fontId="2" fillId="0" borderId="0" xfId="0" applyFont="1" applyFill="1" applyBorder="1" applyAlignment="1">
      <alignment horizontal="center"/>
    </xf>
    <xf numFmtId="165" fontId="0" fillId="0" borderId="0" xfId="0" applyNumberFormat="1"/>
    <xf numFmtId="0" fontId="2" fillId="0" borderId="2" xfId="0" applyFont="1" applyFill="1" applyBorder="1" applyAlignment="1">
      <alignment horizontal="center"/>
    </xf>
    <xf numFmtId="0" fontId="2" fillId="0" borderId="0" xfId="0" applyFont="1" applyBorder="1" applyAlignment="1"/>
    <xf numFmtId="0" fontId="0" fillId="0" borderId="0" xfId="0" applyBorder="1" applyAlignment="1">
      <alignment horizontal="center"/>
    </xf>
    <xf numFmtId="165" fontId="0" fillId="0" borderId="0" xfId="1" applyNumberFormat="1" applyFont="1" applyBorder="1" applyAlignment="1">
      <alignment horizontal="center"/>
    </xf>
    <xf numFmtId="9" fontId="0" fillId="0" borderId="0" xfId="2" applyNumberFormat="1" applyFont="1" applyBorder="1" applyAlignment="1">
      <alignment horizontal="center"/>
    </xf>
    <xf numFmtId="165" fontId="0" fillId="0" borderId="2" xfId="1" applyNumberFormat="1" applyFont="1" applyBorder="1" applyAlignment="1">
      <alignment horizontal="center"/>
    </xf>
    <xf numFmtId="9" fontId="0" fillId="0" borderId="2" xfId="2" applyNumberFormat="1" applyFont="1" applyBorder="1" applyAlignment="1">
      <alignment horizontal="center"/>
    </xf>
    <xf numFmtId="9" fontId="0" fillId="0" borderId="0" xfId="2" applyFont="1" applyBorder="1" applyAlignment="1">
      <alignment horizontal="center"/>
    </xf>
    <xf numFmtId="9" fontId="0" fillId="0" borderId="2" xfId="2" applyFont="1" applyBorder="1" applyAlignment="1">
      <alignment horizontal="center"/>
    </xf>
    <xf numFmtId="0" fontId="2" fillId="0" borderId="19" xfId="0" applyFont="1" applyBorder="1"/>
    <xf numFmtId="0" fontId="2" fillId="0" borderId="18" xfId="0" applyFont="1" applyBorder="1"/>
    <xf numFmtId="0" fontId="3" fillId="4" borderId="0" xfId="0" applyFont="1" applyFill="1"/>
    <xf numFmtId="0" fontId="14" fillId="0" borderId="21" xfId="0" applyFont="1" applyBorder="1"/>
    <xf numFmtId="0" fontId="14" fillId="0" borderId="11" xfId="0" applyFont="1" applyBorder="1" applyAlignment="1">
      <alignment horizontal="center" wrapText="1"/>
    </xf>
    <xf numFmtId="0" fontId="14" fillId="0" borderId="12" xfId="0" applyFont="1" applyBorder="1" applyAlignment="1">
      <alignment horizontal="center" wrapText="1"/>
    </xf>
    <xf numFmtId="0" fontId="14" fillId="0" borderId="13" xfId="0" applyFont="1" applyBorder="1" applyAlignment="1">
      <alignment horizontal="center" wrapText="1"/>
    </xf>
    <xf numFmtId="0" fontId="14" fillId="0" borderId="22" xfId="0" applyFont="1" applyBorder="1" applyAlignment="1">
      <alignment horizontal="center" wrapText="1"/>
    </xf>
    <xf numFmtId="0" fontId="14" fillId="0" borderId="24" xfId="0" applyFont="1" applyBorder="1"/>
    <xf numFmtId="0" fontId="14" fillId="0" borderId="26" xfId="0" applyFont="1" applyBorder="1"/>
    <xf numFmtId="3" fontId="14" fillId="0" borderId="27" xfId="0" applyNumberFormat="1" applyFont="1" applyBorder="1"/>
    <xf numFmtId="3" fontId="14" fillId="0" borderId="28" xfId="0" applyNumberFormat="1" applyFont="1" applyBorder="1"/>
    <xf numFmtId="3" fontId="14" fillId="0" borderId="29" xfId="0" applyNumberFormat="1" applyFont="1" applyBorder="1"/>
    <xf numFmtId="3" fontId="14" fillId="0" borderId="30" xfId="0" applyNumberFormat="1" applyFont="1" applyBorder="1"/>
    <xf numFmtId="3" fontId="14" fillId="0" borderId="3" xfId="0" applyNumberFormat="1" applyFont="1" applyFill="1" applyBorder="1"/>
    <xf numFmtId="3" fontId="14" fillId="0" borderId="23" xfId="0" applyNumberFormat="1" applyFont="1" applyFill="1" applyBorder="1"/>
    <xf numFmtId="0" fontId="0" fillId="0" borderId="0" xfId="0" applyFill="1"/>
    <xf numFmtId="3" fontId="14" fillId="0" borderId="25" xfId="0" applyNumberFormat="1" applyFont="1" applyFill="1" applyBorder="1"/>
    <xf numFmtId="164" fontId="14" fillId="0" borderId="3" xfId="2" applyNumberFormat="1" applyFont="1" applyFill="1" applyBorder="1"/>
    <xf numFmtId="164" fontId="14" fillId="0" borderId="23" xfId="2" applyNumberFormat="1" applyFont="1" applyFill="1" applyBorder="1"/>
    <xf numFmtId="164" fontId="14" fillId="0" borderId="25" xfId="2" applyNumberFormat="1" applyFont="1" applyFill="1" applyBorder="1"/>
    <xf numFmtId="164" fontId="14" fillId="0" borderId="27" xfId="2" applyNumberFormat="1" applyFont="1" applyBorder="1"/>
    <xf numFmtId="164" fontId="14" fillId="0" borderId="28" xfId="2" applyNumberFormat="1" applyFont="1" applyBorder="1"/>
    <xf numFmtId="164" fontId="14" fillId="0" borderId="29" xfId="2" applyNumberFormat="1" applyFont="1" applyBorder="1"/>
    <xf numFmtId="164" fontId="14" fillId="0" borderId="30" xfId="2" applyNumberFormat="1" applyFont="1" applyBorder="1"/>
    <xf numFmtId="0" fontId="3" fillId="5" borderId="0" xfId="0" applyFont="1" applyFill="1"/>
    <xf numFmtId="0" fontId="2" fillId="0" borderId="2" xfId="0" applyFont="1" applyBorder="1" applyAlignment="1">
      <alignment horizontal="center"/>
    </xf>
    <xf numFmtId="0" fontId="2" fillId="0" borderId="0" xfId="0" applyFont="1" applyBorder="1" applyAlignment="1">
      <alignment horizontal="center"/>
    </xf>
    <xf numFmtId="43" fontId="0" fillId="0" borderId="0" xfId="0" applyNumberFormat="1"/>
    <xf numFmtId="9" fontId="0" fillId="0" borderId="0" xfId="2" applyFont="1"/>
    <xf numFmtId="0" fontId="0" fillId="6" borderId="0" xfId="0" applyFill="1"/>
    <xf numFmtId="0" fontId="2" fillId="4" borderId="0" xfId="0" applyFont="1" applyFill="1" applyBorder="1" applyAlignment="1">
      <alignment vertical="center" wrapText="1"/>
    </xf>
    <xf numFmtId="0" fontId="2" fillId="0" borderId="31" xfId="0" applyFont="1" applyBorder="1"/>
    <xf numFmtId="0" fontId="2" fillId="0" borderId="32" xfId="0" applyFont="1" applyBorder="1"/>
    <xf numFmtId="0" fontId="2" fillId="0" borderId="33" xfId="0" applyFont="1" applyBorder="1"/>
    <xf numFmtId="164" fontId="0" fillId="0" borderId="34" xfId="2" applyNumberFormat="1" applyFont="1" applyBorder="1"/>
    <xf numFmtId="164" fontId="10" fillId="6" borderId="0" xfId="2" applyNumberFormat="1" applyFont="1" applyFill="1" applyBorder="1"/>
    <xf numFmtId="0" fontId="9" fillId="0" borderId="0" xfId="0" applyFont="1" applyFill="1" applyBorder="1"/>
    <xf numFmtId="0" fontId="16" fillId="0" borderId="0" xfId="0" applyFont="1" applyFill="1" applyBorder="1"/>
    <xf numFmtId="0" fontId="13" fillId="0" borderId="2" xfId="0" applyFont="1" applyFill="1" applyBorder="1"/>
    <xf numFmtId="2" fontId="0" fillId="0" borderId="0" xfId="0" applyNumberFormat="1"/>
    <xf numFmtId="9" fontId="0" fillId="0" borderId="2" xfId="2" applyFont="1" applyBorder="1"/>
    <xf numFmtId="2" fontId="0" fillId="0" borderId="2" xfId="0" applyNumberFormat="1" applyBorder="1"/>
    <xf numFmtId="2" fontId="0" fillId="6" borderId="0" xfId="0" applyNumberFormat="1" applyFill="1" applyAlignment="1">
      <alignment horizontal="center"/>
    </xf>
    <xf numFmtId="0" fontId="15" fillId="0" borderId="0" xfId="0" applyFont="1"/>
    <xf numFmtId="0" fontId="13" fillId="0" borderId="0" xfId="0" applyFont="1" applyFill="1" applyBorder="1" applyAlignment="1">
      <alignment horizontal="center"/>
    </xf>
    <xf numFmtId="164" fontId="0" fillId="0" borderId="0" xfId="0" applyNumberFormat="1" applyFont="1"/>
    <xf numFmtId="164" fontId="0" fillId="0" borderId="6" xfId="0" applyNumberFormat="1" applyBorder="1"/>
    <xf numFmtId="164" fontId="0" fillId="0" borderId="8" xfId="0" applyNumberFormat="1" applyBorder="1"/>
    <xf numFmtId="164" fontId="0" fillId="0" borderId="2" xfId="0" applyNumberFormat="1" applyFont="1" applyBorder="1"/>
    <xf numFmtId="164" fontId="0" fillId="0" borderId="0" xfId="2" applyNumberFormat="1" applyFont="1" applyBorder="1" applyAlignment="1">
      <alignment horizontal="center"/>
    </xf>
    <xf numFmtId="0" fontId="17" fillId="0" borderId="0" xfId="0" applyFont="1"/>
    <xf numFmtId="0" fontId="0" fillId="7" borderId="0" xfId="0" applyFont="1" applyFill="1"/>
    <xf numFmtId="0" fontId="0" fillId="7" borderId="0" xfId="0" applyFill="1"/>
    <xf numFmtId="164" fontId="0" fillId="0" borderId="2" xfId="2" applyNumberFormat="1" applyFont="1" applyBorder="1" applyAlignment="1">
      <alignment horizontal="center"/>
    </xf>
    <xf numFmtId="0" fontId="18" fillId="0" borderId="0" xfId="0" applyFont="1" applyAlignment="1">
      <alignment horizontal="center"/>
    </xf>
    <xf numFmtId="43" fontId="0" fillId="0" borderId="0" xfId="1" applyNumberFormat="1" applyFont="1"/>
    <xf numFmtId="43" fontId="0" fillId="0" borderId="9" xfId="1" applyNumberFormat="1" applyFont="1" applyBorder="1"/>
    <xf numFmtId="0" fontId="19" fillId="0" borderId="0" xfId="0" applyFont="1" applyAlignment="1">
      <alignment vertical="center"/>
    </xf>
    <xf numFmtId="0" fontId="2" fillId="0" borderId="2" xfId="0" applyFont="1" applyBorder="1" applyAlignment="1">
      <alignment horizontal="right"/>
    </xf>
    <xf numFmtId="0" fontId="2" fillId="0" borderId="9" xfId="0" applyFont="1" applyBorder="1" applyAlignment="1">
      <alignment horizontal="right"/>
    </xf>
    <xf numFmtId="165" fontId="20" fillId="0" borderId="0" xfId="1" applyNumberFormat="1" applyFont="1"/>
    <xf numFmtId="3" fontId="14" fillId="0" borderId="23" xfId="0" applyNumberFormat="1" applyFont="1" applyBorder="1"/>
    <xf numFmtId="3" fontId="14" fillId="0" borderId="25" xfId="0" applyNumberFormat="1" applyFont="1" applyBorder="1"/>
    <xf numFmtId="0" fontId="14" fillId="0" borderId="35" xfId="0" applyFont="1" applyBorder="1"/>
    <xf numFmtId="0" fontId="14" fillId="0" borderId="1" xfId="0" applyFont="1" applyBorder="1" applyAlignment="1">
      <alignment horizontal="center" vertical="center" wrapText="1"/>
    </xf>
    <xf numFmtId="0" fontId="3" fillId="0" borderId="0" xfId="0" applyFont="1"/>
    <xf numFmtId="164" fontId="20" fillId="0" borderId="0" xfId="2" applyNumberFormat="1" applyFont="1"/>
    <xf numFmtId="164" fontId="14" fillId="0" borderId="23" xfId="2" applyNumberFormat="1" applyFont="1" applyBorder="1"/>
    <xf numFmtId="164" fontId="14" fillId="0" borderId="25" xfId="2" applyNumberFormat="1" applyFont="1" applyBorder="1"/>
    <xf numFmtId="0" fontId="2" fillId="0" borderId="0" xfId="0" applyFont="1" applyAlignment="1"/>
    <xf numFmtId="0" fontId="22" fillId="0" borderId="0" xfId="0" applyFont="1"/>
    <xf numFmtId="0" fontId="23" fillId="0" borderId="0" xfId="0" applyFont="1"/>
    <xf numFmtId="0" fontId="25" fillId="0" borderId="0" xfId="3" applyFont="1"/>
    <xf numFmtId="0" fontId="26" fillId="0" borderId="0" xfId="3" applyFont="1"/>
    <xf numFmtId="0" fontId="27" fillId="0" borderId="0" xfId="3" applyFont="1"/>
    <xf numFmtId="0" fontId="11" fillId="0" borderId="2" xfId="0" applyFont="1" applyBorder="1"/>
    <xf numFmtId="0" fontId="18" fillId="0" borderId="0" xfId="0" applyFont="1" applyAlignment="1">
      <alignment horizontal="right"/>
    </xf>
    <xf numFmtId="0" fontId="0" fillId="0" borderId="0" xfId="0" applyAlignment="1">
      <alignment horizontal="right"/>
    </xf>
    <xf numFmtId="164" fontId="0" fillId="0" borderId="14" xfId="2" applyNumberFormat="1" applyFont="1" applyBorder="1"/>
    <xf numFmtId="164" fontId="0" fillId="0" borderId="15" xfId="2" applyNumberFormat="1" applyFont="1" applyBorder="1"/>
    <xf numFmtId="0" fontId="2" fillId="4" borderId="1" xfId="0" applyFont="1" applyFill="1" applyBorder="1" applyAlignment="1">
      <alignment horizontal="center"/>
    </xf>
    <xf numFmtId="0" fontId="2" fillId="4" borderId="1" xfId="0" applyFont="1" applyFill="1" applyBorder="1" applyAlignment="1">
      <alignment vertical="center" wrapText="1"/>
    </xf>
    <xf numFmtId="0" fontId="0" fillId="0" borderId="11" xfId="0" applyBorder="1" applyAlignment="1">
      <alignment horizontal="center"/>
    </xf>
    <xf numFmtId="165" fontId="0" fillId="0" borderId="12" xfId="1" applyNumberFormat="1" applyFont="1" applyBorder="1"/>
    <xf numFmtId="9" fontId="0" fillId="0" borderId="12" xfId="2" applyFont="1" applyBorder="1"/>
    <xf numFmtId="10" fontId="0" fillId="0" borderId="13" xfId="2" applyNumberFormat="1" applyFont="1" applyBorder="1"/>
    <xf numFmtId="9" fontId="0" fillId="0" borderId="11" xfId="2" applyFont="1" applyBorder="1"/>
    <xf numFmtId="9" fontId="0" fillId="0" borderId="13" xfId="2" applyFont="1" applyBorder="1"/>
    <xf numFmtId="164" fontId="0" fillId="0" borderId="12" xfId="2" applyNumberFormat="1" applyFont="1" applyBorder="1"/>
    <xf numFmtId="164" fontId="0" fillId="0" borderId="13" xfId="2" applyNumberFormat="1" applyFont="1" applyBorder="1"/>
    <xf numFmtId="0" fontId="2" fillId="0" borderId="31" xfId="0" applyFont="1" applyBorder="1" applyAlignment="1">
      <alignment horizontal="center"/>
    </xf>
    <xf numFmtId="0" fontId="2" fillId="0" borderId="32" xfId="0" applyFont="1" applyBorder="1" applyAlignment="1">
      <alignment horizontal="center"/>
    </xf>
    <xf numFmtId="0" fontId="2" fillId="0" borderId="33" xfId="0" applyFont="1" applyBorder="1" applyAlignment="1">
      <alignment horizontal="center"/>
    </xf>
    <xf numFmtId="0" fontId="2" fillId="0" borderId="1" xfId="0" applyFont="1" applyBorder="1" applyAlignment="1">
      <alignment horizontal="center"/>
    </xf>
    <xf numFmtId="0" fontId="0" fillId="0" borderId="10" xfId="0" applyBorder="1"/>
    <xf numFmtId="164" fontId="0" fillId="0" borderId="0" xfId="0" applyNumberFormat="1" applyFont="1" applyFill="1"/>
    <xf numFmtId="164" fontId="0" fillId="0" borderId="0" xfId="0" applyNumberFormat="1" applyFill="1"/>
    <xf numFmtId="164" fontId="0" fillId="0" borderId="2" xfId="2" applyNumberFormat="1" applyFont="1" applyFill="1" applyBorder="1" applyAlignment="1">
      <alignment horizontal="center"/>
    </xf>
    <xf numFmtId="165" fontId="19" fillId="0" borderId="0" xfId="1" applyNumberFormat="1" applyFont="1" applyAlignment="1">
      <alignment vertical="center"/>
    </xf>
    <xf numFmtId="2" fontId="30" fillId="8" borderId="36" xfId="4" applyNumberFormat="1"/>
    <xf numFmtId="0" fontId="31" fillId="0" borderId="0" xfId="3" applyFont="1"/>
    <xf numFmtId="0" fontId="13" fillId="0" borderId="0" xfId="0" applyFont="1" applyAlignment="1">
      <alignment horizontal="left"/>
    </xf>
    <xf numFmtId="10" fontId="0" fillId="0" borderId="0" xfId="2" applyNumberFormat="1" applyFont="1"/>
    <xf numFmtId="0" fontId="34" fillId="0" borderId="0" xfId="0" applyFont="1" applyFill="1" applyBorder="1"/>
    <xf numFmtId="0" fontId="24" fillId="0" borderId="0" xfId="3"/>
    <xf numFmtId="0" fontId="37" fillId="0" borderId="0" xfId="0" applyFont="1"/>
    <xf numFmtId="0" fontId="32" fillId="9" borderId="36" xfId="5"/>
    <xf numFmtId="0" fontId="35" fillId="0" borderId="1" xfId="0" applyFont="1" applyBorder="1"/>
    <xf numFmtId="3" fontId="33" fillId="8" borderId="1" xfId="6" applyNumberFormat="1" applyBorder="1" applyAlignment="1">
      <alignment horizontal="right"/>
    </xf>
    <xf numFmtId="0" fontId="36" fillId="0" borderId="15" xfId="0" applyFont="1" applyBorder="1"/>
    <xf numFmtId="3" fontId="33" fillId="8" borderId="15" xfId="6" applyNumberFormat="1" applyBorder="1" applyAlignment="1">
      <alignment horizontal="right"/>
    </xf>
    <xf numFmtId="0" fontId="35" fillId="0" borderId="38" xfId="0" applyFont="1" applyBorder="1"/>
    <xf numFmtId="3" fontId="33" fillId="8" borderId="38" xfId="6" applyNumberFormat="1" applyBorder="1" applyAlignment="1">
      <alignment horizontal="right"/>
    </xf>
    <xf numFmtId="0" fontId="35" fillId="0" borderId="15" xfId="0" applyFont="1" applyBorder="1"/>
    <xf numFmtId="2" fontId="30" fillId="10" borderId="15" xfId="0" applyNumberFormat="1" applyFont="1" applyFill="1" applyBorder="1" applyAlignment="1">
      <alignment horizontal="right"/>
    </xf>
    <xf numFmtId="165" fontId="0" fillId="0" borderId="34" xfId="1" applyNumberFormat="1" applyFont="1" applyBorder="1"/>
    <xf numFmtId="164" fontId="10" fillId="11" borderId="0" xfId="2" applyNumberFormat="1" applyFont="1" applyFill="1" applyBorder="1"/>
    <xf numFmtId="0" fontId="2" fillId="0" borderId="39" xfId="0" applyFont="1" applyBorder="1"/>
    <xf numFmtId="2" fontId="0" fillId="0" borderId="0" xfId="0" applyNumberFormat="1" applyFill="1" applyAlignment="1">
      <alignment horizontal="center"/>
    </xf>
    <xf numFmtId="0" fontId="7" fillId="12" borderId="5" xfId="0" applyFont="1" applyFill="1" applyBorder="1" applyAlignment="1">
      <alignment horizontal="center"/>
    </xf>
    <xf numFmtId="0" fontId="2" fillId="12" borderId="12" xfId="0" applyFont="1" applyFill="1" applyBorder="1" applyAlignment="1">
      <alignment horizontal="center"/>
    </xf>
    <xf numFmtId="0" fontId="2" fillId="12" borderId="11" xfId="0" applyFont="1" applyFill="1" applyBorder="1" applyAlignment="1">
      <alignment horizontal="center"/>
    </xf>
    <xf numFmtId="0" fontId="2" fillId="12" borderId="13" xfId="0" applyFont="1" applyFill="1" applyBorder="1" applyAlignment="1">
      <alignment horizontal="center"/>
    </xf>
    <xf numFmtId="0" fontId="2" fillId="12" borderId="14" xfId="0" applyFont="1" applyFill="1" applyBorder="1" applyAlignment="1">
      <alignment horizontal="center"/>
    </xf>
    <xf numFmtId="165" fontId="32" fillId="13" borderId="40" xfId="1" applyNumberFormat="1" applyFont="1" applyFill="1" applyBorder="1" applyAlignment="1">
      <alignment vertical="center"/>
    </xf>
    <xf numFmtId="165" fontId="32" fillId="0" borderId="40" xfId="1" applyNumberFormat="1" applyFont="1" applyFill="1" applyBorder="1" applyAlignment="1">
      <alignment vertical="center"/>
    </xf>
    <xf numFmtId="165" fontId="2" fillId="14" borderId="14" xfId="0" applyNumberFormat="1" applyFont="1" applyFill="1" applyBorder="1" applyAlignment="1">
      <alignment vertical="center"/>
    </xf>
    <xf numFmtId="165" fontId="32" fillId="13" borderId="40" xfId="1" applyNumberFormat="1" applyFont="1" applyFill="1" applyBorder="1" applyAlignment="1">
      <alignment horizontal="center" vertical="center"/>
    </xf>
    <xf numFmtId="165" fontId="32" fillId="0" borderId="40" xfId="1" applyNumberFormat="1" applyFont="1" applyFill="1" applyBorder="1" applyAlignment="1">
      <alignment horizontal="center" vertical="center"/>
    </xf>
    <xf numFmtId="0" fontId="2" fillId="14" borderId="1" xfId="0" applyFont="1" applyFill="1" applyBorder="1" applyAlignment="1">
      <alignment horizontal="left"/>
    </xf>
    <xf numFmtId="165" fontId="39" fillId="14" borderId="41" xfId="1" applyNumberFormat="1" applyFont="1" applyFill="1" applyBorder="1" applyAlignment="1">
      <alignment vertical="center"/>
    </xf>
    <xf numFmtId="165" fontId="39" fillId="15" borderId="41" xfId="1" applyNumberFormat="1" applyFont="1" applyFill="1" applyBorder="1" applyAlignment="1">
      <alignment vertical="center"/>
    </xf>
    <xf numFmtId="0" fontId="40" fillId="0" borderId="0" xfId="0" applyFont="1"/>
    <xf numFmtId="164" fontId="32" fillId="13" borderId="40" xfId="2" applyNumberFormat="1" applyFont="1" applyFill="1" applyBorder="1" applyAlignment="1">
      <alignment vertical="center"/>
    </xf>
    <xf numFmtId="164" fontId="32" fillId="0" borderId="40" xfId="2" applyNumberFormat="1" applyFont="1" applyFill="1" applyBorder="1" applyAlignment="1">
      <alignment vertical="center"/>
    </xf>
    <xf numFmtId="164" fontId="32" fillId="13" borderId="40" xfId="2" applyNumberFormat="1" applyFont="1" applyFill="1" applyBorder="1" applyAlignment="1">
      <alignment horizontal="center" vertical="center"/>
    </xf>
    <xf numFmtId="164" fontId="32" fillId="0" borderId="40" xfId="2" applyNumberFormat="1" applyFont="1" applyFill="1" applyBorder="1" applyAlignment="1">
      <alignment horizontal="center" vertical="center"/>
    </xf>
    <xf numFmtId="164" fontId="2" fillId="14" borderId="14" xfId="2" applyNumberFormat="1" applyFont="1" applyFill="1" applyBorder="1" applyAlignment="1">
      <alignment vertical="center"/>
    </xf>
    <xf numFmtId="164" fontId="39" fillId="14" borderId="41" xfId="2" applyNumberFormat="1" applyFont="1" applyFill="1" applyBorder="1" applyAlignment="1">
      <alignment vertical="center"/>
    </xf>
    <xf numFmtId="164" fontId="39" fillId="15" borderId="41" xfId="2" applyNumberFormat="1" applyFont="1" applyFill="1" applyBorder="1" applyAlignment="1">
      <alignment vertical="center"/>
    </xf>
    <xf numFmtId="0" fontId="3" fillId="12" borderId="14" xfId="0" applyFont="1" applyFill="1" applyBorder="1" applyAlignment="1">
      <alignment horizontal="center"/>
    </xf>
    <xf numFmtId="165" fontId="32" fillId="13" borderId="42" xfId="1" applyNumberFormat="1" applyFont="1" applyFill="1" applyBorder="1" applyAlignment="1">
      <alignment vertical="center"/>
    </xf>
    <xf numFmtId="165" fontId="32" fillId="0" borderId="43" xfId="1" applyNumberFormat="1" applyFont="1" applyFill="1" applyBorder="1" applyAlignment="1">
      <alignment vertical="center"/>
    </xf>
    <xf numFmtId="165" fontId="32" fillId="0" borderId="44" xfId="1" applyNumberFormat="1" applyFont="1" applyFill="1" applyBorder="1" applyAlignment="1">
      <alignment vertical="center"/>
    </xf>
    <xf numFmtId="165" fontId="32" fillId="0" borderId="45" xfId="1" applyNumberFormat="1" applyFont="1" applyFill="1" applyBorder="1" applyAlignment="1">
      <alignment vertical="center"/>
    </xf>
    <xf numFmtId="165" fontId="32" fillId="0" borderId="46" xfId="1" applyNumberFormat="1" applyFont="1" applyFill="1" applyBorder="1" applyAlignment="1">
      <alignment vertical="center"/>
    </xf>
    <xf numFmtId="165" fontId="32" fillId="0" borderId="47" xfId="1" applyNumberFormat="1" applyFont="1" applyFill="1" applyBorder="1" applyAlignment="1">
      <alignment vertical="center"/>
    </xf>
    <xf numFmtId="165" fontId="32" fillId="0" borderId="48" xfId="1" applyNumberFormat="1" applyFont="1" applyFill="1" applyBorder="1" applyAlignment="1">
      <alignment vertical="center"/>
    </xf>
    <xf numFmtId="165" fontId="32" fillId="13" borderId="10" xfId="1" applyNumberFormat="1" applyFont="1" applyFill="1" applyBorder="1" applyAlignment="1">
      <alignment vertical="center"/>
    </xf>
    <xf numFmtId="0" fontId="2" fillId="12" borderId="1" xfId="0" applyFont="1" applyFill="1" applyBorder="1" applyAlignment="1">
      <alignment horizontal="center"/>
    </xf>
    <xf numFmtId="0" fontId="2" fillId="4" borderId="4" xfId="0" applyFont="1" applyFill="1" applyBorder="1" applyAlignment="1">
      <alignment vertical="center" wrapText="1"/>
    </xf>
    <xf numFmtId="0" fontId="2" fillId="4" borderId="5" xfId="0" applyFont="1" applyFill="1" applyBorder="1" applyAlignment="1">
      <alignment vertical="center" wrapText="1"/>
    </xf>
    <xf numFmtId="165" fontId="0" fillId="0" borderId="8" xfId="1" applyNumberFormat="1" applyFont="1" applyBorder="1"/>
    <xf numFmtId="2" fontId="2" fillId="0" borderId="0" xfId="0" applyNumberFormat="1" applyFont="1"/>
    <xf numFmtId="0" fontId="0" fillId="0" borderId="11" xfId="0" applyBorder="1"/>
    <xf numFmtId="165" fontId="2" fillId="0" borderId="39" xfId="1" applyNumberFormat="1" applyFont="1" applyBorder="1"/>
    <xf numFmtId="164" fontId="2" fillId="0" borderId="39" xfId="0" applyNumberFormat="1" applyFont="1" applyBorder="1"/>
    <xf numFmtId="0" fontId="7" fillId="12" borderId="5" xfId="0" applyFont="1" applyFill="1" applyBorder="1" applyAlignment="1">
      <alignment horizontal="center"/>
    </xf>
    <xf numFmtId="0" fontId="2" fillId="14" borderId="0" xfId="0" applyFont="1" applyFill="1" applyBorder="1" applyAlignment="1">
      <alignment horizontal="left"/>
    </xf>
    <xf numFmtId="164" fontId="39" fillId="14" borderId="0" xfId="2" applyNumberFormat="1" applyFont="1" applyFill="1" applyBorder="1" applyAlignment="1">
      <alignment vertical="center"/>
    </xf>
    <xf numFmtId="164" fontId="39" fillId="15" borderId="0" xfId="2" applyNumberFormat="1" applyFont="1" applyFill="1" applyBorder="1" applyAlignment="1">
      <alignment vertical="center"/>
    </xf>
    <xf numFmtId="0" fontId="41" fillId="16" borderId="49" xfId="7" applyAlignment="1">
      <alignment horizontal="left"/>
    </xf>
    <xf numFmtId="165" fontId="41" fillId="16" borderId="49" xfId="7" applyNumberFormat="1" applyAlignment="1">
      <alignment vertical="center"/>
    </xf>
    <xf numFmtId="165" fontId="41" fillId="16" borderId="49" xfId="1" applyNumberFormat="1" applyFont="1" applyFill="1" applyBorder="1" applyAlignment="1">
      <alignment horizontal="left"/>
    </xf>
    <xf numFmtId="165" fontId="41" fillId="16" borderId="49" xfId="1" applyNumberFormat="1" applyFont="1" applyFill="1" applyBorder="1"/>
    <xf numFmtId="165" fontId="41" fillId="16" borderId="49" xfId="1" applyNumberFormat="1" applyFont="1" applyFill="1" applyBorder="1" applyAlignment="1">
      <alignment vertical="center"/>
    </xf>
    <xf numFmtId="0" fontId="2" fillId="14" borderId="14" xfId="0" applyFont="1" applyFill="1" applyBorder="1" applyAlignment="1">
      <alignment horizontal="left"/>
    </xf>
    <xf numFmtId="9" fontId="32" fillId="13" borderId="40" xfId="2" applyFont="1" applyFill="1" applyBorder="1" applyAlignment="1">
      <alignment vertical="center"/>
    </xf>
    <xf numFmtId="9" fontId="32" fillId="0" borderId="40" xfId="2" applyFont="1" applyFill="1" applyBorder="1" applyAlignment="1">
      <alignment vertical="center"/>
    </xf>
    <xf numFmtId="9" fontId="2" fillId="14" borderId="14" xfId="2" applyFont="1" applyFill="1" applyBorder="1" applyAlignment="1">
      <alignment vertical="center"/>
    </xf>
    <xf numFmtId="9" fontId="39" fillId="14" borderId="41" xfId="2" applyFont="1" applyFill="1" applyBorder="1" applyAlignment="1">
      <alignment vertical="center"/>
    </xf>
    <xf numFmtId="9" fontId="39" fillId="15" borderId="41" xfId="2" applyFont="1" applyFill="1" applyBorder="1" applyAlignment="1">
      <alignment vertical="center"/>
    </xf>
    <xf numFmtId="9" fontId="32" fillId="13" borderId="40" xfId="2" applyFont="1" applyFill="1" applyBorder="1" applyAlignment="1">
      <alignment horizontal="center" vertical="center"/>
    </xf>
    <xf numFmtId="9" fontId="32" fillId="0" borderId="40" xfId="2" applyFont="1" applyFill="1" applyBorder="1" applyAlignment="1">
      <alignment horizontal="center" vertical="center"/>
    </xf>
    <xf numFmtId="0" fontId="18" fillId="0" borderId="0" xfId="0" applyFont="1" applyBorder="1"/>
    <xf numFmtId="0" fontId="41" fillId="16" borderId="49" xfId="7"/>
    <xf numFmtId="0" fontId="30" fillId="8" borderId="36" xfId="4"/>
    <xf numFmtId="165" fontId="41" fillId="16" borderId="0" xfId="1" applyNumberFormat="1" applyFont="1" applyFill="1" applyBorder="1"/>
    <xf numFmtId="1" fontId="0" fillId="0" borderId="0" xfId="0" applyNumberFormat="1"/>
    <xf numFmtId="0" fontId="0" fillId="3" borderId="9" xfId="0" applyFill="1" applyBorder="1"/>
    <xf numFmtId="0" fontId="2" fillId="12" borderId="17" xfId="0" applyFont="1" applyFill="1" applyBorder="1" applyAlignment="1">
      <alignment horizontal="center"/>
    </xf>
    <xf numFmtId="0" fontId="2" fillId="12" borderId="15" xfId="0" applyFont="1" applyFill="1" applyBorder="1" applyAlignment="1">
      <alignment horizontal="center"/>
    </xf>
    <xf numFmtId="0" fontId="2" fillId="12" borderId="3" xfId="0" applyFont="1" applyFill="1" applyBorder="1" applyAlignment="1">
      <alignment horizontal="center"/>
    </xf>
    <xf numFmtId="0" fontId="2" fillId="12" borderId="6" xfId="0" applyFont="1" applyFill="1" applyBorder="1" applyAlignment="1">
      <alignment horizontal="center"/>
    </xf>
    <xf numFmtId="0" fontId="2" fillId="12" borderId="8" xfId="0" applyFont="1" applyFill="1" applyBorder="1" applyAlignment="1">
      <alignment horizontal="center"/>
    </xf>
    <xf numFmtId="1" fontId="7" fillId="0" borderId="0" xfId="0" applyNumberFormat="1" applyFont="1"/>
    <xf numFmtId="3" fontId="0" fillId="0" borderId="0" xfId="0" applyNumberFormat="1"/>
    <xf numFmtId="0" fontId="2" fillId="0" borderId="9" xfId="0" applyFont="1" applyBorder="1"/>
    <xf numFmtId="3" fontId="0" fillId="0" borderId="3" xfId="0" applyNumberFormat="1" applyBorder="1"/>
    <xf numFmtId="165" fontId="0" fillId="0" borderId="5" xfId="1" applyNumberFormat="1" applyFont="1" applyBorder="1"/>
    <xf numFmtId="3" fontId="0" fillId="0" borderId="6" xfId="0" applyNumberFormat="1" applyBorder="1"/>
    <xf numFmtId="3" fontId="0" fillId="0" borderId="8" xfId="0" applyNumberFormat="1" applyBorder="1"/>
    <xf numFmtId="0" fontId="13" fillId="0" borderId="0" xfId="0" applyFont="1" applyFill="1" applyBorder="1"/>
    <xf numFmtId="0" fontId="42" fillId="0" borderId="0" xfId="0" quotePrefix="1" applyFont="1"/>
    <xf numFmtId="165" fontId="20" fillId="17" borderId="0" xfId="1" applyNumberFormat="1" applyFont="1" applyFill="1"/>
    <xf numFmtId="0" fontId="0" fillId="0" borderId="0" xfId="0" applyAlignment="1">
      <alignment horizontal="center" wrapText="1"/>
    </xf>
    <xf numFmtId="0" fontId="14" fillId="0" borderId="0" xfId="0" applyFont="1" applyBorder="1" applyAlignment="1">
      <alignment horizontal="center" vertical="center" wrapText="1"/>
    </xf>
    <xf numFmtId="3" fontId="14" fillId="17" borderId="3" xfId="0" applyNumberFormat="1" applyFont="1" applyFill="1" applyBorder="1"/>
    <xf numFmtId="0" fontId="7" fillId="0" borderId="0" xfId="0" applyFont="1" applyBorder="1" applyAlignment="1">
      <alignment horizontal="center"/>
    </xf>
    <xf numFmtId="0" fontId="14" fillId="0" borderId="0" xfId="0" applyFont="1" applyBorder="1" applyAlignment="1">
      <alignment horizontal="center" wrapText="1"/>
    </xf>
    <xf numFmtId="3" fontId="14" fillId="0" borderId="0" xfId="0" applyNumberFormat="1" applyFont="1" applyFill="1" applyBorder="1"/>
    <xf numFmtId="3" fontId="14" fillId="0" borderId="0" xfId="0" applyNumberFormat="1" applyFont="1" applyBorder="1"/>
    <xf numFmtId="4" fontId="14" fillId="0" borderId="0" xfId="0" applyNumberFormat="1" applyFont="1" applyFill="1" applyBorder="1"/>
    <xf numFmtId="0" fontId="0" fillId="0" borderId="0" xfId="0" applyFont="1" applyBorder="1" applyAlignment="1">
      <alignment horizontal="center"/>
    </xf>
    <xf numFmtId="0" fontId="14" fillId="0" borderId="0" xfId="0" applyFont="1" applyBorder="1"/>
    <xf numFmtId="164" fontId="14" fillId="0" borderId="0" xfId="2" applyNumberFormat="1" applyFont="1" applyBorder="1"/>
    <xf numFmtId="164" fontId="14" fillId="0" borderId="0" xfId="2" applyNumberFormat="1" applyFont="1" applyFill="1" applyBorder="1"/>
    <xf numFmtId="166" fontId="14" fillId="0" borderId="3" xfId="2" applyNumberFormat="1" applyFont="1" applyFill="1" applyBorder="1"/>
    <xf numFmtId="166" fontId="14" fillId="17" borderId="3" xfId="2" applyNumberFormat="1" applyFont="1" applyFill="1" applyBorder="1"/>
    <xf numFmtId="166" fontId="14" fillId="18" borderId="3" xfId="2" applyNumberFormat="1" applyFont="1" applyFill="1" applyBorder="1"/>
    <xf numFmtId="0" fontId="0" fillId="0" borderId="2" xfId="0" applyBorder="1" applyAlignment="1">
      <alignment vertical="center" wrapText="1"/>
    </xf>
    <xf numFmtId="0" fontId="0" fillId="0" borderId="0" xfId="0" applyFont="1" applyBorder="1" applyAlignment="1">
      <alignment horizontal="left"/>
    </xf>
    <xf numFmtId="0" fontId="0" fillId="0" borderId="0" xfId="0" applyNumberFormat="1"/>
    <xf numFmtId="167" fontId="20" fillId="0" borderId="0" xfId="2" applyNumberFormat="1" applyFont="1"/>
    <xf numFmtId="166" fontId="20" fillId="0" borderId="0" xfId="1" applyNumberFormat="1" applyFont="1"/>
    <xf numFmtId="166" fontId="20" fillId="17" borderId="0" xfId="1" applyNumberFormat="1" applyFont="1" applyFill="1"/>
    <xf numFmtId="166" fontId="20" fillId="0" borderId="0" xfId="1" applyNumberFormat="1" applyFont="1" applyFill="1"/>
    <xf numFmtId="165" fontId="10" fillId="0" borderId="9" xfId="1" applyNumberFormat="1" applyFont="1" applyFill="1" applyBorder="1"/>
    <xf numFmtId="165" fontId="9" fillId="0" borderId="9" xfId="1" applyNumberFormat="1" applyFont="1" applyFill="1" applyBorder="1"/>
    <xf numFmtId="165" fontId="0" fillId="0" borderId="9" xfId="0" applyNumberFormat="1" applyBorder="1"/>
    <xf numFmtId="164" fontId="9" fillId="0" borderId="0" xfId="2" applyNumberFormat="1" applyFont="1" applyFill="1" applyBorder="1"/>
    <xf numFmtId="164" fontId="9" fillId="0" borderId="9" xfId="2" applyNumberFormat="1" applyFont="1" applyFill="1" applyBorder="1"/>
    <xf numFmtId="0" fontId="2" fillId="5" borderId="2" xfId="0" applyFont="1" applyFill="1" applyBorder="1"/>
    <xf numFmtId="0" fontId="2" fillId="5" borderId="19" xfId="0" applyFont="1" applyFill="1" applyBorder="1"/>
    <xf numFmtId="0" fontId="2" fillId="5" borderId="18" xfId="0" applyFont="1" applyFill="1" applyBorder="1"/>
    <xf numFmtId="0" fontId="0" fillId="0" borderId="50" xfId="0" applyBorder="1"/>
    <xf numFmtId="0" fontId="0" fillId="0" borderId="0" xfId="0" applyAlignment="1">
      <alignment horizontal="center" wrapText="1"/>
    </xf>
    <xf numFmtId="0" fontId="21" fillId="0" borderId="0" xfId="0" applyFont="1"/>
    <xf numFmtId="2" fontId="14" fillId="0" borderId="23" xfId="2" applyNumberFormat="1" applyFont="1" applyFill="1" applyBorder="1"/>
    <xf numFmtId="0" fontId="7" fillId="0" borderId="9" xfId="0" applyFont="1" applyBorder="1" applyAlignment="1">
      <alignment horizontal="center"/>
    </xf>
    <xf numFmtId="0" fontId="38" fillId="8" borderId="36" xfId="4" applyFont="1" applyAlignment="1">
      <alignment horizontal="left"/>
    </xf>
    <xf numFmtId="0" fontId="22" fillId="0" borderId="1" xfId="0" applyFont="1" applyBorder="1" applyAlignment="1">
      <alignment vertical="center"/>
    </xf>
    <xf numFmtId="0" fontId="28" fillId="0" borderId="1" xfId="3" applyFont="1" applyBorder="1" applyAlignment="1">
      <alignment horizontal="left" vertical="center"/>
    </xf>
    <xf numFmtId="0" fontId="0" fillId="0" borderId="1" xfId="0" applyBorder="1" applyAlignment="1">
      <alignment horizontal="left" vertical="center" wrapText="1"/>
    </xf>
    <xf numFmtId="0" fontId="22" fillId="0" borderId="15" xfId="0" applyFont="1" applyBorder="1" applyAlignment="1">
      <alignment vertical="center"/>
    </xf>
    <xf numFmtId="0" fontId="28" fillId="0" borderId="15" xfId="3" applyFont="1" applyBorder="1" applyAlignment="1">
      <alignment horizontal="left" vertical="center"/>
    </xf>
    <xf numFmtId="0" fontId="0" fillId="0" borderId="15" xfId="0" applyBorder="1" applyAlignment="1">
      <alignment horizontal="left" vertical="center" wrapText="1"/>
    </xf>
    <xf numFmtId="0" fontId="21" fillId="4" borderId="2" xfId="0" applyFont="1" applyFill="1" applyBorder="1"/>
    <xf numFmtId="0" fontId="36" fillId="0" borderId="38" xfId="0" applyFont="1" applyBorder="1" applyAlignment="1">
      <alignment vertical="center" wrapText="1"/>
    </xf>
    <xf numFmtId="20" fontId="0" fillId="0" borderId="0" xfId="0" applyNumberFormat="1"/>
    <xf numFmtId="165" fontId="0" fillId="0" borderId="4" xfId="1" applyNumberFormat="1" applyFont="1" applyBorder="1"/>
    <xf numFmtId="43" fontId="0" fillId="3" borderId="0" xfId="1" applyFont="1" applyFill="1"/>
    <xf numFmtId="43" fontId="0" fillId="3" borderId="9" xfId="1" applyFont="1" applyFill="1" applyBorder="1"/>
    <xf numFmtId="165" fontId="0" fillId="3" borderId="0" xfId="1" applyNumberFormat="1" applyFont="1" applyFill="1"/>
    <xf numFmtId="165" fontId="0" fillId="3" borderId="9" xfId="1" applyNumberFormat="1" applyFont="1" applyFill="1" applyBorder="1"/>
    <xf numFmtId="165" fontId="7" fillId="0" borderId="0" xfId="1" applyNumberFormat="1" applyFont="1"/>
    <xf numFmtId="0" fontId="0" fillId="0" borderId="52" xfId="0" applyBorder="1"/>
    <xf numFmtId="0" fontId="0" fillId="7" borderId="53" xfId="0" applyFill="1" applyBorder="1"/>
    <xf numFmtId="0" fontId="0" fillId="0" borderId="54" xfId="0" applyBorder="1"/>
    <xf numFmtId="0" fontId="0" fillId="7" borderId="0" xfId="0" applyFill="1" applyBorder="1"/>
    <xf numFmtId="0" fontId="0" fillId="7" borderId="55" xfId="0" applyFill="1" applyBorder="1"/>
    <xf numFmtId="0" fontId="0" fillId="0" borderId="56" xfId="0" applyBorder="1"/>
    <xf numFmtId="0" fontId="0" fillId="7" borderId="57" xfId="0" applyFill="1" applyBorder="1"/>
    <xf numFmtId="0" fontId="0" fillId="7" borderId="58" xfId="0" applyFill="1" applyBorder="1"/>
    <xf numFmtId="165" fontId="2" fillId="0" borderId="2" xfId="1" applyNumberFormat="1" applyFont="1" applyBorder="1"/>
    <xf numFmtId="0" fontId="19" fillId="0" borderId="0" xfId="0" applyFont="1" applyAlignment="1">
      <alignment horizontal="left" vertical="top" wrapText="1"/>
    </xf>
    <xf numFmtId="165" fontId="2" fillId="0" borderId="12" xfId="1" applyNumberFormat="1" applyFont="1" applyBorder="1" applyAlignment="1">
      <alignment horizontal="center"/>
    </xf>
    <xf numFmtId="165" fontId="2" fillId="0" borderId="13" xfId="1" applyNumberFormat="1" applyFont="1" applyBorder="1" applyAlignment="1">
      <alignment horizontal="center"/>
    </xf>
    <xf numFmtId="165" fontId="2" fillId="0" borderId="7" xfId="1" applyNumberFormat="1" applyFont="1" applyBorder="1"/>
    <xf numFmtId="165" fontId="2" fillId="2" borderId="9" xfId="1" applyNumberFormat="1" applyFont="1" applyFill="1" applyBorder="1"/>
    <xf numFmtId="165" fontId="2" fillId="2" borderId="10" xfId="1" applyNumberFormat="1" applyFont="1" applyFill="1" applyBorder="1"/>
    <xf numFmtId="0" fontId="29" fillId="19" borderId="0" xfId="0" applyFont="1" applyFill="1" applyAlignment="1">
      <alignment horizontal="center"/>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5" fillId="0" borderId="0" xfId="0" applyFont="1" applyAlignment="1">
      <alignment horizontal="center" vertical="center"/>
    </xf>
    <xf numFmtId="0" fontId="2" fillId="5" borderId="3" xfId="0" applyFont="1" applyFill="1" applyBorder="1" applyAlignment="1">
      <alignment horizontal="center"/>
    </xf>
    <xf numFmtId="0" fontId="2" fillId="5" borderId="4" xfId="0" applyFont="1" applyFill="1" applyBorder="1" applyAlignment="1">
      <alignment horizontal="center"/>
    </xf>
    <xf numFmtId="0" fontId="2" fillId="5" borderId="5" xfId="0" applyFont="1" applyFill="1" applyBorder="1" applyAlignment="1">
      <alignment horizontal="center"/>
    </xf>
    <xf numFmtId="0" fontId="0" fillId="0" borderId="9" xfId="0" applyBorder="1" applyAlignment="1">
      <alignment horizontal="center"/>
    </xf>
    <xf numFmtId="0" fontId="0" fillId="3" borderId="1" xfId="0" applyFill="1" applyBorder="1" applyAlignment="1">
      <alignment horizontal="center"/>
    </xf>
    <xf numFmtId="0" fontId="2" fillId="0" borderId="1" xfId="0" applyFont="1" applyBorder="1" applyAlignment="1">
      <alignment horizontal="center"/>
    </xf>
    <xf numFmtId="0" fontId="26" fillId="0" borderId="0" xfId="3" applyFont="1" applyAlignment="1">
      <alignment horizontal="center"/>
    </xf>
    <xf numFmtId="0" fontId="7" fillId="12" borderId="17" xfId="0" applyFont="1" applyFill="1" applyBorder="1" applyAlignment="1">
      <alignment horizontal="center" wrapText="1"/>
    </xf>
    <xf numFmtId="0" fontId="7" fillId="12" borderId="15" xfId="0" applyFont="1" applyFill="1" applyBorder="1" applyAlignment="1">
      <alignment horizontal="center" wrapText="1"/>
    </xf>
    <xf numFmtId="0" fontId="7" fillId="12" borderId="12" xfId="0" applyFont="1" applyFill="1" applyBorder="1" applyAlignment="1">
      <alignment horizontal="center"/>
    </xf>
    <xf numFmtId="0" fontId="7" fillId="12" borderId="4" xfId="0" applyFont="1" applyFill="1" applyBorder="1" applyAlignment="1">
      <alignment horizontal="center"/>
    </xf>
    <xf numFmtId="0" fontId="7" fillId="12" borderId="17" xfId="0" applyFont="1" applyFill="1" applyBorder="1" applyAlignment="1">
      <alignment horizontal="center"/>
    </xf>
    <xf numFmtId="0" fontId="7" fillId="12" borderId="10" xfId="0" applyFont="1" applyFill="1" applyBorder="1" applyAlignment="1">
      <alignment horizontal="center"/>
    </xf>
    <xf numFmtId="0" fontId="7" fillId="12" borderId="5" xfId="0" applyFont="1" applyFill="1" applyBorder="1" applyAlignment="1">
      <alignment horizontal="center"/>
    </xf>
    <xf numFmtId="0" fontId="11" fillId="20" borderId="0" xfId="0" applyFont="1" applyFill="1" applyAlignment="1">
      <alignment horizontal="center"/>
    </xf>
    <xf numFmtId="0" fontId="2" fillId="4" borderId="12" xfId="0" applyFont="1" applyFill="1" applyBorder="1" applyAlignment="1">
      <alignment horizontal="center"/>
    </xf>
    <xf numFmtId="0" fontId="2" fillId="4" borderId="13" xfId="0" applyFont="1" applyFill="1" applyBorder="1" applyAlignment="1">
      <alignment horizontal="center"/>
    </xf>
    <xf numFmtId="0" fontId="2" fillId="0" borderId="0" xfId="0" applyFont="1" applyAlignment="1">
      <alignment horizontal="center"/>
    </xf>
    <xf numFmtId="0" fontId="2" fillId="0" borderId="6" xfId="0" applyFont="1" applyBorder="1" applyAlignment="1">
      <alignment horizontal="center" vertical="center"/>
    </xf>
    <xf numFmtId="0" fontId="2" fillId="0" borderId="4" xfId="0" applyFont="1" applyBorder="1" applyAlignment="1">
      <alignment horizontal="center"/>
    </xf>
    <xf numFmtId="165" fontId="2" fillId="0" borderId="4" xfId="1" applyNumberFormat="1" applyFont="1" applyBorder="1" applyAlignment="1">
      <alignment horizontal="center"/>
    </xf>
    <xf numFmtId="0" fontId="4" fillId="0" borderId="0" xfId="0" applyFont="1" applyAlignment="1">
      <alignment horizontal="center"/>
    </xf>
    <xf numFmtId="0" fontId="0" fillId="0" borderId="0" xfId="0" applyAlignment="1">
      <alignment horizontal="center"/>
    </xf>
    <xf numFmtId="0" fontId="3" fillId="0" borderId="0" xfId="0" applyFont="1" applyAlignment="1">
      <alignment horizontal="center"/>
    </xf>
    <xf numFmtId="0" fontId="2" fillId="0" borderId="9" xfId="0" applyFont="1" applyBorder="1" applyAlignment="1">
      <alignment horizontal="center"/>
    </xf>
    <xf numFmtId="0" fontId="13" fillId="0" borderId="17" xfId="0" applyFont="1" applyBorder="1" applyAlignment="1">
      <alignment horizontal="center"/>
    </xf>
    <xf numFmtId="0" fontId="7" fillId="0" borderId="2" xfId="0" applyFont="1" applyBorder="1" applyAlignment="1">
      <alignment horizontal="center"/>
    </xf>
    <xf numFmtId="0" fontId="7" fillId="0" borderId="0" xfId="0" applyFont="1" applyAlignment="1">
      <alignment horizontal="center"/>
    </xf>
    <xf numFmtId="0" fontId="18" fillId="0" borderId="0" xfId="0" applyFont="1" applyAlignment="1">
      <alignment horizontal="center"/>
    </xf>
    <xf numFmtId="0" fontId="13" fillId="0" borderId="0" xfId="0" applyFont="1" applyAlignment="1">
      <alignment horizontal="center"/>
    </xf>
    <xf numFmtId="0" fontId="2" fillId="0" borderId="0" xfId="0" applyFont="1" applyBorder="1" applyAlignment="1">
      <alignment horizontal="center"/>
    </xf>
    <xf numFmtId="0" fontId="13" fillId="0" borderId="0" xfId="0" applyFont="1" applyBorder="1" applyAlignment="1">
      <alignment horizontal="center"/>
    </xf>
    <xf numFmtId="0" fontId="2" fillId="0" borderId="6" xfId="0" applyFont="1" applyBorder="1" applyAlignment="1">
      <alignment horizontal="center"/>
    </xf>
    <xf numFmtId="0" fontId="2" fillId="0" borderId="7" xfId="0" applyFont="1" applyBorder="1" applyAlignment="1">
      <alignment horizontal="center"/>
    </xf>
    <xf numFmtId="0" fontId="2" fillId="0" borderId="3" xfId="0" applyFont="1" applyBorder="1" applyAlignment="1">
      <alignment horizontal="center"/>
    </xf>
    <xf numFmtId="0" fontId="2" fillId="0" borderId="5" xfId="0" applyFont="1" applyBorder="1" applyAlignment="1">
      <alignment horizontal="center"/>
    </xf>
    <xf numFmtId="0" fontId="7" fillId="0" borderId="9" xfId="0" applyFont="1" applyBorder="1" applyAlignment="1">
      <alignment horizontal="center"/>
    </xf>
    <xf numFmtId="0" fontId="11" fillId="0" borderId="0" xfId="0" applyFont="1" applyAlignment="1">
      <alignment horizontal="center"/>
    </xf>
    <xf numFmtId="0" fontId="21" fillId="0" borderId="0" xfId="0" applyFont="1" applyAlignment="1">
      <alignment horizontal="center"/>
    </xf>
    <xf numFmtId="165" fontId="2" fillId="0" borderId="0" xfId="1" applyNumberFormat="1" applyFont="1" applyBorder="1" applyAlignment="1">
      <alignment horizontal="center"/>
    </xf>
    <xf numFmtId="0" fontId="5" fillId="0" borderId="0" xfId="0" applyFont="1" applyAlignment="1">
      <alignment horizontal="center"/>
    </xf>
    <xf numFmtId="0" fontId="6" fillId="0" borderId="0" xfId="0" applyFont="1" applyAlignment="1">
      <alignment horizontal="center" vertical="center"/>
    </xf>
    <xf numFmtId="0" fontId="6" fillId="0" borderId="0" xfId="0" applyFont="1" applyAlignment="1">
      <alignment horizontal="center"/>
    </xf>
    <xf numFmtId="0" fontId="0" fillId="0" borderId="0" xfId="0" applyAlignment="1">
      <alignment horizontal="center" wrapText="1"/>
    </xf>
    <xf numFmtId="0" fontId="0" fillId="0" borderId="9" xfId="0" applyBorder="1" applyAlignment="1">
      <alignment horizontal="center" wrapText="1"/>
    </xf>
    <xf numFmtId="0" fontId="2" fillId="0" borderId="51" xfId="0" applyFont="1" applyBorder="1" applyAlignment="1">
      <alignment horizontal="center"/>
    </xf>
    <xf numFmtId="0" fontId="36" fillId="0" borderId="1" xfId="0" applyFont="1" applyBorder="1" applyAlignment="1">
      <alignment horizontal="center"/>
    </xf>
  </cellXfs>
  <cellStyles count="8">
    <cellStyle name="Calculation" xfId="4" builtinId="22"/>
    <cellStyle name="Check Cell" xfId="7" builtinId="23"/>
    <cellStyle name="Comma" xfId="1" builtinId="3"/>
    <cellStyle name="Hyperlink" xfId="3" builtinId="8"/>
    <cellStyle name="Input" xfId="5" builtinId="20"/>
    <cellStyle name="Normal" xfId="0" builtinId="0"/>
    <cellStyle name="Output" xfId="6" builtinId="21"/>
    <cellStyle name="Percent" xfId="2" builtin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activeX/activeX2.xml><?xml version="1.0" encoding="utf-8"?>
<ax:ocx xmlns:ax="http://schemas.microsoft.com/office/2006/activeX" xmlns:r="http://schemas.openxmlformats.org/officeDocument/2006/relationships" ax:classid="{8BD21D40-EC42-11CE-9E0D-00AA006002F3}" ax:persistence="persistStreamInit" r:id="rId1"/>
</file>

<file path=xl/activeX/activeX3.xml><?xml version="1.0" encoding="utf-8"?>
<ax:ocx xmlns:ax="http://schemas.microsoft.com/office/2006/activeX" xmlns:r="http://schemas.openxmlformats.org/officeDocument/2006/relationships" ax:classid="{8BD21D40-EC42-11CE-9E0D-00AA006002F3}" ax:persistence="persistStreamInit" r:id="rId1"/>
</file>

<file path=xl/activeX/activeX4.xml><?xml version="1.0" encoding="utf-8"?>
<ax:ocx xmlns:ax="http://schemas.microsoft.com/office/2006/activeX" xmlns:r="http://schemas.openxmlformats.org/officeDocument/2006/relationships" ax:classid="{8BD21D30-EC42-11CE-9E0D-00AA006002F3}" ax:persistence="persistStreamInit" r:id="rId1"/>
</file>

<file path=xl/activeX/activeX5.xml><?xml version="1.0" encoding="utf-8"?>
<ax:ocx xmlns:ax="http://schemas.microsoft.com/office/2006/activeX" xmlns:r="http://schemas.openxmlformats.org/officeDocument/2006/relationships" ax:classid="{8BD21D30-EC42-11CE-9E0D-00AA006002F3}" ax:persistence="persistStreamInit" r:id="rId1"/>
</file>

<file path=xl/activeX/activeX6.xml><?xml version="1.0" encoding="utf-8"?>
<ax:ocx xmlns:ax="http://schemas.microsoft.com/office/2006/activeX" xmlns:r="http://schemas.openxmlformats.org/officeDocument/2006/relationships" ax:classid="{8BD21D30-EC42-11CE-9E0D-00AA006002F3}" ax:persistence="persistStreamInit" r:id="rId1"/>
</file>

<file path=xl/activeX/activeX7.xml><?xml version="1.0" encoding="utf-8"?>
<ax:ocx xmlns:ax="http://schemas.microsoft.com/office/2006/activeX" xmlns:r="http://schemas.openxmlformats.org/officeDocument/2006/relationships" ax:classid="{8BD21D30-EC42-11CE-9E0D-00AA006002F3}" ax:persistence="persistStreamInit" r:id="rId1"/>
</file>

<file path=xl/activeX/activeX8.xml><?xml version="1.0" encoding="utf-8"?>
<ax:ocx xmlns:ax="http://schemas.microsoft.com/office/2006/activeX" xmlns:r="http://schemas.openxmlformats.org/officeDocument/2006/relationships" ax:classid="{8BD21D30-EC42-11CE-9E0D-00AA006002F3}"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TLFD: Work Location Choice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mdc_input!$K$2</c:f>
              <c:strCache>
                <c:ptCount val="1"/>
                <c:pt idx="0">
                  <c:v>Survey</c:v>
                </c:pt>
              </c:strCache>
            </c:strRef>
          </c:tx>
          <c:spPr>
            <a:solidFill>
              <a:schemeClr val="accent2"/>
            </a:solidFill>
            <a:ln>
              <a:noFill/>
            </a:ln>
            <a:effectLst/>
          </c:spPr>
          <c:invertIfNegative val="0"/>
          <c:cat>
            <c:numRef>
              <c:f>mdc_input!$B$4:$B$24</c:f>
              <c:numCache>
                <c:formatCode>General</c:formatCode>
                <c:ptCount val="21"/>
                <c:pt idx="0">
                  <c:v>0</c:v>
                </c:pt>
                <c:pt idx="1">
                  <c:v>2.5</c:v>
                </c:pt>
                <c:pt idx="2">
                  <c:v>5</c:v>
                </c:pt>
                <c:pt idx="3">
                  <c:v>7.5</c:v>
                </c:pt>
                <c:pt idx="4">
                  <c:v>10</c:v>
                </c:pt>
                <c:pt idx="5">
                  <c:v>12.5</c:v>
                </c:pt>
                <c:pt idx="6">
                  <c:v>15</c:v>
                </c:pt>
                <c:pt idx="7">
                  <c:v>17.5</c:v>
                </c:pt>
                <c:pt idx="8">
                  <c:v>20</c:v>
                </c:pt>
                <c:pt idx="9">
                  <c:v>22.5</c:v>
                </c:pt>
                <c:pt idx="10">
                  <c:v>25</c:v>
                </c:pt>
                <c:pt idx="11">
                  <c:v>27.5</c:v>
                </c:pt>
                <c:pt idx="12">
                  <c:v>30</c:v>
                </c:pt>
                <c:pt idx="13">
                  <c:v>32.5</c:v>
                </c:pt>
                <c:pt idx="14">
                  <c:v>35</c:v>
                </c:pt>
                <c:pt idx="15">
                  <c:v>37.5</c:v>
                </c:pt>
                <c:pt idx="16">
                  <c:v>40</c:v>
                </c:pt>
                <c:pt idx="17">
                  <c:v>42.5</c:v>
                </c:pt>
                <c:pt idx="18">
                  <c:v>45</c:v>
                </c:pt>
                <c:pt idx="19">
                  <c:v>47.5</c:v>
                </c:pt>
                <c:pt idx="20">
                  <c:v>50</c:v>
                </c:pt>
              </c:numCache>
            </c:numRef>
          </c:cat>
          <c:val>
            <c:numRef>
              <c:f>mdc_input!$K$4:$K$24</c:f>
              <c:numCache>
                <c:formatCode>0.00%</c:formatCode>
                <c:ptCount val="21"/>
                <c:pt idx="0">
                  <c:v>0.16003257261333534</c:v>
                </c:pt>
                <c:pt idx="1">
                  <c:v>0.14166785253691688</c:v>
                </c:pt>
                <c:pt idx="2">
                  <c:v>0.16011103232768745</c:v>
                </c:pt>
                <c:pt idx="3">
                  <c:v>9.4007793985976862E-2</c:v>
                </c:pt>
                <c:pt idx="4">
                  <c:v>9.0129689297618346E-2</c:v>
                </c:pt>
                <c:pt idx="5">
                  <c:v>6.4019465965336267E-2</c:v>
                </c:pt>
                <c:pt idx="6">
                  <c:v>4.9268257825717324E-2</c:v>
                </c:pt>
                <c:pt idx="7">
                  <c:v>3.925096213958313E-2</c:v>
                </c:pt>
                <c:pt idx="8">
                  <c:v>4.1544650441377048E-2</c:v>
                </c:pt>
                <c:pt idx="9">
                  <c:v>2.9175825818888827E-2</c:v>
                </c:pt>
                <c:pt idx="10">
                  <c:v>2.7331712256705852E-2</c:v>
                </c:pt>
                <c:pt idx="11">
                  <c:v>2.0094304461313526E-2</c:v>
                </c:pt>
                <c:pt idx="12">
                  <c:v>1.7563157474889325E-2</c:v>
                </c:pt>
                <c:pt idx="13">
                  <c:v>9.5462201693580981E-3</c:v>
                </c:pt>
                <c:pt idx="14">
                  <c:v>1.2575938172222311E-2</c:v>
                </c:pt>
                <c:pt idx="15">
                  <c:v>6.633569818222454E-3</c:v>
                </c:pt>
                <c:pt idx="16">
                  <c:v>8.621212854401707E-3</c:v>
                </c:pt>
                <c:pt idx="17">
                  <c:v>7.9425265229127288E-3</c:v>
                </c:pt>
                <c:pt idx="18">
                  <c:v>5.0522471376661373E-3</c:v>
                </c:pt>
                <c:pt idx="19">
                  <c:v>3.0419009781851272E-3</c:v>
                </c:pt>
                <c:pt idx="20">
                  <c:v>1.2389107201685214E-2</c:v>
                </c:pt>
              </c:numCache>
            </c:numRef>
          </c:val>
          <c:extLst>
            <c:ext xmlns:c16="http://schemas.microsoft.com/office/drawing/2014/chart" uri="{C3380CC4-5D6E-409C-BE32-E72D297353CC}">
              <c16:uniqueId val="{00000000-287D-451F-B9A6-ECBF73CE5427}"/>
            </c:ext>
          </c:extLst>
        </c:ser>
        <c:ser>
          <c:idx val="0"/>
          <c:order val="1"/>
          <c:tx>
            <c:strRef>
              <c:f>mdc_input!$J$2</c:f>
              <c:strCache>
                <c:ptCount val="1"/>
                <c:pt idx="0">
                  <c:v>Model</c:v>
                </c:pt>
              </c:strCache>
            </c:strRef>
          </c:tx>
          <c:spPr>
            <a:solidFill>
              <a:schemeClr val="accent1"/>
            </a:solidFill>
            <a:ln>
              <a:noFill/>
            </a:ln>
            <a:effectLst/>
          </c:spPr>
          <c:invertIfNegative val="0"/>
          <c:cat>
            <c:numRef>
              <c:f>mdc_input!$B$4:$B$24</c:f>
              <c:numCache>
                <c:formatCode>General</c:formatCode>
                <c:ptCount val="21"/>
                <c:pt idx="0">
                  <c:v>0</c:v>
                </c:pt>
                <c:pt idx="1">
                  <c:v>2.5</c:v>
                </c:pt>
                <c:pt idx="2">
                  <c:v>5</c:v>
                </c:pt>
                <c:pt idx="3">
                  <c:v>7.5</c:v>
                </c:pt>
                <c:pt idx="4">
                  <c:v>10</c:v>
                </c:pt>
                <c:pt idx="5">
                  <c:v>12.5</c:v>
                </c:pt>
                <c:pt idx="6">
                  <c:v>15</c:v>
                </c:pt>
                <c:pt idx="7">
                  <c:v>17.5</c:v>
                </c:pt>
                <c:pt idx="8">
                  <c:v>20</c:v>
                </c:pt>
                <c:pt idx="9">
                  <c:v>22.5</c:v>
                </c:pt>
                <c:pt idx="10">
                  <c:v>25</c:v>
                </c:pt>
                <c:pt idx="11">
                  <c:v>27.5</c:v>
                </c:pt>
                <c:pt idx="12">
                  <c:v>30</c:v>
                </c:pt>
                <c:pt idx="13">
                  <c:v>32.5</c:v>
                </c:pt>
                <c:pt idx="14">
                  <c:v>35</c:v>
                </c:pt>
                <c:pt idx="15">
                  <c:v>37.5</c:v>
                </c:pt>
                <c:pt idx="16">
                  <c:v>40</c:v>
                </c:pt>
                <c:pt idx="17">
                  <c:v>42.5</c:v>
                </c:pt>
                <c:pt idx="18">
                  <c:v>45</c:v>
                </c:pt>
                <c:pt idx="19">
                  <c:v>47.5</c:v>
                </c:pt>
                <c:pt idx="20">
                  <c:v>50</c:v>
                </c:pt>
              </c:numCache>
            </c:numRef>
          </c:cat>
          <c:val>
            <c:numRef>
              <c:f>mdc_input!$J$4:$J$24</c:f>
              <c:numCache>
                <c:formatCode>0.00%</c:formatCode>
                <c:ptCount val="21"/>
                <c:pt idx="0">
                  <c:v>0.16930267486844777</c:v>
                </c:pt>
                <c:pt idx="1">
                  <c:v>0.1662254114098079</c:v>
                </c:pt>
                <c:pt idx="2">
                  <c:v>0.1554970051727384</c:v>
                </c:pt>
                <c:pt idx="3">
                  <c:v>0.11171221576797029</c:v>
                </c:pt>
                <c:pt idx="4">
                  <c:v>9.1970076192319922E-2</c:v>
                </c:pt>
                <c:pt idx="5">
                  <c:v>6.9036858021467445E-2</c:v>
                </c:pt>
                <c:pt idx="6">
                  <c:v>5.4288756447308378E-2</c:v>
                </c:pt>
                <c:pt idx="7">
                  <c:v>4.1612728574300539E-2</c:v>
                </c:pt>
                <c:pt idx="8">
                  <c:v>3.3336134391211344E-2</c:v>
                </c:pt>
                <c:pt idx="9">
                  <c:v>2.7951721108240322E-2</c:v>
                </c:pt>
                <c:pt idx="10">
                  <c:v>2.0805832440717736E-2</c:v>
                </c:pt>
                <c:pt idx="11">
                  <c:v>1.6398952900743627E-2</c:v>
                </c:pt>
                <c:pt idx="12">
                  <c:v>1.1943143488976418E-2</c:v>
                </c:pt>
                <c:pt idx="13">
                  <c:v>8.8594978731461171E-3</c:v>
                </c:pt>
                <c:pt idx="14">
                  <c:v>6.5193735699979041E-3</c:v>
                </c:pt>
                <c:pt idx="15">
                  <c:v>4.5100577478856445E-3</c:v>
                </c:pt>
                <c:pt idx="16">
                  <c:v>3.4101993254059852E-3</c:v>
                </c:pt>
                <c:pt idx="17">
                  <c:v>2.2731116526489674E-3</c:v>
                </c:pt>
                <c:pt idx="18">
                  <c:v>1.5349088042922135E-3</c:v>
                </c:pt>
                <c:pt idx="19">
                  <c:v>1.0243362290598764E-3</c:v>
                </c:pt>
                <c:pt idx="20">
                  <c:v>1.7870040133131798E-3</c:v>
                </c:pt>
              </c:numCache>
            </c:numRef>
          </c:val>
          <c:extLst>
            <c:ext xmlns:c16="http://schemas.microsoft.com/office/drawing/2014/chart" uri="{C3380CC4-5D6E-409C-BE32-E72D297353CC}">
              <c16:uniqueId val="{00000001-287D-451F-B9A6-ECBF73CE5427}"/>
            </c:ext>
          </c:extLst>
        </c:ser>
        <c:dLbls>
          <c:showLegendKey val="0"/>
          <c:showVal val="0"/>
          <c:showCatName val="0"/>
          <c:showSerName val="0"/>
          <c:showPercent val="0"/>
          <c:showBubbleSize val="0"/>
        </c:dLbls>
        <c:gapWidth val="150"/>
        <c:axId val="606267712"/>
        <c:axId val="606271520"/>
      </c:barChart>
      <c:catAx>
        <c:axId val="606267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71520"/>
        <c:crosses val="autoZero"/>
        <c:auto val="1"/>
        <c:lblAlgn val="ctr"/>
        <c:lblOffset val="100"/>
        <c:noMultiLvlLbl val="0"/>
      </c:catAx>
      <c:valAx>
        <c:axId val="606271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1.3136288998357964E-3"/>
              <c:y val="0.4247609596090516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6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TLFD: University Location Choice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mdc_input!$M$2</c:f>
              <c:strCache>
                <c:ptCount val="1"/>
                <c:pt idx="0">
                  <c:v>Survey</c:v>
                </c:pt>
              </c:strCache>
            </c:strRef>
          </c:tx>
          <c:spPr>
            <a:solidFill>
              <a:schemeClr val="accent2"/>
            </a:solidFill>
            <a:ln>
              <a:noFill/>
            </a:ln>
            <a:effectLst/>
          </c:spPr>
          <c:invertIfNegative val="0"/>
          <c:cat>
            <c:numRef>
              <c:f>mdc_input!$B$4:$B$24</c:f>
              <c:numCache>
                <c:formatCode>General</c:formatCode>
                <c:ptCount val="21"/>
                <c:pt idx="0">
                  <c:v>0</c:v>
                </c:pt>
                <c:pt idx="1">
                  <c:v>2.5</c:v>
                </c:pt>
                <c:pt idx="2">
                  <c:v>5</c:v>
                </c:pt>
                <c:pt idx="3">
                  <c:v>7.5</c:v>
                </c:pt>
                <c:pt idx="4">
                  <c:v>10</c:v>
                </c:pt>
                <c:pt idx="5">
                  <c:v>12.5</c:v>
                </c:pt>
                <c:pt idx="6">
                  <c:v>15</c:v>
                </c:pt>
                <c:pt idx="7">
                  <c:v>17.5</c:v>
                </c:pt>
                <c:pt idx="8">
                  <c:v>20</c:v>
                </c:pt>
                <c:pt idx="9">
                  <c:v>22.5</c:v>
                </c:pt>
                <c:pt idx="10">
                  <c:v>25</c:v>
                </c:pt>
                <c:pt idx="11">
                  <c:v>27.5</c:v>
                </c:pt>
                <c:pt idx="12">
                  <c:v>30</c:v>
                </c:pt>
                <c:pt idx="13">
                  <c:v>32.5</c:v>
                </c:pt>
                <c:pt idx="14">
                  <c:v>35</c:v>
                </c:pt>
                <c:pt idx="15">
                  <c:v>37.5</c:v>
                </c:pt>
                <c:pt idx="16">
                  <c:v>40</c:v>
                </c:pt>
                <c:pt idx="17">
                  <c:v>42.5</c:v>
                </c:pt>
                <c:pt idx="18">
                  <c:v>45</c:v>
                </c:pt>
                <c:pt idx="19">
                  <c:v>47.5</c:v>
                </c:pt>
                <c:pt idx="20">
                  <c:v>50</c:v>
                </c:pt>
              </c:numCache>
            </c:numRef>
          </c:cat>
          <c:val>
            <c:numRef>
              <c:f>mdc_input!$M$4:$M$24</c:f>
              <c:numCache>
                <c:formatCode>0.00%</c:formatCode>
                <c:ptCount val="21"/>
                <c:pt idx="0">
                  <c:v>0.17981464961241439</c:v>
                </c:pt>
                <c:pt idx="1">
                  <c:v>0.18050856456387715</c:v>
                </c:pt>
                <c:pt idx="2">
                  <c:v>9.7784093695157392E-2</c:v>
                </c:pt>
                <c:pt idx="3">
                  <c:v>0.1327057350055286</c:v>
                </c:pt>
                <c:pt idx="4">
                  <c:v>0.12387952461046557</c:v>
                </c:pt>
                <c:pt idx="5">
                  <c:v>6.7565415561910966E-2</c:v>
                </c:pt>
                <c:pt idx="6">
                  <c:v>3.730016478404459E-2</c:v>
                </c:pt>
                <c:pt idx="7">
                  <c:v>2.7102067056069649E-2</c:v>
                </c:pt>
                <c:pt idx="8">
                  <c:v>2.5815447136404195E-2</c:v>
                </c:pt>
                <c:pt idx="9">
                  <c:v>1.7317845512340023E-2</c:v>
                </c:pt>
                <c:pt idx="10">
                  <c:v>7.3112445050699665E-3</c:v>
                </c:pt>
                <c:pt idx="11">
                  <c:v>1.5734341490222615E-2</c:v>
                </c:pt>
                <c:pt idx="12">
                  <c:v>5.0131970584799505E-3</c:v>
                </c:pt>
                <c:pt idx="13">
                  <c:v>6.2053706544185046E-3</c:v>
                </c:pt>
                <c:pt idx="14">
                  <c:v>3.2208803696828277E-2</c:v>
                </c:pt>
                <c:pt idx="15">
                  <c:v>2.744228893214799E-3</c:v>
                </c:pt>
                <c:pt idx="16">
                  <c:v>1.200373164880051E-2</c:v>
                </c:pt>
                <c:pt idx="17">
                  <c:v>7.530036700435924E-3</c:v>
                </c:pt>
                <c:pt idx="18">
                  <c:v>5.7299193261772709E-4</c:v>
                </c:pt>
                <c:pt idx="19">
                  <c:v>5.9280120583297749E-3</c:v>
                </c:pt>
                <c:pt idx="20">
                  <c:v>1.4954533823369557E-2</c:v>
                </c:pt>
              </c:numCache>
            </c:numRef>
          </c:val>
          <c:extLst>
            <c:ext xmlns:c16="http://schemas.microsoft.com/office/drawing/2014/chart" uri="{C3380CC4-5D6E-409C-BE32-E72D297353CC}">
              <c16:uniqueId val="{00000000-120F-4842-B64C-CB2C6DE81BEF}"/>
            </c:ext>
          </c:extLst>
        </c:ser>
        <c:ser>
          <c:idx val="0"/>
          <c:order val="1"/>
          <c:tx>
            <c:strRef>
              <c:f>mdc_input!$L$2</c:f>
              <c:strCache>
                <c:ptCount val="1"/>
                <c:pt idx="0">
                  <c:v>Model</c:v>
                </c:pt>
              </c:strCache>
            </c:strRef>
          </c:tx>
          <c:spPr>
            <a:solidFill>
              <a:schemeClr val="accent1"/>
            </a:solidFill>
            <a:ln>
              <a:noFill/>
            </a:ln>
            <a:effectLst/>
          </c:spPr>
          <c:invertIfNegative val="0"/>
          <c:cat>
            <c:numRef>
              <c:f>mdc_input!$B$4:$B$24</c:f>
              <c:numCache>
                <c:formatCode>General</c:formatCode>
                <c:ptCount val="21"/>
                <c:pt idx="0">
                  <c:v>0</c:v>
                </c:pt>
                <c:pt idx="1">
                  <c:v>2.5</c:v>
                </c:pt>
                <c:pt idx="2">
                  <c:v>5</c:v>
                </c:pt>
                <c:pt idx="3">
                  <c:v>7.5</c:v>
                </c:pt>
                <c:pt idx="4">
                  <c:v>10</c:v>
                </c:pt>
                <c:pt idx="5">
                  <c:v>12.5</c:v>
                </c:pt>
                <c:pt idx="6">
                  <c:v>15</c:v>
                </c:pt>
                <c:pt idx="7">
                  <c:v>17.5</c:v>
                </c:pt>
                <c:pt idx="8">
                  <c:v>20</c:v>
                </c:pt>
                <c:pt idx="9">
                  <c:v>22.5</c:v>
                </c:pt>
                <c:pt idx="10">
                  <c:v>25</c:v>
                </c:pt>
                <c:pt idx="11">
                  <c:v>27.5</c:v>
                </c:pt>
                <c:pt idx="12">
                  <c:v>30</c:v>
                </c:pt>
                <c:pt idx="13">
                  <c:v>32.5</c:v>
                </c:pt>
                <c:pt idx="14">
                  <c:v>35</c:v>
                </c:pt>
                <c:pt idx="15">
                  <c:v>37.5</c:v>
                </c:pt>
                <c:pt idx="16">
                  <c:v>40</c:v>
                </c:pt>
                <c:pt idx="17">
                  <c:v>42.5</c:v>
                </c:pt>
                <c:pt idx="18">
                  <c:v>45</c:v>
                </c:pt>
                <c:pt idx="19">
                  <c:v>47.5</c:v>
                </c:pt>
                <c:pt idx="20">
                  <c:v>50</c:v>
                </c:pt>
              </c:numCache>
            </c:numRef>
          </c:cat>
          <c:val>
            <c:numRef>
              <c:f>mdc_input!$L$4:$L$24</c:f>
              <c:numCache>
                <c:formatCode>0.0%</c:formatCode>
                <c:ptCount val="21"/>
                <c:pt idx="0">
                  <c:v>5.5800150472315881E-2</c:v>
                </c:pt>
                <c:pt idx="1">
                  <c:v>0.14197341655752779</c:v>
                </c:pt>
                <c:pt idx="2">
                  <c:v>0.15573884693621645</c:v>
                </c:pt>
                <c:pt idx="3">
                  <c:v>0.13074372335386072</c:v>
                </c:pt>
                <c:pt idx="4">
                  <c:v>0.1103045671134394</c:v>
                </c:pt>
                <c:pt idx="5">
                  <c:v>7.1544013152395017E-2</c:v>
                </c:pt>
                <c:pt idx="6">
                  <c:v>6.5497255273497368E-2</c:v>
                </c:pt>
                <c:pt idx="7">
                  <c:v>4.6646417922924739E-2</c:v>
                </c:pt>
                <c:pt idx="8">
                  <c:v>3.9164599994426952E-2</c:v>
                </c:pt>
                <c:pt idx="9">
                  <c:v>3.4538969543288653E-2</c:v>
                </c:pt>
                <c:pt idx="10">
                  <c:v>2.6207261682503414E-2</c:v>
                </c:pt>
                <c:pt idx="11">
                  <c:v>2.3142084877532255E-2</c:v>
                </c:pt>
                <c:pt idx="12">
                  <c:v>1.6524089503162705E-2</c:v>
                </c:pt>
                <c:pt idx="13">
                  <c:v>1.5158692562766462E-2</c:v>
                </c:pt>
                <c:pt idx="14">
                  <c:v>1.3166327639535208E-2</c:v>
                </c:pt>
                <c:pt idx="15">
                  <c:v>9.9339593724747117E-3</c:v>
                </c:pt>
                <c:pt idx="16">
                  <c:v>8.2481121297405743E-3</c:v>
                </c:pt>
                <c:pt idx="17">
                  <c:v>6.7712542146181071E-3</c:v>
                </c:pt>
                <c:pt idx="18">
                  <c:v>6.2278819628277648E-3</c:v>
                </c:pt>
                <c:pt idx="19">
                  <c:v>4.0265277119848411E-3</c:v>
                </c:pt>
                <c:pt idx="20">
                  <c:v>1.8641848022960962E-2</c:v>
                </c:pt>
              </c:numCache>
            </c:numRef>
          </c:val>
          <c:extLst>
            <c:ext xmlns:c16="http://schemas.microsoft.com/office/drawing/2014/chart" uri="{C3380CC4-5D6E-409C-BE32-E72D297353CC}">
              <c16:uniqueId val="{00000001-120F-4842-B64C-CB2C6DE81BEF}"/>
            </c:ext>
          </c:extLst>
        </c:ser>
        <c:dLbls>
          <c:showLegendKey val="0"/>
          <c:showVal val="0"/>
          <c:showCatName val="0"/>
          <c:showSerName val="0"/>
          <c:showPercent val="0"/>
          <c:showBubbleSize val="0"/>
        </c:dLbls>
        <c:gapWidth val="150"/>
        <c:axId val="606278048"/>
        <c:axId val="606279680"/>
      </c:barChart>
      <c:catAx>
        <c:axId val="6062780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79680"/>
        <c:crosses val="autoZero"/>
        <c:auto val="1"/>
        <c:lblAlgn val="ctr"/>
        <c:lblOffset val="100"/>
        <c:noMultiLvlLbl val="0"/>
      </c:catAx>
      <c:valAx>
        <c:axId val="606279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3.3812341504649195E-3"/>
              <c:y val="0.4342178004013346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78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TLFD: School Location Choice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mdc_input!$O$2</c:f>
              <c:strCache>
                <c:ptCount val="1"/>
                <c:pt idx="0">
                  <c:v>Survey</c:v>
                </c:pt>
              </c:strCache>
            </c:strRef>
          </c:tx>
          <c:spPr>
            <a:solidFill>
              <a:schemeClr val="accent2"/>
            </a:solidFill>
            <a:ln>
              <a:noFill/>
            </a:ln>
            <a:effectLst/>
          </c:spPr>
          <c:invertIfNegative val="0"/>
          <c:cat>
            <c:numRef>
              <c:f>mdc_input!$B$4:$B$24</c:f>
              <c:numCache>
                <c:formatCode>General</c:formatCode>
                <c:ptCount val="21"/>
                <c:pt idx="0">
                  <c:v>0</c:v>
                </c:pt>
                <c:pt idx="1">
                  <c:v>2.5</c:v>
                </c:pt>
                <c:pt idx="2">
                  <c:v>5</c:v>
                </c:pt>
                <c:pt idx="3">
                  <c:v>7.5</c:v>
                </c:pt>
                <c:pt idx="4">
                  <c:v>10</c:v>
                </c:pt>
                <c:pt idx="5">
                  <c:v>12.5</c:v>
                </c:pt>
                <c:pt idx="6">
                  <c:v>15</c:v>
                </c:pt>
                <c:pt idx="7">
                  <c:v>17.5</c:v>
                </c:pt>
                <c:pt idx="8">
                  <c:v>20</c:v>
                </c:pt>
                <c:pt idx="9">
                  <c:v>22.5</c:v>
                </c:pt>
                <c:pt idx="10">
                  <c:v>25</c:v>
                </c:pt>
                <c:pt idx="11">
                  <c:v>27.5</c:v>
                </c:pt>
                <c:pt idx="12">
                  <c:v>30</c:v>
                </c:pt>
                <c:pt idx="13">
                  <c:v>32.5</c:v>
                </c:pt>
                <c:pt idx="14">
                  <c:v>35</c:v>
                </c:pt>
                <c:pt idx="15">
                  <c:v>37.5</c:v>
                </c:pt>
                <c:pt idx="16">
                  <c:v>40</c:v>
                </c:pt>
                <c:pt idx="17">
                  <c:v>42.5</c:v>
                </c:pt>
                <c:pt idx="18">
                  <c:v>45</c:v>
                </c:pt>
                <c:pt idx="19">
                  <c:v>47.5</c:v>
                </c:pt>
                <c:pt idx="20">
                  <c:v>50</c:v>
                </c:pt>
              </c:numCache>
            </c:numRef>
          </c:cat>
          <c:val>
            <c:numRef>
              <c:f>mdc_input!$O$4:$O$24</c:f>
              <c:numCache>
                <c:formatCode>0.00%</c:formatCode>
                <c:ptCount val="21"/>
                <c:pt idx="0">
                  <c:v>0.44935364489830681</c:v>
                </c:pt>
                <c:pt idx="1">
                  <c:v>0.28106128229642158</c:v>
                </c:pt>
                <c:pt idx="2">
                  <c:v>0.13735172970034587</c:v>
                </c:pt>
                <c:pt idx="3">
                  <c:v>3.8681018063975288E-2</c:v>
                </c:pt>
                <c:pt idx="4">
                  <c:v>3.9835955575614215E-2</c:v>
                </c:pt>
                <c:pt idx="5">
                  <c:v>1.4773291238034886E-2</c:v>
                </c:pt>
                <c:pt idx="6">
                  <c:v>8.1483092044097611E-3</c:v>
                </c:pt>
                <c:pt idx="7">
                  <c:v>5.6748508905523224E-3</c:v>
                </c:pt>
                <c:pt idx="8">
                  <c:v>5.1735182747275447E-3</c:v>
                </c:pt>
                <c:pt idx="9">
                  <c:v>1.9796173705194202E-3</c:v>
                </c:pt>
                <c:pt idx="10">
                  <c:v>3.3755631313975307E-3</c:v>
                </c:pt>
                <c:pt idx="11">
                  <c:v>3.7561839175809936E-3</c:v>
                </c:pt>
                <c:pt idx="12">
                  <c:v>1.1552690353866782E-3</c:v>
                </c:pt>
                <c:pt idx="13">
                  <c:v>1.7338554589014685E-3</c:v>
                </c:pt>
                <c:pt idx="14">
                  <c:v>1.1995051747249335E-3</c:v>
                </c:pt>
                <c:pt idx="15">
                  <c:v>1.1737739738380828E-3</c:v>
                </c:pt>
                <c:pt idx="16">
                  <c:v>7.9719998613756999E-4</c:v>
                </c:pt>
                <c:pt idx="17">
                  <c:v>2.6410968791543859E-4</c:v>
                </c:pt>
                <c:pt idx="18">
                  <c:v>4.3303110496242223E-4</c:v>
                </c:pt>
                <c:pt idx="19">
                  <c:v>1.1741412711161114E-3</c:v>
                </c:pt>
                <c:pt idx="20">
                  <c:v>2.904149745130858E-3</c:v>
                </c:pt>
              </c:numCache>
            </c:numRef>
          </c:val>
          <c:extLst>
            <c:ext xmlns:c16="http://schemas.microsoft.com/office/drawing/2014/chart" uri="{C3380CC4-5D6E-409C-BE32-E72D297353CC}">
              <c16:uniqueId val="{00000000-D8AA-4943-A391-A98688B4F7A3}"/>
            </c:ext>
          </c:extLst>
        </c:ser>
        <c:ser>
          <c:idx val="0"/>
          <c:order val="1"/>
          <c:tx>
            <c:strRef>
              <c:f>mdc_input!$N$2</c:f>
              <c:strCache>
                <c:ptCount val="1"/>
                <c:pt idx="0">
                  <c:v>Model</c:v>
                </c:pt>
              </c:strCache>
            </c:strRef>
          </c:tx>
          <c:spPr>
            <a:solidFill>
              <a:schemeClr val="accent1"/>
            </a:solidFill>
            <a:ln>
              <a:noFill/>
            </a:ln>
            <a:effectLst/>
          </c:spPr>
          <c:invertIfNegative val="0"/>
          <c:cat>
            <c:numRef>
              <c:f>mdc_input!$B$4:$B$24</c:f>
              <c:numCache>
                <c:formatCode>General</c:formatCode>
                <c:ptCount val="21"/>
                <c:pt idx="0">
                  <c:v>0</c:v>
                </c:pt>
                <c:pt idx="1">
                  <c:v>2.5</c:v>
                </c:pt>
                <c:pt idx="2">
                  <c:v>5</c:v>
                </c:pt>
                <c:pt idx="3">
                  <c:v>7.5</c:v>
                </c:pt>
                <c:pt idx="4">
                  <c:v>10</c:v>
                </c:pt>
                <c:pt idx="5">
                  <c:v>12.5</c:v>
                </c:pt>
                <c:pt idx="6">
                  <c:v>15</c:v>
                </c:pt>
                <c:pt idx="7">
                  <c:v>17.5</c:v>
                </c:pt>
                <c:pt idx="8">
                  <c:v>20</c:v>
                </c:pt>
                <c:pt idx="9">
                  <c:v>22.5</c:v>
                </c:pt>
                <c:pt idx="10">
                  <c:v>25</c:v>
                </c:pt>
                <c:pt idx="11">
                  <c:v>27.5</c:v>
                </c:pt>
                <c:pt idx="12">
                  <c:v>30</c:v>
                </c:pt>
                <c:pt idx="13">
                  <c:v>32.5</c:v>
                </c:pt>
                <c:pt idx="14">
                  <c:v>35</c:v>
                </c:pt>
                <c:pt idx="15">
                  <c:v>37.5</c:v>
                </c:pt>
                <c:pt idx="16">
                  <c:v>40</c:v>
                </c:pt>
                <c:pt idx="17">
                  <c:v>42.5</c:v>
                </c:pt>
                <c:pt idx="18">
                  <c:v>45</c:v>
                </c:pt>
                <c:pt idx="19">
                  <c:v>47.5</c:v>
                </c:pt>
                <c:pt idx="20">
                  <c:v>50</c:v>
                </c:pt>
              </c:numCache>
            </c:numRef>
          </c:cat>
          <c:val>
            <c:numRef>
              <c:f>mdc_input!$N$4:$N$24</c:f>
              <c:numCache>
                <c:formatCode>0.0%</c:formatCode>
                <c:ptCount val="21"/>
                <c:pt idx="0">
                  <c:v>0.35677067704042381</c:v>
                </c:pt>
                <c:pt idx="1">
                  <c:v>0.3091194127842371</c:v>
                </c:pt>
                <c:pt idx="2">
                  <c:v>0.12232994876775261</c:v>
                </c:pt>
                <c:pt idx="3">
                  <c:v>5.2021555008738764E-2</c:v>
                </c:pt>
                <c:pt idx="4">
                  <c:v>3.3307326193191218E-2</c:v>
                </c:pt>
                <c:pt idx="5">
                  <c:v>2.0703865970475532E-2</c:v>
                </c:pt>
                <c:pt idx="6">
                  <c:v>1.6677305951270257E-2</c:v>
                </c:pt>
                <c:pt idx="7">
                  <c:v>1.4089322704960817E-2</c:v>
                </c:pt>
                <c:pt idx="8">
                  <c:v>1.2230630591307795E-2</c:v>
                </c:pt>
                <c:pt idx="9">
                  <c:v>1.1168520812077498E-2</c:v>
                </c:pt>
                <c:pt idx="10">
                  <c:v>9.4153122038959786E-3</c:v>
                </c:pt>
                <c:pt idx="11">
                  <c:v>8.1640595872685042E-3</c:v>
                </c:pt>
                <c:pt idx="12">
                  <c:v>6.750944350176139E-3</c:v>
                </c:pt>
                <c:pt idx="13">
                  <c:v>5.3178236206667647E-3</c:v>
                </c:pt>
                <c:pt idx="14">
                  <c:v>4.1956973641854396E-3</c:v>
                </c:pt>
                <c:pt idx="15">
                  <c:v>3.2154282357519976E-3</c:v>
                </c:pt>
                <c:pt idx="16">
                  <c:v>2.5461535803466043E-3</c:v>
                </c:pt>
                <c:pt idx="17">
                  <c:v>2.1969668036133558E-3</c:v>
                </c:pt>
                <c:pt idx="18">
                  <c:v>1.6750053196423018E-3</c:v>
                </c:pt>
                <c:pt idx="19">
                  <c:v>1.78776354962908E-3</c:v>
                </c:pt>
                <c:pt idx="20">
                  <c:v>6.3162795603883973E-3</c:v>
                </c:pt>
              </c:numCache>
            </c:numRef>
          </c:val>
          <c:extLst>
            <c:ext xmlns:c16="http://schemas.microsoft.com/office/drawing/2014/chart" uri="{C3380CC4-5D6E-409C-BE32-E72D297353CC}">
              <c16:uniqueId val="{00000001-D8AA-4943-A391-A98688B4F7A3}"/>
            </c:ext>
          </c:extLst>
        </c:ser>
        <c:dLbls>
          <c:showLegendKey val="0"/>
          <c:showVal val="0"/>
          <c:showCatName val="0"/>
          <c:showSerName val="0"/>
          <c:showPercent val="0"/>
          <c:showBubbleSize val="0"/>
        </c:dLbls>
        <c:gapWidth val="150"/>
        <c:axId val="606273696"/>
        <c:axId val="606280768"/>
      </c:barChart>
      <c:catAx>
        <c:axId val="606273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80768"/>
        <c:crosses val="autoZero"/>
        <c:auto val="1"/>
        <c:lblAlgn val="ctr"/>
        <c:lblOffset val="100"/>
        <c:noMultiLvlLbl val="0"/>
      </c:catAx>
      <c:valAx>
        <c:axId val="606280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7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319842433204916E-2"/>
          <c:y val="3.0606566499721759E-2"/>
          <c:w val="0.7572557909256401"/>
          <c:h val="0.8458449997590034"/>
        </c:manualLayout>
      </c:layout>
      <c:scatterChart>
        <c:scatterStyle val="lineMarker"/>
        <c:varyColors val="0"/>
        <c:ser>
          <c:idx val="0"/>
          <c:order val="0"/>
          <c:tx>
            <c:v>County-County Work Flow</c:v>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intercept val="0"/>
            <c:dispRSqr val="1"/>
            <c:dispEq val="0"/>
            <c:trendlineLbl>
              <c:layout>
                <c:manualLayout>
                  <c:x val="-7.4348588428093929E-2"/>
                  <c:y val="-6.9417094983327418E-2"/>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County_Scatter!$C$4:$C$403</c:f>
              <c:numCache>
                <c:formatCode>_(* #,##0_);_(* \(#,##0\);_(* "-"??_);_(@_)</c:formatCode>
                <c:ptCount val="400"/>
                <c:pt idx="0">
                  <c:v>7670</c:v>
                </c:pt>
                <c:pt idx="1">
                  <c:v>0</c:v>
                </c:pt>
                <c:pt idx="2">
                  <c:v>137</c:v>
                </c:pt>
                <c:pt idx="3">
                  <c:v>0</c:v>
                </c:pt>
                <c:pt idx="4">
                  <c:v>0</c:v>
                </c:pt>
                <c:pt idx="5">
                  <c:v>243</c:v>
                </c:pt>
                <c:pt idx="6">
                  <c:v>0</c:v>
                </c:pt>
                <c:pt idx="7">
                  <c:v>0</c:v>
                </c:pt>
                <c:pt idx="8">
                  <c:v>0</c:v>
                </c:pt>
                <c:pt idx="9">
                  <c:v>0</c:v>
                </c:pt>
                <c:pt idx="10">
                  <c:v>0</c:v>
                </c:pt>
                <c:pt idx="11">
                  <c:v>0</c:v>
                </c:pt>
                <c:pt idx="12">
                  <c:v>29</c:v>
                </c:pt>
                <c:pt idx="13">
                  <c:v>406</c:v>
                </c:pt>
                <c:pt idx="14">
                  <c:v>388</c:v>
                </c:pt>
                <c:pt idx="15">
                  <c:v>0</c:v>
                </c:pt>
                <c:pt idx="16">
                  <c:v>0</c:v>
                </c:pt>
                <c:pt idx="17">
                  <c:v>128</c:v>
                </c:pt>
                <c:pt idx="18">
                  <c:v>0</c:v>
                </c:pt>
                <c:pt idx="19">
                  <c:v>5724</c:v>
                </c:pt>
                <c:pt idx="20">
                  <c:v>1964</c:v>
                </c:pt>
                <c:pt idx="21">
                  <c:v>2057967</c:v>
                </c:pt>
                <c:pt idx="22">
                  <c:v>2353</c:v>
                </c:pt>
                <c:pt idx="23">
                  <c:v>137368</c:v>
                </c:pt>
                <c:pt idx="24">
                  <c:v>1904</c:v>
                </c:pt>
                <c:pt idx="25">
                  <c:v>44816</c:v>
                </c:pt>
                <c:pt idx="26">
                  <c:v>4815</c:v>
                </c:pt>
                <c:pt idx="27">
                  <c:v>6272</c:v>
                </c:pt>
                <c:pt idx="28">
                  <c:v>3609</c:v>
                </c:pt>
                <c:pt idx="29">
                  <c:v>78045</c:v>
                </c:pt>
                <c:pt idx="30">
                  <c:v>1125</c:v>
                </c:pt>
                <c:pt idx="31">
                  <c:v>695</c:v>
                </c:pt>
                <c:pt idx="32">
                  <c:v>0</c:v>
                </c:pt>
                <c:pt idx="33">
                  <c:v>31697</c:v>
                </c:pt>
                <c:pt idx="34">
                  <c:v>311</c:v>
                </c:pt>
                <c:pt idx="35">
                  <c:v>5350</c:v>
                </c:pt>
                <c:pt idx="36">
                  <c:v>583</c:v>
                </c:pt>
                <c:pt idx="37">
                  <c:v>944</c:v>
                </c:pt>
                <c:pt idx="38">
                  <c:v>90306</c:v>
                </c:pt>
                <c:pt idx="39">
                  <c:v>2057</c:v>
                </c:pt>
                <c:pt idx="40">
                  <c:v>376</c:v>
                </c:pt>
                <c:pt idx="41">
                  <c:v>653</c:v>
                </c:pt>
                <c:pt idx="42">
                  <c:v>29714</c:v>
                </c:pt>
                <c:pt idx="43">
                  <c:v>500</c:v>
                </c:pt>
                <c:pt idx="44">
                  <c:v>0</c:v>
                </c:pt>
                <c:pt idx="45">
                  <c:v>2116</c:v>
                </c:pt>
                <c:pt idx="46">
                  <c:v>0</c:v>
                </c:pt>
                <c:pt idx="47">
                  <c:v>1127</c:v>
                </c:pt>
                <c:pt idx="48">
                  <c:v>0</c:v>
                </c:pt>
                <c:pt idx="49">
                  <c:v>0</c:v>
                </c:pt>
                <c:pt idx="50">
                  <c:v>0</c:v>
                </c:pt>
                <c:pt idx="51">
                  <c:v>1344</c:v>
                </c:pt>
                <c:pt idx="52">
                  <c:v>617</c:v>
                </c:pt>
                <c:pt idx="53">
                  <c:v>311</c:v>
                </c:pt>
                <c:pt idx="54">
                  <c:v>1710</c:v>
                </c:pt>
                <c:pt idx="55">
                  <c:v>0</c:v>
                </c:pt>
                <c:pt idx="56">
                  <c:v>0</c:v>
                </c:pt>
                <c:pt idx="57">
                  <c:v>0</c:v>
                </c:pt>
                <c:pt idx="58">
                  <c:v>175</c:v>
                </c:pt>
                <c:pt idx="59">
                  <c:v>1012</c:v>
                </c:pt>
                <c:pt idx="60">
                  <c:v>444</c:v>
                </c:pt>
                <c:pt idx="61">
                  <c:v>135435</c:v>
                </c:pt>
                <c:pt idx="62">
                  <c:v>3230</c:v>
                </c:pt>
                <c:pt idx="63">
                  <c:v>274956</c:v>
                </c:pt>
                <c:pt idx="64">
                  <c:v>1090</c:v>
                </c:pt>
                <c:pt idx="65">
                  <c:v>45158</c:v>
                </c:pt>
                <c:pt idx="66">
                  <c:v>335</c:v>
                </c:pt>
                <c:pt idx="67">
                  <c:v>14184</c:v>
                </c:pt>
                <c:pt idx="68">
                  <c:v>331</c:v>
                </c:pt>
                <c:pt idx="69">
                  <c:v>7562</c:v>
                </c:pt>
                <c:pt idx="70">
                  <c:v>0</c:v>
                </c:pt>
                <c:pt idx="71">
                  <c:v>1158</c:v>
                </c:pt>
                <c:pt idx="72">
                  <c:v>154</c:v>
                </c:pt>
                <c:pt idx="73">
                  <c:v>5826</c:v>
                </c:pt>
                <c:pt idx="74">
                  <c:v>0</c:v>
                </c:pt>
                <c:pt idx="75">
                  <c:v>0</c:v>
                </c:pt>
                <c:pt idx="76">
                  <c:v>39</c:v>
                </c:pt>
                <c:pt idx="77">
                  <c:v>134</c:v>
                </c:pt>
                <c:pt idx="78">
                  <c:v>55308</c:v>
                </c:pt>
                <c:pt idx="79">
                  <c:v>0</c:v>
                </c:pt>
                <c:pt idx="80">
                  <c:v>0</c:v>
                </c:pt>
                <c:pt idx="81">
                  <c:v>0</c:v>
                </c:pt>
                <c:pt idx="82">
                  <c:v>44</c:v>
                </c:pt>
                <c:pt idx="83">
                  <c:v>0</c:v>
                </c:pt>
                <c:pt idx="84">
                  <c:v>9785</c:v>
                </c:pt>
                <c:pt idx="85">
                  <c:v>170</c:v>
                </c:pt>
                <c:pt idx="86">
                  <c:v>267</c:v>
                </c:pt>
                <c:pt idx="87">
                  <c:v>738</c:v>
                </c:pt>
                <c:pt idx="88">
                  <c:v>0</c:v>
                </c:pt>
                <c:pt idx="89">
                  <c:v>0</c:v>
                </c:pt>
                <c:pt idx="90">
                  <c:v>0</c:v>
                </c:pt>
                <c:pt idx="91">
                  <c:v>1215</c:v>
                </c:pt>
                <c:pt idx="92">
                  <c:v>0</c:v>
                </c:pt>
                <c:pt idx="93">
                  <c:v>0</c:v>
                </c:pt>
                <c:pt idx="94">
                  <c:v>0</c:v>
                </c:pt>
                <c:pt idx="95">
                  <c:v>0</c:v>
                </c:pt>
                <c:pt idx="96">
                  <c:v>0</c:v>
                </c:pt>
                <c:pt idx="97">
                  <c:v>0</c:v>
                </c:pt>
                <c:pt idx="98">
                  <c:v>3127</c:v>
                </c:pt>
                <c:pt idx="99">
                  <c:v>0</c:v>
                </c:pt>
                <c:pt idx="100">
                  <c:v>1427</c:v>
                </c:pt>
                <c:pt idx="101">
                  <c:v>19630</c:v>
                </c:pt>
                <c:pt idx="102">
                  <c:v>8537</c:v>
                </c:pt>
                <c:pt idx="103">
                  <c:v>18172</c:v>
                </c:pt>
                <c:pt idx="104">
                  <c:v>271</c:v>
                </c:pt>
                <c:pt idx="105">
                  <c:v>127424</c:v>
                </c:pt>
                <c:pt idx="106">
                  <c:v>88</c:v>
                </c:pt>
                <c:pt idx="107">
                  <c:v>10846</c:v>
                </c:pt>
                <c:pt idx="108">
                  <c:v>131</c:v>
                </c:pt>
                <c:pt idx="109">
                  <c:v>1583</c:v>
                </c:pt>
                <c:pt idx="110">
                  <c:v>0</c:v>
                </c:pt>
                <c:pt idx="111">
                  <c:v>1922</c:v>
                </c:pt>
                <c:pt idx="112">
                  <c:v>245</c:v>
                </c:pt>
                <c:pt idx="113">
                  <c:v>10733</c:v>
                </c:pt>
                <c:pt idx="114">
                  <c:v>357</c:v>
                </c:pt>
                <c:pt idx="115">
                  <c:v>0</c:v>
                </c:pt>
                <c:pt idx="116">
                  <c:v>0</c:v>
                </c:pt>
                <c:pt idx="117">
                  <c:v>87</c:v>
                </c:pt>
                <c:pt idx="118">
                  <c:v>4974</c:v>
                </c:pt>
                <c:pt idx="119">
                  <c:v>1054</c:v>
                </c:pt>
                <c:pt idx="120">
                  <c:v>0</c:v>
                </c:pt>
                <c:pt idx="121">
                  <c:v>1374</c:v>
                </c:pt>
                <c:pt idx="122">
                  <c:v>0</c:v>
                </c:pt>
                <c:pt idx="123">
                  <c:v>0</c:v>
                </c:pt>
                <c:pt idx="124">
                  <c:v>217</c:v>
                </c:pt>
                <c:pt idx="125">
                  <c:v>0</c:v>
                </c:pt>
                <c:pt idx="126">
                  <c:v>36462</c:v>
                </c:pt>
                <c:pt idx="127">
                  <c:v>0</c:v>
                </c:pt>
                <c:pt idx="128">
                  <c:v>0</c:v>
                </c:pt>
                <c:pt idx="129">
                  <c:v>0</c:v>
                </c:pt>
                <c:pt idx="130">
                  <c:v>0</c:v>
                </c:pt>
                <c:pt idx="131">
                  <c:v>0</c:v>
                </c:pt>
                <c:pt idx="132">
                  <c:v>0</c:v>
                </c:pt>
                <c:pt idx="133">
                  <c:v>0</c:v>
                </c:pt>
                <c:pt idx="134">
                  <c:v>0</c:v>
                </c:pt>
                <c:pt idx="135">
                  <c:v>0</c:v>
                </c:pt>
                <c:pt idx="136">
                  <c:v>0</c:v>
                </c:pt>
                <c:pt idx="137">
                  <c:v>0</c:v>
                </c:pt>
                <c:pt idx="138">
                  <c:v>2159</c:v>
                </c:pt>
                <c:pt idx="139">
                  <c:v>0</c:v>
                </c:pt>
                <c:pt idx="140">
                  <c:v>0</c:v>
                </c:pt>
                <c:pt idx="141">
                  <c:v>652</c:v>
                </c:pt>
                <c:pt idx="142">
                  <c:v>1573</c:v>
                </c:pt>
                <c:pt idx="143">
                  <c:v>1503</c:v>
                </c:pt>
                <c:pt idx="144">
                  <c:v>283</c:v>
                </c:pt>
                <c:pt idx="145">
                  <c:v>4692</c:v>
                </c:pt>
                <c:pt idx="146">
                  <c:v>0</c:v>
                </c:pt>
                <c:pt idx="147">
                  <c:v>16135</c:v>
                </c:pt>
                <c:pt idx="148">
                  <c:v>0</c:v>
                </c:pt>
                <c:pt idx="149">
                  <c:v>24</c:v>
                </c:pt>
                <c:pt idx="150">
                  <c:v>0</c:v>
                </c:pt>
                <c:pt idx="151">
                  <c:v>1995</c:v>
                </c:pt>
                <c:pt idx="152">
                  <c:v>94</c:v>
                </c:pt>
                <c:pt idx="153">
                  <c:v>19</c:v>
                </c:pt>
                <c:pt idx="154">
                  <c:v>0</c:v>
                </c:pt>
                <c:pt idx="155">
                  <c:v>0</c:v>
                </c:pt>
                <c:pt idx="156">
                  <c:v>0</c:v>
                </c:pt>
                <c:pt idx="157">
                  <c:v>0</c:v>
                </c:pt>
                <c:pt idx="158">
                  <c:v>2469</c:v>
                </c:pt>
                <c:pt idx="159">
                  <c:v>0</c:v>
                </c:pt>
                <c:pt idx="160">
                  <c:v>0</c:v>
                </c:pt>
                <c:pt idx="161">
                  <c:v>631</c:v>
                </c:pt>
                <c:pt idx="162">
                  <c:v>0</c:v>
                </c:pt>
                <c:pt idx="163">
                  <c:v>0</c:v>
                </c:pt>
                <c:pt idx="164">
                  <c:v>0</c:v>
                </c:pt>
                <c:pt idx="165">
                  <c:v>0</c:v>
                </c:pt>
                <c:pt idx="166">
                  <c:v>0</c:v>
                </c:pt>
                <c:pt idx="167">
                  <c:v>0</c:v>
                </c:pt>
                <c:pt idx="168">
                  <c:v>41780</c:v>
                </c:pt>
                <c:pt idx="169">
                  <c:v>4129</c:v>
                </c:pt>
                <c:pt idx="170">
                  <c:v>0</c:v>
                </c:pt>
                <c:pt idx="171">
                  <c:v>0</c:v>
                </c:pt>
                <c:pt idx="172">
                  <c:v>0</c:v>
                </c:pt>
                <c:pt idx="173">
                  <c:v>695</c:v>
                </c:pt>
                <c:pt idx="174">
                  <c:v>0</c:v>
                </c:pt>
                <c:pt idx="175">
                  <c:v>0</c:v>
                </c:pt>
                <c:pt idx="176">
                  <c:v>6548</c:v>
                </c:pt>
                <c:pt idx="177">
                  <c:v>745</c:v>
                </c:pt>
                <c:pt idx="178">
                  <c:v>0</c:v>
                </c:pt>
                <c:pt idx="179">
                  <c:v>0</c:v>
                </c:pt>
                <c:pt idx="180">
                  <c:v>145</c:v>
                </c:pt>
                <c:pt idx="181">
                  <c:v>64036</c:v>
                </c:pt>
                <c:pt idx="182">
                  <c:v>273</c:v>
                </c:pt>
                <c:pt idx="183">
                  <c:v>6896</c:v>
                </c:pt>
                <c:pt idx="184">
                  <c:v>0</c:v>
                </c:pt>
                <c:pt idx="185">
                  <c:v>3569</c:v>
                </c:pt>
                <c:pt idx="186">
                  <c:v>0</c:v>
                </c:pt>
                <c:pt idx="187">
                  <c:v>168</c:v>
                </c:pt>
                <c:pt idx="188">
                  <c:v>15856</c:v>
                </c:pt>
                <c:pt idx="189">
                  <c:v>233253</c:v>
                </c:pt>
                <c:pt idx="190">
                  <c:v>0</c:v>
                </c:pt>
                <c:pt idx="191">
                  <c:v>0</c:v>
                </c:pt>
                <c:pt idx="192">
                  <c:v>0</c:v>
                </c:pt>
                <c:pt idx="193">
                  <c:v>19805</c:v>
                </c:pt>
                <c:pt idx="194">
                  <c:v>0</c:v>
                </c:pt>
                <c:pt idx="195">
                  <c:v>0</c:v>
                </c:pt>
                <c:pt idx="196">
                  <c:v>1743</c:v>
                </c:pt>
                <c:pt idx="197">
                  <c:v>1295</c:v>
                </c:pt>
                <c:pt idx="198">
                  <c:v>1361</c:v>
                </c:pt>
                <c:pt idx="199">
                  <c:v>198</c:v>
                </c:pt>
                <c:pt idx="200">
                  <c:v>0</c:v>
                </c:pt>
                <c:pt idx="201">
                  <c:v>208</c:v>
                </c:pt>
                <c:pt idx="202">
                  <c:v>0</c:v>
                </c:pt>
                <c:pt idx="203">
                  <c:v>0</c:v>
                </c:pt>
                <c:pt idx="204">
                  <c:v>0</c:v>
                </c:pt>
                <c:pt idx="205">
                  <c:v>0</c:v>
                </c:pt>
                <c:pt idx="206">
                  <c:v>0</c:v>
                </c:pt>
                <c:pt idx="207">
                  <c:v>0</c:v>
                </c:pt>
                <c:pt idx="208">
                  <c:v>0</c:v>
                </c:pt>
                <c:pt idx="209">
                  <c:v>0</c:v>
                </c:pt>
                <c:pt idx="210">
                  <c:v>32367</c:v>
                </c:pt>
                <c:pt idx="211">
                  <c:v>0</c:v>
                </c:pt>
                <c:pt idx="212">
                  <c:v>0</c:v>
                </c:pt>
                <c:pt idx="213">
                  <c:v>0</c:v>
                </c:pt>
                <c:pt idx="214">
                  <c:v>0</c:v>
                </c:pt>
                <c:pt idx="215">
                  <c:v>4089</c:v>
                </c:pt>
                <c:pt idx="216">
                  <c:v>0</c:v>
                </c:pt>
                <c:pt idx="217">
                  <c:v>0</c:v>
                </c:pt>
                <c:pt idx="218">
                  <c:v>0</c:v>
                </c:pt>
                <c:pt idx="219">
                  <c:v>0</c:v>
                </c:pt>
                <c:pt idx="220">
                  <c:v>0</c:v>
                </c:pt>
                <c:pt idx="221">
                  <c:v>0</c:v>
                </c:pt>
                <c:pt idx="222">
                  <c:v>439</c:v>
                </c:pt>
                <c:pt idx="223">
                  <c:v>0</c:v>
                </c:pt>
                <c:pt idx="224">
                  <c:v>901</c:v>
                </c:pt>
                <c:pt idx="225">
                  <c:v>0</c:v>
                </c:pt>
                <c:pt idx="226">
                  <c:v>29</c:v>
                </c:pt>
                <c:pt idx="227">
                  <c:v>259</c:v>
                </c:pt>
                <c:pt idx="228">
                  <c:v>0</c:v>
                </c:pt>
                <c:pt idx="229">
                  <c:v>0</c:v>
                </c:pt>
                <c:pt idx="230">
                  <c:v>0</c:v>
                </c:pt>
                <c:pt idx="231">
                  <c:v>35748</c:v>
                </c:pt>
                <c:pt idx="232">
                  <c:v>632</c:v>
                </c:pt>
                <c:pt idx="233">
                  <c:v>0</c:v>
                </c:pt>
                <c:pt idx="234">
                  <c:v>39</c:v>
                </c:pt>
                <c:pt idx="235">
                  <c:v>0</c:v>
                </c:pt>
                <c:pt idx="236">
                  <c:v>0</c:v>
                </c:pt>
                <c:pt idx="237">
                  <c:v>0</c:v>
                </c:pt>
                <c:pt idx="238">
                  <c:v>407</c:v>
                </c:pt>
                <c:pt idx="239">
                  <c:v>66</c:v>
                </c:pt>
                <c:pt idx="240">
                  <c:v>0</c:v>
                </c:pt>
                <c:pt idx="241">
                  <c:v>0</c:v>
                </c:pt>
                <c:pt idx="242">
                  <c:v>63</c:v>
                </c:pt>
                <c:pt idx="243">
                  <c:v>0</c:v>
                </c:pt>
                <c:pt idx="244">
                  <c:v>0</c:v>
                </c:pt>
                <c:pt idx="245">
                  <c:v>0</c:v>
                </c:pt>
                <c:pt idx="246">
                  <c:v>0</c:v>
                </c:pt>
                <c:pt idx="247">
                  <c:v>0</c:v>
                </c:pt>
                <c:pt idx="248">
                  <c:v>0</c:v>
                </c:pt>
                <c:pt idx="249">
                  <c:v>0</c:v>
                </c:pt>
                <c:pt idx="250">
                  <c:v>0</c:v>
                </c:pt>
                <c:pt idx="251">
                  <c:v>179</c:v>
                </c:pt>
                <c:pt idx="252">
                  <c:v>9383</c:v>
                </c:pt>
                <c:pt idx="253">
                  <c:v>0</c:v>
                </c:pt>
                <c:pt idx="254">
                  <c:v>1546</c:v>
                </c:pt>
                <c:pt idx="255">
                  <c:v>0</c:v>
                </c:pt>
                <c:pt idx="256">
                  <c:v>0</c:v>
                </c:pt>
                <c:pt idx="257">
                  <c:v>0</c:v>
                </c:pt>
                <c:pt idx="258">
                  <c:v>0</c:v>
                </c:pt>
                <c:pt idx="259">
                  <c:v>95</c:v>
                </c:pt>
                <c:pt idx="260">
                  <c:v>2232</c:v>
                </c:pt>
                <c:pt idx="261">
                  <c:v>4498</c:v>
                </c:pt>
                <c:pt idx="262">
                  <c:v>682</c:v>
                </c:pt>
                <c:pt idx="263">
                  <c:v>909</c:v>
                </c:pt>
                <c:pt idx="264">
                  <c:v>0</c:v>
                </c:pt>
                <c:pt idx="265">
                  <c:v>6620</c:v>
                </c:pt>
                <c:pt idx="266">
                  <c:v>0</c:v>
                </c:pt>
                <c:pt idx="267">
                  <c:v>97</c:v>
                </c:pt>
                <c:pt idx="268">
                  <c:v>1227</c:v>
                </c:pt>
                <c:pt idx="269">
                  <c:v>6532</c:v>
                </c:pt>
                <c:pt idx="270">
                  <c:v>0</c:v>
                </c:pt>
                <c:pt idx="271">
                  <c:v>0</c:v>
                </c:pt>
                <c:pt idx="272">
                  <c:v>0</c:v>
                </c:pt>
                <c:pt idx="273">
                  <c:v>77111</c:v>
                </c:pt>
                <c:pt idx="274">
                  <c:v>23</c:v>
                </c:pt>
                <c:pt idx="275">
                  <c:v>0</c:v>
                </c:pt>
                <c:pt idx="276">
                  <c:v>51</c:v>
                </c:pt>
                <c:pt idx="277">
                  <c:v>2477</c:v>
                </c:pt>
                <c:pt idx="278">
                  <c:v>219</c:v>
                </c:pt>
                <c:pt idx="279">
                  <c:v>1277</c:v>
                </c:pt>
                <c:pt idx="280">
                  <c:v>68</c:v>
                </c:pt>
                <c:pt idx="281">
                  <c:v>0</c:v>
                </c:pt>
                <c:pt idx="282">
                  <c:v>572</c:v>
                </c:pt>
                <c:pt idx="283">
                  <c:v>0</c:v>
                </c:pt>
                <c:pt idx="284">
                  <c:v>0</c:v>
                </c:pt>
                <c:pt idx="285">
                  <c:v>179</c:v>
                </c:pt>
                <c:pt idx="286">
                  <c:v>0</c:v>
                </c:pt>
                <c:pt idx="287">
                  <c:v>0</c:v>
                </c:pt>
                <c:pt idx="288">
                  <c:v>0</c:v>
                </c:pt>
                <c:pt idx="289">
                  <c:v>0</c:v>
                </c:pt>
                <c:pt idx="290">
                  <c:v>0</c:v>
                </c:pt>
                <c:pt idx="291">
                  <c:v>80</c:v>
                </c:pt>
                <c:pt idx="292">
                  <c:v>1502</c:v>
                </c:pt>
                <c:pt idx="293">
                  <c:v>62</c:v>
                </c:pt>
                <c:pt idx="294">
                  <c:v>12898</c:v>
                </c:pt>
                <c:pt idx="295">
                  <c:v>0</c:v>
                </c:pt>
                <c:pt idx="296">
                  <c:v>0</c:v>
                </c:pt>
                <c:pt idx="297">
                  <c:v>0</c:v>
                </c:pt>
                <c:pt idx="298">
                  <c:v>0</c:v>
                </c:pt>
                <c:pt idx="299">
                  <c:v>1475</c:v>
                </c:pt>
                <c:pt idx="300">
                  <c:v>0</c:v>
                </c:pt>
                <c:pt idx="301">
                  <c:v>421</c:v>
                </c:pt>
                <c:pt idx="302">
                  <c:v>0</c:v>
                </c:pt>
                <c:pt idx="303">
                  <c:v>0</c:v>
                </c:pt>
                <c:pt idx="304">
                  <c:v>0</c:v>
                </c:pt>
                <c:pt idx="305">
                  <c:v>0</c:v>
                </c:pt>
                <c:pt idx="306">
                  <c:v>0</c:v>
                </c:pt>
                <c:pt idx="307">
                  <c:v>0</c:v>
                </c:pt>
                <c:pt idx="308">
                  <c:v>0</c:v>
                </c:pt>
                <c:pt idx="309">
                  <c:v>0</c:v>
                </c:pt>
                <c:pt idx="310">
                  <c:v>4372</c:v>
                </c:pt>
                <c:pt idx="311">
                  <c:v>0</c:v>
                </c:pt>
                <c:pt idx="312">
                  <c:v>0</c:v>
                </c:pt>
                <c:pt idx="313">
                  <c:v>0</c:v>
                </c:pt>
                <c:pt idx="314">
                  <c:v>0</c:v>
                </c:pt>
                <c:pt idx="315">
                  <c:v>40786</c:v>
                </c:pt>
                <c:pt idx="316">
                  <c:v>0</c:v>
                </c:pt>
                <c:pt idx="317">
                  <c:v>0</c:v>
                </c:pt>
                <c:pt idx="318">
                  <c:v>211</c:v>
                </c:pt>
                <c:pt idx="319">
                  <c:v>0</c:v>
                </c:pt>
                <c:pt idx="320">
                  <c:v>0</c:v>
                </c:pt>
                <c:pt idx="321">
                  <c:v>0</c:v>
                </c:pt>
                <c:pt idx="322">
                  <c:v>0</c:v>
                </c:pt>
                <c:pt idx="323">
                  <c:v>0</c:v>
                </c:pt>
                <c:pt idx="324">
                  <c:v>0</c:v>
                </c:pt>
                <c:pt idx="325">
                  <c:v>0</c:v>
                </c:pt>
                <c:pt idx="326">
                  <c:v>0</c:v>
                </c:pt>
                <c:pt idx="327">
                  <c:v>0</c:v>
                </c:pt>
                <c:pt idx="328">
                  <c:v>7931</c:v>
                </c:pt>
                <c:pt idx="329">
                  <c:v>686</c:v>
                </c:pt>
                <c:pt idx="330">
                  <c:v>0</c:v>
                </c:pt>
                <c:pt idx="331">
                  <c:v>0</c:v>
                </c:pt>
                <c:pt idx="332">
                  <c:v>0</c:v>
                </c:pt>
                <c:pt idx="333">
                  <c:v>99</c:v>
                </c:pt>
                <c:pt idx="334">
                  <c:v>0</c:v>
                </c:pt>
                <c:pt idx="335">
                  <c:v>0</c:v>
                </c:pt>
                <c:pt idx="336">
                  <c:v>56684</c:v>
                </c:pt>
                <c:pt idx="337">
                  <c:v>2546</c:v>
                </c:pt>
                <c:pt idx="338">
                  <c:v>0</c:v>
                </c:pt>
                <c:pt idx="339">
                  <c:v>0</c:v>
                </c:pt>
                <c:pt idx="340">
                  <c:v>165</c:v>
                </c:pt>
                <c:pt idx="341">
                  <c:v>0</c:v>
                </c:pt>
                <c:pt idx="342">
                  <c:v>0</c:v>
                </c:pt>
                <c:pt idx="343">
                  <c:v>0</c:v>
                </c:pt>
                <c:pt idx="344">
                  <c:v>0</c:v>
                </c:pt>
                <c:pt idx="345">
                  <c:v>36</c:v>
                </c:pt>
                <c:pt idx="346">
                  <c:v>0</c:v>
                </c:pt>
                <c:pt idx="347">
                  <c:v>0</c:v>
                </c:pt>
                <c:pt idx="348">
                  <c:v>1187</c:v>
                </c:pt>
                <c:pt idx="349">
                  <c:v>275</c:v>
                </c:pt>
                <c:pt idx="350">
                  <c:v>0</c:v>
                </c:pt>
                <c:pt idx="351">
                  <c:v>0</c:v>
                </c:pt>
                <c:pt idx="352">
                  <c:v>0</c:v>
                </c:pt>
                <c:pt idx="353">
                  <c:v>952</c:v>
                </c:pt>
                <c:pt idx="354">
                  <c:v>0</c:v>
                </c:pt>
                <c:pt idx="355">
                  <c:v>0</c:v>
                </c:pt>
                <c:pt idx="356">
                  <c:v>2102</c:v>
                </c:pt>
                <c:pt idx="357">
                  <c:v>31380</c:v>
                </c:pt>
                <c:pt idx="358">
                  <c:v>0</c:v>
                </c:pt>
                <c:pt idx="359">
                  <c:v>218</c:v>
                </c:pt>
                <c:pt idx="360">
                  <c:v>0</c:v>
                </c:pt>
                <c:pt idx="361">
                  <c:v>39829</c:v>
                </c:pt>
                <c:pt idx="362">
                  <c:v>421</c:v>
                </c:pt>
                <c:pt idx="363">
                  <c:v>14829</c:v>
                </c:pt>
                <c:pt idx="364">
                  <c:v>7344</c:v>
                </c:pt>
                <c:pt idx="365">
                  <c:v>3889</c:v>
                </c:pt>
                <c:pt idx="366">
                  <c:v>4611</c:v>
                </c:pt>
                <c:pt idx="367">
                  <c:v>6239</c:v>
                </c:pt>
                <c:pt idx="368">
                  <c:v>0</c:v>
                </c:pt>
                <c:pt idx="369">
                  <c:v>0</c:v>
                </c:pt>
                <c:pt idx="370">
                  <c:v>0</c:v>
                </c:pt>
                <c:pt idx="371">
                  <c:v>1445</c:v>
                </c:pt>
                <c:pt idx="372">
                  <c:v>0</c:v>
                </c:pt>
                <c:pt idx="373">
                  <c:v>0</c:v>
                </c:pt>
                <c:pt idx="374">
                  <c:v>0</c:v>
                </c:pt>
                <c:pt idx="375">
                  <c:v>468</c:v>
                </c:pt>
                <c:pt idx="376">
                  <c:v>0</c:v>
                </c:pt>
                <c:pt idx="377">
                  <c:v>0</c:v>
                </c:pt>
                <c:pt idx="378">
                  <c:v>150329</c:v>
                </c:pt>
                <c:pt idx="379">
                  <c:v>0</c:v>
                </c:pt>
                <c:pt idx="380">
                  <c:v>8092</c:v>
                </c:pt>
                <c:pt idx="381">
                  <c:v>968</c:v>
                </c:pt>
                <c:pt idx="382">
                  <c:v>1081</c:v>
                </c:pt>
                <c:pt idx="383">
                  <c:v>0</c:v>
                </c:pt>
                <c:pt idx="384">
                  <c:v>0</c:v>
                </c:pt>
                <c:pt idx="385">
                  <c:v>513</c:v>
                </c:pt>
                <c:pt idx="386">
                  <c:v>0</c:v>
                </c:pt>
                <c:pt idx="387">
                  <c:v>0</c:v>
                </c:pt>
                <c:pt idx="388">
                  <c:v>26</c:v>
                </c:pt>
                <c:pt idx="389">
                  <c:v>116</c:v>
                </c:pt>
                <c:pt idx="390">
                  <c:v>0</c:v>
                </c:pt>
                <c:pt idx="391">
                  <c:v>58</c:v>
                </c:pt>
                <c:pt idx="392">
                  <c:v>453</c:v>
                </c:pt>
                <c:pt idx="393">
                  <c:v>940</c:v>
                </c:pt>
                <c:pt idx="394">
                  <c:v>5265</c:v>
                </c:pt>
                <c:pt idx="395">
                  <c:v>0</c:v>
                </c:pt>
                <c:pt idx="396">
                  <c:v>0</c:v>
                </c:pt>
                <c:pt idx="397">
                  <c:v>251</c:v>
                </c:pt>
                <c:pt idx="398">
                  <c:v>0</c:v>
                </c:pt>
                <c:pt idx="399">
                  <c:v>106575</c:v>
                </c:pt>
              </c:numCache>
            </c:numRef>
          </c:xVal>
          <c:yVal>
            <c:numRef>
              <c:f>County_Scatter!$D$4:$D$403</c:f>
              <c:numCache>
                <c:formatCode>_(* #,##0_);_(* \(#,##0\);_(* "-"??_);_(@_)</c:formatCode>
                <c:ptCount val="400"/>
                <c:pt idx="0">
                  <c:v>5660</c:v>
                </c:pt>
                <c:pt idx="1">
                  <c:v>0</c:v>
                </c:pt>
                <c:pt idx="2">
                  <c:v>1425</c:v>
                </c:pt>
                <c:pt idx="3">
                  <c:v>0</c:v>
                </c:pt>
                <c:pt idx="4">
                  <c:v>0</c:v>
                </c:pt>
                <c:pt idx="5">
                  <c:v>70</c:v>
                </c:pt>
                <c:pt idx="6">
                  <c:v>0</c:v>
                </c:pt>
                <c:pt idx="7">
                  <c:v>0</c:v>
                </c:pt>
                <c:pt idx="8">
                  <c:v>0</c:v>
                </c:pt>
                <c:pt idx="9">
                  <c:v>0</c:v>
                </c:pt>
                <c:pt idx="10">
                  <c:v>0</c:v>
                </c:pt>
                <c:pt idx="11">
                  <c:v>0</c:v>
                </c:pt>
                <c:pt idx="12">
                  <c:v>10</c:v>
                </c:pt>
                <c:pt idx="13">
                  <c:v>1250</c:v>
                </c:pt>
                <c:pt idx="14">
                  <c:v>130</c:v>
                </c:pt>
                <c:pt idx="15">
                  <c:v>0</c:v>
                </c:pt>
                <c:pt idx="16">
                  <c:v>0</c:v>
                </c:pt>
                <c:pt idx="17">
                  <c:v>400</c:v>
                </c:pt>
                <c:pt idx="18">
                  <c:v>0</c:v>
                </c:pt>
                <c:pt idx="19">
                  <c:v>4010</c:v>
                </c:pt>
                <c:pt idx="20">
                  <c:v>140</c:v>
                </c:pt>
                <c:pt idx="21">
                  <c:v>2086595</c:v>
                </c:pt>
                <c:pt idx="22">
                  <c:v>1485</c:v>
                </c:pt>
                <c:pt idx="23">
                  <c:v>98710</c:v>
                </c:pt>
                <c:pt idx="24">
                  <c:v>450</c:v>
                </c:pt>
                <c:pt idx="25">
                  <c:v>38220</c:v>
                </c:pt>
                <c:pt idx="26">
                  <c:v>2965</c:v>
                </c:pt>
                <c:pt idx="27">
                  <c:v>2525</c:v>
                </c:pt>
                <c:pt idx="28">
                  <c:v>2675</c:v>
                </c:pt>
                <c:pt idx="29">
                  <c:v>78740</c:v>
                </c:pt>
                <c:pt idx="30">
                  <c:v>130</c:v>
                </c:pt>
                <c:pt idx="31">
                  <c:v>115</c:v>
                </c:pt>
                <c:pt idx="32">
                  <c:v>0</c:v>
                </c:pt>
                <c:pt idx="33">
                  <c:v>31555</c:v>
                </c:pt>
                <c:pt idx="34">
                  <c:v>20</c:v>
                </c:pt>
                <c:pt idx="35">
                  <c:v>1705</c:v>
                </c:pt>
                <c:pt idx="36">
                  <c:v>420</c:v>
                </c:pt>
                <c:pt idx="37">
                  <c:v>440</c:v>
                </c:pt>
                <c:pt idx="38">
                  <c:v>67205</c:v>
                </c:pt>
                <c:pt idx="39">
                  <c:v>80</c:v>
                </c:pt>
                <c:pt idx="40">
                  <c:v>245</c:v>
                </c:pt>
                <c:pt idx="41">
                  <c:v>5</c:v>
                </c:pt>
                <c:pt idx="42">
                  <c:v>20670</c:v>
                </c:pt>
                <c:pt idx="43">
                  <c:v>15</c:v>
                </c:pt>
                <c:pt idx="44">
                  <c:v>25</c:v>
                </c:pt>
                <c:pt idx="45">
                  <c:v>995</c:v>
                </c:pt>
                <c:pt idx="46">
                  <c:v>0</c:v>
                </c:pt>
                <c:pt idx="47">
                  <c:v>655</c:v>
                </c:pt>
                <c:pt idx="48">
                  <c:v>0</c:v>
                </c:pt>
                <c:pt idx="49">
                  <c:v>0</c:v>
                </c:pt>
                <c:pt idx="50">
                  <c:v>0</c:v>
                </c:pt>
                <c:pt idx="51">
                  <c:v>1410</c:v>
                </c:pt>
                <c:pt idx="52">
                  <c:v>375</c:v>
                </c:pt>
                <c:pt idx="53">
                  <c:v>215</c:v>
                </c:pt>
                <c:pt idx="54">
                  <c:v>1155</c:v>
                </c:pt>
                <c:pt idx="55">
                  <c:v>0</c:v>
                </c:pt>
                <c:pt idx="56">
                  <c:v>0</c:v>
                </c:pt>
                <c:pt idx="57">
                  <c:v>0</c:v>
                </c:pt>
                <c:pt idx="58">
                  <c:v>25</c:v>
                </c:pt>
                <c:pt idx="59">
                  <c:v>665</c:v>
                </c:pt>
                <c:pt idx="60">
                  <c:v>20</c:v>
                </c:pt>
                <c:pt idx="61">
                  <c:v>122000</c:v>
                </c:pt>
                <c:pt idx="62">
                  <c:v>4365</c:v>
                </c:pt>
                <c:pt idx="63">
                  <c:v>333765</c:v>
                </c:pt>
                <c:pt idx="64">
                  <c:v>1125</c:v>
                </c:pt>
                <c:pt idx="65">
                  <c:v>62890</c:v>
                </c:pt>
                <c:pt idx="66">
                  <c:v>120</c:v>
                </c:pt>
                <c:pt idx="67">
                  <c:v>18840</c:v>
                </c:pt>
                <c:pt idx="68">
                  <c:v>35</c:v>
                </c:pt>
                <c:pt idx="69">
                  <c:v>3580</c:v>
                </c:pt>
                <c:pt idx="70">
                  <c:v>0</c:v>
                </c:pt>
                <c:pt idx="71">
                  <c:v>885</c:v>
                </c:pt>
                <c:pt idx="72">
                  <c:v>50</c:v>
                </c:pt>
                <c:pt idx="73">
                  <c:v>4265</c:v>
                </c:pt>
                <c:pt idx="74">
                  <c:v>0</c:v>
                </c:pt>
                <c:pt idx="75">
                  <c:v>0</c:v>
                </c:pt>
                <c:pt idx="76">
                  <c:v>25</c:v>
                </c:pt>
                <c:pt idx="77">
                  <c:v>20</c:v>
                </c:pt>
                <c:pt idx="78">
                  <c:v>80485</c:v>
                </c:pt>
                <c:pt idx="79">
                  <c:v>0</c:v>
                </c:pt>
                <c:pt idx="80">
                  <c:v>0</c:v>
                </c:pt>
                <c:pt idx="81">
                  <c:v>0</c:v>
                </c:pt>
                <c:pt idx="82">
                  <c:v>75</c:v>
                </c:pt>
                <c:pt idx="83">
                  <c:v>0</c:v>
                </c:pt>
                <c:pt idx="84">
                  <c:v>11030</c:v>
                </c:pt>
                <c:pt idx="85">
                  <c:v>20</c:v>
                </c:pt>
                <c:pt idx="86">
                  <c:v>210</c:v>
                </c:pt>
                <c:pt idx="87">
                  <c:v>595</c:v>
                </c:pt>
                <c:pt idx="88">
                  <c:v>0</c:v>
                </c:pt>
                <c:pt idx="89">
                  <c:v>0</c:v>
                </c:pt>
                <c:pt idx="90">
                  <c:v>0</c:v>
                </c:pt>
                <c:pt idx="91">
                  <c:v>2740</c:v>
                </c:pt>
                <c:pt idx="92">
                  <c:v>0</c:v>
                </c:pt>
                <c:pt idx="93">
                  <c:v>0</c:v>
                </c:pt>
                <c:pt idx="94">
                  <c:v>0</c:v>
                </c:pt>
                <c:pt idx="95">
                  <c:v>0</c:v>
                </c:pt>
                <c:pt idx="96">
                  <c:v>0</c:v>
                </c:pt>
                <c:pt idx="97">
                  <c:v>0</c:v>
                </c:pt>
                <c:pt idx="98">
                  <c:v>2220</c:v>
                </c:pt>
                <c:pt idx="99">
                  <c:v>0</c:v>
                </c:pt>
                <c:pt idx="100">
                  <c:v>655</c:v>
                </c:pt>
                <c:pt idx="101">
                  <c:v>7475</c:v>
                </c:pt>
                <c:pt idx="102">
                  <c:v>13820</c:v>
                </c:pt>
                <c:pt idx="103">
                  <c:v>10000</c:v>
                </c:pt>
                <c:pt idx="104">
                  <c:v>295</c:v>
                </c:pt>
                <c:pt idx="105">
                  <c:v>122330</c:v>
                </c:pt>
                <c:pt idx="106">
                  <c:v>5</c:v>
                </c:pt>
                <c:pt idx="107">
                  <c:v>11785</c:v>
                </c:pt>
                <c:pt idx="108">
                  <c:v>155</c:v>
                </c:pt>
                <c:pt idx="109">
                  <c:v>825</c:v>
                </c:pt>
                <c:pt idx="110">
                  <c:v>0</c:v>
                </c:pt>
                <c:pt idx="111">
                  <c:v>1400</c:v>
                </c:pt>
                <c:pt idx="112">
                  <c:v>160</c:v>
                </c:pt>
                <c:pt idx="113">
                  <c:v>15275</c:v>
                </c:pt>
                <c:pt idx="114">
                  <c:v>235</c:v>
                </c:pt>
                <c:pt idx="115">
                  <c:v>0</c:v>
                </c:pt>
                <c:pt idx="116">
                  <c:v>65</c:v>
                </c:pt>
                <c:pt idx="117">
                  <c:v>225</c:v>
                </c:pt>
                <c:pt idx="118">
                  <c:v>4995</c:v>
                </c:pt>
                <c:pt idx="119">
                  <c:v>860</c:v>
                </c:pt>
                <c:pt idx="120">
                  <c:v>0</c:v>
                </c:pt>
                <c:pt idx="121">
                  <c:v>380</c:v>
                </c:pt>
                <c:pt idx="122">
                  <c:v>0</c:v>
                </c:pt>
                <c:pt idx="123">
                  <c:v>0</c:v>
                </c:pt>
                <c:pt idx="124">
                  <c:v>785</c:v>
                </c:pt>
                <c:pt idx="125">
                  <c:v>0</c:v>
                </c:pt>
                <c:pt idx="126">
                  <c:v>37365</c:v>
                </c:pt>
                <c:pt idx="127">
                  <c:v>10</c:v>
                </c:pt>
                <c:pt idx="128">
                  <c:v>0</c:v>
                </c:pt>
                <c:pt idx="129">
                  <c:v>0</c:v>
                </c:pt>
                <c:pt idx="130">
                  <c:v>0</c:v>
                </c:pt>
                <c:pt idx="131">
                  <c:v>0</c:v>
                </c:pt>
                <c:pt idx="132">
                  <c:v>0</c:v>
                </c:pt>
                <c:pt idx="133">
                  <c:v>0</c:v>
                </c:pt>
                <c:pt idx="134">
                  <c:v>0</c:v>
                </c:pt>
                <c:pt idx="135">
                  <c:v>20</c:v>
                </c:pt>
                <c:pt idx="136">
                  <c:v>0</c:v>
                </c:pt>
                <c:pt idx="137">
                  <c:v>0</c:v>
                </c:pt>
                <c:pt idx="138">
                  <c:v>3510</c:v>
                </c:pt>
                <c:pt idx="139">
                  <c:v>0</c:v>
                </c:pt>
                <c:pt idx="140">
                  <c:v>0</c:v>
                </c:pt>
                <c:pt idx="141">
                  <c:v>50</c:v>
                </c:pt>
                <c:pt idx="142">
                  <c:v>1685</c:v>
                </c:pt>
                <c:pt idx="143">
                  <c:v>375</c:v>
                </c:pt>
                <c:pt idx="144">
                  <c:v>765</c:v>
                </c:pt>
                <c:pt idx="145">
                  <c:v>2585</c:v>
                </c:pt>
                <c:pt idx="146">
                  <c:v>0</c:v>
                </c:pt>
                <c:pt idx="147">
                  <c:v>13485</c:v>
                </c:pt>
                <c:pt idx="148">
                  <c:v>0</c:v>
                </c:pt>
                <c:pt idx="149">
                  <c:v>10</c:v>
                </c:pt>
                <c:pt idx="150">
                  <c:v>0</c:v>
                </c:pt>
                <c:pt idx="151">
                  <c:v>1515</c:v>
                </c:pt>
                <c:pt idx="152">
                  <c:v>30</c:v>
                </c:pt>
                <c:pt idx="153">
                  <c:v>5</c:v>
                </c:pt>
                <c:pt idx="154">
                  <c:v>0</c:v>
                </c:pt>
                <c:pt idx="155">
                  <c:v>0</c:v>
                </c:pt>
                <c:pt idx="156">
                  <c:v>0</c:v>
                </c:pt>
                <c:pt idx="157">
                  <c:v>0</c:v>
                </c:pt>
                <c:pt idx="158">
                  <c:v>1840</c:v>
                </c:pt>
                <c:pt idx="159">
                  <c:v>0</c:v>
                </c:pt>
                <c:pt idx="160">
                  <c:v>10</c:v>
                </c:pt>
                <c:pt idx="161">
                  <c:v>5</c:v>
                </c:pt>
                <c:pt idx="162">
                  <c:v>0</c:v>
                </c:pt>
                <c:pt idx="163">
                  <c:v>0</c:v>
                </c:pt>
                <c:pt idx="164">
                  <c:v>0</c:v>
                </c:pt>
                <c:pt idx="165">
                  <c:v>0</c:v>
                </c:pt>
                <c:pt idx="166">
                  <c:v>0</c:v>
                </c:pt>
                <c:pt idx="167">
                  <c:v>0</c:v>
                </c:pt>
                <c:pt idx="168">
                  <c:v>34555</c:v>
                </c:pt>
                <c:pt idx="169">
                  <c:v>4110</c:v>
                </c:pt>
                <c:pt idx="170">
                  <c:v>0</c:v>
                </c:pt>
                <c:pt idx="171">
                  <c:v>0</c:v>
                </c:pt>
                <c:pt idx="172">
                  <c:v>0</c:v>
                </c:pt>
                <c:pt idx="173">
                  <c:v>440</c:v>
                </c:pt>
                <c:pt idx="174">
                  <c:v>0</c:v>
                </c:pt>
                <c:pt idx="175">
                  <c:v>0</c:v>
                </c:pt>
                <c:pt idx="176">
                  <c:v>9480</c:v>
                </c:pt>
                <c:pt idx="177">
                  <c:v>2090</c:v>
                </c:pt>
                <c:pt idx="178">
                  <c:v>0</c:v>
                </c:pt>
                <c:pt idx="179">
                  <c:v>0</c:v>
                </c:pt>
                <c:pt idx="180">
                  <c:v>55</c:v>
                </c:pt>
                <c:pt idx="181">
                  <c:v>34110</c:v>
                </c:pt>
                <c:pt idx="182">
                  <c:v>85</c:v>
                </c:pt>
                <c:pt idx="183">
                  <c:v>970</c:v>
                </c:pt>
                <c:pt idx="184">
                  <c:v>0</c:v>
                </c:pt>
                <c:pt idx="185">
                  <c:v>3025</c:v>
                </c:pt>
                <c:pt idx="186">
                  <c:v>0</c:v>
                </c:pt>
                <c:pt idx="187">
                  <c:v>5</c:v>
                </c:pt>
                <c:pt idx="188">
                  <c:v>23035</c:v>
                </c:pt>
                <c:pt idx="189">
                  <c:v>233175</c:v>
                </c:pt>
                <c:pt idx="190">
                  <c:v>0</c:v>
                </c:pt>
                <c:pt idx="191">
                  <c:v>0</c:v>
                </c:pt>
                <c:pt idx="192">
                  <c:v>0</c:v>
                </c:pt>
                <c:pt idx="193">
                  <c:v>26420</c:v>
                </c:pt>
                <c:pt idx="194">
                  <c:v>0</c:v>
                </c:pt>
                <c:pt idx="195">
                  <c:v>0</c:v>
                </c:pt>
                <c:pt idx="196">
                  <c:v>6285</c:v>
                </c:pt>
                <c:pt idx="197">
                  <c:v>1905</c:v>
                </c:pt>
                <c:pt idx="198">
                  <c:v>70</c:v>
                </c:pt>
                <c:pt idx="199">
                  <c:v>60</c:v>
                </c:pt>
                <c:pt idx="200">
                  <c:v>0</c:v>
                </c:pt>
                <c:pt idx="201">
                  <c:v>20</c:v>
                </c:pt>
                <c:pt idx="202">
                  <c:v>0</c:v>
                </c:pt>
                <c:pt idx="203">
                  <c:v>0</c:v>
                </c:pt>
                <c:pt idx="204">
                  <c:v>0</c:v>
                </c:pt>
                <c:pt idx="205">
                  <c:v>0</c:v>
                </c:pt>
                <c:pt idx="206">
                  <c:v>0</c:v>
                </c:pt>
                <c:pt idx="207">
                  <c:v>0</c:v>
                </c:pt>
                <c:pt idx="208">
                  <c:v>0</c:v>
                </c:pt>
                <c:pt idx="209">
                  <c:v>0</c:v>
                </c:pt>
                <c:pt idx="210">
                  <c:v>39140</c:v>
                </c:pt>
                <c:pt idx="211">
                  <c:v>0</c:v>
                </c:pt>
                <c:pt idx="212">
                  <c:v>0</c:v>
                </c:pt>
                <c:pt idx="213">
                  <c:v>0</c:v>
                </c:pt>
                <c:pt idx="214">
                  <c:v>0</c:v>
                </c:pt>
                <c:pt idx="215">
                  <c:v>6800</c:v>
                </c:pt>
                <c:pt idx="216">
                  <c:v>0</c:v>
                </c:pt>
                <c:pt idx="217">
                  <c:v>0</c:v>
                </c:pt>
                <c:pt idx="218">
                  <c:v>0</c:v>
                </c:pt>
                <c:pt idx="219">
                  <c:v>0</c:v>
                </c:pt>
                <c:pt idx="220">
                  <c:v>0</c:v>
                </c:pt>
                <c:pt idx="221">
                  <c:v>0</c:v>
                </c:pt>
                <c:pt idx="222">
                  <c:v>190</c:v>
                </c:pt>
                <c:pt idx="223">
                  <c:v>0</c:v>
                </c:pt>
                <c:pt idx="224">
                  <c:v>570</c:v>
                </c:pt>
                <c:pt idx="225">
                  <c:v>0</c:v>
                </c:pt>
                <c:pt idx="226">
                  <c:v>5</c:v>
                </c:pt>
                <c:pt idx="227">
                  <c:v>130</c:v>
                </c:pt>
                <c:pt idx="228">
                  <c:v>0</c:v>
                </c:pt>
                <c:pt idx="229">
                  <c:v>0</c:v>
                </c:pt>
                <c:pt idx="230">
                  <c:v>0</c:v>
                </c:pt>
                <c:pt idx="231">
                  <c:v>40320</c:v>
                </c:pt>
                <c:pt idx="232">
                  <c:v>415</c:v>
                </c:pt>
                <c:pt idx="233">
                  <c:v>0</c:v>
                </c:pt>
                <c:pt idx="234">
                  <c:v>165</c:v>
                </c:pt>
                <c:pt idx="235">
                  <c:v>0</c:v>
                </c:pt>
                <c:pt idx="236">
                  <c:v>0</c:v>
                </c:pt>
                <c:pt idx="237">
                  <c:v>0</c:v>
                </c:pt>
                <c:pt idx="238">
                  <c:v>15</c:v>
                </c:pt>
                <c:pt idx="239">
                  <c:v>40</c:v>
                </c:pt>
                <c:pt idx="240">
                  <c:v>0</c:v>
                </c:pt>
                <c:pt idx="241">
                  <c:v>0</c:v>
                </c:pt>
                <c:pt idx="242">
                  <c:v>40</c:v>
                </c:pt>
                <c:pt idx="243">
                  <c:v>0</c:v>
                </c:pt>
                <c:pt idx="244">
                  <c:v>0</c:v>
                </c:pt>
                <c:pt idx="245">
                  <c:v>5</c:v>
                </c:pt>
                <c:pt idx="246">
                  <c:v>0</c:v>
                </c:pt>
                <c:pt idx="247">
                  <c:v>0</c:v>
                </c:pt>
                <c:pt idx="248">
                  <c:v>0</c:v>
                </c:pt>
                <c:pt idx="249">
                  <c:v>0</c:v>
                </c:pt>
                <c:pt idx="250">
                  <c:v>0</c:v>
                </c:pt>
                <c:pt idx="251">
                  <c:v>35</c:v>
                </c:pt>
                <c:pt idx="252">
                  <c:v>70</c:v>
                </c:pt>
                <c:pt idx="253">
                  <c:v>0</c:v>
                </c:pt>
                <c:pt idx="254">
                  <c:v>45</c:v>
                </c:pt>
                <c:pt idx="255">
                  <c:v>0</c:v>
                </c:pt>
                <c:pt idx="256">
                  <c:v>0</c:v>
                </c:pt>
                <c:pt idx="257">
                  <c:v>0</c:v>
                </c:pt>
                <c:pt idx="258">
                  <c:v>0</c:v>
                </c:pt>
                <c:pt idx="259">
                  <c:v>5</c:v>
                </c:pt>
                <c:pt idx="260">
                  <c:v>2415</c:v>
                </c:pt>
                <c:pt idx="261">
                  <c:v>475</c:v>
                </c:pt>
                <c:pt idx="262">
                  <c:v>660</c:v>
                </c:pt>
                <c:pt idx="263">
                  <c:v>80</c:v>
                </c:pt>
                <c:pt idx="264">
                  <c:v>0</c:v>
                </c:pt>
                <c:pt idx="265">
                  <c:v>4065</c:v>
                </c:pt>
                <c:pt idx="266">
                  <c:v>0</c:v>
                </c:pt>
                <c:pt idx="267">
                  <c:v>15</c:v>
                </c:pt>
                <c:pt idx="268">
                  <c:v>2775</c:v>
                </c:pt>
                <c:pt idx="269">
                  <c:v>4665</c:v>
                </c:pt>
                <c:pt idx="270">
                  <c:v>0</c:v>
                </c:pt>
                <c:pt idx="271">
                  <c:v>0</c:v>
                </c:pt>
                <c:pt idx="272">
                  <c:v>0</c:v>
                </c:pt>
                <c:pt idx="273">
                  <c:v>66185</c:v>
                </c:pt>
                <c:pt idx="274">
                  <c:v>15</c:v>
                </c:pt>
                <c:pt idx="275">
                  <c:v>0</c:v>
                </c:pt>
                <c:pt idx="276">
                  <c:v>990</c:v>
                </c:pt>
                <c:pt idx="277">
                  <c:v>4930</c:v>
                </c:pt>
                <c:pt idx="278">
                  <c:v>10</c:v>
                </c:pt>
                <c:pt idx="279">
                  <c:v>4660</c:v>
                </c:pt>
                <c:pt idx="280">
                  <c:v>25</c:v>
                </c:pt>
                <c:pt idx="281">
                  <c:v>0</c:v>
                </c:pt>
                <c:pt idx="282">
                  <c:v>1060</c:v>
                </c:pt>
                <c:pt idx="283">
                  <c:v>0</c:v>
                </c:pt>
                <c:pt idx="284">
                  <c:v>0</c:v>
                </c:pt>
                <c:pt idx="285">
                  <c:v>10</c:v>
                </c:pt>
                <c:pt idx="286">
                  <c:v>0</c:v>
                </c:pt>
                <c:pt idx="287">
                  <c:v>0</c:v>
                </c:pt>
                <c:pt idx="288">
                  <c:v>0</c:v>
                </c:pt>
                <c:pt idx="289">
                  <c:v>0</c:v>
                </c:pt>
                <c:pt idx="290">
                  <c:v>0</c:v>
                </c:pt>
                <c:pt idx="291">
                  <c:v>230</c:v>
                </c:pt>
                <c:pt idx="292">
                  <c:v>690</c:v>
                </c:pt>
                <c:pt idx="293">
                  <c:v>5</c:v>
                </c:pt>
                <c:pt idx="294">
                  <c:v>3425</c:v>
                </c:pt>
                <c:pt idx="295">
                  <c:v>0</c:v>
                </c:pt>
                <c:pt idx="296">
                  <c:v>0</c:v>
                </c:pt>
                <c:pt idx="297">
                  <c:v>0</c:v>
                </c:pt>
                <c:pt idx="298">
                  <c:v>0</c:v>
                </c:pt>
                <c:pt idx="299">
                  <c:v>620</c:v>
                </c:pt>
                <c:pt idx="300">
                  <c:v>0</c:v>
                </c:pt>
                <c:pt idx="301">
                  <c:v>105</c:v>
                </c:pt>
                <c:pt idx="302">
                  <c:v>0</c:v>
                </c:pt>
                <c:pt idx="303">
                  <c:v>0</c:v>
                </c:pt>
                <c:pt idx="304">
                  <c:v>0</c:v>
                </c:pt>
                <c:pt idx="305">
                  <c:v>0</c:v>
                </c:pt>
                <c:pt idx="306">
                  <c:v>0</c:v>
                </c:pt>
                <c:pt idx="307">
                  <c:v>0</c:v>
                </c:pt>
                <c:pt idx="308">
                  <c:v>0</c:v>
                </c:pt>
                <c:pt idx="309">
                  <c:v>0</c:v>
                </c:pt>
                <c:pt idx="310">
                  <c:v>7945</c:v>
                </c:pt>
                <c:pt idx="311">
                  <c:v>0</c:v>
                </c:pt>
                <c:pt idx="312">
                  <c:v>0</c:v>
                </c:pt>
                <c:pt idx="313">
                  <c:v>0</c:v>
                </c:pt>
                <c:pt idx="314">
                  <c:v>0</c:v>
                </c:pt>
                <c:pt idx="315">
                  <c:v>47405</c:v>
                </c:pt>
                <c:pt idx="316">
                  <c:v>0</c:v>
                </c:pt>
                <c:pt idx="317">
                  <c:v>0</c:v>
                </c:pt>
                <c:pt idx="318">
                  <c:v>30</c:v>
                </c:pt>
                <c:pt idx="319">
                  <c:v>0</c:v>
                </c:pt>
                <c:pt idx="320">
                  <c:v>5</c:v>
                </c:pt>
                <c:pt idx="321">
                  <c:v>0</c:v>
                </c:pt>
                <c:pt idx="322">
                  <c:v>0</c:v>
                </c:pt>
                <c:pt idx="323">
                  <c:v>0</c:v>
                </c:pt>
                <c:pt idx="324">
                  <c:v>0</c:v>
                </c:pt>
                <c:pt idx="325">
                  <c:v>0</c:v>
                </c:pt>
                <c:pt idx="326">
                  <c:v>0</c:v>
                </c:pt>
                <c:pt idx="327">
                  <c:v>0</c:v>
                </c:pt>
                <c:pt idx="328">
                  <c:v>11395</c:v>
                </c:pt>
                <c:pt idx="329">
                  <c:v>1140</c:v>
                </c:pt>
                <c:pt idx="330">
                  <c:v>0</c:v>
                </c:pt>
                <c:pt idx="331">
                  <c:v>0</c:v>
                </c:pt>
                <c:pt idx="332">
                  <c:v>0</c:v>
                </c:pt>
                <c:pt idx="333">
                  <c:v>420</c:v>
                </c:pt>
                <c:pt idx="334">
                  <c:v>0</c:v>
                </c:pt>
                <c:pt idx="335">
                  <c:v>0</c:v>
                </c:pt>
                <c:pt idx="336">
                  <c:v>68755</c:v>
                </c:pt>
                <c:pt idx="337">
                  <c:v>5835</c:v>
                </c:pt>
                <c:pt idx="338">
                  <c:v>0</c:v>
                </c:pt>
                <c:pt idx="339">
                  <c:v>0</c:v>
                </c:pt>
                <c:pt idx="340">
                  <c:v>70</c:v>
                </c:pt>
                <c:pt idx="341">
                  <c:v>0</c:v>
                </c:pt>
                <c:pt idx="342">
                  <c:v>0</c:v>
                </c:pt>
                <c:pt idx="343">
                  <c:v>0</c:v>
                </c:pt>
                <c:pt idx="344">
                  <c:v>0</c:v>
                </c:pt>
                <c:pt idx="345">
                  <c:v>5</c:v>
                </c:pt>
                <c:pt idx="346">
                  <c:v>0</c:v>
                </c:pt>
                <c:pt idx="347">
                  <c:v>0</c:v>
                </c:pt>
                <c:pt idx="348">
                  <c:v>1620</c:v>
                </c:pt>
                <c:pt idx="349">
                  <c:v>125</c:v>
                </c:pt>
                <c:pt idx="350">
                  <c:v>0</c:v>
                </c:pt>
                <c:pt idx="351">
                  <c:v>0</c:v>
                </c:pt>
                <c:pt idx="352">
                  <c:v>0</c:v>
                </c:pt>
                <c:pt idx="353">
                  <c:v>895</c:v>
                </c:pt>
                <c:pt idx="354">
                  <c:v>0</c:v>
                </c:pt>
                <c:pt idx="355">
                  <c:v>0</c:v>
                </c:pt>
                <c:pt idx="356">
                  <c:v>2230</c:v>
                </c:pt>
                <c:pt idx="357">
                  <c:v>34440</c:v>
                </c:pt>
                <c:pt idx="358">
                  <c:v>0</c:v>
                </c:pt>
                <c:pt idx="359">
                  <c:v>240</c:v>
                </c:pt>
                <c:pt idx="360">
                  <c:v>0</c:v>
                </c:pt>
                <c:pt idx="361">
                  <c:v>20400</c:v>
                </c:pt>
                <c:pt idx="362">
                  <c:v>310</c:v>
                </c:pt>
                <c:pt idx="363">
                  <c:v>6115</c:v>
                </c:pt>
                <c:pt idx="364">
                  <c:v>6595</c:v>
                </c:pt>
                <c:pt idx="365">
                  <c:v>2045</c:v>
                </c:pt>
                <c:pt idx="366">
                  <c:v>5390</c:v>
                </c:pt>
                <c:pt idx="367">
                  <c:v>6550</c:v>
                </c:pt>
                <c:pt idx="368">
                  <c:v>0</c:v>
                </c:pt>
                <c:pt idx="369">
                  <c:v>0</c:v>
                </c:pt>
                <c:pt idx="370">
                  <c:v>0</c:v>
                </c:pt>
                <c:pt idx="371">
                  <c:v>695</c:v>
                </c:pt>
                <c:pt idx="372">
                  <c:v>0</c:v>
                </c:pt>
                <c:pt idx="373">
                  <c:v>0</c:v>
                </c:pt>
                <c:pt idx="374">
                  <c:v>0</c:v>
                </c:pt>
                <c:pt idx="375">
                  <c:v>90</c:v>
                </c:pt>
                <c:pt idx="376">
                  <c:v>0</c:v>
                </c:pt>
                <c:pt idx="377">
                  <c:v>0</c:v>
                </c:pt>
                <c:pt idx="378">
                  <c:v>148360</c:v>
                </c:pt>
                <c:pt idx="379">
                  <c:v>0</c:v>
                </c:pt>
                <c:pt idx="380">
                  <c:v>13165</c:v>
                </c:pt>
                <c:pt idx="381">
                  <c:v>5</c:v>
                </c:pt>
                <c:pt idx="382">
                  <c:v>2255</c:v>
                </c:pt>
                <c:pt idx="383">
                  <c:v>0</c:v>
                </c:pt>
                <c:pt idx="384">
                  <c:v>0</c:v>
                </c:pt>
                <c:pt idx="385">
                  <c:v>80</c:v>
                </c:pt>
                <c:pt idx="386">
                  <c:v>0</c:v>
                </c:pt>
                <c:pt idx="387">
                  <c:v>0</c:v>
                </c:pt>
                <c:pt idx="388">
                  <c:v>5</c:v>
                </c:pt>
                <c:pt idx="389">
                  <c:v>10</c:v>
                </c:pt>
                <c:pt idx="390">
                  <c:v>0</c:v>
                </c:pt>
                <c:pt idx="391">
                  <c:v>25</c:v>
                </c:pt>
                <c:pt idx="392">
                  <c:v>155</c:v>
                </c:pt>
                <c:pt idx="393">
                  <c:v>2100</c:v>
                </c:pt>
                <c:pt idx="394">
                  <c:v>3375</c:v>
                </c:pt>
                <c:pt idx="395">
                  <c:v>0</c:v>
                </c:pt>
                <c:pt idx="396">
                  <c:v>0</c:v>
                </c:pt>
                <c:pt idx="397">
                  <c:v>1095</c:v>
                </c:pt>
                <c:pt idx="398">
                  <c:v>0</c:v>
                </c:pt>
                <c:pt idx="399">
                  <c:v>118970</c:v>
                </c:pt>
              </c:numCache>
            </c:numRef>
          </c:yVal>
          <c:smooth val="0"/>
          <c:extLst>
            <c:ext xmlns:c16="http://schemas.microsoft.com/office/drawing/2014/chart" uri="{C3380CC4-5D6E-409C-BE32-E72D297353CC}">
              <c16:uniqueId val="{00000000-8D78-4F53-B7ED-54791532898E}"/>
            </c:ext>
          </c:extLst>
        </c:ser>
        <c:dLbls>
          <c:showLegendKey val="0"/>
          <c:showVal val="0"/>
          <c:showCatName val="0"/>
          <c:showSerName val="0"/>
          <c:showPercent val="0"/>
          <c:showBubbleSize val="0"/>
        </c:dLbls>
        <c:axId val="606272608"/>
        <c:axId val="606275872"/>
      </c:scatterChart>
      <c:valAx>
        <c:axId val="60627260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Census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75872"/>
        <c:crosses val="autoZero"/>
        <c:crossBetween val="midCat"/>
      </c:valAx>
      <c:valAx>
        <c:axId val="60627587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Model</a:t>
                </a:r>
              </a:p>
            </c:rich>
          </c:tx>
          <c:layout>
            <c:manualLayout>
              <c:xMode val="edge"/>
              <c:yMode val="edge"/>
              <c:x val="1.5101592531576058E-2"/>
              <c:y val="0.4001483224446693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72608"/>
        <c:crosses val="autoZero"/>
        <c:crossBetween val="midCat"/>
      </c:valAx>
      <c:spPr>
        <a:noFill/>
        <a:ln>
          <a:noFill/>
        </a:ln>
        <a:effectLst/>
      </c:spPr>
    </c:plotArea>
    <c:legend>
      <c:legendPos val="r"/>
      <c:layout>
        <c:manualLayout>
          <c:xMode val="edge"/>
          <c:yMode val="edge"/>
          <c:x val="0.8532664625735622"/>
          <c:y val="0.37235637698876961"/>
          <c:w val="0.13986917718481234"/>
          <c:h val="0.166249961659633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891798163783741E-2"/>
          <c:y val="2.626552053486151E-2"/>
          <c:w val="0.77988626421697282"/>
          <c:h val="0.86770939091066335"/>
        </c:manualLayout>
      </c:layout>
      <c:scatterChart>
        <c:scatterStyle val="lineMarker"/>
        <c:varyColors val="0"/>
        <c:ser>
          <c:idx val="0"/>
          <c:order val="0"/>
          <c:tx>
            <c:v>Sector-Sector Work Flow</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intercept val="0"/>
            <c:dispRSqr val="1"/>
            <c:dispEq val="0"/>
            <c:trendlineLbl>
              <c:layout>
                <c:manualLayout>
                  <c:x val="-0.10260327398834182"/>
                  <c:y val="-2.3394362595793004E-2"/>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Sector_Scatter!$D$4:$D$628</c:f>
              <c:numCache>
                <c:formatCode>0</c:formatCode>
                <c:ptCount val="625"/>
                <c:pt idx="0">
                  <c:v>110153</c:v>
                </c:pt>
                <c:pt idx="1">
                  <c:v>136550</c:v>
                </c:pt>
                <c:pt idx="2">
                  <c:v>52109</c:v>
                </c:pt>
                <c:pt idx="3">
                  <c:v>23067</c:v>
                </c:pt>
                <c:pt idx="4">
                  <c:v>31349</c:v>
                </c:pt>
                <c:pt idx="5">
                  <c:v>23457</c:v>
                </c:pt>
                <c:pt idx="6">
                  <c:v>48823</c:v>
                </c:pt>
                <c:pt idx="7">
                  <c:v>88924</c:v>
                </c:pt>
                <c:pt idx="8">
                  <c:v>13535</c:v>
                </c:pt>
                <c:pt idx="9">
                  <c:v>14155</c:v>
                </c:pt>
                <c:pt idx="10">
                  <c:v>10669</c:v>
                </c:pt>
                <c:pt idx="11">
                  <c:v>12839</c:v>
                </c:pt>
                <c:pt idx="12">
                  <c:v>29728</c:v>
                </c:pt>
                <c:pt idx="13">
                  <c:v>22483</c:v>
                </c:pt>
                <c:pt idx="14">
                  <c:v>15061</c:v>
                </c:pt>
                <c:pt idx="15">
                  <c:v>991</c:v>
                </c:pt>
                <c:pt idx="16">
                  <c:v>2475</c:v>
                </c:pt>
                <c:pt idx="17">
                  <c:v>9932</c:v>
                </c:pt>
                <c:pt idx="18">
                  <c:v>4193</c:v>
                </c:pt>
                <c:pt idx="19">
                  <c:v>14193</c:v>
                </c:pt>
                <c:pt idx="20">
                  <c:v>6673</c:v>
                </c:pt>
                <c:pt idx="21">
                  <c:v>2681</c:v>
                </c:pt>
                <c:pt idx="22">
                  <c:v>2509</c:v>
                </c:pt>
                <c:pt idx="23">
                  <c:v>4522</c:v>
                </c:pt>
                <c:pt idx="24">
                  <c:v>13044</c:v>
                </c:pt>
                <c:pt idx="25">
                  <c:v>17573</c:v>
                </c:pt>
                <c:pt idx="26">
                  <c:v>115562</c:v>
                </c:pt>
                <c:pt idx="27">
                  <c:v>38388</c:v>
                </c:pt>
                <c:pt idx="28">
                  <c:v>16634</c:v>
                </c:pt>
                <c:pt idx="29">
                  <c:v>10193</c:v>
                </c:pt>
                <c:pt idx="30">
                  <c:v>8002</c:v>
                </c:pt>
                <c:pt idx="31">
                  <c:v>14111</c:v>
                </c:pt>
                <c:pt idx="32">
                  <c:v>23264</c:v>
                </c:pt>
                <c:pt idx="33">
                  <c:v>7801</c:v>
                </c:pt>
                <c:pt idx="34">
                  <c:v>8899</c:v>
                </c:pt>
                <c:pt idx="35">
                  <c:v>5044</c:v>
                </c:pt>
                <c:pt idx="36">
                  <c:v>2149</c:v>
                </c:pt>
                <c:pt idx="37">
                  <c:v>3646</c:v>
                </c:pt>
                <c:pt idx="38">
                  <c:v>5264</c:v>
                </c:pt>
                <c:pt idx="39">
                  <c:v>3063</c:v>
                </c:pt>
                <c:pt idx="40">
                  <c:v>601</c:v>
                </c:pt>
                <c:pt idx="41">
                  <c:v>527</c:v>
                </c:pt>
                <c:pt idx="42">
                  <c:v>1906</c:v>
                </c:pt>
                <c:pt idx="43">
                  <c:v>531</c:v>
                </c:pt>
                <c:pt idx="44">
                  <c:v>7915</c:v>
                </c:pt>
                <c:pt idx="45">
                  <c:v>3424</c:v>
                </c:pt>
                <c:pt idx="46">
                  <c:v>1430</c:v>
                </c:pt>
                <c:pt idx="47">
                  <c:v>533</c:v>
                </c:pt>
                <c:pt idx="48">
                  <c:v>795</c:v>
                </c:pt>
                <c:pt idx="49">
                  <c:v>2286</c:v>
                </c:pt>
                <c:pt idx="50">
                  <c:v>8045</c:v>
                </c:pt>
                <c:pt idx="51">
                  <c:v>29402</c:v>
                </c:pt>
                <c:pt idx="52">
                  <c:v>64171</c:v>
                </c:pt>
                <c:pt idx="53">
                  <c:v>19299</c:v>
                </c:pt>
                <c:pt idx="54">
                  <c:v>9659</c:v>
                </c:pt>
                <c:pt idx="55">
                  <c:v>6576</c:v>
                </c:pt>
                <c:pt idx="56">
                  <c:v>10205</c:v>
                </c:pt>
                <c:pt idx="57">
                  <c:v>11647</c:v>
                </c:pt>
                <c:pt idx="58">
                  <c:v>4046</c:v>
                </c:pt>
                <c:pt idx="59">
                  <c:v>15990</c:v>
                </c:pt>
                <c:pt idx="60">
                  <c:v>12520</c:v>
                </c:pt>
                <c:pt idx="61">
                  <c:v>4743</c:v>
                </c:pt>
                <c:pt idx="62">
                  <c:v>5515</c:v>
                </c:pt>
                <c:pt idx="63">
                  <c:v>4405</c:v>
                </c:pt>
                <c:pt idx="64">
                  <c:v>2113</c:v>
                </c:pt>
                <c:pt idx="65">
                  <c:v>830</c:v>
                </c:pt>
                <c:pt idx="66">
                  <c:v>1204</c:v>
                </c:pt>
                <c:pt idx="67">
                  <c:v>1734</c:v>
                </c:pt>
                <c:pt idx="68">
                  <c:v>478</c:v>
                </c:pt>
                <c:pt idx="69">
                  <c:v>10499</c:v>
                </c:pt>
                <c:pt idx="70">
                  <c:v>2177</c:v>
                </c:pt>
                <c:pt idx="71">
                  <c:v>2508</c:v>
                </c:pt>
                <c:pt idx="72">
                  <c:v>1099</c:v>
                </c:pt>
                <c:pt idx="73">
                  <c:v>1053</c:v>
                </c:pt>
                <c:pt idx="74">
                  <c:v>2777</c:v>
                </c:pt>
                <c:pt idx="75">
                  <c:v>2211</c:v>
                </c:pt>
                <c:pt idx="76">
                  <c:v>4892</c:v>
                </c:pt>
                <c:pt idx="77">
                  <c:v>9816</c:v>
                </c:pt>
                <c:pt idx="78">
                  <c:v>16358</c:v>
                </c:pt>
                <c:pt idx="79">
                  <c:v>6209</c:v>
                </c:pt>
                <c:pt idx="80">
                  <c:v>3541</c:v>
                </c:pt>
                <c:pt idx="81">
                  <c:v>4249</c:v>
                </c:pt>
                <c:pt idx="82">
                  <c:v>4403</c:v>
                </c:pt>
                <c:pt idx="83">
                  <c:v>461</c:v>
                </c:pt>
                <c:pt idx="84">
                  <c:v>1580</c:v>
                </c:pt>
                <c:pt idx="85">
                  <c:v>2850</c:v>
                </c:pt>
                <c:pt idx="86">
                  <c:v>1595</c:v>
                </c:pt>
                <c:pt idx="87">
                  <c:v>1331</c:v>
                </c:pt>
                <c:pt idx="88">
                  <c:v>1609</c:v>
                </c:pt>
                <c:pt idx="89">
                  <c:v>478</c:v>
                </c:pt>
                <c:pt idx="90">
                  <c:v>110</c:v>
                </c:pt>
                <c:pt idx="91">
                  <c:v>304</c:v>
                </c:pt>
                <c:pt idx="92">
                  <c:v>412</c:v>
                </c:pt>
                <c:pt idx="93">
                  <c:v>100</c:v>
                </c:pt>
                <c:pt idx="94">
                  <c:v>1451</c:v>
                </c:pt>
                <c:pt idx="95">
                  <c:v>258</c:v>
                </c:pt>
                <c:pt idx="96">
                  <c:v>383</c:v>
                </c:pt>
                <c:pt idx="97">
                  <c:v>146</c:v>
                </c:pt>
                <c:pt idx="98">
                  <c:v>424</c:v>
                </c:pt>
                <c:pt idx="99">
                  <c:v>975</c:v>
                </c:pt>
                <c:pt idx="100">
                  <c:v>4299</c:v>
                </c:pt>
                <c:pt idx="101">
                  <c:v>6464</c:v>
                </c:pt>
                <c:pt idx="102">
                  <c:v>8328</c:v>
                </c:pt>
                <c:pt idx="103">
                  <c:v>9508</c:v>
                </c:pt>
                <c:pt idx="104">
                  <c:v>35268</c:v>
                </c:pt>
                <c:pt idx="105">
                  <c:v>12871</c:v>
                </c:pt>
                <c:pt idx="106">
                  <c:v>8388</c:v>
                </c:pt>
                <c:pt idx="107">
                  <c:v>9046</c:v>
                </c:pt>
                <c:pt idx="108">
                  <c:v>611</c:v>
                </c:pt>
                <c:pt idx="109">
                  <c:v>2463</c:v>
                </c:pt>
                <c:pt idx="110">
                  <c:v>4631</c:v>
                </c:pt>
                <c:pt idx="111">
                  <c:v>6296</c:v>
                </c:pt>
                <c:pt idx="112">
                  <c:v>8046</c:v>
                </c:pt>
                <c:pt idx="113">
                  <c:v>4331</c:v>
                </c:pt>
                <c:pt idx="114">
                  <c:v>1904</c:v>
                </c:pt>
                <c:pt idx="115">
                  <c:v>165</c:v>
                </c:pt>
                <c:pt idx="116">
                  <c:v>705</c:v>
                </c:pt>
                <c:pt idx="117">
                  <c:v>1005</c:v>
                </c:pt>
                <c:pt idx="118">
                  <c:v>298</c:v>
                </c:pt>
                <c:pt idx="119">
                  <c:v>1776</c:v>
                </c:pt>
                <c:pt idx="120">
                  <c:v>415</c:v>
                </c:pt>
                <c:pt idx="121">
                  <c:v>1056</c:v>
                </c:pt>
                <c:pt idx="122">
                  <c:v>571</c:v>
                </c:pt>
                <c:pt idx="123">
                  <c:v>1211</c:v>
                </c:pt>
                <c:pt idx="124">
                  <c:v>2952</c:v>
                </c:pt>
                <c:pt idx="125">
                  <c:v>3575</c:v>
                </c:pt>
                <c:pt idx="126">
                  <c:v>3616</c:v>
                </c:pt>
                <c:pt idx="127">
                  <c:v>3180</c:v>
                </c:pt>
                <c:pt idx="128">
                  <c:v>2627</c:v>
                </c:pt>
                <c:pt idx="129">
                  <c:v>7345</c:v>
                </c:pt>
                <c:pt idx="130">
                  <c:v>28181</c:v>
                </c:pt>
                <c:pt idx="131">
                  <c:v>12387</c:v>
                </c:pt>
                <c:pt idx="132">
                  <c:v>6965</c:v>
                </c:pt>
                <c:pt idx="133">
                  <c:v>232</c:v>
                </c:pt>
                <c:pt idx="134">
                  <c:v>876</c:v>
                </c:pt>
                <c:pt idx="135">
                  <c:v>1301</c:v>
                </c:pt>
                <c:pt idx="136">
                  <c:v>2282</c:v>
                </c:pt>
                <c:pt idx="137">
                  <c:v>6325</c:v>
                </c:pt>
                <c:pt idx="138">
                  <c:v>7281</c:v>
                </c:pt>
                <c:pt idx="139">
                  <c:v>1371</c:v>
                </c:pt>
                <c:pt idx="140">
                  <c:v>63</c:v>
                </c:pt>
                <c:pt idx="141">
                  <c:v>410</c:v>
                </c:pt>
                <c:pt idx="142">
                  <c:v>1087</c:v>
                </c:pt>
                <c:pt idx="143">
                  <c:v>286</c:v>
                </c:pt>
                <c:pt idx="144">
                  <c:v>591</c:v>
                </c:pt>
                <c:pt idx="145">
                  <c:v>200</c:v>
                </c:pt>
                <c:pt idx="146">
                  <c:v>200</c:v>
                </c:pt>
                <c:pt idx="147">
                  <c:v>229</c:v>
                </c:pt>
                <c:pt idx="148">
                  <c:v>965</c:v>
                </c:pt>
                <c:pt idx="149">
                  <c:v>4141</c:v>
                </c:pt>
                <c:pt idx="150">
                  <c:v>4513</c:v>
                </c:pt>
                <c:pt idx="151">
                  <c:v>5233</c:v>
                </c:pt>
                <c:pt idx="152">
                  <c:v>4442</c:v>
                </c:pt>
                <c:pt idx="153">
                  <c:v>3830</c:v>
                </c:pt>
                <c:pt idx="154">
                  <c:v>3783</c:v>
                </c:pt>
                <c:pt idx="155">
                  <c:v>8117</c:v>
                </c:pt>
                <c:pt idx="156">
                  <c:v>49295</c:v>
                </c:pt>
                <c:pt idx="157">
                  <c:v>21204</c:v>
                </c:pt>
                <c:pt idx="158">
                  <c:v>233</c:v>
                </c:pt>
                <c:pt idx="159">
                  <c:v>1244</c:v>
                </c:pt>
                <c:pt idx="160">
                  <c:v>1647</c:v>
                </c:pt>
                <c:pt idx="161">
                  <c:v>1164</c:v>
                </c:pt>
                <c:pt idx="162">
                  <c:v>4785</c:v>
                </c:pt>
                <c:pt idx="163">
                  <c:v>18265</c:v>
                </c:pt>
                <c:pt idx="164">
                  <c:v>3544</c:v>
                </c:pt>
                <c:pt idx="165">
                  <c:v>87</c:v>
                </c:pt>
                <c:pt idx="166">
                  <c:v>930</c:v>
                </c:pt>
                <c:pt idx="167">
                  <c:v>1973</c:v>
                </c:pt>
                <c:pt idx="168">
                  <c:v>809</c:v>
                </c:pt>
                <c:pt idx="169">
                  <c:v>1141</c:v>
                </c:pt>
                <c:pt idx="170">
                  <c:v>174</c:v>
                </c:pt>
                <c:pt idx="171">
                  <c:v>317</c:v>
                </c:pt>
                <c:pt idx="172">
                  <c:v>318</c:v>
                </c:pt>
                <c:pt idx="173">
                  <c:v>801</c:v>
                </c:pt>
                <c:pt idx="174">
                  <c:v>6282</c:v>
                </c:pt>
                <c:pt idx="175">
                  <c:v>7293</c:v>
                </c:pt>
                <c:pt idx="176">
                  <c:v>8369</c:v>
                </c:pt>
                <c:pt idx="177">
                  <c:v>4817</c:v>
                </c:pt>
                <c:pt idx="178">
                  <c:v>3281</c:v>
                </c:pt>
                <c:pt idx="179">
                  <c:v>4108</c:v>
                </c:pt>
                <c:pt idx="180">
                  <c:v>3728</c:v>
                </c:pt>
                <c:pt idx="181">
                  <c:v>16477</c:v>
                </c:pt>
                <c:pt idx="182">
                  <c:v>86862</c:v>
                </c:pt>
                <c:pt idx="183">
                  <c:v>525</c:v>
                </c:pt>
                <c:pt idx="184">
                  <c:v>1021</c:v>
                </c:pt>
                <c:pt idx="185">
                  <c:v>1226</c:v>
                </c:pt>
                <c:pt idx="186">
                  <c:v>998</c:v>
                </c:pt>
                <c:pt idx="187">
                  <c:v>2985</c:v>
                </c:pt>
                <c:pt idx="188">
                  <c:v>11477</c:v>
                </c:pt>
                <c:pt idx="189">
                  <c:v>14548</c:v>
                </c:pt>
                <c:pt idx="190">
                  <c:v>47</c:v>
                </c:pt>
                <c:pt idx="191">
                  <c:v>855</c:v>
                </c:pt>
                <c:pt idx="192">
                  <c:v>11244</c:v>
                </c:pt>
                <c:pt idx="193">
                  <c:v>2669</c:v>
                </c:pt>
                <c:pt idx="194">
                  <c:v>962</c:v>
                </c:pt>
                <c:pt idx="195">
                  <c:v>506</c:v>
                </c:pt>
                <c:pt idx="196">
                  <c:v>207</c:v>
                </c:pt>
                <c:pt idx="197">
                  <c:v>99</c:v>
                </c:pt>
                <c:pt idx="198">
                  <c:v>562</c:v>
                </c:pt>
                <c:pt idx="199">
                  <c:v>4717</c:v>
                </c:pt>
                <c:pt idx="200">
                  <c:v>3028</c:v>
                </c:pt>
                <c:pt idx="201">
                  <c:v>16073</c:v>
                </c:pt>
                <c:pt idx="202">
                  <c:v>8714</c:v>
                </c:pt>
                <c:pt idx="203">
                  <c:v>1972</c:v>
                </c:pt>
                <c:pt idx="204">
                  <c:v>1389</c:v>
                </c:pt>
                <c:pt idx="205">
                  <c:v>1270</c:v>
                </c:pt>
                <c:pt idx="206">
                  <c:v>1598</c:v>
                </c:pt>
                <c:pt idx="207">
                  <c:v>1612</c:v>
                </c:pt>
                <c:pt idx="208">
                  <c:v>14449</c:v>
                </c:pt>
                <c:pt idx="209">
                  <c:v>11302</c:v>
                </c:pt>
                <c:pt idx="210">
                  <c:v>2337</c:v>
                </c:pt>
                <c:pt idx="211">
                  <c:v>925</c:v>
                </c:pt>
                <c:pt idx="212">
                  <c:v>1121</c:v>
                </c:pt>
                <c:pt idx="213">
                  <c:v>914</c:v>
                </c:pt>
                <c:pt idx="214">
                  <c:v>799</c:v>
                </c:pt>
                <c:pt idx="215">
                  <c:v>789</c:v>
                </c:pt>
                <c:pt idx="216">
                  <c:v>172</c:v>
                </c:pt>
                <c:pt idx="217">
                  <c:v>290</c:v>
                </c:pt>
                <c:pt idx="218">
                  <c:v>20</c:v>
                </c:pt>
                <c:pt idx="219">
                  <c:v>12230</c:v>
                </c:pt>
                <c:pt idx="220">
                  <c:v>5249</c:v>
                </c:pt>
                <c:pt idx="221">
                  <c:v>621</c:v>
                </c:pt>
                <c:pt idx="222">
                  <c:v>123</c:v>
                </c:pt>
                <c:pt idx="223">
                  <c:v>167</c:v>
                </c:pt>
                <c:pt idx="224">
                  <c:v>322</c:v>
                </c:pt>
                <c:pt idx="225">
                  <c:v>3698</c:v>
                </c:pt>
                <c:pt idx="226">
                  <c:v>9869</c:v>
                </c:pt>
                <c:pt idx="227">
                  <c:v>14381</c:v>
                </c:pt>
                <c:pt idx="228">
                  <c:v>3370</c:v>
                </c:pt>
                <c:pt idx="229">
                  <c:v>4566</c:v>
                </c:pt>
                <c:pt idx="230">
                  <c:v>2618</c:v>
                </c:pt>
                <c:pt idx="231">
                  <c:v>3145</c:v>
                </c:pt>
                <c:pt idx="232">
                  <c:v>4413</c:v>
                </c:pt>
                <c:pt idx="233">
                  <c:v>2803</c:v>
                </c:pt>
                <c:pt idx="234">
                  <c:v>63559</c:v>
                </c:pt>
                <c:pt idx="235">
                  <c:v>34781</c:v>
                </c:pt>
                <c:pt idx="236">
                  <c:v>7696</c:v>
                </c:pt>
                <c:pt idx="237">
                  <c:v>6170</c:v>
                </c:pt>
                <c:pt idx="238">
                  <c:v>2687</c:v>
                </c:pt>
                <c:pt idx="239">
                  <c:v>1648</c:v>
                </c:pt>
                <c:pt idx="240">
                  <c:v>940</c:v>
                </c:pt>
                <c:pt idx="241">
                  <c:v>2570</c:v>
                </c:pt>
                <c:pt idx="242">
                  <c:v>569</c:v>
                </c:pt>
                <c:pt idx="243">
                  <c:v>205</c:v>
                </c:pt>
                <c:pt idx="244">
                  <c:v>32066</c:v>
                </c:pt>
                <c:pt idx="245">
                  <c:v>2320</c:v>
                </c:pt>
                <c:pt idx="246">
                  <c:v>9666</c:v>
                </c:pt>
                <c:pt idx="247">
                  <c:v>2303</c:v>
                </c:pt>
                <c:pt idx="248">
                  <c:v>1457</c:v>
                </c:pt>
                <c:pt idx="249">
                  <c:v>2119</c:v>
                </c:pt>
                <c:pt idx="250">
                  <c:v>1978</c:v>
                </c:pt>
                <c:pt idx="251">
                  <c:v>5418</c:v>
                </c:pt>
                <c:pt idx="252">
                  <c:v>10360</c:v>
                </c:pt>
                <c:pt idx="253">
                  <c:v>5394</c:v>
                </c:pt>
                <c:pt idx="254">
                  <c:v>6452</c:v>
                </c:pt>
                <c:pt idx="255">
                  <c:v>3998</c:v>
                </c:pt>
                <c:pt idx="256">
                  <c:v>3232</c:v>
                </c:pt>
                <c:pt idx="257">
                  <c:v>2594</c:v>
                </c:pt>
                <c:pt idx="258">
                  <c:v>906</c:v>
                </c:pt>
                <c:pt idx="259">
                  <c:v>17233</c:v>
                </c:pt>
                <c:pt idx="260">
                  <c:v>62132</c:v>
                </c:pt>
                <c:pt idx="261">
                  <c:v>18715</c:v>
                </c:pt>
                <c:pt idx="262">
                  <c:v>9355</c:v>
                </c:pt>
                <c:pt idx="263">
                  <c:v>3469</c:v>
                </c:pt>
                <c:pt idx="264">
                  <c:v>1015</c:v>
                </c:pt>
                <c:pt idx="265">
                  <c:v>297</c:v>
                </c:pt>
                <c:pt idx="266">
                  <c:v>2675</c:v>
                </c:pt>
                <c:pt idx="267">
                  <c:v>509</c:v>
                </c:pt>
                <c:pt idx="268">
                  <c:v>222</c:v>
                </c:pt>
                <c:pt idx="269">
                  <c:v>12142</c:v>
                </c:pt>
                <c:pt idx="270">
                  <c:v>769</c:v>
                </c:pt>
                <c:pt idx="271">
                  <c:v>11080</c:v>
                </c:pt>
                <c:pt idx="272">
                  <c:v>3408</c:v>
                </c:pt>
                <c:pt idx="273">
                  <c:v>2547</c:v>
                </c:pt>
                <c:pt idx="274">
                  <c:v>2943</c:v>
                </c:pt>
                <c:pt idx="275">
                  <c:v>2140</c:v>
                </c:pt>
                <c:pt idx="276">
                  <c:v>2189</c:v>
                </c:pt>
                <c:pt idx="277">
                  <c:v>4124</c:v>
                </c:pt>
                <c:pt idx="278">
                  <c:v>3114</c:v>
                </c:pt>
                <c:pt idx="279">
                  <c:v>7837</c:v>
                </c:pt>
                <c:pt idx="280">
                  <c:v>4895</c:v>
                </c:pt>
                <c:pt idx="281">
                  <c:v>3186</c:v>
                </c:pt>
                <c:pt idx="282">
                  <c:v>2131</c:v>
                </c:pt>
                <c:pt idx="283">
                  <c:v>301</c:v>
                </c:pt>
                <c:pt idx="284">
                  <c:v>4226</c:v>
                </c:pt>
                <c:pt idx="285">
                  <c:v>19085</c:v>
                </c:pt>
                <c:pt idx="286">
                  <c:v>60972</c:v>
                </c:pt>
                <c:pt idx="287">
                  <c:v>26775</c:v>
                </c:pt>
                <c:pt idx="288">
                  <c:v>3997</c:v>
                </c:pt>
                <c:pt idx="289">
                  <c:v>802</c:v>
                </c:pt>
                <c:pt idx="290">
                  <c:v>213</c:v>
                </c:pt>
                <c:pt idx="291">
                  <c:v>2553</c:v>
                </c:pt>
                <c:pt idx="292">
                  <c:v>472</c:v>
                </c:pt>
                <c:pt idx="293">
                  <c:v>94</c:v>
                </c:pt>
                <c:pt idx="294">
                  <c:v>3932</c:v>
                </c:pt>
                <c:pt idx="295">
                  <c:v>283</c:v>
                </c:pt>
                <c:pt idx="296">
                  <c:v>3738</c:v>
                </c:pt>
                <c:pt idx="297">
                  <c:v>5844</c:v>
                </c:pt>
                <c:pt idx="298">
                  <c:v>8544</c:v>
                </c:pt>
                <c:pt idx="299">
                  <c:v>4949</c:v>
                </c:pt>
                <c:pt idx="300">
                  <c:v>4130</c:v>
                </c:pt>
                <c:pt idx="301">
                  <c:v>3851</c:v>
                </c:pt>
                <c:pt idx="302">
                  <c:v>3465</c:v>
                </c:pt>
                <c:pt idx="303">
                  <c:v>2422</c:v>
                </c:pt>
                <c:pt idx="304">
                  <c:v>6492</c:v>
                </c:pt>
                <c:pt idx="305">
                  <c:v>9654</c:v>
                </c:pt>
                <c:pt idx="306">
                  <c:v>6035</c:v>
                </c:pt>
                <c:pt idx="307">
                  <c:v>3684</c:v>
                </c:pt>
                <c:pt idx="308">
                  <c:v>610</c:v>
                </c:pt>
                <c:pt idx="309">
                  <c:v>3377</c:v>
                </c:pt>
                <c:pt idx="310">
                  <c:v>11048</c:v>
                </c:pt>
                <c:pt idx="311">
                  <c:v>25876</c:v>
                </c:pt>
                <c:pt idx="312">
                  <c:v>122139</c:v>
                </c:pt>
                <c:pt idx="313">
                  <c:v>12854</c:v>
                </c:pt>
                <c:pt idx="314">
                  <c:v>2667</c:v>
                </c:pt>
                <c:pt idx="315">
                  <c:v>176</c:v>
                </c:pt>
                <c:pt idx="316">
                  <c:v>5804</c:v>
                </c:pt>
                <c:pt idx="317">
                  <c:v>979</c:v>
                </c:pt>
                <c:pt idx="318">
                  <c:v>558</c:v>
                </c:pt>
                <c:pt idx="319">
                  <c:v>3712</c:v>
                </c:pt>
                <c:pt idx="320">
                  <c:v>561</c:v>
                </c:pt>
                <c:pt idx="321">
                  <c:v>2335</c:v>
                </c:pt>
                <c:pt idx="322">
                  <c:v>5211</c:v>
                </c:pt>
                <c:pt idx="323">
                  <c:v>27188</c:v>
                </c:pt>
                <c:pt idx="324">
                  <c:v>30180</c:v>
                </c:pt>
                <c:pt idx="325">
                  <c:v>1715</c:v>
                </c:pt>
                <c:pt idx="326">
                  <c:v>1795</c:v>
                </c:pt>
                <c:pt idx="327">
                  <c:v>1391</c:v>
                </c:pt>
                <c:pt idx="328">
                  <c:v>1241</c:v>
                </c:pt>
                <c:pt idx="329">
                  <c:v>1530</c:v>
                </c:pt>
                <c:pt idx="330">
                  <c:v>3870</c:v>
                </c:pt>
                <c:pt idx="331">
                  <c:v>14652</c:v>
                </c:pt>
                <c:pt idx="332">
                  <c:v>11725</c:v>
                </c:pt>
                <c:pt idx="333">
                  <c:v>304</c:v>
                </c:pt>
                <c:pt idx="334">
                  <c:v>942</c:v>
                </c:pt>
                <c:pt idx="335">
                  <c:v>1458</c:v>
                </c:pt>
                <c:pt idx="336">
                  <c:v>1707</c:v>
                </c:pt>
                <c:pt idx="337">
                  <c:v>9768</c:v>
                </c:pt>
                <c:pt idx="338">
                  <c:v>48918</c:v>
                </c:pt>
                <c:pt idx="339">
                  <c:v>7907</c:v>
                </c:pt>
                <c:pt idx="340">
                  <c:v>87</c:v>
                </c:pt>
                <c:pt idx="341">
                  <c:v>2253</c:v>
                </c:pt>
                <c:pt idx="342">
                  <c:v>2178</c:v>
                </c:pt>
                <c:pt idx="343">
                  <c:v>793</c:v>
                </c:pt>
                <c:pt idx="344">
                  <c:v>879</c:v>
                </c:pt>
                <c:pt idx="345">
                  <c:v>198</c:v>
                </c:pt>
                <c:pt idx="346">
                  <c:v>424</c:v>
                </c:pt>
                <c:pt idx="347">
                  <c:v>189</c:v>
                </c:pt>
                <c:pt idx="348">
                  <c:v>1568</c:v>
                </c:pt>
                <c:pt idx="349">
                  <c:v>21024</c:v>
                </c:pt>
                <c:pt idx="350">
                  <c:v>598</c:v>
                </c:pt>
                <c:pt idx="351">
                  <c:v>665</c:v>
                </c:pt>
                <c:pt idx="352">
                  <c:v>913</c:v>
                </c:pt>
                <c:pt idx="353">
                  <c:v>676</c:v>
                </c:pt>
                <c:pt idx="354">
                  <c:v>965</c:v>
                </c:pt>
                <c:pt idx="355">
                  <c:v>625</c:v>
                </c:pt>
                <c:pt idx="356">
                  <c:v>2357</c:v>
                </c:pt>
                <c:pt idx="357">
                  <c:v>9846</c:v>
                </c:pt>
                <c:pt idx="358">
                  <c:v>155</c:v>
                </c:pt>
                <c:pt idx="359">
                  <c:v>593</c:v>
                </c:pt>
                <c:pt idx="360">
                  <c:v>629</c:v>
                </c:pt>
                <c:pt idx="361">
                  <c:v>164</c:v>
                </c:pt>
                <c:pt idx="362">
                  <c:v>726</c:v>
                </c:pt>
                <c:pt idx="363">
                  <c:v>7026</c:v>
                </c:pt>
                <c:pt idx="364">
                  <c:v>33223</c:v>
                </c:pt>
                <c:pt idx="365">
                  <c:v>32</c:v>
                </c:pt>
                <c:pt idx="366">
                  <c:v>2834</c:v>
                </c:pt>
                <c:pt idx="367">
                  <c:v>8225</c:v>
                </c:pt>
                <c:pt idx="368">
                  <c:v>2593</c:v>
                </c:pt>
                <c:pt idx="369">
                  <c:v>441</c:v>
                </c:pt>
                <c:pt idx="370">
                  <c:v>60</c:v>
                </c:pt>
                <c:pt idx="371">
                  <c:v>84</c:v>
                </c:pt>
                <c:pt idx="372">
                  <c:v>79</c:v>
                </c:pt>
                <c:pt idx="373">
                  <c:v>332</c:v>
                </c:pt>
                <c:pt idx="374">
                  <c:v>5816</c:v>
                </c:pt>
                <c:pt idx="375">
                  <c:v>25</c:v>
                </c:pt>
                <c:pt idx="376">
                  <c:v>94</c:v>
                </c:pt>
                <c:pt idx="377">
                  <c:v>115</c:v>
                </c:pt>
                <c:pt idx="378">
                  <c:v>40</c:v>
                </c:pt>
                <c:pt idx="379">
                  <c:v>14</c:v>
                </c:pt>
                <c:pt idx="380">
                  <c:v>90</c:v>
                </c:pt>
                <c:pt idx="381">
                  <c:v>39</c:v>
                </c:pt>
                <c:pt idx="382">
                  <c:v>45</c:v>
                </c:pt>
                <c:pt idx="383">
                  <c:v>90</c:v>
                </c:pt>
                <c:pt idx="384">
                  <c:v>225</c:v>
                </c:pt>
                <c:pt idx="385">
                  <c:v>40</c:v>
                </c:pt>
                <c:pt idx="386">
                  <c:v>20</c:v>
                </c:pt>
                <c:pt idx="387">
                  <c:v>55</c:v>
                </c:pt>
                <c:pt idx="388">
                  <c:v>0</c:v>
                </c:pt>
                <c:pt idx="389">
                  <c:v>0</c:v>
                </c:pt>
                <c:pt idx="390">
                  <c:v>146809</c:v>
                </c:pt>
                <c:pt idx="391">
                  <c:v>562</c:v>
                </c:pt>
                <c:pt idx="392">
                  <c:v>0</c:v>
                </c:pt>
                <c:pt idx="393">
                  <c:v>0</c:v>
                </c:pt>
                <c:pt idx="394">
                  <c:v>4085</c:v>
                </c:pt>
                <c:pt idx="395">
                  <c:v>2576</c:v>
                </c:pt>
                <c:pt idx="396">
                  <c:v>60</c:v>
                </c:pt>
                <c:pt idx="397">
                  <c:v>0</c:v>
                </c:pt>
                <c:pt idx="398">
                  <c:v>20</c:v>
                </c:pt>
                <c:pt idx="399">
                  <c:v>15</c:v>
                </c:pt>
                <c:pt idx="400">
                  <c:v>333</c:v>
                </c:pt>
                <c:pt idx="401">
                  <c:v>200</c:v>
                </c:pt>
                <c:pt idx="402">
                  <c:v>253</c:v>
                </c:pt>
                <c:pt idx="403">
                  <c:v>100</c:v>
                </c:pt>
                <c:pt idx="404">
                  <c:v>237</c:v>
                </c:pt>
                <c:pt idx="405">
                  <c:v>104</c:v>
                </c:pt>
                <c:pt idx="406">
                  <c:v>335</c:v>
                </c:pt>
                <c:pt idx="407">
                  <c:v>261</c:v>
                </c:pt>
                <c:pt idx="408">
                  <c:v>10</c:v>
                </c:pt>
                <c:pt idx="409">
                  <c:v>220</c:v>
                </c:pt>
                <c:pt idx="410">
                  <c:v>379</c:v>
                </c:pt>
                <c:pt idx="411">
                  <c:v>442</c:v>
                </c:pt>
                <c:pt idx="412">
                  <c:v>1112</c:v>
                </c:pt>
                <c:pt idx="413">
                  <c:v>535</c:v>
                </c:pt>
                <c:pt idx="414">
                  <c:v>798</c:v>
                </c:pt>
                <c:pt idx="415">
                  <c:v>468</c:v>
                </c:pt>
                <c:pt idx="416">
                  <c:v>251516</c:v>
                </c:pt>
                <c:pt idx="417">
                  <c:v>164</c:v>
                </c:pt>
                <c:pt idx="418">
                  <c:v>235</c:v>
                </c:pt>
                <c:pt idx="419">
                  <c:v>1779</c:v>
                </c:pt>
                <c:pt idx="420">
                  <c:v>80</c:v>
                </c:pt>
                <c:pt idx="421">
                  <c:v>884</c:v>
                </c:pt>
                <c:pt idx="422">
                  <c:v>1191</c:v>
                </c:pt>
                <c:pt idx="423">
                  <c:v>2609</c:v>
                </c:pt>
                <c:pt idx="424">
                  <c:v>4852</c:v>
                </c:pt>
                <c:pt idx="425">
                  <c:v>847</c:v>
                </c:pt>
                <c:pt idx="426">
                  <c:v>322</c:v>
                </c:pt>
                <c:pt idx="427">
                  <c:v>158</c:v>
                </c:pt>
                <c:pt idx="428">
                  <c:v>85</c:v>
                </c:pt>
                <c:pt idx="429">
                  <c:v>100</c:v>
                </c:pt>
                <c:pt idx="430">
                  <c:v>309</c:v>
                </c:pt>
                <c:pt idx="431">
                  <c:v>742</c:v>
                </c:pt>
                <c:pt idx="432">
                  <c:v>3840</c:v>
                </c:pt>
                <c:pt idx="433">
                  <c:v>35</c:v>
                </c:pt>
                <c:pt idx="434">
                  <c:v>40</c:v>
                </c:pt>
                <c:pt idx="435">
                  <c:v>135</c:v>
                </c:pt>
                <c:pt idx="436">
                  <c:v>58</c:v>
                </c:pt>
                <c:pt idx="437">
                  <c:v>278</c:v>
                </c:pt>
                <c:pt idx="438">
                  <c:v>1309</c:v>
                </c:pt>
                <c:pt idx="439">
                  <c:v>4680</c:v>
                </c:pt>
                <c:pt idx="440">
                  <c:v>14</c:v>
                </c:pt>
                <c:pt idx="441">
                  <c:v>444</c:v>
                </c:pt>
                <c:pt idx="442">
                  <c:v>108004</c:v>
                </c:pt>
                <c:pt idx="443">
                  <c:v>38708</c:v>
                </c:pt>
                <c:pt idx="444">
                  <c:v>130</c:v>
                </c:pt>
                <c:pt idx="445">
                  <c:v>10</c:v>
                </c:pt>
                <c:pt idx="446">
                  <c:v>10</c:v>
                </c:pt>
                <c:pt idx="447">
                  <c:v>30</c:v>
                </c:pt>
                <c:pt idx="448">
                  <c:v>50</c:v>
                </c:pt>
                <c:pt idx="449">
                  <c:v>1101</c:v>
                </c:pt>
                <c:pt idx="450">
                  <c:v>94</c:v>
                </c:pt>
                <c:pt idx="451">
                  <c:v>84</c:v>
                </c:pt>
                <c:pt idx="452">
                  <c:v>80</c:v>
                </c:pt>
                <c:pt idx="453">
                  <c:v>0</c:v>
                </c:pt>
                <c:pt idx="454">
                  <c:v>35</c:v>
                </c:pt>
                <c:pt idx="455">
                  <c:v>40</c:v>
                </c:pt>
                <c:pt idx="456">
                  <c:v>140</c:v>
                </c:pt>
                <c:pt idx="457">
                  <c:v>468</c:v>
                </c:pt>
                <c:pt idx="458">
                  <c:v>0</c:v>
                </c:pt>
                <c:pt idx="459">
                  <c:v>40</c:v>
                </c:pt>
                <c:pt idx="460">
                  <c:v>15</c:v>
                </c:pt>
                <c:pt idx="461">
                  <c:v>54</c:v>
                </c:pt>
                <c:pt idx="462">
                  <c:v>25</c:v>
                </c:pt>
                <c:pt idx="463">
                  <c:v>120</c:v>
                </c:pt>
                <c:pt idx="464">
                  <c:v>568</c:v>
                </c:pt>
                <c:pt idx="465">
                  <c:v>30</c:v>
                </c:pt>
                <c:pt idx="466">
                  <c:v>77</c:v>
                </c:pt>
                <c:pt idx="467">
                  <c:v>17226</c:v>
                </c:pt>
                <c:pt idx="468">
                  <c:v>92947</c:v>
                </c:pt>
                <c:pt idx="469">
                  <c:v>35</c:v>
                </c:pt>
                <c:pt idx="470">
                  <c:v>0</c:v>
                </c:pt>
                <c:pt idx="471">
                  <c:v>0</c:v>
                </c:pt>
                <c:pt idx="472">
                  <c:v>0</c:v>
                </c:pt>
                <c:pt idx="473">
                  <c:v>15</c:v>
                </c:pt>
                <c:pt idx="474">
                  <c:v>175</c:v>
                </c:pt>
                <c:pt idx="475">
                  <c:v>2271</c:v>
                </c:pt>
                <c:pt idx="476">
                  <c:v>6530</c:v>
                </c:pt>
                <c:pt idx="477">
                  <c:v>4983</c:v>
                </c:pt>
                <c:pt idx="478">
                  <c:v>1665</c:v>
                </c:pt>
                <c:pt idx="479">
                  <c:v>1401</c:v>
                </c:pt>
                <c:pt idx="480">
                  <c:v>822</c:v>
                </c:pt>
                <c:pt idx="481">
                  <c:v>1069</c:v>
                </c:pt>
                <c:pt idx="482">
                  <c:v>1114</c:v>
                </c:pt>
                <c:pt idx="483">
                  <c:v>2738</c:v>
                </c:pt>
                <c:pt idx="484">
                  <c:v>18242</c:v>
                </c:pt>
                <c:pt idx="485">
                  <c:v>7005</c:v>
                </c:pt>
                <c:pt idx="486">
                  <c:v>2682</c:v>
                </c:pt>
                <c:pt idx="487">
                  <c:v>2218</c:v>
                </c:pt>
                <c:pt idx="488">
                  <c:v>692</c:v>
                </c:pt>
                <c:pt idx="489">
                  <c:v>273</c:v>
                </c:pt>
                <c:pt idx="490">
                  <c:v>16781</c:v>
                </c:pt>
                <c:pt idx="491">
                  <c:v>5697</c:v>
                </c:pt>
                <c:pt idx="492">
                  <c:v>219</c:v>
                </c:pt>
                <c:pt idx="493">
                  <c:v>79</c:v>
                </c:pt>
                <c:pt idx="494">
                  <c:v>200728</c:v>
                </c:pt>
                <c:pt idx="495">
                  <c:v>28506</c:v>
                </c:pt>
                <c:pt idx="496">
                  <c:v>8376</c:v>
                </c:pt>
                <c:pt idx="497">
                  <c:v>950</c:v>
                </c:pt>
                <c:pt idx="498">
                  <c:v>1079</c:v>
                </c:pt>
                <c:pt idx="499">
                  <c:v>576</c:v>
                </c:pt>
                <c:pt idx="500">
                  <c:v>1547</c:v>
                </c:pt>
                <c:pt idx="501">
                  <c:v>5588</c:v>
                </c:pt>
                <c:pt idx="502">
                  <c:v>2827</c:v>
                </c:pt>
                <c:pt idx="503">
                  <c:v>699</c:v>
                </c:pt>
                <c:pt idx="504">
                  <c:v>619</c:v>
                </c:pt>
                <c:pt idx="505">
                  <c:v>337</c:v>
                </c:pt>
                <c:pt idx="506">
                  <c:v>379</c:v>
                </c:pt>
                <c:pt idx="507">
                  <c:v>642</c:v>
                </c:pt>
                <c:pt idx="508">
                  <c:v>2387</c:v>
                </c:pt>
                <c:pt idx="509">
                  <c:v>4936</c:v>
                </c:pt>
                <c:pt idx="510">
                  <c:v>1288</c:v>
                </c:pt>
                <c:pt idx="511">
                  <c:v>805</c:v>
                </c:pt>
                <c:pt idx="512">
                  <c:v>563</c:v>
                </c:pt>
                <c:pt idx="513">
                  <c:v>254</c:v>
                </c:pt>
                <c:pt idx="514">
                  <c:v>123</c:v>
                </c:pt>
                <c:pt idx="515">
                  <c:v>6858</c:v>
                </c:pt>
                <c:pt idx="516">
                  <c:v>195</c:v>
                </c:pt>
                <c:pt idx="517">
                  <c:v>134</c:v>
                </c:pt>
                <c:pt idx="518">
                  <c:v>25</c:v>
                </c:pt>
                <c:pt idx="519">
                  <c:v>29703</c:v>
                </c:pt>
                <c:pt idx="520">
                  <c:v>47244</c:v>
                </c:pt>
                <c:pt idx="521">
                  <c:v>325</c:v>
                </c:pt>
                <c:pt idx="522">
                  <c:v>59</c:v>
                </c:pt>
                <c:pt idx="523">
                  <c:v>228</c:v>
                </c:pt>
                <c:pt idx="524">
                  <c:v>205</c:v>
                </c:pt>
                <c:pt idx="525">
                  <c:v>159</c:v>
                </c:pt>
                <c:pt idx="526">
                  <c:v>203</c:v>
                </c:pt>
                <c:pt idx="527">
                  <c:v>582</c:v>
                </c:pt>
                <c:pt idx="528">
                  <c:v>333</c:v>
                </c:pt>
                <c:pt idx="529">
                  <c:v>233</c:v>
                </c:pt>
                <c:pt idx="530">
                  <c:v>232</c:v>
                </c:pt>
                <c:pt idx="531">
                  <c:v>262</c:v>
                </c:pt>
                <c:pt idx="532">
                  <c:v>243</c:v>
                </c:pt>
                <c:pt idx="533">
                  <c:v>60</c:v>
                </c:pt>
                <c:pt idx="534">
                  <c:v>2132</c:v>
                </c:pt>
                <c:pt idx="535">
                  <c:v>7250</c:v>
                </c:pt>
                <c:pt idx="536">
                  <c:v>2179</c:v>
                </c:pt>
                <c:pt idx="537">
                  <c:v>1819</c:v>
                </c:pt>
                <c:pt idx="538">
                  <c:v>265</c:v>
                </c:pt>
                <c:pt idx="539">
                  <c:v>90</c:v>
                </c:pt>
                <c:pt idx="540">
                  <c:v>160</c:v>
                </c:pt>
                <c:pt idx="541">
                  <c:v>4558</c:v>
                </c:pt>
                <c:pt idx="542">
                  <c:v>90</c:v>
                </c:pt>
                <c:pt idx="543">
                  <c:v>22</c:v>
                </c:pt>
                <c:pt idx="544">
                  <c:v>9270</c:v>
                </c:pt>
                <c:pt idx="545">
                  <c:v>95</c:v>
                </c:pt>
                <c:pt idx="546">
                  <c:v>33466</c:v>
                </c:pt>
                <c:pt idx="547">
                  <c:v>4318</c:v>
                </c:pt>
                <c:pt idx="548">
                  <c:v>3047</c:v>
                </c:pt>
                <c:pt idx="549">
                  <c:v>403</c:v>
                </c:pt>
                <c:pt idx="550">
                  <c:v>209</c:v>
                </c:pt>
                <c:pt idx="551">
                  <c:v>219</c:v>
                </c:pt>
                <c:pt idx="552">
                  <c:v>183</c:v>
                </c:pt>
                <c:pt idx="553">
                  <c:v>145</c:v>
                </c:pt>
                <c:pt idx="554">
                  <c:v>331</c:v>
                </c:pt>
                <c:pt idx="555">
                  <c:v>293</c:v>
                </c:pt>
                <c:pt idx="556">
                  <c:v>196</c:v>
                </c:pt>
                <c:pt idx="557">
                  <c:v>270</c:v>
                </c:pt>
                <c:pt idx="558">
                  <c:v>85</c:v>
                </c:pt>
                <c:pt idx="559">
                  <c:v>414</c:v>
                </c:pt>
                <c:pt idx="560">
                  <c:v>2700</c:v>
                </c:pt>
                <c:pt idx="561">
                  <c:v>3974</c:v>
                </c:pt>
                <c:pt idx="562">
                  <c:v>2798</c:v>
                </c:pt>
                <c:pt idx="563">
                  <c:v>200</c:v>
                </c:pt>
                <c:pt idx="564">
                  <c:v>20</c:v>
                </c:pt>
                <c:pt idx="565">
                  <c:v>61</c:v>
                </c:pt>
                <c:pt idx="566">
                  <c:v>4790</c:v>
                </c:pt>
                <c:pt idx="567">
                  <c:v>60</c:v>
                </c:pt>
                <c:pt idx="568">
                  <c:v>4</c:v>
                </c:pt>
                <c:pt idx="569">
                  <c:v>1539</c:v>
                </c:pt>
                <c:pt idx="570">
                  <c:v>10</c:v>
                </c:pt>
                <c:pt idx="571">
                  <c:v>6134</c:v>
                </c:pt>
                <c:pt idx="572">
                  <c:v>21259</c:v>
                </c:pt>
                <c:pt idx="573">
                  <c:v>12856</c:v>
                </c:pt>
                <c:pt idx="574">
                  <c:v>647</c:v>
                </c:pt>
                <c:pt idx="575">
                  <c:v>329</c:v>
                </c:pt>
                <c:pt idx="576">
                  <c:v>364</c:v>
                </c:pt>
                <c:pt idx="577">
                  <c:v>210</c:v>
                </c:pt>
                <c:pt idx="578">
                  <c:v>234</c:v>
                </c:pt>
                <c:pt idx="579">
                  <c:v>492</c:v>
                </c:pt>
                <c:pt idx="580">
                  <c:v>505</c:v>
                </c:pt>
                <c:pt idx="581">
                  <c:v>576</c:v>
                </c:pt>
                <c:pt idx="582">
                  <c:v>315</c:v>
                </c:pt>
                <c:pt idx="583">
                  <c:v>35</c:v>
                </c:pt>
                <c:pt idx="584">
                  <c:v>357</c:v>
                </c:pt>
                <c:pt idx="585">
                  <c:v>1124</c:v>
                </c:pt>
                <c:pt idx="586">
                  <c:v>1864</c:v>
                </c:pt>
                <c:pt idx="587">
                  <c:v>7187</c:v>
                </c:pt>
                <c:pt idx="588">
                  <c:v>480</c:v>
                </c:pt>
                <c:pt idx="589">
                  <c:v>184</c:v>
                </c:pt>
                <c:pt idx="590">
                  <c:v>47</c:v>
                </c:pt>
                <c:pt idx="591">
                  <c:v>8712</c:v>
                </c:pt>
                <c:pt idx="592">
                  <c:v>69</c:v>
                </c:pt>
                <c:pt idx="593">
                  <c:v>23</c:v>
                </c:pt>
                <c:pt idx="594">
                  <c:v>567</c:v>
                </c:pt>
                <c:pt idx="595">
                  <c:v>34</c:v>
                </c:pt>
                <c:pt idx="596">
                  <c:v>2382</c:v>
                </c:pt>
                <c:pt idx="597">
                  <c:v>4567</c:v>
                </c:pt>
                <c:pt idx="598">
                  <c:v>54070</c:v>
                </c:pt>
                <c:pt idx="599">
                  <c:v>3127</c:v>
                </c:pt>
                <c:pt idx="600">
                  <c:v>906</c:v>
                </c:pt>
                <c:pt idx="601">
                  <c:v>432</c:v>
                </c:pt>
                <c:pt idx="602">
                  <c:v>487</c:v>
                </c:pt>
                <c:pt idx="603">
                  <c:v>269</c:v>
                </c:pt>
                <c:pt idx="604">
                  <c:v>516</c:v>
                </c:pt>
                <c:pt idx="605">
                  <c:v>1241</c:v>
                </c:pt>
                <c:pt idx="606">
                  <c:v>2682</c:v>
                </c:pt>
                <c:pt idx="607">
                  <c:v>2884</c:v>
                </c:pt>
                <c:pt idx="608">
                  <c:v>25</c:v>
                </c:pt>
                <c:pt idx="609">
                  <c:v>154</c:v>
                </c:pt>
                <c:pt idx="610">
                  <c:v>706</c:v>
                </c:pt>
                <c:pt idx="611">
                  <c:v>669</c:v>
                </c:pt>
                <c:pt idx="612">
                  <c:v>7955</c:v>
                </c:pt>
                <c:pt idx="613">
                  <c:v>10259</c:v>
                </c:pt>
                <c:pt idx="614">
                  <c:v>5751</c:v>
                </c:pt>
                <c:pt idx="615">
                  <c:v>89</c:v>
                </c:pt>
                <c:pt idx="616">
                  <c:v>10710</c:v>
                </c:pt>
                <c:pt idx="617">
                  <c:v>1682</c:v>
                </c:pt>
                <c:pt idx="618">
                  <c:v>678</c:v>
                </c:pt>
                <c:pt idx="619">
                  <c:v>271</c:v>
                </c:pt>
                <c:pt idx="620">
                  <c:v>119</c:v>
                </c:pt>
                <c:pt idx="621">
                  <c:v>155</c:v>
                </c:pt>
                <c:pt idx="622">
                  <c:v>262</c:v>
                </c:pt>
                <c:pt idx="623">
                  <c:v>3499</c:v>
                </c:pt>
                <c:pt idx="624">
                  <c:v>86453</c:v>
                </c:pt>
              </c:numCache>
            </c:numRef>
          </c:xVal>
          <c:yVal>
            <c:numRef>
              <c:f>Sector_Scatter!$E$4:$E$628</c:f>
              <c:numCache>
                <c:formatCode>General</c:formatCode>
                <c:ptCount val="625"/>
                <c:pt idx="0">
                  <c:v>174645</c:v>
                </c:pt>
                <c:pt idx="1">
                  <c:v>125675</c:v>
                </c:pt>
                <c:pt idx="2">
                  <c:v>54580</c:v>
                </c:pt>
                <c:pt idx="3">
                  <c:v>25445</c:v>
                </c:pt>
                <c:pt idx="4">
                  <c:v>32865</c:v>
                </c:pt>
                <c:pt idx="5">
                  <c:v>31780</c:v>
                </c:pt>
                <c:pt idx="6">
                  <c:v>45605</c:v>
                </c:pt>
                <c:pt idx="7">
                  <c:v>102185</c:v>
                </c:pt>
                <c:pt idx="8">
                  <c:v>4645</c:v>
                </c:pt>
                <c:pt idx="9">
                  <c:v>3085</c:v>
                </c:pt>
                <c:pt idx="10">
                  <c:v>4810</c:v>
                </c:pt>
                <c:pt idx="11">
                  <c:v>8160</c:v>
                </c:pt>
                <c:pt idx="12">
                  <c:v>13885</c:v>
                </c:pt>
                <c:pt idx="13">
                  <c:v>12755</c:v>
                </c:pt>
                <c:pt idx="14">
                  <c:v>11305</c:v>
                </c:pt>
                <c:pt idx="15">
                  <c:v>150</c:v>
                </c:pt>
                <c:pt idx="16">
                  <c:v>300</c:v>
                </c:pt>
                <c:pt idx="17">
                  <c:v>9265</c:v>
                </c:pt>
                <c:pt idx="18">
                  <c:v>875</c:v>
                </c:pt>
                <c:pt idx="19">
                  <c:v>2945</c:v>
                </c:pt>
                <c:pt idx="20">
                  <c:v>2830</c:v>
                </c:pt>
                <c:pt idx="21">
                  <c:v>645</c:v>
                </c:pt>
                <c:pt idx="22">
                  <c:v>1015</c:v>
                </c:pt>
                <c:pt idx="23">
                  <c:v>1635</c:v>
                </c:pt>
                <c:pt idx="24">
                  <c:v>6070</c:v>
                </c:pt>
                <c:pt idx="25">
                  <c:v>6245</c:v>
                </c:pt>
                <c:pt idx="26">
                  <c:v>181190</c:v>
                </c:pt>
                <c:pt idx="27">
                  <c:v>27180</c:v>
                </c:pt>
                <c:pt idx="28">
                  <c:v>6355</c:v>
                </c:pt>
                <c:pt idx="29">
                  <c:v>2185</c:v>
                </c:pt>
                <c:pt idx="30">
                  <c:v>960</c:v>
                </c:pt>
                <c:pt idx="31">
                  <c:v>1370</c:v>
                </c:pt>
                <c:pt idx="32">
                  <c:v>2485</c:v>
                </c:pt>
                <c:pt idx="33">
                  <c:v>9700</c:v>
                </c:pt>
                <c:pt idx="34">
                  <c:v>3895</c:v>
                </c:pt>
                <c:pt idx="35">
                  <c:v>1855</c:v>
                </c:pt>
                <c:pt idx="36">
                  <c:v>390</c:v>
                </c:pt>
                <c:pt idx="37">
                  <c:v>200</c:v>
                </c:pt>
                <c:pt idx="38">
                  <c:v>205</c:v>
                </c:pt>
                <c:pt idx="39">
                  <c:v>275</c:v>
                </c:pt>
                <c:pt idx="40">
                  <c:v>215</c:v>
                </c:pt>
                <c:pt idx="41">
                  <c:v>10</c:v>
                </c:pt>
                <c:pt idx="42">
                  <c:v>185</c:v>
                </c:pt>
                <c:pt idx="43">
                  <c:v>15</c:v>
                </c:pt>
                <c:pt idx="44">
                  <c:v>2875</c:v>
                </c:pt>
                <c:pt idx="45">
                  <c:v>2480</c:v>
                </c:pt>
                <c:pt idx="46">
                  <c:v>345</c:v>
                </c:pt>
                <c:pt idx="47">
                  <c:v>45</c:v>
                </c:pt>
                <c:pt idx="48">
                  <c:v>15</c:v>
                </c:pt>
                <c:pt idx="49">
                  <c:v>85</c:v>
                </c:pt>
                <c:pt idx="50">
                  <c:v>4005</c:v>
                </c:pt>
                <c:pt idx="51">
                  <c:v>35385</c:v>
                </c:pt>
                <c:pt idx="52">
                  <c:v>97690</c:v>
                </c:pt>
                <c:pt idx="53">
                  <c:v>22140</c:v>
                </c:pt>
                <c:pt idx="54">
                  <c:v>12165</c:v>
                </c:pt>
                <c:pt idx="55">
                  <c:v>4335</c:v>
                </c:pt>
                <c:pt idx="56">
                  <c:v>2205</c:v>
                </c:pt>
                <c:pt idx="57">
                  <c:v>4830</c:v>
                </c:pt>
                <c:pt idx="58">
                  <c:v>6255</c:v>
                </c:pt>
                <c:pt idx="59">
                  <c:v>20400</c:v>
                </c:pt>
                <c:pt idx="60">
                  <c:v>14160</c:v>
                </c:pt>
                <c:pt idx="61">
                  <c:v>5140</c:v>
                </c:pt>
                <c:pt idx="62">
                  <c:v>3345</c:v>
                </c:pt>
                <c:pt idx="63">
                  <c:v>930</c:v>
                </c:pt>
                <c:pt idx="64">
                  <c:v>285</c:v>
                </c:pt>
                <c:pt idx="65">
                  <c:v>255</c:v>
                </c:pt>
                <c:pt idx="66">
                  <c:v>90</c:v>
                </c:pt>
                <c:pt idx="67">
                  <c:v>330</c:v>
                </c:pt>
                <c:pt idx="68">
                  <c:v>5</c:v>
                </c:pt>
                <c:pt idx="69">
                  <c:v>11100</c:v>
                </c:pt>
                <c:pt idx="70">
                  <c:v>1890</c:v>
                </c:pt>
                <c:pt idx="71">
                  <c:v>2965</c:v>
                </c:pt>
                <c:pt idx="72">
                  <c:v>715</c:v>
                </c:pt>
                <c:pt idx="73">
                  <c:v>410</c:v>
                </c:pt>
                <c:pt idx="74">
                  <c:v>720</c:v>
                </c:pt>
                <c:pt idx="75">
                  <c:v>2045</c:v>
                </c:pt>
                <c:pt idx="76">
                  <c:v>5235</c:v>
                </c:pt>
                <c:pt idx="77">
                  <c:v>13605</c:v>
                </c:pt>
                <c:pt idx="78">
                  <c:v>29120</c:v>
                </c:pt>
                <c:pt idx="79">
                  <c:v>9470</c:v>
                </c:pt>
                <c:pt idx="80">
                  <c:v>3315</c:v>
                </c:pt>
                <c:pt idx="81">
                  <c:v>1700</c:v>
                </c:pt>
                <c:pt idx="82">
                  <c:v>935</c:v>
                </c:pt>
                <c:pt idx="83">
                  <c:v>350</c:v>
                </c:pt>
                <c:pt idx="84">
                  <c:v>1205</c:v>
                </c:pt>
                <c:pt idx="85">
                  <c:v>3205</c:v>
                </c:pt>
                <c:pt idx="86">
                  <c:v>2690</c:v>
                </c:pt>
                <c:pt idx="87">
                  <c:v>1510</c:v>
                </c:pt>
                <c:pt idx="88">
                  <c:v>940</c:v>
                </c:pt>
                <c:pt idx="89">
                  <c:v>45</c:v>
                </c:pt>
                <c:pt idx="90">
                  <c:v>10</c:v>
                </c:pt>
                <c:pt idx="91">
                  <c:v>35</c:v>
                </c:pt>
                <c:pt idx="92">
                  <c:v>100</c:v>
                </c:pt>
                <c:pt idx="93">
                  <c:v>0</c:v>
                </c:pt>
                <c:pt idx="94">
                  <c:v>465</c:v>
                </c:pt>
                <c:pt idx="95">
                  <c:v>110</c:v>
                </c:pt>
                <c:pt idx="96">
                  <c:v>300</c:v>
                </c:pt>
                <c:pt idx="97">
                  <c:v>275</c:v>
                </c:pt>
                <c:pt idx="98">
                  <c:v>225</c:v>
                </c:pt>
                <c:pt idx="99">
                  <c:v>400</c:v>
                </c:pt>
                <c:pt idx="100">
                  <c:v>2030</c:v>
                </c:pt>
                <c:pt idx="101">
                  <c:v>3350</c:v>
                </c:pt>
                <c:pt idx="102">
                  <c:v>7695</c:v>
                </c:pt>
                <c:pt idx="103">
                  <c:v>13260</c:v>
                </c:pt>
                <c:pt idx="104">
                  <c:v>47815</c:v>
                </c:pt>
                <c:pt idx="105">
                  <c:v>15490</c:v>
                </c:pt>
                <c:pt idx="106">
                  <c:v>6625</c:v>
                </c:pt>
                <c:pt idx="107">
                  <c:v>2765</c:v>
                </c:pt>
                <c:pt idx="108">
                  <c:v>220</c:v>
                </c:pt>
                <c:pt idx="109">
                  <c:v>1235</c:v>
                </c:pt>
                <c:pt idx="110">
                  <c:v>3135</c:v>
                </c:pt>
                <c:pt idx="111">
                  <c:v>6350</c:v>
                </c:pt>
                <c:pt idx="112">
                  <c:v>5695</c:v>
                </c:pt>
                <c:pt idx="113">
                  <c:v>4580</c:v>
                </c:pt>
                <c:pt idx="114">
                  <c:v>225</c:v>
                </c:pt>
                <c:pt idx="115">
                  <c:v>0</c:v>
                </c:pt>
                <c:pt idx="116">
                  <c:v>115</c:v>
                </c:pt>
                <c:pt idx="117">
                  <c:v>205</c:v>
                </c:pt>
                <c:pt idx="118">
                  <c:v>10</c:v>
                </c:pt>
                <c:pt idx="119">
                  <c:v>475</c:v>
                </c:pt>
                <c:pt idx="120">
                  <c:v>45</c:v>
                </c:pt>
                <c:pt idx="121">
                  <c:v>500</c:v>
                </c:pt>
                <c:pt idx="122">
                  <c:v>480</c:v>
                </c:pt>
                <c:pt idx="123">
                  <c:v>845</c:v>
                </c:pt>
                <c:pt idx="124">
                  <c:v>2405</c:v>
                </c:pt>
                <c:pt idx="125">
                  <c:v>2830</c:v>
                </c:pt>
                <c:pt idx="126">
                  <c:v>1425</c:v>
                </c:pt>
                <c:pt idx="127">
                  <c:v>2085</c:v>
                </c:pt>
                <c:pt idx="128">
                  <c:v>3400</c:v>
                </c:pt>
                <c:pt idx="129">
                  <c:v>10215</c:v>
                </c:pt>
                <c:pt idx="130">
                  <c:v>44815</c:v>
                </c:pt>
                <c:pt idx="131">
                  <c:v>13795</c:v>
                </c:pt>
                <c:pt idx="132">
                  <c:v>4750</c:v>
                </c:pt>
                <c:pt idx="133">
                  <c:v>40</c:v>
                </c:pt>
                <c:pt idx="134">
                  <c:v>225</c:v>
                </c:pt>
                <c:pt idx="135">
                  <c:v>935</c:v>
                </c:pt>
                <c:pt idx="136">
                  <c:v>2305</c:v>
                </c:pt>
                <c:pt idx="137">
                  <c:v>8715</c:v>
                </c:pt>
                <c:pt idx="138">
                  <c:v>8875</c:v>
                </c:pt>
                <c:pt idx="139">
                  <c:v>480</c:v>
                </c:pt>
                <c:pt idx="140">
                  <c:v>0</c:v>
                </c:pt>
                <c:pt idx="141">
                  <c:v>100</c:v>
                </c:pt>
                <c:pt idx="142">
                  <c:v>290</c:v>
                </c:pt>
                <c:pt idx="143">
                  <c:v>5</c:v>
                </c:pt>
                <c:pt idx="144">
                  <c:v>95</c:v>
                </c:pt>
                <c:pt idx="145">
                  <c:v>15</c:v>
                </c:pt>
                <c:pt idx="146">
                  <c:v>70</c:v>
                </c:pt>
                <c:pt idx="147">
                  <c:v>100</c:v>
                </c:pt>
                <c:pt idx="148">
                  <c:v>765</c:v>
                </c:pt>
                <c:pt idx="149">
                  <c:v>4675</c:v>
                </c:pt>
                <c:pt idx="150">
                  <c:v>3290</c:v>
                </c:pt>
                <c:pt idx="151">
                  <c:v>1240</c:v>
                </c:pt>
                <c:pt idx="152">
                  <c:v>855</c:v>
                </c:pt>
                <c:pt idx="153">
                  <c:v>1130</c:v>
                </c:pt>
                <c:pt idx="154">
                  <c:v>2805</c:v>
                </c:pt>
                <c:pt idx="155">
                  <c:v>8915</c:v>
                </c:pt>
                <c:pt idx="156">
                  <c:v>84380</c:v>
                </c:pt>
                <c:pt idx="157">
                  <c:v>33375</c:v>
                </c:pt>
                <c:pt idx="158">
                  <c:v>25</c:v>
                </c:pt>
                <c:pt idx="159">
                  <c:v>30</c:v>
                </c:pt>
                <c:pt idx="160">
                  <c:v>190</c:v>
                </c:pt>
                <c:pt idx="161">
                  <c:v>280</c:v>
                </c:pt>
                <c:pt idx="162">
                  <c:v>2530</c:v>
                </c:pt>
                <c:pt idx="163">
                  <c:v>22715</c:v>
                </c:pt>
                <c:pt idx="164">
                  <c:v>5350</c:v>
                </c:pt>
                <c:pt idx="165">
                  <c:v>0</c:v>
                </c:pt>
                <c:pt idx="166">
                  <c:v>220</c:v>
                </c:pt>
                <c:pt idx="167">
                  <c:v>2905</c:v>
                </c:pt>
                <c:pt idx="168">
                  <c:v>230</c:v>
                </c:pt>
                <c:pt idx="169">
                  <c:v>20</c:v>
                </c:pt>
                <c:pt idx="170">
                  <c:v>5</c:v>
                </c:pt>
                <c:pt idx="171">
                  <c:v>5</c:v>
                </c:pt>
                <c:pt idx="172">
                  <c:v>25</c:v>
                </c:pt>
                <c:pt idx="173">
                  <c:v>225</c:v>
                </c:pt>
                <c:pt idx="174">
                  <c:v>5025</c:v>
                </c:pt>
                <c:pt idx="175">
                  <c:v>2125</c:v>
                </c:pt>
                <c:pt idx="176">
                  <c:v>1800</c:v>
                </c:pt>
                <c:pt idx="177">
                  <c:v>755</c:v>
                </c:pt>
                <c:pt idx="178">
                  <c:v>430</c:v>
                </c:pt>
                <c:pt idx="179">
                  <c:v>585</c:v>
                </c:pt>
                <c:pt idx="180">
                  <c:v>1020</c:v>
                </c:pt>
                <c:pt idx="181">
                  <c:v>12505</c:v>
                </c:pt>
                <c:pt idx="182">
                  <c:v>107265</c:v>
                </c:pt>
                <c:pt idx="183">
                  <c:v>70</c:v>
                </c:pt>
                <c:pt idx="184">
                  <c:v>30</c:v>
                </c:pt>
                <c:pt idx="185">
                  <c:v>75</c:v>
                </c:pt>
                <c:pt idx="186">
                  <c:v>150</c:v>
                </c:pt>
                <c:pt idx="187">
                  <c:v>530</c:v>
                </c:pt>
                <c:pt idx="188">
                  <c:v>7895</c:v>
                </c:pt>
                <c:pt idx="189">
                  <c:v>14315</c:v>
                </c:pt>
                <c:pt idx="190">
                  <c:v>0</c:v>
                </c:pt>
                <c:pt idx="191">
                  <c:v>350</c:v>
                </c:pt>
                <c:pt idx="192">
                  <c:v>16740</c:v>
                </c:pt>
                <c:pt idx="193">
                  <c:v>1715</c:v>
                </c:pt>
                <c:pt idx="194">
                  <c:v>15</c:v>
                </c:pt>
                <c:pt idx="195">
                  <c:v>25</c:v>
                </c:pt>
                <c:pt idx="196">
                  <c:v>5</c:v>
                </c:pt>
                <c:pt idx="197">
                  <c:v>15</c:v>
                </c:pt>
                <c:pt idx="198">
                  <c:v>30</c:v>
                </c:pt>
                <c:pt idx="199">
                  <c:v>2105</c:v>
                </c:pt>
                <c:pt idx="200">
                  <c:v>330</c:v>
                </c:pt>
                <c:pt idx="201">
                  <c:v>13535</c:v>
                </c:pt>
                <c:pt idx="202">
                  <c:v>7470</c:v>
                </c:pt>
                <c:pt idx="203">
                  <c:v>1330</c:v>
                </c:pt>
                <c:pt idx="204">
                  <c:v>670</c:v>
                </c:pt>
                <c:pt idx="205">
                  <c:v>145</c:v>
                </c:pt>
                <c:pt idx="206">
                  <c:v>240</c:v>
                </c:pt>
                <c:pt idx="207">
                  <c:v>260</c:v>
                </c:pt>
                <c:pt idx="208">
                  <c:v>29060</c:v>
                </c:pt>
                <c:pt idx="209">
                  <c:v>13120</c:v>
                </c:pt>
                <c:pt idx="210">
                  <c:v>1825</c:v>
                </c:pt>
                <c:pt idx="211">
                  <c:v>275</c:v>
                </c:pt>
                <c:pt idx="212">
                  <c:v>105</c:v>
                </c:pt>
                <c:pt idx="213">
                  <c:v>35</c:v>
                </c:pt>
                <c:pt idx="214">
                  <c:v>10</c:v>
                </c:pt>
                <c:pt idx="215">
                  <c:v>1000</c:v>
                </c:pt>
                <c:pt idx="216">
                  <c:v>0</c:v>
                </c:pt>
                <c:pt idx="217">
                  <c:v>15</c:v>
                </c:pt>
                <c:pt idx="218">
                  <c:v>0</c:v>
                </c:pt>
                <c:pt idx="219">
                  <c:v>15260</c:v>
                </c:pt>
                <c:pt idx="220">
                  <c:v>9445</c:v>
                </c:pt>
                <c:pt idx="221">
                  <c:v>745</c:v>
                </c:pt>
                <c:pt idx="222">
                  <c:v>60</c:v>
                </c:pt>
                <c:pt idx="223">
                  <c:v>5</c:v>
                </c:pt>
                <c:pt idx="224">
                  <c:v>5</c:v>
                </c:pt>
                <c:pt idx="225">
                  <c:v>150</c:v>
                </c:pt>
                <c:pt idx="226">
                  <c:v>3120</c:v>
                </c:pt>
                <c:pt idx="227">
                  <c:v>10620</c:v>
                </c:pt>
                <c:pt idx="228">
                  <c:v>1220</c:v>
                </c:pt>
                <c:pt idx="229">
                  <c:v>705</c:v>
                </c:pt>
                <c:pt idx="230">
                  <c:v>385</c:v>
                </c:pt>
                <c:pt idx="231">
                  <c:v>155</c:v>
                </c:pt>
                <c:pt idx="232">
                  <c:v>140</c:v>
                </c:pt>
                <c:pt idx="233">
                  <c:v>4080</c:v>
                </c:pt>
                <c:pt idx="234">
                  <c:v>84580</c:v>
                </c:pt>
                <c:pt idx="235">
                  <c:v>22410</c:v>
                </c:pt>
                <c:pt idx="236">
                  <c:v>3250</c:v>
                </c:pt>
                <c:pt idx="237">
                  <c:v>1505</c:v>
                </c:pt>
                <c:pt idx="238">
                  <c:v>165</c:v>
                </c:pt>
                <c:pt idx="239">
                  <c:v>0</c:v>
                </c:pt>
                <c:pt idx="240">
                  <c:v>1505</c:v>
                </c:pt>
                <c:pt idx="241">
                  <c:v>500</c:v>
                </c:pt>
                <c:pt idx="242">
                  <c:v>5</c:v>
                </c:pt>
                <c:pt idx="243">
                  <c:v>0</c:v>
                </c:pt>
                <c:pt idx="244">
                  <c:v>43205</c:v>
                </c:pt>
                <c:pt idx="245">
                  <c:v>2905</c:v>
                </c:pt>
                <c:pt idx="246">
                  <c:v>9945</c:v>
                </c:pt>
                <c:pt idx="247">
                  <c:v>1160</c:v>
                </c:pt>
                <c:pt idx="248">
                  <c:v>265</c:v>
                </c:pt>
                <c:pt idx="249">
                  <c:v>180</c:v>
                </c:pt>
                <c:pt idx="250">
                  <c:v>420</c:v>
                </c:pt>
                <c:pt idx="251">
                  <c:v>3605</c:v>
                </c:pt>
                <c:pt idx="252">
                  <c:v>9005</c:v>
                </c:pt>
                <c:pt idx="253">
                  <c:v>3010</c:v>
                </c:pt>
                <c:pt idx="254">
                  <c:v>2785</c:v>
                </c:pt>
                <c:pt idx="255">
                  <c:v>1855</c:v>
                </c:pt>
                <c:pt idx="256">
                  <c:v>725</c:v>
                </c:pt>
                <c:pt idx="257">
                  <c:v>395</c:v>
                </c:pt>
                <c:pt idx="258">
                  <c:v>1120</c:v>
                </c:pt>
                <c:pt idx="259">
                  <c:v>22615</c:v>
                </c:pt>
                <c:pt idx="260">
                  <c:v>99890</c:v>
                </c:pt>
                <c:pt idx="261">
                  <c:v>19985</c:v>
                </c:pt>
                <c:pt idx="262">
                  <c:v>7495</c:v>
                </c:pt>
                <c:pt idx="263">
                  <c:v>1045</c:v>
                </c:pt>
                <c:pt idx="264">
                  <c:v>5</c:v>
                </c:pt>
                <c:pt idx="265">
                  <c:v>455</c:v>
                </c:pt>
                <c:pt idx="266">
                  <c:v>1555</c:v>
                </c:pt>
                <c:pt idx="267">
                  <c:v>40</c:v>
                </c:pt>
                <c:pt idx="268">
                  <c:v>0</c:v>
                </c:pt>
                <c:pt idx="269">
                  <c:v>17480</c:v>
                </c:pt>
                <c:pt idx="270">
                  <c:v>415</c:v>
                </c:pt>
                <c:pt idx="271">
                  <c:v>17355</c:v>
                </c:pt>
                <c:pt idx="272">
                  <c:v>5175</c:v>
                </c:pt>
                <c:pt idx="273">
                  <c:v>1990</c:v>
                </c:pt>
                <c:pt idx="274">
                  <c:v>1130</c:v>
                </c:pt>
                <c:pt idx="275">
                  <c:v>645</c:v>
                </c:pt>
                <c:pt idx="276">
                  <c:v>1270</c:v>
                </c:pt>
                <c:pt idx="277">
                  <c:v>3625</c:v>
                </c:pt>
                <c:pt idx="278">
                  <c:v>4580</c:v>
                </c:pt>
                <c:pt idx="279">
                  <c:v>10020</c:v>
                </c:pt>
                <c:pt idx="280">
                  <c:v>9440</c:v>
                </c:pt>
                <c:pt idx="281">
                  <c:v>3015</c:v>
                </c:pt>
                <c:pt idx="282">
                  <c:v>1005</c:v>
                </c:pt>
                <c:pt idx="283">
                  <c:v>185</c:v>
                </c:pt>
                <c:pt idx="284">
                  <c:v>3810</c:v>
                </c:pt>
                <c:pt idx="285">
                  <c:v>27860</c:v>
                </c:pt>
                <c:pt idx="286">
                  <c:v>88760</c:v>
                </c:pt>
                <c:pt idx="287">
                  <c:v>43270</c:v>
                </c:pt>
                <c:pt idx="288">
                  <c:v>6455</c:v>
                </c:pt>
                <c:pt idx="289">
                  <c:v>245</c:v>
                </c:pt>
                <c:pt idx="290">
                  <c:v>25</c:v>
                </c:pt>
                <c:pt idx="291">
                  <c:v>2375</c:v>
                </c:pt>
                <c:pt idx="292">
                  <c:v>35</c:v>
                </c:pt>
                <c:pt idx="293">
                  <c:v>0</c:v>
                </c:pt>
                <c:pt idx="294">
                  <c:v>3360</c:v>
                </c:pt>
                <c:pt idx="295">
                  <c:v>65</c:v>
                </c:pt>
                <c:pt idx="296">
                  <c:v>5245</c:v>
                </c:pt>
                <c:pt idx="297">
                  <c:v>11125</c:v>
                </c:pt>
                <c:pt idx="298">
                  <c:v>12025</c:v>
                </c:pt>
                <c:pt idx="299">
                  <c:v>8530</c:v>
                </c:pt>
                <c:pt idx="300">
                  <c:v>225</c:v>
                </c:pt>
                <c:pt idx="301">
                  <c:v>245</c:v>
                </c:pt>
                <c:pt idx="302">
                  <c:v>760</c:v>
                </c:pt>
                <c:pt idx="303">
                  <c:v>910</c:v>
                </c:pt>
                <c:pt idx="304">
                  <c:v>3530</c:v>
                </c:pt>
                <c:pt idx="305">
                  <c:v>6535</c:v>
                </c:pt>
                <c:pt idx="306">
                  <c:v>2800</c:v>
                </c:pt>
                <c:pt idx="307">
                  <c:v>1240</c:v>
                </c:pt>
                <c:pt idx="308">
                  <c:v>40</c:v>
                </c:pt>
                <c:pt idx="309">
                  <c:v>880</c:v>
                </c:pt>
                <c:pt idx="310">
                  <c:v>5845</c:v>
                </c:pt>
                <c:pt idx="311">
                  <c:v>25375</c:v>
                </c:pt>
                <c:pt idx="312">
                  <c:v>167800</c:v>
                </c:pt>
                <c:pt idx="313">
                  <c:v>11950</c:v>
                </c:pt>
                <c:pt idx="314">
                  <c:v>310</c:v>
                </c:pt>
                <c:pt idx="315">
                  <c:v>0</c:v>
                </c:pt>
                <c:pt idx="316">
                  <c:v>4360</c:v>
                </c:pt>
                <c:pt idx="317">
                  <c:v>30</c:v>
                </c:pt>
                <c:pt idx="318">
                  <c:v>5</c:v>
                </c:pt>
                <c:pt idx="319">
                  <c:v>570</c:v>
                </c:pt>
                <c:pt idx="320">
                  <c:v>35</c:v>
                </c:pt>
                <c:pt idx="321">
                  <c:v>1370</c:v>
                </c:pt>
                <c:pt idx="322">
                  <c:v>6270</c:v>
                </c:pt>
                <c:pt idx="323">
                  <c:v>40745</c:v>
                </c:pt>
                <c:pt idx="324">
                  <c:v>37330</c:v>
                </c:pt>
                <c:pt idx="325">
                  <c:v>110</c:v>
                </c:pt>
                <c:pt idx="326">
                  <c:v>100</c:v>
                </c:pt>
                <c:pt idx="327">
                  <c:v>145</c:v>
                </c:pt>
                <c:pt idx="328">
                  <c:v>255</c:v>
                </c:pt>
                <c:pt idx="329">
                  <c:v>610</c:v>
                </c:pt>
                <c:pt idx="330">
                  <c:v>2835</c:v>
                </c:pt>
                <c:pt idx="331">
                  <c:v>13255</c:v>
                </c:pt>
                <c:pt idx="332">
                  <c:v>13050</c:v>
                </c:pt>
                <c:pt idx="333">
                  <c:v>0</c:v>
                </c:pt>
                <c:pt idx="334">
                  <c:v>60</c:v>
                </c:pt>
                <c:pt idx="335">
                  <c:v>210</c:v>
                </c:pt>
                <c:pt idx="336">
                  <c:v>765</c:v>
                </c:pt>
                <c:pt idx="337">
                  <c:v>11860</c:v>
                </c:pt>
                <c:pt idx="338">
                  <c:v>70025</c:v>
                </c:pt>
                <c:pt idx="339">
                  <c:v>10100</c:v>
                </c:pt>
                <c:pt idx="340">
                  <c:v>0</c:v>
                </c:pt>
                <c:pt idx="341">
                  <c:v>1410</c:v>
                </c:pt>
                <c:pt idx="342">
                  <c:v>2400</c:v>
                </c:pt>
                <c:pt idx="343">
                  <c:v>215</c:v>
                </c:pt>
                <c:pt idx="344">
                  <c:v>5</c:v>
                </c:pt>
                <c:pt idx="345">
                  <c:v>5</c:v>
                </c:pt>
                <c:pt idx="346">
                  <c:v>10</c:v>
                </c:pt>
                <c:pt idx="347">
                  <c:v>150</c:v>
                </c:pt>
                <c:pt idx="348">
                  <c:v>1815</c:v>
                </c:pt>
                <c:pt idx="349">
                  <c:v>27700</c:v>
                </c:pt>
                <c:pt idx="350">
                  <c:v>10</c:v>
                </c:pt>
                <c:pt idx="351">
                  <c:v>10</c:v>
                </c:pt>
                <c:pt idx="352">
                  <c:v>0</c:v>
                </c:pt>
                <c:pt idx="353">
                  <c:v>0</c:v>
                </c:pt>
                <c:pt idx="354">
                  <c:v>10</c:v>
                </c:pt>
                <c:pt idx="355">
                  <c:v>40</c:v>
                </c:pt>
                <c:pt idx="356">
                  <c:v>415</c:v>
                </c:pt>
                <c:pt idx="357">
                  <c:v>7165</c:v>
                </c:pt>
                <c:pt idx="358">
                  <c:v>5</c:v>
                </c:pt>
                <c:pt idx="359">
                  <c:v>0</c:v>
                </c:pt>
                <c:pt idx="360">
                  <c:v>0</c:v>
                </c:pt>
                <c:pt idx="361">
                  <c:v>0</c:v>
                </c:pt>
                <c:pt idx="362">
                  <c:v>15</c:v>
                </c:pt>
                <c:pt idx="363">
                  <c:v>6090</c:v>
                </c:pt>
                <c:pt idx="364">
                  <c:v>53645</c:v>
                </c:pt>
                <c:pt idx="365">
                  <c:v>0</c:v>
                </c:pt>
                <c:pt idx="366">
                  <c:v>2665</c:v>
                </c:pt>
                <c:pt idx="367">
                  <c:v>12075</c:v>
                </c:pt>
                <c:pt idx="368">
                  <c:v>2830</c:v>
                </c:pt>
                <c:pt idx="369">
                  <c:v>0</c:v>
                </c:pt>
                <c:pt idx="370">
                  <c:v>0</c:v>
                </c:pt>
                <c:pt idx="371">
                  <c:v>0</c:v>
                </c:pt>
                <c:pt idx="372">
                  <c:v>0</c:v>
                </c:pt>
                <c:pt idx="373">
                  <c:v>5</c:v>
                </c:pt>
                <c:pt idx="374">
                  <c:v>4955</c:v>
                </c:pt>
                <c:pt idx="375">
                  <c:v>0</c:v>
                </c:pt>
                <c:pt idx="376">
                  <c:v>0</c:v>
                </c:pt>
                <c:pt idx="377">
                  <c:v>0</c:v>
                </c:pt>
                <c:pt idx="378">
                  <c:v>0</c:v>
                </c:pt>
                <c:pt idx="379">
                  <c:v>0</c:v>
                </c:pt>
                <c:pt idx="380">
                  <c:v>0</c:v>
                </c:pt>
                <c:pt idx="381">
                  <c:v>0</c:v>
                </c:pt>
                <c:pt idx="382">
                  <c:v>0</c:v>
                </c:pt>
                <c:pt idx="383">
                  <c:v>0</c:v>
                </c:pt>
                <c:pt idx="384">
                  <c:v>5</c:v>
                </c:pt>
                <c:pt idx="385">
                  <c:v>0</c:v>
                </c:pt>
                <c:pt idx="386">
                  <c:v>0</c:v>
                </c:pt>
                <c:pt idx="387">
                  <c:v>0</c:v>
                </c:pt>
                <c:pt idx="388">
                  <c:v>0</c:v>
                </c:pt>
                <c:pt idx="389">
                  <c:v>0</c:v>
                </c:pt>
                <c:pt idx="390">
                  <c:v>170400</c:v>
                </c:pt>
                <c:pt idx="391">
                  <c:v>325</c:v>
                </c:pt>
                <c:pt idx="392">
                  <c:v>0</c:v>
                </c:pt>
                <c:pt idx="393">
                  <c:v>0</c:v>
                </c:pt>
                <c:pt idx="394">
                  <c:v>4685</c:v>
                </c:pt>
                <c:pt idx="395">
                  <c:v>2445</c:v>
                </c:pt>
                <c:pt idx="396">
                  <c:v>5</c:v>
                </c:pt>
                <c:pt idx="397">
                  <c:v>0</c:v>
                </c:pt>
                <c:pt idx="398">
                  <c:v>0</c:v>
                </c:pt>
                <c:pt idx="399">
                  <c:v>0</c:v>
                </c:pt>
                <c:pt idx="400">
                  <c:v>0</c:v>
                </c:pt>
                <c:pt idx="401">
                  <c:v>0</c:v>
                </c:pt>
                <c:pt idx="402">
                  <c:v>0</c:v>
                </c:pt>
                <c:pt idx="403">
                  <c:v>0</c:v>
                </c:pt>
                <c:pt idx="404">
                  <c:v>0</c:v>
                </c:pt>
                <c:pt idx="405">
                  <c:v>0</c:v>
                </c:pt>
                <c:pt idx="406">
                  <c:v>5</c:v>
                </c:pt>
                <c:pt idx="407">
                  <c:v>35</c:v>
                </c:pt>
                <c:pt idx="408">
                  <c:v>0</c:v>
                </c:pt>
                <c:pt idx="409">
                  <c:v>0</c:v>
                </c:pt>
                <c:pt idx="410">
                  <c:v>10</c:v>
                </c:pt>
                <c:pt idx="411">
                  <c:v>5</c:v>
                </c:pt>
                <c:pt idx="412">
                  <c:v>35</c:v>
                </c:pt>
                <c:pt idx="413">
                  <c:v>75</c:v>
                </c:pt>
                <c:pt idx="414">
                  <c:v>1005</c:v>
                </c:pt>
                <c:pt idx="415">
                  <c:v>1500</c:v>
                </c:pt>
                <c:pt idx="416">
                  <c:v>273880</c:v>
                </c:pt>
                <c:pt idx="417">
                  <c:v>55</c:v>
                </c:pt>
                <c:pt idx="418">
                  <c:v>1035</c:v>
                </c:pt>
                <c:pt idx="419">
                  <c:v>3580</c:v>
                </c:pt>
                <c:pt idx="420">
                  <c:v>0</c:v>
                </c:pt>
                <c:pt idx="421">
                  <c:v>520</c:v>
                </c:pt>
                <c:pt idx="422">
                  <c:v>525</c:v>
                </c:pt>
                <c:pt idx="423">
                  <c:v>1335</c:v>
                </c:pt>
                <c:pt idx="424">
                  <c:v>5195</c:v>
                </c:pt>
                <c:pt idx="425">
                  <c:v>30</c:v>
                </c:pt>
                <c:pt idx="426">
                  <c:v>35</c:v>
                </c:pt>
                <c:pt idx="427">
                  <c:v>5</c:v>
                </c:pt>
                <c:pt idx="428">
                  <c:v>0</c:v>
                </c:pt>
                <c:pt idx="429">
                  <c:v>5</c:v>
                </c:pt>
                <c:pt idx="430">
                  <c:v>5</c:v>
                </c:pt>
                <c:pt idx="431">
                  <c:v>395</c:v>
                </c:pt>
                <c:pt idx="432">
                  <c:v>9395</c:v>
                </c:pt>
                <c:pt idx="433">
                  <c:v>5</c:v>
                </c:pt>
                <c:pt idx="434">
                  <c:v>0</c:v>
                </c:pt>
                <c:pt idx="435">
                  <c:v>0</c:v>
                </c:pt>
                <c:pt idx="436">
                  <c:v>0</c:v>
                </c:pt>
                <c:pt idx="437">
                  <c:v>0</c:v>
                </c:pt>
                <c:pt idx="438">
                  <c:v>845</c:v>
                </c:pt>
                <c:pt idx="439">
                  <c:v>10140</c:v>
                </c:pt>
                <c:pt idx="440">
                  <c:v>0</c:v>
                </c:pt>
                <c:pt idx="441">
                  <c:v>360</c:v>
                </c:pt>
                <c:pt idx="442">
                  <c:v>113775</c:v>
                </c:pt>
                <c:pt idx="443">
                  <c:v>33150</c:v>
                </c:pt>
                <c:pt idx="444">
                  <c:v>0</c:v>
                </c:pt>
                <c:pt idx="445">
                  <c:v>0</c:v>
                </c:pt>
                <c:pt idx="446">
                  <c:v>0</c:v>
                </c:pt>
                <c:pt idx="447">
                  <c:v>0</c:v>
                </c:pt>
                <c:pt idx="448">
                  <c:v>0</c:v>
                </c:pt>
                <c:pt idx="449">
                  <c:v>535</c:v>
                </c:pt>
                <c:pt idx="450">
                  <c:v>0</c:v>
                </c:pt>
                <c:pt idx="451">
                  <c:v>0</c:v>
                </c:pt>
                <c:pt idx="452">
                  <c:v>0</c:v>
                </c:pt>
                <c:pt idx="453">
                  <c:v>0</c:v>
                </c:pt>
                <c:pt idx="454">
                  <c:v>0</c:v>
                </c:pt>
                <c:pt idx="455">
                  <c:v>0</c:v>
                </c:pt>
                <c:pt idx="456">
                  <c:v>0</c:v>
                </c:pt>
                <c:pt idx="457">
                  <c:v>100</c:v>
                </c:pt>
                <c:pt idx="458">
                  <c:v>0</c:v>
                </c:pt>
                <c:pt idx="459">
                  <c:v>0</c:v>
                </c:pt>
                <c:pt idx="460">
                  <c:v>0</c:v>
                </c:pt>
                <c:pt idx="461">
                  <c:v>0</c:v>
                </c:pt>
                <c:pt idx="462">
                  <c:v>0</c:v>
                </c:pt>
                <c:pt idx="463">
                  <c:v>25</c:v>
                </c:pt>
                <c:pt idx="464">
                  <c:v>885</c:v>
                </c:pt>
                <c:pt idx="465">
                  <c:v>0</c:v>
                </c:pt>
                <c:pt idx="466">
                  <c:v>745</c:v>
                </c:pt>
                <c:pt idx="467">
                  <c:v>14095</c:v>
                </c:pt>
                <c:pt idx="468">
                  <c:v>122505</c:v>
                </c:pt>
                <c:pt idx="469">
                  <c:v>0</c:v>
                </c:pt>
                <c:pt idx="470">
                  <c:v>0</c:v>
                </c:pt>
                <c:pt idx="471">
                  <c:v>0</c:v>
                </c:pt>
                <c:pt idx="472">
                  <c:v>0</c:v>
                </c:pt>
                <c:pt idx="473">
                  <c:v>0</c:v>
                </c:pt>
                <c:pt idx="474">
                  <c:v>45</c:v>
                </c:pt>
                <c:pt idx="475">
                  <c:v>35</c:v>
                </c:pt>
                <c:pt idx="476">
                  <c:v>1025</c:v>
                </c:pt>
                <c:pt idx="477">
                  <c:v>1730</c:v>
                </c:pt>
                <c:pt idx="478">
                  <c:v>200</c:v>
                </c:pt>
                <c:pt idx="479">
                  <c:v>80</c:v>
                </c:pt>
                <c:pt idx="480">
                  <c:v>25</c:v>
                </c:pt>
                <c:pt idx="481">
                  <c:v>5</c:v>
                </c:pt>
                <c:pt idx="482">
                  <c:v>15</c:v>
                </c:pt>
                <c:pt idx="483">
                  <c:v>2265</c:v>
                </c:pt>
                <c:pt idx="484">
                  <c:v>12330</c:v>
                </c:pt>
                <c:pt idx="485">
                  <c:v>2275</c:v>
                </c:pt>
                <c:pt idx="486">
                  <c:v>330</c:v>
                </c:pt>
                <c:pt idx="487">
                  <c:v>110</c:v>
                </c:pt>
                <c:pt idx="488">
                  <c:v>15</c:v>
                </c:pt>
                <c:pt idx="489">
                  <c:v>0</c:v>
                </c:pt>
                <c:pt idx="490">
                  <c:v>26255</c:v>
                </c:pt>
                <c:pt idx="491">
                  <c:v>7925</c:v>
                </c:pt>
                <c:pt idx="492">
                  <c:v>0</c:v>
                </c:pt>
                <c:pt idx="493">
                  <c:v>0</c:v>
                </c:pt>
                <c:pt idx="494">
                  <c:v>224950</c:v>
                </c:pt>
                <c:pt idx="495">
                  <c:v>20135</c:v>
                </c:pt>
                <c:pt idx="496">
                  <c:v>6255</c:v>
                </c:pt>
                <c:pt idx="497">
                  <c:v>295</c:v>
                </c:pt>
                <c:pt idx="498">
                  <c:v>65</c:v>
                </c:pt>
                <c:pt idx="499">
                  <c:v>10</c:v>
                </c:pt>
                <c:pt idx="500">
                  <c:v>125</c:v>
                </c:pt>
                <c:pt idx="501">
                  <c:v>1880</c:v>
                </c:pt>
                <c:pt idx="502">
                  <c:v>1770</c:v>
                </c:pt>
                <c:pt idx="503">
                  <c:v>305</c:v>
                </c:pt>
                <c:pt idx="504">
                  <c:v>150</c:v>
                </c:pt>
                <c:pt idx="505">
                  <c:v>20</c:v>
                </c:pt>
                <c:pt idx="506">
                  <c:v>45</c:v>
                </c:pt>
                <c:pt idx="507">
                  <c:v>55</c:v>
                </c:pt>
                <c:pt idx="508">
                  <c:v>4395</c:v>
                </c:pt>
                <c:pt idx="509">
                  <c:v>5760</c:v>
                </c:pt>
                <c:pt idx="510">
                  <c:v>615</c:v>
                </c:pt>
                <c:pt idx="511">
                  <c:v>70</c:v>
                </c:pt>
                <c:pt idx="512">
                  <c:v>55</c:v>
                </c:pt>
                <c:pt idx="513">
                  <c:v>15</c:v>
                </c:pt>
                <c:pt idx="514">
                  <c:v>0</c:v>
                </c:pt>
                <c:pt idx="515">
                  <c:v>13665</c:v>
                </c:pt>
                <c:pt idx="516">
                  <c:v>25</c:v>
                </c:pt>
                <c:pt idx="517">
                  <c:v>5</c:v>
                </c:pt>
                <c:pt idx="518">
                  <c:v>0</c:v>
                </c:pt>
                <c:pt idx="519">
                  <c:v>32360</c:v>
                </c:pt>
                <c:pt idx="520">
                  <c:v>53000</c:v>
                </c:pt>
                <c:pt idx="521">
                  <c:v>485</c:v>
                </c:pt>
                <c:pt idx="522">
                  <c:v>0</c:v>
                </c:pt>
                <c:pt idx="523">
                  <c:v>10</c:v>
                </c:pt>
                <c:pt idx="524">
                  <c:v>5</c:v>
                </c:pt>
                <c:pt idx="525">
                  <c:v>0</c:v>
                </c:pt>
                <c:pt idx="526">
                  <c:v>20</c:v>
                </c:pt>
                <c:pt idx="527">
                  <c:v>60</c:v>
                </c:pt>
                <c:pt idx="528">
                  <c:v>10</c:v>
                </c:pt>
                <c:pt idx="529">
                  <c:v>0</c:v>
                </c:pt>
                <c:pt idx="530">
                  <c:v>15</c:v>
                </c:pt>
                <c:pt idx="531">
                  <c:v>5</c:v>
                </c:pt>
                <c:pt idx="532">
                  <c:v>0</c:v>
                </c:pt>
                <c:pt idx="533">
                  <c:v>10</c:v>
                </c:pt>
                <c:pt idx="534">
                  <c:v>710</c:v>
                </c:pt>
                <c:pt idx="535">
                  <c:v>5810</c:v>
                </c:pt>
                <c:pt idx="536">
                  <c:v>580</c:v>
                </c:pt>
                <c:pt idx="537">
                  <c:v>240</c:v>
                </c:pt>
                <c:pt idx="538">
                  <c:v>0</c:v>
                </c:pt>
                <c:pt idx="539">
                  <c:v>0</c:v>
                </c:pt>
                <c:pt idx="540">
                  <c:v>440</c:v>
                </c:pt>
                <c:pt idx="541">
                  <c:v>5585</c:v>
                </c:pt>
                <c:pt idx="542">
                  <c:v>0</c:v>
                </c:pt>
                <c:pt idx="543">
                  <c:v>0</c:v>
                </c:pt>
                <c:pt idx="544">
                  <c:v>14750</c:v>
                </c:pt>
                <c:pt idx="545">
                  <c:v>15</c:v>
                </c:pt>
                <c:pt idx="546">
                  <c:v>41015</c:v>
                </c:pt>
                <c:pt idx="547">
                  <c:v>4645</c:v>
                </c:pt>
                <c:pt idx="548">
                  <c:v>920</c:v>
                </c:pt>
                <c:pt idx="549">
                  <c:v>25</c:v>
                </c:pt>
                <c:pt idx="550">
                  <c:v>0</c:v>
                </c:pt>
                <c:pt idx="551">
                  <c:v>10</c:v>
                </c:pt>
                <c:pt idx="552">
                  <c:v>10</c:v>
                </c:pt>
                <c:pt idx="553">
                  <c:v>10</c:v>
                </c:pt>
                <c:pt idx="554">
                  <c:v>15</c:v>
                </c:pt>
                <c:pt idx="555">
                  <c:v>5</c:v>
                </c:pt>
                <c:pt idx="556">
                  <c:v>0</c:v>
                </c:pt>
                <c:pt idx="557">
                  <c:v>0</c:v>
                </c:pt>
                <c:pt idx="558">
                  <c:v>0</c:v>
                </c:pt>
                <c:pt idx="559">
                  <c:v>70</c:v>
                </c:pt>
                <c:pt idx="560">
                  <c:v>1750</c:v>
                </c:pt>
                <c:pt idx="561">
                  <c:v>2520</c:v>
                </c:pt>
                <c:pt idx="562">
                  <c:v>2655</c:v>
                </c:pt>
                <c:pt idx="563">
                  <c:v>10</c:v>
                </c:pt>
                <c:pt idx="564">
                  <c:v>0</c:v>
                </c:pt>
                <c:pt idx="565">
                  <c:v>5</c:v>
                </c:pt>
                <c:pt idx="566">
                  <c:v>6915</c:v>
                </c:pt>
                <c:pt idx="567">
                  <c:v>0</c:v>
                </c:pt>
                <c:pt idx="568">
                  <c:v>0</c:v>
                </c:pt>
                <c:pt idx="569">
                  <c:v>1250</c:v>
                </c:pt>
                <c:pt idx="570">
                  <c:v>5</c:v>
                </c:pt>
                <c:pt idx="571">
                  <c:v>4700</c:v>
                </c:pt>
                <c:pt idx="572">
                  <c:v>28130</c:v>
                </c:pt>
                <c:pt idx="573">
                  <c:v>11050</c:v>
                </c:pt>
                <c:pt idx="574">
                  <c:v>635</c:v>
                </c:pt>
                <c:pt idx="575">
                  <c:v>0</c:v>
                </c:pt>
                <c:pt idx="576">
                  <c:v>0</c:v>
                </c:pt>
                <c:pt idx="577">
                  <c:v>0</c:v>
                </c:pt>
                <c:pt idx="578">
                  <c:v>0</c:v>
                </c:pt>
                <c:pt idx="579">
                  <c:v>0</c:v>
                </c:pt>
                <c:pt idx="580">
                  <c:v>25</c:v>
                </c:pt>
                <c:pt idx="581">
                  <c:v>5</c:v>
                </c:pt>
                <c:pt idx="582">
                  <c:v>0</c:v>
                </c:pt>
                <c:pt idx="583">
                  <c:v>0</c:v>
                </c:pt>
                <c:pt idx="584">
                  <c:v>5</c:v>
                </c:pt>
                <c:pt idx="585">
                  <c:v>175</c:v>
                </c:pt>
                <c:pt idx="586">
                  <c:v>375</c:v>
                </c:pt>
                <c:pt idx="587">
                  <c:v>6375</c:v>
                </c:pt>
                <c:pt idx="588">
                  <c:v>55</c:v>
                </c:pt>
                <c:pt idx="589">
                  <c:v>0</c:v>
                </c:pt>
                <c:pt idx="590">
                  <c:v>0</c:v>
                </c:pt>
                <c:pt idx="591">
                  <c:v>8845</c:v>
                </c:pt>
                <c:pt idx="592">
                  <c:v>0</c:v>
                </c:pt>
                <c:pt idx="593">
                  <c:v>0</c:v>
                </c:pt>
                <c:pt idx="594">
                  <c:v>95</c:v>
                </c:pt>
                <c:pt idx="595">
                  <c:v>0</c:v>
                </c:pt>
                <c:pt idx="596">
                  <c:v>440</c:v>
                </c:pt>
                <c:pt idx="597">
                  <c:v>3460</c:v>
                </c:pt>
                <c:pt idx="598">
                  <c:v>55370</c:v>
                </c:pt>
                <c:pt idx="599">
                  <c:v>2930</c:v>
                </c:pt>
                <c:pt idx="600">
                  <c:v>10</c:v>
                </c:pt>
                <c:pt idx="601">
                  <c:v>10</c:v>
                </c:pt>
                <c:pt idx="602">
                  <c:v>0</c:v>
                </c:pt>
                <c:pt idx="603">
                  <c:v>0</c:v>
                </c:pt>
                <c:pt idx="604">
                  <c:v>25</c:v>
                </c:pt>
                <c:pt idx="605">
                  <c:v>50</c:v>
                </c:pt>
                <c:pt idx="606">
                  <c:v>245</c:v>
                </c:pt>
                <c:pt idx="607">
                  <c:v>595</c:v>
                </c:pt>
                <c:pt idx="608">
                  <c:v>0</c:v>
                </c:pt>
                <c:pt idx="609">
                  <c:v>5</c:v>
                </c:pt>
                <c:pt idx="610">
                  <c:v>10</c:v>
                </c:pt>
                <c:pt idx="611">
                  <c:v>100</c:v>
                </c:pt>
                <c:pt idx="612">
                  <c:v>3480</c:v>
                </c:pt>
                <c:pt idx="613">
                  <c:v>9715</c:v>
                </c:pt>
                <c:pt idx="614">
                  <c:v>5015</c:v>
                </c:pt>
                <c:pt idx="615">
                  <c:v>0</c:v>
                </c:pt>
                <c:pt idx="616">
                  <c:v>10805</c:v>
                </c:pt>
                <c:pt idx="617">
                  <c:v>730</c:v>
                </c:pt>
                <c:pt idx="618">
                  <c:v>290</c:v>
                </c:pt>
                <c:pt idx="619">
                  <c:v>0</c:v>
                </c:pt>
                <c:pt idx="620">
                  <c:v>0</c:v>
                </c:pt>
                <c:pt idx="621">
                  <c:v>5</c:v>
                </c:pt>
                <c:pt idx="622">
                  <c:v>25</c:v>
                </c:pt>
                <c:pt idx="623">
                  <c:v>2355</c:v>
                </c:pt>
                <c:pt idx="624">
                  <c:v>99860</c:v>
                </c:pt>
              </c:numCache>
            </c:numRef>
          </c:yVal>
          <c:smooth val="0"/>
          <c:extLst>
            <c:ext xmlns:c16="http://schemas.microsoft.com/office/drawing/2014/chart" uri="{C3380CC4-5D6E-409C-BE32-E72D297353CC}">
              <c16:uniqueId val="{00000000-02E4-48CA-B052-938BEC9B0D52}"/>
            </c:ext>
          </c:extLst>
        </c:ser>
        <c:dLbls>
          <c:showLegendKey val="0"/>
          <c:showVal val="0"/>
          <c:showCatName val="0"/>
          <c:showSerName val="0"/>
          <c:showPercent val="0"/>
          <c:showBubbleSize val="0"/>
        </c:dLbls>
        <c:axId val="606281312"/>
        <c:axId val="606264992"/>
      </c:scatterChart>
      <c:valAx>
        <c:axId val="60628131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Household</a:t>
                </a:r>
                <a:r>
                  <a:rPr lang="en-US" baseline="0"/>
                  <a:t> Survey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64992"/>
        <c:crosses val="autoZero"/>
        <c:crossBetween val="midCat"/>
      </c:valAx>
      <c:valAx>
        <c:axId val="60626499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Model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81312"/>
        <c:crosses val="autoZero"/>
        <c:crossBetween val="midCat"/>
      </c:valAx>
      <c:spPr>
        <a:noFill/>
        <a:ln>
          <a:noFill/>
        </a:ln>
        <a:effectLst/>
      </c:spPr>
    </c:plotArea>
    <c:legend>
      <c:legendPos val="r"/>
      <c:layout>
        <c:manualLayout>
          <c:xMode val="edge"/>
          <c:yMode val="edge"/>
          <c:x val="0.87104312262172057"/>
          <c:y val="0.33315396821815613"/>
          <c:w val="0.1209247488642233"/>
          <c:h val="0.235793305206476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Auto Ownership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AutoOwnership!$E$4</c:f>
              <c:strCache>
                <c:ptCount val="1"/>
                <c:pt idx="0">
                  <c:v>Census</c:v>
                </c:pt>
              </c:strCache>
            </c:strRef>
          </c:tx>
          <c:spPr>
            <a:solidFill>
              <a:schemeClr val="accent1"/>
            </a:solidFill>
            <a:ln>
              <a:noFill/>
            </a:ln>
            <a:effectLst/>
          </c:spPr>
          <c:invertIfNegative val="0"/>
          <c:cat>
            <c:strRef>
              <c:f>AutoOwnership!$A$5:$A$9</c:f>
              <c:strCache>
                <c:ptCount val="5"/>
                <c:pt idx="0">
                  <c:v>0</c:v>
                </c:pt>
                <c:pt idx="1">
                  <c:v>1</c:v>
                </c:pt>
                <c:pt idx="2">
                  <c:v>2</c:v>
                </c:pt>
                <c:pt idx="3">
                  <c:v>3</c:v>
                </c:pt>
                <c:pt idx="4">
                  <c:v>4+</c:v>
                </c:pt>
              </c:strCache>
            </c:strRef>
          </c:cat>
          <c:val>
            <c:numRef>
              <c:f>AutoOwnership!$E$5:$E$9</c:f>
              <c:numCache>
                <c:formatCode>0.00%</c:formatCode>
                <c:ptCount val="5"/>
                <c:pt idx="0">
                  <c:v>0.1115913360259138</c:v>
                </c:pt>
                <c:pt idx="1">
                  <c:v>0.34976934784233066</c:v>
                </c:pt>
                <c:pt idx="2">
                  <c:v>0.36956649978960121</c:v>
                </c:pt>
                <c:pt idx="3">
                  <c:v>0.12124870712878373</c:v>
                </c:pt>
                <c:pt idx="4">
                  <c:v>4.7824109213370616E-2</c:v>
                </c:pt>
              </c:numCache>
            </c:numRef>
          </c:val>
          <c:extLst>
            <c:ext xmlns:c16="http://schemas.microsoft.com/office/drawing/2014/chart" uri="{C3380CC4-5D6E-409C-BE32-E72D297353CC}">
              <c16:uniqueId val="{00000000-A524-4814-BE66-8BAD8E360ED8}"/>
            </c:ext>
          </c:extLst>
        </c:ser>
        <c:ser>
          <c:idx val="1"/>
          <c:order val="1"/>
          <c:tx>
            <c:strRef>
              <c:f>AutoOwnership!$F$4</c:f>
              <c:strCache>
                <c:ptCount val="1"/>
                <c:pt idx="0">
                  <c:v>Survey</c:v>
                </c:pt>
              </c:strCache>
            </c:strRef>
          </c:tx>
          <c:spPr>
            <a:solidFill>
              <a:schemeClr val="accent2"/>
            </a:solidFill>
            <a:ln>
              <a:noFill/>
            </a:ln>
            <a:effectLst/>
          </c:spPr>
          <c:invertIfNegative val="0"/>
          <c:cat>
            <c:strRef>
              <c:f>AutoOwnership!$A$5:$A$9</c:f>
              <c:strCache>
                <c:ptCount val="5"/>
                <c:pt idx="0">
                  <c:v>0</c:v>
                </c:pt>
                <c:pt idx="1">
                  <c:v>1</c:v>
                </c:pt>
                <c:pt idx="2">
                  <c:v>2</c:v>
                </c:pt>
                <c:pt idx="3">
                  <c:v>3</c:v>
                </c:pt>
                <c:pt idx="4">
                  <c:v>4+</c:v>
                </c:pt>
              </c:strCache>
            </c:strRef>
          </c:cat>
          <c:val>
            <c:numRef>
              <c:f>AutoOwnership!$F$5:$F$9</c:f>
              <c:numCache>
                <c:formatCode>0.00%</c:formatCode>
                <c:ptCount val="5"/>
                <c:pt idx="0">
                  <c:v>9.7624880837198794E-2</c:v>
                </c:pt>
                <c:pt idx="1">
                  <c:v>0.32350843989598899</c:v>
                </c:pt>
                <c:pt idx="2">
                  <c:v>0.40923407123932448</c:v>
                </c:pt>
                <c:pt idx="3">
                  <c:v>0.12549704424638825</c:v>
                </c:pt>
                <c:pt idx="4">
                  <c:v>4.4135563781099355E-2</c:v>
                </c:pt>
              </c:numCache>
            </c:numRef>
          </c:val>
          <c:extLst>
            <c:ext xmlns:c16="http://schemas.microsoft.com/office/drawing/2014/chart" uri="{C3380CC4-5D6E-409C-BE32-E72D297353CC}">
              <c16:uniqueId val="{00000001-A524-4814-BE66-8BAD8E360ED8}"/>
            </c:ext>
          </c:extLst>
        </c:ser>
        <c:ser>
          <c:idx val="3"/>
          <c:order val="2"/>
          <c:tx>
            <c:strRef>
              <c:f>AutoOwnership!$G$4</c:f>
              <c:strCache>
                <c:ptCount val="1"/>
                <c:pt idx="0">
                  <c:v>Model</c:v>
                </c:pt>
              </c:strCache>
            </c:strRef>
          </c:tx>
          <c:spPr>
            <a:solidFill>
              <a:schemeClr val="accent4"/>
            </a:solidFill>
            <a:ln>
              <a:noFill/>
            </a:ln>
            <a:effectLst/>
          </c:spPr>
          <c:invertIfNegative val="0"/>
          <c:cat>
            <c:strRef>
              <c:f>AutoOwnership!$A$5:$A$9</c:f>
              <c:strCache>
                <c:ptCount val="5"/>
                <c:pt idx="0">
                  <c:v>0</c:v>
                </c:pt>
                <c:pt idx="1">
                  <c:v>1</c:v>
                </c:pt>
                <c:pt idx="2">
                  <c:v>2</c:v>
                </c:pt>
                <c:pt idx="3">
                  <c:v>3</c:v>
                </c:pt>
                <c:pt idx="4">
                  <c:v>4+</c:v>
                </c:pt>
              </c:strCache>
            </c:strRef>
          </c:cat>
          <c:val>
            <c:numRef>
              <c:f>AutoOwnership!$G$5:$G$9</c:f>
              <c:numCache>
                <c:formatCode>0.00%</c:formatCode>
                <c:ptCount val="5"/>
                <c:pt idx="0">
                  <c:v>0.12709000529205788</c:v>
                </c:pt>
                <c:pt idx="1">
                  <c:v>0.35120930674041739</c:v>
                </c:pt>
                <c:pt idx="2">
                  <c:v>0.36268150003185634</c:v>
                </c:pt>
                <c:pt idx="3">
                  <c:v>0.1146530191385258</c:v>
                </c:pt>
                <c:pt idx="4">
                  <c:v>4.4366168797142551E-2</c:v>
                </c:pt>
              </c:numCache>
            </c:numRef>
          </c:val>
          <c:extLst>
            <c:ext xmlns:c16="http://schemas.microsoft.com/office/drawing/2014/chart" uri="{C3380CC4-5D6E-409C-BE32-E72D297353CC}">
              <c16:uniqueId val="{00000002-A524-4814-BE66-8BAD8E360ED8}"/>
            </c:ext>
          </c:extLst>
        </c:ser>
        <c:dLbls>
          <c:showLegendKey val="0"/>
          <c:showVal val="0"/>
          <c:showCatName val="0"/>
          <c:showSerName val="0"/>
          <c:showPercent val="0"/>
          <c:showBubbleSize val="0"/>
        </c:dLbls>
        <c:gapWidth val="150"/>
        <c:axId val="606283488"/>
        <c:axId val="606275328"/>
      </c:barChart>
      <c:catAx>
        <c:axId val="606283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AO Levels (Vehicles per HH)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75328"/>
        <c:crosses val="autoZero"/>
        <c:auto val="1"/>
        <c:lblAlgn val="ctr"/>
        <c:lblOffset val="100"/>
        <c:noMultiLvlLbl val="0"/>
      </c:catAx>
      <c:valAx>
        <c:axId val="606275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9.9696566565382633E-3"/>
              <c:y val="0.415763809074337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8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Activity Pattern(DAP) Type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285083779649046E-2"/>
          <c:y val="0.15456610725731448"/>
          <c:w val="0.92071491622035095"/>
          <c:h val="0.48595345294954018"/>
        </c:manualLayout>
      </c:layout>
      <c:barChart>
        <c:barDir val="col"/>
        <c:grouping val="clustered"/>
        <c:varyColors val="0"/>
        <c:ser>
          <c:idx val="0"/>
          <c:order val="0"/>
          <c:tx>
            <c:strRef>
              <c:f>DAP!$C$16</c:f>
              <c:strCache>
                <c:ptCount val="1"/>
                <c:pt idx="0">
                  <c:v>Survey</c:v>
                </c:pt>
              </c:strCache>
            </c:strRef>
          </c:tx>
          <c:spPr>
            <a:solidFill>
              <a:schemeClr val="accent1"/>
            </a:solidFill>
            <a:ln>
              <a:noFill/>
            </a:ln>
            <a:effectLst/>
          </c:spPr>
          <c:invertIfNegative val="0"/>
          <c:cat>
            <c:strRef>
              <c:f>DAP!$D$15:$F$15</c:f>
              <c:strCache>
                <c:ptCount val="3"/>
                <c:pt idx="0">
                  <c:v>Mandatory</c:v>
                </c:pt>
                <c:pt idx="1">
                  <c:v>Non-Mandatory</c:v>
                </c:pt>
                <c:pt idx="2">
                  <c:v>Home</c:v>
                </c:pt>
              </c:strCache>
            </c:strRef>
          </c:cat>
          <c:val>
            <c:numRef>
              <c:f>DAP!$D$16:$F$16</c:f>
              <c:numCache>
                <c:formatCode>0.0%</c:formatCode>
                <c:ptCount val="3"/>
                <c:pt idx="0">
                  <c:v>0.5846224414325909</c:v>
                </c:pt>
                <c:pt idx="1">
                  <c:v>0.27696455658792002</c:v>
                </c:pt>
                <c:pt idx="2">
                  <c:v>0.13841300197948897</c:v>
                </c:pt>
              </c:numCache>
            </c:numRef>
          </c:val>
          <c:extLst>
            <c:ext xmlns:c16="http://schemas.microsoft.com/office/drawing/2014/chart" uri="{C3380CC4-5D6E-409C-BE32-E72D297353CC}">
              <c16:uniqueId val="{00000000-EB1F-46EE-8A0B-E8737D8F9489}"/>
            </c:ext>
          </c:extLst>
        </c:ser>
        <c:ser>
          <c:idx val="1"/>
          <c:order val="1"/>
          <c:tx>
            <c:strRef>
              <c:f>DAP!$C$17</c:f>
              <c:strCache>
                <c:ptCount val="1"/>
                <c:pt idx="0">
                  <c:v>Model</c:v>
                </c:pt>
              </c:strCache>
            </c:strRef>
          </c:tx>
          <c:spPr>
            <a:solidFill>
              <a:schemeClr val="accent2"/>
            </a:solidFill>
            <a:ln>
              <a:noFill/>
            </a:ln>
            <a:effectLst/>
          </c:spPr>
          <c:invertIfNegative val="0"/>
          <c:cat>
            <c:strRef>
              <c:f>DAP!$D$15:$F$15</c:f>
              <c:strCache>
                <c:ptCount val="3"/>
                <c:pt idx="0">
                  <c:v>Mandatory</c:v>
                </c:pt>
                <c:pt idx="1">
                  <c:v>Non-Mandatory</c:v>
                </c:pt>
                <c:pt idx="2">
                  <c:v>Home</c:v>
                </c:pt>
              </c:strCache>
            </c:strRef>
          </c:cat>
          <c:val>
            <c:numRef>
              <c:f>DAP!$D$17:$F$17</c:f>
              <c:numCache>
                <c:formatCode>0.0%</c:formatCode>
                <c:ptCount val="3"/>
                <c:pt idx="0">
                  <c:v>0.49430191570881227</c:v>
                </c:pt>
                <c:pt idx="1">
                  <c:v>0.37675402298850574</c:v>
                </c:pt>
                <c:pt idx="2">
                  <c:v>0.12894406130268199</c:v>
                </c:pt>
              </c:numCache>
            </c:numRef>
          </c:val>
          <c:extLst>
            <c:ext xmlns:c16="http://schemas.microsoft.com/office/drawing/2014/chart" uri="{C3380CC4-5D6E-409C-BE32-E72D297353CC}">
              <c16:uniqueId val="{00000001-EB1F-46EE-8A0B-E8737D8F9489}"/>
            </c:ext>
          </c:extLst>
        </c:ser>
        <c:dLbls>
          <c:showLegendKey val="0"/>
          <c:showVal val="0"/>
          <c:showCatName val="0"/>
          <c:showSerName val="0"/>
          <c:showPercent val="0"/>
          <c:showBubbleSize val="0"/>
        </c:dLbls>
        <c:gapWidth val="219"/>
        <c:overlap val="-27"/>
        <c:axId val="606282400"/>
        <c:axId val="606270976"/>
      </c:barChart>
      <c:catAx>
        <c:axId val="60628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06270976"/>
        <c:crosses val="autoZero"/>
        <c:auto val="1"/>
        <c:lblAlgn val="ctr"/>
        <c:lblOffset val="100"/>
        <c:noMultiLvlLbl val="0"/>
      </c:catAx>
      <c:valAx>
        <c:axId val="6062709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82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Mandatory Tour Frequency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MTF!$C$27</c:f>
              <c:strCache>
                <c:ptCount val="1"/>
                <c:pt idx="0">
                  <c:v>Survey</c:v>
                </c:pt>
              </c:strCache>
            </c:strRef>
          </c:tx>
          <c:spPr>
            <a:solidFill>
              <a:schemeClr val="accent1"/>
            </a:solidFill>
            <a:ln>
              <a:noFill/>
            </a:ln>
            <a:effectLst/>
          </c:spPr>
          <c:invertIfNegative val="0"/>
          <c:cat>
            <c:strRef>
              <c:f>MTF!$D$26:$H$26</c:f>
              <c:strCache>
                <c:ptCount val="5"/>
                <c:pt idx="0">
                  <c:v>1W</c:v>
                </c:pt>
                <c:pt idx="1">
                  <c:v>2W</c:v>
                </c:pt>
                <c:pt idx="2">
                  <c:v>1S</c:v>
                </c:pt>
                <c:pt idx="3">
                  <c:v>2S</c:v>
                </c:pt>
                <c:pt idx="4">
                  <c:v>1W1S</c:v>
                </c:pt>
              </c:strCache>
            </c:strRef>
          </c:cat>
          <c:val>
            <c:numRef>
              <c:f>MTF!$D$27:$H$27</c:f>
              <c:numCache>
                <c:formatCode>0.0%</c:formatCode>
                <c:ptCount val="5"/>
                <c:pt idx="0">
                  <c:v>0</c:v>
                </c:pt>
                <c:pt idx="1">
                  <c:v>0</c:v>
                </c:pt>
                <c:pt idx="2">
                  <c:v>0.99610381072385612</c:v>
                </c:pt>
                <c:pt idx="3">
                  <c:v>3.8961892761437507E-3</c:v>
                </c:pt>
                <c:pt idx="4">
                  <c:v>0</c:v>
                </c:pt>
              </c:numCache>
            </c:numRef>
          </c:val>
          <c:extLst>
            <c:ext xmlns:c16="http://schemas.microsoft.com/office/drawing/2014/chart" uri="{C3380CC4-5D6E-409C-BE32-E72D297353CC}">
              <c16:uniqueId val="{00000000-5E3A-4A4E-AE84-A4CF215FCF81}"/>
            </c:ext>
          </c:extLst>
        </c:ser>
        <c:ser>
          <c:idx val="1"/>
          <c:order val="1"/>
          <c:tx>
            <c:strRef>
              <c:f>MTF!$C$28</c:f>
              <c:strCache>
                <c:ptCount val="1"/>
                <c:pt idx="0">
                  <c:v>Model</c:v>
                </c:pt>
              </c:strCache>
            </c:strRef>
          </c:tx>
          <c:spPr>
            <a:solidFill>
              <a:schemeClr val="accent2"/>
            </a:solidFill>
            <a:ln>
              <a:noFill/>
            </a:ln>
            <a:effectLst/>
          </c:spPr>
          <c:invertIfNegative val="0"/>
          <c:cat>
            <c:strRef>
              <c:f>MTF!$D$26:$H$26</c:f>
              <c:strCache>
                <c:ptCount val="5"/>
                <c:pt idx="0">
                  <c:v>1W</c:v>
                </c:pt>
                <c:pt idx="1">
                  <c:v>2W</c:v>
                </c:pt>
                <c:pt idx="2">
                  <c:v>1S</c:v>
                </c:pt>
                <c:pt idx="3">
                  <c:v>2S</c:v>
                </c:pt>
                <c:pt idx="4">
                  <c:v>1W1S</c:v>
                </c:pt>
              </c:strCache>
            </c:strRef>
          </c:cat>
          <c:val>
            <c:numRef>
              <c:f>MTF!$D$28:$H$28</c:f>
              <c:numCache>
                <c:formatCode>0.0%</c:formatCode>
                <c:ptCount val="5"/>
                <c:pt idx="0">
                  <c:v>0</c:v>
                </c:pt>
                <c:pt idx="1">
                  <c:v>0</c:v>
                </c:pt>
                <c:pt idx="2">
                  <c:v>0.98940286257992949</c:v>
                </c:pt>
                <c:pt idx="3">
                  <c:v>1.0597137420070527E-2</c:v>
                </c:pt>
                <c:pt idx="4">
                  <c:v>0</c:v>
                </c:pt>
              </c:numCache>
            </c:numRef>
          </c:val>
          <c:extLst>
            <c:ext xmlns:c16="http://schemas.microsoft.com/office/drawing/2014/chart" uri="{C3380CC4-5D6E-409C-BE32-E72D297353CC}">
              <c16:uniqueId val="{00000001-5E3A-4A4E-AE84-A4CF215FCF81}"/>
            </c:ext>
          </c:extLst>
        </c:ser>
        <c:dLbls>
          <c:showLegendKey val="0"/>
          <c:showVal val="0"/>
          <c:showCatName val="0"/>
          <c:showSerName val="0"/>
          <c:showPercent val="0"/>
          <c:showBubbleSize val="0"/>
        </c:dLbls>
        <c:gapWidth val="219"/>
        <c:overlap val="-27"/>
        <c:axId val="606284576"/>
        <c:axId val="606285120"/>
      </c:barChart>
      <c:catAx>
        <c:axId val="60628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6285120"/>
        <c:crosses val="autoZero"/>
        <c:auto val="1"/>
        <c:lblAlgn val="ctr"/>
        <c:lblOffset val="100"/>
        <c:noMultiLvlLbl val="0"/>
      </c:catAx>
      <c:valAx>
        <c:axId val="6062851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84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Non-Mandatory Tour Frequency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indiNM!$C$26</c:f>
              <c:strCache>
                <c:ptCount val="1"/>
                <c:pt idx="0">
                  <c:v>Survey</c:v>
                </c:pt>
              </c:strCache>
            </c:strRef>
          </c:tx>
          <c:spPr>
            <a:solidFill>
              <a:schemeClr val="accent1"/>
            </a:solidFill>
            <a:ln>
              <a:noFill/>
            </a:ln>
            <a:effectLst/>
          </c:spPr>
          <c:invertIfNegative val="0"/>
          <c:cat>
            <c:numRef>
              <c:f>indiNM!$D$25:$G$25</c:f>
              <c:numCache>
                <c:formatCode>General</c:formatCode>
                <c:ptCount val="4"/>
                <c:pt idx="0">
                  <c:v>0</c:v>
                </c:pt>
                <c:pt idx="1">
                  <c:v>1</c:v>
                </c:pt>
                <c:pt idx="2">
                  <c:v>2</c:v>
                </c:pt>
                <c:pt idx="3">
                  <c:v>3</c:v>
                </c:pt>
              </c:numCache>
            </c:numRef>
          </c:cat>
          <c:val>
            <c:numRef>
              <c:f>indiNM!$D$26:$G$26</c:f>
              <c:numCache>
                <c:formatCode>0.0%</c:formatCode>
                <c:ptCount val="4"/>
                <c:pt idx="0">
                  <c:v>0.67032747981801222</c:v>
                </c:pt>
                <c:pt idx="1">
                  <c:v>0.22331678980266442</c:v>
                </c:pt>
                <c:pt idx="2">
                  <c:v>7.7555301644283606E-2</c:v>
                </c:pt>
                <c:pt idx="3">
                  <c:v>2.8800428735039765E-2</c:v>
                </c:pt>
              </c:numCache>
            </c:numRef>
          </c:val>
          <c:extLst>
            <c:ext xmlns:c16="http://schemas.microsoft.com/office/drawing/2014/chart" uri="{C3380CC4-5D6E-409C-BE32-E72D297353CC}">
              <c16:uniqueId val="{00000000-042B-4368-B5B3-F9EA24C5B48D}"/>
            </c:ext>
          </c:extLst>
        </c:ser>
        <c:ser>
          <c:idx val="1"/>
          <c:order val="1"/>
          <c:tx>
            <c:strRef>
              <c:f>indiNM!$C$27</c:f>
              <c:strCache>
                <c:ptCount val="1"/>
                <c:pt idx="0">
                  <c:v>Model</c:v>
                </c:pt>
              </c:strCache>
            </c:strRef>
          </c:tx>
          <c:spPr>
            <a:solidFill>
              <a:schemeClr val="accent2"/>
            </a:solidFill>
            <a:ln>
              <a:noFill/>
            </a:ln>
            <a:effectLst/>
          </c:spPr>
          <c:invertIfNegative val="0"/>
          <c:cat>
            <c:numRef>
              <c:f>indiNM!$D$25:$G$25</c:f>
              <c:numCache>
                <c:formatCode>General</c:formatCode>
                <c:ptCount val="4"/>
                <c:pt idx="0">
                  <c:v>0</c:v>
                </c:pt>
                <c:pt idx="1">
                  <c:v>1</c:v>
                </c:pt>
                <c:pt idx="2">
                  <c:v>2</c:v>
                </c:pt>
                <c:pt idx="3">
                  <c:v>3</c:v>
                </c:pt>
              </c:numCache>
            </c:numRef>
          </c:cat>
          <c:val>
            <c:numRef>
              <c:f>indiNM!$D$27:$G$27</c:f>
              <c:numCache>
                <c:formatCode>0.0%</c:formatCode>
                <c:ptCount val="4"/>
                <c:pt idx="0">
                  <c:v>0.54505949239672502</c:v>
                </c:pt>
                <c:pt idx="1">
                  <c:v>0.28402768563752684</c:v>
                </c:pt>
                <c:pt idx="2">
                  <c:v>0.11541784342929996</c:v>
                </c:pt>
                <c:pt idx="3">
                  <c:v>5.5494978536448136E-2</c:v>
                </c:pt>
              </c:numCache>
            </c:numRef>
          </c:val>
          <c:extLst>
            <c:ext xmlns:c16="http://schemas.microsoft.com/office/drawing/2014/chart" uri="{C3380CC4-5D6E-409C-BE32-E72D297353CC}">
              <c16:uniqueId val="{00000001-042B-4368-B5B3-F9EA24C5B48D}"/>
            </c:ext>
          </c:extLst>
        </c:ser>
        <c:dLbls>
          <c:showLegendKey val="0"/>
          <c:showVal val="0"/>
          <c:showCatName val="0"/>
          <c:showSerName val="0"/>
          <c:showPercent val="0"/>
          <c:showBubbleSize val="0"/>
        </c:dLbls>
        <c:gapWidth val="219"/>
        <c:overlap val="-27"/>
        <c:axId val="606269344"/>
        <c:axId val="606286208"/>
      </c:barChart>
      <c:catAx>
        <c:axId val="60626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86208"/>
        <c:crosses val="autoZero"/>
        <c:auto val="1"/>
        <c:lblAlgn val="ctr"/>
        <c:lblOffset val="100"/>
        <c:noMultiLvlLbl val="0"/>
      </c:catAx>
      <c:valAx>
        <c:axId val="6062862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69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none" spc="20" baseline="0">
                <a:solidFill>
                  <a:schemeClr val="dk1">
                    <a:lumMod val="50000"/>
                    <a:lumOff val="50000"/>
                  </a:schemeClr>
                </a:solidFill>
                <a:latin typeface="+mn-lt"/>
                <a:ea typeface="+mn-ea"/>
                <a:cs typeface="+mn-cs"/>
              </a:defRPr>
            </a:pPr>
            <a:r>
              <a:rPr lang="en-US" sz="1800"/>
              <a:t>Tour Time-of-Day Profile </a:t>
            </a:r>
          </a:p>
        </c:rich>
      </c:tx>
      <c:overlay val="0"/>
      <c:spPr>
        <a:noFill/>
        <a:ln>
          <a:noFill/>
        </a:ln>
        <a:effectLst/>
      </c:spPr>
      <c:txPr>
        <a:bodyPr rot="0" spcFirstLastPara="1" vertOverflow="ellipsis" vert="horz" wrap="square" anchor="ctr" anchorCtr="1"/>
        <a:lstStyle/>
        <a:p>
          <a:pPr>
            <a:defRPr sz="18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6.2239708053661129E-2"/>
          <c:y val="1.644971720003098E-2"/>
          <c:w val="0.93776029194633881"/>
          <c:h val="0.58729382373921224"/>
        </c:manualLayout>
      </c:layout>
      <c:lineChart>
        <c:grouping val="standard"/>
        <c:varyColors val="0"/>
        <c:ser>
          <c:idx val="0"/>
          <c:order val="0"/>
          <c:tx>
            <c:strRef>
              <c:f>TOD!$F$7</c:f>
              <c:strCache>
                <c:ptCount val="1"/>
                <c:pt idx="0">
                  <c:v>Survey-Dep</c:v>
                </c:pt>
              </c:strCache>
            </c:strRef>
          </c:tx>
          <c:spPr>
            <a:ln w="22225" cap="rnd" cmpd="sng" algn="ctr">
              <a:solidFill>
                <a:schemeClr val="accent1"/>
              </a:solidFill>
              <a:round/>
            </a:ln>
            <a:effectLst/>
          </c:spPr>
          <c:marker>
            <c:symbol val="none"/>
          </c:marker>
          <c:cat>
            <c:strRef>
              <c:f>TOD!$B$8:$B$47</c:f>
              <c:strCache>
                <c:ptCount val="40"/>
                <c:pt idx="0">
                  <c:v>03:00 AM to 05:00 AM</c:v>
                </c:pt>
                <c:pt idx="1">
                  <c:v>05:00 AM to 05:30 AM </c:v>
                </c:pt>
                <c:pt idx="2">
                  <c:v>05:30 AM to 06:00 AM </c:v>
                </c:pt>
                <c:pt idx="3">
                  <c:v>06:00 AM to 06:30 AM </c:v>
                </c:pt>
                <c:pt idx="4">
                  <c:v>06:30 AM to 07:00 AM </c:v>
                </c:pt>
                <c:pt idx="5">
                  <c:v>07:00 AM to 07:30 AM </c:v>
                </c:pt>
                <c:pt idx="6">
                  <c:v>07:30 AM to 08:00 AM </c:v>
                </c:pt>
                <c:pt idx="7">
                  <c:v>08:00 AM to 08:30 AM </c:v>
                </c:pt>
                <c:pt idx="8">
                  <c:v>08:30 AM to 09:00 AM </c:v>
                </c:pt>
                <c:pt idx="9">
                  <c:v>09:00 AM to 09:30 AM </c:v>
                </c:pt>
                <c:pt idx="10">
                  <c:v>09:30 AM to 10:00 AM </c:v>
                </c:pt>
                <c:pt idx="11">
                  <c:v>10:00 AM to 10:30 AM </c:v>
                </c:pt>
                <c:pt idx="12">
                  <c:v>10:30 AM to 11:00 AM </c:v>
                </c:pt>
                <c:pt idx="13">
                  <c:v>11:00 AM to 11:30 AM </c:v>
                </c:pt>
                <c:pt idx="14">
                  <c:v>11:30 AM to 12:00 PM </c:v>
                </c:pt>
                <c:pt idx="15">
                  <c:v>12:00 PM to 12:30 PM </c:v>
                </c:pt>
                <c:pt idx="16">
                  <c:v>12:30 PM to 01:00 PM </c:v>
                </c:pt>
                <c:pt idx="17">
                  <c:v>01:00 PM to 01:30 PM </c:v>
                </c:pt>
                <c:pt idx="18">
                  <c:v>01:30 PM to 02:00 PM </c:v>
                </c:pt>
                <c:pt idx="19">
                  <c:v>02:00 PM to 02:30 PM </c:v>
                </c:pt>
                <c:pt idx="20">
                  <c:v>02:30 PM to 03:00 PM </c:v>
                </c:pt>
                <c:pt idx="21">
                  <c:v>03:00 PM to 03:30 PM </c:v>
                </c:pt>
                <c:pt idx="22">
                  <c:v>03:30 PM to 04:00 PM </c:v>
                </c:pt>
                <c:pt idx="23">
                  <c:v>04:00 PM to 04:30 PM </c:v>
                </c:pt>
                <c:pt idx="24">
                  <c:v>04:30 PM to 05:00 PM </c:v>
                </c:pt>
                <c:pt idx="25">
                  <c:v>05:00 PM to 05:30 PM </c:v>
                </c:pt>
                <c:pt idx="26">
                  <c:v>05:30 PM to 06:00 PM </c:v>
                </c:pt>
                <c:pt idx="27">
                  <c:v>06:00 PM to 06:30 PM </c:v>
                </c:pt>
                <c:pt idx="28">
                  <c:v>06:30 PM to 07:00 PM </c:v>
                </c:pt>
                <c:pt idx="29">
                  <c:v>07:00 PM to 07:30 PM </c:v>
                </c:pt>
                <c:pt idx="30">
                  <c:v>07:30 PM to 08:00 PM </c:v>
                </c:pt>
                <c:pt idx="31">
                  <c:v>08:00 PM to 08:30 PM </c:v>
                </c:pt>
                <c:pt idx="32">
                  <c:v>08:30 PM to 09:00 PM </c:v>
                </c:pt>
                <c:pt idx="33">
                  <c:v>09:00 PM to 09:30 PM </c:v>
                </c:pt>
                <c:pt idx="34">
                  <c:v>09:30 PM to 10:00 PM </c:v>
                </c:pt>
                <c:pt idx="35">
                  <c:v>10:00 PM to 10:30 PM </c:v>
                </c:pt>
                <c:pt idx="36">
                  <c:v>10:30 PM to 11:00 PM </c:v>
                </c:pt>
                <c:pt idx="37">
                  <c:v>11:00 PM to 11:30 PM </c:v>
                </c:pt>
                <c:pt idx="38">
                  <c:v>11:30 PM to 12:00 AM </c:v>
                </c:pt>
                <c:pt idx="39">
                  <c:v>12:00 PM to 03:00 AM </c:v>
                </c:pt>
              </c:strCache>
            </c:strRef>
          </c:cat>
          <c:val>
            <c:numRef>
              <c:f>TOD!$F$8:$F$47</c:f>
              <c:numCache>
                <c:formatCode>0.0%</c:formatCode>
                <c:ptCount val="40"/>
                <c:pt idx="0">
                  <c:v>3.0958243626876365E-3</c:v>
                </c:pt>
                <c:pt idx="1">
                  <c:v>4.8811988538673541E-4</c:v>
                </c:pt>
                <c:pt idx="2">
                  <c:v>2.0609995194774381E-3</c:v>
                </c:pt>
                <c:pt idx="3">
                  <c:v>7.8438922344636394E-3</c:v>
                </c:pt>
                <c:pt idx="4">
                  <c:v>1.9520901437890977E-2</c:v>
                </c:pt>
                <c:pt idx="5">
                  <c:v>4.5927181840912677E-2</c:v>
                </c:pt>
                <c:pt idx="6">
                  <c:v>8.6389160073185575E-2</c:v>
                </c:pt>
                <c:pt idx="7">
                  <c:v>7.8412106563621853E-2</c:v>
                </c:pt>
                <c:pt idx="8">
                  <c:v>8.7848167734977625E-2</c:v>
                </c:pt>
                <c:pt idx="9">
                  <c:v>2.1415747935348228E-2</c:v>
                </c:pt>
                <c:pt idx="10">
                  <c:v>1.00430999513921E-2</c:v>
                </c:pt>
                <c:pt idx="11">
                  <c:v>1.1197641855633714E-2</c:v>
                </c:pt>
                <c:pt idx="12">
                  <c:v>1.8367325833029417E-2</c:v>
                </c:pt>
                <c:pt idx="13">
                  <c:v>4.5723330461485509E-2</c:v>
                </c:pt>
                <c:pt idx="14">
                  <c:v>4.1003362364208283E-2</c:v>
                </c:pt>
                <c:pt idx="15">
                  <c:v>1.30286985779663E-2</c:v>
                </c:pt>
                <c:pt idx="16">
                  <c:v>1.6662038713172591E-2</c:v>
                </c:pt>
                <c:pt idx="17">
                  <c:v>1.1061747732959855E-2</c:v>
                </c:pt>
                <c:pt idx="18">
                  <c:v>1.7696613486065771E-2</c:v>
                </c:pt>
                <c:pt idx="19">
                  <c:v>4.7232699833805111E-2</c:v>
                </c:pt>
                <c:pt idx="20">
                  <c:v>5.61989719259402E-2</c:v>
                </c:pt>
                <c:pt idx="21">
                  <c:v>6.1238243090750627E-2</c:v>
                </c:pt>
                <c:pt idx="22">
                  <c:v>3.6197020535315011E-2</c:v>
                </c:pt>
                <c:pt idx="23">
                  <c:v>3.2108624126790469E-2</c:v>
                </c:pt>
                <c:pt idx="24">
                  <c:v>2.7382780078290384E-2</c:v>
                </c:pt>
                <c:pt idx="25">
                  <c:v>3.8103708131299242E-2</c:v>
                </c:pt>
                <c:pt idx="26">
                  <c:v>4.2654598919746919E-2</c:v>
                </c:pt>
                <c:pt idx="27">
                  <c:v>2.206015505409065E-2</c:v>
                </c:pt>
                <c:pt idx="28">
                  <c:v>2.0148397841498099E-2</c:v>
                </c:pt>
                <c:pt idx="29">
                  <c:v>1.3026629108184992E-2</c:v>
                </c:pt>
                <c:pt idx="30">
                  <c:v>1.1126397696936798E-2</c:v>
                </c:pt>
                <c:pt idx="31">
                  <c:v>1.3105041073831725E-2</c:v>
                </c:pt>
                <c:pt idx="32">
                  <c:v>9.1256904870306351E-3</c:v>
                </c:pt>
                <c:pt idx="33">
                  <c:v>6.09656488677767E-3</c:v>
                </c:pt>
                <c:pt idx="34">
                  <c:v>8.5591859456035212E-3</c:v>
                </c:pt>
                <c:pt idx="35">
                  <c:v>7.9221520465892498E-3</c:v>
                </c:pt>
                <c:pt idx="36">
                  <c:v>5.5647040897128025E-3</c:v>
                </c:pt>
                <c:pt idx="37">
                  <c:v>1.5960295615619693E-3</c:v>
                </c:pt>
                <c:pt idx="38">
                  <c:v>1.756407294565356E-3</c:v>
                </c:pt>
                <c:pt idx="39">
                  <c:v>1.0100377078128377E-3</c:v>
                </c:pt>
              </c:numCache>
            </c:numRef>
          </c:val>
          <c:smooth val="0"/>
          <c:extLst>
            <c:ext xmlns:c16="http://schemas.microsoft.com/office/drawing/2014/chart" uri="{C3380CC4-5D6E-409C-BE32-E72D297353CC}">
              <c16:uniqueId val="{00000000-0D12-40BC-AA06-8CCADDA491A1}"/>
            </c:ext>
          </c:extLst>
        </c:ser>
        <c:ser>
          <c:idx val="2"/>
          <c:order val="1"/>
          <c:tx>
            <c:strRef>
              <c:f>TOD!$G$7</c:f>
              <c:strCache>
                <c:ptCount val="1"/>
                <c:pt idx="0">
                  <c:v>Survey-Arr</c:v>
                </c:pt>
              </c:strCache>
            </c:strRef>
          </c:tx>
          <c:spPr>
            <a:ln w="22225" cap="rnd" cmpd="sng" algn="ctr">
              <a:solidFill>
                <a:schemeClr val="accent3"/>
              </a:solidFill>
              <a:round/>
            </a:ln>
            <a:effectLst/>
          </c:spPr>
          <c:marker>
            <c:symbol val="none"/>
          </c:marker>
          <c:val>
            <c:numRef>
              <c:f>TOD!$G$8:$G$47</c:f>
              <c:numCache>
                <c:formatCode>0.0%</c:formatCode>
                <c:ptCount val="40"/>
                <c:pt idx="0">
                  <c:v>1.1733228131790752E-3</c:v>
                </c:pt>
                <c:pt idx="1">
                  <c:v>1.9330320759210307E-4</c:v>
                </c:pt>
                <c:pt idx="2">
                  <c:v>8.5608710749614941E-4</c:v>
                </c:pt>
                <c:pt idx="3">
                  <c:v>3.0634445107446595E-3</c:v>
                </c:pt>
                <c:pt idx="4">
                  <c:v>8.8555346472661556E-3</c:v>
                </c:pt>
                <c:pt idx="5">
                  <c:v>2.6253538250661297E-2</c:v>
                </c:pt>
                <c:pt idx="6">
                  <c:v>4.3966068970371794E-2</c:v>
                </c:pt>
                <c:pt idx="7">
                  <c:v>8.3669554199103408E-2</c:v>
                </c:pt>
                <c:pt idx="8">
                  <c:v>6.4066459116312563E-2</c:v>
                </c:pt>
                <c:pt idx="9">
                  <c:v>6.3566432472047435E-2</c:v>
                </c:pt>
                <c:pt idx="10">
                  <c:v>1.974689361531088E-2</c:v>
                </c:pt>
                <c:pt idx="11">
                  <c:v>1.1924551635164172E-2</c:v>
                </c:pt>
                <c:pt idx="12">
                  <c:v>9.3656340059246092E-3</c:v>
                </c:pt>
                <c:pt idx="13">
                  <c:v>2.4898160804306103E-2</c:v>
                </c:pt>
                <c:pt idx="14">
                  <c:v>4.5540905104440484E-2</c:v>
                </c:pt>
                <c:pt idx="15">
                  <c:v>3.0469094807659147E-2</c:v>
                </c:pt>
                <c:pt idx="16">
                  <c:v>2.7969338030515233E-2</c:v>
                </c:pt>
                <c:pt idx="17">
                  <c:v>1.4945266089152771E-2</c:v>
                </c:pt>
                <c:pt idx="18">
                  <c:v>1.0515472580571988E-2</c:v>
                </c:pt>
                <c:pt idx="19">
                  <c:v>1.7141056042419774E-2</c:v>
                </c:pt>
                <c:pt idx="20">
                  <c:v>4.3463894267896985E-2</c:v>
                </c:pt>
                <c:pt idx="21">
                  <c:v>7.8107698255691499E-2</c:v>
                </c:pt>
                <c:pt idx="22">
                  <c:v>5.2762678037843548E-2</c:v>
                </c:pt>
                <c:pt idx="23">
                  <c:v>3.2579854758839615E-2</c:v>
                </c:pt>
                <c:pt idx="24">
                  <c:v>2.9975949801708056E-2</c:v>
                </c:pt>
                <c:pt idx="25">
                  <c:v>3.1742899938782862E-2</c:v>
                </c:pt>
                <c:pt idx="26">
                  <c:v>3.4299934998625228E-2</c:v>
                </c:pt>
                <c:pt idx="27">
                  <c:v>4.3558200254448023E-2</c:v>
                </c:pt>
                <c:pt idx="28">
                  <c:v>2.9366935737308413E-2</c:v>
                </c:pt>
                <c:pt idx="29">
                  <c:v>2.4209375090752275E-2</c:v>
                </c:pt>
                <c:pt idx="30">
                  <c:v>1.1930071601035841E-2</c:v>
                </c:pt>
                <c:pt idx="31">
                  <c:v>1.4794893633749426E-2</c:v>
                </c:pt>
                <c:pt idx="32">
                  <c:v>1.3507287614728383E-2</c:v>
                </c:pt>
                <c:pt idx="33">
                  <c:v>1.3593857672920089E-2</c:v>
                </c:pt>
                <c:pt idx="34">
                  <c:v>9.2075613719920981E-3</c:v>
                </c:pt>
                <c:pt idx="35">
                  <c:v>6.3429124701132001E-3</c:v>
                </c:pt>
                <c:pt idx="36">
                  <c:v>8.85986280763695E-3</c:v>
                </c:pt>
                <c:pt idx="37">
                  <c:v>6.7783235317763315E-3</c:v>
                </c:pt>
                <c:pt idx="38">
                  <c:v>3.6302097301416786E-3</c:v>
                </c:pt>
                <c:pt idx="39">
                  <c:v>3.1074804137698705E-3</c:v>
                </c:pt>
              </c:numCache>
            </c:numRef>
          </c:val>
          <c:smooth val="0"/>
          <c:extLst>
            <c:ext xmlns:c16="http://schemas.microsoft.com/office/drawing/2014/chart" uri="{C3380CC4-5D6E-409C-BE32-E72D297353CC}">
              <c16:uniqueId val="{00000001-0D12-40BC-AA06-8CCADDA491A1}"/>
            </c:ext>
          </c:extLst>
        </c:ser>
        <c:ser>
          <c:idx val="1"/>
          <c:order val="2"/>
          <c:tx>
            <c:strRef>
              <c:f>TOD!$L$7</c:f>
              <c:strCache>
                <c:ptCount val="1"/>
                <c:pt idx="0">
                  <c:v>Model-Dep</c:v>
                </c:pt>
              </c:strCache>
            </c:strRef>
          </c:tx>
          <c:spPr>
            <a:ln w="22225" cap="rnd" cmpd="sng" algn="ctr">
              <a:solidFill>
                <a:schemeClr val="accent1"/>
              </a:solidFill>
              <a:prstDash val="sysDash"/>
              <a:round/>
            </a:ln>
            <a:effectLst/>
          </c:spPr>
          <c:marker>
            <c:symbol val="none"/>
          </c:marker>
          <c:val>
            <c:numRef>
              <c:f>TOD!$L$8:$L$47</c:f>
              <c:numCache>
                <c:formatCode>0.0%</c:formatCode>
                <c:ptCount val="40"/>
                <c:pt idx="0">
                  <c:v>4.0775524162786417E-3</c:v>
                </c:pt>
                <c:pt idx="1">
                  <c:v>6.0618359884400449E-3</c:v>
                </c:pt>
                <c:pt idx="2">
                  <c:v>9.1472466186379841E-3</c:v>
                </c:pt>
                <c:pt idx="3">
                  <c:v>1.3081990747526221E-2</c:v>
                </c:pt>
                <c:pt idx="4">
                  <c:v>2.5543892878752007E-2</c:v>
                </c:pt>
                <c:pt idx="5">
                  <c:v>4.306045676103288E-2</c:v>
                </c:pt>
                <c:pt idx="6">
                  <c:v>6.1291062080265774E-2</c:v>
                </c:pt>
                <c:pt idx="7">
                  <c:v>7.5849991168434855E-2</c:v>
                </c:pt>
                <c:pt idx="8">
                  <c:v>5.7874937521374265E-2</c:v>
                </c:pt>
                <c:pt idx="9">
                  <c:v>1.7317383902499522E-2</c:v>
                </c:pt>
                <c:pt idx="10">
                  <c:v>1.5442085602293952E-2</c:v>
                </c:pt>
                <c:pt idx="11">
                  <c:v>1.5517247858815216E-2</c:v>
                </c:pt>
                <c:pt idx="12">
                  <c:v>1.7685678959453721E-2</c:v>
                </c:pt>
                <c:pt idx="13">
                  <c:v>3.4289021425001225E-2</c:v>
                </c:pt>
                <c:pt idx="14">
                  <c:v>3.6758101551724785E-2</c:v>
                </c:pt>
                <c:pt idx="15">
                  <c:v>1.4592752103603654E-2</c:v>
                </c:pt>
                <c:pt idx="16">
                  <c:v>1.2398014213182708E-2</c:v>
                </c:pt>
                <c:pt idx="17">
                  <c:v>1.1368291298841374E-2</c:v>
                </c:pt>
                <c:pt idx="18">
                  <c:v>1.9820287044657655E-2</c:v>
                </c:pt>
                <c:pt idx="19">
                  <c:v>3.5224791518690977E-2</c:v>
                </c:pt>
                <c:pt idx="20">
                  <c:v>4.272974283233931E-2</c:v>
                </c:pt>
                <c:pt idx="21">
                  <c:v>4.3323524658857311E-2</c:v>
                </c:pt>
                <c:pt idx="22">
                  <c:v>3.6713004197812024E-2</c:v>
                </c:pt>
                <c:pt idx="23">
                  <c:v>3.5687039396296756E-2</c:v>
                </c:pt>
                <c:pt idx="24">
                  <c:v>3.5874945037599922E-2</c:v>
                </c:pt>
                <c:pt idx="25">
                  <c:v>5.1253142721850796E-2</c:v>
                </c:pt>
                <c:pt idx="26">
                  <c:v>4.7769372132090149E-2</c:v>
                </c:pt>
                <c:pt idx="27">
                  <c:v>2.9008872904382334E-2</c:v>
                </c:pt>
                <c:pt idx="28">
                  <c:v>2.5457456283752553E-2</c:v>
                </c:pt>
                <c:pt idx="29">
                  <c:v>2.2026299273556791E-2</c:v>
                </c:pt>
                <c:pt idx="30">
                  <c:v>1.8369655493797234E-2</c:v>
                </c:pt>
                <c:pt idx="31">
                  <c:v>1.6137336475115657E-2</c:v>
                </c:pt>
                <c:pt idx="32">
                  <c:v>1.4055341969476607E-2</c:v>
                </c:pt>
                <c:pt idx="33">
                  <c:v>1.2300303279705063E-2</c:v>
                </c:pt>
                <c:pt idx="34">
                  <c:v>1.0887252857105276E-2</c:v>
                </c:pt>
                <c:pt idx="35">
                  <c:v>9.1096654903773527E-3</c:v>
                </c:pt>
                <c:pt idx="36">
                  <c:v>7.8619720321243484E-3</c:v>
                </c:pt>
                <c:pt idx="37">
                  <c:v>6.452679722350624E-3</c:v>
                </c:pt>
                <c:pt idx="38">
                  <c:v>5.1448564588806086E-3</c:v>
                </c:pt>
                <c:pt idx="39">
                  <c:v>3.4349151230218234E-3</c:v>
                </c:pt>
              </c:numCache>
            </c:numRef>
          </c:val>
          <c:smooth val="0"/>
          <c:extLst>
            <c:ext xmlns:c16="http://schemas.microsoft.com/office/drawing/2014/chart" uri="{C3380CC4-5D6E-409C-BE32-E72D297353CC}">
              <c16:uniqueId val="{00000002-0D12-40BC-AA06-8CCADDA491A1}"/>
            </c:ext>
          </c:extLst>
        </c:ser>
        <c:ser>
          <c:idx val="3"/>
          <c:order val="3"/>
          <c:tx>
            <c:strRef>
              <c:f>TOD!$M$7</c:f>
              <c:strCache>
                <c:ptCount val="1"/>
                <c:pt idx="0">
                  <c:v>Model-Arr</c:v>
                </c:pt>
              </c:strCache>
            </c:strRef>
          </c:tx>
          <c:spPr>
            <a:ln w="22225" cap="rnd" cmpd="sng" algn="ctr">
              <a:solidFill>
                <a:schemeClr val="accent3"/>
              </a:solidFill>
              <a:prstDash val="sysDash"/>
              <a:round/>
            </a:ln>
            <a:effectLst/>
          </c:spPr>
          <c:marker>
            <c:symbol val="none"/>
          </c:marker>
          <c:val>
            <c:numRef>
              <c:f>TOD!$M$8:$M$47</c:f>
              <c:numCache>
                <c:formatCode>0.0%</c:formatCode>
                <c:ptCount val="40"/>
                <c:pt idx="0">
                  <c:v>5.1861956999673048E-4</c:v>
                </c:pt>
                <c:pt idx="1">
                  <c:v>2.4765963523756909E-3</c:v>
                </c:pt>
                <c:pt idx="2">
                  <c:v>4.3556527654073232E-3</c:v>
                </c:pt>
                <c:pt idx="3">
                  <c:v>6.7232638458271793E-3</c:v>
                </c:pt>
                <c:pt idx="4">
                  <c:v>1.123675734992916E-2</c:v>
                </c:pt>
                <c:pt idx="5">
                  <c:v>2.1131868420953735E-2</c:v>
                </c:pt>
                <c:pt idx="6">
                  <c:v>3.6280821222814751E-2</c:v>
                </c:pt>
                <c:pt idx="7">
                  <c:v>5.7705822444201423E-2</c:v>
                </c:pt>
                <c:pt idx="8">
                  <c:v>5.3639544366400969E-2</c:v>
                </c:pt>
                <c:pt idx="9">
                  <c:v>4.8085053609479463E-2</c:v>
                </c:pt>
                <c:pt idx="10">
                  <c:v>1.9861626285744352E-2</c:v>
                </c:pt>
                <c:pt idx="11">
                  <c:v>1.5667572371857747E-2</c:v>
                </c:pt>
                <c:pt idx="12">
                  <c:v>1.2957973024266135E-2</c:v>
                </c:pt>
                <c:pt idx="13">
                  <c:v>2.2368287540728549E-2</c:v>
                </c:pt>
                <c:pt idx="14">
                  <c:v>3.3544915085440698E-2</c:v>
                </c:pt>
                <c:pt idx="15">
                  <c:v>3.0669958773502298E-2</c:v>
                </c:pt>
                <c:pt idx="16">
                  <c:v>1.8583867924882841E-2</c:v>
                </c:pt>
                <c:pt idx="17">
                  <c:v>1.350665749687137E-2</c:v>
                </c:pt>
                <c:pt idx="18">
                  <c:v>1.4431153252082935E-2</c:v>
                </c:pt>
                <c:pt idx="19">
                  <c:v>1.5194050155773776E-2</c:v>
                </c:pt>
                <c:pt idx="20">
                  <c:v>2.6336854685051356E-2</c:v>
                </c:pt>
                <c:pt idx="21">
                  <c:v>5.4056694890093987E-2</c:v>
                </c:pt>
                <c:pt idx="22">
                  <c:v>4.1388096553434728E-2</c:v>
                </c:pt>
                <c:pt idx="23">
                  <c:v>3.3819257321743311E-2</c:v>
                </c:pt>
                <c:pt idx="24">
                  <c:v>3.7648774291501777E-2</c:v>
                </c:pt>
                <c:pt idx="25">
                  <c:v>4.5503230097974003E-2</c:v>
                </c:pt>
                <c:pt idx="26">
                  <c:v>5.1824375871412413E-2</c:v>
                </c:pt>
                <c:pt idx="27">
                  <c:v>5.4883479711827908E-2</c:v>
                </c:pt>
                <c:pt idx="28">
                  <c:v>3.6690455520855647E-2</c:v>
                </c:pt>
                <c:pt idx="29">
                  <c:v>3.0534666711764021E-2</c:v>
                </c:pt>
                <c:pt idx="30">
                  <c:v>2.5686701166142412E-2</c:v>
                </c:pt>
                <c:pt idx="31">
                  <c:v>2.1210788790301062E-2</c:v>
                </c:pt>
                <c:pt idx="32">
                  <c:v>1.8948404869010976E-2</c:v>
                </c:pt>
                <c:pt idx="33">
                  <c:v>1.6039625541638011E-2</c:v>
                </c:pt>
                <c:pt idx="34">
                  <c:v>1.4412362687952618E-2</c:v>
                </c:pt>
                <c:pt idx="35">
                  <c:v>1.2604710418616188E-2</c:v>
                </c:pt>
                <c:pt idx="36">
                  <c:v>1.1033819257321744E-2</c:v>
                </c:pt>
                <c:pt idx="37">
                  <c:v>9.5230579012443115E-3</c:v>
                </c:pt>
                <c:pt idx="38">
                  <c:v>8.8841787208135559E-3</c:v>
                </c:pt>
                <c:pt idx="39">
                  <c:v>1.0030403132762851E-2</c:v>
                </c:pt>
              </c:numCache>
            </c:numRef>
          </c:val>
          <c:smooth val="0"/>
          <c:extLst>
            <c:ext xmlns:c16="http://schemas.microsoft.com/office/drawing/2014/chart" uri="{C3380CC4-5D6E-409C-BE32-E72D297353CC}">
              <c16:uniqueId val="{00000003-0D12-40BC-AA06-8CCADDA491A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06286752"/>
        <c:axId val="606287296"/>
      </c:lineChart>
      <c:catAx>
        <c:axId val="6062867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1000" b="0" i="0" u="none" strike="noStrike" kern="1200" spc="20" baseline="0">
                <a:solidFill>
                  <a:schemeClr val="dk1">
                    <a:lumMod val="65000"/>
                    <a:lumOff val="35000"/>
                  </a:schemeClr>
                </a:solidFill>
                <a:latin typeface="+mn-lt"/>
                <a:ea typeface="+mn-ea"/>
                <a:cs typeface="+mn-cs"/>
              </a:defRPr>
            </a:pPr>
            <a:endParaRPr lang="en-US"/>
          </a:p>
        </c:txPr>
        <c:crossAx val="606287296"/>
        <c:crosses val="autoZero"/>
        <c:auto val="1"/>
        <c:lblAlgn val="ctr"/>
        <c:lblOffset val="100"/>
        <c:noMultiLvlLbl val="0"/>
      </c:catAx>
      <c:valAx>
        <c:axId val="60628729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06286752"/>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none" spc="20" baseline="0">
                <a:solidFill>
                  <a:schemeClr val="dk1">
                    <a:lumMod val="50000"/>
                    <a:lumOff val="50000"/>
                  </a:schemeClr>
                </a:solidFill>
                <a:latin typeface="+mn-lt"/>
                <a:ea typeface="+mn-ea"/>
                <a:cs typeface="+mn-cs"/>
              </a:defRPr>
            </a:pPr>
            <a:r>
              <a:rPr lang="en-US" sz="1800"/>
              <a:t>Tour Duration Profile </a:t>
            </a:r>
          </a:p>
        </c:rich>
      </c:tx>
      <c:overlay val="0"/>
      <c:spPr>
        <a:noFill/>
        <a:ln>
          <a:noFill/>
        </a:ln>
        <a:effectLst/>
      </c:spPr>
      <c:txPr>
        <a:bodyPr rot="0" spcFirstLastPara="1" vertOverflow="ellipsis" vert="horz" wrap="square" anchor="ctr" anchorCtr="1"/>
        <a:lstStyle/>
        <a:p>
          <a:pPr>
            <a:defRPr sz="18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5.2171384869875062E-2"/>
          <c:y val="1.6742080145012724E-2"/>
          <c:w val="0.9328188690021989"/>
          <c:h val="0.67622529955126254"/>
        </c:manualLayout>
      </c:layout>
      <c:lineChart>
        <c:grouping val="standard"/>
        <c:varyColors val="0"/>
        <c:ser>
          <c:idx val="0"/>
          <c:order val="0"/>
          <c:tx>
            <c:strRef>
              <c:f>TOD!$H$7</c:f>
              <c:strCache>
                <c:ptCount val="1"/>
                <c:pt idx="0">
                  <c:v>Survey-Dur</c:v>
                </c:pt>
              </c:strCache>
            </c:strRef>
          </c:tx>
          <c:spPr>
            <a:ln w="22225" cap="rnd" cmpd="sng" algn="ctr">
              <a:solidFill>
                <a:schemeClr val="accent1"/>
              </a:solidFill>
              <a:round/>
            </a:ln>
            <a:effectLst/>
          </c:spPr>
          <c:marker>
            <c:symbol val="none"/>
          </c:marker>
          <c:cat>
            <c:strRef>
              <c:f>TOD!$B$52:$B$91</c:f>
              <c:strCache>
                <c:ptCount val="40"/>
                <c:pt idx="0">
                  <c:v>(0.5 hours)</c:v>
                </c:pt>
                <c:pt idx="1">
                  <c:v>(1 hours)</c:v>
                </c:pt>
                <c:pt idx="2">
                  <c:v>(1.5 hours)</c:v>
                </c:pt>
                <c:pt idx="3">
                  <c:v>(2 hours)</c:v>
                </c:pt>
                <c:pt idx="4">
                  <c:v>(2.5 hours)</c:v>
                </c:pt>
                <c:pt idx="5">
                  <c:v>(3 hours)</c:v>
                </c:pt>
                <c:pt idx="6">
                  <c:v>(3.5 hours)</c:v>
                </c:pt>
                <c:pt idx="7">
                  <c:v>(4 hours)</c:v>
                </c:pt>
                <c:pt idx="8">
                  <c:v>(4.5 hours)</c:v>
                </c:pt>
                <c:pt idx="9">
                  <c:v>(5 hours)</c:v>
                </c:pt>
                <c:pt idx="10">
                  <c:v>(5.5 hours)</c:v>
                </c:pt>
                <c:pt idx="11">
                  <c:v>(6 hours)</c:v>
                </c:pt>
                <c:pt idx="12">
                  <c:v>(6.5 hours)</c:v>
                </c:pt>
                <c:pt idx="13">
                  <c:v>(7 hours)</c:v>
                </c:pt>
                <c:pt idx="14">
                  <c:v>(7.5 hours)</c:v>
                </c:pt>
                <c:pt idx="15">
                  <c:v>(8 hours)</c:v>
                </c:pt>
                <c:pt idx="16">
                  <c:v>(8.5 hours)</c:v>
                </c:pt>
                <c:pt idx="17">
                  <c:v>(9 hours)</c:v>
                </c:pt>
                <c:pt idx="18">
                  <c:v>(9.5 hours)</c:v>
                </c:pt>
                <c:pt idx="19">
                  <c:v>(10 hours)</c:v>
                </c:pt>
                <c:pt idx="20">
                  <c:v>(10.5 hours)</c:v>
                </c:pt>
                <c:pt idx="21">
                  <c:v>(11 hours)</c:v>
                </c:pt>
                <c:pt idx="22">
                  <c:v>(11.5 hours)</c:v>
                </c:pt>
                <c:pt idx="23">
                  <c:v>(12 hours)</c:v>
                </c:pt>
                <c:pt idx="24">
                  <c:v>(12.5 hours)</c:v>
                </c:pt>
                <c:pt idx="25">
                  <c:v>(13 hours)</c:v>
                </c:pt>
                <c:pt idx="26">
                  <c:v>(13.5 hours)</c:v>
                </c:pt>
                <c:pt idx="27">
                  <c:v>(14 hours)</c:v>
                </c:pt>
                <c:pt idx="28">
                  <c:v>(14.5 hours)</c:v>
                </c:pt>
                <c:pt idx="29">
                  <c:v>(15 hours)</c:v>
                </c:pt>
                <c:pt idx="30">
                  <c:v>(15.5 hours)</c:v>
                </c:pt>
                <c:pt idx="31">
                  <c:v>(16 hours)</c:v>
                </c:pt>
                <c:pt idx="32">
                  <c:v>(16.5 hours)</c:v>
                </c:pt>
                <c:pt idx="33">
                  <c:v>(17 hours)</c:v>
                </c:pt>
                <c:pt idx="34">
                  <c:v>(17.5 hours)</c:v>
                </c:pt>
                <c:pt idx="35">
                  <c:v>(18 hours)</c:v>
                </c:pt>
                <c:pt idx="36">
                  <c:v>(18.5 hours)</c:v>
                </c:pt>
                <c:pt idx="37">
                  <c:v>(19 hours)</c:v>
                </c:pt>
                <c:pt idx="38">
                  <c:v>(19.5 hours)</c:v>
                </c:pt>
                <c:pt idx="39">
                  <c:v>(20 hours)</c:v>
                </c:pt>
              </c:strCache>
            </c:strRef>
          </c:cat>
          <c:val>
            <c:numRef>
              <c:f>TOD!$H$8:$H$47</c:f>
              <c:numCache>
                <c:formatCode>0.0%</c:formatCode>
                <c:ptCount val="40"/>
                <c:pt idx="0">
                  <c:v>0.23676734573030284</c:v>
                </c:pt>
                <c:pt idx="1">
                  <c:v>0.45559461889909203</c:v>
                </c:pt>
                <c:pt idx="2">
                  <c:v>0.15679079272821378</c:v>
                </c:pt>
                <c:pt idx="3">
                  <c:v>5.3933777782823461E-2</c:v>
                </c:pt>
                <c:pt idx="4">
                  <c:v>3.2812739796355447E-2</c:v>
                </c:pt>
                <c:pt idx="5">
                  <c:v>1.5637261403022622E-2</c:v>
                </c:pt>
                <c:pt idx="6">
                  <c:v>1.395137063171009E-2</c:v>
                </c:pt>
                <c:pt idx="7">
                  <c:v>9.1767306673547887E-3</c:v>
                </c:pt>
                <c:pt idx="8">
                  <c:v>3.163232962139557E-3</c:v>
                </c:pt>
                <c:pt idx="9">
                  <c:v>4.2450092479873547E-3</c:v>
                </c:pt>
                <c:pt idx="10">
                  <c:v>1.7992611078461007E-3</c:v>
                </c:pt>
                <c:pt idx="11">
                  <c:v>2.0239487207400759E-3</c:v>
                </c:pt>
                <c:pt idx="12">
                  <c:v>5.3311527931073624E-4</c:v>
                </c:pt>
                <c:pt idx="13">
                  <c:v>2.5904110671476294E-3</c:v>
                </c:pt>
                <c:pt idx="14">
                  <c:v>1.1058215543691356E-3</c:v>
                </c:pt>
                <c:pt idx="15">
                  <c:v>2.1631911122118909E-3</c:v>
                </c:pt>
                <c:pt idx="16">
                  <c:v>4.4712221565889113E-4</c:v>
                </c:pt>
                <c:pt idx="17">
                  <c:v>0</c:v>
                </c:pt>
                <c:pt idx="18">
                  <c:v>1.8379844847863001E-4</c:v>
                </c:pt>
                <c:pt idx="19">
                  <c:v>3.1156939449790639E-3</c:v>
                </c:pt>
                <c:pt idx="20">
                  <c:v>8.6444552239361234E-4</c:v>
                </c:pt>
                <c:pt idx="21">
                  <c:v>1.032847116042985E-3</c:v>
                </c:pt>
                <c:pt idx="22">
                  <c:v>2.303955514249266E-4</c:v>
                </c:pt>
                <c:pt idx="23">
                  <c:v>1.2705646858694243E-4</c:v>
                </c:pt>
                <c:pt idx="24">
                  <c:v>1.1211642086214357E-3</c:v>
                </c:pt>
                <c:pt idx="25">
                  <c:v>5.1851275475690785E-4</c:v>
                </c:pt>
                <c:pt idx="26">
                  <c:v>7.0335078429542886E-5</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extLst>
            <c:ext xmlns:c16="http://schemas.microsoft.com/office/drawing/2014/chart" uri="{C3380CC4-5D6E-409C-BE32-E72D297353CC}">
              <c16:uniqueId val="{00000000-2369-4DB4-B5F2-CCAFFE4028B5}"/>
            </c:ext>
          </c:extLst>
        </c:ser>
        <c:ser>
          <c:idx val="4"/>
          <c:order val="1"/>
          <c:tx>
            <c:strRef>
              <c:f>TOD!$N$7</c:f>
              <c:strCache>
                <c:ptCount val="1"/>
                <c:pt idx="0">
                  <c:v>Model-Dur</c:v>
                </c:pt>
              </c:strCache>
            </c:strRef>
          </c:tx>
          <c:spPr>
            <a:ln w="22225" cap="rnd" cmpd="sng" algn="ctr">
              <a:solidFill>
                <a:schemeClr val="accent5"/>
              </a:solidFill>
              <a:prstDash val="sysDash"/>
              <a:round/>
            </a:ln>
            <a:effectLst/>
          </c:spPr>
          <c:marker>
            <c:symbol val="none"/>
          </c:marker>
          <c:cat>
            <c:strRef>
              <c:f>TOD!$B$52:$B$91</c:f>
              <c:strCache>
                <c:ptCount val="40"/>
                <c:pt idx="0">
                  <c:v>(0.5 hours)</c:v>
                </c:pt>
                <c:pt idx="1">
                  <c:v>(1 hours)</c:v>
                </c:pt>
                <c:pt idx="2">
                  <c:v>(1.5 hours)</c:v>
                </c:pt>
                <c:pt idx="3">
                  <c:v>(2 hours)</c:v>
                </c:pt>
                <c:pt idx="4">
                  <c:v>(2.5 hours)</c:v>
                </c:pt>
                <c:pt idx="5">
                  <c:v>(3 hours)</c:v>
                </c:pt>
                <c:pt idx="6">
                  <c:v>(3.5 hours)</c:v>
                </c:pt>
                <c:pt idx="7">
                  <c:v>(4 hours)</c:v>
                </c:pt>
                <c:pt idx="8">
                  <c:v>(4.5 hours)</c:v>
                </c:pt>
                <c:pt idx="9">
                  <c:v>(5 hours)</c:v>
                </c:pt>
                <c:pt idx="10">
                  <c:v>(5.5 hours)</c:v>
                </c:pt>
                <c:pt idx="11">
                  <c:v>(6 hours)</c:v>
                </c:pt>
                <c:pt idx="12">
                  <c:v>(6.5 hours)</c:v>
                </c:pt>
                <c:pt idx="13">
                  <c:v>(7 hours)</c:v>
                </c:pt>
                <c:pt idx="14">
                  <c:v>(7.5 hours)</c:v>
                </c:pt>
                <c:pt idx="15">
                  <c:v>(8 hours)</c:v>
                </c:pt>
                <c:pt idx="16">
                  <c:v>(8.5 hours)</c:v>
                </c:pt>
                <c:pt idx="17">
                  <c:v>(9 hours)</c:v>
                </c:pt>
                <c:pt idx="18">
                  <c:v>(9.5 hours)</c:v>
                </c:pt>
                <c:pt idx="19">
                  <c:v>(10 hours)</c:v>
                </c:pt>
                <c:pt idx="20">
                  <c:v>(10.5 hours)</c:v>
                </c:pt>
                <c:pt idx="21">
                  <c:v>(11 hours)</c:v>
                </c:pt>
                <c:pt idx="22">
                  <c:v>(11.5 hours)</c:v>
                </c:pt>
                <c:pt idx="23">
                  <c:v>(12 hours)</c:v>
                </c:pt>
                <c:pt idx="24">
                  <c:v>(12.5 hours)</c:v>
                </c:pt>
                <c:pt idx="25">
                  <c:v>(13 hours)</c:v>
                </c:pt>
                <c:pt idx="26">
                  <c:v>(13.5 hours)</c:v>
                </c:pt>
                <c:pt idx="27">
                  <c:v>(14 hours)</c:v>
                </c:pt>
                <c:pt idx="28">
                  <c:v>(14.5 hours)</c:v>
                </c:pt>
                <c:pt idx="29">
                  <c:v>(15 hours)</c:v>
                </c:pt>
                <c:pt idx="30">
                  <c:v>(15.5 hours)</c:v>
                </c:pt>
                <c:pt idx="31">
                  <c:v>(16 hours)</c:v>
                </c:pt>
                <c:pt idx="32">
                  <c:v>(16.5 hours)</c:v>
                </c:pt>
                <c:pt idx="33">
                  <c:v>(17 hours)</c:v>
                </c:pt>
                <c:pt idx="34">
                  <c:v>(17.5 hours)</c:v>
                </c:pt>
                <c:pt idx="35">
                  <c:v>(18 hours)</c:v>
                </c:pt>
                <c:pt idx="36">
                  <c:v>(18.5 hours)</c:v>
                </c:pt>
                <c:pt idx="37">
                  <c:v>(19 hours)</c:v>
                </c:pt>
                <c:pt idx="38">
                  <c:v>(19.5 hours)</c:v>
                </c:pt>
                <c:pt idx="39">
                  <c:v>(20 hours)</c:v>
                </c:pt>
              </c:strCache>
            </c:strRef>
          </c:cat>
          <c:val>
            <c:numRef>
              <c:f>TOD!$N$8:$N$47</c:f>
              <c:numCache>
                <c:formatCode>0.0%</c:formatCode>
                <c:ptCount val="40"/>
                <c:pt idx="0">
                  <c:v>0.18716529307642873</c:v>
                </c:pt>
                <c:pt idx="1">
                  <c:v>0.42716213626165483</c:v>
                </c:pt>
                <c:pt idx="2">
                  <c:v>0.16176420848506715</c:v>
                </c:pt>
                <c:pt idx="3">
                  <c:v>7.3320781236494284E-2</c:v>
                </c:pt>
                <c:pt idx="4">
                  <c:v>3.7787824466066121E-2</c:v>
                </c:pt>
                <c:pt idx="5">
                  <c:v>1.959480027509386E-2</c:v>
                </c:pt>
                <c:pt idx="6">
                  <c:v>1.5904333479899734E-2</c:v>
                </c:pt>
                <c:pt idx="7">
                  <c:v>1.3243589599046942E-2</c:v>
                </c:pt>
                <c:pt idx="8">
                  <c:v>1.1127772077973325E-2</c:v>
                </c:pt>
                <c:pt idx="9">
                  <c:v>9.0645681364645934E-3</c:v>
                </c:pt>
                <c:pt idx="10">
                  <c:v>7.3696592519100611E-3</c:v>
                </c:pt>
                <c:pt idx="11">
                  <c:v>6.1896118245261958E-3</c:v>
                </c:pt>
                <c:pt idx="12">
                  <c:v>5.2162606025758108E-3</c:v>
                </c:pt>
                <c:pt idx="13">
                  <c:v>4.6149625504056883E-3</c:v>
                </c:pt>
                <c:pt idx="14">
                  <c:v>3.8182426312802762E-3</c:v>
                </c:pt>
                <c:pt idx="15">
                  <c:v>3.2770743843271661E-3</c:v>
                </c:pt>
                <c:pt idx="16">
                  <c:v>2.6720182193309809E-3</c:v>
                </c:pt>
                <c:pt idx="17">
                  <c:v>2.3488205162895399E-3</c:v>
                </c:pt>
                <c:pt idx="18">
                  <c:v>1.9504605567268341E-3</c:v>
                </c:pt>
                <c:pt idx="19">
                  <c:v>1.4393572123822301E-3</c:v>
                </c:pt>
                <c:pt idx="20">
                  <c:v>1.225144781296624E-3</c:v>
                </c:pt>
                <c:pt idx="21">
                  <c:v>1.0785783810801568E-3</c:v>
                </c:pt>
                <c:pt idx="22">
                  <c:v>7.4786445238658955E-4</c:v>
                </c:pt>
                <c:pt idx="23">
                  <c:v>5.1486145717066713E-4</c:v>
                </c:pt>
                <c:pt idx="24">
                  <c:v>4.0587618521483251E-4</c:v>
                </c:pt>
                <c:pt idx="25">
                  <c:v>3.5702071847601007E-4</c:v>
                </c:pt>
                <c:pt idx="26">
                  <c:v>2.2548676956379586E-4</c:v>
                </c:pt>
                <c:pt idx="27">
                  <c:v>1.2025961043402446E-4</c:v>
                </c:pt>
                <c:pt idx="28">
                  <c:v>1.0146904630370813E-4</c:v>
                </c:pt>
                <c:pt idx="29">
                  <c:v>6.7646030869138757E-5</c:v>
                </c:pt>
                <c:pt idx="30">
                  <c:v>4.8855466738822435E-5</c:v>
                </c:pt>
                <c:pt idx="31">
                  <c:v>3.3823015434569378E-5</c:v>
                </c:pt>
                <c:pt idx="32">
                  <c:v>2.630678978244285E-5</c:v>
                </c:pt>
                <c:pt idx="33">
                  <c:v>1.1274338478189793E-5</c:v>
                </c:pt>
                <c:pt idx="34">
                  <c:v>3.7581128260632643E-6</c:v>
                </c:pt>
                <c:pt idx="35">
                  <c:v>0</c:v>
                </c:pt>
                <c:pt idx="36">
                  <c:v>0</c:v>
                </c:pt>
                <c:pt idx="37">
                  <c:v>0</c:v>
                </c:pt>
                <c:pt idx="38">
                  <c:v>0</c:v>
                </c:pt>
                <c:pt idx="39">
                  <c:v>0</c:v>
                </c:pt>
              </c:numCache>
            </c:numRef>
          </c:val>
          <c:smooth val="0"/>
          <c:extLst>
            <c:ext xmlns:c16="http://schemas.microsoft.com/office/drawing/2014/chart" uri="{C3380CC4-5D6E-409C-BE32-E72D297353CC}">
              <c16:uniqueId val="{00000001-2369-4DB4-B5F2-CCAFFE4028B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06288384"/>
        <c:axId val="606288928"/>
      </c:lineChart>
      <c:catAx>
        <c:axId val="6062883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1000" b="0" i="0" u="none" strike="noStrike" kern="1200" spc="20" baseline="0">
                <a:solidFill>
                  <a:schemeClr val="dk1">
                    <a:lumMod val="65000"/>
                    <a:lumOff val="35000"/>
                  </a:schemeClr>
                </a:solidFill>
                <a:latin typeface="+mn-lt"/>
                <a:ea typeface="+mn-ea"/>
                <a:cs typeface="+mn-cs"/>
              </a:defRPr>
            </a:pPr>
            <a:endParaRPr lang="en-US"/>
          </a:p>
        </c:txPr>
        <c:crossAx val="606288928"/>
        <c:crosses val="autoZero"/>
        <c:auto val="1"/>
        <c:lblAlgn val="ctr"/>
        <c:lblOffset val="100"/>
        <c:noMultiLvlLbl val="0"/>
      </c:catAx>
      <c:valAx>
        <c:axId val="60628892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06288384"/>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layout>
        <c:manualLayout>
          <c:xMode val="edge"/>
          <c:yMode val="edge"/>
          <c:x val="0.38511239083620086"/>
          <c:y val="0.94503027489316538"/>
          <c:w val="0.23400248809583268"/>
          <c:h val="5.0840266708307089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nonMandDC!$F$5</c:f>
              <c:strCache>
                <c:ptCount val="1"/>
                <c:pt idx="0">
                  <c:v>Survey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numRef>
              <c:f>nonMandDC!$C$6:$C$26</c:f>
              <c:numCache>
                <c:formatCode>General</c:formatCode>
                <c:ptCount val="21"/>
                <c:pt idx="0">
                  <c:v>0</c:v>
                </c:pt>
                <c:pt idx="1">
                  <c:v>2.5</c:v>
                </c:pt>
                <c:pt idx="2">
                  <c:v>5</c:v>
                </c:pt>
                <c:pt idx="3">
                  <c:v>7.5</c:v>
                </c:pt>
                <c:pt idx="4">
                  <c:v>10</c:v>
                </c:pt>
                <c:pt idx="5">
                  <c:v>12.5</c:v>
                </c:pt>
                <c:pt idx="6">
                  <c:v>15</c:v>
                </c:pt>
                <c:pt idx="7">
                  <c:v>17.5</c:v>
                </c:pt>
                <c:pt idx="8">
                  <c:v>20</c:v>
                </c:pt>
                <c:pt idx="9">
                  <c:v>22.5</c:v>
                </c:pt>
                <c:pt idx="10">
                  <c:v>25</c:v>
                </c:pt>
                <c:pt idx="11">
                  <c:v>27.5</c:v>
                </c:pt>
                <c:pt idx="12">
                  <c:v>30</c:v>
                </c:pt>
                <c:pt idx="13">
                  <c:v>32.5</c:v>
                </c:pt>
                <c:pt idx="14">
                  <c:v>35</c:v>
                </c:pt>
                <c:pt idx="15">
                  <c:v>37.5</c:v>
                </c:pt>
                <c:pt idx="16">
                  <c:v>40</c:v>
                </c:pt>
                <c:pt idx="17">
                  <c:v>42.5</c:v>
                </c:pt>
                <c:pt idx="18">
                  <c:v>45</c:v>
                </c:pt>
                <c:pt idx="19">
                  <c:v>47.5</c:v>
                </c:pt>
                <c:pt idx="20">
                  <c:v>50</c:v>
                </c:pt>
              </c:numCache>
            </c:numRef>
          </c:cat>
          <c:val>
            <c:numRef>
              <c:f>nonMandDC!$F$6:$F$26</c:f>
              <c:numCache>
                <c:formatCode>0.0%</c:formatCode>
                <c:ptCount val="21"/>
                <c:pt idx="0">
                  <c:v>0.23599753103090482</c:v>
                </c:pt>
                <c:pt idx="1">
                  <c:v>0.2457695385339512</c:v>
                </c:pt>
                <c:pt idx="2">
                  <c:v>0.17031234342552296</c:v>
                </c:pt>
                <c:pt idx="3">
                  <c:v>7.3832500138805643E-2</c:v>
                </c:pt>
                <c:pt idx="4">
                  <c:v>5.2668698667308375E-2</c:v>
                </c:pt>
                <c:pt idx="5">
                  <c:v>3.826765797715765E-2</c:v>
                </c:pt>
                <c:pt idx="6">
                  <c:v>5.6975085356850474E-2</c:v>
                </c:pt>
                <c:pt idx="7">
                  <c:v>1.9712687427016921E-2</c:v>
                </c:pt>
                <c:pt idx="8">
                  <c:v>2.8926484124582159E-2</c:v>
                </c:pt>
                <c:pt idx="9">
                  <c:v>1.2581343202657282E-2</c:v>
                </c:pt>
                <c:pt idx="10">
                  <c:v>1.6855966051485319E-2</c:v>
                </c:pt>
                <c:pt idx="11">
                  <c:v>6.9454892704418425E-3</c:v>
                </c:pt>
                <c:pt idx="12">
                  <c:v>6.4997251882039754E-3</c:v>
                </c:pt>
                <c:pt idx="13">
                  <c:v>7.0477800697809441E-3</c:v>
                </c:pt>
                <c:pt idx="14">
                  <c:v>4.8517947926915092E-3</c:v>
                </c:pt>
                <c:pt idx="15">
                  <c:v>1.785364518959434E-3</c:v>
                </c:pt>
                <c:pt idx="16">
                  <c:v>3.1833783727971566E-3</c:v>
                </c:pt>
                <c:pt idx="17">
                  <c:v>3.1268977643370533E-3</c:v>
                </c:pt>
                <c:pt idx="18">
                  <c:v>3.3245436499890167E-3</c:v>
                </c:pt>
                <c:pt idx="19">
                  <c:v>4.3914413900502111E-3</c:v>
                </c:pt>
                <c:pt idx="20">
                  <c:v>6.9437490465057549E-3</c:v>
                </c:pt>
              </c:numCache>
            </c:numRef>
          </c:val>
          <c:extLst>
            <c:ext xmlns:c16="http://schemas.microsoft.com/office/drawing/2014/chart" uri="{C3380CC4-5D6E-409C-BE32-E72D297353CC}">
              <c16:uniqueId val="{00000000-D0A2-472C-BB71-4C07AE0EF178}"/>
            </c:ext>
          </c:extLst>
        </c:ser>
        <c:ser>
          <c:idx val="1"/>
          <c:order val="1"/>
          <c:tx>
            <c:strRef>
              <c:f>nonMandDC!$G$5</c:f>
              <c:strCache>
                <c:ptCount val="1"/>
                <c:pt idx="0">
                  <c:v>Model</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numRef>
              <c:f>nonMandDC!$C$6:$C$26</c:f>
              <c:numCache>
                <c:formatCode>General</c:formatCode>
                <c:ptCount val="21"/>
                <c:pt idx="0">
                  <c:v>0</c:v>
                </c:pt>
                <c:pt idx="1">
                  <c:v>2.5</c:v>
                </c:pt>
                <c:pt idx="2">
                  <c:v>5</c:v>
                </c:pt>
                <c:pt idx="3">
                  <c:v>7.5</c:v>
                </c:pt>
                <c:pt idx="4">
                  <c:v>10</c:v>
                </c:pt>
                <c:pt idx="5">
                  <c:v>12.5</c:v>
                </c:pt>
                <c:pt idx="6">
                  <c:v>15</c:v>
                </c:pt>
                <c:pt idx="7">
                  <c:v>17.5</c:v>
                </c:pt>
                <c:pt idx="8">
                  <c:v>20</c:v>
                </c:pt>
                <c:pt idx="9">
                  <c:v>22.5</c:v>
                </c:pt>
                <c:pt idx="10">
                  <c:v>25</c:v>
                </c:pt>
                <c:pt idx="11">
                  <c:v>27.5</c:v>
                </c:pt>
                <c:pt idx="12">
                  <c:v>30</c:v>
                </c:pt>
                <c:pt idx="13">
                  <c:v>32.5</c:v>
                </c:pt>
                <c:pt idx="14">
                  <c:v>35</c:v>
                </c:pt>
                <c:pt idx="15">
                  <c:v>37.5</c:v>
                </c:pt>
                <c:pt idx="16">
                  <c:v>40</c:v>
                </c:pt>
                <c:pt idx="17">
                  <c:v>42.5</c:v>
                </c:pt>
                <c:pt idx="18">
                  <c:v>45</c:v>
                </c:pt>
                <c:pt idx="19">
                  <c:v>47.5</c:v>
                </c:pt>
                <c:pt idx="20">
                  <c:v>50</c:v>
                </c:pt>
              </c:numCache>
            </c:numRef>
          </c:cat>
          <c:val>
            <c:numRef>
              <c:f>nonMandDC!$G$6:$G$26</c:f>
              <c:numCache>
                <c:formatCode>0.0%</c:formatCode>
                <c:ptCount val="21"/>
                <c:pt idx="0">
                  <c:v>0.13454183357095978</c:v>
                </c:pt>
                <c:pt idx="1">
                  <c:v>0.25242718446601942</c:v>
                </c:pt>
                <c:pt idx="2">
                  <c:v>0.19868965985470841</c:v>
                </c:pt>
                <c:pt idx="3">
                  <c:v>0.10376355036549212</c:v>
                </c:pt>
                <c:pt idx="4">
                  <c:v>6.4849390092108536E-2</c:v>
                </c:pt>
                <c:pt idx="5">
                  <c:v>4.250118813225609E-2</c:v>
                </c:pt>
                <c:pt idx="6">
                  <c:v>3.1909837735080451E-2</c:v>
                </c:pt>
                <c:pt idx="7">
                  <c:v>2.4373684567859325E-2</c:v>
                </c:pt>
                <c:pt idx="8">
                  <c:v>2.0119039536515265E-2</c:v>
                </c:pt>
                <c:pt idx="9">
                  <c:v>1.5988865503428609E-2</c:v>
                </c:pt>
                <c:pt idx="10">
                  <c:v>1.4789417702039061E-2</c:v>
                </c:pt>
                <c:pt idx="11">
                  <c:v>1.4167062710752031E-2</c:v>
                </c:pt>
                <c:pt idx="12">
                  <c:v>1.4314164799601693E-2</c:v>
                </c:pt>
                <c:pt idx="13">
                  <c:v>1.1881322560934212E-2</c:v>
                </c:pt>
                <c:pt idx="14">
                  <c:v>9.8105777717428198E-3</c:v>
                </c:pt>
                <c:pt idx="15">
                  <c:v>8.2264014302849253E-3</c:v>
                </c:pt>
                <c:pt idx="16">
                  <c:v>7.3098422612985717E-3</c:v>
                </c:pt>
                <c:pt idx="17">
                  <c:v>6.0877633693167676E-3</c:v>
                </c:pt>
                <c:pt idx="18">
                  <c:v>4.8770000226310908E-3</c:v>
                </c:pt>
                <c:pt idx="19">
                  <c:v>3.7001833118337972E-3</c:v>
                </c:pt>
                <c:pt idx="20">
                  <c:v>1.5672030235137031E-2</c:v>
                </c:pt>
              </c:numCache>
            </c:numRef>
          </c:val>
          <c:extLst>
            <c:ext xmlns:c16="http://schemas.microsoft.com/office/drawing/2014/chart" uri="{C3380CC4-5D6E-409C-BE32-E72D297353CC}">
              <c16:uniqueId val="{00000001-D0A2-472C-BB71-4C07AE0EF178}"/>
            </c:ext>
          </c:extLst>
        </c:ser>
        <c:dLbls>
          <c:showLegendKey val="0"/>
          <c:showVal val="0"/>
          <c:showCatName val="0"/>
          <c:showSerName val="0"/>
          <c:showPercent val="0"/>
          <c:showBubbleSize val="0"/>
        </c:dLbls>
        <c:gapWidth val="100"/>
        <c:overlap val="-24"/>
        <c:axId val="606290560"/>
        <c:axId val="606292192"/>
      </c:barChart>
      <c:catAx>
        <c:axId val="6062905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06292192"/>
        <c:crosses val="autoZero"/>
        <c:auto val="1"/>
        <c:lblAlgn val="ctr"/>
        <c:lblOffset val="100"/>
        <c:noMultiLvlLbl val="0"/>
      </c:catAx>
      <c:valAx>
        <c:axId val="606292192"/>
        <c:scaling>
          <c:orientation val="minMax"/>
        </c:scaling>
        <c:delete val="0"/>
        <c:axPos val="l"/>
        <c:majorGridlines>
          <c:spPr>
            <a:ln w="9525" cap="flat" cmpd="sng" algn="ctr">
              <a:solidFill>
                <a:schemeClr val="tx2">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06290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Out</a:t>
            </a:r>
            <a:r>
              <a:rPr lang="en-US" baseline="0"/>
              <a:t> of Direction Distance Distribution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StopLocation!$E$6</c:f>
              <c:strCache>
                <c:ptCount val="1"/>
                <c:pt idx="0">
                  <c:v>Survey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StopLocation!$B$7:$B$48</c:f>
              <c:strCache>
                <c:ptCount val="42"/>
                <c:pt idx="0">
                  <c:v>Less than 0</c:v>
                </c:pt>
                <c:pt idx="1">
                  <c:v>0 to 1 mile</c:v>
                </c:pt>
                <c:pt idx="2">
                  <c:v>1 to 2 mile</c:v>
                </c:pt>
                <c:pt idx="3">
                  <c:v>2 to 3 mile</c:v>
                </c:pt>
                <c:pt idx="4">
                  <c:v>3 to 4 mile</c:v>
                </c:pt>
                <c:pt idx="5">
                  <c:v>4 to 5 mile</c:v>
                </c:pt>
                <c:pt idx="6">
                  <c:v>5 to 6 mile</c:v>
                </c:pt>
                <c:pt idx="7">
                  <c:v>6 to 7 mile</c:v>
                </c:pt>
                <c:pt idx="8">
                  <c:v>7 to 8 mile</c:v>
                </c:pt>
                <c:pt idx="9">
                  <c:v>8 to 9 mile</c:v>
                </c:pt>
                <c:pt idx="10">
                  <c:v>9 to 10 mile</c:v>
                </c:pt>
                <c:pt idx="11">
                  <c:v>10 to 11 mile</c:v>
                </c:pt>
                <c:pt idx="12">
                  <c:v>11 to 12 mile</c:v>
                </c:pt>
                <c:pt idx="13">
                  <c:v>12 to 13 mile</c:v>
                </c:pt>
                <c:pt idx="14">
                  <c:v>13 to 14 mile</c:v>
                </c:pt>
                <c:pt idx="15">
                  <c:v>14 to 15 mile</c:v>
                </c:pt>
                <c:pt idx="16">
                  <c:v>15 to 16 mile</c:v>
                </c:pt>
                <c:pt idx="17">
                  <c:v>16 to 17 mile</c:v>
                </c:pt>
                <c:pt idx="18">
                  <c:v>17 to 18 mile</c:v>
                </c:pt>
                <c:pt idx="19">
                  <c:v>18 to 19 mile</c:v>
                </c:pt>
                <c:pt idx="20">
                  <c:v>19 to 20 mile</c:v>
                </c:pt>
                <c:pt idx="21">
                  <c:v>20 to 21 mile</c:v>
                </c:pt>
                <c:pt idx="22">
                  <c:v>21 to 22 mile</c:v>
                </c:pt>
                <c:pt idx="23">
                  <c:v>22 to 23 mile</c:v>
                </c:pt>
                <c:pt idx="24">
                  <c:v>23 to 24 mile</c:v>
                </c:pt>
                <c:pt idx="25">
                  <c:v>24 to 25 mile</c:v>
                </c:pt>
                <c:pt idx="26">
                  <c:v>25 to 26 mile</c:v>
                </c:pt>
                <c:pt idx="27">
                  <c:v>26 to 27 mile</c:v>
                </c:pt>
                <c:pt idx="28">
                  <c:v>27 to 28 mile</c:v>
                </c:pt>
                <c:pt idx="29">
                  <c:v>28 to 29 mile</c:v>
                </c:pt>
                <c:pt idx="30">
                  <c:v>29 to 30 mile</c:v>
                </c:pt>
                <c:pt idx="31">
                  <c:v>30 to 31 mile</c:v>
                </c:pt>
                <c:pt idx="32">
                  <c:v>31 to 32 mile</c:v>
                </c:pt>
                <c:pt idx="33">
                  <c:v>32 to 33 mile</c:v>
                </c:pt>
                <c:pt idx="34">
                  <c:v>33 to 34 mile</c:v>
                </c:pt>
                <c:pt idx="35">
                  <c:v>34 to 35 mile</c:v>
                </c:pt>
                <c:pt idx="36">
                  <c:v>35 to 36 mile</c:v>
                </c:pt>
                <c:pt idx="37">
                  <c:v>36 to 37 mile</c:v>
                </c:pt>
                <c:pt idx="38">
                  <c:v>37 to 38 mile</c:v>
                </c:pt>
                <c:pt idx="39">
                  <c:v>38 to 39 mile</c:v>
                </c:pt>
                <c:pt idx="40">
                  <c:v>39 to 40 mile</c:v>
                </c:pt>
                <c:pt idx="41">
                  <c:v>40 plus miles</c:v>
                </c:pt>
              </c:strCache>
            </c:strRef>
          </c:cat>
          <c:val>
            <c:numRef>
              <c:f>StopLocation!$E$7:$E$48</c:f>
              <c:numCache>
                <c:formatCode>0.0%</c:formatCode>
                <c:ptCount val="42"/>
                <c:pt idx="0">
                  <c:v>1.9232963458637432E-2</c:v>
                </c:pt>
                <c:pt idx="1">
                  <c:v>0.1739260898341885</c:v>
                </c:pt>
                <c:pt idx="2">
                  <c:v>0.22720021996539391</c:v>
                </c:pt>
                <c:pt idx="3">
                  <c:v>0.12855979980893162</c:v>
                </c:pt>
                <c:pt idx="4">
                  <c:v>8.6715327935896813E-2</c:v>
                </c:pt>
                <c:pt idx="5">
                  <c:v>6.0389203441742964E-2</c:v>
                </c:pt>
                <c:pt idx="6">
                  <c:v>6.975459932372928E-2</c:v>
                </c:pt>
                <c:pt idx="7">
                  <c:v>3.0225938286322553E-2</c:v>
                </c:pt>
                <c:pt idx="8">
                  <c:v>2.7059020687488437E-2</c:v>
                </c:pt>
                <c:pt idx="9">
                  <c:v>1.9470317014083787E-2</c:v>
                </c:pt>
                <c:pt idx="10">
                  <c:v>1.4495778836172169E-2</c:v>
                </c:pt>
                <c:pt idx="11">
                  <c:v>1.3619888177614701E-2</c:v>
                </c:pt>
                <c:pt idx="12">
                  <c:v>1.2365943790742254E-2</c:v>
                </c:pt>
                <c:pt idx="13">
                  <c:v>8.9711048310889465E-3</c:v>
                </c:pt>
                <c:pt idx="14">
                  <c:v>8.926703055449757E-3</c:v>
                </c:pt>
                <c:pt idx="15">
                  <c:v>8.8734488650093982E-3</c:v>
                </c:pt>
                <c:pt idx="16">
                  <c:v>2.5068304565957274E-2</c:v>
                </c:pt>
                <c:pt idx="17">
                  <c:v>7.0413095802051425E-3</c:v>
                </c:pt>
                <c:pt idx="18">
                  <c:v>4.1897780061926765E-3</c:v>
                </c:pt>
                <c:pt idx="19">
                  <c:v>5.3790076206097241E-3</c:v>
                </c:pt>
                <c:pt idx="20">
                  <c:v>2.9444119086323912E-3</c:v>
                </c:pt>
                <c:pt idx="21">
                  <c:v>3.0646941197802363E-3</c:v>
                </c:pt>
                <c:pt idx="22">
                  <c:v>3.1638298101278541E-3</c:v>
                </c:pt>
                <c:pt idx="23">
                  <c:v>2.7386155457573965E-3</c:v>
                </c:pt>
                <c:pt idx="24">
                  <c:v>3.2770799816939449E-3</c:v>
                </c:pt>
                <c:pt idx="25">
                  <c:v>1.8995076637636551E-3</c:v>
                </c:pt>
                <c:pt idx="26">
                  <c:v>1.4234107385186401E-3</c:v>
                </c:pt>
                <c:pt idx="27">
                  <c:v>1.3489226099014161E-3</c:v>
                </c:pt>
                <c:pt idx="28">
                  <c:v>1.3074075857093929E-3</c:v>
                </c:pt>
                <c:pt idx="29">
                  <c:v>1.522224728562556E-3</c:v>
                </c:pt>
                <c:pt idx="30">
                  <c:v>1.0845623759774561E-3</c:v>
                </c:pt>
                <c:pt idx="31">
                  <c:v>1.594319540538187E-3</c:v>
                </c:pt>
                <c:pt idx="32">
                  <c:v>1.7460913543141487E-3</c:v>
                </c:pt>
                <c:pt idx="33">
                  <c:v>1.072886850198837E-3</c:v>
                </c:pt>
                <c:pt idx="34">
                  <c:v>7.4607269362269907E-4</c:v>
                </c:pt>
                <c:pt idx="35">
                  <c:v>1.1117842397284868E-3</c:v>
                </c:pt>
                <c:pt idx="36">
                  <c:v>3.4444380573825779E-4</c:v>
                </c:pt>
                <c:pt idx="37">
                  <c:v>1.1354799534006141E-3</c:v>
                </c:pt>
                <c:pt idx="38">
                  <c:v>1.047054834926504E-3</c:v>
                </c:pt>
                <c:pt idx="39">
                  <c:v>3.7096949898037738E-4</c:v>
                </c:pt>
                <c:pt idx="40">
                  <c:v>4.3668484016795881E-4</c:v>
                </c:pt>
                <c:pt idx="41">
                  <c:v>1.5154798234502035E-2</c:v>
                </c:pt>
              </c:numCache>
            </c:numRef>
          </c:val>
          <c:extLst>
            <c:ext xmlns:c16="http://schemas.microsoft.com/office/drawing/2014/chart" uri="{C3380CC4-5D6E-409C-BE32-E72D297353CC}">
              <c16:uniqueId val="{00000000-584B-443C-AEC3-8597CBA2513C}"/>
            </c:ext>
          </c:extLst>
        </c:ser>
        <c:ser>
          <c:idx val="1"/>
          <c:order val="1"/>
          <c:tx>
            <c:strRef>
              <c:f>StopLocation!$F$6</c:f>
              <c:strCache>
                <c:ptCount val="1"/>
                <c:pt idx="0">
                  <c:v>Model</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StopLocation!$B$7:$B$48</c:f>
              <c:strCache>
                <c:ptCount val="42"/>
                <c:pt idx="0">
                  <c:v>Less than 0</c:v>
                </c:pt>
                <c:pt idx="1">
                  <c:v>0 to 1 mile</c:v>
                </c:pt>
                <c:pt idx="2">
                  <c:v>1 to 2 mile</c:v>
                </c:pt>
                <c:pt idx="3">
                  <c:v>2 to 3 mile</c:v>
                </c:pt>
                <c:pt idx="4">
                  <c:v>3 to 4 mile</c:v>
                </c:pt>
                <c:pt idx="5">
                  <c:v>4 to 5 mile</c:v>
                </c:pt>
                <c:pt idx="6">
                  <c:v>5 to 6 mile</c:v>
                </c:pt>
                <c:pt idx="7">
                  <c:v>6 to 7 mile</c:v>
                </c:pt>
                <c:pt idx="8">
                  <c:v>7 to 8 mile</c:v>
                </c:pt>
                <c:pt idx="9">
                  <c:v>8 to 9 mile</c:v>
                </c:pt>
                <c:pt idx="10">
                  <c:v>9 to 10 mile</c:v>
                </c:pt>
                <c:pt idx="11">
                  <c:v>10 to 11 mile</c:v>
                </c:pt>
                <c:pt idx="12">
                  <c:v>11 to 12 mile</c:v>
                </c:pt>
                <c:pt idx="13">
                  <c:v>12 to 13 mile</c:v>
                </c:pt>
                <c:pt idx="14">
                  <c:v>13 to 14 mile</c:v>
                </c:pt>
                <c:pt idx="15">
                  <c:v>14 to 15 mile</c:v>
                </c:pt>
                <c:pt idx="16">
                  <c:v>15 to 16 mile</c:v>
                </c:pt>
                <c:pt idx="17">
                  <c:v>16 to 17 mile</c:v>
                </c:pt>
                <c:pt idx="18">
                  <c:v>17 to 18 mile</c:v>
                </c:pt>
                <c:pt idx="19">
                  <c:v>18 to 19 mile</c:v>
                </c:pt>
                <c:pt idx="20">
                  <c:v>19 to 20 mile</c:v>
                </c:pt>
                <c:pt idx="21">
                  <c:v>20 to 21 mile</c:v>
                </c:pt>
                <c:pt idx="22">
                  <c:v>21 to 22 mile</c:v>
                </c:pt>
                <c:pt idx="23">
                  <c:v>22 to 23 mile</c:v>
                </c:pt>
                <c:pt idx="24">
                  <c:v>23 to 24 mile</c:v>
                </c:pt>
                <c:pt idx="25">
                  <c:v>24 to 25 mile</c:v>
                </c:pt>
                <c:pt idx="26">
                  <c:v>25 to 26 mile</c:v>
                </c:pt>
                <c:pt idx="27">
                  <c:v>26 to 27 mile</c:v>
                </c:pt>
                <c:pt idx="28">
                  <c:v>27 to 28 mile</c:v>
                </c:pt>
                <c:pt idx="29">
                  <c:v>28 to 29 mile</c:v>
                </c:pt>
                <c:pt idx="30">
                  <c:v>29 to 30 mile</c:v>
                </c:pt>
                <c:pt idx="31">
                  <c:v>30 to 31 mile</c:v>
                </c:pt>
                <c:pt idx="32">
                  <c:v>31 to 32 mile</c:v>
                </c:pt>
                <c:pt idx="33">
                  <c:v>32 to 33 mile</c:v>
                </c:pt>
                <c:pt idx="34">
                  <c:v>33 to 34 mile</c:v>
                </c:pt>
                <c:pt idx="35">
                  <c:v>34 to 35 mile</c:v>
                </c:pt>
                <c:pt idx="36">
                  <c:v>35 to 36 mile</c:v>
                </c:pt>
                <c:pt idx="37">
                  <c:v>36 to 37 mile</c:v>
                </c:pt>
                <c:pt idx="38">
                  <c:v>37 to 38 mile</c:v>
                </c:pt>
                <c:pt idx="39">
                  <c:v>38 to 39 mile</c:v>
                </c:pt>
                <c:pt idx="40">
                  <c:v>39 to 40 mile</c:v>
                </c:pt>
                <c:pt idx="41">
                  <c:v>40 plus miles</c:v>
                </c:pt>
              </c:strCache>
            </c:strRef>
          </c:cat>
          <c:val>
            <c:numRef>
              <c:f>StopLocation!$F$7:$F$48</c:f>
              <c:numCache>
                <c:formatCode>0.0%</c:formatCode>
                <c:ptCount val="42"/>
                <c:pt idx="0">
                  <c:v>1.4059582592953182E-2</c:v>
                </c:pt>
                <c:pt idx="1">
                  <c:v>0.11401344981495953</c:v>
                </c:pt>
                <c:pt idx="2">
                  <c:v>0.18918441032268205</c:v>
                </c:pt>
                <c:pt idx="3">
                  <c:v>0.13084609261191565</c:v>
                </c:pt>
                <c:pt idx="4">
                  <c:v>8.3339518327228385E-2</c:v>
                </c:pt>
                <c:pt idx="5">
                  <c:v>6.6201991713563474E-2</c:v>
                </c:pt>
                <c:pt idx="6">
                  <c:v>5.6892484432006542E-2</c:v>
                </c:pt>
                <c:pt idx="7">
                  <c:v>4.9939096001292302E-2</c:v>
                </c:pt>
                <c:pt idx="8">
                  <c:v>4.0863890841406569E-2</c:v>
                </c:pt>
                <c:pt idx="9">
                  <c:v>2.8739119868092272E-2</c:v>
                </c:pt>
                <c:pt idx="10">
                  <c:v>2.7381331796544263E-2</c:v>
                </c:pt>
                <c:pt idx="11">
                  <c:v>2.5148912823602518E-2</c:v>
                </c:pt>
                <c:pt idx="12">
                  <c:v>2.0218381219739009E-2</c:v>
                </c:pt>
                <c:pt idx="13">
                  <c:v>1.7963405210238856E-2</c:v>
                </c:pt>
                <c:pt idx="14">
                  <c:v>1.5760819737261459E-2</c:v>
                </c:pt>
                <c:pt idx="15">
                  <c:v>1.4550743872853988E-2</c:v>
                </c:pt>
                <c:pt idx="16">
                  <c:v>1.2679237484846765E-2</c:v>
                </c:pt>
                <c:pt idx="17">
                  <c:v>1.1508454522831359E-2</c:v>
                </c:pt>
                <c:pt idx="18">
                  <c:v>1.0599624243429718E-2</c:v>
                </c:pt>
                <c:pt idx="19">
                  <c:v>9.3611701717390885E-3</c:v>
                </c:pt>
                <c:pt idx="20">
                  <c:v>8.2958959291097832E-3</c:v>
                </c:pt>
                <c:pt idx="21">
                  <c:v>7.2036987718785061E-3</c:v>
                </c:pt>
                <c:pt idx="22">
                  <c:v>6.3428931509560546E-3</c:v>
                </c:pt>
                <c:pt idx="23">
                  <c:v>5.5817750786949514E-3</c:v>
                </c:pt>
                <c:pt idx="24">
                  <c:v>4.9574545184654815E-3</c:v>
                </c:pt>
                <c:pt idx="25">
                  <c:v>4.3629674582003558E-3</c:v>
                </c:pt>
                <c:pt idx="26">
                  <c:v>3.6105811420263788E-3</c:v>
                </c:pt>
                <c:pt idx="27">
                  <c:v>3.1216028011473527E-3</c:v>
                </c:pt>
                <c:pt idx="28">
                  <c:v>2.6879255821534546E-3</c:v>
                </c:pt>
                <c:pt idx="29">
                  <c:v>2.3583017898644687E-3</c:v>
                </c:pt>
                <c:pt idx="30">
                  <c:v>2.0264950585537011E-3</c:v>
                </c:pt>
                <c:pt idx="31">
                  <c:v>1.7347088759755919E-3</c:v>
                </c:pt>
                <c:pt idx="32">
                  <c:v>1.4138168397737311E-3</c:v>
                </c:pt>
                <c:pt idx="33">
                  <c:v>1.1926123522332194E-3</c:v>
                </c:pt>
                <c:pt idx="34">
                  <c:v>1.0194325231718978E-3</c:v>
                </c:pt>
                <c:pt idx="35">
                  <c:v>8.3315505997988784E-4</c:v>
                </c:pt>
                <c:pt idx="36">
                  <c:v>7.1673164548488166E-4</c:v>
                </c:pt>
                <c:pt idx="37">
                  <c:v>5.9739764562750041E-4</c:v>
                </c:pt>
                <c:pt idx="38">
                  <c:v>4.9116127990080723E-4</c:v>
                </c:pt>
                <c:pt idx="39">
                  <c:v>4.2130723120380355E-4</c:v>
                </c:pt>
                <c:pt idx="40">
                  <c:v>3.4126613373848682E-4</c:v>
                </c:pt>
                <c:pt idx="41">
                  <c:v>1.4371015226727322E-3</c:v>
                </c:pt>
              </c:numCache>
            </c:numRef>
          </c:val>
          <c:extLst>
            <c:ext xmlns:c16="http://schemas.microsoft.com/office/drawing/2014/chart" uri="{C3380CC4-5D6E-409C-BE32-E72D297353CC}">
              <c16:uniqueId val="{00000001-584B-443C-AEC3-8597CBA2513C}"/>
            </c:ext>
          </c:extLst>
        </c:ser>
        <c:dLbls>
          <c:showLegendKey val="0"/>
          <c:showVal val="0"/>
          <c:showCatName val="0"/>
          <c:showSerName val="0"/>
          <c:showPercent val="0"/>
          <c:showBubbleSize val="0"/>
        </c:dLbls>
        <c:gapWidth val="100"/>
        <c:overlap val="-24"/>
        <c:axId val="606293280"/>
        <c:axId val="606291648"/>
      </c:barChart>
      <c:catAx>
        <c:axId val="6062932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06291648"/>
        <c:crosses val="autoZero"/>
        <c:auto val="1"/>
        <c:lblAlgn val="ctr"/>
        <c:lblOffset val="100"/>
        <c:noMultiLvlLbl val="0"/>
      </c:catAx>
      <c:valAx>
        <c:axId val="606291648"/>
        <c:scaling>
          <c:orientation val="minMax"/>
        </c:scaling>
        <c:delete val="0"/>
        <c:axPos val="l"/>
        <c:majorGridlines>
          <c:spPr>
            <a:ln w="9525" cap="flat" cmpd="sng" algn="ctr">
              <a:solidFill>
                <a:schemeClr val="tx2">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06293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Stop Departure Time Distribution by Tour Purpose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5.6008082473445332E-2"/>
          <c:y val="9.5249101181304571E-2"/>
          <c:w val="0.92744558780332964"/>
          <c:h val="0.47263221166457564"/>
        </c:manualLayout>
      </c:layout>
      <c:barChart>
        <c:barDir val="col"/>
        <c:grouping val="clustered"/>
        <c:varyColors val="0"/>
        <c:ser>
          <c:idx val="0"/>
          <c:order val="0"/>
          <c:tx>
            <c:strRef>
              <c:f>StopDepTime!$E$6</c:f>
              <c:strCache>
                <c:ptCount val="1"/>
                <c:pt idx="0">
                  <c:v>Survey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StopDepTime!$B$7:$B$46</c:f>
              <c:strCache>
                <c:ptCount val="40"/>
                <c:pt idx="0">
                  <c:v>03:00 AM to 05:00 AM</c:v>
                </c:pt>
                <c:pt idx="1">
                  <c:v>05:00 AM to 05:30 AM </c:v>
                </c:pt>
                <c:pt idx="2">
                  <c:v>05:30 AM to 06:00 AM </c:v>
                </c:pt>
                <c:pt idx="3">
                  <c:v>06:00 AM to 06:30 AM </c:v>
                </c:pt>
                <c:pt idx="4">
                  <c:v>06:30 AM to 07:00 AM </c:v>
                </c:pt>
                <c:pt idx="5">
                  <c:v>07:00 AM to 07:30 AM </c:v>
                </c:pt>
                <c:pt idx="6">
                  <c:v>07:30 AM to 08:00 AM </c:v>
                </c:pt>
                <c:pt idx="7">
                  <c:v>08:00 AM to 08:30 AM </c:v>
                </c:pt>
                <c:pt idx="8">
                  <c:v>08:30 AM to 09:00 AM </c:v>
                </c:pt>
                <c:pt idx="9">
                  <c:v>09:00 AM to 09:30 AM </c:v>
                </c:pt>
                <c:pt idx="10">
                  <c:v>09:30 AM to 10:00 AM </c:v>
                </c:pt>
                <c:pt idx="11">
                  <c:v>10:00 AM to 10:30 AM </c:v>
                </c:pt>
                <c:pt idx="12">
                  <c:v>10:30 AM to 11:00 AM </c:v>
                </c:pt>
                <c:pt idx="13">
                  <c:v>11:00 AM to 11:30 AM </c:v>
                </c:pt>
                <c:pt idx="14">
                  <c:v>11:30 AM to 12:00 PM </c:v>
                </c:pt>
                <c:pt idx="15">
                  <c:v>12:00 PM to 12:30 PM </c:v>
                </c:pt>
                <c:pt idx="16">
                  <c:v>12:30 PM to 01:00 PM </c:v>
                </c:pt>
                <c:pt idx="17">
                  <c:v>01:00 PM to 01:30 PM </c:v>
                </c:pt>
                <c:pt idx="18">
                  <c:v>01:30 PM to 02:00 PM </c:v>
                </c:pt>
                <c:pt idx="19">
                  <c:v>02:00 PM to 02:30 PM </c:v>
                </c:pt>
                <c:pt idx="20">
                  <c:v>02:30 PM to 03:00 PM </c:v>
                </c:pt>
                <c:pt idx="21">
                  <c:v>03:00 PM to 03:30 PM </c:v>
                </c:pt>
                <c:pt idx="22">
                  <c:v>03:30 PM to 04:00 PM </c:v>
                </c:pt>
                <c:pt idx="23">
                  <c:v>04:00 PM to 04:30 PM </c:v>
                </c:pt>
                <c:pt idx="24">
                  <c:v>04:30 PM to 05:00 PM </c:v>
                </c:pt>
                <c:pt idx="25">
                  <c:v>05:00 PM to 05:30 PM </c:v>
                </c:pt>
                <c:pt idx="26">
                  <c:v>05:30 PM to 06:00 PM </c:v>
                </c:pt>
                <c:pt idx="27">
                  <c:v>06:00 PM to 06:30 PM </c:v>
                </c:pt>
                <c:pt idx="28">
                  <c:v>06:30 PM to 07:00 PM </c:v>
                </c:pt>
                <c:pt idx="29">
                  <c:v>07:00 PM to 07:30 PM </c:v>
                </c:pt>
                <c:pt idx="30">
                  <c:v>07:30 PM to 08:00 PM </c:v>
                </c:pt>
                <c:pt idx="31">
                  <c:v>08:00 PM to 08:30 PM </c:v>
                </c:pt>
                <c:pt idx="32">
                  <c:v>08:30 PM to 09:00 PM </c:v>
                </c:pt>
                <c:pt idx="33">
                  <c:v>09:00 PM to 09:30 PM </c:v>
                </c:pt>
                <c:pt idx="34">
                  <c:v>09:30 PM to 10:00 PM </c:v>
                </c:pt>
                <c:pt idx="35">
                  <c:v>10:00 PM to 10:30 PM </c:v>
                </c:pt>
                <c:pt idx="36">
                  <c:v>10:30 PM to 11:00 PM </c:v>
                </c:pt>
                <c:pt idx="37">
                  <c:v>11:00 PM to 11:30 PM </c:v>
                </c:pt>
                <c:pt idx="38">
                  <c:v>11:30 PM to 12:00 AM </c:v>
                </c:pt>
                <c:pt idx="39">
                  <c:v>12:00 PM to 03:00 AM </c:v>
                </c:pt>
              </c:strCache>
            </c:strRef>
          </c:cat>
          <c:val>
            <c:numRef>
              <c:f>StopDepTime!$E$7:$E$46</c:f>
              <c:numCache>
                <c:formatCode>0.0%</c:formatCode>
                <c:ptCount val="40"/>
                <c:pt idx="0">
                  <c:v>1.6808651000066518E-3</c:v>
                </c:pt>
                <c:pt idx="1">
                  <c:v>3.2212230514094553E-3</c:v>
                </c:pt>
                <c:pt idx="2">
                  <c:v>1.1939509150364699E-2</c:v>
                </c:pt>
                <c:pt idx="3">
                  <c:v>7.9796996988472473E-3</c:v>
                </c:pt>
                <c:pt idx="4">
                  <c:v>1.1931423721608986E-2</c:v>
                </c:pt>
                <c:pt idx="5">
                  <c:v>2.5826004811260937E-2</c:v>
                </c:pt>
                <c:pt idx="6">
                  <c:v>2.9364205468487666E-2</c:v>
                </c:pt>
                <c:pt idx="7">
                  <c:v>2.9774784357992769E-2</c:v>
                </c:pt>
                <c:pt idx="8">
                  <c:v>2.8887855789251515E-2</c:v>
                </c:pt>
                <c:pt idx="9">
                  <c:v>2.5031671581185366E-2</c:v>
                </c:pt>
                <c:pt idx="10">
                  <c:v>2.3728280612628511E-2</c:v>
                </c:pt>
                <c:pt idx="11">
                  <c:v>2.6951718671214164E-2</c:v>
                </c:pt>
                <c:pt idx="12">
                  <c:v>2.8498774535869444E-2</c:v>
                </c:pt>
                <c:pt idx="13">
                  <c:v>3.4674359840600272E-2</c:v>
                </c:pt>
                <c:pt idx="14">
                  <c:v>3.39494301711303E-2</c:v>
                </c:pt>
                <c:pt idx="15">
                  <c:v>4.406953529231622E-2</c:v>
                </c:pt>
                <c:pt idx="16">
                  <c:v>3.6298584124682731E-2</c:v>
                </c:pt>
                <c:pt idx="17">
                  <c:v>3.3133379770667139E-2</c:v>
                </c:pt>
                <c:pt idx="18">
                  <c:v>3.4331954050088161E-2</c:v>
                </c:pt>
                <c:pt idx="19">
                  <c:v>4.0329566845429717E-2</c:v>
                </c:pt>
                <c:pt idx="20">
                  <c:v>4.630909454970511E-2</c:v>
                </c:pt>
                <c:pt idx="21">
                  <c:v>4.9502345058277337E-2</c:v>
                </c:pt>
                <c:pt idx="22">
                  <c:v>4.6284138007867709E-2</c:v>
                </c:pt>
                <c:pt idx="23">
                  <c:v>4.805442131970742E-2</c:v>
                </c:pt>
                <c:pt idx="24">
                  <c:v>4.4806381200710753E-2</c:v>
                </c:pt>
                <c:pt idx="25">
                  <c:v>5.1277041350742236E-2</c:v>
                </c:pt>
                <c:pt idx="26">
                  <c:v>3.6170332800230444E-2</c:v>
                </c:pt>
                <c:pt idx="27">
                  <c:v>3.309829999129571E-2</c:v>
                </c:pt>
                <c:pt idx="28">
                  <c:v>2.4681745821452068E-2</c:v>
                </c:pt>
                <c:pt idx="29">
                  <c:v>2.5748409261059112E-2</c:v>
                </c:pt>
                <c:pt idx="30">
                  <c:v>1.4514075028383555E-2</c:v>
                </c:pt>
                <c:pt idx="31">
                  <c:v>1.7635316797803165E-2</c:v>
                </c:pt>
                <c:pt idx="32">
                  <c:v>2.0672772667491065E-2</c:v>
                </c:pt>
                <c:pt idx="33">
                  <c:v>9.8486780340917793E-3</c:v>
                </c:pt>
                <c:pt idx="34">
                  <c:v>6.2223266029745646E-3</c:v>
                </c:pt>
                <c:pt idx="35">
                  <c:v>4.5198532473612885E-3</c:v>
                </c:pt>
                <c:pt idx="36">
                  <c:v>2.6910009123171149E-3</c:v>
                </c:pt>
                <c:pt idx="37">
                  <c:v>2.0136308201155724E-3</c:v>
                </c:pt>
                <c:pt idx="38">
                  <c:v>1.5607201648983821E-3</c:v>
                </c:pt>
                <c:pt idx="39">
                  <c:v>2.7865897184736858E-3</c:v>
                </c:pt>
              </c:numCache>
            </c:numRef>
          </c:val>
          <c:extLst>
            <c:ext xmlns:c16="http://schemas.microsoft.com/office/drawing/2014/chart" uri="{C3380CC4-5D6E-409C-BE32-E72D297353CC}">
              <c16:uniqueId val="{00000000-3D47-48C9-820A-5D7C1525AEE6}"/>
            </c:ext>
          </c:extLst>
        </c:ser>
        <c:ser>
          <c:idx val="1"/>
          <c:order val="1"/>
          <c:tx>
            <c:strRef>
              <c:f>StopDepTime!$F$6</c:f>
              <c:strCache>
                <c:ptCount val="1"/>
                <c:pt idx="0">
                  <c:v>Model</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StopDepTime!$B$7:$B$46</c:f>
              <c:strCache>
                <c:ptCount val="40"/>
                <c:pt idx="0">
                  <c:v>03:00 AM to 05:00 AM</c:v>
                </c:pt>
                <c:pt idx="1">
                  <c:v>05:00 AM to 05:30 AM </c:v>
                </c:pt>
                <c:pt idx="2">
                  <c:v>05:30 AM to 06:00 AM </c:v>
                </c:pt>
                <c:pt idx="3">
                  <c:v>06:00 AM to 06:30 AM </c:v>
                </c:pt>
                <c:pt idx="4">
                  <c:v>06:30 AM to 07:00 AM </c:v>
                </c:pt>
                <c:pt idx="5">
                  <c:v>07:00 AM to 07:30 AM </c:v>
                </c:pt>
                <c:pt idx="6">
                  <c:v>07:30 AM to 08:00 AM </c:v>
                </c:pt>
                <c:pt idx="7">
                  <c:v>08:00 AM to 08:30 AM </c:v>
                </c:pt>
                <c:pt idx="8">
                  <c:v>08:30 AM to 09:00 AM </c:v>
                </c:pt>
                <c:pt idx="9">
                  <c:v>09:00 AM to 09:30 AM </c:v>
                </c:pt>
                <c:pt idx="10">
                  <c:v>09:30 AM to 10:00 AM </c:v>
                </c:pt>
                <c:pt idx="11">
                  <c:v>10:00 AM to 10:30 AM </c:v>
                </c:pt>
                <c:pt idx="12">
                  <c:v>10:30 AM to 11:00 AM </c:v>
                </c:pt>
                <c:pt idx="13">
                  <c:v>11:00 AM to 11:30 AM </c:v>
                </c:pt>
                <c:pt idx="14">
                  <c:v>11:30 AM to 12:00 PM </c:v>
                </c:pt>
                <c:pt idx="15">
                  <c:v>12:00 PM to 12:30 PM </c:v>
                </c:pt>
                <c:pt idx="16">
                  <c:v>12:30 PM to 01:00 PM </c:v>
                </c:pt>
                <c:pt idx="17">
                  <c:v>01:00 PM to 01:30 PM </c:v>
                </c:pt>
                <c:pt idx="18">
                  <c:v>01:30 PM to 02:00 PM </c:v>
                </c:pt>
                <c:pt idx="19">
                  <c:v>02:00 PM to 02:30 PM </c:v>
                </c:pt>
                <c:pt idx="20">
                  <c:v>02:30 PM to 03:00 PM </c:v>
                </c:pt>
                <c:pt idx="21">
                  <c:v>03:00 PM to 03:30 PM </c:v>
                </c:pt>
                <c:pt idx="22">
                  <c:v>03:30 PM to 04:00 PM </c:v>
                </c:pt>
                <c:pt idx="23">
                  <c:v>04:00 PM to 04:30 PM </c:v>
                </c:pt>
                <c:pt idx="24">
                  <c:v>04:30 PM to 05:00 PM </c:v>
                </c:pt>
                <c:pt idx="25">
                  <c:v>05:00 PM to 05:30 PM </c:v>
                </c:pt>
                <c:pt idx="26">
                  <c:v>05:30 PM to 06:00 PM </c:v>
                </c:pt>
                <c:pt idx="27">
                  <c:v>06:00 PM to 06:30 PM </c:v>
                </c:pt>
                <c:pt idx="28">
                  <c:v>06:30 PM to 07:00 PM </c:v>
                </c:pt>
                <c:pt idx="29">
                  <c:v>07:00 PM to 07:30 PM </c:v>
                </c:pt>
                <c:pt idx="30">
                  <c:v>07:30 PM to 08:00 PM </c:v>
                </c:pt>
                <c:pt idx="31">
                  <c:v>08:00 PM to 08:30 PM </c:v>
                </c:pt>
                <c:pt idx="32">
                  <c:v>08:30 PM to 09:00 PM </c:v>
                </c:pt>
                <c:pt idx="33">
                  <c:v>09:00 PM to 09:30 PM </c:v>
                </c:pt>
                <c:pt idx="34">
                  <c:v>09:30 PM to 10:00 PM </c:v>
                </c:pt>
                <c:pt idx="35">
                  <c:v>10:00 PM to 10:30 PM </c:v>
                </c:pt>
                <c:pt idx="36">
                  <c:v>10:30 PM to 11:00 PM </c:v>
                </c:pt>
                <c:pt idx="37">
                  <c:v>11:00 PM to 11:30 PM </c:v>
                </c:pt>
                <c:pt idx="38">
                  <c:v>11:30 PM to 12:00 AM </c:v>
                </c:pt>
                <c:pt idx="39">
                  <c:v>12:00 PM to 03:00 AM </c:v>
                </c:pt>
              </c:strCache>
            </c:strRef>
          </c:cat>
          <c:val>
            <c:numRef>
              <c:f>StopDepTime!$F$7:$F$46</c:f>
              <c:numCache>
                <c:formatCode>0.0%</c:formatCode>
                <c:ptCount val="40"/>
                <c:pt idx="0">
                  <c:v>7.1203320831431105E-3</c:v>
                </c:pt>
                <c:pt idx="1">
                  <c:v>7.2819757811140454E-3</c:v>
                </c:pt>
                <c:pt idx="2">
                  <c:v>1.2998483316113182E-2</c:v>
                </c:pt>
                <c:pt idx="3">
                  <c:v>2.096198387786144E-2</c:v>
                </c:pt>
                <c:pt idx="4">
                  <c:v>3.265348323966008E-2</c:v>
                </c:pt>
                <c:pt idx="5">
                  <c:v>2.5169088773699552E-2</c:v>
                </c:pt>
                <c:pt idx="6">
                  <c:v>2.8855584462108751E-2</c:v>
                </c:pt>
                <c:pt idx="7">
                  <c:v>4.1998236481817636E-2</c:v>
                </c:pt>
                <c:pt idx="8">
                  <c:v>3.2882114416069419E-2</c:v>
                </c:pt>
                <c:pt idx="9">
                  <c:v>2.3256305014376824E-2</c:v>
                </c:pt>
                <c:pt idx="10">
                  <c:v>2.0982371371299213E-2</c:v>
                </c:pt>
                <c:pt idx="11">
                  <c:v>2.2525995874445079E-2</c:v>
                </c:pt>
                <c:pt idx="12">
                  <c:v>2.2129167877174089E-2</c:v>
                </c:pt>
                <c:pt idx="13">
                  <c:v>2.4266942189077982E-2</c:v>
                </c:pt>
                <c:pt idx="14">
                  <c:v>2.6944256952317294E-2</c:v>
                </c:pt>
                <c:pt idx="15">
                  <c:v>2.9395853038209803E-2</c:v>
                </c:pt>
                <c:pt idx="16">
                  <c:v>2.8569431429214257E-2</c:v>
                </c:pt>
                <c:pt idx="17">
                  <c:v>2.6508838342467658E-2</c:v>
                </c:pt>
                <c:pt idx="18">
                  <c:v>2.8913106318593902E-2</c:v>
                </c:pt>
                <c:pt idx="19">
                  <c:v>3.0268146507440342E-2</c:v>
                </c:pt>
                <c:pt idx="20">
                  <c:v>4.3520745366760087E-2</c:v>
                </c:pt>
                <c:pt idx="21">
                  <c:v>4.5562407209600177E-2</c:v>
                </c:pt>
                <c:pt idx="22">
                  <c:v>5.2031795752265741E-2</c:v>
                </c:pt>
                <c:pt idx="23">
                  <c:v>4.6492222535315875E-2</c:v>
                </c:pt>
                <c:pt idx="24">
                  <c:v>4.4173873281534534E-2</c:v>
                </c:pt>
                <c:pt idx="25">
                  <c:v>4.8926343626833145E-2</c:v>
                </c:pt>
                <c:pt idx="26">
                  <c:v>4.3709329681059506E-2</c:v>
                </c:pt>
                <c:pt idx="27">
                  <c:v>3.4668932590937319E-2</c:v>
                </c:pt>
                <c:pt idx="28">
                  <c:v>2.6571457072312253E-2</c:v>
                </c:pt>
                <c:pt idx="29">
                  <c:v>1.9524665590498261E-2</c:v>
                </c:pt>
                <c:pt idx="30">
                  <c:v>1.8169625401651825E-2</c:v>
                </c:pt>
                <c:pt idx="31">
                  <c:v>1.5119510758407475E-2</c:v>
                </c:pt>
                <c:pt idx="32">
                  <c:v>1.1655821248282535E-2</c:v>
                </c:pt>
                <c:pt idx="33">
                  <c:v>1.0133312363340082E-2</c:v>
                </c:pt>
                <c:pt idx="34">
                  <c:v>8.955934617308545E-3</c:v>
                </c:pt>
                <c:pt idx="35">
                  <c:v>1.0041568642870093E-2</c:v>
                </c:pt>
                <c:pt idx="36">
                  <c:v>8.7229346923053952E-3</c:v>
                </c:pt>
                <c:pt idx="37">
                  <c:v>9.5559094241916536E-3</c:v>
                </c:pt>
                <c:pt idx="38">
                  <c:v>4.6527172524066344E-3</c:v>
                </c:pt>
                <c:pt idx="39">
                  <c:v>4.1291955459151833E-3</c:v>
                </c:pt>
              </c:numCache>
            </c:numRef>
          </c:val>
          <c:extLst>
            <c:ext xmlns:c16="http://schemas.microsoft.com/office/drawing/2014/chart" uri="{C3380CC4-5D6E-409C-BE32-E72D297353CC}">
              <c16:uniqueId val="{00000001-3D47-48C9-820A-5D7C1525AEE6}"/>
            </c:ext>
          </c:extLst>
        </c:ser>
        <c:dLbls>
          <c:showLegendKey val="0"/>
          <c:showVal val="0"/>
          <c:showCatName val="0"/>
          <c:showSerName val="0"/>
          <c:showPercent val="0"/>
          <c:showBubbleSize val="0"/>
        </c:dLbls>
        <c:gapWidth val="100"/>
        <c:overlap val="-24"/>
        <c:axId val="606294912"/>
        <c:axId val="618128784"/>
      </c:barChart>
      <c:catAx>
        <c:axId val="60629491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18128784"/>
        <c:crosses val="autoZero"/>
        <c:auto val="1"/>
        <c:lblAlgn val="ctr"/>
        <c:lblOffset val="100"/>
        <c:noMultiLvlLbl val="0"/>
      </c:catAx>
      <c:valAx>
        <c:axId val="618128784"/>
        <c:scaling>
          <c:orientation val="minMax"/>
        </c:scaling>
        <c:delete val="0"/>
        <c:axPos val="l"/>
        <c:majorGridlines>
          <c:spPr>
            <a:ln w="9525" cap="flat" cmpd="sng" algn="ctr">
              <a:solidFill>
                <a:schemeClr val="tx2">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06294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Trip Departure Time Distribution by Tour Purpose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5.6008082473445332E-2"/>
          <c:y val="9.5249101181304571E-2"/>
          <c:w val="0.92744558780332964"/>
          <c:h val="0.4922067005675192"/>
        </c:manualLayout>
      </c:layout>
      <c:barChart>
        <c:barDir val="col"/>
        <c:grouping val="clustered"/>
        <c:varyColors val="0"/>
        <c:ser>
          <c:idx val="0"/>
          <c:order val="0"/>
          <c:tx>
            <c:strRef>
              <c:f>TripDepTime!$E$6</c:f>
              <c:strCache>
                <c:ptCount val="1"/>
                <c:pt idx="0">
                  <c:v>Survey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TripDepTime!$B$7:$B$46</c:f>
              <c:strCache>
                <c:ptCount val="40"/>
                <c:pt idx="0">
                  <c:v>03:00 AM to 05:00 AM</c:v>
                </c:pt>
                <c:pt idx="1">
                  <c:v>05:00 AM to 05:30 AM </c:v>
                </c:pt>
                <c:pt idx="2">
                  <c:v>05:30 AM to 06:00 AM </c:v>
                </c:pt>
                <c:pt idx="3">
                  <c:v>06:00 AM to 06:30 AM </c:v>
                </c:pt>
                <c:pt idx="4">
                  <c:v>06:30 AM to 07:00 AM </c:v>
                </c:pt>
                <c:pt idx="5">
                  <c:v>07:00 AM to 07:30 AM </c:v>
                </c:pt>
                <c:pt idx="6">
                  <c:v>07:30 AM to 08:00 AM </c:v>
                </c:pt>
                <c:pt idx="7">
                  <c:v>08:00 AM to 08:30 AM </c:v>
                </c:pt>
                <c:pt idx="8">
                  <c:v>08:30 AM to 09:00 AM </c:v>
                </c:pt>
                <c:pt idx="9">
                  <c:v>09:00 AM to 09:30 AM </c:v>
                </c:pt>
                <c:pt idx="10">
                  <c:v>09:30 AM to 10:00 AM </c:v>
                </c:pt>
                <c:pt idx="11">
                  <c:v>10:00 AM to 10:30 AM </c:v>
                </c:pt>
                <c:pt idx="12">
                  <c:v>10:30 AM to 11:00 AM </c:v>
                </c:pt>
                <c:pt idx="13">
                  <c:v>11:00 AM to 11:30 AM </c:v>
                </c:pt>
                <c:pt idx="14">
                  <c:v>11:30 AM to 12:00 PM </c:v>
                </c:pt>
                <c:pt idx="15">
                  <c:v>12:00 PM to 12:30 PM </c:v>
                </c:pt>
                <c:pt idx="16">
                  <c:v>12:30 PM to 01:00 PM </c:v>
                </c:pt>
                <c:pt idx="17">
                  <c:v>01:00 PM to 01:30 PM </c:v>
                </c:pt>
                <c:pt idx="18">
                  <c:v>01:30 PM to 02:00 PM </c:v>
                </c:pt>
                <c:pt idx="19">
                  <c:v>02:00 PM to 02:30 PM </c:v>
                </c:pt>
                <c:pt idx="20">
                  <c:v>02:30 PM to 03:00 PM </c:v>
                </c:pt>
                <c:pt idx="21">
                  <c:v>03:00 PM to 03:30 PM </c:v>
                </c:pt>
                <c:pt idx="22">
                  <c:v>03:30 PM to 04:00 PM </c:v>
                </c:pt>
                <c:pt idx="23">
                  <c:v>04:00 PM to 04:30 PM </c:v>
                </c:pt>
                <c:pt idx="24">
                  <c:v>04:30 PM to 05:00 PM </c:v>
                </c:pt>
                <c:pt idx="25">
                  <c:v>05:00 PM to 05:30 PM </c:v>
                </c:pt>
                <c:pt idx="26">
                  <c:v>05:30 PM to 06:00 PM </c:v>
                </c:pt>
                <c:pt idx="27">
                  <c:v>06:00 PM to 06:30 PM </c:v>
                </c:pt>
                <c:pt idx="28">
                  <c:v>06:30 PM to 07:00 PM </c:v>
                </c:pt>
                <c:pt idx="29">
                  <c:v>07:00 PM to 07:30 PM </c:v>
                </c:pt>
                <c:pt idx="30">
                  <c:v>07:30 PM to 08:00 PM </c:v>
                </c:pt>
                <c:pt idx="31">
                  <c:v>08:00 PM to 08:30 PM </c:v>
                </c:pt>
                <c:pt idx="32">
                  <c:v>08:30 PM to 09:00 PM </c:v>
                </c:pt>
                <c:pt idx="33">
                  <c:v>09:00 PM to 09:30 PM </c:v>
                </c:pt>
                <c:pt idx="34">
                  <c:v>09:30 PM to 10:00 PM </c:v>
                </c:pt>
                <c:pt idx="35">
                  <c:v>10:00 PM to 10:30 PM </c:v>
                </c:pt>
                <c:pt idx="36">
                  <c:v>10:30 PM to 11:00 PM </c:v>
                </c:pt>
                <c:pt idx="37">
                  <c:v>11:00 PM to 11:30 PM </c:v>
                </c:pt>
                <c:pt idx="38">
                  <c:v>11:30 PM to 12:00 AM </c:v>
                </c:pt>
                <c:pt idx="39">
                  <c:v>12:00 PM to 03:00 AM </c:v>
                </c:pt>
              </c:strCache>
            </c:strRef>
          </c:cat>
          <c:val>
            <c:numRef>
              <c:f>TripDepTime!$E$7:$E$46</c:f>
              <c:numCache>
                <c:formatCode>0.0%</c:formatCode>
                <c:ptCount val="40"/>
                <c:pt idx="0">
                  <c:v>1.073928819894852E-2</c:v>
                </c:pt>
                <c:pt idx="1">
                  <c:v>1.2944592348108654E-2</c:v>
                </c:pt>
                <c:pt idx="2">
                  <c:v>2.6683087509582808E-2</c:v>
                </c:pt>
                <c:pt idx="3">
                  <c:v>3.2922815072283035E-2</c:v>
                </c:pt>
                <c:pt idx="4">
                  <c:v>4.5698599926283889E-2</c:v>
                </c:pt>
                <c:pt idx="5">
                  <c:v>5.7434864950875436E-2</c:v>
                </c:pt>
                <c:pt idx="6">
                  <c:v>6.472957412606116E-2</c:v>
                </c:pt>
                <c:pt idx="7">
                  <c:v>4.7225227918765468E-2</c:v>
                </c:pt>
                <c:pt idx="8">
                  <c:v>2.9489568309634877E-2</c:v>
                </c:pt>
                <c:pt idx="9">
                  <c:v>2.2639155639249189E-2</c:v>
                </c:pt>
                <c:pt idx="10">
                  <c:v>1.3908635694369091E-2</c:v>
                </c:pt>
                <c:pt idx="11">
                  <c:v>1.1362771955549881E-2</c:v>
                </c:pt>
                <c:pt idx="12">
                  <c:v>1.0280726448691541E-2</c:v>
                </c:pt>
                <c:pt idx="13">
                  <c:v>1.1301834671424578E-2</c:v>
                </c:pt>
                <c:pt idx="14">
                  <c:v>1.3536413640018549E-2</c:v>
                </c:pt>
                <c:pt idx="15">
                  <c:v>1.6213848739348658E-2</c:v>
                </c:pt>
                <c:pt idx="16">
                  <c:v>1.5219947416963983E-2</c:v>
                </c:pt>
                <c:pt idx="17">
                  <c:v>1.587502255869952E-2</c:v>
                </c:pt>
                <c:pt idx="18">
                  <c:v>1.5027485281931197E-2</c:v>
                </c:pt>
                <c:pt idx="19">
                  <c:v>2.5620374912633387E-2</c:v>
                </c:pt>
                <c:pt idx="20">
                  <c:v>2.8463802510058738E-2</c:v>
                </c:pt>
                <c:pt idx="21">
                  <c:v>4.0310082867224609E-2</c:v>
                </c:pt>
                <c:pt idx="22">
                  <c:v>4.5495799339314892E-2</c:v>
                </c:pt>
                <c:pt idx="23">
                  <c:v>5.2121059103802637E-2</c:v>
                </c:pt>
                <c:pt idx="24">
                  <c:v>5.3331568036343459E-2</c:v>
                </c:pt>
                <c:pt idx="25">
                  <c:v>7.8646501946861957E-2</c:v>
                </c:pt>
                <c:pt idx="26">
                  <c:v>4.2425252542051262E-2</c:v>
                </c:pt>
                <c:pt idx="27">
                  <c:v>3.8513454488890722E-2</c:v>
                </c:pt>
                <c:pt idx="28">
                  <c:v>2.2718354315228628E-2</c:v>
                </c:pt>
                <c:pt idx="29">
                  <c:v>1.9270300696973618E-2</c:v>
                </c:pt>
                <c:pt idx="30">
                  <c:v>1.1469836765978266E-2</c:v>
                </c:pt>
                <c:pt idx="31">
                  <c:v>1.2226132671712138E-2</c:v>
                </c:pt>
                <c:pt idx="32">
                  <c:v>9.9442234301028998E-3</c:v>
                </c:pt>
                <c:pt idx="33">
                  <c:v>1.0632884075559451E-2</c:v>
                </c:pt>
                <c:pt idx="34">
                  <c:v>6.6000065375627455E-3</c:v>
                </c:pt>
                <c:pt idx="35">
                  <c:v>8.8562642044196886E-3</c:v>
                </c:pt>
                <c:pt idx="36">
                  <c:v>4.8464241599478312E-3</c:v>
                </c:pt>
                <c:pt idx="37">
                  <c:v>4.3897107006530284E-3</c:v>
                </c:pt>
                <c:pt idx="38">
                  <c:v>3.4917533306256399E-3</c:v>
                </c:pt>
                <c:pt idx="39">
                  <c:v>7.3927529572646415E-3</c:v>
                </c:pt>
              </c:numCache>
            </c:numRef>
          </c:val>
          <c:extLst>
            <c:ext xmlns:c16="http://schemas.microsoft.com/office/drawing/2014/chart" uri="{C3380CC4-5D6E-409C-BE32-E72D297353CC}">
              <c16:uniqueId val="{00000000-6BDE-4A72-892B-A68D4B42E101}"/>
            </c:ext>
          </c:extLst>
        </c:ser>
        <c:ser>
          <c:idx val="1"/>
          <c:order val="1"/>
          <c:tx>
            <c:strRef>
              <c:f>TripDepTime!$F$6</c:f>
              <c:strCache>
                <c:ptCount val="1"/>
                <c:pt idx="0">
                  <c:v>Model</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TripDepTime!$B$7:$B$46</c:f>
              <c:strCache>
                <c:ptCount val="40"/>
                <c:pt idx="0">
                  <c:v>03:00 AM to 05:00 AM</c:v>
                </c:pt>
                <c:pt idx="1">
                  <c:v>05:00 AM to 05:30 AM </c:v>
                </c:pt>
                <c:pt idx="2">
                  <c:v>05:30 AM to 06:00 AM </c:v>
                </c:pt>
                <c:pt idx="3">
                  <c:v>06:00 AM to 06:30 AM </c:v>
                </c:pt>
                <c:pt idx="4">
                  <c:v>06:30 AM to 07:00 AM </c:v>
                </c:pt>
                <c:pt idx="5">
                  <c:v>07:00 AM to 07:30 AM </c:v>
                </c:pt>
                <c:pt idx="6">
                  <c:v>07:30 AM to 08:00 AM </c:v>
                </c:pt>
                <c:pt idx="7">
                  <c:v>08:00 AM to 08:30 AM </c:v>
                </c:pt>
                <c:pt idx="8">
                  <c:v>08:30 AM to 09:00 AM </c:v>
                </c:pt>
                <c:pt idx="9">
                  <c:v>09:00 AM to 09:30 AM </c:v>
                </c:pt>
                <c:pt idx="10">
                  <c:v>09:30 AM to 10:00 AM </c:v>
                </c:pt>
                <c:pt idx="11">
                  <c:v>10:00 AM to 10:30 AM </c:v>
                </c:pt>
                <c:pt idx="12">
                  <c:v>10:30 AM to 11:00 AM </c:v>
                </c:pt>
                <c:pt idx="13">
                  <c:v>11:00 AM to 11:30 AM </c:v>
                </c:pt>
                <c:pt idx="14">
                  <c:v>11:30 AM to 12:00 PM </c:v>
                </c:pt>
                <c:pt idx="15">
                  <c:v>12:00 PM to 12:30 PM </c:v>
                </c:pt>
                <c:pt idx="16">
                  <c:v>12:30 PM to 01:00 PM </c:v>
                </c:pt>
                <c:pt idx="17">
                  <c:v>01:00 PM to 01:30 PM </c:v>
                </c:pt>
                <c:pt idx="18">
                  <c:v>01:30 PM to 02:00 PM </c:v>
                </c:pt>
                <c:pt idx="19">
                  <c:v>02:00 PM to 02:30 PM </c:v>
                </c:pt>
                <c:pt idx="20">
                  <c:v>02:30 PM to 03:00 PM </c:v>
                </c:pt>
                <c:pt idx="21">
                  <c:v>03:00 PM to 03:30 PM </c:v>
                </c:pt>
                <c:pt idx="22">
                  <c:v>03:30 PM to 04:00 PM </c:v>
                </c:pt>
                <c:pt idx="23">
                  <c:v>04:00 PM to 04:30 PM </c:v>
                </c:pt>
                <c:pt idx="24">
                  <c:v>04:30 PM to 05:00 PM </c:v>
                </c:pt>
                <c:pt idx="25">
                  <c:v>05:00 PM to 05:30 PM </c:v>
                </c:pt>
                <c:pt idx="26">
                  <c:v>05:30 PM to 06:00 PM </c:v>
                </c:pt>
                <c:pt idx="27">
                  <c:v>06:00 PM to 06:30 PM </c:v>
                </c:pt>
                <c:pt idx="28">
                  <c:v>06:30 PM to 07:00 PM </c:v>
                </c:pt>
                <c:pt idx="29">
                  <c:v>07:00 PM to 07:30 PM </c:v>
                </c:pt>
                <c:pt idx="30">
                  <c:v>07:30 PM to 08:00 PM </c:v>
                </c:pt>
                <c:pt idx="31">
                  <c:v>08:00 PM to 08:30 PM </c:v>
                </c:pt>
                <c:pt idx="32">
                  <c:v>08:30 PM to 09:00 PM </c:v>
                </c:pt>
                <c:pt idx="33">
                  <c:v>09:00 PM to 09:30 PM </c:v>
                </c:pt>
                <c:pt idx="34">
                  <c:v>09:30 PM to 10:00 PM </c:v>
                </c:pt>
                <c:pt idx="35">
                  <c:v>10:00 PM to 10:30 PM </c:v>
                </c:pt>
                <c:pt idx="36">
                  <c:v>10:30 PM to 11:00 PM </c:v>
                </c:pt>
                <c:pt idx="37">
                  <c:v>11:00 PM to 11:30 PM </c:v>
                </c:pt>
                <c:pt idx="38">
                  <c:v>11:30 PM to 12:00 AM </c:v>
                </c:pt>
                <c:pt idx="39">
                  <c:v>12:00 PM to 03:00 AM </c:v>
                </c:pt>
              </c:strCache>
            </c:strRef>
          </c:cat>
          <c:val>
            <c:numRef>
              <c:f>TripDepTime!$F$7:$F$46</c:f>
              <c:numCache>
                <c:formatCode>0.0%</c:formatCode>
                <c:ptCount val="40"/>
                <c:pt idx="0">
                  <c:v>1.0103109849378563E-2</c:v>
                </c:pt>
                <c:pt idx="1">
                  <c:v>1.055263378212788E-2</c:v>
                </c:pt>
                <c:pt idx="2">
                  <c:v>2.0909284643311085E-2</c:v>
                </c:pt>
                <c:pt idx="3">
                  <c:v>3.434315277534649E-2</c:v>
                </c:pt>
                <c:pt idx="4">
                  <c:v>5.0780982426230505E-2</c:v>
                </c:pt>
                <c:pt idx="5">
                  <c:v>6.0892654636232862E-2</c:v>
                </c:pt>
                <c:pt idx="6">
                  <c:v>6.2198890318063159E-2</c:v>
                </c:pt>
                <c:pt idx="7">
                  <c:v>5.460835762506755E-2</c:v>
                </c:pt>
                <c:pt idx="8">
                  <c:v>3.7427029660017201E-2</c:v>
                </c:pt>
                <c:pt idx="9">
                  <c:v>1.9225829407332425E-2</c:v>
                </c:pt>
                <c:pt idx="10">
                  <c:v>1.5582544961907009E-2</c:v>
                </c:pt>
                <c:pt idx="11">
                  <c:v>1.2840686815486837E-2</c:v>
                </c:pt>
                <c:pt idx="12">
                  <c:v>1.1670973216935969E-2</c:v>
                </c:pt>
                <c:pt idx="13">
                  <c:v>9.8400551035474817E-3</c:v>
                </c:pt>
                <c:pt idx="14">
                  <c:v>1.0723405307902488E-2</c:v>
                </c:pt>
                <c:pt idx="15">
                  <c:v>1.0501259618385101E-2</c:v>
                </c:pt>
                <c:pt idx="16">
                  <c:v>1.2659450182283144E-2</c:v>
                </c:pt>
                <c:pt idx="17">
                  <c:v>1.3268804846676663E-2</c:v>
                </c:pt>
                <c:pt idx="18">
                  <c:v>1.4220178249320719E-2</c:v>
                </c:pt>
                <c:pt idx="19">
                  <c:v>1.7195122879388687E-2</c:v>
                </c:pt>
                <c:pt idx="20">
                  <c:v>1.6704214203624352E-2</c:v>
                </c:pt>
                <c:pt idx="21">
                  <c:v>2.6925294354930778E-2</c:v>
                </c:pt>
                <c:pt idx="22">
                  <c:v>3.8349386173880617E-2</c:v>
                </c:pt>
                <c:pt idx="23">
                  <c:v>4.2975439344237344E-2</c:v>
                </c:pt>
                <c:pt idx="24">
                  <c:v>4.5866663114872627E-2</c:v>
                </c:pt>
                <c:pt idx="25">
                  <c:v>6.2057611367770514E-2</c:v>
                </c:pt>
                <c:pt idx="26">
                  <c:v>5.9057931029233804E-2</c:v>
                </c:pt>
                <c:pt idx="27">
                  <c:v>5.0708202360928233E-2</c:v>
                </c:pt>
                <c:pt idx="28">
                  <c:v>3.7692462839354894E-2</c:v>
                </c:pt>
                <c:pt idx="29">
                  <c:v>2.6770220490299798E-2</c:v>
                </c:pt>
                <c:pt idx="30">
                  <c:v>1.792054509890478E-2</c:v>
                </c:pt>
                <c:pt idx="31">
                  <c:v>1.3969967044425333E-2</c:v>
                </c:pt>
                <c:pt idx="32">
                  <c:v>1.0833764622609198E-2</c:v>
                </c:pt>
                <c:pt idx="33">
                  <c:v>9.3310703331329105E-3</c:v>
                </c:pt>
                <c:pt idx="34">
                  <c:v>8.4291683474263454E-3</c:v>
                </c:pt>
                <c:pt idx="35">
                  <c:v>9.0851403085494224E-3</c:v>
                </c:pt>
                <c:pt idx="36">
                  <c:v>8.2907435173416345E-3</c:v>
                </c:pt>
                <c:pt idx="37">
                  <c:v>8.9262609503078637E-3</c:v>
                </c:pt>
                <c:pt idx="38">
                  <c:v>6.8879434351429725E-3</c:v>
                </c:pt>
                <c:pt idx="39">
                  <c:v>9.6735647580847711E-3</c:v>
                </c:pt>
              </c:numCache>
            </c:numRef>
          </c:val>
          <c:extLst>
            <c:ext xmlns:c16="http://schemas.microsoft.com/office/drawing/2014/chart" uri="{C3380CC4-5D6E-409C-BE32-E72D297353CC}">
              <c16:uniqueId val="{00000001-6BDE-4A72-892B-A68D4B42E101}"/>
            </c:ext>
          </c:extLst>
        </c:ser>
        <c:dLbls>
          <c:showLegendKey val="0"/>
          <c:showVal val="0"/>
          <c:showCatName val="0"/>
          <c:showSerName val="0"/>
          <c:showPercent val="0"/>
          <c:showBubbleSize val="0"/>
        </c:dLbls>
        <c:gapWidth val="100"/>
        <c:overlap val="-24"/>
        <c:axId val="618119536"/>
        <c:axId val="618118992"/>
      </c:barChart>
      <c:catAx>
        <c:axId val="61811953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18118992"/>
        <c:crosses val="autoZero"/>
        <c:auto val="1"/>
        <c:lblAlgn val="ctr"/>
        <c:lblOffset val="100"/>
        <c:noMultiLvlLbl val="0"/>
      </c:catAx>
      <c:valAx>
        <c:axId val="618118992"/>
        <c:scaling>
          <c:orientation val="minMax"/>
        </c:scaling>
        <c:delete val="0"/>
        <c:axPos val="l"/>
        <c:majorGridlines>
          <c:spPr>
            <a:ln w="9525" cap="flat" cmpd="sng" algn="ctr">
              <a:solidFill>
                <a:schemeClr val="tx2">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18119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257174</xdr:colOff>
      <xdr:row>4</xdr:row>
      <xdr:rowOff>23811</xdr:rowOff>
    </xdr:from>
    <xdr:to>
      <xdr:col>18</xdr:col>
      <xdr:colOff>581025</xdr:colOff>
      <xdr:row>24</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314324</xdr:colOff>
      <xdr:row>26</xdr:row>
      <xdr:rowOff>14287</xdr:rowOff>
    </xdr:from>
    <xdr:to>
      <xdr:col>18</xdr:col>
      <xdr:colOff>609599</xdr:colOff>
      <xdr:row>48</xdr:row>
      <xdr:rowOff>142875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466724</xdr:colOff>
      <xdr:row>51</xdr:row>
      <xdr:rowOff>71437</xdr:rowOff>
    </xdr:from>
    <xdr:to>
      <xdr:col>19</xdr:col>
      <xdr:colOff>38099</xdr:colOff>
      <xdr:row>76</xdr:row>
      <xdr:rowOff>28575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381000</xdr:colOff>
      <xdr:row>3</xdr:row>
      <xdr:rowOff>152400</xdr:rowOff>
    </xdr:from>
    <xdr:to>
      <xdr:col>19</xdr:col>
      <xdr:colOff>487680</xdr:colOff>
      <xdr:row>28</xdr:row>
      <xdr:rowOff>144780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9525</xdr:colOff>
          <xdr:row>1</xdr:row>
          <xdr:rowOff>228600</xdr:rowOff>
        </xdr:from>
        <xdr:to>
          <xdr:col>4</xdr:col>
          <xdr:colOff>47625</xdr:colOff>
          <xdr:row>2</xdr:row>
          <xdr:rowOff>276225</xdr:rowOff>
        </xdr:to>
        <xdr:sp macro="" textlink="">
          <xdr:nvSpPr>
            <xdr:cNvPr id="14337" name="ComboBox1" hidden="1">
              <a:extLst>
                <a:ext uri="{63B3BB69-23CF-44E3-9099-C40C66FF867C}">
                  <a14:compatExt spid="_x0000_s1433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6</xdr:col>
      <xdr:colOff>297180</xdr:colOff>
      <xdr:row>4</xdr:row>
      <xdr:rowOff>76200</xdr:rowOff>
    </xdr:from>
    <xdr:to>
      <xdr:col>22</xdr:col>
      <xdr:colOff>30480</xdr:colOff>
      <xdr:row>33</xdr:row>
      <xdr:rowOff>91440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19050</xdr:colOff>
      <xdr:row>2</xdr:row>
      <xdr:rowOff>9525</xdr:rowOff>
    </xdr:from>
    <xdr:to>
      <xdr:col>3</xdr:col>
      <xdr:colOff>685800</xdr:colOff>
      <xdr:row>3</xdr:row>
      <xdr:rowOff>47625</xdr:rowOff>
    </xdr:to>
    <xdr:sp macro="" textlink="">
      <xdr:nvSpPr>
        <xdr:cNvPr id="103428" name="CheckBox1" hidden="1">
          <a:extLst>
            <a:ext uri="{63B3BB69-23CF-44E3-9099-C40C66FF867C}">
              <a14:compatExt xmlns:a14="http://schemas.microsoft.com/office/drawing/2010/main" spid="_x0000_s103428"/>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28575</xdr:colOff>
      <xdr:row>2</xdr:row>
      <xdr:rowOff>9525</xdr:rowOff>
    </xdr:from>
    <xdr:to>
      <xdr:col>5</xdr:col>
      <xdr:colOff>628650</xdr:colOff>
      <xdr:row>3</xdr:row>
      <xdr:rowOff>38100</xdr:rowOff>
    </xdr:to>
    <xdr:sp macro="" textlink="">
      <xdr:nvSpPr>
        <xdr:cNvPr id="103430" name="CheckBox2" hidden="1">
          <a:extLst>
            <a:ext uri="{63B3BB69-23CF-44E3-9099-C40C66FF867C}">
              <a14:compatExt xmlns:a14="http://schemas.microsoft.com/office/drawing/2010/main" spid="_x0000_s10343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2</xdr:col>
          <xdr:colOff>809625</xdr:colOff>
          <xdr:row>1</xdr:row>
          <xdr:rowOff>209550</xdr:rowOff>
        </xdr:from>
        <xdr:to>
          <xdr:col>4</xdr:col>
          <xdr:colOff>38100</xdr:colOff>
          <xdr:row>3</xdr:row>
          <xdr:rowOff>114300</xdr:rowOff>
        </xdr:to>
        <xdr:sp macro="" textlink="">
          <xdr:nvSpPr>
            <xdr:cNvPr id="4097" name="CheckBox1" hidden="1">
              <a:extLst>
                <a:ext uri="{63B3BB69-23CF-44E3-9099-C40C66FF867C}">
                  <a14:compatExt spid="_x0000_s409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647700</xdr:colOff>
          <xdr:row>1</xdr:row>
          <xdr:rowOff>228600</xdr:rowOff>
        </xdr:from>
        <xdr:to>
          <xdr:col>6</xdr:col>
          <xdr:colOff>114300</xdr:colOff>
          <xdr:row>3</xdr:row>
          <xdr:rowOff>76200</xdr:rowOff>
        </xdr:to>
        <xdr:sp macro="" textlink="">
          <xdr:nvSpPr>
            <xdr:cNvPr id="4100" name="CheckBox2" hidden="1">
              <a:extLst>
                <a:ext uri="{63B3BB69-23CF-44E3-9099-C40C66FF867C}">
                  <a14:compatExt spid="_x0000_s4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567267</xdr:colOff>
      <xdr:row>11</xdr:row>
      <xdr:rowOff>116927</xdr:rowOff>
    </xdr:from>
    <xdr:to>
      <xdr:col>13</xdr:col>
      <xdr:colOff>372532</xdr:colOff>
      <xdr:row>32</xdr:row>
      <xdr:rowOff>16933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15</xdr:row>
      <xdr:rowOff>0</xdr:rowOff>
    </xdr:from>
    <xdr:to>
      <xdr:col>2</xdr:col>
      <xdr:colOff>390525</xdr:colOff>
      <xdr:row>16</xdr:row>
      <xdr:rowOff>133350</xdr:rowOff>
    </xdr:to>
    <xdr:sp macro="" textlink="">
      <xdr:nvSpPr>
        <xdr:cNvPr id="3073" name="ComboBox1" hidden="1">
          <a:extLst>
            <a:ext uri="{63B3BB69-23CF-44E3-9099-C40C66FF867C}">
              <a14:compatExt xmlns:a14="http://schemas.microsoft.com/office/drawing/2010/main" spid="_x0000_s3073"/>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xdr:from>
      <xdr:col>12</xdr:col>
      <xdr:colOff>262466</xdr:colOff>
      <xdr:row>18</xdr:row>
      <xdr:rowOff>160865</xdr:rowOff>
    </xdr:from>
    <xdr:to>
      <xdr:col>22</xdr:col>
      <xdr:colOff>550334</xdr:colOff>
      <xdr:row>31</xdr:row>
      <xdr:rowOff>116415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316441</xdr:colOff>
      <xdr:row>14</xdr:row>
      <xdr:rowOff>232834</xdr:rowOff>
    </xdr:from>
    <xdr:to>
      <xdr:col>8</xdr:col>
      <xdr:colOff>681566</xdr:colOff>
      <xdr:row>17</xdr:row>
      <xdr:rowOff>8467</xdr:rowOff>
    </xdr:to>
    <xdr:pic>
      <xdr:nvPicPr>
        <xdr:cNvPr id="3" name="ComboBox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61024" y="2995084"/>
          <a:ext cx="2386542" cy="410633"/>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26</xdr:row>
      <xdr:rowOff>0</xdr:rowOff>
    </xdr:from>
    <xdr:to>
      <xdr:col>2</xdr:col>
      <xdr:colOff>0</xdr:colOff>
      <xdr:row>27</xdr:row>
      <xdr:rowOff>38100</xdr:rowOff>
    </xdr:to>
    <xdr:sp macro="" textlink="">
      <xdr:nvSpPr>
        <xdr:cNvPr id="9217" name="ComboBox1" hidden="1">
          <a:extLst>
            <a:ext uri="{63B3BB69-23CF-44E3-9099-C40C66FF867C}">
              <a14:compatExt xmlns:a14="http://schemas.microsoft.com/office/drawing/2010/main" spid="_x0000_s9217"/>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xdr:from>
      <xdr:col>0</xdr:col>
      <xdr:colOff>571500</xdr:colOff>
      <xdr:row>30</xdr:row>
      <xdr:rowOff>0</xdr:rowOff>
    </xdr:from>
    <xdr:to>
      <xdr:col>8</xdr:col>
      <xdr:colOff>38100</xdr:colOff>
      <xdr:row>43</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26</xdr:row>
      <xdr:rowOff>0</xdr:rowOff>
    </xdr:from>
    <xdr:to>
      <xdr:col>2</xdr:col>
      <xdr:colOff>0</xdr:colOff>
      <xdr:row>27</xdr:row>
      <xdr:rowOff>38100</xdr:rowOff>
    </xdr:to>
    <xdr:pic>
      <xdr:nvPicPr>
        <xdr:cNvPr id="3" name="ComboBox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5229225"/>
          <a:ext cx="1714500"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571500</xdr:colOff>
      <xdr:row>24</xdr:row>
      <xdr:rowOff>257175</xdr:rowOff>
    </xdr:from>
    <xdr:to>
      <xdr:col>2</xdr:col>
      <xdr:colOff>19050</xdr:colOff>
      <xdr:row>26</xdr:row>
      <xdr:rowOff>38100</xdr:rowOff>
    </xdr:to>
    <xdr:sp macro="" textlink="">
      <xdr:nvSpPr>
        <xdr:cNvPr id="16385" name="ComboBox1" hidden="1">
          <a:extLst>
            <a:ext uri="{63B3BB69-23CF-44E3-9099-C40C66FF867C}">
              <a14:compatExt xmlns:a14="http://schemas.microsoft.com/office/drawing/2010/main" spid="_x0000_s16385"/>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xdr:from>
      <xdr:col>0</xdr:col>
      <xdr:colOff>1</xdr:colOff>
      <xdr:row>30</xdr:row>
      <xdr:rowOff>7620</xdr:rowOff>
    </xdr:from>
    <xdr:to>
      <xdr:col>7</xdr:col>
      <xdr:colOff>251461</xdr:colOff>
      <xdr:row>42</xdr:row>
      <xdr:rowOff>144780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571500</xdr:colOff>
      <xdr:row>24</xdr:row>
      <xdr:rowOff>257175</xdr:rowOff>
    </xdr:from>
    <xdr:to>
      <xdr:col>2</xdr:col>
      <xdr:colOff>19050</xdr:colOff>
      <xdr:row>26</xdr:row>
      <xdr:rowOff>38100</xdr:rowOff>
    </xdr:to>
    <xdr:pic>
      <xdr:nvPicPr>
        <xdr:cNvPr id="2" name="ComboBox1"/>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5038725"/>
          <a:ext cx="160972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257175</xdr:rowOff>
    </xdr:from>
    <xdr:to>
      <xdr:col>2</xdr:col>
      <xdr:colOff>38100</xdr:colOff>
      <xdr:row>3</xdr:row>
      <xdr:rowOff>180975</xdr:rowOff>
    </xdr:to>
    <xdr:sp macro="" textlink="">
      <xdr:nvSpPr>
        <xdr:cNvPr id="30723" name="ComboBox1" hidden="1">
          <a:extLst>
            <a:ext uri="{63B3BB69-23CF-44E3-9099-C40C66FF867C}">
              <a14:compatExt xmlns:a14="http://schemas.microsoft.com/office/drawing/2010/main" spid="_x0000_s30723"/>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xdr:from>
      <xdr:col>14</xdr:col>
      <xdr:colOff>273296</xdr:colOff>
      <xdr:row>35</xdr:row>
      <xdr:rowOff>64630</xdr:rowOff>
    </xdr:from>
    <xdr:to>
      <xdr:col>34</xdr:col>
      <xdr:colOff>288142</xdr:colOff>
      <xdr:row>65</xdr:row>
      <xdr:rowOff>91455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273379</xdr:colOff>
      <xdr:row>4</xdr:row>
      <xdr:rowOff>85045</xdr:rowOff>
    </xdr:from>
    <xdr:to>
      <xdr:col>34</xdr:col>
      <xdr:colOff>300593</xdr:colOff>
      <xdr:row>34</xdr:row>
      <xdr:rowOff>68037</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590550</xdr:colOff>
          <xdr:row>2</xdr:row>
          <xdr:rowOff>0</xdr:rowOff>
        </xdr:from>
        <xdr:to>
          <xdr:col>1</xdr:col>
          <xdr:colOff>2066925</xdr:colOff>
          <xdr:row>3</xdr:row>
          <xdr:rowOff>133350</xdr:rowOff>
        </xdr:to>
        <xdr:sp macro="" textlink="">
          <xdr:nvSpPr>
            <xdr:cNvPr id="9217" name="ComboBox1" hidden="1">
              <a:extLst>
                <a:ext uri="{63B3BB69-23CF-44E3-9099-C40C66FF867C}">
                  <a14:compatExt spid="_x0000_s921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editAs="oneCell">
    <xdr:from>
      <xdr:col>0</xdr:col>
      <xdr:colOff>609600</xdr:colOff>
      <xdr:row>2</xdr:row>
      <xdr:rowOff>0</xdr:rowOff>
    </xdr:from>
    <xdr:to>
      <xdr:col>2</xdr:col>
      <xdr:colOff>28575</xdr:colOff>
      <xdr:row>3</xdr:row>
      <xdr:rowOff>9525</xdr:rowOff>
    </xdr:to>
    <xdr:sp macro="" textlink="">
      <xdr:nvSpPr>
        <xdr:cNvPr id="47105" name="ComboBox1" hidden="1">
          <a:extLst>
            <a:ext uri="{63B3BB69-23CF-44E3-9099-C40C66FF867C}">
              <a14:compatExt xmlns:a14="http://schemas.microsoft.com/office/drawing/2010/main" spid="_x0000_s47105"/>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xdr:from>
      <xdr:col>8</xdr:col>
      <xdr:colOff>569383</xdr:colOff>
      <xdr:row>4</xdr:row>
      <xdr:rowOff>272519</xdr:rowOff>
    </xdr:from>
    <xdr:to>
      <xdr:col>24</xdr:col>
      <xdr:colOff>127000</xdr:colOff>
      <xdr:row>31</xdr:row>
      <xdr:rowOff>87841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590550</xdr:colOff>
          <xdr:row>2</xdr:row>
          <xdr:rowOff>0</xdr:rowOff>
        </xdr:from>
        <xdr:to>
          <xdr:col>2</xdr:col>
          <xdr:colOff>38100</xdr:colOff>
          <xdr:row>3</xdr:row>
          <xdr:rowOff>28575</xdr:rowOff>
        </xdr:to>
        <xdr:sp macro="" textlink="">
          <xdr:nvSpPr>
            <xdr:cNvPr id="10241" name="ComboBox1" hidden="1">
              <a:extLst>
                <a:ext uri="{63B3BB69-23CF-44E3-9099-C40C66FF867C}">
                  <a14:compatExt spid="_x0000_s1024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19050</xdr:colOff>
      <xdr:row>3</xdr:row>
      <xdr:rowOff>47625</xdr:rowOff>
    </xdr:to>
    <xdr:sp macro="" textlink="">
      <xdr:nvSpPr>
        <xdr:cNvPr id="48129" name="ComboBox1" hidden="1">
          <a:extLst>
            <a:ext uri="{63B3BB69-23CF-44E3-9099-C40C66FF867C}">
              <a14:compatExt xmlns:a14="http://schemas.microsoft.com/office/drawing/2010/main" spid="_x0000_s48129"/>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xdr:from>
      <xdr:col>6</xdr:col>
      <xdr:colOff>60959</xdr:colOff>
      <xdr:row>6</xdr:row>
      <xdr:rowOff>7620</xdr:rowOff>
    </xdr:from>
    <xdr:to>
      <xdr:col>21</xdr:col>
      <xdr:colOff>390524</xdr:colOff>
      <xdr:row>27</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600075</xdr:colOff>
          <xdr:row>1</xdr:row>
          <xdr:rowOff>219075</xdr:rowOff>
        </xdr:from>
        <xdr:to>
          <xdr:col>2</xdr:col>
          <xdr:colOff>28575</xdr:colOff>
          <xdr:row>3</xdr:row>
          <xdr:rowOff>57150</xdr:rowOff>
        </xdr:to>
        <xdr:sp macro="" textlink="">
          <xdr:nvSpPr>
            <xdr:cNvPr id="11265" name="ComboBox1" hidden="1">
              <a:extLst>
                <a:ext uri="{63B3BB69-23CF-44E3-9099-C40C66FF867C}">
                  <a14:compatExt spid="_x0000_s112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1</xdr:col>
      <xdr:colOff>9525</xdr:colOff>
      <xdr:row>2</xdr:row>
      <xdr:rowOff>9525</xdr:rowOff>
    </xdr:from>
    <xdr:to>
      <xdr:col>2</xdr:col>
      <xdr:colOff>19050</xdr:colOff>
      <xdr:row>3</xdr:row>
      <xdr:rowOff>104775</xdr:rowOff>
    </xdr:to>
    <xdr:sp macro="" textlink="">
      <xdr:nvSpPr>
        <xdr:cNvPr id="71681" name="ComboBox1" hidden="1">
          <a:extLst>
            <a:ext uri="{63B3BB69-23CF-44E3-9099-C40C66FF867C}">
              <a14:compatExt xmlns:a14="http://schemas.microsoft.com/office/drawing/2010/main" spid="_x0000_s71681"/>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xdr:from>
      <xdr:col>6</xdr:col>
      <xdr:colOff>266699</xdr:colOff>
      <xdr:row>6</xdr:row>
      <xdr:rowOff>7620</xdr:rowOff>
    </xdr:from>
    <xdr:to>
      <xdr:col>20</xdr:col>
      <xdr:colOff>200024</xdr:colOff>
      <xdr:row>25</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590550</xdr:colOff>
          <xdr:row>1</xdr:row>
          <xdr:rowOff>219075</xdr:rowOff>
        </xdr:from>
        <xdr:to>
          <xdr:col>2</xdr:col>
          <xdr:colOff>9525</xdr:colOff>
          <xdr:row>3</xdr:row>
          <xdr:rowOff>57150</xdr:rowOff>
        </xdr:to>
        <xdr:sp macro="" textlink="">
          <xdr:nvSpPr>
            <xdr:cNvPr id="12289" name="ComboBox1" hidden="1">
              <a:extLst>
                <a:ext uri="{63B3BB69-23CF-44E3-9099-C40C66FF867C}">
                  <a14:compatExt spid="_x0000_s1228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6</xdr:col>
      <xdr:colOff>266700</xdr:colOff>
      <xdr:row>6</xdr:row>
      <xdr:rowOff>7620</xdr:rowOff>
    </xdr:from>
    <xdr:to>
      <xdr:col>20</xdr:col>
      <xdr:colOff>175260</xdr:colOff>
      <xdr:row>24</xdr:row>
      <xdr:rowOff>161925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9525</xdr:colOff>
      <xdr:row>2</xdr:row>
      <xdr:rowOff>9525</xdr:rowOff>
    </xdr:from>
    <xdr:to>
      <xdr:col>2</xdr:col>
      <xdr:colOff>219075</xdr:colOff>
      <xdr:row>4</xdr:row>
      <xdr:rowOff>0</xdr:rowOff>
    </xdr:to>
    <xdr:sp macro="" textlink="">
      <xdr:nvSpPr>
        <xdr:cNvPr id="72705" name="ComboBox1" hidden="1">
          <a:extLst>
            <a:ext uri="{63B3BB69-23CF-44E3-9099-C40C66FF867C}">
              <a14:compatExt xmlns:a14="http://schemas.microsoft.com/office/drawing/2010/main" spid="_x0000_s72705"/>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600075</xdr:colOff>
          <xdr:row>2</xdr:row>
          <xdr:rowOff>9525</xdr:rowOff>
        </xdr:from>
        <xdr:to>
          <xdr:col>2</xdr:col>
          <xdr:colOff>19050</xdr:colOff>
          <xdr:row>3</xdr:row>
          <xdr:rowOff>114300</xdr:rowOff>
        </xdr:to>
        <xdr:sp macro="" textlink="">
          <xdr:nvSpPr>
            <xdr:cNvPr id="13313" name="ComboBox1" hidden="1">
              <a:extLst>
                <a:ext uri="{63B3BB69-23CF-44E3-9099-C40C66FF867C}">
                  <a14:compatExt spid="_x0000_s1331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openxmlformats.org/officeDocument/2006/relationships/image" Target="../media/image1.emf"/><Relationship Id="rId4" Type="http://schemas.openxmlformats.org/officeDocument/2006/relationships/control" Target="../activeX/activeX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control" Target="../activeX/activeX3.xml"/><Relationship Id="rId5" Type="http://schemas.openxmlformats.org/officeDocument/2006/relationships/image" Target="../media/image2.emf"/><Relationship Id="rId4" Type="http://schemas.openxmlformats.org/officeDocument/2006/relationships/control" Target="../activeX/activeX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3" Type="http://schemas.openxmlformats.org/officeDocument/2006/relationships/control" Target="../activeX/activeX4.xml"/><Relationship Id="rId2" Type="http://schemas.openxmlformats.org/officeDocument/2006/relationships/vmlDrawing" Target="../drawings/vmlDrawing3.vml"/><Relationship Id="rId1" Type="http://schemas.openxmlformats.org/officeDocument/2006/relationships/drawing" Target="../drawings/drawing10.xml"/><Relationship Id="rId4" Type="http://schemas.openxmlformats.org/officeDocument/2006/relationships/image" Target="../media/image7.emf"/></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7.bin"/><Relationship Id="rId5" Type="http://schemas.openxmlformats.org/officeDocument/2006/relationships/image" Target="../media/image8.emf"/><Relationship Id="rId4" Type="http://schemas.openxmlformats.org/officeDocument/2006/relationships/control" Target="../activeX/activeX5.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2.xml"/><Relationship Id="rId1" Type="http://schemas.openxmlformats.org/officeDocument/2006/relationships/printerSettings" Target="../printerSettings/printerSettings21.bin"/><Relationship Id="rId5" Type="http://schemas.openxmlformats.org/officeDocument/2006/relationships/image" Target="../media/image9.emf"/><Relationship Id="rId4" Type="http://schemas.openxmlformats.org/officeDocument/2006/relationships/control" Target="../activeX/activeX6.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3.xml"/><Relationship Id="rId1" Type="http://schemas.openxmlformats.org/officeDocument/2006/relationships/printerSettings" Target="../printerSettings/printerSettings22.bin"/><Relationship Id="rId5" Type="http://schemas.openxmlformats.org/officeDocument/2006/relationships/image" Target="../media/image10.emf"/><Relationship Id="rId4" Type="http://schemas.openxmlformats.org/officeDocument/2006/relationships/control" Target="../activeX/activeX7.xml"/></Relationships>
</file>

<file path=xl/worksheets/_rels/sheet44.xml.rels><?xml version="1.0" encoding="UTF-8" standalone="yes"?>
<Relationships xmlns="http://schemas.openxmlformats.org/package/2006/relationships"><Relationship Id="rId3" Type="http://schemas.openxmlformats.org/officeDocument/2006/relationships/control" Target="../activeX/activeX8.xml"/><Relationship Id="rId2" Type="http://schemas.openxmlformats.org/officeDocument/2006/relationships/vmlDrawing" Target="../drawings/vmlDrawing7.vml"/><Relationship Id="rId1" Type="http://schemas.openxmlformats.org/officeDocument/2006/relationships/drawing" Target="../drawings/drawing14.xml"/><Relationship Id="rId4" Type="http://schemas.openxmlformats.org/officeDocument/2006/relationships/image" Target="../media/image11.emf"/></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G33"/>
  <sheetViews>
    <sheetView topLeftCell="A19" workbookViewId="0">
      <selection activeCell="B19" sqref="B19"/>
    </sheetView>
  </sheetViews>
  <sheetFormatPr defaultRowHeight="15" x14ac:dyDescent="0.25"/>
  <cols>
    <col min="2" max="2" width="54.28515625" customWidth="1"/>
    <col min="3" max="3" width="58.85546875" customWidth="1"/>
    <col min="4" max="4" width="26.85546875" customWidth="1"/>
    <col min="5" max="5" width="22" customWidth="1"/>
    <col min="6" max="6" width="28.5703125" bestFit="1" customWidth="1"/>
  </cols>
  <sheetData>
    <row r="1" spans="1:7" ht="18.75" x14ac:dyDescent="0.3">
      <c r="B1" s="205" t="s">
        <v>594</v>
      </c>
    </row>
    <row r="2" spans="1:7" ht="21" x14ac:dyDescent="0.35">
      <c r="B2" s="330">
        <v>5</v>
      </c>
      <c r="F2" t="s">
        <v>666</v>
      </c>
      <c r="G2" t="s">
        <v>665</v>
      </c>
    </row>
    <row r="3" spans="1:7" ht="28.5" x14ac:dyDescent="0.45">
      <c r="A3" s="361" t="s">
        <v>427</v>
      </c>
      <c r="B3" s="361"/>
      <c r="C3" s="171"/>
      <c r="D3" s="171"/>
    </row>
    <row r="4" spans="1:7" ht="21.75" thickBot="1" x14ac:dyDescent="0.4">
      <c r="A4" s="337" t="s">
        <v>233</v>
      </c>
      <c r="B4" s="337" t="s">
        <v>370</v>
      </c>
      <c r="C4" s="337" t="s">
        <v>593</v>
      </c>
      <c r="D4" s="337" t="s">
        <v>595</v>
      </c>
      <c r="E4" s="337" t="s">
        <v>688</v>
      </c>
      <c r="F4" s="337" t="s">
        <v>689</v>
      </c>
    </row>
    <row r="5" spans="1:7" ht="75.75" thickTop="1" x14ac:dyDescent="0.25">
      <c r="A5" s="334">
        <v>1</v>
      </c>
      <c r="B5" s="335" t="s">
        <v>357</v>
      </c>
      <c r="C5" s="336" t="s">
        <v>597</v>
      </c>
      <c r="D5" s="336" t="s">
        <v>596</v>
      </c>
      <c r="E5" s="336" t="s">
        <v>644</v>
      </c>
      <c r="F5" s="336" t="s">
        <v>690</v>
      </c>
    </row>
    <row r="6" spans="1:7" ht="75" x14ac:dyDescent="0.25">
      <c r="A6" s="331">
        <v>2</v>
      </c>
      <c r="B6" s="332" t="s">
        <v>509</v>
      </c>
      <c r="C6" s="333" t="s">
        <v>604</v>
      </c>
      <c r="D6" s="333" t="s">
        <v>598</v>
      </c>
      <c r="E6" s="333" t="s">
        <v>662</v>
      </c>
      <c r="F6" s="333" t="s">
        <v>691</v>
      </c>
    </row>
    <row r="7" spans="1:7" ht="47.25" customHeight="1" x14ac:dyDescent="0.25">
      <c r="A7" s="334">
        <v>3</v>
      </c>
      <c r="B7" s="332" t="s">
        <v>599</v>
      </c>
      <c r="C7" s="333" t="s">
        <v>600</v>
      </c>
      <c r="D7" s="333" t="s">
        <v>598</v>
      </c>
      <c r="E7" s="333"/>
      <c r="F7" s="333" t="s">
        <v>692</v>
      </c>
    </row>
    <row r="8" spans="1:7" ht="45" x14ac:dyDescent="0.25">
      <c r="A8" s="331">
        <v>4</v>
      </c>
      <c r="B8" s="332" t="s">
        <v>405</v>
      </c>
      <c r="C8" s="333" t="s">
        <v>605</v>
      </c>
      <c r="D8" s="333" t="s">
        <v>607</v>
      </c>
      <c r="E8" s="333" t="s">
        <v>645</v>
      </c>
      <c r="F8" s="333"/>
    </row>
    <row r="9" spans="1:7" ht="45" x14ac:dyDescent="0.25">
      <c r="A9" s="334">
        <v>5</v>
      </c>
      <c r="B9" s="332" t="s">
        <v>601</v>
      </c>
      <c r="C9" s="333" t="s">
        <v>602</v>
      </c>
      <c r="D9" s="333" t="s">
        <v>607</v>
      </c>
      <c r="E9" s="333"/>
      <c r="F9" s="333" t="s">
        <v>699</v>
      </c>
    </row>
    <row r="10" spans="1:7" ht="90" x14ac:dyDescent="0.25">
      <c r="A10" s="331">
        <v>6</v>
      </c>
      <c r="B10" s="332" t="s">
        <v>603</v>
      </c>
      <c r="C10" s="333" t="s">
        <v>606</v>
      </c>
      <c r="D10" s="336" t="s">
        <v>596</v>
      </c>
      <c r="E10" s="333" t="s">
        <v>646</v>
      </c>
      <c r="F10" s="333" t="s">
        <v>693</v>
      </c>
    </row>
    <row r="11" spans="1:7" ht="45" x14ac:dyDescent="0.25">
      <c r="A11" s="334">
        <v>7</v>
      </c>
      <c r="B11" s="332" t="s">
        <v>358</v>
      </c>
      <c r="C11" s="333" t="s">
        <v>609</v>
      </c>
      <c r="D11" s="333" t="s">
        <v>608</v>
      </c>
      <c r="E11" s="333" t="s">
        <v>647</v>
      </c>
      <c r="F11" s="333"/>
    </row>
    <row r="12" spans="1:7" ht="75" x14ac:dyDescent="0.25">
      <c r="A12" s="331">
        <v>8</v>
      </c>
      <c r="B12" s="332" t="s">
        <v>510</v>
      </c>
      <c r="C12" s="333" t="s">
        <v>610</v>
      </c>
      <c r="D12" s="333" t="s">
        <v>611</v>
      </c>
      <c r="E12" s="333" t="s">
        <v>648</v>
      </c>
      <c r="F12" s="333"/>
    </row>
    <row r="13" spans="1:7" ht="75" x14ac:dyDescent="0.25">
      <c r="A13" s="334">
        <v>9</v>
      </c>
      <c r="B13" s="332" t="s">
        <v>58</v>
      </c>
      <c r="C13" s="333" t="s">
        <v>612</v>
      </c>
      <c r="D13" s="336" t="s">
        <v>596</v>
      </c>
      <c r="E13" s="333" t="s">
        <v>649</v>
      </c>
      <c r="F13" s="333" t="s">
        <v>697</v>
      </c>
    </row>
    <row r="14" spans="1:7" ht="90" x14ac:dyDescent="0.25">
      <c r="A14" s="331">
        <v>10</v>
      </c>
      <c r="B14" s="332" t="s">
        <v>359</v>
      </c>
      <c r="C14" s="333" t="s">
        <v>616</v>
      </c>
      <c r="D14" s="336" t="s">
        <v>596</v>
      </c>
      <c r="E14" s="333" t="s">
        <v>650</v>
      </c>
      <c r="F14" s="333" t="s">
        <v>650</v>
      </c>
    </row>
    <row r="15" spans="1:7" ht="120" x14ac:dyDescent="0.25">
      <c r="A15" s="334">
        <v>11</v>
      </c>
      <c r="B15" s="332" t="s">
        <v>360</v>
      </c>
      <c r="C15" s="333" t="s">
        <v>617</v>
      </c>
      <c r="D15" s="333" t="s">
        <v>596</v>
      </c>
      <c r="E15" s="333" t="s">
        <v>651</v>
      </c>
      <c r="F15" s="333" t="s">
        <v>698</v>
      </c>
    </row>
    <row r="16" spans="1:7" ht="210" x14ac:dyDescent="0.25">
      <c r="A16" s="331">
        <v>12</v>
      </c>
      <c r="B16" s="332" t="s">
        <v>361</v>
      </c>
      <c r="C16" s="333" t="s">
        <v>618</v>
      </c>
      <c r="D16" s="333" t="s">
        <v>596</v>
      </c>
      <c r="E16" s="333" t="s">
        <v>652</v>
      </c>
      <c r="F16" s="333" t="s">
        <v>652</v>
      </c>
    </row>
    <row r="17" spans="1:6" ht="105" x14ac:dyDescent="0.25">
      <c r="A17" s="334">
        <v>13</v>
      </c>
      <c r="B17" s="332" t="s">
        <v>81</v>
      </c>
      <c r="C17" s="333" t="s">
        <v>619</v>
      </c>
      <c r="D17" s="333" t="s">
        <v>596</v>
      </c>
      <c r="E17" s="333" t="s">
        <v>653</v>
      </c>
      <c r="F17" s="333" t="s">
        <v>653</v>
      </c>
    </row>
    <row r="18" spans="1:6" ht="75" x14ac:dyDescent="0.25">
      <c r="A18" s="331">
        <v>14</v>
      </c>
      <c r="B18" s="332" t="s">
        <v>362</v>
      </c>
      <c r="C18" s="333" t="s">
        <v>620</v>
      </c>
      <c r="D18" s="333" t="s">
        <v>596</v>
      </c>
      <c r="E18" s="333" t="s">
        <v>663</v>
      </c>
      <c r="F18" s="333" t="s">
        <v>663</v>
      </c>
    </row>
    <row r="19" spans="1:6" ht="30" x14ac:dyDescent="0.25">
      <c r="A19" s="334">
        <v>15</v>
      </c>
      <c r="B19" s="332" t="s">
        <v>363</v>
      </c>
      <c r="C19" s="333" t="s">
        <v>623</v>
      </c>
      <c r="D19" s="333" t="s">
        <v>596</v>
      </c>
      <c r="E19" s="362" t="s">
        <v>654</v>
      </c>
      <c r="F19" s="362" t="s">
        <v>654</v>
      </c>
    </row>
    <row r="20" spans="1:6" ht="60" x14ac:dyDescent="0.25">
      <c r="A20" s="331">
        <v>16</v>
      </c>
      <c r="B20" s="332" t="s">
        <v>621</v>
      </c>
      <c r="C20" s="333" t="s">
        <v>624</v>
      </c>
      <c r="D20" s="333" t="s">
        <v>625</v>
      </c>
      <c r="E20" s="363"/>
      <c r="F20" s="363"/>
    </row>
    <row r="21" spans="1:6" ht="30" x14ac:dyDescent="0.25">
      <c r="A21" s="334">
        <v>17</v>
      </c>
      <c r="B21" s="332" t="s">
        <v>622</v>
      </c>
      <c r="C21" s="333" t="s">
        <v>626</v>
      </c>
      <c r="D21" s="333" t="s">
        <v>625</v>
      </c>
      <c r="E21" s="364"/>
      <c r="F21" s="364"/>
    </row>
    <row r="22" spans="1:6" ht="45" x14ac:dyDescent="0.25">
      <c r="A22" s="331">
        <v>18</v>
      </c>
      <c r="B22" s="332" t="s">
        <v>364</v>
      </c>
      <c r="C22" s="333" t="s">
        <v>627</v>
      </c>
      <c r="D22" s="333" t="s">
        <v>596</v>
      </c>
      <c r="E22" s="333" t="s">
        <v>655</v>
      </c>
      <c r="F22" s="333" t="s">
        <v>655</v>
      </c>
    </row>
    <row r="23" spans="1:6" ht="45" x14ac:dyDescent="0.25">
      <c r="A23" s="334">
        <v>19</v>
      </c>
      <c r="B23" s="332" t="s">
        <v>380</v>
      </c>
      <c r="C23" s="333" t="s">
        <v>628</v>
      </c>
      <c r="D23" s="333" t="s">
        <v>596</v>
      </c>
      <c r="E23" s="333" t="s">
        <v>664</v>
      </c>
      <c r="F23" s="333" t="s">
        <v>664</v>
      </c>
    </row>
    <row r="24" spans="1:6" ht="30" x14ac:dyDescent="0.25">
      <c r="A24" s="331">
        <v>20</v>
      </c>
      <c r="B24" s="332" t="s">
        <v>365</v>
      </c>
      <c r="C24" s="333" t="s">
        <v>629</v>
      </c>
      <c r="D24" s="333" t="s">
        <v>596</v>
      </c>
      <c r="E24" s="333" t="s">
        <v>656</v>
      </c>
      <c r="F24" s="333" t="s">
        <v>656</v>
      </c>
    </row>
    <row r="25" spans="1:6" ht="30" x14ac:dyDescent="0.25">
      <c r="A25" s="334">
        <v>21</v>
      </c>
      <c r="B25" s="332" t="s">
        <v>367</v>
      </c>
      <c r="C25" s="333" t="s">
        <v>630</v>
      </c>
      <c r="D25" s="333" t="s">
        <v>596</v>
      </c>
      <c r="E25" s="333" t="s">
        <v>657</v>
      </c>
      <c r="F25" s="333" t="s">
        <v>657</v>
      </c>
    </row>
    <row r="26" spans="1:6" ht="105" x14ac:dyDescent="0.25">
      <c r="A26" s="331">
        <v>22</v>
      </c>
      <c r="B26" s="332" t="s">
        <v>368</v>
      </c>
      <c r="C26" s="333" t="s">
        <v>631</v>
      </c>
      <c r="D26" s="333" t="s">
        <v>596</v>
      </c>
      <c r="E26" s="333" t="s">
        <v>658</v>
      </c>
      <c r="F26" s="333" t="s">
        <v>658</v>
      </c>
    </row>
    <row r="27" spans="1:6" ht="45" x14ac:dyDescent="0.25">
      <c r="A27" s="334">
        <v>23</v>
      </c>
      <c r="B27" s="332" t="s">
        <v>369</v>
      </c>
      <c r="C27" s="333" t="s">
        <v>632</v>
      </c>
      <c r="D27" s="333" t="s">
        <v>596</v>
      </c>
      <c r="E27" s="333" t="s">
        <v>658</v>
      </c>
      <c r="F27" s="333" t="s">
        <v>658</v>
      </c>
    </row>
    <row r="28" spans="1:6" ht="30" x14ac:dyDescent="0.25">
      <c r="A28" s="331">
        <v>24</v>
      </c>
      <c r="B28" s="332" t="s">
        <v>375</v>
      </c>
      <c r="C28" s="333" t="s">
        <v>633</v>
      </c>
      <c r="D28" s="333" t="s">
        <v>596</v>
      </c>
      <c r="E28" s="362" t="s">
        <v>660</v>
      </c>
      <c r="F28" s="362" t="s">
        <v>660</v>
      </c>
    </row>
    <row r="29" spans="1:6" ht="30" x14ac:dyDescent="0.25">
      <c r="A29" s="334">
        <v>25</v>
      </c>
      <c r="B29" s="332" t="s">
        <v>366</v>
      </c>
      <c r="C29" s="333" t="s">
        <v>634</v>
      </c>
      <c r="D29" s="333" t="s">
        <v>596</v>
      </c>
      <c r="E29" s="363"/>
      <c r="F29" s="363"/>
    </row>
    <row r="30" spans="1:6" ht="45" x14ac:dyDescent="0.25">
      <c r="A30" s="331">
        <v>26</v>
      </c>
      <c r="B30" s="332" t="s">
        <v>636</v>
      </c>
      <c r="C30" s="333" t="s">
        <v>637</v>
      </c>
      <c r="D30" s="333" t="s">
        <v>625</v>
      </c>
      <c r="E30" s="363"/>
      <c r="F30" s="363"/>
    </row>
    <row r="31" spans="1:6" ht="30" x14ac:dyDescent="0.25">
      <c r="A31" s="334">
        <v>27</v>
      </c>
      <c r="B31" s="332" t="s">
        <v>635</v>
      </c>
      <c r="C31" s="333" t="s">
        <v>638</v>
      </c>
      <c r="D31" s="333" t="s">
        <v>625</v>
      </c>
      <c r="E31" s="364"/>
      <c r="F31" s="364"/>
    </row>
    <row r="32" spans="1:6" ht="135" x14ac:dyDescent="0.25">
      <c r="A32" s="331">
        <v>28</v>
      </c>
      <c r="B32" s="332" t="s">
        <v>641</v>
      </c>
      <c r="C32" s="333" t="s">
        <v>642</v>
      </c>
      <c r="D32" s="333" t="s">
        <v>625</v>
      </c>
      <c r="E32" s="333" t="s">
        <v>659</v>
      </c>
      <c r="F32" s="333" t="s">
        <v>659</v>
      </c>
    </row>
    <row r="33" spans="1:6" ht="135" x14ac:dyDescent="0.25">
      <c r="A33" s="334">
        <v>29</v>
      </c>
      <c r="B33" s="332" t="s">
        <v>407</v>
      </c>
      <c r="C33" s="333" t="s">
        <v>639</v>
      </c>
      <c r="D33" s="333" t="s">
        <v>640</v>
      </c>
      <c r="E33" s="333" t="s">
        <v>661</v>
      </c>
      <c r="F33" s="333" t="s">
        <v>661</v>
      </c>
    </row>
  </sheetData>
  <mergeCells count="5">
    <mergeCell ref="A3:B3"/>
    <mergeCell ref="E19:E21"/>
    <mergeCell ref="E28:E31"/>
    <mergeCell ref="F19:F21"/>
    <mergeCell ref="F28:F31"/>
  </mergeCells>
  <hyperlinks>
    <hyperlink ref="B5" location="Mand_TLFDs!A1" display="Mandatory DC - TLFD"/>
    <hyperlink ref="B8" location="SectorFlows!A1" display="Sector Flows"/>
    <hyperlink ref="B11" location="AutoOwnership!A1" display="Auto Ownership"/>
    <hyperlink ref="B13" location="DAP!A1" display="DAP"/>
    <hyperlink ref="B14" location="MTF!A1" display="Mandatory Tour Frequency"/>
    <hyperlink ref="B15" location="indiNM!A1" display="Individual Non Mandatory Tour Frequency"/>
    <hyperlink ref="B16" location="ToursSummary!A1" display="Tours Summary"/>
    <hyperlink ref="B17" location="JTF!A1" display="Joint Tour Frequency"/>
    <hyperlink ref="B18" location="TOD!A1" display="Time of Day"/>
    <hyperlink ref="B19" location="TourMode!A1" display="Tour Mode Choice"/>
    <hyperlink ref="B22" location="nonMandDC!A1" display="Non Mandatory DC - TLFD"/>
    <hyperlink ref="B24" location="StopFreq!A1" display="Stop Frequency"/>
    <hyperlink ref="B29" location="TripMode!A1" display="Trip Mode Choice"/>
    <hyperlink ref="B25" location="StopPurpose!A1" display="StopPurpose"/>
    <hyperlink ref="B26" location="StopLocation!A1" display="Stop Location (out-of-direction)"/>
    <hyperlink ref="B28" location="TripDepTime!A1" display="Trip Departure Time"/>
    <hyperlink ref="B27" location="StopDepTime!A1" display="Stop Departure Time"/>
    <hyperlink ref="B23" location="'TotalStops&amp;Trips'!A1" display="Total Stops&amp;Trips"/>
    <hyperlink ref="B33" location="TransitBoarding!A1" display="Transit Boardings"/>
    <hyperlink ref="B6" location="CountyFlows!A1" display="County Flows"/>
    <hyperlink ref="B12" location="AO_CrossTabs!A1" display="AO CrossTabs"/>
    <hyperlink ref="B7" location="County_Scatter!A1" display="County Flows - Scatter Plot"/>
    <hyperlink ref="B9" location="Sector_Scatter!A1" display="Sector Flows - Scatter Plot"/>
    <hyperlink ref="B10" location="SXS_Transit_PA!A1" display="Sector-Sector Transit Trips(PA)"/>
    <hyperlink ref="B20" location="TourMode2!A1" display="Tour Mode Choice2"/>
    <hyperlink ref="B21" location="TourMode2CBD!A1" display="Tour Mode Choice2 - CBD"/>
    <hyperlink ref="B30" location="TripMode2!A1" display="Trip Mode Choice2"/>
    <hyperlink ref="B31" location="TripMode2CBD!A1" display="Trip Mode Choice2 - CBD"/>
    <hyperlink ref="B32" location="HIS_vs_OBS!A1" display="HIS vs OBS"/>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V78"/>
  <sheetViews>
    <sheetView zoomScale="90" zoomScaleNormal="90" workbookViewId="0">
      <selection activeCell="V58" sqref="V58"/>
    </sheetView>
  </sheetViews>
  <sheetFormatPr defaultRowHeight="15" x14ac:dyDescent="0.25"/>
  <sheetData>
    <row r="1" spans="1:22" ht="23.25" x14ac:dyDescent="0.35">
      <c r="A1" s="173" t="s">
        <v>371</v>
      </c>
    </row>
    <row r="2" spans="1:22" ht="14.45" customHeight="1" x14ac:dyDescent="0.25">
      <c r="D2" s="365"/>
      <c r="E2" s="365"/>
      <c r="F2" s="365"/>
      <c r="G2" s="365"/>
      <c r="H2" s="365"/>
      <c r="I2" s="365"/>
      <c r="J2" s="365"/>
      <c r="K2" s="365"/>
      <c r="L2" s="365"/>
      <c r="M2" s="365"/>
      <c r="N2" s="365"/>
      <c r="O2" s="365"/>
    </row>
    <row r="3" spans="1:22" ht="14.45" customHeight="1" x14ac:dyDescent="0.25">
      <c r="D3" s="365"/>
      <c r="E3" s="365"/>
      <c r="F3" s="365"/>
      <c r="G3" s="365"/>
      <c r="H3" s="365"/>
      <c r="I3" s="365"/>
      <c r="J3" s="365"/>
      <c r="K3" s="365"/>
      <c r="L3" s="365"/>
      <c r="M3" s="365"/>
      <c r="N3" s="365"/>
      <c r="O3" s="365"/>
    </row>
    <row r="13" spans="1:22" ht="21" x14ac:dyDescent="0.35">
      <c r="U13" s="170" t="s">
        <v>384</v>
      </c>
    </row>
    <row r="14" spans="1:22" ht="21" x14ac:dyDescent="0.35">
      <c r="U14" s="170" t="s">
        <v>7</v>
      </c>
      <c r="V14" s="170">
        <v>13.06</v>
      </c>
    </row>
    <row r="15" spans="1:22" ht="21" x14ac:dyDescent="0.35">
      <c r="U15" s="170" t="s">
        <v>3</v>
      </c>
      <c r="V15" s="170">
        <v>10.38</v>
      </c>
    </row>
    <row r="38" spans="21:22" ht="21" x14ac:dyDescent="0.35">
      <c r="U38" s="170" t="s">
        <v>384</v>
      </c>
    </row>
    <row r="39" spans="21:22" ht="21" x14ac:dyDescent="0.35">
      <c r="U39" s="170" t="s">
        <v>7</v>
      </c>
      <c r="V39" s="170">
        <v>13.58</v>
      </c>
    </row>
    <row r="40" spans="21:22" ht="21" x14ac:dyDescent="0.35">
      <c r="U40" s="170" t="s">
        <v>3</v>
      </c>
      <c r="V40" s="170">
        <v>14.019</v>
      </c>
    </row>
    <row r="64" spans="21:21" ht="21" x14ac:dyDescent="0.35">
      <c r="U64" s="170" t="s">
        <v>384</v>
      </c>
    </row>
    <row r="65" spans="2:22" ht="21" x14ac:dyDescent="0.35">
      <c r="U65" s="170" t="s">
        <v>7</v>
      </c>
      <c r="V65" s="170">
        <v>5.0599999999999996</v>
      </c>
    </row>
    <row r="66" spans="2:22" ht="21" x14ac:dyDescent="0.35">
      <c r="U66" s="170" t="s">
        <v>3</v>
      </c>
      <c r="V66" s="170">
        <v>6.47</v>
      </c>
    </row>
    <row r="78" spans="2:22" x14ac:dyDescent="0.25">
      <c r="B78" t="s">
        <v>139</v>
      </c>
    </row>
  </sheetData>
  <mergeCells count="1">
    <mergeCell ref="D2:O3"/>
  </mergeCells>
  <hyperlinks>
    <hyperlink ref="A1" location="Index!A1" display="Index"/>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Y25"/>
  <sheetViews>
    <sheetView workbookViewId="0">
      <selection activeCell="H6" sqref="H6"/>
    </sheetView>
  </sheetViews>
  <sheetFormatPr defaultRowHeight="15" x14ac:dyDescent="0.25"/>
  <cols>
    <col min="1" max="1" width="6.7109375" style="3" bestFit="1" customWidth="1"/>
    <col min="2" max="2" width="10.28515625" style="3" bestFit="1" customWidth="1"/>
    <col min="3" max="3" width="9.28515625" style="3" bestFit="1" customWidth="1"/>
    <col min="4" max="4" width="13.28515625" style="3" customWidth="1"/>
    <col min="5" max="5" width="13" style="3" customWidth="1"/>
    <col min="6" max="6" width="13.7109375" style="3" customWidth="1"/>
    <col min="7" max="7" width="13.28515625" style="3" bestFit="1" customWidth="1"/>
    <col min="8" max="8" width="11.5703125" style="3" bestFit="1" customWidth="1"/>
    <col min="9" max="9" width="13.28515625" style="3" bestFit="1" customWidth="1"/>
    <col min="10" max="10" width="15.28515625" bestFit="1" customWidth="1"/>
    <col min="11" max="11" width="15.42578125" bestFit="1" customWidth="1"/>
    <col min="12" max="12" width="15.28515625" bestFit="1" customWidth="1"/>
    <col min="13" max="13" width="15.42578125" bestFit="1" customWidth="1"/>
    <col min="14" max="14" width="15.28515625" bestFit="1" customWidth="1"/>
    <col min="15" max="15" width="15.42578125" bestFit="1" customWidth="1"/>
    <col min="18" max="18" width="10" bestFit="1" customWidth="1"/>
    <col min="21" max="21" width="10" bestFit="1" customWidth="1"/>
    <col min="24" max="24" width="10" bestFit="1" customWidth="1"/>
  </cols>
  <sheetData>
    <row r="1" spans="1:25" x14ac:dyDescent="0.25">
      <c r="D1" s="370" t="s">
        <v>3</v>
      </c>
      <c r="E1" s="370"/>
      <c r="F1" s="370"/>
      <c r="G1" s="370" t="s">
        <v>7</v>
      </c>
      <c r="H1" s="370"/>
      <c r="I1" s="370"/>
      <c r="J1" s="371" t="s">
        <v>4</v>
      </c>
      <c r="K1" s="371"/>
      <c r="L1" s="371" t="s">
        <v>5</v>
      </c>
      <c r="M1" s="371"/>
      <c r="N1" s="371" t="s">
        <v>6</v>
      </c>
      <c r="O1" s="371"/>
      <c r="T1" s="369" t="s">
        <v>570</v>
      </c>
      <c r="U1" s="369"/>
      <c r="V1" s="276">
        <v>1</v>
      </c>
    </row>
    <row r="2" spans="1:25" x14ac:dyDescent="0.25">
      <c r="A2" s="4" t="s">
        <v>3</v>
      </c>
      <c r="B2" s="4"/>
      <c r="C2" s="4"/>
      <c r="D2" s="4"/>
      <c r="E2" s="4"/>
      <c r="F2" s="4"/>
      <c r="G2" s="4"/>
      <c r="H2" s="4"/>
      <c r="I2" s="4"/>
      <c r="J2" s="193" t="s">
        <v>3</v>
      </c>
      <c r="K2" s="193" t="s">
        <v>7</v>
      </c>
      <c r="L2" s="193" t="s">
        <v>3</v>
      </c>
      <c r="M2" s="193" t="s">
        <v>7</v>
      </c>
      <c r="N2" s="193" t="s">
        <v>3</v>
      </c>
      <c r="O2" s="193" t="s">
        <v>7</v>
      </c>
      <c r="Q2" s="366" t="s">
        <v>572</v>
      </c>
      <c r="R2" s="367"/>
      <c r="S2" s="368"/>
      <c r="T2" s="366" t="s">
        <v>567</v>
      </c>
      <c r="U2" s="367"/>
      <c r="V2" s="368"/>
      <c r="W2" s="366" t="s">
        <v>568</v>
      </c>
      <c r="X2" s="367"/>
      <c r="Y2" s="368"/>
    </row>
    <row r="3" spans="1:25" ht="15.75" thickBot="1" x14ac:dyDescent="0.3">
      <c r="B3" s="3" t="s">
        <v>0</v>
      </c>
      <c r="C3" s="3" t="s">
        <v>1</v>
      </c>
      <c r="D3" s="3" t="s">
        <v>55</v>
      </c>
      <c r="E3" s="3" t="s">
        <v>56</v>
      </c>
      <c r="F3" s="3" t="s">
        <v>57</v>
      </c>
      <c r="G3" s="3" t="s">
        <v>12</v>
      </c>
      <c r="H3" s="3" t="s">
        <v>13</v>
      </c>
      <c r="I3" s="3" t="s">
        <v>14</v>
      </c>
      <c r="J3" s="27"/>
      <c r="K3" s="27"/>
      <c r="L3" s="27"/>
      <c r="M3" s="27"/>
      <c r="N3" s="27"/>
      <c r="O3" s="27"/>
      <c r="Q3" s="323" t="s">
        <v>4</v>
      </c>
      <c r="R3" s="322" t="s">
        <v>5</v>
      </c>
      <c r="S3" s="324" t="s">
        <v>6</v>
      </c>
      <c r="T3" s="323" t="s">
        <v>4</v>
      </c>
      <c r="U3" s="322" t="s">
        <v>5</v>
      </c>
      <c r="V3" s="324" t="s">
        <v>6</v>
      </c>
      <c r="W3" s="323" t="s">
        <v>4</v>
      </c>
      <c r="X3" s="322" t="s">
        <v>5</v>
      </c>
      <c r="Y3" s="324" t="s">
        <v>6</v>
      </c>
    </row>
    <row r="4" spans="1:25" ht="15.75" thickTop="1" x14ac:dyDescent="0.25">
      <c r="A4" s="3">
        <v>1</v>
      </c>
      <c r="B4" s="3">
        <v>0</v>
      </c>
      <c r="C4" s="3">
        <v>2.5</v>
      </c>
      <c r="D4" s="343">
        <v>795825</v>
      </c>
      <c r="E4" s="343">
        <v>20025</v>
      </c>
      <c r="F4" s="343">
        <v>980850</v>
      </c>
      <c r="G4" s="341">
        <v>816526.11702000001</v>
      </c>
      <c r="H4" s="341">
        <v>55623.586159999999</v>
      </c>
      <c r="I4" s="341">
        <v>964312.97253999999</v>
      </c>
      <c r="J4" s="202">
        <f t="shared" ref="J4:J24" si="0">D4/SUM($D$4:$D$24)</f>
        <v>0.16930267486844777</v>
      </c>
      <c r="K4" s="1">
        <f t="shared" ref="K4:K24" si="1">G4/SUM($G$4:$G$24)</f>
        <v>0.16003257261333534</v>
      </c>
      <c r="L4" s="2">
        <f t="shared" ref="L4:L24" si="2">E4/SUM($E$4:$E$24)</f>
        <v>5.5800150472315881E-2</v>
      </c>
      <c r="M4" s="1">
        <f t="shared" ref="M4:M24" si="3">H4/SUM($H$4:$H$24)</f>
        <v>0.17981464961241439</v>
      </c>
      <c r="N4" s="2">
        <f t="shared" ref="N4:N24" si="4">F4/SUM($F$4:$F$24)</f>
        <v>0.35677067704042381</v>
      </c>
      <c r="O4" s="1">
        <f t="shared" ref="O4:O24" si="5">I4/SUM($I$4:$I$24)</f>
        <v>0.44935364489830681</v>
      </c>
      <c r="Q4">
        <f>IF(J4&gt;0,LN(K4/J4),0)</f>
        <v>-5.6310715243827837E-2</v>
      </c>
      <c r="R4">
        <f>IF(L4&gt;0,LN(M4/L4),0)</f>
        <v>1.170150029964244</v>
      </c>
      <c r="S4" s="325">
        <f>IF(N4&gt;0,LN(O4/N4),0)</f>
        <v>0.23071699141613433</v>
      </c>
      <c r="T4">
        <v>0.60850261750924506</v>
      </c>
      <c r="V4" s="325">
        <v>1.2241764185458537</v>
      </c>
      <c r="W4">
        <f>T4+$V$1*Q4</f>
        <v>0.55219190226541726</v>
      </c>
      <c r="X4">
        <f>U4+$V$1*R4</f>
        <v>1.170150029964244</v>
      </c>
      <c r="Y4">
        <f>V4+$V$1*S4</f>
        <v>1.4548934099619881</v>
      </c>
    </row>
    <row r="5" spans="1:25" x14ac:dyDescent="0.25">
      <c r="A5" s="3">
        <v>2</v>
      </c>
      <c r="B5" s="3">
        <v>2.5</v>
      </c>
      <c r="C5" s="3">
        <v>5</v>
      </c>
      <c r="D5" s="343">
        <v>781360</v>
      </c>
      <c r="E5" s="343">
        <v>50950</v>
      </c>
      <c r="F5" s="343">
        <v>849845</v>
      </c>
      <c r="G5" s="341">
        <v>722824.7328</v>
      </c>
      <c r="H5" s="341">
        <v>55838.240740000001</v>
      </c>
      <c r="I5" s="341">
        <v>603157.54345</v>
      </c>
      <c r="J5" s="202">
        <f t="shared" si="0"/>
        <v>0.1662254114098079</v>
      </c>
      <c r="K5" s="1">
        <f t="shared" si="1"/>
        <v>0.14166785253691688</v>
      </c>
      <c r="L5" s="2">
        <f t="shared" si="2"/>
        <v>0.14197341655752779</v>
      </c>
      <c r="M5" s="1">
        <f t="shared" si="3"/>
        <v>0.18050856456387715</v>
      </c>
      <c r="N5" s="2">
        <f t="shared" si="4"/>
        <v>0.3091194127842371</v>
      </c>
      <c r="O5" s="1">
        <f t="shared" si="5"/>
        <v>0.28106128229642158</v>
      </c>
      <c r="Q5">
        <f t="shared" ref="Q5:Q24" si="6">IF(J5&gt;0,LN(K5/J5),0)</f>
        <v>-0.15985951623300315</v>
      </c>
      <c r="R5">
        <f t="shared" ref="R5:R24" si="7">IF(L5&gt;0,LN(M5/L5),0)</f>
        <v>0.24013839302018936</v>
      </c>
      <c r="S5" s="35">
        <f t="shared" ref="S5:S24" si="8">IF(N5&gt;0,LN(O5/N5),0)</f>
        <v>-9.5154919364951143E-2</v>
      </c>
      <c r="T5">
        <v>-1.2561397036469155</v>
      </c>
      <c r="V5" s="35">
        <v>-0.88685057695019198</v>
      </c>
      <c r="W5">
        <f t="shared" ref="W5:W24" si="9">T5+$V$1*Q5</f>
        <v>-1.4159992198799187</v>
      </c>
      <c r="X5">
        <f t="shared" ref="X5:X24" si="10">U5+$V$1*R5</f>
        <v>0.24013839302018936</v>
      </c>
      <c r="Y5">
        <f t="shared" ref="Y5:Y24" si="11">V5+$V$1*S5</f>
        <v>-0.98200549631514311</v>
      </c>
    </row>
    <row r="6" spans="1:25" x14ac:dyDescent="0.25">
      <c r="A6" s="3">
        <v>3</v>
      </c>
      <c r="B6" s="3">
        <v>5</v>
      </c>
      <c r="C6" s="3">
        <v>7.5</v>
      </c>
      <c r="D6" s="343">
        <v>730930</v>
      </c>
      <c r="E6" s="343">
        <v>55890</v>
      </c>
      <c r="F6" s="343">
        <v>336315</v>
      </c>
      <c r="G6" s="341">
        <v>816926.43805999996</v>
      </c>
      <c r="H6" s="341">
        <v>30248.38061</v>
      </c>
      <c r="I6" s="341">
        <v>294756.82740000001</v>
      </c>
      <c r="J6" s="202">
        <f t="shared" si="0"/>
        <v>0.1554970051727384</v>
      </c>
      <c r="K6" s="1">
        <f t="shared" si="1"/>
        <v>0.16011103232768745</v>
      </c>
      <c r="L6" s="2">
        <f t="shared" si="2"/>
        <v>0.15573884693621645</v>
      </c>
      <c r="M6" s="1">
        <f t="shared" si="3"/>
        <v>9.7784093695157392E-2</v>
      </c>
      <c r="N6" s="2">
        <f t="shared" si="4"/>
        <v>0.12232994876775261</v>
      </c>
      <c r="O6" s="1">
        <f t="shared" si="5"/>
        <v>0.13735172970034587</v>
      </c>
      <c r="Q6">
        <f t="shared" si="6"/>
        <v>2.9241054513965841E-2</v>
      </c>
      <c r="R6">
        <f t="shared" si="7"/>
        <v>-0.46541862368784342</v>
      </c>
      <c r="S6" s="35">
        <f t="shared" si="8"/>
        <v>0.11582311358398278</v>
      </c>
      <c r="V6" s="35"/>
      <c r="W6">
        <f t="shared" si="9"/>
        <v>2.9241054513965841E-2</v>
      </c>
      <c r="X6">
        <f t="shared" si="10"/>
        <v>-0.46541862368784342</v>
      </c>
      <c r="Y6">
        <f t="shared" si="11"/>
        <v>0.11582311358398278</v>
      </c>
    </row>
    <row r="7" spans="1:25" x14ac:dyDescent="0.25">
      <c r="A7" s="3">
        <v>4</v>
      </c>
      <c r="B7" s="3">
        <v>7.5</v>
      </c>
      <c r="C7" s="3">
        <v>10</v>
      </c>
      <c r="D7" s="343">
        <v>525115</v>
      </c>
      <c r="E7" s="343">
        <v>46920</v>
      </c>
      <c r="F7" s="343">
        <v>143020</v>
      </c>
      <c r="G7" s="341">
        <v>479651.22187000001</v>
      </c>
      <c r="H7" s="341">
        <v>41050.987229999999</v>
      </c>
      <c r="I7" s="341">
        <v>83009.469119999994</v>
      </c>
      <c r="J7" s="202">
        <f t="shared" si="0"/>
        <v>0.11171221576797029</v>
      </c>
      <c r="K7" s="1">
        <f t="shared" si="1"/>
        <v>9.4007793985976862E-2</v>
      </c>
      <c r="L7" s="2">
        <f t="shared" si="2"/>
        <v>0.13074372335386072</v>
      </c>
      <c r="M7" s="1">
        <f t="shared" si="3"/>
        <v>0.1327057350055286</v>
      </c>
      <c r="N7" s="2">
        <f t="shared" si="4"/>
        <v>5.2021555008738764E-2</v>
      </c>
      <c r="O7" s="1">
        <f t="shared" si="5"/>
        <v>3.8681018063975288E-2</v>
      </c>
      <c r="Q7">
        <f t="shared" si="6"/>
        <v>-0.17254836880992158</v>
      </c>
      <c r="R7">
        <f t="shared" si="7"/>
        <v>1.489506137947067E-2</v>
      </c>
      <c r="S7" s="35">
        <f t="shared" si="8"/>
        <v>-0.29630916168727273</v>
      </c>
      <c r="V7" s="35"/>
      <c r="W7">
        <f t="shared" si="9"/>
        <v>-0.17254836880992158</v>
      </c>
      <c r="X7">
        <f t="shared" si="10"/>
        <v>1.489506137947067E-2</v>
      </c>
      <c r="Y7">
        <f t="shared" si="11"/>
        <v>-0.29630916168727273</v>
      </c>
    </row>
    <row r="8" spans="1:25" x14ac:dyDescent="0.25">
      <c r="A8" s="3">
        <v>5</v>
      </c>
      <c r="B8" s="3">
        <v>10</v>
      </c>
      <c r="C8" s="3">
        <v>12.5</v>
      </c>
      <c r="D8" s="343">
        <v>432315</v>
      </c>
      <c r="E8" s="343">
        <v>39585</v>
      </c>
      <c r="F8" s="343">
        <v>91570</v>
      </c>
      <c r="G8" s="341">
        <v>459864.16408000002</v>
      </c>
      <c r="H8" s="341">
        <v>38320.700929999999</v>
      </c>
      <c r="I8" s="341">
        <v>85487.965150000004</v>
      </c>
      <c r="J8" s="202">
        <f t="shared" si="0"/>
        <v>9.1970076192319922E-2</v>
      </c>
      <c r="K8" s="1">
        <f t="shared" si="1"/>
        <v>9.0129689297618346E-2</v>
      </c>
      <c r="L8" s="2">
        <f t="shared" si="2"/>
        <v>0.1103045671134394</v>
      </c>
      <c r="M8" s="1">
        <f t="shared" si="3"/>
        <v>0.12387952461046557</v>
      </c>
      <c r="N8" s="2">
        <f t="shared" si="4"/>
        <v>3.3307326193191218E-2</v>
      </c>
      <c r="O8" s="1">
        <f t="shared" si="5"/>
        <v>3.9835955575614215E-2</v>
      </c>
      <c r="Q8">
        <f t="shared" si="6"/>
        <v>-2.0213640068718956E-2</v>
      </c>
      <c r="R8">
        <f t="shared" si="7"/>
        <v>0.11606418590827206</v>
      </c>
      <c r="S8" s="35">
        <f t="shared" si="8"/>
        <v>0.17899253229667203</v>
      </c>
      <c r="V8" s="35"/>
      <c r="W8">
        <f t="shared" si="9"/>
        <v>-2.0213640068718956E-2</v>
      </c>
      <c r="X8">
        <f t="shared" si="10"/>
        <v>0.11606418590827206</v>
      </c>
      <c r="Y8">
        <f t="shared" si="11"/>
        <v>0.17899253229667203</v>
      </c>
    </row>
    <row r="9" spans="1:25" x14ac:dyDescent="0.25">
      <c r="A9" s="3">
        <v>6</v>
      </c>
      <c r="B9" s="3">
        <v>12.5</v>
      </c>
      <c r="C9" s="3">
        <v>15</v>
      </c>
      <c r="D9" s="343">
        <v>324515</v>
      </c>
      <c r="E9" s="343">
        <v>25675</v>
      </c>
      <c r="F9" s="343">
        <v>56920</v>
      </c>
      <c r="G9" s="341">
        <v>326643.28957999998</v>
      </c>
      <c r="H9" s="341">
        <v>20900.58136</v>
      </c>
      <c r="I9" s="341">
        <v>31703.484659999998</v>
      </c>
      <c r="J9" s="202">
        <f t="shared" si="0"/>
        <v>6.9036858021467445E-2</v>
      </c>
      <c r="K9" s="1">
        <f t="shared" si="1"/>
        <v>6.4019465965336267E-2</v>
      </c>
      <c r="L9" s="2">
        <f t="shared" si="2"/>
        <v>7.1544013152395017E-2</v>
      </c>
      <c r="M9" s="1">
        <f t="shared" si="3"/>
        <v>6.7565415561910966E-2</v>
      </c>
      <c r="N9" s="2">
        <f t="shared" si="4"/>
        <v>2.0703865970475532E-2</v>
      </c>
      <c r="O9" s="1">
        <f t="shared" si="5"/>
        <v>1.4773291238034886E-2</v>
      </c>
      <c r="Q9">
        <f t="shared" si="6"/>
        <v>-7.5453343379080842E-2</v>
      </c>
      <c r="R9">
        <f t="shared" si="7"/>
        <v>-5.7216580859175678E-2</v>
      </c>
      <c r="S9" s="35">
        <f t="shared" si="8"/>
        <v>-0.33749954033635676</v>
      </c>
      <c r="V9" s="35"/>
      <c r="W9">
        <f t="shared" si="9"/>
        <v>-7.5453343379080842E-2</v>
      </c>
      <c r="X9">
        <f t="shared" si="10"/>
        <v>-5.7216580859175678E-2</v>
      </c>
      <c r="Y9">
        <f t="shared" si="11"/>
        <v>-0.33749954033635676</v>
      </c>
    </row>
    <row r="10" spans="1:25" x14ac:dyDescent="0.25">
      <c r="A10" s="3">
        <v>7</v>
      </c>
      <c r="B10" s="3">
        <v>15</v>
      </c>
      <c r="C10" s="3">
        <v>17.5</v>
      </c>
      <c r="D10" s="343">
        <v>255190</v>
      </c>
      <c r="E10" s="343">
        <v>23505</v>
      </c>
      <c r="F10" s="343">
        <v>45850</v>
      </c>
      <c r="G10" s="341">
        <v>251378.94490999999</v>
      </c>
      <c r="H10" s="341">
        <v>11538.375400000001</v>
      </c>
      <c r="I10" s="341">
        <v>17486.27247</v>
      </c>
      <c r="J10" s="202">
        <f t="shared" si="0"/>
        <v>5.4288756447308378E-2</v>
      </c>
      <c r="K10" s="1">
        <f t="shared" si="1"/>
        <v>4.9268257825717324E-2</v>
      </c>
      <c r="L10" s="2">
        <f t="shared" si="2"/>
        <v>6.5497255273497368E-2</v>
      </c>
      <c r="M10" s="1">
        <f t="shared" si="3"/>
        <v>3.730016478404459E-2</v>
      </c>
      <c r="N10" s="2">
        <f t="shared" si="4"/>
        <v>1.6677305951270257E-2</v>
      </c>
      <c r="O10" s="1">
        <f t="shared" si="5"/>
        <v>8.1483092044097611E-3</v>
      </c>
      <c r="Q10">
        <f t="shared" si="6"/>
        <v>-9.7037125720909043E-2</v>
      </c>
      <c r="R10">
        <f t="shared" si="7"/>
        <v>-0.56301049309897011</v>
      </c>
      <c r="S10" s="35">
        <f t="shared" si="8"/>
        <v>-0.71623842402461091</v>
      </c>
      <c r="V10" s="35"/>
      <c r="W10">
        <f t="shared" si="9"/>
        <v>-9.7037125720909043E-2</v>
      </c>
      <c r="X10">
        <f t="shared" si="10"/>
        <v>-0.56301049309897011</v>
      </c>
      <c r="Y10">
        <f t="shared" si="11"/>
        <v>-0.71623842402461091</v>
      </c>
    </row>
    <row r="11" spans="1:25" x14ac:dyDescent="0.25">
      <c r="A11" s="3">
        <v>8</v>
      </c>
      <c r="B11" s="3">
        <v>17.5</v>
      </c>
      <c r="C11" s="3">
        <v>20</v>
      </c>
      <c r="D11" s="343">
        <v>195605</v>
      </c>
      <c r="E11" s="343">
        <v>16740</v>
      </c>
      <c r="F11" s="343">
        <v>38735</v>
      </c>
      <c r="G11" s="341">
        <v>200268.20279000001</v>
      </c>
      <c r="H11" s="341">
        <v>8383.7115900000008</v>
      </c>
      <c r="I11" s="341">
        <v>12178.23065</v>
      </c>
      <c r="J11" s="202">
        <f t="shared" si="0"/>
        <v>4.1612728574300539E-2</v>
      </c>
      <c r="K11" s="1">
        <f t="shared" si="1"/>
        <v>3.925096213958313E-2</v>
      </c>
      <c r="L11" s="2">
        <f t="shared" si="2"/>
        <v>4.6646417922924739E-2</v>
      </c>
      <c r="M11" s="1">
        <f t="shared" si="3"/>
        <v>2.7102067056069649E-2</v>
      </c>
      <c r="N11" s="2">
        <f t="shared" si="4"/>
        <v>1.4089322704960817E-2</v>
      </c>
      <c r="O11" s="1">
        <f t="shared" si="5"/>
        <v>5.6748508905523224E-3</v>
      </c>
      <c r="Q11">
        <f t="shared" si="6"/>
        <v>-5.8430138771697122E-2</v>
      </c>
      <c r="R11">
        <f t="shared" si="7"/>
        <v>-0.54298613801844442</v>
      </c>
      <c r="S11" s="35">
        <f t="shared" si="8"/>
        <v>-0.90937296732469852</v>
      </c>
      <c r="V11" s="35"/>
      <c r="W11">
        <f t="shared" si="9"/>
        <v>-5.8430138771697122E-2</v>
      </c>
      <c r="X11">
        <f t="shared" si="10"/>
        <v>-0.54298613801844442</v>
      </c>
      <c r="Y11">
        <f t="shared" si="11"/>
        <v>-0.90937296732469852</v>
      </c>
    </row>
    <row r="12" spans="1:25" x14ac:dyDescent="0.25">
      <c r="A12" s="3">
        <v>9</v>
      </c>
      <c r="B12" s="3">
        <v>20</v>
      </c>
      <c r="C12" s="3">
        <v>22.5</v>
      </c>
      <c r="D12" s="343">
        <v>156700</v>
      </c>
      <c r="E12" s="343">
        <v>14055</v>
      </c>
      <c r="F12" s="343">
        <v>33625</v>
      </c>
      <c r="G12" s="341">
        <v>211971.17283</v>
      </c>
      <c r="H12" s="341">
        <v>7985.7105700000002</v>
      </c>
      <c r="I12" s="341">
        <v>11102.370800000001</v>
      </c>
      <c r="J12" s="202">
        <f t="shared" si="0"/>
        <v>3.3336134391211344E-2</v>
      </c>
      <c r="K12" s="1">
        <f t="shared" si="1"/>
        <v>4.1544650441377048E-2</v>
      </c>
      <c r="L12" s="2">
        <f t="shared" si="2"/>
        <v>3.9164599994426952E-2</v>
      </c>
      <c r="M12" s="1">
        <f t="shared" si="3"/>
        <v>2.5815447136404195E-2</v>
      </c>
      <c r="N12" s="2">
        <f t="shared" si="4"/>
        <v>1.2230630591307795E-2</v>
      </c>
      <c r="O12" s="1">
        <f t="shared" si="5"/>
        <v>5.1735182747275447E-3</v>
      </c>
      <c r="Q12">
        <f t="shared" si="6"/>
        <v>0.2201268375799334</v>
      </c>
      <c r="R12">
        <f t="shared" si="7"/>
        <v>-0.41680023844442954</v>
      </c>
      <c r="S12" s="35">
        <f t="shared" si="8"/>
        <v>-0.86039053496374818</v>
      </c>
      <c r="V12" s="35"/>
      <c r="W12">
        <f t="shared" si="9"/>
        <v>0.2201268375799334</v>
      </c>
      <c r="X12">
        <f t="shared" si="10"/>
        <v>-0.41680023844442954</v>
      </c>
      <c r="Y12">
        <f t="shared" si="11"/>
        <v>-0.86039053496374818</v>
      </c>
    </row>
    <row r="13" spans="1:25" x14ac:dyDescent="0.25">
      <c r="A13" s="3">
        <v>10</v>
      </c>
      <c r="B13" s="3">
        <v>22.5</v>
      </c>
      <c r="C13" s="3">
        <v>25</v>
      </c>
      <c r="D13" s="343">
        <v>131390</v>
      </c>
      <c r="E13" s="343">
        <v>12395</v>
      </c>
      <c r="F13" s="343">
        <v>30705</v>
      </c>
      <c r="G13" s="341">
        <v>148862.34332000001</v>
      </c>
      <c r="H13" s="341">
        <v>5357.0756000000001</v>
      </c>
      <c r="I13" s="341">
        <v>4248.2591000000002</v>
      </c>
      <c r="J13" s="202">
        <f t="shared" si="0"/>
        <v>2.7951721108240322E-2</v>
      </c>
      <c r="K13" s="1">
        <f t="shared" si="1"/>
        <v>2.9175825818888827E-2</v>
      </c>
      <c r="L13" s="2">
        <f t="shared" si="2"/>
        <v>3.4538969543288653E-2</v>
      </c>
      <c r="M13" s="1">
        <f t="shared" si="3"/>
        <v>1.7317845512340023E-2</v>
      </c>
      <c r="N13" s="2">
        <f t="shared" si="4"/>
        <v>1.1168520812077498E-2</v>
      </c>
      <c r="O13" s="1">
        <f t="shared" si="5"/>
        <v>1.9796173705194202E-3</v>
      </c>
      <c r="Q13">
        <f t="shared" si="6"/>
        <v>4.2861707657542179E-2</v>
      </c>
      <c r="R13">
        <f t="shared" si="7"/>
        <v>-0.69035073620797549</v>
      </c>
      <c r="S13" s="35">
        <f t="shared" si="8"/>
        <v>-1.7301956004325496</v>
      </c>
      <c r="V13" s="35"/>
      <c r="W13">
        <f t="shared" si="9"/>
        <v>4.2861707657542179E-2</v>
      </c>
      <c r="X13">
        <f t="shared" si="10"/>
        <v>-0.69035073620797549</v>
      </c>
      <c r="Y13">
        <f t="shared" si="11"/>
        <v>-1.7301956004325496</v>
      </c>
    </row>
    <row r="14" spans="1:25" x14ac:dyDescent="0.25">
      <c r="A14" s="3">
        <v>11</v>
      </c>
      <c r="B14" s="3">
        <v>25</v>
      </c>
      <c r="C14" s="3">
        <v>27.5</v>
      </c>
      <c r="D14" s="343">
        <v>97800</v>
      </c>
      <c r="E14" s="343">
        <v>9405</v>
      </c>
      <c r="F14" s="343">
        <v>25885</v>
      </c>
      <c r="G14" s="341">
        <v>139453.21578</v>
      </c>
      <c r="H14" s="341">
        <v>2261.6490899999999</v>
      </c>
      <c r="I14" s="341">
        <v>7243.9588599999997</v>
      </c>
      <c r="J14" s="202">
        <f t="shared" si="0"/>
        <v>2.0805832440717736E-2</v>
      </c>
      <c r="K14" s="1">
        <f t="shared" si="1"/>
        <v>2.7331712256705852E-2</v>
      </c>
      <c r="L14" s="2">
        <f t="shared" si="2"/>
        <v>2.6207261682503414E-2</v>
      </c>
      <c r="M14" s="1">
        <f t="shared" si="3"/>
        <v>7.3112445050699665E-3</v>
      </c>
      <c r="N14" s="2">
        <f t="shared" si="4"/>
        <v>9.4153122038959786E-3</v>
      </c>
      <c r="O14" s="1">
        <f t="shared" si="5"/>
        <v>3.3755631313975307E-3</v>
      </c>
      <c r="Q14">
        <f t="shared" si="6"/>
        <v>0.27281429595123025</v>
      </c>
      <c r="R14">
        <f t="shared" si="7"/>
        <v>-1.2766230296157666</v>
      </c>
      <c r="S14" s="35">
        <f t="shared" si="8"/>
        <v>-1.0257751576710616</v>
      </c>
      <c r="V14" s="35"/>
      <c r="W14">
        <f t="shared" si="9"/>
        <v>0.27281429595123025</v>
      </c>
      <c r="X14">
        <f t="shared" si="10"/>
        <v>-1.2766230296157666</v>
      </c>
      <c r="Y14">
        <f t="shared" si="11"/>
        <v>-1.0257751576710616</v>
      </c>
    </row>
    <row r="15" spans="1:25" x14ac:dyDescent="0.25">
      <c r="A15" s="3">
        <v>12</v>
      </c>
      <c r="B15" s="3">
        <v>27.5</v>
      </c>
      <c r="C15" s="3">
        <v>30</v>
      </c>
      <c r="D15" s="343">
        <v>77085</v>
      </c>
      <c r="E15" s="343">
        <v>8305</v>
      </c>
      <c r="F15" s="343">
        <v>22445</v>
      </c>
      <c r="G15" s="341">
        <v>102526.15532000001</v>
      </c>
      <c r="H15" s="341">
        <v>4867.2369099999996</v>
      </c>
      <c r="I15" s="341">
        <v>8060.7711099999997</v>
      </c>
      <c r="J15" s="202">
        <f t="shared" si="0"/>
        <v>1.6398952900743627E-2</v>
      </c>
      <c r="K15" s="1">
        <f t="shared" si="1"/>
        <v>2.0094304461313526E-2</v>
      </c>
      <c r="L15" s="2">
        <f t="shared" si="2"/>
        <v>2.3142084877532255E-2</v>
      </c>
      <c r="M15" s="1">
        <f t="shared" si="3"/>
        <v>1.5734341490222615E-2</v>
      </c>
      <c r="N15" s="2">
        <f t="shared" si="4"/>
        <v>8.1640595872685042E-3</v>
      </c>
      <c r="O15" s="1">
        <f t="shared" si="5"/>
        <v>3.7561839175809936E-3</v>
      </c>
      <c r="Q15">
        <f t="shared" si="6"/>
        <v>0.20321892950112552</v>
      </c>
      <c r="R15">
        <f t="shared" si="7"/>
        <v>-0.38580713649205595</v>
      </c>
      <c r="S15" s="35">
        <f t="shared" si="8"/>
        <v>-0.77633801721514184</v>
      </c>
      <c r="V15" s="35"/>
      <c r="W15">
        <f t="shared" si="9"/>
        <v>0.20321892950112552</v>
      </c>
      <c r="X15">
        <f t="shared" si="10"/>
        <v>-0.38580713649205595</v>
      </c>
      <c r="Y15">
        <f t="shared" si="11"/>
        <v>-0.77633801721514184</v>
      </c>
    </row>
    <row r="16" spans="1:25" x14ac:dyDescent="0.25">
      <c r="A16" s="3">
        <v>13</v>
      </c>
      <c r="B16" s="3">
        <v>30</v>
      </c>
      <c r="C16" s="3">
        <v>32.5</v>
      </c>
      <c r="D16" s="343">
        <v>56140</v>
      </c>
      <c r="E16" s="343">
        <v>5930</v>
      </c>
      <c r="F16" s="343">
        <v>18560</v>
      </c>
      <c r="G16" s="341">
        <v>89611.611820000006</v>
      </c>
      <c r="H16" s="341">
        <v>1550.7746400000001</v>
      </c>
      <c r="I16" s="341">
        <v>2479.20748</v>
      </c>
      <c r="J16" s="202">
        <f t="shared" si="0"/>
        <v>1.1943143488976418E-2</v>
      </c>
      <c r="K16" s="1">
        <f t="shared" si="1"/>
        <v>1.7563157474889325E-2</v>
      </c>
      <c r="L16" s="2">
        <f t="shared" si="2"/>
        <v>1.6524089503162705E-2</v>
      </c>
      <c r="M16" s="1">
        <f t="shared" si="3"/>
        <v>5.0131970584799505E-3</v>
      </c>
      <c r="N16" s="2">
        <f t="shared" si="4"/>
        <v>6.750944350176139E-3</v>
      </c>
      <c r="O16" s="1">
        <f t="shared" si="5"/>
        <v>1.1552690353866782E-3</v>
      </c>
      <c r="Q16">
        <f t="shared" si="6"/>
        <v>0.38564603558826005</v>
      </c>
      <c r="R16">
        <f t="shared" si="7"/>
        <v>-1.1927454390752446</v>
      </c>
      <c r="S16" s="35">
        <f t="shared" si="8"/>
        <v>-1.7653491509083787</v>
      </c>
      <c r="V16" s="35"/>
      <c r="W16">
        <f t="shared" si="9"/>
        <v>0.38564603558826005</v>
      </c>
      <c r="X16">
        <f t="shared" si="10"/>
        <v>-1.1927454390752446</v>
      </c>
      <c r="Y16">
        <f t="shared" si="11"/>
        <v>-1.7653491509083787</v>
      </c>
    </row>
    <row r="17" spans="1:25" x14ac:dyDescent="0.25">
      <c r="A17" s="3">
        <v>14</v>
      </c>
      <c r="B17" s="3">
        <v>32.5</v>
      </c>
      <c r="C17" s="3">
        <v>35</v>
      </c>
      <c r="D17" s="343">
        <v>41645</v>
      </c>
      <c r="E17" s="343">
        <v>5440</v>
      </c>
      <c r="F17" s="343">
        <v>14620</v>
      </c>
      <c r="G17" s="341">
        <v>48707.197289999996</v>
      </c>
      <c r="H17" s="341">
        <v>1919.55978</v>
      </c>
      <c r="I17" s="341">
        <v>3720.85401</v>
      </c>
      <c r="J17" s="202">
        <f t="shared" si="0"/>
        <v>8.8594978731461171E-3</v>
      </c>
      <c r="K17" s="1">
        <f t="shared" si="1"/>
        <v>9.5462201693580981E-3</v>
      </c>
      <c r="L17" s="2">
        <f t="shared" si="2"/>
        <v>1.5158692562766462E-2</v>
      </c>
      <c r="M17" s="1">
        <f t="shared" si="3"/>
        <v>6.2053706544185046E-3</v>
      </c>
      <c r="N17" s="2">
        <f t="shared" si="4"/>
        <v>5.3178236206667647E-3</v>
      </c>
      <c r="O17" s="1">
        <f t="shared" si="5"/>
        <v>1.7338554589014685E-3</v>
      </c>
      <c r="Q17">
        <f t="shared" si="6"/>
        <v>7.4655192809930826E-2</v>
      </c>
      <c r="R17">
        <f t="shared" si="7"/>
        <v>-0.89315898226352164</v>
      </c>
      <c r="S17" s="35">
        <f t="shared" si="8"/>
        <v>-1.1207166079431499</v>
      </c>
      <c r="V17" s="35"/>
      <c r="W17">
        <f t="shared" si="9"/>
        <v>7.4655192809930826E-2</v>
      </c>
      <c r="X17">
        <f t="shared" si="10"/>
        <v>-0.89315898226352164</v>
      </c>
      <c r="Y17">
        <f t="shared" si="11"/>
        <v>-1.1207166079431499</v>
      </c>
    </row>
    <row r="18" spans="1:25" x14ac:dyDescent="0.25">
      <c r="A18" s="3">
        <v>15</v>
      </c>
      <c r="B18" s="3">
        <v>35</v>
      </c>
      <c r="C18" s="3">
        <v>37.5</v>
      </c>
      <c r="D18" s="343">
        <v>30645</v>
      </c>
      <c r="E18" s="343">
        <v>4725</v>
      </c>
      <c r="F18" s="343">
        <v>11535</v>
      </c>
      <c r="G18" s="341">
        <v>64165.574520000002</v>
      </c>
      <c r="H18" s="341">
        <v>9963.4216199999992</v>
      </c>
      <c r="I18" s="341">
        <v>2574.1382400000002</v>
      </c>
      <c r="J18" s="202">
        <f t="shared" si="0"/>
        <v>6.5193735699979041E-3</v>
      </c>
      <c r="K18" s="1">
        <f t="shared" si="1"/>
        <v>1.2575938172222311E-2</v>
      </c>
      <c r="L18" s="2">
        <f t="shared" si="2"/>
        <v>1.3166327639535208E-2</v>
      </c>
      <c r="M18" s="1">
        <f t="shared" si="3"/>
        <v>3.2208803696828277E-2</v>
      </c>
      <c r="N18" s="2">
        <f t="shared" si="4"/>
        <v>4.1956973641854396E-3</v>
      </c>
      <c r="O18" s="1">
        <f t="shared" si="5"/>
        <v>1.1995051747249335E-3</v>
      </c>
      <c r="Q18">
        <f t="shared" si="6"/>
        <v>0.65700702624226914</v>
      </c>
      <c r="R18">
        <f t="shared" si="7"/>
        <v>0.89457718790395213</v>
      </c>
      <c r="S18" s="35">
        <f t="shared" si="8"/>
        <v>-1.2521504457396719</v>
      </c>
      <c r="V18" s="35"/>
      <c r="W18">
        <f t="shared" si="9"/>
        <v>0.65700702624226914</v>
      </c>
      <c r="X18">
        <f t="shared" si="10"/>
        <v>0.89457718790395213</v>
      </c>
      <c r="Y18">
        <f t="shared" si="11"/>
        <v>-1.2521504457396719</v>
      </c>
    </row>
    <row r="19" spans="1:25" x14ac:dyDescent="0.25">
      <c r="A19" s="3">
        <v>16</v>
      </c>
      <c r="B19" s="3">
        <v>37.5</v>
      </c>
      <c r="C19" s="3">
        <v>40</v>
      </c>
      <c r="D19" s="343">
        <v>21200</v>
      </c>
      <c r="E19" s="343">
        <v>3565</v>
      </c>
      <c r="F19" s="343">
        <v>8840</v>
      </c>
      <c r="G19" s="341">
        <v>33846.128429999997</v>
      </c>
      <c r="H19" s="341">
        <v>848.89553000000001</v>
      </c>
      <c r="I19" s="341">
        <v>2518.9190800000001</v>
      </c>
      <c r="J19" s="202">
        <f t="shared" si="0"/>
        <v>4.5100577478856445E-3</v>
      </c>
      <c r="K19" s="1">
        <f t="shared" si="1"/>
        <v>6.633569818222454E-3</v>
      </c>
      <c r="L19" s="2">
        <f t="shared" si="2"/>
        <v>9.9339593724747117E-3</v>
      </c>
      <c r="M19" s="1">
        <f t="shared" si="3"/>
        <v>2.744228893214799E-3</v>
      </c>
      <c r="N19" s="2">
        <f t="shared" si="4"/>
        <v>3.2154282357519976E-3</v>
      </c>
      <c r="O19" s="1">
        <f t="shared" si="5"/>
        <v>1.1737739738380828E-3</v>
      </c>
      <c r="Q19">
        <f t="shared" si="6"/>
        <v>0.38583313557332022</v>
      </c>
      <c r="R19">
        <f t="shared" si="7"/>
        <v>-1.2864590046526183</v>
      </c>
      <c r="S19" s="35">
        <f t="shared" si="8"/>
        <v>-1.0077363717932004</v>
      </c>
      <c r="V19" s="35"/>
      <c r="W19">
        <f t="shared" si="9"/>
        <v>0.38583313557332022</v>
      </c>
      <c r="X19">
        <f t="shared" si="10"/>
        <v>-1.2864590046526183</v>
      </c>
      <c r="Y19">
        <f t="shared" si="11"/>
        <v>-1.0077363717932004</v>
      </c>
    </row>
    <row r="20" spans="1:25" x14ac:dyDescent="0.25">
      <c r="A20" s="3">
        <v>17</v>
      </c>
      <c r="B20" s="3">
        <v>40</v>
      </c>
      <c r="C20" s="3">
        <v>42.5</v>
      </c>
      <c r="D20" s="343">
        <v>16030</v>
      </c>
      <c r="E20" s="343">
        <v>2960</v>
      </c>
      <c r="F20" s="343">
        <v>7000</v>
      </c>
      <c r="G20" s="341">
        <v>43987.579160000001</v>
      </c>
      <c r="H20" s="341">
        <v>3713.2158199999999</v>
      </c>
      <c r="I20" s="341">
        <v>1710.79126</v>
      </c>
      <c r="J20" s="202">
        <f t="shared" si="0"/>
        <v>3.4101993254059852E-3</v>
      </c>
      <c r="K20" s="1">
        <f t="shared" si="1"/>
        <v>8.621212854401707E-3</v>
      </c>
      <c r="L20" s="2">
        <f t="shared" si="2"/>
        <v>8.2481121297405743E-3</v>
      </c>
      <c r="M20" s="1">
        <f t="shared" si="3"/>
        <v>1.200373164880051E-2</v>
      </c>
      <c r="N20" s="2">
        <f t="shared" si="4"/>
        <v>2.5461535803466043E-3</v>
      </c>
      <c r="O20" s="1">
        <f t="shared" si="5"/>
        <v>7.9719998613756999E-4</v>
      </c>
      <c r="Q20">
        <f t="shared" si="6"/>
        <v>0.92745503435939958</v>
      </c>
      <c r="R20">
        <f t="shared" si="7"/>
        <v>0.37523323077833853</v>
      </c>
      <c r="S20" s="35">
        <f t="shared" si="8"/>
        <v>-1.1612335285582778</v>
      </c>
      <c r="V20" s="35"/>
      <c r="W20">
        <f t="shared" si="9"/>
        <v>0.92745503435939958</v>
      </c>
      <c r="X20">
        <f t="shared" si="10"/>
        <v>0.37523323077833853</v>
      </c>
      <c r="Y20">
        <f t="shared" si="11"/>
        <v>-1.1612335285582778</v>
      </c>
    </row>
    <row r="21" spans="1:25" x14ac:dyDescent="0.25">
      <c r="A21" s="3">
        <v>18</v>
      </c>
      <c r="B21" s="3">
        <v>42.5</v>
      </c>
      <c r="C21" s="3">
        <v>45</v>
      </c>
      <c r="D21" s="343">
        <v>10685</v>
      </c>
      <c r="E21" s="343">
        <v>2430</v>
      </c>
      <c r="F21" s="343">
        <v>6040</v>
      </c>
      <c r="G21" s="341">
        <v>40524.75215</v>
      </c>
      <c r="H21" s="341">
        <v>2329.3299299999999</v>
      </c>
      <c r="I21" s="341">
        <v>566.77941999999996</v>
      </c>
      <c r="J21" s="202">
        <f t="shared" si="0"/>
        <v>2.2731116526489674E-3</v>
      </c>
      <c r="K21" s="1">
        <f t="shared" si="1"/>
        <v>7.9425265229127288E-3</v>
      </c>
      <c r="L21" s="2">
        <f t="shared" si="2"/>
        <v>6.7712542146181071E-3</v>
      </c>
      <c r="M21" s="1">
        <f t="shared" si="3"/>
        <v>7.530036700435924E-3</v>
      </c>
      <c r="N21" s="2">
        <f t="shared" si="4"/>
        <v>2.1969668036133558E-3</v>
      </c>
      <c r="O21" s="1">
        <f t="shared" si="5"/>
        <v>2.6410968791543859E-4</v>
      </c>
      <c r="Q21">
        <f t="shared" si="6"/>
        <v>1.251081761586752</v>
      </c>
      <c r="R21">
        <f t="shared" si="7"/>
        <v>0.106213585277649</v>
      </c>
      <c r="S21" s="35">
        <f t="shared" si="8"/>
        <v>-2.1184684610147322</v>
      </c>
      <c r="V21" s="35"/>
      <c r="W21">
        <f t="shared" si="9"/>
        <v>1.251081761586752</v>
      </c>
      <c r="X21">
        <f t="shared" si="10"/>
        <v>0.106213585277649</v>
      </c>
      <c r="Y21">
        <f t="shared" si="11"/>
        <v>-2.1184684610147322</v>
      </c>
    </row>
    <row r="22" spans="1:25" x14ac:dyDescent="0.25">
      <c r="A22" s="3">
        <v>19</v>
      </c>
      <c r="B22" s="3">
        <v>45</v>
      </c>
      <c r="C22" s="3">
        <v>47.5</v>
      </c>
      <c r="D22" s="343">
        <v>7215</v>
      </c>
      <c r="E22" s="343">
        <v>2235</v>
      </c>
      <c r="F22" s="343">
        <v>4605</v>
      </c>
      <c r="G22" s="341">
        <v>25777.825540000002</v>
      </c>
      <c r="H22" s="341">
        <v>177.24843999999999</v>
      </c>
      <c r="I22" s="341">
        <v>929.28480000000002</v>
      </c>
      <c r="J22" s="202">
        <f t="shared" si="0"/>
        <v>1.5349088042922135E-3</v>
      </c>
      <c r="K22" s="1">
        <f t="shared" si="1"/>
        <v>5.0522471376661373E-3</v>
      </c>
      <c r="L22" s="2">
        <f t="shared" si="2"/>
        <v>6.2278819628277648E-3</v>
      </c>
      <c r="M22" s="1">
        <f t="shared" si="3"/>
        <v>5.7299193261772709E-4</v>
      </c>
      <c r="N22" s="2">
        <f t="shared" si="4"/>
        <v>1.6750053196423018E-3</v>
      </c>
      <c r="O22" s="1">
        <f t="shared" si="5"/>
        <v>4.3303110496242223E-4</v>
      </c>
      <c r="Q22">
        <f t="shared" si="6"/>
        <v>1.1913621536799848</v>
      </c>
      <c r="R22">
        <f t="shared" si="7"/>
        <v>-2.3859199426989086</v>
      </c>
      <c r="S22" s="35">
        <f t="shared" si="8"/>
        <v>-1.3527620587966342</v>
      </c>
      <c r="V22" s="35"/>
      <c r="W22">
        <f t="shared" si="9"/>
        <v>1.1913621536799848</v>
      </c>
      <c r="X22">
        <f t="shared" si="10"/>
        <v>-2.3859199426989086</v>
      </c>
      <c r="Y22">
        <f t="shared" si="11"/>
        <v>-1.3527620587966342</v>
      </c>
    </row>
    <row r="23" spans="1:25" x14ac:dyDescent="0.25">
      <c r="A23" s="3">
        <v>20</v>
      </c>
      <c r="B23" s="3">
        <v>47.5</v>
      </c>
      <c r="C23" s="3">
        <v>50</v>
      </c>
      <c r="D23" s="343">
        <v>4815</v>
      </c>
      <c r="E23" s="343">
        <v>1445</v>
      </c>
      <c r="F23" s="343">
        <v>4915</v>
      </c>
      <c r="G23" s="341">
        <v>15520.53781</v>
      </c>
      <c r="H23" s="341">
        <v>1833.7620999999999</v>
      </c>
      <c r="I23" s="341">
        <v>2519.7073</v>
      </c>
      <c r="J23" s="202">
        <f t="shared" si="0"/>
        <v>1.0243362290598764E-3</v>
      </c>
      <c r="K23" s="1">
        <f t="shared" si="1"/>
        <v>3.0419009781851272E-3</v>
      </c>
      <c r="L23" s="2">
        <f t="shared" si="2"/>
        <v>4.0265277119848411E-3</v>
      </c>
      <c r="M23" s="1">
        <f t="shared" si="3"/>
        <v>5.9280120583297749E-3</v>
      </c>
      <c r="N23" s="2">
        <f t="shared" si="4"/>
        <v>1.78776354962908E-3</v>
      </c>
      <c r="O23" s="1">
        <f t="shared" si="5"/>
        <v>1.1741412711161114E-3</v>
      </c>
      <c r="Q23">
        <f t="shared" si="6"/>
        <v>1.0884378203433955</v>
      </c>
      <c r="R23">
        <f t="shared" si="7"/>
        <v>0.38678452749283332</v>
      </c>
      <c r="S23" s="35">
        <f t="shared" si="8"/>
        <v>-0.4204283777549398</v>
      </c>
      <c r="V23" s="35"/>
      <c r="W23">
        <f t="shared" si="9"/>
        <v>1.0884378203433955</v>
      </c>
      <c r="X23">
        <f t="shared" si="10"/>
        <v>0.38678452749283332</v>
      </c>
      <c r="Y23">
        <f t="shared" si="11"/>
        <v>-0.4204283777549398</v>
      </c>
    </row>
    <row r="24" spans="1:25" x14ac:dyDescent="0.25">
      <c r="A24" s="279">
        <v>21</v>
      </c>
      <c r="B24" s="279">
        <v>50</v>
      </c>
      <c r="C24" s="279" t="s">
        <v>2</v>
      </c>
      <c r="D24" s="344">
        <v>8400</v>
      </c>
      <c r="E24" s="344">
        <v>6690</v>
      </c>
      <c r="F24" s="344">
        <v>17365</v>
      </c>
      <c r="G24" s="342">
        <v>63212.316290000002</v>
      </c>
      <c r="H24" s="342">
        <v>4626.0124100000003</v>
      </c>
      <c r="I24" s="342">
        <v>6232.3056800000004</v>
      </c>
      <c r="J24" s="202">
        <f t="shared" si="0"/>
        <v>1.7870040133131798E-3</v>
      </c>
      <c r="K24" s="1">
        <f t="shared" si="1"/>
        <v>1.2389107201685214E-2</v>
      </c>
      <c r="L24" s="2">
        <f t="shared" si="2"/>
        <v>1.8641848022960962E-2</v>
      </c>
      <c r="M24" s="1">
        <f t="shared" si="3"/>
        <v>1.4954533823369557E-2</v>
      </c>
      <c r="N24" s="2">
        <f t="shared" si="4"/>
        <v>6.3162795603883973E-3</v>
      </c>
      <c r="O24" s="1">
        <f t="shared" si="5"/>
        <v>2.904149745130858E-3</v>
      </c>
      <c r="Q24">
        <f t="shared" si="6"/>
        <v>1.9362771530562382</v>
      </c>
      <c r="R24">
        <f t="shared" si="7"/>
        <v>-0.22039442756767633</v>
      </c>
      <c r="S24" s="35">
        <f t="shared" si="8"/>
        <v>-0.77698969690578545</v>
      </c>
      <c r="V24" s="35"/>
      <c r="W24">
        <f t="shared" si="9"/>
        <v>1.9362771530562382</v>
      </c>
      <c r="X24">
        <f t="shared" si="10"/>
        <v>-0.22039442756767633</v>
      </c>
      <c r="Y24">
        <f t="shared" si="11"/>
        <v>-0.77698969690578545</v>
      </c>
    </row>
    <row r="25" spans="1:25" x14ac:dyDescent="0.25">
      <c r="D25" s="341">
        <f t="shared" ref="D25:I25" si="12">SUM(D4:D24)</f>
        <v>4700605</v>
      </c>
      <c r="E25" s="341">
        <f t="shared" si="12"/>
        <v>358870</v>
      </c>
      <c r="F25" s="341">
        <f t="shared" si="12"/>
        <v>2749245</v>
      </c>
      <c r="G25" s="341">
        <f t="shared" si="12"/>
        <v>5102249.5213700002</v>
      </c>
      <c r="H25" s="341">
        <f t="shared" si="12"/>
        <v>309338.45645999996</v>
      </c>
      <c r="I25" s="341">
        <f t="shared" si="12"/>
        <v>2146000.1125800004</v>
      </c>
      <c r="J25" s="2"/>
      <c r="K25" s="1"/>
      <c r="M25" s="1"/>
    </row>
  </sheetData>
  <mergeCells count="9">
    <mergeCell ref="Q2:S2"/>
    <mergeCell ref="T2:V2"/>
    <mergeCell ref="W2:Y2"/>
    <mergeCell ref="T1:U1"/>
    <mergeCell ref="D1:F1"/>
    <mergeCell ref="G1:I1"/>
    <mergeCell ref="J1:K1"/>
    <mergeCell ref="L1:M1"/>
    <mergeCell ref="N1:O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V104"/>
  <sheetViews>
    <sheetView zoomScaleNormal="100" workbookViewId="0">
      <pane ySplit="2" topLeftCell="A66" activePane="bottomLeft" state="frozen"/>
      <selection pane="bottomLeft" activeCell="O85" sqref="O85"/>
    </sheetView>
  </sheetViews>
  <sheetFormatPr defaultRowHeight="15" x14ac:dyDescent="0.25"/>
  <cols>
    <col min="1" max="1" width="2.140625" customWidth="1"/>
    <col min="2" max="2" width="18.5703125" customWidth="1"/>
    <col min="3" max="3" width="9.28515625" bestFit="1" customWidth="1"/>
    <col min="4" max="4" width="11.28515625" bestFit="1" customWidth="1"/>
    <col min="5" max="5" width="9.28515625" style="34" bestFit="1" customWidth="1"/>
    <col min="6" max="6" width="10.5703125" bestFit="1" customWidth="1"/>
    <col min="7" max="7" width="8.85546875" bestFit="1" customWidth="1"/>
    <col min="8" max="8" width="9.7109375" bestFit="1" customWidth="1"/>
    <col min="9" max="9" width="10.5703125" bestFit="1" customWidth="1"/>
    <col min="10" max="10" width="9.28515625" style="34" bestFit="1" customWidth="1"/>
    <col min="11" max="11" width="9.7109375" bestFit="1" customWidth="1"/>
    <col min="12" max="12" width="11.42578125" customWidth="1"/>
    <col min="13" max="13" width="9.7109375" customWidth="1"/>
    <col min="14" max="14" width="9.140625" bestFit="1" customWidth="1"/>
    <col min="15" max="15" width="9" bestFit="1" customWidth="1"/>
    <col min="16" max="16" width="9.28515625" bestFit="1" customWidth="1"/>
    <col min="17" max="17" width="10" bestFit="1" customWidth="1"/>
    <col min="18" max="18" width="9.28515625" bestFit="1" customWidth="1"/>
    <col min="19" max="20" width="9" bestFit="1" customWidth="1"/>
    <col min="21" max="21" width="12.140625" bestFit="1" customWidth="1"/>
    <col min="22" max="22" width="9.7109375" bestFit="1" customWidth="1"/>
    <col min="23" max="23" width="12.7109375" bestFit="1" customWidth="1"/>
    <col min="24" max="24" width="11.28515625" bestFit="1" customWidth="1"/>
    <col min="26" max="26" width="12" customWidth="1"/>
  </cols>
  <sheetData>
    <row r="1" spans="1:48" ht="23.25" x14ac:dyDescent="0.35">
      <c r="A1" s="372" t="s">
        <v>371</v>
      </c>
      <c r="B1" s="372"/>
    </row>
    <row r="2" spans="1:48" ht="18.75" x14ac:dyDescent="0.3">
      <c r="Z2" s="59" t="s">
        <v>481</v>
      </c>
    </row>
    <row r="3" spans="1:48" ht="23.25" x14ac:dyDescent="0.35">
      <c r="B3" s="232" t="s">
        <v>506</v>
      </c>
    </row>
    <row r="4" spans="1:48" ht="18.75" x14ac:dyDescent="0.3">
      <c r="B4" s="373" t="s">
        <v>504</v>
      </c>
      <c r="C4" s="376" t="s">
        <v>505</v>
      </c>
      <c r="D4" s="376"/>
      <c r="E4" s="376"/>
      <c r="F4" s="376"/>
      <c r="G4" s="376"/>
      <c r="H4" s="376"/>
      <c r="I4" s="376"/>
      <c r="J4" s="376"/>
      <c r="K4" s="376"/>
      <c r="L4" s="376"/>
      <c r="M4" s="376"/>
      <c r="N4" s="376"/>
      <c r="O4" s="376"/>
      <c r="P4" s="376"/>
      <c r="Q4" s="376"/>
      <c r="R4" s="376"/>
      <c r="S4" s="376"/>
      <c r="T4" s="376"/>
      <c r="U4" s="376"/>
      <c r="V4" s="376"/>
      <c r="W4" s="376"/>
      <c r="X4" s="377" t="s">
        <v>29</v>
      </c>
      <c r="Z4" s="373" t="s">
        <v>454</v>
      </c>
      <c r="AA4" s="375" t="s">
        <v>455</v>
      </c>
      <c r="AB4" s="375"/>
      <c r="AC4" s="375"/>
      <c r="AD4" s="375"/>
      <c r="AE4" s="375"/>
      <c r="AF4" s="375"/>
      <c r="AG4" s="375"/>
      <c r="AH4" s="375"/>
      <c r="AI4" s="375"/>
      <c r="AJ4" s="375"/>
      <c r="AK4" s="375"/>
      <c r="AL4" s="375"/>
      <c r="AM4" s="375"/>
      <c r="AN4" s="375"/>
      <c r="AO4" s="375"/>
      <c r="AP4" s="375"/>
      <c r="AQ4" s="375"/>
      <c r="AR4" s="375"/>
      <c r="AS4" s="375"/>
      <c r="AT4" s="375"/>
      <c r="AU4" s="376"/>
      <c r="AV4" s="377" t="s">
        <v>29</v>
      </c>
    </row>
    <row r="5" spans="1:48" x14ac:dyDescent="0.25">
      <c r="B5" s="374"/>
      <c r="C5" s="249" t="s">
        <v>484</v>
      </c>
      <c r="D5" s="249" t="s">
        <v>485</v>
      </c>
      <c r="E5" s="249" t="s">
        <v>486</v>
      </c>
      <c r="F5" s="249" t="s">
        <v>487</v>
      </c>
      <c r="G5" s="249" t="s">
        <v>488</v>
      </c>
      <c r="H5" s="249" t="s">
        <v>489</v>
      </c>
      <c r="I5" s="249" t="s">
        <v>490</v>
      </c>
      <c r="J5" s="249" t="s">
        <v>491</v>
      </c>
      <c r="K5" s="249" t="s">
        <v>492</v>
      </c>
      <c r="L5" s="249" t="s">
        <v>493</v>
      </c>
      <c r="M5" s="249" t="s">
        <v>667</v>
      </c>
      <c r="N5" s="249" t="s">
        <v>494</v>
      </c>
      <c r="O5" s="249" t="s">
        <v>495</v>
      </c>
      <c r="P5" s="249" t="s">
        <v>496</v>
      </c>
      <c r="Q5" s="249" t="s">
        <v>497</v>
      </c>
      <c r="R5" s="249" t="s">
        <v>498</v>
      </c>
      <c r="S5" s="249" t="s">
        <v>499</v>
      </c>
      <c r="T5" s="249" t="s">
        <v>500</v>
      </c>
      <c r="U5" s="249" t="s">
        <v>501</v>
      </c>
      <c r="V5" s="249" t="s">
        <v>502</v>
      </c>
      <c r="W5" s="249" t="s">
        <v>503</v>
      </c>
      <c r="X5" s="378"/>
      <c r="Z5" s="374"/>
      <c r="AA5" s="249" t="s">
        <v>484</v>
      </c>
      <c r="AB5" s="249" t="s">
        <v>485</v>
      </c>
      <c r="AC5" s="249" t="s">
        <v>486</v>
      </c>
      <c r="AD5" s="249" t="s">
        <v>487</v>
      </c>
      <c r="AE5" s="249" t="s">
        <v>488</v>
      </c>
      <c r="AF5" s="249" t="s">
        <v>489</v>
      </c>
      <c r="AG5" s="249" t="s">
        <v>490</v>
      </c>
      <c r="AH5" s="249" t="s">
        <v>491</v>
      </c>
      <c r="AI5" s="249" t="s">
        <v>492</v>
      </c>
      <c r="AJ5" s="249" t="s">
        <v>493</v>
      </c>
      <c r="AK5" s="249" t="s">
        <v>667</v>
      </c>
      <c r="AL5" s="249" t="s">
        <v>494</v>
      </c>
      <c r="AM5" s="249" t="s">
        <v>495</v>
      </c>
      <c r="AN5" s="249" t="s">
        <v>496</v>
      </c>
      <c r="AO5" s="249" t="s">
        <v>497</v>
      </c>
      <c r="AP5" s="249" t="s">
        <v>498</v>
      </c>
      <c r="AQ5" s="249" t="s">
        <v>499</v>
      </c>
      <c r="AR5" s="249" t="s">
        <v>500</v>
      </c>
      <c r="AS5" s="249" t="s">
        <v>501</v>
      </c>
      <c r="AT5" s="249" t="s">
        <v>502</v>
      </c>
      <c r="AU5" s="249" t="s">
        <v>503</v>
      </c>
      <c r="AV5" s="378"/>
    </row>
    <row r="6" spans="1:48" x14ac:dyDescent="0.25">
      <c r="B6" s="223" t="s">
        <v>484</v>
      </c>
      <c r="C6" s="241">
        <f>CountyFlows_input!B3</f>
        <v>7670</v>
      </c>
      <c r="D6" s="242">
        <f>CountyFlows_input!C3</f>
        <v>1964</v>
      </c>
      <c r="E6" s="242">
        <f>CountyFlows_input!D3</f>
        <v>376</v>
      </c>
      <c r="F6" s="242">
        <f>CountyFlows_input!E3</f>
        <v>444</v>
      </c>
      <c r="G6" s="242">
        <f>CountyFlows_input!F3</f>
        <v>0</v>
      </c>
      <c r="H6" s="242">
        <f>CountyFlows_input!G3</f>
        <v>1427</v>
      </c>
      <c r="I6" s="242">
        <f>CountyFlows_input!H3</f>
        <v>0</v>
      </c>
      <c r="J6" s="242">
        <f>CountyFlows_input!I3</f>
        <v>2</v>
      </c>
      <c r="K6" s="242">
        <f>CountyFlows_input!J3</f>
        <v>0</v>
      </c>
      <c r="L6" s="242">
        <f>CountyFlows_input!K3</f>
        <v>145</v>
      </c>
      <c r="M6" s="242">
        <f>CountyFlows_input!L3</f>
        <v>36</v>
      </c>
      <c r="N6" s="242">
        <f>CountyFlows_input!M3</f>
        <v>0</v>
      </c>
      <c r="O6" s="242">
        <f>CountyFlows_input!N3</f>
        <v>0</v>
      </c>
      <c r="P6" s="242">
        <f>CountyFlows_input!O3</f>
        <v>18</v>
      </c>
      <c r="Q6" s="242">
        <f>CountyFlows_input!P3</f>
        <v>2232</v>
      </c>
      <c r="R6" s="242">
        <f>CountyFlows_input!Q3</f>
        <v>68</v>
      </c>
      <c r="S6" s="242">
        <f>CountyFlows_input!R3</f>
        <v>0</v>
      </c>
      <c r="T6" s="242">
        <f>CountyFlows_input!S3</f>
        <v>0</v>
      </c>
      <c r="U6" s="242">
        <f>CountyFlows_input!T3</f>
        <v>165</v>
      </c>
      <c r="V6" s="242">
        <f>CountyFlows_input!U3</f>
        <v>33</v>
      </c>
      <c r="W6" s="243">
        <f>CountyFlows_input!V3</f>
        <v>8092</v>
      </c>
      <c r="X6" s="226">
        <f t="shared" ref="X6:X26" si="0">SUM(C6:W6)</f>
        <v>22672</v>
      </c>
      <c r="Z6" s="223" t="s">
        <v>484</v>
      </c>
      <c r="AA6" s="233">
        <f t="shared" ref="AA6:AA27" si="1">IF($X6&gt;0,C6/$X6,"")</f>
        <v>0.33830275229357798</v>
      </c>
      <c r="AB6" s="234">
        <f t="shared" ref="AB6" si="2">IF($X6&gt;0,D6/$X6,"")</f>
        <v>8.6626676076217365E-2</v>
      </c>
      <c r="AC6" s="234">
        <f t="shared" ref="AC6" si="3">IF($X6&gt;0,E6/$X6,"")</f>
        <v>1.6584333098094567E-2</v>
      </c>
      <c r="AD6" s="234">
        <f t="shared" ref="AD6" si="4">IF($X6&gt;0,F6/$X6,"")</f>
        <v>1.958362738179252E-2</v>
      </c>
      <c r="AE6" s="234">
        <f t="shared" ref="AE6" si="5">IF($X6&gt;0,G6/$X6,"")</f>
        <v>0</v>
      </c>
      <c r="AF6" s="234">
        <f t="shared" ref="AF6" si="6">IF($X6&gt;0,H6/$X6,"")</f>
        <v>6.2941072688779104E-2</v>
      </c>
      <c r="AG6" s="234">
        <f t="shared" ref="AG6" si="7">IF($X6&gt;0,I6/$X6,"")</f>
        <v>0</v>
      </c>
      <c r="AH6" s="234">
        <f t="shared" ref="AH6" si="8">IF($X6&gt;0,J6/$X6,"")</f>
        <v>8.8214537755822164E-5</v>
      </c>
      <c r="AI6" s="234">
        <f t="shared" ref="AI6" si="9">IF($X6&gt;0,K6/$X6,"")</f>
        <v>0</v>
      </c>
      <c r="AJ6" s="234">
        <f t="shared" ref="AJ6" si="10">IF($X6&gt;0,L6/$X6,"")</f>
        <v>6.3955539872971069E-3</v>
      </c>
      <c r="AK6" s="234">
        <f t="shared" ref="AK6" si="11">IF($X6&gt;0,M6/$X6,"")</f>
        <v>1.587861679604799E-3</v>
      </c>
      <c r="AL6" s="234">
        <f t="shared" ref="AL6" si="12">IF($X6&gt;0,N6/$X6,"")</f>
        <v>0</v>
      </c>
      <c r="AM6" s="234">
        <f t="shared" ref="AM6" si="13">IF($X6&gt;0,O6/$X6,"")</f>
        <v>0</v>
      </c>
      <c r="AN6" s="234">
        <f t="shared" ref="AN6" si="14">IF($X6&gt;0,P6/$X6,"")</f>
        <v>7.9393083980239948E-4</v>
      </c>
      <c r="AO6" s="234">
        <f t="shared" ref="AO6" si="15">IF($X6&gt;0,Q6/$X6,"")</f>
        <v>9.8447424135497535E-2</v>
      </c>
      <c r="AP6" s="234">
        <f t="shared" ref="AP6" si="16">IF($X6&gt;0,R6/$X6,"")</f>
        <v>2.9992942836979536E-3</v>
      </c>
      <c r="AQ6" s="234">
        <f t="shared" ref="AQ6" si="17">IF($X6&gt;0,S6/$X6,"")</f>
        <v>0</v>
      </c>
      <c r="AR6" s="234">
        <f t="shared" ref="AR6" si="18">IF($X6&gt;0,T6/$X6,"")</f>
        <v>0</v>
      </c>
      <c r="AS6" s="234">
        <f t="shared" ref="AS6" si="19">IF($X6&gt;0,U6/$X6,"")</f>
        <v>7.2776993648553286E-3</v>
      </c>
      <c r="AT6" s="234">
        <f t="shared" ref="AT6" si="20">IF($X6&gt;0,V6/$X6,"")</f>
        <v>1.4555398729710657E-3</v>
      </c>
      <c r="AU6" s="234">
        <f t="shared" ref="AU6" si="21">IF($X6&gt;0,W6/$X6,"")</f>
        <v>0.35691601976005644</v>
      </c>
      <c r="AV6" s="237">
        <f t="shared" ref="AV6:AV27" si="22">SUM(AA6:AU6)</f>
        <v>1</v>
      </c>
    </row>
    <row r="7" spans="1:48" x14ac:dyDescent="0.25">
      <c r="B7" s="223" t="s">
        <v>485</v>
      </c>
      <c r="C7" s="244">
        <f>CountyFlows_input!B4</f>
        <v>87</v>
      </c>
      <c r="D7" s="224">
        <f>CountyFlows_input!C4</f>
        <v>2057967</v>
      </c>
      <c r="E7" s="225">
        <f>CountyFlows_input!D4</f>
        <v>653</v>
      </c>
      <c r="F7" s="225">
        <f>CountyFlows_input!E4</f>
        <v>135435</v>
      </c>
      <c r="G7" s="225">
        <f>CountyFlows_input!F4</f>
        <v>420</v>
      </c>
      <c r="H7" s="225">
        <f>CountyFlows_input!G4</f>
        <v>19630</v>
      </c>
      <c r="I7" s="225">
        <f>CountyFlows_input!H4</f>
        <v>1374</v>
      </c>
      <c r="J7" s="225">
        <f>CountyFlows_input!I4</f>
        <v>652</v>
      </c>
      <c r="K7" s="225">
        <f>CountyFlows_input!J4</f>
        <v>631</v>
      </c>
      <c r="L7" s="225">
        <f>CountyFlows_input!K4</f>
        <v>64036</v>
      </c>
      <c r="M7" s="225">
        <f>CountyFlows_input!L4</f>
        <v>14447</v>
      </c>
      <c r="N7" s="225">
        <f>CountyFlows_input!M4</f>
        <v>208</v>
      </c>
      <c r="O7" s="225">
        <f>CountyFlows_input!N4</f>
        <v>212</v>
      </c>
      <c r="P7" s="225">
        <f>CountyFlows_input!O4</f>
        <v>112</v>
      </c>
      <c r="Q7" s="225">
        <f>CountyFlows_input!P4</f>
        <v>4498</v>
      </c>
      <c r="R7" s="225">
        <f>CountyFlows_input!Q4</f>
        <v>46</v>
      </c>
      <c r="S7" s="225">
        <f>CountyFlows_input!R4</f>
        <v>421</v>
      </c>
      <c r="T7" s="225">
        <f>CountyFlows_input!S4</f>
        <v>93</v>
      </c>
      <c r="U7" s="225">
        <f>CountyFlows_input!T4</f>
        <v>183</v>
      </c>
      <c r="V7" s="225">
        <f>CountyFlows_input!U4</f>
        <v>39829</v>
      </c>
      <c r="W7" s="245">
        <f>CountyFlows_input!V4</f>
        <v>968</v>
      </c>
      <c r="X7" s="226">
        <f t="shared" si="0"/>
        <v>2341902</v>
      </c>
      <c r="Z7" s="223" t="s">
        <v>485</v>
      </c>
      <c r="AA7" s="233">
        <f t="shared" ref="AA7:AA26" si="23">IF($X7&gt;0,C7/$X7,"")</f>
        <v>3.7149291473340899E-5</v>
      </c>
      <c r="AB7" s="234">
        <f t="shared" ref="AB7:AB26" si="24">IF($X7&gt;0,D7/$X7,"")</f>
        <v>0.87875880374157411</v>
      </c>
      <c r="AC7" s="234">
        <f t="shared" ref="AC7:AC26" si="25">IF($X7&gt;0,E7/$X7,"")</f>
        <v>2.7883318772519089E-4</v>
      </c>
      <c r="AD7" s="234">
        <f t="shared" ref="AD7:AD26" si="26">IF($X7&gt;0,F7/$X7,"")</f>
        <v>5.7831198743585339E-2</v>
      </c>
      <c r="AE7" s="234">
        <f t="shared" ref="AE7:AE26" si="27">IF($X7&gt;0,G7/$X7,"")</f>
        <v>1.793414071126802E-4</v>
      </c>
      <c r="AF7" s="234">
        <f t="shared" ref="AF7:AF26" si="28">IF($X7&gt;0,H7/$X7,"")</f>
        <v>8.3820757657664582E-3</v>
      </c>
      <c r="AG7" s="234">
        <f t="shared" ref="AG7:AG26" si="29">IF($X7&gt;0,I7/$X7,"")</f>
        <v>5.8670260326862519E-4</v>
      </c>
      <c r="AH7" s="234">
        <f t="shared" ref="AH7:AH26" si="30">IF($X7&gt;0,J7/$X7,"")</f>
        <v>2.7840618437492259E-4</v>
      </c>
      <c r="AI7" s="234">
        <f t="shared" ref="AI7:AI26" si="31">IF($X7&gt;0,K7/$X7,"")</f>
        <v>2.6943911401928859E-4</v>
      </c>
      <c r="AJ7" s="234">
        <f t="shared" ref="AJ7:AJ26" si="32">IF($X7&gt;0,L7/$X7,"")</f>
        <v>2.7343586537779976E-2</v>
      </c>
      <c r="AK7" s="234">
        <f t="shared" ref="AK7:AK26" si="33">IF($X7&gt;0,M7/$X7,"")</f>
        <v>6.1689174013259311E-3</v>
      </c>
      <c r="AL7" s="234">
        <f t="shared" ref="AL7:AL26" si="34">IF($X7&gt;0,N7/$X7,"")</f>
        <v>8.8816696855803528E-5</v>
      </c>
      <c r="AM7" s="234">
        <f t="shared" ref="AM7:AM26" si="35">IF($X7&gt;0,O7/$X7,"")</f>
        <v>9.0524710256876671E-5</v>
      </c>
      <c r="AN7" s="234">
        <f t="shared" ref="AN7:AN26" si="36">IF($X7&gt;0,P7/$X7,"")</f>
        <v>4.7824375230048057E-5</v>
      </c>
      <c r="AO7" s="234">
        <f t="shared" ref="AO7:AO26" si="37">IF($X7&gt;0,Q7/$X7,"")</f>
        <v>1.9206610695067514E-3</v>
      </c>
      <c r="AP7" s="234">
        <f t="shared" ref="AP7:AP26" si="38">IF($X7&gt;0,R7/$X7,"")</f>
        <v>1.9642154112341164E-5</v>
      </c>
      <c r="AQ7" s="234">
        <f t="shared" ref="AQ7:AQ26" si="39">IF($X7&gt;0,S7/$X7,"")</f>
        <v>1.7976841046294851E-4</v>
      </c>
      <c r="AR7" s="234">
        <f t="shared" ref="AR7:AR26" si="40">IF($X7&gt;0,T7/$X7,"")</f>
        <v>3.971131157495062E-5</v>
      </c>
      <c r="AS7" s="234">
        <f t="shared" ref="AS7:AS26" si="41">IF($X7&gt;0,U7/$X7,"")</f>
        <v>7.8141613099096376E-5</v>
      </c>
      <c r="AT7" s="234">
        <f t="shared" ref="AT7:AT26" si="42">IF($X7&gt;0,V7/$X7,"")</f>
        <v>1.7007116437835573E-2</v>
      </c>
      <c r="AU7" s="234">
        <f t="shared" ref="AU7:AU26" si="43">IF($X7&gt;0,W7/$X7,"")</f>
        <v>4.1333924305970104E-4</v>
      </c>
      <c r="AV7" s="237">
        <f t="shared" si="22"/>
        <v>1</v>
      </c>
    </row>
    <row r="8" spans="1:48" x14ac:dyDescent="0.25">
      <c r="B8" s="223" t="s">
        <v>486</v>
      </c>
      <c r="C8" s="244">
        <f>CountyFlows_input!B5</f>
        <v>137</v>
      </c>
      <c r="D8" s="225">
        <f>CountyFlows_input!C5</f>
        <v>2353</v>
      </c>
      <c r="E8" s="224">
        <f>CountyFlows_input!D5</f>
        <v>29714</v>
      </c>
      <c r="F8" s="225">
        <f>CountyFlows_input!E5</f>
        <v>3230</v>
      </c>
      <c r="G8" s="225">
        <f>CountyFlows_input!F5</f>
        <v>44</v>
      </c>
      <c r="H8" s="225">
        <f>CountyFlows_input!G5</f>
        <v>8537</v>
      </c>
      <c r="I8" s="225">
        <f>CountyFlows_input!H5</f>
        <v>17</v>
      </c>
      <c r="J8" s="225">
        <f>CountyFlows_input!I5</f>
        <v>1573</v>
      </c>
      <c r="K8" s="225">
        <f>CountyFlows_input!J5</f>
        <v>8</v>
      </c>
      <c r="L8" s="225">
        <f>CountyFlows_input!K5</f>
        <v>273</v>
      </c>
      <c r="M8" s="225">
        <f>CountyFlows_input!L5</f>
        <v>14</v>
      </c>
      <c r="N8" s="225">
        <f>CountyFlows_input!M5</f>
        <v>0</v>
      </c>
      <c r="O8" s="225">
        <f>CountyFlows_input!N5</f>
        <v>439</v>
      </c>
      <c r="P8" s="225">
        <f>CountyFlows_input!O5</f>
        <v>63</v>
      </c>
      <c r="Q8" s="225">
        <f>CountyFlows_input!P5</f>
        <v>682</v>
      </c>
      <c r="R8" s="225">
        <f>CountyFlows_input!Q5</f>
        <v>572</v>
      </c>
      <c r="S8" s="225">
        <f>CountyFlows_input!R5</f>
        <v>3</v>
      </c>
      <c r="T8" s="225">
        <f>CountyFlows_input!S5</f>
        <v>0</v>
      </c>
      <c r="U8" s="225">
        <f>CountyFlows_input!T5</f>
        <v>16</v>
      </c>
      <c r="V8" s="225">
        <f>CountyFlows_input!U5</f>
        <v>421</v>
      </c>
      <c r="W8" s="245">
        <f>CountyFlows_input!V5</f>
        <v>1081</v>
      </c>
      <c r="X8" s="226">
        <f t="shared" si="0"/>
        <v>49177</v>
      </c>
      <c r="Z8" s="223" t="s">
        <v>486</v>
      </c>
      <c r="AA8" s="233">
        <f t="shared" si="23"/>
        <v>2.7858551762002561E-3</v>
      </c>
      <c r="AB8" s="234">
        <f t="shared" si="24"/>
        <v>4.7847571018972281E-2</v>
      </c>
      <c r="AC8" s="234">
        <f t="shared" si="25"/>
        <v>0.60422555259572563</v>
      </c>
      <c r="AD8" s="234">
        <f t="shared" si="26"/>
        <v>6.5681111088516986E-2</v>
      </c>
      <c r="AE8" s="234">
        <f t="shared" si="27"/>
        <v>8.9472720987453485E-4</v>
      </c>
      <c r="AF8" s="234">
        <f t="shared" si="28"/>
        <v>0.17359741342497509</v>
      </c>
      <c r="AG8" s="234">
        <f t="shared" si="29"/>
        <v>3.4569005836061572E-4</v>
      </c>
      <c r="AH8" s="234">
        <f t="shared" si="30"/>
        <v>3.1986497753014619E-2</v>
      </c>
      <c r="AI8" s="234">
        <f t="shared" si="31"/>
        <v>1.626776745226427E-4</v>
      </c>
      <c r="AJ8" s="234">
        <f t="shared" si="32"/>
        <v>5.5513756430851822E-3</v>
      </c>
      <c r="AK8" s="234">
        <f t="shared" si="33"/>
        <v>2.846859304146247E-4</v>
      </c>
      <c r="AL8" s="234">
        <f t="shared" si="34"/>
        <v>0</v>
      </c>
      <c r="AM8" s="234">
        <f t="shared" si="35"/>
        <v>8.9269373894300189E-3</v>
      </c>
      <c r="AN8" s="234">
        <f t="shared" si="36"/>
        <v>1.2810866868658113E-3</v>
      </c>
      <c r="AO8" s="234">
        <f t="shared" si="37"/>
        <v>1.386827175305529E-2</v>
      </c>
      <c r="AP8" s="234">
        <f t="shared" si="38"/>
        <v>1.1631453728368954E-2</v>
      </c>
      <c r="AQ8" s="234">
        <f t="shared" si="39"/>
        <v>6.1004127945991015E-5</v>
      </c>
      <c r="AR8" s="234">
        <f t="shared" si="40"/>
        <v>0</v>
      </c>
      <c r="AS8" s="234">
        <f t="shared" si="41"/>
        <v>3.253553490452854E-4</v>
      </c>
      <c r="AT8" s="234">
        <f t="shared" si="42"/>
        <v>8.5609126217540722E-3</v>
      </c>
      <c r="AU8" s="234">
        <f t="shared" si="43"/>
        <v>2.1981820769872096E-2</v>
      </c>
      <c r="AV8" s="237">
        <f t="shared" si="22"/>
        <v>1</v>
      </c>
    </row>
    <row r="9" spans="1:48" x14ac:dyDescent="0.25">
      <c r="B9" s="223" t="s">
        <v>487</v>
      </c>
      <c r="C9" s="244">
        <f>CountyFlows_input!B6</f>
        <v>31</v>
      </c>
      <c r="D9" s="225">
        <f>CountyFlows_input!C6</f>
        <v>137368</v>
      </c>
      <c r="E9" s="225">
        <f>CountyFlows_input!D6</f>
        <v>500</v>
      </c>
      <c r="F9" s="224">
        <f>CountyFlows_input!E6</f>
        <v>274956</v>
      </c>
      <c r="G9" s="225">
        <f>CountyFlows_input!F6</f>
        <v>135</v>
      </c>
      <c r="H9" s="225">
        <f>CountyFlows_input!G6</f>
        <v>18172</v>
      </c>
      <c r="I9" s="225">
        <f>CountyFlows_input!H6</f>
        <v>50</v>
      </c>
      <c r="J9" s="225">
        <f>CountyFlows_input!I6</f>
        <v>1503</v>
      </c>
      <c r="K9" s="225">
        <f>CountyFlows_input!J6</f>
        <v>30</v>
      </c>
      <c r="L9" s="225">
        <f>CountyFlows_input!K6</f>
        <v>6896</v>
      </c>
      <c r="M9" s="225">
        <f>CountyFlows_input!L6</f>
        <v>470</v>
      </c>
      <c r="N9" s="225">
        <f>CountyFlows_input!M6</f>
        <v>0</v>
      </c>
      <c r="O9" s="225">
        <f>CountyFlows_input!N6</f>
        <v>113</v>
      </c>
      <c r="P9" s="225">
        <f>CountyFlows_input!O6</f>
        <v>0</v>
      </c>
      <c r="Q9" s="225">
        <f>CountyFlows_input!P6</f>
        <v>909</v>
      </c>
      <c r="R9" s="225">
        <f>CountyFlows_input!Q6</f>
        <v>45</v>
      </c>
      <c r="S9" s="225">
        <f>CountyFlows_input!R6</f>
        <v>76</v>
      </c>
      <c r="T9" s="225">
        <f>CountyFlows_input!S6</f>
        <v>0</v>
      </c>
      <c r="U9" s="225">
        <f>CountyFlows_input!T6</f>
        <v>15</v>
      </c>
      <c r="V9" s="225">
        <f>CountyFlows_input!U6</f>
        <v>14829</v>
      </c>
      <c r="W9" s="245">
        <f>CountyFlows_input!V6</f>
        <v>173</v>
      </c>
      <c r="X9" s="226">
        <f t="shared" si="0"/>
        <v>456271</v>
      </c>
      <c r="Z9" s="223" t="s">
        <v>487</v>
      </c>
      <c r="AA9" s="233">
        <f t="shared" si="23"/>
        <v>6.7942078282424265E-5</v>
      </c>
      <c r="AB9" s="234">
        <f t="shared" si="24"/>
        <v>0.30106669062903407</v>
      </c>
      <c r="AC9" s="234">
        <f t="shared" si="25"/>
        <v>1.0958399722971655E-3</v>
      </c>
      <c r="AD9" s="234">
        <f t="shared" si="26"/>
        <v>0.60261555084587892</v>
      </c>
      <c r="AE9" s="234">
        <f t="shared" si="27"/>
        <v>2.958767925202347E-4</v>
      </c>
      <c r="AF9" s="234">
        <f t="shared" si="28"/>
        <v>3.982720795316818E-2</v>
      </c>
      <c r="AG9" s="234">
        <f t="shared" si="29"/>
        <v>1.0958399722971655E-4</v>
      </c>
      <c r="AH9" s="234">
        <f t="shared" si="30"/>
        <v>3.2940949567252793E-3</v>
      </c>
      <c r="AI9" s="234">
        <f t="shared" si="31"/>
        <v>6.5750398337829924E-5</v>
      </c>
      <c r="AJ9" s="234">
        <f t="shared" si="32"/>
        <v>1.5113824897922507E-2</v>
      </c>
      <c r="AK9" s="234">
        <f t="shared" si="33"/>
        <v>1.0300895739593357E-3</v>
      </c>
      <c r="AL9" s="234">
        <f t="shared" si="34"/>
        <v>0</v>
      </c>
      <c r="AM9" s="234">
        <f t="shared" si="35"/>
        <v>2.4765983373915943E-4</v>
      </c>
      <c r="AN9" s="234">
        <f t="shared" si="36"/>
        <v>0</v>
      </c>
      <c r="AO9" s="234">
        <f t="shared" si="37"/>
        <v>1.9922370696362469E-3</v>
      </c>
      <c r="AP9" s="234">
        <f t="shared" si="38"/>
        <v>9.8625597506744899E-5</v>
      </c>
      <c r="AQ9" s="234">
        <f t="shared" si="39"/>
        <v>1.6656767578916915E-4</v>
      </c>
      <c r="AR9" s="234">
        <f t="shared" si="40"/>
        <v>0</v>
      </c>
      <c r="AS9" s="234">
        <f t="shared" si="41"/>
        <v>3.2875199168914962E-5</v>
      </c>
      <c r="AT9" s="234">
        <f t="shared" si="42"/>
        <v>3.2500421898389337E-2</v>
      </c>
      <c r="AU9" s="234">
        <f t="shared" si="43"/>
        <v>3.7916063041481927E-4</v>
      </c>
      <c r="AV9" s="237">
        <f t="shared" si="22"/>
        <v>0.99999999999999989</v>
      </c>
    </row>
    <row r="10" spans="1:48" x14ac:dyDescent="0.25">
      <c r="B10" s="223" t="s">
        <v>488</v>
      </c>
      <c r="C10" s="244">
        <f>CountyFlows_input!B7</f>
        <v>24</v>
      </c>
      <c r="D10" s="225">
        <f>CountyFlows_input!C7</f>
        <v>1904</v>
      </c>
      <c r="E10" s="225">
        <f>CountyFlows_input!D7</f>
        <v>0</v>
      </c>
      <c r="F10" s="225">
        <f>CountyFlows_input!E7</f>
        <v>1090</v>
      </c>
      <c r="G10" s="224">
        <f>CountyFlows_input!F7</f>
        <v>9785</v>
      </c>
      <c r="H10" s="225">
        <f>CountyFlows_input!G7</f>
        <v>271</v>
      </c>
      <c r="I10" s="225">
        <f>CountyFlows_input!H7</f>
        <v>217</v>
      </c>
      <c r="J10" s="225">
        <f>CountyFlows_input!I7</f>
        <v>283</v>
      </c>
      <c r="K10" s="225">
        <f>CountyFlows_input!J7</f>
        <v>0</v>
      </c>
      <c r="L10" s="225">
        <f>CountyFlows_input!K7</f>
        <v>15</v>
      </c>
      <c r="M10" s="225">
        <f>CountyFlows_input!L7</f>
        <v>112</v>
      </c>
      <c r="N10" s="225">
        <f>CountyFlows_input!M7</f>
        <v>0</v>
      </c>
      <c r="O10" s="225">
        <f>CountyFlows_input!N7</f>
        <v>901</v>
      </c>
      <c r="P10" s="225">
        <f>CountyFlows_input!O7</f>
        <v>0</v>
      </c>
      <c r="Q10" s="225">
        <f>CountyFlows_input!P7</f>
        <v>24</v>
      </c>
      <c r="R10" s="225">
        <f>CountyFlows_input!Q7</f>
        <v>0</v>
      </c>
      <c r="S10" s="225">
        <f>CountyFlows_input!R7</f>
        <v>0</v>
      </c>
      <c r="T10" s="225">
        <f>CountyFlows_input!S7</f>
        <v>0</v>
      </c>
      <c r="U10" s="225">
        <f>CountyFlows_input!T7</f>
        <v>0</v>
      </c>
      <c r="V10" s="225">
        <f>CountyFlows_input!U7</f>
        <v>7344</v>
      </c>
      <c r="W10" s="245">
        <f>CountyFlows_input!V7</f>
        <v>0</v>
      </c>
      <c r="X10" s="226">
        <f t="shared" si="0"/>
        <v>21970</v>
      </c>
      <c r="Z10" s="223" t="s">
        <v>488</v>
      </c>
      <c r="AA10" s="233">
        <f t="shared" si="23"/>
        <v>1.0923987255348202E-3</v>
      </c>
      <c r="AB10" s="234">
        <f t="shared" si="24"/>
        <v>8.6663632225762399E-2</v>
      </c>
      <c r="AC10" s="234">
        <f t="shared" si="25"/>
        <v>0</v>
      </c>
      <c r="AD10" s="234">
        <f t="shared" si="26"/>
        <v>4.9613108784706421E-2</v>
      </c>
      <c r="AE10" s="234">
        <f t="shared" si="27"/>
        <v>0.445380063723259</v>
      </c>
      <c r="AF10" s="234">
        <f t="shared" si="28"/>
        <v>1.2335002275830679E-2</v>
      </c>
      <c r="AG10" s="234">
        <f t="shared" si="29"/>
        <v>9.8771051433773332E-3</v>
      </c>
      <c r="AH10" s="234">
        <f t="shared" si="30"/>
        <v>1.2881201638598088E-2</v>
      </c>
      <c r="AI10" s="234">
        <f t="shared" si="31"/>
        <v>0</v>
      </c>
      <c r="AJ10" s="234">
        <f t="shared" si="32"/>
        <v>6.8274920345926264E-4</v>
      </c>
      <c r="AK10" s="234">
        <f t="shared" si="33"/>
        <v>5.0978607191624944E-3</v>
      </c>
      <c r="AL10" s="234">
        <f t="shared" si="34"/>
        <v>0</v>
      </c>
      <c r="AM10" s="234">
        <f t="shared" si="35"/>
        <v>4.1010468821119708E-2</v>
      </c>
      <c r="AN10" s="234">
        <f t="shared" si="36"/>
        <v>0</v>
      </c>
      <c r="AO10" s="234">
        <f t="shared" si="37"/>
        <v>1.0923987255348202E-3</v>
      </c>
      <c r="AP10" s="234">
        <f t="shared" si="38"/>
        <v>0</v>
      </c>
      <c r="AQ10" s="234">
        <f t="shared" si="39"/>
        <v>0</v>
      </c>
      <c r="AR10" s="234">
        <f t="shared" si="40"/>
        <v>0</v>
      </c>
      <c r="AS10" s="234">
        <f t="shared" si="41"/>
        <v>0</v>
      </c>
      <c r="AT10" s="234">
        <f t="shared" si="42"/>
        <v>0.33427401001365498</v>
      </c>
      <c r="AU10" s="234">
        <f t="shared" si="43"/>
        <v>0</v>
      </c>
      <c r="AV10" s="237">
        <f t="shared" si="22"/>
        <v>1</v>
      </c>
    </row>
    <row r="11" spans="1:48" x14ac:dyDescent="0.25">
      <c r="B11" s="223" t="s">
        <v>489</v>
      </c>
      <c r="C11" s="244">
        <f>CountyFlows_input!B8</f>
        <v>243</v>
      </c>
      <c r="D11" s="225">
        <f>CountyFlows_input!C8</f>
        <v>44816</v>
      </c>
      <c r="E11" s="225">
        <f>CountyFlows_input!D8</f>
        <v>2116</v>
      </c>
      <c r="F11" s="225">
        <f>CountyFlows_input!E8</f>
        <v>45158</v>
      </c>
      <c r="G11" s="225">
        <f>CountyFlows_input!F8</f>
        <v>170</v>
      </c>
      <c r="H11" s="224">
        <f>CountyFlows_input!G8</f>
        <v>127424</v>
      </c>
      <c r="I11" s="225">
        <f>CountyFlows_input!H8</f>
        <v>20</v>
      </c>
      <c r="J11" s="225">
        <f>CountyFlows_input!I8</f>
        <v>4692</v>
      </c>
      <c r="K11" s="225">
        <f>CountyFlows_input!J8</f>
        <v>13</v>
      </c>
      <c r="L11" s="225">
        <f>CountyFlows_input!K8</f>
        <v>3569</v>
      </c>
      <c r="M11" s="225">
        <f>CountyFlows_input!L8</f>
        <v>171</v>
      </c>
      <c r="N11" s="225">
        <f>CountyFlows_input!M8</f>
        <v>0</v>
      </c>
      <c r="O11" s="225">
        <f>CountyFlows_input!N8</f>
        <v>230</v>
      </c>
      <c r="P11" s="225">
        <f>CountyFlows_input!O8</f>
        <v>0</v>
      </c>
      <c r="Q11" s="225">
        <f>CountyFlows_input!P8</f>
        <v>6620</v>
      </c>
      <c r="R11" s="225">
        <f>CountyFlows_input!Q8</f>
        <v>179</v>
      </c>
      <c r="S11" s="225">
        <f>CountyFlows_input!R8</f>
        <v>0</v>
      </c>
      <c r="T11" s="225">
        <f>CountyFlows_input!S8</f>
        <v>17</v>
      </c>
      <c r="U11" s="225">
        <f>CountyFlows_input!T8</f>
        <v>36</v>
      </c>
      <c r="V11" s="225">
        <f>CountyFlows_input!U8</f>
        <v>3889</v>
      </c>
      <c r="W11" s="245">
        <f>CountyFlows_input!V8</f>
        <v>513</v>
      </c>
      <c r="X11" s="226">
        <f t="shared" si="0"/>
        <v>239876</v>
      </c>
      <c r="Z11" s="223" t="s">
        <v>489</v>
      </c>
      <c r="AA11" s="233">
        <f t="shared" si="23"/>
        <v>1.0130233954209675E-3</v>
      </c>
      <c r="AB11" s="234">
        <f t="shared" si="24"/>
        <v>0.18682986209541597</v>
      </c>
      <c r="AC11" s="234">
        <f t="shared" si="25"/>
        <v>8.8212242992212649E-3</v>
      </c>
      <c r="AD11" s="234">
        <f t="shared" si="26"/>
        <v>0.18825559872600844</v>
      </c>
      <c r="AE11" s="234">
        <f t="shared" si="27"/>
        <v>7.086994947389484E-4</v>
      </c>
      <c r="AF11" s="234">
        <f t="shared" si="28"/>
        <v>0.53120779069185742</v>
      </c>
      <c r="AG11" s="234">
        <f t="shared" si="29"/>
        <v>8.3376411145758643E-5</v>
      </c>
      <c r="AH11" s="234">
        <f t="shared" si="30"/>
        <v>1.9560106054794978E-2</v>
      </c>
      <c r="AI11" s="234">
        <f t="shared" si="31"/>
        <v>5.4194667244743117E-5</v>
      </c>
      <c r="AJ11" s="234">
        <f t="shared" si="32"/>
        <v>1.487852056896063E-2</v>
      </c>
      <c r="AK11" s="234">
        <f t="shared" si="33"/>
        <v>7.1286831529623635E-4</v>
      </c>
      <c r="AL11" s="234">
        <f t="shared" si="34"/>
        <v>0</v>
      </c>
      <c r="AM11" s="234">
        <f t="shared" si="35"/>
        <v>9.588287281762244E-4</v>
      </c>
      <c r="AN11" s="234">
        <f t="shared" si="36"/>
        <v>0</v>
      </c>
      <c r="AO11" s="234">
        <f t="shared" si="37"/>
        <v>2.7597592089246111E-2</v>
      </c>
      <c r="AP11" s="234">
        <f t="shared" si="38"/>
        <v>7.4621887975453982E-4</v>
      </c>
      <c r="AQ11" s="234">
        <f t="shared" si="39"/>
        <v>0</v>
      </c>
      <c r="AR11" s="234">
        <f t="shared" si="40"/>
        <v>7.086994947389484E-5</v>
      </c>
      <c r="AS11" s="234">
        <f t="shared" si="41"/>
        <v>1.5007754006236555E-4</v>
      </c>
      <c r="AT11" s="234">
        <f t="shared" si="42"/>
        <v>1.6212543147292768E-2</v>
      </c>
      <c r="AU11" s="234">
        <f t="shared" si="43"/>
        <v>2.1386049458887091E-3</v>
      </c>
      <c r="AV11" s="237">
        <f t="shared" si="22"/>
        <v>1</v>
      </c>
    </row>
    <row r="12" spans="1:48" x14ac:dyDescent="0.25">
      <c r="B12" s="223" t="s">
        <v>490</v>
      </c>
      <c r="C12" s="244">
        <f>CountyFlows_input!B9</f>
        <v>0</v>
      </c>
      <c r="D12" s="225">
        <f>CountyFlows_input!C9</f>
        <v>4815</v>
      </c>
      <c r="E12" s="225">
        <f>CountyFlows_input!D9</f>
        <v>49</v>
      </c>
      <c r="F12" s="225">
        <f>CountyFlows_input!E9</f>
        <v>335</v>
      </c>
      <c r="G12" s="225">
        <f>CountyFlows_input!F9</f>
        <v>267</v>
      </c>
      <c r="H12" s="225">
        <f>CountyFlows_input!G9</f>
        <v>88</v>
      </c>
      <c r="I12" s="224">
        <f>CountyFlows_input!H9</f>
        <v>36462</v>
      </c>
      <c r="J12" s="225">
        <f>CountyFlows_input!I9</f>
        <v>4</v>
      </c>
      <c r="K12" s="225">
        <f>CountyFlows_input!J9</f>
        <v>0</v>
      </c>
      <c r="L12" s="225">
        <f>CountyFlows_input!K9</f>
        <v>18</v>
      </c>
      <c r="M12" s="225">
        <f>CountyFlows_input!L9</f>
        <v>342</v>
      </c>
      <c r="N12" s="225">
        <f>CountyFlows_input!M9</f>
        <v>7</v>
      </c>
      <c r="O12" s="225">
        <f>CountyFlows_input!N9</f>
        <v>29</v>
      </c>
      <c r="P12" s="225">
        <f>CountyFlows_input!O9</f>
        <v>0</v>
      </c>
      <c r="Q12" s="225">
        <f>CountyFlows_input!P9</f>
        <v>0</v>
      </c>
      <c r="R12" s="225">
        <f>CountyFlows_input!Q9</f>
        <v>16</v>
      </c>
      <c r="S12" s="225">
        <f>CountyFlows_input!R9</f>
        <v>76</v>
      </c>
      <c r="T12" s="225">
        <f>CountyFlows_input!S9</f>
        <v>0</v>
      </c>
      <c r="U12" s="225">
        <f>CountyFlows_input!T9</f>
        <v>0</v>
      </c>
      <c r="V12" s="225">
        <f>CountyFlows_input!U9</f>
        <v>4611</v>
      </c>
      <c r="W12" s="245">
        <f>CountyFlows_input!V9</f>
        <v>0</v>
      </c>
      <c r="X12" s="226">
        <f t="shared" si="0"/>
        <v>47119</v>
      </c>
      <c r="Z12" s="223" t="s">
        <v>490</v>
      </c>
      <c r="AA12" s="233">
        <f t="shared" si="23"/>
        <v>0</v>
      </c>
      <c r="AB12" s="234">
        <f t="shared" si="24"/>
        <v>0.10218807699654067</v>
      </c>
      <c r="AC12" s="234">
        <f t="shared" si="25"/>
        <v>1.0399202020416392E-3</v>
      </c>
      <c r="AD12" s="234">
        <f t="shared" si="26"/>
        <v>7.109658524162228E-3</v>
      </c>
      <c r="AE12" s="234">
        <f t="shared" si="27"/>
        <v>5.6665039580636265E-3</v>
      </c>
      <c r="AF12" s="234">
        <f t="shared" si="28"/>
        <v>1.8676117914217195E-3</v>
      </c>
      <c r="AG12" s="234">
        <f t="shared" si="29"/>
        <v>0.77382796748657656</v>
      </c>
      <c r="AH12" s="234">
        <f t="shared" si="30"/>
        <v>8.4891445064623608E-5</v>
      </c>
      <c r="AI12" s="234">
        <f t="shared" si="31"/>
        <v>0</v>
      </c>
      <c r="AJ12" s="234">
        <f t="shared" si="32"/>
        <v>3.8201150279080625E-4</v>
      </c>
      <c r="AK12" s="234">
        <f t="shared" si="33"/>
        <v>7.2582185530253186E-3</v>
      </c>
      <c r="AL12" s="234">
        <f t="shared" si="34"/>
        <v>1.4856002886309133E-4</v>
      </c>
      <c r="AM12" s="234">
        <f t="shared" si="35"/>
        <v>6.1546297671852116E-4</v>
      </c>
      <c r="AN12" s="234">
        <f t="shared" si="36"/>
        <v>0</v>
      </c>
      <c r="AO12" s="234">
        <f t="shared" si="37"/>
        <v>0</v>
      </c>
      <c r="AP12" s="234">
        <f t="shared" si="38"/>
        <v>3.3956578025849443E-4</v>
      </c>
      <c r="AQ12" s="234">
        <f t="shared" si="39"/>
        <v>1.6129374562278487E-3</v>
      </c>
      <c r="AR12" s="234">
        <f t="shared" si="40"/>
        <v>0</v>
      </c>
      <c r="AS12" s="234">
        <f t="shared" si="41"/>
        <v>0</v>
      </c>
      <c r="AT12" s="234">
        <f t="shared" si="42"/>
        <v>9.785861329824487E-2</v>
      </c>
      <c r="AU12" s="234">
        <f t="shared" si="43"/>
        <v>0</v>
      </c>
      <c r="AV12" s="237">
        <f t="shared" si="22"/>
        <v>1.0000000000000002</v>
      </c>
    </row>
    <row r="13" spans="1:48" x14ac:dyDescent="0.25">
      <c r="B13" s="223" t="s">
        <v>491</v>
      </c>
      <c r="C13" s="244">
        <f>CountyFlows_input!B10</f>
        <v>11</v>
      </c>
      <c r="D13" s="225">
        <f>CountyFlows_input!C10</f>
        <v>6272</v>
      </c>
      <c r="E13" s="225">
        <f>CountyFlows_input!D10</f>
        <v>1127</v>
      </c>
      <c r="F13" s="225">
        <f>CountyFlows_input!E10</f>
        <v>14184</v>
      </c>
      <c r="G13" s="225">
        <f>CountyFlows_input!F10</f>
        <v>738</v>
      </c>
      <c r="H13" s="225">
        <f>CountyFlows_input!G10</f>
        <v>10846</v>
      </c>
      <c r="I13" s="225">
        <f>CountyFlows_input!H10</f>
        <v>0</v>
      </c>
      <c r="J13" s="224">
        <f>CountyFlows_input!I10</f>
        <v>16135</v>
      </c>
      <c r="K13" s="225">
        <f>CountyFlows_input!J10</f>
        <v>0</v>
      </c>
      <c r="L13" s="225">
        <f>CountyFlows_input!K10</f>
        <v>168</v>
      </c>
      <c r="M13" s="225">
        <f>CountyFlows_input!L10</f>
        <v>26</v>
      </c>
      <c r="N13" s="225">
        <f>CountyFlows_input!M10</f>
        <v>0</v>
      </c>
      <c r="O13" s="225">
        <f>CountyFlows_input!N10</f>
        <v>259</v>
      </c>
      <c r="P13" s="225">
        <f>CountyFlows_input!O10</f>
        <v>0</v>
      </c>
      <c r="Q13" s="225">
        <f>CountyFlows_input!P10</f>
        <v>97</v>
      </c>
      <c r="R13" s="225">
        <f>CountyFlows_input!Q10</f>
        <v>15</v>
      </c>
      <c r="S13" s="225">
        <f>CountyFlows_input!R10</f>
        <v>0</v>
      </c>
      <c r="T13" s="225">
        <f>CountyFlows_input!S10</f>
        <v>0</v>
      </c>
      <c r="U13" s="225">
        <f>CountyFlows_input!T10</f>
        <v>0</v>
      </c>
      <c r="V13" s="225">
        <f>CountyFlows_input!U10</f>
        <v>6239</v>
      </c>
      <c r="W13" s="245">
        <f>CountyFlows_input!V10</f>
        <v>0</v>
      </c>
      <c r="X13" s="226">
        <f t="shared" si="0"/>
        <v>56117</v>
      </c>
      <c r="Z13" s="223" t="s">
        <v>491</v>
      </c>
      <c r="AA13" s="233">
        <f t="shared" si="23"/>
        <v>1.9601903166598358E-4</v>
      </c>
      <c r="AB13" s="234">
        <f t="shared" si="24"/>
        <v>0.11176648787354991</v>
      </c>
      <c r="AC13" s="234">
        <f t="shared" si="25"/>
        <v>2.0083040789778499E-2</v>
      </c>
      <c r="AD13" s="234">
        <f t="shared" si="26"/>
        <v>0.25275763137730101</v>
      </c>
      <c r="AE13" s="234">
        <f t="shared" si="27"/>
        <v>1.3151095033590535E-2</v>
      </c>
      <c r="AF13" s="234">
        <f t="shared" si="28"/>
        <v>0.19327476522265979</v>
      </c>
      <c r="AG13" s="234">
        <f t="shared" si="29"/>
        <v>0</v>
      </c>
      <c r="AH13" s="234">
        <f t="shared" si="30"/>
        <v>0.28752427963005861</v>
      </c>
      <c r="AI13" s="234">
        <f t="shared" si="31"/>
        <v>0</v>
      </c>
      <c r="AJ13" s="234">
        <f t="shared" si="32"/>
        <v>2.9937452108986583E-3</v>
      </c>
      <c r="AK13" s="234">
        <f t="shared" si="33"/>
        <v>4.6331771121050659E-4</v>
      </c>
      <c r="AL13" s="234">
        <f t="shared" si="34"/>
        <v>0</v>
      </c>
      <c r="AM13" s="234">
        <f t="shared" si="35"/>
        <v>4.6153572001354313E-3</v>
      </c>
      <c r="AN13" s="234">
        <f t="shared" si="36"/>
        <v>0</v>
      </c>
      <c r="AO13" s="234">
        <f t="shared" si="37"/>
        <v>1.7285314610545825E-3</v>
      </c>
      <c r="AP13" s="234">
        <f t="shared" si="38"/>
        <v>2.6729867954452304E-4</v>
      </c>
      <c r="AQ13" s="234">
        <f t="shared" si="39"/>
        <v>0</v>
      </c>
      <c r="AR13" s="234">
        <f t="shared" si="40"/>
        <v>0</v>
      </c>
      <c r="AS13" s="234">
        <f t="shared" si="41"/>
        <v>0</v>
      </c>
      <c r="AT13" s="234">
        <f t="shared" si="42"/>
        <v>0.11117843077855195</v>
      </c>
      <c r="AU13" s="234">
        <f t="shared" si="43"/>
        <v>0</v>
      </c>
      <c r="AV13" s="237">
        <f t="shared" si="22"/>
        <v>1</v>
      </c>
    </row>
    <row r="14" spans="1:48" x14ac:dyDescent="0.25">
      <c r="B14" s="223" t="s">
        <v>492</v>
      </c>
      <c r="C14" s="244">
        <f>CountyFlows_input!B11</f>
        <v>20</v>
      </c>
      <c r="D14" s="225">
        <f>CountyFlows_input!C11</f>
        <v>3609</v>
      </c>
      <c r="E14" s="225">
        <f>CountyFlows_input!D11</f>
        <v>91</v>
      </c>
      <c r="F14" s="225">
        <f>CountyFlows_input!E11</f>
        <v>331</v>
      </c>
      <c r="G14" s="225">
        <f>CountyFlows_input!F11</f>
        <v>0</v>
      </c>
      <c r="H14" s="225">
        <f>CountyFlows_input!G11</f>
        <v>131</v>
      </c>
      <c r="I14" s="225">
        <f>CountyFlows_input!H11</f>
        <v>0</v>
      </c>
      <c r="J14" s="225">
        <f>CountyFlows_input!I11</f>
        <v>4</v>
      </c>
      <c r="K14" s="224">
        <f>CountyFlows_input!J11</f>
        <v>41780</v>
      </c>
      <c r="L14" s="225">
        <f>CountyFlows_input!K11</f>
        <v>15856</v>
      </c>
      <c r="M14" s="225">
        <f>CountyFlows_input!L11</f>
        <v>0</v>
      </c>
      <c r="N14" s="225">
        <f>CountyFlows_input!M11</f>
        <v>0</v>
      </c>
      <c r="O14" s="225">
        <f>CountyFlows_input!N11</f>
        <v>0</v>
      </c>
      <c r="P14" s="225">
        <f>CountyFlows_input!O11</f>
        <v>0</v>
      </c>
      <c r="Q14" s="225">
        <f>CountyFlows_input!P11</f>
        <v>1227</v>
      </c>
      <c r="R14" s="225">
        <f>CountyFlows_input!Q11</f>
        <v>0</v>
      </c>
      <c r="S14" s="225">
        <f>CountyFlows_input!R11</f>
        <v>43</v>
      </c>
      <c r="T14" s="225">
        <f>CountyFlows_input!S11</f>
        <v>7931</v>
      </c>
      <c r="U14" s="225">
        <f>CountyFlows_input!T11</f>
        <v>1187</v>
      </c>
      <c r="V14" s="225">
        <f>CountyFlows_input!U11</f>
        <v>45</v>
      </c>
      <c r="W14" s="245">
        <f>CountyFlows_input!V11</f>
        <v>26</v>
      </c>
      <c r="X14" s="226">
        <f t="shared" si="0"/>
        <v>72281</v>
      </c>
      <c r="Z14" s="223" t="s">
        <v>492</v>
      </c>
      <c r="AA14" s="233">
        <f t="shared" si="23"/>
        <v>2.766978874116296E-4</v>
      </c>
      <c r="AB14" s="234">
        <f t="shared" si="24"/>
        <v>4.9930133783428567E-2</v>
      </c>
      <c r="AC14" s="234">
        <f t="shared" si="25"/>
        <v>1.2589753877229148E-3</v>
      </c>
      <c r="AD14" s="234">
        <f t="shared" si="26"/>
        <v>4.5793500366624702E-3</v>
      </c>
      <c r="AE14" s="234">
        <f t="shared" si="27"/>
        <v>0</v>
      </c>
      <c r="AF14" s="234">
        <f t="shared" si="28"/>
        <v>1.8123711625461739E-3</v>
      </c>
      <c r="AG14" s="234">
        <f t="shared" si="29"/>
        <v>0</v>
      </c>
      <c r="AH14" s="234">
        <f t="shared" si="30"/>
        <v>5.5339577482325922E-5</v>
      </c>
      <c r="AI14" s="234">
        <f t="shared" si="31"/>
        <v>0.57802188680289424</v>
      </c>
      <c r="AJ14" s="234">
        <f t="shared" si="32"/>
        <v>0.21936608513993996</v>
      </c>
      <c r="AK14" s="234">
        <f t="shared" si="33"/>
        <v>0</v>
      </c>
      <c r="AL14" s="234">
        <f t="shared" si="34"/>
        <v>0</v>
      </c>
      <c r="AM14" s="234">
        <f t="shared" si="35"/>
        <v>0</v>
      </c>
      <c r="AN14" s="234">
        <f t="shared" si="36"/>
        <v>0</v>
      </c>
      <c r="AO14" s="234">
        <f t="shared" si="37"/>
        <v>1.6975415392703478E-2</v>
      </c>
      <c r="AP14" s="234">
        <f t="shared" si="38"/>
        <v>0</v>
      </c>
      <c r="AQ14" s="234">
        <f t="shared" si="39"/>
        <v>5.9490045793500371E-4</v>
      </c>
      <c r="AR14" s="234">
        <f t="shared" si="40"/>
        <v>0.10972454725308173</v>
      </c>
      <c r="AS14" s="234">
        <f t="shared" si="41"/>
        <v>1.6422019617880219E-2</v>
      </c>
      <c r="AT14" s="234">
        <f t="shared" si="42"/>
        <v>6.2257024667616661E-4</v>
      </c>
      <c r="AU14" s="234">
        <f t="shared" si="43"/>
        <v>3.5970725363511851E-4</v>
      </c>
      <c r="AV14" s="237">
        <f t="shared" si="22"/>
        <v>0.99999999999999989</v>
      </c>
    </row>
    <row r="15" spans="1:48" x14ac:dyDescent="0.25">
      <c r="B15" s="223" t="s">
        <v>493</v>
      </c>
      <c r="C15" s="244">
        <f>CountyFlows_input!B12</f>
        <v>22</v>
      </c>
      <c r="D15" s="225">
        <f>CountyFlows_input!C12</f>
        <v>78045</v>
      </c>
      <c r="E15" s="225">
        <f>CountyFlows_input!D12</f>
        <v>68</v>
      </c>
      <c r="F15" s="225">
        <f>CountyFlows_input!E12</f>
        <v>7562</v>
      </c>
      <c r="G15" s="225">
        <f>CountyFlows_input!F12</f>
        <v>0</v>
      </c>
      <c r="H15" s="225">
        <f>CountyFlows_input!G12</f>
        <v>1583</v>
      </c>
      <c r="I15" s="225">
        <f>CountyFlows_input!H12</f>
        <v>24</v>
      </c>
      <c r="J15" s="225">
        <f>CountyFlows_input!I12</f>
        <v>24</v>
      </c>
      <c r="K15" s="225">
        <f>CountyFlows_input!J12</f>
        <v>4129</v>
      </c>
      <c r="L15" s="224">
        <f>CountyFlows_input!K12</f>
        <v>233253</v>
      </c>
      <c r="M15" s="225">
        <f>CountyFlows_input!L12</f>
        <v>183</v>
      </c>
      <c r="N15" s="225">
        <f>CountyFlows_input!M12</f>
        <v>0</v>
      </c>
      <c r="O15" s="225">
        <f>CountyFlows_input!N12</f>
        <v>13</v>
      </c>
      <c r="P15" s="225">
        <f>CountyFlows_input!O12</f>
        <v>11</v>
      </c>
      <c r="Q15" s="225">
        <f>CountyFlows_input!P12</f>
        <v>6532</v>
      </c>
      <c r="R15" s="225">
        <f>CountyFlows_input!Q12</f>
        <v>19</v>
      </c>
      <c r="S15" s="225">
        <f>CountyFlows_input!R12</f>
        <v>10</v>
      </c>
      <c r="T15" s="225">
        <f>CountyFlows_input!S12</f>
        <v>686</v>
      </c>
      <c r="U15" s="225">
        <f>CountyFlows_input!T12</f>
        <v>275</v>
      </c>
      <c r="V15" s="225">
        <f>CountyFlows_input!U12</f>
        <v>441</v>
      </c>
      <c r="W15" s="245">
        <f>CountyFlows_input!V12</f>
        <v>116</v>
      </c>
      <c r="X15" s="226">
        <f t="shared" si="0"/>
        <v>332996</v>
      </c>
      <c r="Z15" s="223" t="s">
        <v>493</v>
      </c>
      <c r="AA15" s="233">
        <f t="shared" si="23"/>
        <v>6.6066859661977916E-5</v>
      </c>
      <c r="AB15" s="234">
        <f t="shared" si="24"/>
        <v>0.23437218465086668</v>
      </c>
      <c r="AC15" s="234">
        <f t="shared" si="25"/>
        <v>2.0420665713702266E-4</v>
      </c>
      <c r="AD15" s="234">
        <f t="shared" si="26"/>
        <v>2.2708981489267137E-2</v>
      </c>
      <c r="AE15" s="234">
        <f t="shared" si="27"/>
        <v>0</v>
      </c>
      <c r="AF15" s="234">
        <f t="shared" si="28"/>
        <v>4.7538108565868655E-3</v>
      </c>
      <c r="AG15" s="234">
        <f t="shared" si="29"/>
        <v>7.2072937813066825E-5</v>
      </c>
      <c r="AH15" s="234">
        <f t="shared" si="30"/>
        <v>7.2072937813066825E-5</v>
      </c>
      <c r="AI15" s="234">
        <f t="shared" si="31"/>
        <v>1.2399548342923039E-2</v>
      </c>
      <c r="AJ15" s="234">
        <f t="shared" si="32"/>
        <v>0.70046787348796979</v>
      </c>
      <c r="AK15" s="234">
        <f t="shared" si="33"/>
        <v>5.4955615082463456E-4</v>
      </c>
      <c r="AL15" s="234">
        <f t="shared" si="34"/>
        <v>0</v>
      </c>
      <c r="AM15" s="234">
        <f t="shared" si="35"/>
        <v>3.903950798207786E-5</v>
      </c>
      <c r="AN15" s="234">
        <f t="shared" si="36"/>
        <v>3.3033429830988958E-5</v>
      </c>
      <c r="AO15" s="234">
        <f t="shared" si="37"/>
        <v>1.9615851241456355E-2</v>
      </c>
      <c r="AP15" s="234">
        <f t="shared" si="38"/>
        <v>5.7057742435344566E-5</v>
      </c>
      <c r="AQ15" s="234">
        <f t="shared" si="39"/>
        <v>3.003039075544451E-5</v>
      </c>
      <c r="AR15" s="234">
        <f t="shared" si="40"/>
        <v>2.0600848058234932E-3</v>
      </c>
      <c r="AS15" s="234">
        <f t="shared" si="41"/>
        <v>8.2583574577472401E-4</v>
      </c>
      <c r="AT15" s="234">
        <f t="shared" si="42"/>
        <v>1.3243402323151029E-3</v>
      </c>
      <c r="AU15" s="234">
        <f t="shared" si="43"/>
        <v>3.4835253276315631E-4</v>
      </c>
      <c r="AV15" s="237">
        <f t="shared" si="22"/>
        <v>1.0000000000000002</v>
      </c>
    </row>
    <row r="16" spans="1:48" x14ac:dyDescent="0.25">
      <c r="B16" s="223" t="s">
        <v>667</v>
      </c>
      <c r="C16" s="244">
        <f>CountyFlows_input!B13</f>
        <v>19</v>
      </c>
      <c r="D16" s="225">
        <f>CountyFlows_input!C13</f>
        <v>43014</v>
      </c>
      <c r="E16" s="225">
        <f>CountyFlows_input!D13</f>
        <v>14</v>
      </c>
      <c r="F16" s="225">
        <f>CountyFlows_input!E13</f>
        <v>2087</v>
      </c>
      <c r="G16" s="225">
        <f>CountyFlows_input!F13</f>
        <v>65</v>
      </c>
      <c r="H16" s="225">
        <f>CountyFlows_input!G13</f>
        <v>119</v>
      </c>
      <c r="I16" s="225">
        <f>CountyFlows_input!H13</f>
        <v>310</v>
      </c>
      <c r="J16" s="225">
        <f>CountyFlows_input!I13</f>
        <v>37</v>
      </c>
      <c r="K16" s="225">
        <f>CountyFlows_input!J13</f>
        <v>0</v>
      </c>
      <c r="L16" s="225">
        <f>CountyFlows_input!K13</f>
        <v>282</v>
      </c>
      <c r="M16" s="224">
        <f>CountyFlows_input!L13</f>
        <v>143501</v>
      </c>
      <c r="N16" s="225">
        <f>CountyFlows_input!M13</f>
        <v>1342</v>
      </c>
      <c r="O16" s="225">
        <f>CountyFlows_input!N13</f>
        <v>33</v>
      </c>
      <c r="P16" s="225">
        <f>CountyFlows_input!O13</f>
        <v>0</v>
      </c>
      <c r="Q16" s="225">
        <f>CountyFlows_input!P13</f>
        <v>0</v>
      </c>
      <c r="R16" s="225">
        <f>CountyFlows_input!Q13</f>
        <v>0</v>
      </c>
      <c r="S16" s="225">
        <f>CountyFlows_input!R13</f>
        <v>9186</v>
      </c>
      <c r="T16" s="225">
        <f>CountyFlows_input!S13</f>
        <v>0</v>
      </c>
      <c r="U16" s="225">
        <f>CountyFlows_input!T13</f>
        <v>0</v>
      </c>
      <c r="V16" s="225">
        <f>CountyFlows_input!U13</f>
        <v>3904</v>
      </c>
      <c r="W16" s="245">
        <f>CountyFlows_input!V13</f>
        <v>22</v>
      </c>
      <c r="X16" s="226">
        <f t="shared" si="0"/>
        <v>203935</v>
      </c>
      <c r="Z16" s="223" t="s">
        <v>667</v>
      </c>
      <c r="AA16" s="233">
        <f t="shared" si="23"/>
        <v>9.3166940446710967E-5</v>
      </c>
      <c r="AB16" s="234">
        <f t="shared" si="24"/>
        <v>0.2109201461249908</v>
      </c>
      <c r="AC16" s="234">
        <f t="shared" si="25"/>
        <v>6.8649324539681763E-5</v>
      </c>
      <c r="AD16" s="234">
        <f t="shared" si="26"/>
        <v>1.0233652879593989E-2</v>
      </c>
      <c r="AE16" s="234">
        <f t="shared" si="27"/>
        <v>3.187290067913796E-4</v>
      </c>
      <c r="AF16" s="234">
        <f t="shared" si="28"/>
        <v>5.8351925858729492E-4</v>
      </c>
      <c r="AG16" s="234">
        <f t="shared" si="29"/>
        <v>1.5200921862358104E-3</v>
      </c>
      <c r="AH16" s="234">
        <f t="shared" si="30"/>
        <v>1.8143035771201607E-4</v>
      </c>
      <c r="AI16" s="234">
        <f t="shared" si="31"/>
        <v>0</v>
      </c>
      <c r="AJ16" s="234">
        <f t="shared" si="32"/>
        <v>1.3827935371564469E-3</v>
      </c>
      <c r="AK16" s="234">
        <f t="shared" si="33"/>
        <v>0.70366048005491943</v>
      </c>
      <c r="AL16" s="234">
        <f t="shared" si="34"/>
        <v>6.5805281094466371E-3</v>
      </c>
      <c r="AM16" s="234">
        <f t="shared" si="35"/>
        <v>1.6181626498639273E-4</v>
      </c>
      <c r="AN16" s="234">
        <f t="shared" si="36"/>
        <v>0</v>
      </c>
      <c r="AO16" s="234">
        <f t="shared" si="37"/>
        <v>0</v>
      </c>
      <c r="AP16" s="234">
        <f t="shared" si="38"/>
        <v>0</v>
      </c>
      <c r="AQ16" s="234">
        <f t="shared" si="39"/>
        <v>4.504376394439405E-2</v>
      </c>
      <c r="AR16" s="234">
        <f t="shared" si="40"/>
        <v>0</v>
      </c>
      <c r="AS16" s="234">
        <f t="shared" si="41"/>
        <v>0</v>
      </c>
      <c r="AT16" s="234">
        <f t="shared" si="42"/>
        <v>1.91433545002084E-2</v>
      </c>
      <c r="AU16" s="234">
        <f t="shared" si="43"/>
        <v>1.0787750999092849E-4</v>
      </c>
      <c r="AV16" s="237">
        <f t="shared" si="22"/>
        <v>1</v>
      </c>
    </row>
    <row r="17" spans="2:48" x14ac:dyDescent="0.25">
      <c r="B17" s="223" t="s">
        <v>494</v>
      </c>
      <c r="C17" s="244">
        <f>CountyFlows_input!B14</f>
        <v>0</v>
      </c>
      <c r="D17" s="225">
        <f>CountyFlows_input!C14</f>
        <v>1125</v>
      </c>
      <c r="E17" s="225">
        <f>CountyFlows_input!D14</f>
        <v>0</v>
      </c>
      <c r="F17" s="225">
        <f>CountyFlows_input!E14</f>
        <v>54</v>
      </c>
      <c r="G17" s="225">
        <f>CountyFlows_input!F14</f>
        <v>0</v>
      </c>
      <c r="H17" s="225">
        <f>CountyFlows_input!G14</f>
        <v>3</v>
      </c>
      <c r="I17" s="225">
        <f>CountyFlows_input!H14</f>
        <v>0</v>
      </c>
      <c r="J17" s="225">
        <f>CountyFlows_input!I14</f>
        <v>0</v>
      </c>
      <c r="K17" s="225">
        <f>CountyFlows_input!J14</f>
        <v>0</v>
      </c>
      <c r="L17" s="225">
        <f>CountyFlows_input!K14</f>
        <v>7</v>
      </c>
      <c r="M17" s="225">
        <f>CountyFlows_input!L14</f>
        <v>2488</v>
      </c>
      <c r="N17" s="224">
        <f>CountyFlows_input!M14</f>
        <v>32367</v>
      </c>
      <c r="O17" s="225">
        <f>CountyFlows_input!N14</f>
        <v>4</v>
      </c>
      <c r="P17" s="225">
        <f>CountyFlows_input!O14</f>
        <v>0</v>
      </c>
      <c r="Q17" s="225">
        <f>CountyFlows_input!P14</f>
        <v>0</v>
      </c>
      <c r="R17" s="225">
        <f>CountyFlows_input!Q14</f>
        <v>0</v>
      </c>
      <c r="S17" s="225">
        <f>CountyFlows_input!R14</f>
        <v>4372</v>
      </c>
      <c r="T17" s="225">
        <f>CountyFlows_input!S14</f>
        <v>0</v>
      </c>
      <c r="U17" s="225">
        <f>CountyFlows_input!T14</f>
        <v>0</v>
      </c>
      <c r="V17" s="225">
        <f>CountyFlows_input!U14</f>
        <v>97</v>
      </c>
      <c r="W17" s="245">
        <f>CountyFlows_input!V14</f>
        <v>0</v>
      </c>
      <c r="X17" s="226">
        <f t="shared" si="0"/>
        <v>40517</v>
      </c>
      <c r="Z17" s="223" t="s">
        <v>494</v>
      </c>
      <c r="AA17" s="233">
        <f t="shared" si="23"/>
        <v>0</v>
      </c>
      <c r="AB17" s="234">
        <f t="shared" si="24"/>
        <v>2.7766122862008538E-2</v>
      </c>
      <c r="AC17" s="234">
        <f t="shared" si="25"/>
        <v>0</v>
      </c>
      <c r="AD17" s="234">
        <f t="shared" si="26"/>
        <v>1.3327738973764099E-3</v>
      </c>
      <c r="AE17" s="234">
        <f t="shared" si="27"/>
        <v>0</v>
      </c>
      <c r="AF17" s="234">
        <f t="shared" si="28"/>
        <v>7.4042994298689438E-5</v>
      </c>
      <c r="AG17" s="234">
        <f t="shared" si="29"/>
        <v>0</v>
      </c>
      <c r="AH17" s="234">
        <f t="shared" si="30"/>
        <v>0</v>
      </c>
      <c r="AI17" s="234">
        <f t="shared" si="31"/>
        <v>0</v>
      </c>
      <c r="AJ17" s="234">
        <f t="shared" si="32"/>
        <v>1.7276698669694201E-4</v>
      </c>
      <c r="AK17" s="234">
        <f t="shared" si="33"/>
        <v>6.1406323271713109E-2</v>
      </c>
      <c r="AL17" s="234">
        <f t="shared" si="34"/>
        <v>0.79884986548856041</v>
      </c>
      <c r="AM17" s="234">
        <f t="shared" si="35"/>
        <v>9.8723992398252588E-5</v>
      </c>
      <c r="AN17" s="234">
        <f t="shared" si="36"/>
        <v>0</v>
      </c>
      <c r="AO17" s="234">
        <f t="shared" si="37"/>
        <v>0</v>
      </c>
      <c r="AP17" s="234">
        <f t="shared" si="38"/>
        <v>0</v>
      </c>
      <c r="AQ17" s="234">
        <f t="shared" si="39"/>
        <v>0.10790532369129008</v>
      </c>
      <c r="AR17" s="234">
        <f t="shared" si="40"/>
        <v>0</v>
      </c>
      <c r="AS17" s="234">
        <f t="shared" si="41"/>
        <v>0</v>
      </c>
      <c r="AT17" s="234">
        <f t="shared" si="42"/>
        <v>2.3940568156576251E-3</v>
      </c>
      <c r="AU17" s="234">
        <f t="shared" si="43"/>
        <v>0</v>
      </c>
      <c r="AV17" s="237">
        <f t="shared" si="22"/>
        <v>1</v>
      </c>
    </row>
    <row r="18" spans="2:48" x14ac:dyDescent="0.25">
      <c r="B18" s="223" t="s">
        <v>495</v>
      </c>
      <c r="C18" s="244">
        <f>CountyFlows_input!B15</f>
        <v>0</v>
      </c>
      <c r="D18" s="225">
        <f>CountyFlows_input!C15</f>
        <v>695</v>
      </c>
      <c r="E18" s="225">
        <f>CountyFlows_input!D15</f>
        <v>1344</v>
      </c>
      <c r="F18" s="225">
        <f>CountyFlows_input!E15</f>
        <v>1158</v>
      </c>
      <c r="G18" s="225">
        <f>CountyFlows_input!F15</f>
        <v>1215</v>
      </c>
      <c r="H18" s="225">
        <f>CountyFlows_input!G15</f>
        <v>1922</v>
      </c>
      <c r="I18" s="225">
        <f>CountyFlows_input!H15</f>
        <v>48</v>
      </c>
      <c r="J18" s="225">
        <f>CountyFlows_input!I15</f>
        <v>1995</v>
      </c>
      <c r="K18" s="225">
        <f>CountyFlows_input!J15</f>
        <v>0</v>
      </c>
      <c r="L18" s="225">
        <f>CountyFlows_input!K15</f>
        <v>5</v>
      </c>
      <c r="M18" s="225">
        <f>CountyFlows_input!L15</f>
        <v>76</v>
      </c>
      <c r="N18" s="225">
        <f>CountyFlows_input!M15</f>
        <v>13</v>
      </c>
      <c r="O18" s="224">
        <f>CountyFlows_input!N15</f>
        <v>35748</v>
      </c>
      <c r="P18" s="225">
        <f>CountyFlows_input!O15</f>
        <v>179</v>
      </c>
      <c r="Q18" s="225">
        <f>CountyFlows_input!P15</f>
        <v>54</v>
      </c>
      <c r="R18" s="225">
        <f>CountyFlows_input!Q15</f>
        <v>80</v>
      </c>
      <c r="S18" s="225">
        <f>CountyFlows_input!R15</f>
        <v>0</v>
      </c>
      <c r="T18" s="225">
        <f>CountyFlows_input!S15</f>
        <v>0</v>
      </c>
      <c r="U18" s="225">
        <f>CountyFlows_input!T15</f>
        <v>0</v>
      </c>
      <c r="V18" s="225">
        <f>CountyFlows_input!U15</f>
        <v>1445</v>
      </c>
      <c r="W18" s="245">
        <f>CountyFlows_input!V15</f>
        <v>58</v>
      </c>
      <c r="X18" s="226">
        <f t="shared" si="0"/>
        <v>46035</v>
      </c>
      <c r="Z18" s="223" t="s">
        <v>495</v>
      </c>
      <c r="AA18" s="233">
        <f t="shared" si="23"/>
        <v>0</v>
      </c>
      <c r="AB18" s="234">
        <f t="shared" si="24"/>
        <v>1.5097208645595743E-2</v>
      </c>
      <c r="AC18" s="234">
        <f t="shared" si="25"/>
        <v>2.9195177582274356E-2</v>
      </c>
      <c r="AD18" s="234">
        <f t="shared" si="26"/>
        <v>2.5154773541870318E-2</v>
      </c>
      <c r="AE18" s="234">
        <f t="shared" si="27"/>
        <v>2.6392961876832845E-2</v>
      </c>
      <c r="AF18" s="234">
        <f t="shared" si="28"/>
        <v>4.1750841750841754E-2</v>
      </c>
      <c r="AG18" s="234">
        <f t="shared" si="29"/>
        <v>1.0426849136526556E-3</v>
      </c>
      <c r="AH18" s="234">
        <f t="shared" si="30"/>
        <v>4.3336591723688499E-2</v>
      </c>
      <c r="AI18" s="234">
        <f t="shared" si="31"/>
        <v>0</v>
      </c>
      <c r="AJ18" s="234">
        <f t="shared" si="32"/>
        <v>1.0861301183881829E-4</v>
      </c>
      <c r="AK18" s="234">
        <f t="shared" si="33"/>
        <v>1.6509177799500379E-3</v>
      </c>
      <c r="AL18" s="234">
        <f t="shared" si="34"/>
        <v>2.8239383078092754E-4</v>
      </c>
      <c r="AM18" s="234">
        <f t="shared" si="35"/>
        <v>0.7765395894428152</v>
      </c>
      <c r="AN18" s="234">
        <f t="shared" si="36"/>
        <v>3.8883458238296946E-3</v>
      </c>
      <c r="AO18" s="234">
        <f t="shared" si="37"/>
        <v>1.1730205278592375E-3</v>
      </c>
      <c r="AP18" s="234">
        <f t="shared" si="38"/>
        <v>1.7378081894210927E-3</v>
      </c>
      <c r="AQ18" s="234">
        <f t="shared" si="39"/>
        <v>0</v>
      </c>
      <c r="AR18" s="234">
        <f t="shared" si="40"/>
        <v>0</v>
      </c>
      <c r="AS18" s="234">
        <f t="shared" si="41"/>
        <v>0</v>
      </c>
      <c r="AT18" s="234">
        <f t="shared" si="42"/>
        <v>3.1389160421418483E-2</v>
      </c>
      <c r="AU18" s="234">
        <f t="shared" si="43"/>
        <v>1.2599109373302921E-3</v>
      </c>
      <c r="AV18" s="237">
        <f t="shared" si="22"/>
        <v>0.99999999999999989</v>
      </c>
    </row>
    <row r="19" spans="2:48" x14ac:dyDescent="0.25">
      <c r="B19" s="223" t="s">
        <v>496</v>
      </c>
      <c r="C19" s="244">
        <f>CountyFlows_input!B16</f>
        <v>29</v>
      </c>
      <c r="D19" s="225">
        <f>CountyFlows_input!C16</f>
        <v>149</v>
      </c>
      <c r="E19" s="225">
        <f>CountyFlows_input!D16</f>
        <v>617</v>
      </c>
      <c r="F19" s="225">
        <f>CountyFlows_input!E16</f>
        <v>154</v>
      </c>
      <c r="G19" s="225">
        <f>CountyFlows_input!F16</f>
        <v>0</v>
      </c>
      <c r="H19" s="225">
        <f>CountyFlows_input!G16</f>
        <v>245</v>
      </c>
      <c r="I19" s="225">
        <f>CountyFlows_input!H16</f>
        <v>0</v>
      </c>
      <c r="J19" s="225">
        <f>CountyFlows_input!I16</f>
        <v>94</v>
      </c>
      <c r="K19" s="225">
        <f>CountyFlows_input!J16</f>
        <v>0</v>
      </c>
      <c r="L19" s="225">
        <f>CountyFlows_input!K16</f>
        <v>6</v>
      </c>
      <c r="M19" s="225">
        <f>CountyFlows_input!L16</f>
        <v>0</v>
      </c>
      <c r="N19" s="225">
        <f>CountyFlows_input!M16</f>
        <v>0</v>
      </c>
      <c r="O19" s="225">
        <f>CountyFlows_input!N16</f>
        <v>632</v>
      </c>
      <c r="P19" s="224">
        <f>CountyFlows_input!O16</f>
        <v>9383</v>
      </c>
      <c r="Q19" s="225">
        <f>CountyFlows_input!P16</f>
        <v>36</v>
      </c>
      <c r="R19" s="225">
        <f>CountyFlows_input!Q16</f>
        <v>1502</v>
      </c>
      <c r="S19" s="225">
        <f>CountyFlows_input!R16</f>
        <v>0</v>
      </c>
      <c r="T19" s="225">
        <f>CountyFlows_input!S16</f>
        <v>0</v>
      </c>
      <c r="U19" s="225">
        <f>CountyFlows_input!T16</f>
        <v>0</v>
      </c>
      <c r="V19" s="225">
        <f>CountyFlows_input!U16</f>
        <v>46</v>
      </c>
      <c r="W19" s="245">
        <f>CountyFlows_input!V16</f>
        <v>453</v>
      </c>
      <c r="X19" s="226">
        <f t="shared" si="0"/>
        <v>13346</v>
      </c>
      <c r="Z19" s="223" t="s">
        <v>496</v>
      </c>
      <c r="AA19" s="233">
        <f t="shared" si="23"/>
        <v>2.1729357110744792E-3</v>
      </c>
      <c r="AB19" s="234">
        <f t="shared" si="24"/>
        <v>1.1164393825865428E-2</v>
      </c>
      <c r="AC19" s="234">
        <f t="shared" si="25"/>
        <v>4.623108047355013E-2</v>
      </c>
      <c r="AD19" s="234">
        <f t="shared" si="26"/>
        <v>1.1539037913981717E-2</v>
      </c>
      <c r="AE19" s="234">
        <f t="shared" si="27"/>
        <v>0</v>
      </c>
      <c r="AF19" s="234">
        <f t="shared" si="28"/>
        <v>1.8357560317698186E-2</v>
      </c>
      <c r="AG19" s="234">
        <f t="shared" si="29"/>
        <v>0</v>
      </c>
      <c r="AH19" s="234">
        <f t="shared" si="30"/>
        <v>7.0433088565862428E-3</v>
      </c>
      <c r="AI19" s="234">
        <f t="shared" si="31"/>
        <v>0</v>
      </c>
      <c r="AJ19" s="234">
        <f t="shared" si="32"/>
        <v>4.4957290573954741E-4</v>
      </c>
      <c r="AK19" s="234">
        <f t="shared" si="33"/>
        <v>0</v>
      </c>
      <c r="AL19" s="234">
        <f t="shared" si="34"/>
        <v>0</v>
      </c>
      <c r="AM19" s="234">
        <f t="shared" si="35"/>
        <v>4.7355012737898994E-2</v>
      </c>
      <c r="AN19" s="234">
        <f t="shared" si="36"/>
        <v>0.70305709575902897</v>
      </c>
      <c r="AO19" s="234">
        <f t="shared" si="37"/>
        <v>2.6974374344372848E-3</v>
      </c>
      <c r="AP19" s="234">
        <f t="shared" si="38"/>
        <v>0.11254308407013337</v>
      </c>
      <c r="AQ19" s="234">
        <f t="shared" si="39"/>
        <v>0</v>
      </c>
      <c r="AR19" s="234">
        <f t="shared" si="40"/>
        <v>0</v>
      </c>
      <c r="AS19" s="234">
        <f t="shared" si="41"/>
        <v>0</v>
      </c>
      <c r="AT19" s="234">
        <f t="shared" si="42"/>
        <v>3.4467256106698635E-3</v>
      </c>
      <c r="AU19" s="234">
        <f t="shared" si="43"/>
        <v>3.3942754383335834E-2</v>
      </c>
      <c r="AV19" s="237">
        <f t="shared" si="22"/>
        <v>1</v>
      </c>
    </row>
    <row r="20" spans="2:48" x14ac:dyDescent="0.25">
      <c r="B20" s="223" t="s">
        <v>497</v>
      </c>
      <c r="C20" s="244">
        <f>CountyFlows_input!B17</f>
        <v>406</v>
      </c>
      <c r="D20" s="225">
        <f>CountyFlows_input!C17</f>
        <v>31697</v>
      </c>
      <c r="E20" s="225">
        <f>CountyFlows_input!D17</f>
        <v>311</v>
      </c>
      <c r="F20" s="225">
        <f>CountyFlows_input!E17</f>
        <v>5826</v>
      </c>
      <c r="G20" s="225">
        <f>CountyFlows_input!F17</f>
        <v>17</v>
      </c>
      <c r="H20" s="225">
        <f>CountyFlows_input!G17</f>
        <v>10733</v>
      </c>
      <c r="I20" s="225">
        <f>CountyFlows_input!H17</f>
        <v>0</v>
      </c>
      <c r="J20" s="225">
        <f>CountyFlows_input!I17</f>
        <v>19</v>
      </c>
      <c r="K20" s="225">
        <f>CountyFlows_input!J17</f>
        <v>695</v>
      </c>
      <c r="L20" s="225">
        <f>CountyFlows_input!K17</f>
        <v>19805</v>
      </c>
      <c r="M20" s="225">
        <f>CountyFlows_input!L17</f>
        <v>69</v>
      </c>
      <c r="N20" s="225">
        <f>CountyFlows_input!M17</f>
        <v>0</v>
      </c>
      <c r="O20" s="225">
        <f>CountyFlows_input!N17</f>
        <v>9</v>
      </c>
      <c r="P20" s="225">
        <f>CountyFlows_input!O17</f>
        <v>0</v>
      </c>
      <c r="Q20" s="224">
        <f>CountyFlows_input!P17</f>
        <v>77111</v>
      </c>
      <c r="R20" s="225">
        <f>CountyFlows_input!Q17</f>
        <v>62</v>
      </c>
      <c r="S20" s="225">
        <f>CountyFlows_input!R17</f>
        <v>2</v>
      </c>
      <c r="T20" s="225">
        <f>CountyFlows_input!S17</f>
        <v>99</v>
      </c>
      <c r="U20" s="225">
        <f>CountyFlows_input!T17</f>
        <v>952</v>
      </c>
      <c r="V20" s="225">
        <f>CountyFlows_input!U17</f>
        <v>322</v>
      </c>
      <c r="W20" s="245">
        <f>CountyFlows_input!V17</f>
        <v>940</v>
      </c>
      <c r="X20" s="226">
        <f t="shared" si="0"/>
        <v>149075</v>
      </c>
      <c r="Z20" s="223" t="s">
        <v>497</v>
      </c>
      <c r="AA20" s="233">
        <f t="shared" si="23"/>
        <v>2.7234613449605904E-3</v>
      </c>
      <c r="AB20" s="234">
        <f t="shared" si="24"/>
        <v>0.2126245178601375</v>
      </c>
      <c r="AC20" s="234">
        <f t="shared" si="25"/>
        <v>2.0861982223712898E-3</v>
      </c>
      <c r="AD20" s="234">
        <f t="shared" si="26"/>
        <v>3.9080999496897535E-2</v>
      </c>
      <c r="AE20" s="234">
        <f t="shared" si="27"/>
        <v>1.1403655877913802E-4</v>
      </c>
      <c r="AF20" s="234">
        <f t="shared" si="28"/>
        <v>7.1997316786852256E-2</v>
      </c>
      <c r="AG20" s="234">
        <f t="shared" si="29"/>
        <v>0</v>
      </c>
      <c r="AH20" s="234">
        <f t="shared" si="30"/>
        <v>1.2745262451786013E-4</v>
      </c>
      <c r="AI20" s="234">
        <f t="shared" si="31"/>
        <v>4.6620828442059366E-3</v>
      </c>
      <c r="AJ20" s="234">
        <f t="shared" si="32"/>
        <v>0.13285259097769578</v>
      </c>
      <c r="AK20" s="234">
        <f t="shared" si="33"/>
        <v>4.6285426798591315E-4</v>
      </c>
      <c r="AL20" s="234">
        <f t="shared" si="34"/>
        <v>0</v>
      </c>
      <c r="AM20" s="234">
        <f t="shared" si="35"/>
        <v>6.0372295824249541E-5</v>
      </c>
      <c r="AN20" s="234">
        <f t="shared" si="36"/>
        <v>0</v>
      </c>
      <c r="AO20" s="234">
        <f t="shared" si="37"/>
        <v>0.51726312258930074</v>
      </c>
      <c r="AP20" s="234">
        <f t="shared" si="38"/>
        <v>4.1589803790038573E-4</v>
      </c>
      <c r="AQ20" s="234">
        <f t="shared" si="39"/>
        <v>1.341606573872212E-5</v>
      </c>
      <c r="AR20" s="234">
        <f t="shared" si="40"/>
        <v>6.6409525406674493E-4</v>
      </c>
      <c r="AS20" s="234">
        <f t="shared" si="41"/>
        <v>6.3860472916317289E-3</v>
      </c>
      <c r="AT20" s="234">
        <f t="shared" si="42"/>
        <v>2.1599865839342612E-3</v>
      </c>
      <c r="AU20" s="234">
        <f t="shared" si="43"/>
        <v>6.3055508971993964E-3</v>
      </c>
      <c r="AV20" s="237">
        <f t="shared" si="22"/>
        <v>1</v>
      </c>
    </row>
    <row r="21" spans="2:48" x14ac:dyDescent="0.25">
      <c r="B21" s="223" t="s">
        <v>498</v>
      </c>
      <c r="C21" s="244">
        <f>CountyFlows_input!B18</f>
        <v>388</v>
      </c>
      <c r="D21" s="225">
        <f>CountyFlows_input!C18</f>
        <v>311</v>
      </c>
      <c r="E21" s="225">
        <f>CountyFlows_input!D18</f>
        <v>1710</v>
      </c>
      <c r="F21" s="225">
        <f>CountyFlows_input!E18</f>
        <v>326</v>
      </c>
      <c r="G21" s="225">
        <f>CountyFlows_input!F18</f>
        <v>17</v>
      </c>
      <c r="H21" s="225">
        <f>CountyFlows_input!G18</f>
        <v>357</v>
      </c>
      <c r="I21" s="225">
        <f>CountyFlows_input!H18</f>
        <v>0</v>
      </c>
      <c r="J21" s="225">
        <f>CountyFlows_input!I18</f>
        <v>6</v>
      </c>
      <c r="K21" s="225">
        <f>CountyFlows_input!J18</f>
        <v>5</v>
      </c>
      <c r="L21" s="225">
        <f>CountyFlows_input!K18</f>
        <v>22</v>
      </c>
      <c r="M21" s="225">
        <f>CountyFlows_input!L18</f>
        <v>4</v>
      </c>
      <c r="N21" s="225">
        <f>CountyFlows_input!M18</f>
        <v>0</v>
      </c>
      <c r="O21" s="225">
        <f>CountyFlows_input!N18</f>
        <v>39</v>
      </c>
      <c r="P21" s="225">
        <f>CountyFlows_input!O18</f>
        <v>1546</v>
      </c>
      <c r="Q21" s="225">
        <f>CountyFlows_input!P18</f>
        <v>23</v>
      </c>
      <c r="R21" s="224">
        <f>CountyFlows_input!Q18</f>
        <v>12898</v>
      </c>
      <c r="S21" s="225">
        <f>CountyFlows_input!R18</f>
        <v>0</v>
      </c>
      <c r="T21" s="225">
        <f>CountyFlows_input!S18</f>
        <v>0</v>
      </c>
      <c r="U21" s="225">
        <f>CountyFlows_input!T18</f>
        <v>3</v>
      </c>
      <c r="V21" s="225">
        <f>CountyFlows_input!U18</f>
        <v>50</v>
      </c>
      <c r="W21" s="245">
        <f>CountyFlows_input!V18</f>
        <v>5265</v>
      </c>
      <c r="X21" s="226">
        <f t="shared" si="0"/>
        <v>22970</v>
      </c>
      <c r="Z21" s="223" t="s">
        <v>498</v>
      </c>
      <c r="AA21" s="233">
        <f t="shared" si="23"/>
        <v>1.6891597736177624E-2</v>
      </c>
      <c r="AB21" s="234">
        <f t="shared" si="24"/>
        <v>1.3539399216369177E-2</v>
      </c>
      <c r="AC21" s="234">
        <f t="shared" si="25"/>
        <v>7.4444928167174573E-2</v>
      </c>
      <c r="AD21" s="234">
        <f t="shared" si="26"/>
        <v>1.4192424902046146E-2</v>
      </c>
      <c r="AE21" s="234">
        <f t="shared" si="27"/>
        <v>7.4009577710056594E-4</v>
      </c>
      <c r="AF21" s="234">
        <f t="shared" si="28"/>
        <v>1.5542011319111886E-2</v>
      </c>
      <c r="AG21" s="234">
        <f t="shared" si="29"/>
        <v>0</v>
      </c>
      <c r="AH21" s="234">
        <f t="shared" si="30"/>
        <v>2.6121027427078799E-4</v>
      </c>
      <c r="AI21" s="234">
        <f t="shared" si="31"/>
        <v>2.1767522855898998E-4</v>
      </c>
      <c r="AJ21" s="234">
        <f t="shared" si="32"/>
        <v>9.57771005659556E-4</v>
      </c>
      <c r="AK21" s="234">
        <f t="shared" si="33"/>
        <v>1.7414018284719199E-4</v>
      </c>
      <c r="AL21" s="234">
        <f t="shared" si="34"/>
        <v>0</v>
      </c>
      <c r="AM21" s="234">
        <f t="shared" si="35"/>
        <v>1.6978667827601218E-3</v>
      </c>
      <c r="AN21" s="234">
        <f t="shared" si="36"/>
        <v>6.730518067043971E-2</v>
      </c>
      <c r="AO21" s="234">
        <f t="shared" si="37"/>
        <v>1.001306051371354E-3</v>
      </c>
      <c r="AP21" s="234">
        <f t="shared" si="38"/>
        <v>0.56151501959077055</v>
      </c>
      <c r="AQ21" s="234">
        <f t="shared" si="39"/>
        <v>0</v>
      </c>
      <c r="AR21" s="234">
        <f t="shared" si="40"/>
        <v>0</v>
      </c>
      <c r="AS21" s="234">
        <f t="shared" si="41"/>
        <v>1.30605137135394E-4</v>
      </c>
      <c r="AT21" s="234">
        <f t="shared" si="42"/>
        <v>2.1767522855898999E-3</v>
      </c>
      <c r="AU21" s="234">
        <f t="shared" si="43"/>
        <v>0.22921201567261645</v>
      </c>
      <c r="AV21" s="237">
        <f t="shared" si="22"/>
        <v>1</v>
      </c>
    </row>
    <row r="22" spans="2:48" x14ac:dyDescent="0.25">
      <c r="B22" s="223" t="s">
        <v>499</v>
      </c>
      <c r="C22" s="244">
        <f>CountyFlows_input!B19</f>
        <v>0</v>
      </c>
      <c r="D22" s="225">
        <f>CountyFlows_input!C19</f>
        <v>5350</v>
      </c>
      <c r="E22" s="225">
        <f>CountyFlows_input!D19</f>
        <v>0</v>
      </c>
      <c r="F22" s="225">
        <f>CountyFlows_input!E19</f>
        <v>242</v>
      </c>
      <c r="G22" s="225">
        <f>CountyFlows_input!F19</f>
        <v>27</v>
      </c>
      <c r="H22" s="225">
        <f>CountyFlows_input!G19</f>
        <v>11</v>
      </c>
      <c r="I22" s="225">
        <f>CountyFlows_input!H19</f>
        <v>0</v>
      </c>
      <c r="J22" s="225">
        <f>CountyFlows_input!I19</f>
        <v>0</v>
      </c>
      <c r="K22" s="225">
        <f>CountyFlows_input!J19</f>
        <v>0</v>
      </c>
      <c r="L22" s="225">
        <f>CountyFlows_input!K19</f>
        <v>85</v>
      </c>
      <c r="M22" s="225">
        <f>CountyFlows_input!L19</f>
        <v>22306</v>
      </c>
      <c r="N22" s="225">
        <f>CountyFlows_input!M19</f>
        <v>4089</v>
      </c>
      <c r="O22" s="225">
        <f>CountyFlows_input!N19</f>
        <v>6</v>
      </c>
      <c r="P22" s="225">
        <f>CountyFlows_input!O19</f>
        <v>0</v>
      </c>
      <c r="Q22" s="225">
        <f>CountyFlows_input!P19</f>
        <v>14</v>
      </c>
      <c r="R22" s="225">
        <f>CountyFlows_input!Q19</f>
        <v>0</v>
      </c>
      <c r="S22" s="224">
        <f>CountyFlows_input!R19</f>
        <v>40786</v>
      </c>
      <c r="T22" s="225">
        <f>CountyFlows_input!S19</f>
        <v>0</v>
      </c>
      <c r="U22" s="225">
        <f>CountyFlows_input!T19</f>
        <v>0</v>
      </c>
      <c r="V22" s="225">
        <f>CountyFlows_input!U19</f>
        <v>468</v>
      </c>
      <c r="W22" s="245">
        <f>CountyFlows_input!V19</f>
        <v>0</v>
      </c>
      <c r="X22" s="226">
        <f t="shared" si="0"/>
        <v>73384</v>
      </c>
      <c r="Z22" s="223" t="s">
        <v>499</v>
      </c>
      <c r="AA22" s="233">
        <f t="shared" si="23"/>
        <v>0</v>
      </c>
      <c r="AB22" s="234">
        <f t="shared" si="24"/>
        <v>7.2904175297067483E-2</v>
      </c>
      <c r="AC22" s="234">
        <f t="shared" si="25"/>
        <v>0</v>
      </c>
      <c r="AD22" s="234">
        <f t="shared" si="26"/>
        <v>3.2977215741851083E-3</v>
      </c>
      <c r="AE22" s="234">
        <f t="shared" si="27"/>
        <v>3.6792761364875176E-4</v>
      </c>
      <c r="AF22" s="234">
        <f t="shared" si="28"/>
        <v>1.4989643519023222E-4</v>
      </c>
      <c r="AG22" s="234">
        <f t="shared" si="29"/>
        <v>0</v>
      </c>
      <c r="AH22" s="234">
        <f t="shared" si="30"/>
        <v>0</v>
      </c>
      <c r="AI22" s="234">
        <f t="shared" si="31"/>
        <v>0</v>
      </c>
      <c r="AJ22" s="234">
        <f t="shared" si="32"/>
        <v>1.1582906355608851E-3</v>
      </c>
      <c r="AK22" s="234">
        <f t="shared" si="33"/>
        <v>0.30396271666848357</v>
      </c>
      <c r="AL22" s="234">
        <f t="shared" si="34"/>
        <v>5.5720593044805408E-2</v>
      </c>
      <c r="AM22" s="234">
        <f t="shared" si="35"/>
        <v>8.1761691921944835E-5</v>
      </c>
      <c r="AN22" s="234">
        <f t="shared" si="36"/>
        <v>0</v>
      </c>
      <c r="AO22" s="234">
        <f t="shared" si="37"/>
        <v>1.9077728115120463E-4</v>
      </c>
      <c r="AP22" s="234">
        <f t="shared" si="38"/>
        <v>0</v>
      </c>
      <c r="AQ22" s="234">
        <f t="shared" si="39"/>
        <v>0.55578872778807364</v>
      </c>
      <c r="AR22" s="234">
        <f t="shared" si="40"/>
        <v>0</v>
      </c>
      <c r="AS22" s="234">
        <f t="shared" si="41"/>
        <v>0</v>
      </c>
      <c r="AT22" s="234">
        <f t="shared" si="42"/>
        <v>6.3774119699116973E-3</v>
      </c>
      <c r="AU22" s="234">
        <f t="shared" si="43"/>
        <v>0</v>
      </c>
      <c r="AV22" s="237">
        <f t="shared" si="22"/>
        <v>0.99999999999999989</v>
      </c>
    </row>
    <row r="23" spans="2:48" x14ac:dyDescent="0.25">
      <c r="B23" s="223" t="s">
        <v>500</v>
      </c>
      <c r="C23" s="244">
        <f>CountyFlows_input!B20</f>
        <v>23</v>
      </c>
      <c r="D23" s="225">
        <f>CountyFlows_input!C20</f>
        <v>583</v>
      </c>
      <c r="E23" s="225">
        <f>CountyFlows_input!D20</f>
        <v>0</v>
      </c>
      <c r="F23" s="225">
        <f>CountyFlows_input!E20</f>
        <v>39</v>
      </c>
      <c r="G23" s="225">
        <f>CountyFlows_input!F20</f>
        <v>0</v>
      </c>
      <c r="H23" s="225">
        <f>CountyFlows_input!G20</f>
        <v>0</v>
      </c>
      <c r="I23" s="225">
        <f>CountyFlows_input!H20</f>
        <v>0</v>
      </c>
      <c r="J23" s="225">
        <f>CountyFlows_input!I20</f>
        <v>0</v>
      </c>
      <c r="K23" s="225">
        <f>CountyFlows_input!J20</f>
        <v>6548</v>
      </c>
      <c r="L23" s="225">
        <f>CountyFlows_input!K20</f>
        <v>1743</v>
      </c>
      <c r="M23" s="225">
        <f>CountyFlows_input!L20</f>
        <v>10</v>
      </c>
      <c r="N23" s="225">
        <f>CountyFlows_input!M20</f>
        <v>0</v>
      </c>
      <c r="O23" s="225">
        <f>CountyFlows_input!N20</f>
        <v>0</v>
      </c>
      <c r="P23" s="225">
        <f>CountyFlows_input!O20</f>
        <v>0</v>
      </c>
      <c r="Q23" s="225">
        <f>CountyFlows_input!P20</f>
        <v>51</v>
      </c>
      <c r="R23" s="225">
        <f>CountyFlows_input!Q20</f>
        <v>0</v>
      </c>
      <c r="S23" s="225">
        <f>CountyFlows_input!R20</f>
        <v>0</v>
      </c>
      <c r="T23" s="224">
        <f>CountyFlows_input!S20</f>
        <v>56684</v>
      </c>
      <c r="U23" s="225">
        <f>CountyFlows_input!T20</f>
        <v>2102</v>
      </c>
      <c r="V23" s="225">
        <f>CountyFlows_input!U20</f>
        <v>23</v>
      </c>
      <c r="W23" s="245">
        <f>CountyFlows_input!V20</f>
        <v>10</v>
      </c>
      <c r="X23" s="226">
        <f t="shared" si="0"/>
        <v>67816</v>
      </c>
      <c r="Z23" s="223" t="s">
        <v>500</v>
      </c>
      <c r="AA23" s="233">
        <f t="shared" si="23"/>
        <v>3.3915300224135898E-4</v>
      </c>
      <c r="AB23" s="234">
        <f t="shared" si="24"/>
        <v>8.5967913176831431E-3</v>
      </c>
      <c r="AC23" s="234">
        <f t="shared" si="25"/>
        <v>0</v>
      </c>
      <c r="AD23" s="234">
        <f t="shared" si="26"/>
        <v>5.7508552553969567E-4</v>
      </c>
      <c r="AE23" s="234">
        <f t="shared" si="27"/>
        <v>0</v>
      </c>
      <c r="AF23" s="234">
        <f t="shared" si="28"/>
        <v>0</v>
      </c>
      <c r="AG23" s="234">
        <f t="shared" si="29"/>
        <v>0</v>
      </c>
      <c r="AH23" s="234">
        <f t="shared" si="30"/>
        <v>0</v>
      </c>
      <c r="AI23" s="234">
        <f t="shared" si="31"/>
        <v>9.6555385159844284E-2</v>
      </c>
      <c r="AJ23" s="234">
        <f t="shared" si="32"/>
        <v>2.5701899256812551E-2</v>
      </c>
      <c r="AK23" s="234">
        <f t="shared" si="33"/>
        <v>1.4745782706146042E-4</v>
      </c>
      <c r="AL23" s="234">
        <f t="shared" si="34"/>
        <v>0</v>
      </c>
      <c r="AM23" s="234">
        <f t="shared" si="35"/>
        <v>0</v>
      </c>
      <c r="AN23" s="234">
        <f t="shared" si="36"/>
        <v>0</v>
      </c>
      <c r="AO23" s="234">
        <f t="shared" si="37"/>
        <v>7.5203491801344819E-4</v>
      </c>
      <c r="AP23" s="234">
        <f t="shared" si="38"/>
        <v>0</v>
      </c>
      <c r="AQ23" s="234">
        <f t="shared" si="39"/>
        <v>0</v>
      </c>
      <c r="AR23" s="234">
        <f t="shared" si="40"/>
        <v>0.83584994691518222</v>
      </c>
      <c r="AS23" s="234">
        <f t="shared" si="41"/>
        <v>3.0995635248318981E-2</v>
      </c>
      <c r="AT23" s="234">
        <f t="shared" si="42"/>
        <v>3.3915300224135898E-4</v>
      </c>
      <c r="AU23" s="234">
        <f t="shared" si="43"/>
        <v>1.4745782706146042E-4</v>
      </c>
      <c r="AV23" s="237">
        <f t="shared" si="22"/>
        <v>1</v>
      </c>
    </row>
    <row r="24" spans="2:48" x14ac:dyDescent="0.25">
      <c r="B24" s="223" t="s">
        <v>501</v>
      </c>
      <c r="C24" s="244">
        <f>CountyFlows_input!B21</f>
        <v>128</v>
      </c>
      <c r="D24" s="225">
        <f>CountyFlows_input!C21</f>
        <v>944</v>
      </c>
      <c r="E24" s="225">
        <f>CountyFlows_input!D21</f>
        <v>10</v>
      </c>
      <c r="F24" s="225">
        <f>CountyFlows_input!E21</f>
        <v>134</v>
      </c>
      <c r="G24" s="225">
        <f>CountyFlows_input!F21</f>
        <v>0</v>
      </c>
      <c r="H24" s="225">
        <f>CountyFlows_input!G21</f>
        <v>87</v>
      </c>
      <c r="I24" s="225">
        <f>CountyFlows_input!H21</f>
        <v>0</v>
      </c>
      <c r="J24" s="225">
        <f>CountyFlows_input!I21</f>
        <v>2</v>
      </c>
      <c r="K24" s="225">
        <f>CountyFlows_input!J21</f>
        <v>745</v>
      </c>
      <c r="L24" s="225">
        <f>CountyFlows_input!K21</f>
        <v>1295</v>
      </c>
      <c r="M24" s="225">
        <f>CountyFlows_input!L21</f>
        <v>14</v>
      </c>
      <c r="N24" s="225">
        <f>CountyFlows_input!M21</f>
        <v>0</v>
      </c>
      <c r="O24" s="225">
        <f>CountyFlows_input!N21</f>
        <v>0</v>
      </c>
      <c r="P24" s="225">
        <f>CountyFlows_input!O21</f>
        <v>0</v>
      </c>
      <c r="Q24" s="225">
        <f>CountyFlows_input!P21</f>
        <v>2477</v>
      </c>
      <c r="R24" s="225">
        <f>CountyFlows_input!Q21</f>
        <v>0</v>
      </c>
      <c r="S24" s="225">
        <f>CountyFlows_input!R21</f>
        <v>0</v>
      </c>
      <c r="T24" s="225">
        <f>CountyFlows_input!S21</f>
        <v>2546</v>
      </c>
      <c r="U24" s="224">
        <f>CountyFlows_input!T21</f>
        <v>31380</v>
      </c>
      <c r="V24" s="225">
        <f>CountyFlows_input!U21</f>
        <v>9</v>
      </c>
      <c r="W24" s="245">
        <f>CountyFlows_input!V21</f>
        <v>251</v>
      </c>
      <c r="X24" s="226">
        <f t="shared" si="0"/>
        <v>40022</v>
      </c>
      <c r="Z24" s="223" t="s">
        <v>501</v>
      </c>
      <c r="AA24" s="233">
        <f t="shared" si="23"/>
        <v>3.1982409674678925E-3</v>
      </c>
      <c r="AB24" s="234">
        <f t="shared" si="24"/>
        <v>2.3587027135075708E-2</v>
      </c>
      <c r="AC24" s="234">
        <f t="shared" si="25"/>
        <v>2.4986257558342912E-4</v>
      </c>
      <c r="AD24" s="234">
        <f t="shared" si="26"/>
        <v>3.3481585128179499E-3</v>
      </c>
      <c r="AE24" s="234">
        <f t="shared" si="27"/>
        <v>0</v>
      </c>
      <c r="AF24" s="234">
        <f t="shared" si="28"/>
        <v>2.1738044075758334E-3</v>
      </c>
      <c r="AG24" s="234">
        <f t="shared" si="29"/>
        <v>0</v>
      </c>
      <c r="AH24" s="234">
        <f t="shared" si="30"/>
        <v>4.997251511668582E-5</v>
      </c>
      <c r="AI24" s="234">
        <f t="shared" si="31"/>
        <v>1.8614761880965468E-2</v>
      </c>
      <c r="AJ24" s="234">
        <f t="shared" si="32"/>
        <v>3.2357203538054068E-2</v>
      </c>
      <c r="AK24" s="234">
        <f t="shared" si="33"/>
        <v>3.4980760581680074E-4</v>
      </c>
      <c r="AL24" s="234">
        <f t="shared" si="34"/>
        <v>0</v>
      </c>
      <c r="AM24" s="234">
        <f t="shared" si="35"/>
        <v>0</v>
      </c>
      <c r="AN24" s="234">
        <f t="shared" si="36"/>
        <v>0</v>
      </c>
      <c r="AO24" s="234">
        <f t="shared" si="37"/>
        <v>6.1890959972015394E-2</v>
      </c>
      <c r="AP24" s="234">
        <f t="shared" si="38"/>
        <v>0</v>
      </c>
      <c r="AQ24" s="234">
        <f t="shared" si="39"/>
        <v>0</v>
      </c>
      <c r="AR24" s="234">
        <f t="shared" si="40"/>
        <v>6.3615011743541047E-2</v>
      </c>
      <c r="AS24" s="234">
        <f t="shared" si="41"/>
        <v>0.78406876218080057</v>
      </c>
      <c r="AT24" s="234">
        <f t="shared" si="42"/>
        <v>2.2487631802508621E-4</v>
      </c>
      <c r="AU24" s="234">
        <f t="shared" si="43"/>
        <v>6.2715506471440708E-3</v>
      </c>
      <c r="AV24" s="237">
        <f t="shared" si="22"/>
        <v>0.99999999999999989</v>
      </c>
    </row>
    <row r="25" spans="2:48" x14ac:dyDescent="0.25">
      <c r="B25" s="223" t="s">
        <v>502</v>
      </c>
      <c r="C25" s="244">
        <f>CountyFlows_input!B22</f>
        <v>0</v>
      </c>
      <c r="D25" s="225">
        <f>CountyFlows_input!C22</f>
        <v>90306</v>
      </c>
      <c r="E25" s="225">
        <f>CountyFlows_input!D22</f>
        <v>175</v>
      </c>
      <c r="F25" s="225">
        <f>CountyFlows_input!E22</f>
        <v>55308</v>
      </c>
      <c r="G25" s="225">
        <f>CountyFlows_input!F22</f>
        <v>3127</v>
      </c>
      <c r="H25" s="225">
        <f>CountyFlows_input!G22</f>
        <v>4974</v>
      </c>
      <c r="I25" s="225">
        <f>CountyFlows_input!H22</f>
        <v>2159</v>
      </c>
      <c r="J25" s="225">
        <f>CountyFlows_input!I22</f>
        <v>2469</v>
      </c>
      <c r="K25" s="225">
        <f>CountyFlows_input!J22</f>
        <v>7</v>
      </c>
      <c r="L25" s="225">
        <f>CountyFlows_input!K22</f>
        <v>1361</v>
      </c>
      <c r="M25" s="225">
        <f>CountyFlows_input!L22</f>
        <v>2470</v>
      </c>
      <c r="N25" s="225">
        <f>CountyFlows_input!M22</f>
        <v>23</v>
      </c>
      <c r="O25" s="225">
        <f>CountyFlows_input!N22</f>
        <v>407</v>
      </c>
      <c r="P25" s="225">
        <f>CountyFlows_input!O22</f>
        <v>15</v>
      </c>
      <c r="Q25" s="225">
        <f>CountyFlows_input!P22</f>
        <v>219</v>
      </c>
      <c r="R25" s="225">
        <f>CountyFlows_input!Q22</f>
        <v>34</v>
      </c>
      <c r="S25" s="225">
        <f>CountyFlows_input!R22</f>
        <v>211</v>
      </c>
      <c r="T25" s="225">
        <f>CountyFlows_input!S22</f>
        <v>31</v>
      </c>
      <c r="U25" s="225">
        <f>CountyFlows_input!T22</f>
        <v>0</v>
      </c>
      <c r="V25" s="224">
        <f>CountyFlows_input!U22</f>
        <v>150329</v>
      </c>
      <c r="W25" s="245">
        <f>CountyFlows_input!V22</f>
        <v>73</v>
      </c>
      <c r="X25" s="226">
        <f t="shared" si="0"/>
        <v>313698</v>
      </c>
      <c r="Z25" s="223" t="s">
        <v>502</v>
      </c>
      <c r="AA25" s="233">
        <f t="shared" si="23"/>
        <v>0</v>
      </c>
      <c r="AB25" s="234">
        <f t="shared" si="24"/>
        <v>0.28787560009945873</v>
      </c>
      <c r="AC25" s="234">
        <f t="shared" si="25"/>
        <v>5.5786138260365068E-4</v>
      </c>
      <c r="AD25" s="234">
        <f t="shared" si="26"/>
        <v>0.17630969913738692</v>
      </c>
      <c r="AE25" s="234">
        <f t="shared" si="27"/>
        <v>9.9681859622949461E-3</v>
      </c>
      <c r="AF25" s="234">
        <f t="shared" si="28"/>
        <v>1.5856014383260335E-2</v>
      </c>
      <c r="AG25" s="234">
        <f t="shared" si="29"/>
        <v>6.8824155716644669E-3</v>
      </c>
      <c r="AH25" s="234">
        <f t="shared" si="30"/>
        <v>7.8706271637052194E-3</v>
      </c>
      <c r="AI25" s="234">
        <f t="shared" si="31"/>
        <v>2.2314455304146026E-5</v>
      </c>
      <c r="AJ25" s="234">
        <f t="shared" si="32"/>
        <v>4.3385676669918201E-3</v>
      </c>
      <c r="AK25" s="234">
        <f t="shared" si="33"/>
        <v>7.873814943034383E-3</v>
      </c>
      <c r="AL25" s="234">
        <f t="shared" si="34"/>
        <v>7.3318924570765507E-5</v>
      </c>
      <c r="AM25" s="234">
        <f t="shared" si="35"/>
        <v>1.2974261869696333E-3</v>
      </c>
      <c r="AN25" s="234">
        <f t="shared" si="36"/>
        <v>4.781668993745577E-5</v>
      </c>
      <c r="AO25" s="234">
        <f t="shared" si="37"/>
        <v>6.9812367308685419E-4</v>
      </c>
      <c r="AP25" s="234">
        <f t="shared" si="38"/>
        <v>1.0838449719156641E-4</v>
      </c>
      <c r="AQ25" s="234">
        <f t="shared" si="39"/>
        <v>6.726214384535445E-4</v>
      </c>
      <c r="AR25" s="234">
        <f t="shared" si="40"/>
        <v>9.8821159204075251E-5</v>
      </c>
      <c r="AS25" s="234">
        <f t="shared" si="41"/>
        <v>0</v>
      </c>
      <c r="AT25" s="234">
        <f t="shared" si="42"/>
        <v>0.47921567877385257</v>
      </c>
      <c r="AU25" s="234">
        <f t="shared" si="43"/>
        <v>2.3270789102895141E-4</v>
      </c>
      <c r="AV25" s="237">
        <f t="shared" si="22"/>
        <v>1</v>
      </c>
    </row>
    <row r="26" spans="2:48" x14ac:dyDescent="0.25">
      <c r="B26" s="223" t="s">
        <v>503</v>
      </c>
      <c r="C26" s="246">
        <f>CountyFlows_input!B23</f>
        <v>5724</v>
      </c>
      <c r="D26" s="247">
        <f>CountyFlows_input!C23</f>
        <v>2057</v>
      </c>
      <c r="E26" s="247">
        <f>CountyFlows_input!D23</f>
        <v>1012</v>
      </c>
      <c r="F26" s="247">
        <f>CountyFlows_input!E23</f>
        <v>743</v>
      </c>
      <c r="G26" s="247">
        <f>CountyFlows_input!F23</f>
        <v>0</v>
      </c>
      <c r="H26" s="247">
        <f>CountyFlows_input!G23</f>
        <v>1054</v>
      </c>
      <c r="I26" s="247">
        <f>CountyFlows_input!H23</f>
        <v>16</v>
      </c>
      <c r="J26" s="247">
        <f>CountyFlows_input!I23</f>
        <v>33</v>
      </c>
      <c r="K26" s="247">
        <f>CountyFlows_input!J23</f>
        <v>65</v>
      </c>
      <c r="L26" s="247">
        <f>CountyFlows_input!K23</f>
        <v>198</v>
      </c>
      <c r="M26" s="247">
        <f>CountyFlows_input!L23</f>
        <v>53</v>
      </c>
      <c r="N26" s="247">
        <f>CountyFlows_input!M23</f>
        <v>0</v>
      </c>
      <c r="O26" s="247">
        <f>CountyFlows_input!N23</f>
        <v>66</v>
      </c>
      <c r="P26" s="247">
        <f>CountyFlows_input!O23</f>
        <v>95</v>
      </c>
      <c r="Q26" s="247">
        <f>CountyFlows_input!P23</f>
        <v>1277</v>
      </c>
      <c r="R26" s="247">
        <f>CountyFlows_input!Q23</f>
        <v>1475</v>
      </c>
      <c r="S26" s="247">
        <f>CountyFlows_input!R23</f>
        <v>0</v>
      </c>
      <c r="T26" s="247">
        <f>CountyFlows_input!S23</f>
        <v>17</v>
      </c>
      <c r="U26" s="247">
        <f>CountyFlows_input!T23</f>
        <v>218</v>
      </c>
      <c r="V26" s="247">
        <f>CountyFlows_input!U23</f>
        <v>38</v>
      </c>
      <c r="W26" s="248">
        <f>CountyFlows_input!V23</f>
        <v>106575</v>
      </c>
      <c r="X26" s="226">
        <f t="shared" si="0"/>
        <v>120716</v>
      </c>
      <c r="Z26" s="223" t="s">
        <v>503</v>
      </c>
      <c r="AA26" s="233">
        <f t="shared" si="23"/>
        <v>4.7417078100666026E-2</v>
      </c>
      <c r="AB26" s="234">
        <f t="shared" si="24"/>
        <v>1.7039994698300143E-2</v>
      </c>
      <c r="AC26" s="234">
        <f t="shared" si="25"/>
        <v>8.3833128996984654E-3</v>
      </c>
      <c r="AD26" s="234">
        <f t="shared" si="26"/>
        <v>6.1549421783359285E-3</v>
      </c>
      <c r="AE26" s="234">
        <f t="shared" si="27"/>
        <v>0</v>
      </c>
      <c r="AF26" s="234">
        <f t="shared" si="28"/>
        <v>8.731236952848007E-3</v>
      </c>
      <c r="AG26" s="234">
        <f t="shared" si="29"/>
        <v>1.325424964379204E-4</v>
      </c>
      <c r="AH26" s="234">
        <f t="shared" si="30"/>
        <v>2.7336889890321083E-4</v>
      </c>
      <c r="AI26" s="234">
        <f t="shared" si="31"/>
        <v>5.3845389177905169E-4</v>
      </c>
      <c r="AJ26" s="234">
        <f t="shared" si="32"/>
        <v>1.640213393419265E-3</v>
      </c>
      <c r="AK26" s="234">
        <f t="shared" si="33"/>
        <v>4.3904701945061134E-4</v>
      </c>
      <c r="AL26" s="234">
        <f t="shared" si="34"/>
        <v>0</v>
      </c>
      <c r="AM26" s="234">
        <f t="shared" si="35"/>
        <v>5.4673779780642167E-4</v>
      </c>
      <c r="AN26" s="234">
        <f t="shared" si="36"/>
        <v>7.8697107260015248E-4</v>
      </c>
      <c r="AO26" s="234">
        <f t="shared" si="37"/>
        <v>1.0578547996951522E-2</v>
      </c>
      <c r="AP26" s="234">
        <f t="shared" si="38"/>
        <v>1.2218761390370788E-2</v>
      </c>
      <c r="AQ26" s="234">
        <f t="shared" si="39"/>
        <v>0</v>
      </c>
      <c r="AR26" s="234">
        <f t="shared" si="40"/>
        <v>1.4082640246529043E-4</v>
      </c>
      <c r="AS26" s="234">
        <f t="shared" si="41"/>
        <v>1.8058915139666655E-3</v>
      </c>
      <c r="AT26" s="234">
        <f t="shared" si="42"/>
        <v>3.1478842904006095E-4</v>
      </c>
      <c r="AU26" s="234">
        <f t="shared" si="43"/>
        <v>0.88285728486696047</v>
      </c>
      <c r="AV26" s="237">
        <f t="shared" si="22"/>
        <v>1</v>
      </c>
    </row>
    <row r="27" spans="2:48" ht="15.75" thickBot="1" x14ac:dyDescent="0.3">
      <c r="B27" s="229" t="s">
        <v>29</v>
      </c>
      <c r="C27" s="230">
        <f t="shared" ref="C27:X27" si="44">SUM(C6:C26)</f>
        <v>14962</v>
      </c>
      <c r="D27" s="230">
        <f t="shared" si="44"/>
        <v>2515344</v>
      </c>
      <c r="E27" s="230">
        <f t="shared" si="44"/>
        <v>39887</v>
      </c>
      <c r="F27" s="230">
        <f t="shared" si="44"/>
        <v>548796</v>
      </c>
      <c r="G27" s="230">
        <f t="shared" si="44"/>
        <v>16027</v>
      </c>
      <c r="H27" s="230">
        <f t="shared" si="44"/>
        <v>207614</v>
      </c>
      <c r="I27" s="230">
        <f t="shared" si="44"/>
        <v>40697</v>
      </c>
      <c r="J27" s="230">
        <f t="shared" si="44"/>
        <v>29527</v>
      </c>
      <c r="K27" s="230">
        <f t="shared" si="44"/>
        <v>54656</v>
      </c>
      <c r="L27" s="230">
        <f t="shared" si="44"/>
        <v>349038</v>
      </c>
      <c r="M27" s="230">
        <f t="shared" ref="M27" si="45">SUM(M6:M26)</f>
        <v>186792</v>
      </c>
      <c r="N27" s="230">
        <f t="shared" si="44"/>
        <v>38049</v>
      </c>
      <c r="O27" s="230">
        <f t="shared" si="44"/>
        <v>39140</v>
      </c>
      <c r="P27" s="230">
        <f t="shared" si="44"/>
        <v>11422</v>
      </c>
      <c r="Q27" s="230">
        <f t="shared" si="44"/>
        <v>104083</v>
      </c>
      <c r="R27" s="230">
        <f t="shared" si="44"/>
        <v>17011</v>
      </c>
      <c r="S27" s="230">
        <f t="shared" si="44"/>
        <v>55186</v>
      </c>
      <c r="T27" s="230">
        <f t="shared" si="44"/>
        <v>68104</v>
      </c>
      <c r="U27" s="230">
        <f t="shared" si="44"/>
        <v>36532</v>
      </c>
      <c r="V27" s="230">
        <f t="shared" si="44"/>
        <v>234412</v>
      </c>
      <c r="W27" s="230">
        <f t="shared" si="44"/>
        <v>124616</v>
      </c>
      <c r="X27" s="231">
        <f t="shared" si="44"/>
        <v>4731895</v>
      </c>
      <c r="Z27" s="229" t="s">
        <v>29</v>
      </c>
      <c r="AA27" s="238">
        <f t="shared" si="1"/>
        <v>3.1619467464937411E-3</v>
      </c>
      <c r="AB27" s="238">
        <f t="shared" ref="AB27" si="46">IF($X27&gt;0,D27/$X27,"")</f>
        <v>0.53157223480233606</v>
      </c>
      <c r="AC27" s="238">
        <f t="shared" ref="AC27" si="47">IF($X27&gt;0,E27/$X27,"")</f>
        <v>8.4293924527065796E-3</v>
      </c>
      <c r="AD27" s="238">
        <f t="shared" ref="AD27" si="48">IF($X27&gt;0,F27/$X27,"")</f>
        <v>0.11597805953006142</v>
      </c>
      <c r="AE27" s="238">
        <f t="shared" ref="AE27" si="49">IF($X27&gt;0,G27/$X27,"")</f>
        <v>3.387015138755192E-3</v>
      </c>
      <c r="AF27" s="238">
        <f t="shared" ref="AF27" si="50">IF($X27&gt;0,H27/$X27,"")</f>
        <v>4.3875445249736099E-2</v>
      </c>
      <c r="AG27" s="238">
        <f t="shared" ref="AG27" si="51">IF($X27&gt;0,I27/$X27,"")</f>
        <v>8.6005712299195135E-3</v>
      </c>
      <c r="AH27" s="238">
        <f t="shared" ref="AH27" si="52">IF($X27&gt;0,J27/$X27,"")</f>
        <v>6.2399947589707721E-3</v>
      </c>
      <c r="AI27" s="238">
        <f t="shared" ref="AI27" si="53">IF($X27&gt;0,K27/$X27,"")</f>
        <v>1.1550552157222423E-2</v>
      </c>
      <c r="AJ27" s="238">
        <f t="shared" ref="AJ27:AK27" si="54">IF($X27&gt;0,L27/$X27,"")</f>
        <v>7.3762837087467073E-2</v>
      </c>
      <c r="AK27" s="238">
        <f t="shared" si="54"/>
        <v>3.9475094016245077E-2</v>
      </c>
      <c r="AL27" s="238">
        <f t="shared" ref="AL27" si="55">IF($X27&gt;0,N27/$X27,"")</f>
        <v>8.0409645607098217E-3</v>
      </c>
      <c r="AM27" s="238">
        <f t="shared" ref="AM27" si="56">IF($X27&gt;0,O27/$X27,"")</f>
        <v>8.2715275803879849E-3</v>
      </c>
      <c r="AN27" s="238">
        <f t="shared" ref="AN27" si="57">IF($X27&gt;0,P27/$X27,"")</f>
        <v>2.4138320905260999E-3</v>
      </c>
      <c r="AO27" s="238">
        <f t="shared" ref="AO27" si="58">IF($X27&gt;0,Q27/$X27,"")</f>
        <v>2.1996050208214678E-2</v>
      </c>
      <c r="AP27" s="238">
        <f t="shared" ref="AP27" si="59">IF($X27&gt;0,R27/$X27,"")</f>
        <v>3.59496565329535E-3</v>
      </c>
      <c r="AQ27" s="238">
        <f t="shared" ref="AQ27" si="60">IF($X27&gt;0,S27/$X27,"")</f>
        <v>1.1662558023793851E-2</v>
      </c>
      <c r="AR27" s="238">
        <f t="shared" ref="AR27" si="61">IF($X27&gt;0,T27/$X27,"")</f>
        <v>1.4392542522604581E-2</v>
      </c>
      <c r="AS27" s="238">
        <f t="shared" ref="AS27" si="62">IF($X27&gt;0,U27/$X27,"")</f>
        <v>7.7203741841270776E-3</v>
      </c>
      <c r="AT27" s="238">
        <f t="shared" ref="AT27" si="63">IF($X27&gt;0,V27/$X27,"")</f>
        <v>4.9538715461775885E-2</v>
      </c>
      <c r="AU27" s="238">
        <f t="shared" ref="AU27" si="64">IF($X27&gt;0,W27/$X27,"")</f>
        <v>2.6335326544650716E-2</v>
      </c>
      <c r="AV27" s="239">
        <f t="shared" si="22"/>
        <v>1</v>
      </c>
    </row>
    <row r="28" spans="2:48" ht="16.5" thickTop="1" thickBot="1" x14ac:dyDescent="0.3">
      <c r="B28" s="263" t="s">
        <v>514</v>
      </c>
      <c r="C28" s="264">
        <v>12659</v>
      </c>
      <c r="D28" s="264">
        <v>2379923</v>
      </c>
      <c r="E28" s="264">
        <v>27892</v>
      </c>
      <c r="F28" s="264">
        <v>608709</v>
      </c>
      <c r="G28" s="264">
        <v>16450</v>
      </c>
      <c r="H28" s="264">
        <v>186768</v>
      </c>
      <c r="I28" s="264">
        <v>42603</v>
      </c>
      <c r="J28" s="264">
        <v>22066</v>
      </c>
      <c r="K28" s="264">
        <v>47143</v>
      </c>
      <c r="L28" s="264">
        <v>504832</v>
      </c>
      <c r="M28" s="264">
        <v>504833</v>
      </c>
      <c r="N28" s="264">
        <v>41499</v>
      </c>
      <c r="O28" s="264">
        <v>36263</v>
      </c>
      <c r="P28" s="264">
        <v>257</v>
      </c>
      <c r="Q28" s="264">
        <v>88947</v>
      </c>
      <c r="R28" s="264">
        <v>5451</v>
      </c>
      <c r="S28" s="264">
        <v>56061</v>
      </c>
      <c r="T28" s="264">
        <v>73000</v>
      </c>
      <c r="U28" s="264">
        <v>34319</v>
      </c>
      <c r="V28" s="264">
        <v>201854</v>
      </c>
      <c r="W28" s="264">
        <v>128036</v>
      </c>
      <c r="X28" s="265">
        <f>SUM(C28:W28)</f>
        <v>5019565</v>
      </c>
      <c r="Z28" s="258"/>
      <c r="AA28" s="259"/>
      <c r="AB28" s="259"/>
      <c r="AC28" s="259"/>
      <c r="AD28" s="259"/>
      <c r="AE28" s="259"/>
      <c r="AF28" s="259"/>
      <c r="AG28" s="259"/>
      <c r="AH28" s="259"/>
      <c r="AI28" s="259"/>
      <c r="AJ28" s="259"/>
      <c r="AK28" s="259"/>
      <c r="AL28" s="259"/>
      <c r="AM28" s="259"/>
      <c r="AN28" s="259"/>
      <c r="AO28" s="259"/>
      <c r="AP28" s="259"/>
      <c r="AQ28" s="259"/>
      <c r="AR28" s="259"/>
      <c r="AS28" s="259"/>
      <c r="AT28" s="259"/>
      <c r="AU28" s="259"/>
      <c r="AV28" s="260"/>
    </row>
    <row r="29" spans="2:48" ht="24" thickTop="1" x14ac:dyDescent="0.35">
      <c r="B29" s="232" t="s">
        <v>200</v>
      </c>
    </row>
    <row r="30" spans="2:48" ht="18.75" x14ac:dyDescent="0.3">
      <c r="B30" s="373" t="s">
        <v>504</v>
      </c>
      <c r="C30" s="375" t="s">
        <v>505</v>
      </c>
      <c r="D30" s="375"/>
      <c r="E30" s="375"/>
      <c r="F30" s="375"/>
      <c r="G30" s="375"/>
      <c r="H30" s="375"/>
      <c r="I30" s="375"/>
      <c r="J30" s="375"/>
      <c r="K30" s="375"/>
      <c r="L30" s="375"/>
      <c r="M30" s="375"/>
      <c r="N30" s="375"/>
      <c r="O30" s="375"/>
      <c r="P30" s="375"/>
      <c r="Q30" s="375"/>
      <c r="R30" s="375"/>
      <c r="S30" s="375"/>
      <c r="T30" s="375"/>
      <c r="U30" s="375"/>
      <c r="V30" s="375"/>
      <c r="W30" s="376"/>
      <c r="X30" s="377" t="s">
        <v>29</v>
      </c>
      <c r="Z30" s="373" t="s">
        <v>454</v>
      </c>
      <c r="AA30" s="375" t="s">
        <v>455</v>
      </c>
      <c r="AB30" s="375"/>
      <c r="AC30" s="375"/>
      <c r="AD30" s="375"/>
      <c r="AE30" s="375"/>
      <c r="AF30" s="375"/>
      <c r="AG30" s="375"/>
      <c r="AH30" s="375"/>
      <c r="AI30" s="375"/>
      <c r="AJ30" s="375"/>
      <c r="AK30" s="375"/>
      <c r="AL30" s="375"/>
      <c r="AM30" s="375"/>
      <c r="AN30" s="375"/>
      <c r="AO30" s="375"/>
      <c r="AP30" s="375"/>
      <c r="AQ30" s="375"/>
      <c r="AR30" s="375"/>
      <c r="AS30" s="375"/>
      <c r="AT30" s="375"/>
      <c r="AU30" s="376"/>
      <c r="AV30" s="377" t="s">
        <v>29</v>
      </c>
    </row>
    <row r="31" spans="2:48" x14ac:dyDescent="0.25">
      <c r="B31" s="374"/>
      <c r="C31" s="223" t="s">
        <v>484</v>
      </c>
      <c r="D31" s="223" t="s">
        <v>485</v>
      </c>
      <c r="E31" s="223" t="s">
        <v>486</v>
      </c>
      <c r="F31" s="223" t="s">
        <v>487</v>
      </c>
      <c r="G31" s="223" t="s">
        <v>488</v>
      </c>
      <c r="H31" s="223" t="s">
        <v>489</v>
      </c>
      <c r="I31" s="223" t="s">
        <v>490</v>
      </c>
      <c r="J31" s="223" t="s">
        <v>491</v>
      </c>
      <c r="K31" s="223" t="s">
        <v>492</v>
      </c>
      <c r="L31" s="223" t="s">
        <v>493</v>
      </c>
      <c r="M31" s="249" t="s">
        <v>667</v>
      </c>
      <c r="N31" s="223" t="s">
        <v>494</v>
      </c>
      <c r="O31" s="223" t="s">
        <v>495</v>
      </c>
      <c r="P31" s="223" t="s">
        <v>496</v>
      </c>
      <c r="Q31" s="223" t="s">
        <v>497</v>
      </c>
      <c r="R31" s="223" t="s">
        <v>498</v>
      </c>
      <c r="S31" s="223" t="s">
        <v>499</v>
      </c>
      <c r="T31" s="223" t="s">
        <v>500</v>
      </c>
      <c r="U31" s="223" t="s">
        <v>501</v>
      </c>
      <c r="V31" s="223" t="s">
        <v>502</v>
      </c>
      <c r="W31" s="223" t="s">
        <v>503</v>
      </c>
      <c r="X31" s="378"/>
      <c r="Z31" s="374"/>
      <c r="AA31" s="249" t="s">
        <v>484</v>
      </c>
      <c r="AB31" s="249" t="s">
        <v>485</v>
      </c>
      <c r="AC31" s="249" t="s">
        <v>486</v>
      </c>
      <c r="AD31" s="249" t="s">
        <v>487</v>
      </c>
      <c r="AE31" s="249" t="s">
        <v>488</v>
      </c>
      <c r="AF31" s="249" t="s">
        <v>489</v>
      </c>
      <c r="AG31" s="249" t="s">
        <v>490</v>
      </c>
      <c r="AH31" s="249" t="s">
        <v>491</v>
      </c>
      <c r="AI31" s="249" t="s">
        <v>492</v>
      </c>
      <c r="AJ31" s="249" t="s">
        <v>493</v>
      </c>
      <c r="AK31" s="249" t="s">
        <v>667</v>
      </c>
      <c r="AL31" s="249" t="s">
        <v>494</v>
      </c>
      <c r="AM31" s="249" t="s">
        <v>495</v>
      </c>
      <c r="AN31" s="249" t="s">
        <v>496</v>
      </c>
      <c r="AO31" s="249" t="s">
        <v>497</v>
      </c>
      <c r="AP31" s="249" t="s">
        <v>498</v>
      </c>
      <c r="AQ31" s="249" t="s">
        <v>499</v>
      </c>
      <c r="AR31" s="249" t="s">
        <v>500</v>
      </c>
      <c r="AS31" s="249" t="s">
        <v>501</v>
      </c>
      <c r="AT31" s="249" t="s">
        <v>502</v>
      </c>
      <c r="AU31" s="249" t="s">
        <v>503</v>
      </c>
      <c r="AV31" s="378"/>
    </row>
    <row r="32" spans="2:48" x14ac:dyDescent="0.25">
      <c r="B32" s="223" t="s">
        <v>484</v>
      </c>
      <c r="C32" s="224">
        <f>CountyFlows_input!B26*Index!$B$2</f>
        <v>5660</v>
      </c>
      <c r="D32" s="225">
        <f>CountyFlows_input!C26*Index!$B$2</f>
        <v>140</v>
      </c>
      <c r="E32" s="225">
        <f>CountyFlows_input!D26*Index!$B$2</f>
        <v>245</v>
      </c>
      <c r="F32" s="225">
        <f>CountyFlows_input!E26*Index!$B$2</f>
        <v>20</v>
      </c>
      <c r="G32" s="225">
        <f>CountyFlows_input!F26*Index!$B$2</f>
        <v>0</v>
      </c>
      <c r="H32" s="225">
        <f>CountyFlows_input!G26*Index!$B$2</f>
        <v>655</v>
      </c>
      <c r="I32" s="225">
        <f>CountyFlows_input!H26*Index!$B$2</f>
        <v>0</v>
      </c>
      <c r="J32" s="225">
        <f>CountyFlows_input!I26*Index!$B$2</f>
        <v>0</v>
      </c>
      <c r="K32" s="225">
        <f>CountyFlows_input!J26*Index!$B$2</f>
        <v>10</v>
      </c>
      <c r="L32" s="225">
        <f>CountyFlows_input!K26*Index!$B$2</f>
        <v>55</v>
      </c>
      <c r="M32" s="225">
        <f>CountyFlows_input!L26*Index!$B$2</f>
        <v>0</v>
      </c>
      <c r="N32" s="225">
        <f>CountyFlows_input!M26*Index!$B$2</f>
        <v>0</v>
      </c>
      <c r="O32" s="225">
        <f>CountyFlows_input!N26*Index!$B$2</f>
        <v>0</v>
      </c>
      <c r="P32" s="225">
        <f>CountyFlows_input!O26*Index!$B$2</f>
        <v>0</v>
      </c>
      <c r="Q32" s="225">
        <f>CountyFlows_input!P26*Index!$B$2</f>
        <v>2415</v>
      </c>
      <c r="R32" s="225">
        <f>CountyFlows_input!Q26*Index!$B$2</f>
        <v>25</v>
      </c>
      <c r="S32" s="225">
        <f>CountyFlows_input!R26*Index!$B$2</f>
        <v>0</v>
      </c>
      <c r="T32" s="225">
        <f>CountyFlows_input!S26*Index!$B$2</f>
        <v>5</v>
      </c>
      <c r="U32" s="225">
        <f>CountyFlows_input!T26*Index!$B$2</f>
        <v>70</v>
      </c>
      <c r="V32" s="225">
        <f>CountyFlows_input!U26*Index!$B$2</f>
        <v>0</v>
      </c>
      <c r="W32" s="225">
        <f>CountyFlows_input!V26*Index!$B$2</f>
        <v>13165</v>
      </c>
      <c r="X32" s="226">
        <f t="shared" ref="X32:X52" si="65">SUM(C32:W32)</f>
        <v>22465</v>
      </c>
      <c r="Z32" s="223" t="s">
        <v>484</v>
      </c>
      <c r="AA32" s="233">
        <f t="shared" ref="AA32:AA53" si="66">IF($X32&gt;0,C32/$X32,"")</f>
        <v>0.25194747384820831</v>
      </c>
      <c r="AB32" s="233">
        <f t="shared" ref="AB32" si="67">IF($X32&gt;0,D32/$X32,"")</f>
        <v>6.2319163142666367E-3</v>
      </c>
      <c r="AC32" s="233">
        <f t="shared" ref="AC32" si="68">IF($X32&gt;0,E32/$X32,"")</f>
        <v>1.0905853549966614E-2</v>
      </c>
      <c r="AD32" s="233">
        <f t="shared" ref="AD32" si="69">IF($X32&gt;0,F32/$X32,"")</f>
        <v>8.9027375918094816E-4</v>
      </c>
      <c r="AE32" s="233">
        <f t="shared" ref="AE32" si="70">IF($X32&gt;0,G32/$X32,"")</f>
        <v>0</v>
      </c>
      <c r="AF32" s="233">
        <f t="shared" ref="AF32" si="71">IF($X32&gt;0,H32/$X32,"")</f>
        <v>2.9156465613176051E-2</v>
      </c>
      <c r="AG32" s="233">
        <f t="shared" ref="AG32" si="72">IF($X32&gt;0,I32/$X32,"")</f>
        <v>0</v>
      </c>
      <c r="AH32" s="233">
        <f t="shared" ref="AH32" si="73">IF($X32&gt;0,J32/$X32,"")</f>
        <v>0</v>
      </c>
      <c r="AI32" s="233">
        <f t="shared" ref="AI32" si="74">IF($X32&gt;0,K32/$X32,"")</f>
        <v>4.4513687959047408E-4</v>
      </c>
      <c r="AJ32" s="233">
        <f t="shared" ref="AJ32" si="75">IF($X32&gt;0,L32/$X32,"")</f>
        <v>2.4482528377476075E-3</v>
      </c>
      <c r="AK32" s="233">
        <f t="shared" ref="AK32" si="76">IF($X32&gt;0,M32/$X32,"")</f>
        <v>0</v>
      </c>
      <c r="AL32" s="233">
        <f t="shared" ref="AL32" si="77">IF($X32&gt;0,N32/$X32,"")</f>
        <v>0</v>
      </c>
      <c r="AM32" s="233">
        <f t="shared" ref="AM32" si="78">IF($X32&gt;0,O32/$X32,"")</f>
        <v>0</v>
      </c>
      <c r="AN32" s="233">
        <f t="shared" ref="AN32" si="79">IF($X32&gt;0,P32/$X32,"")</f>
        <v>0</v>
      </c>
      <c r="AO32" s="233">
        <f t="shared" ref="AO32" si="80">IF($X32&gt;0,Q32/$X32,"")</f>
        <v>0.10750055642109949</v>
      </c>
      <c r="AP32" s="233">
        <f t="shared" ref="AP32" si="81">IF($X32&gt;0,R32/$X32,"")</f>
        <v>1.1128421989761851E-3</v>
      </c>
      <c r="AQ32" s="233">
        <f t="shared" ref="AQ32" si="82">IF($X32&gt;0,S32/$X32,"")</f>
        <v>0</v>
      </c>
      <c r="AR32" s="233">
        <f t="shared" ref="AR32" si="83">IF($X32&gt;0,T32/$X32,"")</f>
        <v>2.2256843979523704E-4</v>
      </c>
      <c r="AS32" s="233">
        <f t="shared" ref="AS32" si="84">IF($X32&gt;0,U32/$X32,"")</f>
        <v>3.1159581571333183E-3</v>
      </c>
      <c r="AT32" s="233">
        <f t="shared" ref="AT32" si="85">IF($X32&gt;0,V32/$X32,"")</f>
        <v>0</v>
      </c>
      <c r="AU32" s="233">
        <f t="shared" ref="AU32" si="86">IF($X32&gt;0,W32/$X32,"")</f>
        <v>0.58602270198085915</v>
      </c>
      <c r="AV32" s="237">
        <f t="shared" ref="AV32:AV53" si="87">SUM(AA32:AU32)</f>
        <v>1</v>
      </c>
    </row>
    <row r="33" spans="2:48" x14ac:dyDescent="0.25">
      <c r="B33" s="223" t="s">
        <v>485</v>
      </c>
      <c r="C33" s="225">
        <f>CountyFlows_input!B27*Index!$B$2</f>
        <v>0</v>
      </c>
      <c r="D33" s="224">
        <f>CountyFlows_input!C27*Index!$B$2</f>
        <v>2086595</v>
      </c>
      <c r="E33" s="225">
        <f>CountyFlows_input!D27*Index!$B$2</f>
        <v>5</v>
      </c>
      <c r="F33" s="225">
        <f>CountyFlows_input!E27*Index!$B$2</f>
        <v>122000</v>
      </c>
      <c r="G33" s="225">
        <f>CountyFlows_input!F27*Index!$B$2</f>
        <v>0</v>
      </c>
      <c r="H33" s="225">
        <f>CountyFlows_input!G27*Index!$B$2</f>
        <v>7475</v>
      </c>
      <c r="I33" s="225">
        <f>CountyFlows_input!H27*Index!$B$2</f>
        <v>380</v>
      </c>
      <c r="J33" s="225">
        <f>CountyFlows_input!I27*Index!$B$2</f>
        <v>50</v>
      </c>
      <c r="K33" s="225">
        <f>CountyFlows_input!J27*Index!$B$2</f>
        <v>5</v>
      </c>
      <c r="L33" s="225">
        <f>CountyFlows_input!K27*Index!$B$2</f>
        <v>34110</v>
      </c>
      <c r="M33" s="225">
        <f>CountyFlows_input!L27*Index!$B$2</f>
        <v>19020</v>
      </c>
      <c r="N33" s="225">
        <f>CountyFlows_input!M27*Index!$B$2</f>
        <v>20</v>
      </c>
      <c r="O33" s="225">
        <f>CountyFlows_input!N27*Index!$B$2</f>
        <v>0</v>
      </c>
      <c r="P33" s="225">
        <f>CountyFlows_input!O27*Index!$B$2</f>
        <v>0</v>
      </c>
      <c r="Q33" s="225">
        <f>CountyFlows_input!P27*Index!$B$2</f>
        <v>475</v>
      </c>
      <c r="R33" s="225">
        <f>CountyFlows_input!Q27*Index!$B$2</f>
        <v>0</v>
      </c>
      <c r="S33" s="225">
        <f>CountyFlows_input!R27*Index!$B$2</f>
        <v>105</v>
      </c>
      <c r="T33" s="225">
        <f>CountyFlows_input!S27*Index!$B$2</f>
        <v>0</v>
      </c>
      <c r="U33" s="225">
        <f>CountyFlows_input!T27*Index!$B$2</f>
        <v>0</v>
      </c>
      <c r="V33" s="225">
        <f>CountyFlows_input!U27*Index!$B$2</f>
        <v>20400</v>
      </c>
      <c r="W33" s="225">
        <f>CountyFlows_input!V27*Index!$B$2</f>
        <v>5</v>
      </c>
      <c r="X33" s="226">
        <f t="shared" si="65"/>
        <v>2290645</v>
      </c>
      <c r="Z33" s="223" t="s">
        <v>485</v>
      </c>
      <c r="AA33" s="233">
        <f t="shared" ref="AA33:AA52" si="88">IF($X33&gt;0,C33/$X33,"")</f>
        <v>0</v>
      </c>
      <c r="AB33" s="233">
        <f t="shared" ref="AB33:AB52" si="89">IF($X33&gt;0,D33/$X33,"")</f>
        <v>0.91092028664415481</v>
      </c>
      <c r="AC33" s="233">
        <f t="shared" ref="AC33:AC52" si="90">IF($X33&gt;0,E33/$X33,"")</f>
        <v>2.1827913098712371E-6</v>
      </c>
      <c r="AD33" s="233">
        <f t="shared" ref="AD33:AD52" si="91">IF($X33&gt;0,F33/$X33,"")</f>
        <v>5.3260107960858186E-2</v>
      </c>
      <c r="AE33" s="233">
        <f t="shared" ref="AE33:AE52" si="92">IF($X33&gt;0,G33/$X33,"")</f>
        <v>0</v>
      </c>
      <c r="AF33" s="233">
        <f t="shared" ref="AF33:AF52" si="93">IF($X33&gt;0,H33/$X33,"")</f>
        <v>3.2632730082574994E-3</v>
      </c>
      <c r="AG33" s="233">
        <f t="shared" ref="AG33:AG52" si="94">IF($X33&gt;0,I33/$X33,"")</f>
        <v>1.6589213955021403E-4</v>
      </c>
      <c r="AH33" s="233">
        <f t="shared" ref="AH33:AH52" si="95">IF($X33&gt;0,J33/$X33,"")</f>
        <v>2.1827913098712373E-5</v>
      </c>
      <c r="AI33" s="233">
        <f t="shared" ref="AI33:AI52" si="96">IF($X33&gt;0,K33/$X33,"")</f>
        <v>2.1827913098712371E-6</v>
      </c>
      <c r="AJ33" s="233">
        <f t="shared" ref="AJ33:AJ52" si="97">IF($X33&gt;0,L33/$X33,"")</f>
        <v>1.4891002315941581E-2</v>
      </c>
      <c r="AK33" s="233">
        <f t="shared" ref="AK33:AK52" si="98">IF($X33&gt;0,M33/$X33,"")</f>
        <v>8.3033381427501853E-3</v>
      </c>
      <c r="AL33" s="233">
        <f t="shared" ref="AL33:AL52" si="99">IF($X33&gt;0,N33/$X33,"")</f>
        <v>8.7311652394849485E-6</v>
      </c>
      <c r="AM33" s="233">
        <f t="shared" ref="AM33:AM52" si="100">IF($X33&gt;0,O33/$X33,"")</f>
        <v>0</v>
      </c>
      <c r="AN33" s="233">
        <f t="shared" ref="AN33:AN52" si="101">IF($X33&gt;0,P33/$X33,"")</f>
        <v>0</v>
      </c>
      <c r="AO33" s="233">
        <f t="shared" ref="AO33:AO52" si="102">IF($X33&gt;0,Q33/$X33,"")</f>
        <v>2.0736517443776753E-4</v>
      </c>
      <c r="AP33" s="233">
        <f t="shared" ref="AP33:AP52" si="103">IF($X33&gt;0,R33/$X33,"")</f>
        <v>0</v>
      </c>
      <c r="AQ33" s="233">
        <f t="shared" ref="AQ33:AQ52" si="104">IF($X33&gt;0,S33/$X33,"")</f>
        <v>4.5838617507295979E-5</v>
      </c>
      <c r="AR33" s="233">
        <f t="shared" ref="AR33:AR52" si="105">IF($X33&gt;0,T33/$X33,"")</f>
        <v>0</v>
      </c>
      <c r="AS33" s="233">
        <f t="shared" ref="AS33:AS52" si="106">IF($X33&gt;0,U33/$X33,"")</f>
        <v>0</v>
      </c>
      <c r="AT33" s="233">
        <f t="shared" ref="AT33:AT52" si="107">IF($X33&gt;0,V33/$X33,"")</f>
        <v>8.9057885442746475E-3</v>
      </c>
      <c r="AU33" s="233">
        <f t="shared" ref="AU33:AU52" si="108">IF($X33&gt;0,W33/$X33,"")</f>
        <v>2.1827913098712371E-6</v>
      </c>
      <c r="AV33" s="237">
        <f t="shared" si="87"/>
        <v>1</v>
      </c>
    </row>
    <row r="34" spans="2:48" x14ac:dyDescent="0.25">
      <c r="B34" s="223" t="s">
        <v>486</v>
      </c>
      <c r="C34" s="225">
        <f>CountyFlows_input!B28*Index!$B$2</f>
        <v>1425</v>
      </c>
      <c r="D34" s="225">
        <f>CountyFlows_input!C28*Index!$B$2</f>
        <v>1485</v>
      </c>
      <c r="E34" s="224">
        <f>CountyFlows_input!D28*Index!$B$2</f>
        <v>20670</v>
      </c>
      <c r="F34" s="225">
        <f>CountyFlows_input!E28*Index!$B$2</f>
        <v>4365</v>
      </c>
      <c r="G34" s="225">
        <f>CountyFlows_input!F28*Index!$B$2</f>
        <v>75</v>
      </c>
      <c r="H34" s="225">
        <f>CountyFlows_input!G28*Index!$B$2</f>
        <v>13820</v>
      </c>
      <c r="I34" s="225">
        <f>CountyFlows_input!H28*Index!$B$2</f>
        <v>0</v>
      </c>
      <c r="J34" s="225">
        <f>CountyFlows_input!I28*Index!$B$2</f>
        <v>1685</v>
      </c>
      <c r="K34" s="225">
        <f>CountyFlows_input!J28*Index!$B$2</f>
        <v>0</v>
      </c>
      <c r="L34" s="225">
        <f>CountyFlows_input!K28*Index!$B$2</f>
        <v>85</v>
      </c>
      <c r="M34" s="225">
        <f>CountyFlows_input!L28*Index!$B$2</f>
        <v>0</v>
      </c>
      <c r="N34" s="225">
        <f>CountyFlows_input!M28*Index!$B$2</f>
        <v>0</v>
      </c>
      <c r="O34" s="225">
        <f>CountyFlows_input!N28*Index!$B$2</f>
        <v>190</v>
      </c>
      <c r="P34" s="225">
        <f>CountyFlows_input!O28*Index!$B$2</f>
        <v>40</v>
      </c>
      <c r="Q34" s="225">
        <f>CountyFlows_input!P28*Index!$B$2</f>
        <v>660</v>
      </c>
      <c r="R34" s="225">
        <f>CountyFlows_input!Q28*Index!$B$2</f>
        <v>1060</v>
      </c>
      <c r="S34" s="225">
        <f>CountyFlows_input!R28*Index!$B$2</f>
        <v>0</v>
      </c>
      <c r="T34" s="225">
        <f>CountyFlows_input!S28*Index!$B$2</f>
        <v>0</v>
      </c>
      <c r="U34" s="225">
        <f>CountyFlows_input!T28*Index!$B$2</f>
        <v>0</v>
      </c>
      <c r="V34" s="225">
        <f>CountyFlows_input!U28*Index!$B$2</f>
        <v>310</v>
      </c>
      <c r="W34" s="225">
        <f>CountyFlows_input!V28*Index!$B$2</f>
        <v>2255</v>
      </c>
      <c r="X34" s="226">
        <f t="shared" si="65"/>
        <v>48125</v>
      </c>
      <c r="Z34" s="223" t="s">
        <v>486</v>
      </c>
      <c r="AA34" s="233">
        <f t="shared" si="88"/>
        <v>2.9610389610389611E-2</v>
      </c>
      <c r="AB34" s="233">
        <f t="shared" si="89"/>
        <v>3.0857142857142857E-2</v>
      </c>
      <c r="AC34" s="233">
        <f t="shared" si="90"/>
        <v>0.4295064935064935</v>
      </c>
      <c r="AD34" s="233">
        <f t="shared" si="91"/>
        <v>9.0701298701298699E-2</v>
      </c>
      <c r="AE34" s="233">
        <f t="shared" si="92"/>
        <v>1.5584415584415584E-3</v>
      </c>
      <c r="AF34" s="233">
        <f t="shared" si="93"/>
        <v>0.28716883116883118</v>
      </c>
      <c r="AG34" s="233">
        <f t="shared" si="94"/>
        <v>0</v>
      </c>
      <c r="AH34" s="233">
        <f t="shared" si="95"/>
        <v>3.501298701298701E-2</v>
      </c>
      <c r="AI34" s="233">
        <f t="shared" si="96"/>
        <v>0</v>
      </c>
      <c r="AJ34" s="233">
        <f t="shared" si="97"/>
        <v>1.7662337662337662E-3</v>
      </c>
      <c r="AK34" s="233">
        <f t="shared" si="98"/>
        <v>0</v>
      </c>
      <c r="AL34" s="233">
        <f t="shared" si="99"/>
        <v>0</v>
      </c>
      <c r="AM34" s="233">
        <f t="shared" si="100"/>
        <v>3.9480519480519479E-3</v>
      </c>
      <c r="AN34" s="233">
        <f t="shared" si="101"/>
        <v>8.3116883116883121E-4</v>
      </c>
      <c r="AO34" s="233">
        <f t="shared" si="102"/>
        <v>1.3714285714285714E-2</v>
      </c>
      <c r="AP34" s="233">
        <f t="shared" si="103"/>
        <v>2.2025974025974025E-2</v>
      </c>
      <c r="AQ34" s="233">
        <f t="shared" si="104"/>
        <v>0</v>
      </c>
      <c r="AR34" s="233">
        <f t="shared" si="105"/>
        <v>0</v>
      </c>
      <c r="AS34" s="233">
        <f t="shared" si="106"/>
        <v>0</v>
      </c>
      <c r="AT34" s="233">
        <f t="shared" si="107"/>
        <v>6.4415584415584417E-3</v>
      </c>
      <c r="AU34" s="233">
        <f t="shared" si="108"/>
        <v>4.6857142857142854E-2</v>
      </c>
      <c r="AV34" s="237">
        <f t="shared" si="87"/>
        <v>1</v>
      </c>
    </row>
    <row r="35" spans="2:48" x14ac:dyDescent="0.25">
      <c r="B35" s="223" t="s">
        <v>487</v>
      </c>
      <c r="C35" s="225">
        <f>CountyFlows_input!B29*Index!$B$2</f>
        <v>0</v>
      </c>
      <c r="D35" s="225">
        <f>CountyFlows_input!C29*Index!$B$2</f>
        <v>98710</v>
      </c>
      <c r="E35" s="225">
        <f>CountyFlows_input!D29*Index!$B$2</f>
        <v>15</v>
      </c>
      <c r="F35" s="224">
        <f>CountyFlows_input!E29*Index!$B$2</f>
        <v>333765</v>
      </c>
      <c r="G35" s="225">
        <f>CountyFlows_input!F29*Index!$B$2</f>
        <v>0</v>
      </c>
      <c r="H35" s="225">
        <f>CountyFlows_input!G29*Index!$B$2</f>
        <v>10000</v>
      </c>
      <c r="I35" s="225">
        <f>CountyFlows_input!H29*Index!$B$2</f>
        <v>0</v>
      </c>
      <c r="J35" s="225">
        <f>CountyFlows_input!I29*Index!$B$2</f>
        <v>375</v>
      </c>
      <c r="K35" s="225">
        <f>CountyFlows_input!J29*Index!$B$2</f>
        <v>0</v>
      </c>
      <c r="L35" s="225">
        <f>CountyFlows_input!K29*Index!$B$2</f>
        <v>970</v>
      </c>
      <c r="M35" s="225">
        <f>CountyFlows_input!L29*Index!$B$2</f>
        <v>0</v>
      </c>
      <c r="N35" s="225">
        <f>CountyFlows_input!M29*Index!$B$2</f>
        <v>0</v>
      </c>
      <c r="O35" s="225">
        <f>CountyFlows_input!N29*Index!$B$2</f>
        <v>0</v>
      </c>
      <c r="P35" s="225">
        <f>CountyFlows_input!O29*Index!$B$2</f>
        <v>0</v>
      </c>
      <c r="Q35" s="225">
        <f>CountyFlows_input!P29*Index!$B$2</f>
        <v>80</v>
      </c>
      <c r="R35" s="225">
        <f>CountyFlows_input!Q29*Index!$B$2</f>
        <v>0</v>
      </c>
      <c r="S35" s="225">
        <f>CountyFlows_input!R29*Index!$B$2</f>
        <v>0</v>
      </c>
      <c r="T35" s="225">
        <f>CountyFlows_input!S29*Index!$B$2</f>
        <v>0</v>
      </c>
      <c r="U35" s="225">
        <f>CountyFlows_input!T29*Index!$B$2</f>
        <v>0</v>
      </c>
      <c r="V35" s="225">
        <f>CountyFlows_input!U29*Index!$B$2</f>
        <v>6115</v>
      </c>
      <c r="W35" s="225">
        <f>CountyFlows_input!V29*Index!$B$2</f>
        <v>0</v>
      </c>
      <c r="X35" s="226">
        <f t="shared" si="65"/>
        <v>450030</v>
      </c>
      <c r="Z35" s="223" t="s">
        <v>487</v>
      </c>
      <c r="AA35" s="233">
        <f t="shared" si="88"/>
        <v>0</v>
      </c>
      <c r="AB35" s="233">
        <f t="shared" si="89"/>
        <v>0.21934093282670045</v>
      </c>
      <c r="AC35" s="233">
        <f t="shared" si="90"/>
        <v>3.3331111259249382E-5</v>
      </c>
      <c r="AD35" s="233">
        <f t="shared" si="91"/>
        <v>0.74165055662955803</v>
      </c>
      <c r="AE35" s="233">
        <f t="shared" si="92"/>
        <v>0</v>
      </c>
      <c r="AF35" s="233">
        <f t="shared" si="93"/>
        <v>2.2220740839499591E-2</v>
      </c>
      <c r="AG35" s="233">
        <f t="shared" si="94"/>
        <v>0</v>
      </c>
      <c r="AH35" s="233">
        <f t="shared" si="95"/>
        <v>8.3327778148123454E-4</v>
      </c>
      <c r="AI35" s="233">
        <f t="shared" si="96"/>
        <v>0</v>
      </c>
      <c r="AJ35" s="233">
        <f t="shared" si="97"/>
        <v>2.1554118614314603E-3</v>
      </c>
      <c r="AK35" s="233">
        <f t="shared" si="98"/>
        <v>0</v>
      </c>
      <c r="AL35" s="233">
        <f t="shared" si="99"/>
        <v>0</v>
      </c>
      <c r="AM35" s="233">
        <f t="shared" si="100"/>
        <v>0</v>
      </c>
      <c r="AN35" s="233">
        <f t="shared" si="101"/>
        <v>0</v>
      </c>
      <c r="AO35" s="233">
        <f t="shared" si="102"/>
        <v>1.7776592671599672E-4</v>
      </c>
      <c r="AP35" s="233">
        <f t="shared" si="103"/>
        <v>0</v>
      </c>
      <c r="AQ35" s="233">
        <f t="shared" si="104"/>
        <v>0</v>
      </c>
      <c r="AR35" s="233">
        <f t="shared" si="105"/>
        <v>0</v>
      </c>
      <c r="AS35" s="233">
        <f t="shared" si="106"/>
        <v>0</v>
      </c>
      <c r="AT35" s="233">
        <f t="shared" si="107"/>
        <v>1.3587983023353999E-2</v>
      </c>
      <c r="AU35" s="233">
        <f t="shared" si="108"/>
        <v>0</v>
      </c>
      <c r="AV35" s="237">
        <f t="shared" si="87"/>
        <v>0.99999999999999989</v>
      </c>
    </row>
    <row r="36" spans="2:48" x14ac:dyDescent="0.25">
      <c r="B36" s="223" t="s">
        <v>488</v>
      </c>
      <c r="C36" s="225">
        <f>CountyFlows_input!B30*Index!$B$2</f>
        <v>0</v>
      </c>
      <c r="D36" s="225">
        <f>CountyFlows_input!C30*Index!$B$2</f>
        <v>450</v>
      </c>
      <c r="E36" s="225">
        <f>CountyFlows_input!D30*Index!$B$2</f>
        <v>25</v>
      </c>
      <c r="F36" s="225">
        <f>CountyFlows_input!E30*Index!$B$2</f>
        <v>1125</v>
      </c>
      <c r="G36" s="224">
        <f>CountyFlows_input!F30*Index!$B$2</f>
        <v>11030</v>
      </c>
      <c r="H36" s="225">
        <f>CountyFlows_input!G30*Index!$B$2</f>
        <v>295</v>
      </c>
      <c r="I36" s="225">
        <f>CountyFlows_input!H30*Index!$B$2</f>
        <v>785</v>
      </c>
      <c r="J36" s="225">
        <f>CountyFlows_input!I30*Index!$B$2</f>
        <v>765</v>
      </c>
      <c r="K36" s="225">
        <f>CountyFlows_input!J30*Index!$B$2</f>
        <v>0</v>
      </c>
      <c r="L36" s="225">
        <f>CountyFlows_input!K30*Index!$B$2</f>
        <v>0</v>
      </c>
      <c r="M36" s="225">
        <f>CountyFlows_input!L30*Index!$B$2</f>
        <v>15</v>
      </c>
      <c r="N36" s="225">
        <f>CountyFlows_input!M30*Index!$B$2</f>
        <v>0</v>
      </c>
      <c r="O36" s="225">
        <f>CountyFlows_input!N30*Index!$B$2</f>
        <v>570</v>
      </c>
      <c r="P36" s="225">
        <f>CountyFlows_input!O30*Index!$B$2</f>
        <v>0</v>
      </c>
      <c r="Q36" s="225">
        <f>CountyFlows_input!P30*Index!$B$2</f>
        <v>0</v>
      </c>
      <c r="R36" s="225">
        <f>CountyFlows_input!Q30*Index!$B$2</f>
        <v>0</v>
      </c>
      <c r="S36" s="225">
        <f>CountyFlows_input!R30*Index!$B$2</f>
        <v>0</v>
      </c>
      <c r="T36" s="225">
        <f>CountyFlows_input!S30*Index!$B$2</f>
        <v>0</v>
      </c>
      <c r="U36" s="225">
        <f>CountyFlows_input!T30*Index!$B$2</f>
        <v>0</v>
      </c>
      <c r="V36" s="225">
        <f>CountyFlows_input!U30*Index!$B$2</f>
        <v>6595</v>
      </c>
      <c r="W36" s="225">
        <f>CountyFlows_input!V30*Index!$B$2</f>
        <v>0</v>
      </c>
      <c r="X36" s="226">
        <f t="shared" si="65"/>
        <v>21655</v>
      </c>
      <c r="Z36" s="223" t="s">
        <v>488</v>
      </c>
      <c r="AA36" s="233">
        <f t="shared" si="88"/>
        <v>0</v>
      </c>
      <c r="AB36" s="233">
        <f t="shared" si="89"/>
        <v>2.0780420226275687E-2</v>
      </c>
      <c r="AC36" s="233">
        <f t="shared" si="90"/>
        <v>1.1544677903486493E-3</v>
      </c>
      <c r="AD36" s="233">
        <f t="shared" si="91"/>
        <v>5.1951050565689216E-2</v>
      </c>
      <c r="AE36" s="233">
        <f t="shared" si="92"/>
        <v>0.50935118910182409</v>
      </c>
      <c r="AF36" s="233">
        <f t="shared" si="93"/>
        <v>1.3622719926114061E-2</v>
      </c>
      <c r="AG36" s="233">
        <f t="shared" si="94"/>
        <v>3.6250288616947589E-2</v>
      </c>
      <c r="AH36" s="233">
        <f t="shared" si="95"/>
        <v>3.5326714384668667E-2</v>
      </c>
      <c r="AI36" s="233">
        <f t="shared" si="96"/>
        <v>0</v>
      </c>
      <c r="AJ36" s="233">
        <f t="shared" si="97"/>
        <v>0</v>
      </c>
      <c r="AK36" s="233">
        <f t="shared" si="98"/>
        <v>6.9268067420918955E-4</v>
      </c>
      <c r="AL36" s="233">
        <f t="shared" si="99"/>
        <v>0</v>
      </c>
      <c r="AM36" s="233">
        <f t="shared" si="100"/>
        <v>2.6321865619949203E-2</v>
      </c>
      <c r="AN36" s="233">
        <f t="shared" si="101"/>
        <v>0</v>
      </c>
      <c r="AO36" s="233">
        <f t="shared" si="102"/>
        <v>0</v>
      </c>
      <c r="AP36" s="233">
        <f t="shared" si="103"/>
        <v>0</v>
      </c>
      <c r="AQ36" s="233">
        <f t="shared" si="104"/>
        <v>0</v>
      </c>
      <c r="AR36" s="233">
        <f t="shared" si="105"/>
        <v>0</v>
      </c>
      <c r="AS36" s="233">
        <f t="shared" si="106"/>
        <v>0</v>
      </c>
      <c r="AT36" s="233">
        <f t="shared" si="107"/>
        <v>0.30454860309397369</v>
      </c>
      <c r="AU36" s="233">
        <f t="shared" si="108"/>
        <v>0</v>
      </c>
      <c r="AV36" s="237">
        <f t="shared" si="87"/>
        <v>0.99999999999999989</v>
      </c>
    </row>
    <row r="37" spans="2:48" x14ac:dyDescent="0.25">
      <c r="B37" s="223" t="s">
        <v>489</v>
      </c>
      <c r="C37" s="225">
        <f>CountyFlows_input!B31*Index!$B$2</f>
        <v>70</v>
      </c>
      <c r="D37" s="225">
        <f>CountyFlows_input!C31*Index!$B$2</f>
        <v>38220</v>
      </c>
      <c r="E37" s="225">
        <f>CountyFlows_input!D31*Index!$B$2</f>
        <v>995</v>
      </c>
      <c r="F37" s="225">
        <f>CountyFlows_input!E31*Index!$B$2</f>
        <v>62890</v>
      </c>
      <c r="G37" s="225">
        <f>CountyFlows_input!F31*Index!$B$2</f>
        <v>20</v>
      </c>
      <c r="H37" s="224">
        <f>CountyFlows_input!G31*Index!$B$2</f>
        <v>122330</v>
      </c>
      <c r="I37" s="225">
        <f>CountyFlows_input!H31*Index!$B$2</f>
        <v>0</v>
      </c>
      <c r="J37" s="225">
        <f>CountyFlows_input!I31*Index!$B$2</f>
        <v>2585</v>
      </c>
      <c r="K37" s="225">
        <f>CountyFlows_input!J31*Index!$B$2</f>
        <v>0</v>
      </c>
      <c r="L37" s="225">
        <f>CountyFlows_input!K31*Index!$B$2</f>
        <v>3025</v>
      </c>
      <c r="M37" s="225">
        <f>CountyFlows_input!L31*Index!$B$2</f>
        <v>0</v>
      </c>
      <c r="N37" s="225">
        <f>CountyFlows_input!M31*Index!$B$2</f>
        <v>0</v>
      </c>
      <c r="O37" s="225">
        <f>CountyFlows_input!N31*Index!$B$2</f>
        <v>0</v>
      </c>
      <c r="P37" s="225">
        <f>CountyFlows_input!O31*Index!$B$2</f>
        <v>5</v>
      </c>
      <c r="Q37" s="225">
        <f>CountyFlows_input!P31*Index!$B$2</f>
        <v>4065</v>
      </c>
      <c r="R37" s="225">
        <f>CountyFlows_input!Q31*Index!$B$2</f>
        <v>10</v>
      </c>
      <c r="S37" s="225">
        <f>CountyFlows_input!R31*Index!$B$2</f>
        <v>0</v>
      </c>
      <c r="T37" s="225">
        <f>CountyFlows_input!S31*Index!$B$2</f>
        <v>0</v>
      </c>
      <c r="U37" s="225">
        <f>CountyFlows_input!T31*Index!$B$2</f>
        <v>5</v>
      </c>
      <c r="V37" s="225">
        <f>CountyFlows_input!U31*Index!$B$2</f>
        <v>2045</v>
      </c>
      <c r="W37" s="225">
        <f>CountyFlows_input!V31*Index!$B$2</f>
        <v>80</v>
      </c>
      <c r="X37" s="226">
        <f t="shared" si="65"/>
        <v>236345</v>
      </c>
      <c r="Z37" s="223" t="s">
        <v>489</v>
      </c>
      <c r="AA37" s="233">
        <f t="shared" si="88"/>
        <v>2.9617719858681166E-4</v>
      </c>
      <c r="AB37" s="233">
        <f t="shared" si="89"/>
        <v>0.16171275042839917</v>
      </c>
      <c r="AC37" s="233">
        <f t="shared" si="90"/>
        <v>4.2099473227696802E-3</v>
      </c>
      <c r="AD37" s="233">
        <f t="shared" si="91"/>
        <v>0.26609405741606551</v>
      </c>
      <c r="AE37" s="233">
        <f t="shared" si="92"/>
        <v>8.4622056739089044E-5</v>
      </c>
      <c r="AF37" s="233">
        <f t="shared" si="93"/>
        <v>0.51759081004463814</v>
      </c>
      <c r="AG37" s="233">
        <f t="shared" si="94"/>
        <v>0</v>
      </c>
      <c r="AH37" s="233">
        <f t="shared" si="95"/>
        <v>1.0937400833527259E-2</v>
      </c>
      <c r="AI37" s="233">
        <f t="shared" si="96"/>
        <v>0</v>
      </c>
      <c r="AJ37" s="233">
        <f t="shared" si="97"/>
        <v>1.2799086081787217E-2</v>
      </c>
      <c r="AK37" s="233">
        <f t="shared" si="98"/>
        <v>0</v>
      </c>
      <c r="AL37" s="233">
        <f t="shared" si="99"/>
        <v>0</v>
      </c>
      <c r="AM37" s="233">
        <f t="shared" si="100"/>
        <v>0</v>
      </c>
      <c r="AN37" s="233">
        <f t="shared" si="101"/>
        <v>2.1155514184772261E-5</v>
      </c>
      <c r="AO37" s="233">
        <f t="shared" si="102"/>
        <v>1.7199433032219848E-2</v>
      </c>
      <c r="AP37" s="233">
        <f t="shared" si="103"/>
        <v>4.2311028369544522E-5</v>
      </c>
      <c r="AQ37" s="233">
        <f t="shared" si="104"/>
        <v>0</v>
      </c>
      <c r="AR37" s="233">
        <f t="shared" si="105"/>
        <v>0</v>
      </c>
      <c r="AS37" s="233">
        <f t="shared" si="106"/>
        <v>2.1155514184772261E-5</v>
      </c>
      <c r="AT37" s="233">
        <f t="shared" si="107"/>
        <v>8.652605301571855E-3</v>
      </c>
      <c r="AU37" s="233">
        <f t="shared" si="108"/>
        <v>3.3848822695635618E-4</v>
      </c>
      <c r="AV37" s="237">
        <f t="shared" si="87"/>
        <v>1</v>
      </c>
    </row>
    <row r="38" spans="2:48" x14ac:dyDescent="0.25">
      <c r="B38" s="223" t="s">
        <v>490</v>
      </c>
      <c r="C38" s="225">
        <f>CountyFlows_input!B32*Index!$B$2</f>
        <v>0</v>
      </c>
      <c r="D38" s="225">
        <f>CountyFlows_input!C32*Index!$B$2</f>
        <v>2965</v>
      </c>
      <c r="E38" s="225">
        <f>CountyFlows_input!D32*Index!$B$2</f>
        <v>0</v>
      </c>
      <c r="F38" s="225">
        <f>CountyFlows_input!E32*Index!$B$2</f>
        <v>120</v>
      </c>
      <c r="G38" s="225">
        <f>CountyFlows_input!F32*Index!$B$2</f>
        <v>210</v>
      </c>
      <c r="H38" s="225">
        <f>CountyFlows_input!G32*Index!$B$2</f>
        <v>5</v>
      </c>
      <c r="I38" s="224">
        <f>CountyFlows_input!H32*Index!$B$2</f>
        <v>37365</v>
      </c>
      <c r="J38" s="225">
        <f>CountyFlows_input!I32*Index!$B$2</f>
        <v>0</v>
      </c>
      <c r="K38" s="225">
        <f>CountyFlows_input!J32*Index!$B$2</f>
        <v>0</v>
      </c>
      <c r="L38" s="225">
        <f>CountyFlows_input!K32*Index!$B$2</f>
        <v>0</v>
      </c>
      <c r="M38" s="225">
        <f>CountyFlows_input!L32*Index!$B$2</f>
        <v>1090</v>
      </c>
      <c r="N38" s="225">
        <f>CountyFlows_input!M32*Index!$B$2</f>
        <v>0</v>
      </c>
      <c r="O38" s="225">
        <f>CountyFlows_input!N32*Index!$B$2</f>
        <v>5</v>
      </c>
      <c r="P38" s="225">
        <f>CountyFlows_input!O32*Index!$B$2</f>
        <v>0</v>
      </c>
      <c r="Q38" s="225">
        <f>CountyFlows_input!P32*Index!$B$2</f>
        <v>0</v>
      </c>
      <c r="R38" s="225">
        <f>CountyFlows_input!Q32*Index!$B$2</f>
        <v>0</v>
      </c>
      <c r="S38" s="225">
        <f>CountyFlows_input!R32*Index!$B$2</f>
        <v>0</v>
      </c>
      <c r="T38" s="225">
        <f>CountyFlows_input!S32*Index!$B$2</f>
        <v>0</v>
      </c>
      <c r="U38" s="225">
        <f>CountyFlows_input!T32*Index!$B$2</f>
        <v>0</v>
      </c>
      <c r="V38" s="225">
        <f>CountyFlows_input!U32*Index!$B$2</f>
        <v>5390</v>
      </c>
      <c r="W38" s="225">
        <f>CountyFlows_input!V32*Index!$B$2</f>
        <v>0</v>
      </c>
      <c r="X38" s="226">
        <f t="shared" si="65"/>
        <v>47150</v>
      </c>
      <c r="Z38" s="223" t="s">
        <v>490</v>
      </c>
      <c r="AA38" s="233">
        <f t="shared" si="88"/>
        <v>0</v>
      </c>
      <c r="AB38" s="233">
        <f t="shared" si="89"/>
        <v>6.2884411452810179E-2</v>
      </c>
      <c r="AC38" s="233">
        <f t="shared" si="90"/>
        <v>0</v>
      </c>
      <c r="AD38" s="233">
        <f t="shared" si="91"/>
        <v>2.5450689289501591E-3</v>
      </c>
      <c r="AE38" s="233">
        <f t="shared" si="92"/>
        <v>4.4538706256627781E-3</v>
      </c>
      <c r="AF38" s="233">
        <f t="shared" si="93"/>
        <v>1.0604453870625662E-4</v>
      </c>
      <c r="AG38" s="233">
        <f t="shared" si="94"/>
        <v>0.79247083775185578</v>
      </c>
      <c r="AH38" s="233">
        <f t="shared" si="95"/>
        <v>0</v>
      </c>
      <c r="AI38" s="233">
        <f t="shared" si="96"/>
        <v>0</v>
      </c>
      <c r="AJ38" s="233">
        <f t="shared" si="97"/>
        <v>0</v>
      </c>
      <c r="AK38" s="233">
        <f t="shared" si="98"/>
        <v>2.3117709437963947E-2</v>
      </c>
      <c r="AL38" s="233">
        <f t="shared" si="99"/>
        <v>0</v>
      </c>
      <c r="AM38" s="233">
        <f t="shared" si="100"/>
        <v>1.0604453870625662E-4</v>
      </c>
      <c r="AN38" s="233">
        <f t="shared" si="101"/>
        <v>0</v>
      </c>
      <c r="AO38" s="233">
        <f t="shared" si="102"/>
        <v>0</v>
      </c>
      <c r="AP38" s="233">
        <f t="shared" si="103"/>
        <v>0</v>
      </c>
      <c r="AQ38" s="233">
        <f t="shared" si="104"/>
        <v>0</v>
      </c>
      <c r="AR38" s="233">
        <f t="shared" si="105"/>
        <v>0</v>
      </c>
      <c r="AS38" s="233">
        <f t="shared" si="106"/>
        <v>0</v>
      </c>
      <c r="AT38" s="233">
        <f t="shared" si="107"/>
        <v>0.11431601272534464</v>
      </c>
      <c r="AU38" s="233">
        <f t="shared" si="108"/>
        <v>0</v>
      </c>
      <c r="AV38" s="237">
        <f t="shared" si="87"/>
        <v>1</v>
      </c>
    </row>
    <row r="39" spans="2:48" x14ac:dyDescent="0.25">
      <c r="B39" s="223" t="s">
        <v>491</v>
      </c>
      <c r="C39" s="225">
        <f>CountyFlows_input!B33*Index!$B$2</f>
        <v>0</v>
      </c>
      <c r="D39" s="225">
        <f>CountyFlows_input!C33*Index!$B$2</f>
        <v>2525</v>
      </c>
      <c r="E39" s="225">
        <f>CountyFlows_input!D33*Index!$B$2</f>
        <v>655</v>
      </c>
      <c r="F39" s="225">
        <f>CountyFlows_input!E33*Index!$B$2</f>
        <v>18840</v>
      </c>
      <c r="G39" s="225">
        <f>CountyFlows_input!F33*Index!$B$2</f>
        <v>595</v>
      </c>
      <c r="H39" s="225">
        <f>CountyFlows_input!G33*Index!$B$2</f>
        <v>11785</v>
      </c>
      <c r="I39" s="225">
        <f>CountyFlows_input!H33*Index!$B$2</f>
        <v>10</v>
      </c>
      <c r="J39" s="224">
        <f>CountyFlows_input!I33*Index!$B$2</f>
        <v>13485</v>
      </c>
      <c r="K39" s="225">
        <f>CountyFlows_input!J33*Index!$B$2</f>
        <v>0</v>
      </c>
      <c r="L39" s="225">
        <f>CountyFlows_input!K33*Index!$B$2</f>
        <v>5</v>
      </c>
      <c r="M39" s="225">
        <f>CountyFlows_input!L33*Index!$B$2</f>
        <v>5</v>
      </c>
      <c r="N39" s="225">
        <f>CountyFlows_input!M33*Index!$B$2</f>
        <v>0</v>
      </c>
      <c r="O39" s="225">
        <f>CountyFlows_input!N33*Index!$B$2</f>
        <v>130</v>
      </c>
      <c r="P39" s="225">
        <f>CountyFlows_input!O33*Index!$B$2</f>
        <v>0</v>
      </c>
      <c r="Q39" s="225">
        <f>CountyFlows_input!P33*Index!$B$2</f>
        <v>15</v>
      </c>
      <c r="R39" s="225">
        <f>CountyFlows_input!Q33*Index!$B$2</f>
        <v>0</v>
      </c>
      <c r="S39" s="225">
        <f>CountyFlows_input!R33*Index!$B$2</f>
        <v>0</v>
      </c>
      <c r="T39" s="225">
        <f>CountyFlows_input!S33*Index!$B$2</f>
        <v>0</v>
      </c>
      <c r="U39" s="225">
        <f>CountyFlows_input!T33*Index!$B$2</f>
        <v>0</v>
      </c>
      <c r="V39" s="225">
        <f>CountyFlows_input!U33*Index!$B$2</f>
        <v>6550</v>
      </c>
      <c r="W39" s="225">
        <f>CountyFlows_input!V33*Index!$B$2</f>
        <v>0</v>
      </c>
      <c r="X39" s="226">
        <f t="shared" si="65"/>
        <v>54600</v>
      </c>
      <c r="Z39" s="223" t="s">
        <v>491</v>
      </c>
      <c r="AA39" s="233">
        <f t="shared" si="88"/>
        <v>0</v>
      </c>
      <c r="AB39" s="233">
        <f t="shared" si="89"/>
        <v>4.6245421245421248E-2</v>
      </c>
      <c r="AC39" s="233">
        <f t="shared" si="90"/>
        <v>1.1996336996336997E-2</v>
      </c>
      <c r="AD39" s="233">
        <f t="shared" si="91"/>
        <v>0.34505494505494505</v>
      </c>
      <c r="AE39" s="233">
        <f t="shared" si="92"/>
        <v>1.0897435897435897E-2</v>
      </c>
      <c r="AF39" s="233">
        <f t="shared" si="93"/>
        <v>0.21584249084249085</v>
      </c>
      <c r="AG39" s="233">
        <f t="shared" si="94"/>
        <v>1.8315018315018315E-4</v>
      </c>
      <c r="AH39" s="233">
        <f t="shared" si="95"/>
        <v>0.24697802197802199</v>
      </c>
      <c r="AI39" s="233">
        <f t="shared" si="96"/>
        <v>0</v>
      </c>
      <c r="AJ39" s="233">
        <f t="shared" si="97"/>
        <v>9.1575091575091575E-5</v>
      </c>
      <c r="AK39" s="233">
        <f t="shared" si="98"/>
        <v>9.1575091575091575E-5</v>
      </c>
      <c r="AL39" s="233">
        <f t="shared" si="99"/>
        <v>0</v>
      </c>
      <c r="AM39" s="233">
        <f t="shared" si="100"/>
        <v>2.3809523809523812E-3</v>
      </c>
      <c r="AN39" s="233">
        <f t="shared" si="101"/>
        <v>0</v>
      </c>
      <c r="AO39" s="233">
        <f t="shared" si="102"/>
        <v>2.7472527472527473E-4</v>
      </c>
      <c r="AP39" s="233">
        <f t="shared" si="103"/>
        <v>0</v>
      </c>
      <c r="AQ39" s="233">
        <f t="shared" si="104"/>
        <v>0</v>
      </c>
      <c r="AR39" s="233">
        <f t="shared" si="105"/>
        <v>0</v>
      </c>
      <c r="AS39" s="233">
        <f t="shared" si="106"/>
        <v>0</v>
      </c>
      <c r="AT39" s="233">
        <f t="shared" si="107"/>
        <v>0.11996336996336997</v>
      </c>
      <c r="AU39" s="233">
        <f t="shared" si="108"/>
        <v>0</v>
      </c>
      <c r="AV39" s="237">
        <f t="shared" si="87"/>
        <v>1</v>
      </c>
    </row>
    <row r="40" spans="2:48" x14ac:dyDescent="0.25">
      <c r="B40" s="223" t="s">
        <v>492</v>
      </c>
      <c r="C40" s="225">
        <f>CountyFlows_input!B34*Index!$B$2</f>
        <v>0</v>
      </c>
      <c r="D40" s="225">
        <f>CountyFlows_input!C34*Index!$B$2</f>
        <v>2675</v>
      </c>
      <c r="E40" s="225">
        <f>CountyFlows_input!D34*Index!$B$2</f>
        <v>0</v>
      </c>
      <c r="F40" s="225">
        <f>CountyFlows_input!E34*Index!$B$2</f>
        <v>35</v>
      </c>
      <c r="G40" s="225">
        <f>CountyFlows_input!F34*Index!$B$2</f>
        <v>0</v>
      </c>
      <c r="H40" s="225">
        <f>CountyFlows_input!G34*Index!$B$2</f>
        <v>155</v>
      </c>
      <c r="I40" s="225">
        <f>CountyFlows_input!H34*Index!$B$2</f>
        <v>0</v>
      </c>
      <c r="J40" s="225">
        <f>CountyFlows_input!I34*Index!$B$2</f>
        <v>0</v>
      </c>
      <c r="K40" s="224">
        <f>CountyFlows_input!J34*Index!$B$2</f>
        <v>34555</v>
      </c>
      <c r="L40" s="225">
        <f>CountyFlows_input!K34*Index!$B$2</f>
        <v>23035</v>
      </c>
      <c r="M40" s="225">
        <f>CountyFlows_input!L34*Index!$B$2</f>
        <v>0</v>
      </c>
      <c r="N40" s="225">
        <f>CountyFlows_input!M34*Index!$B$2</f>
        <v>0</v>
      </c>
      <c r="O40" s="225">
        <f>CountyFlows_input!N34*Index!$B$2</f>
        <v>0</v>
      </c>
      <c r="P40" s="225">
        <f>CountyFlows_input!O34*Index!$B$2</f>
        <v>0</v>
      </c>
      <c r="Q40" s="225">
        <f>CountyFlows_input!P34*Index!$B$2</f>
        <v>2775</v>
      </c>
      <c r="R40" s="225">
        <f>CountyFlows_input!Q34*Index!$B$2</f>
        <v>0</v>
      </c>
      <c r="S40" s="225">
        <f>CountyFlows_input!R34*Index!$B$2</f>
        <v>0</v>
      </c>
      <c r="T40" s="225">
        <f>CountyFlows_input!S34*Index!$B$2</f>
        <v>11395</v>
      </c>
      <c r="U40" s="225">
        <f>CountyFlows_input!T34*Index!$B$2</f>
        <v>1620</v>
      </c>
      <c r="V40" s="225">
        <f>CountyFlows_input!U34*Index!$B$2</f>
        <v>0</v>
      </c>
      <c r="W40" s="225">
        <f>CountyFlows_input!V34*Index!$B$2</f>
        <v>5</v>
      </c>
      <c r="X40" s="226">
        <f t="shared" si="65"/>
        <v>76250</v>
      </c>
      <c r="Z40" s="223" t="s">
        <v>492</v>
      </c>
      <c r="AA40" s="233">
        <f t="shared" si="88"/>
        <v>0</v>
      </c>
      <c r="AB40" s="233">
        <f t="shared" si="89"/>
        <v>3.5081967213114754E-2</v>
      </c>
      <c r="AC40" s="233">
        <f t="shared" si="90"/>
        <v>0</v>
      </c>
      <c r="AD40" s="233">
        <f t="shared" si="91"/>
        <v>4.5901639344262296E-4</v>
      </c>
      <c r="AE40" s="233">
        <f t="shared" si="92"/>
        <v>0</v>
      </c>
      <c r="AF40" s="233">
        <f t="shared" si="93"/>
        <v>2.0327868852459017E-3</v>
      </c>
      <c r="AG40" s="233">
        <f t="shared" si="94"/>
        <v>0</v>
      </c>
      <c r="AH40" s="233">
        <f t="shared" si="95"/>
        <v>0</v>
      </c>
      <c r="AI40" s="233">
        <f t="shared" si="96"/>
        <v>0.45318032786885248</v>
      </c>
      <c r="AJ40" s="233">
        <f t="shared" si="97"/>
        <v>0.3020983606557377</v>
      </c>
      <c r="AK40" s="233">
        <f t="shared" si="98"/>
        <v>0</v>
      </c>
      <c r="AL40" s="233">
        <f t="shared" si="99"/>
        <v>0</v>
      </c>
      <c r="AM40" s="233">
        <f t="shared" si="100"/>
        <v>0</v>
      </c>
      <c r="AN40" s="233">
        <f t="shared" si="101"/>
        <v>0</v>
      </c>
      <c r="AO40" s="233">
        <f t="shared" si="102"/>
        <v>3.6393442622950821E-2</v>
      </c>
      <c r="AP40" s="233">
        <f t="shared" si="103"/>
        <v>0</v>
      </c>
      <c r="AQ40" s="233">
        <f t="shared" si="104"/>
        <v>0</v>
      </c>
      <c r="AR40" s="233">
        <f t="shared" si="105"/>
        <v>0.14944262295081967</v>
      </c>
      <c r="AS40" s="233">
        <f t="shared" si="106"/>
        <v>2.1245901639344263E-2</v>
      </c>
      <c r="AT40" s="233">
        <f t="shared" si="107"/>
        <v>0</v>
      </c>
      <c r="AU40" s="233">
        <f t="shared" si="108"/>
        <v>6.5573770491803284E-5</v>
      </c>
      <c r="AV40" s="237">
        <f t="shared" si="87"/>
        <v>1</v>
      </c>
    </row>
    <row r="41" spans="2:48" x14ac:dyDescent="0.25">
      <c r="B41" s="223" t="s">
        <v>493</v>
      </c>
      <c r="C41" s="225">
        <f>CountyFlows_input!B35*Index!$B$2</f>
        <v>0</v>
      </c>
      <c r="D41" s="225">
        <f>CountyFlows_input!C35*Index!$B$2</f>
        <v>78740</v>
      </c>
      <c r="E41" s="225">
        <f>CountyFlows_input!D35*Index!$B$2</f>
        <v>0</v>
      </c>
      <c r="F41" s="225">
        <f>CountyFlows_input!E35*Index!$B$2</f>
        <v>3580</v>
      </c>
      <c r="G41" s="225">
        <f>CountyFlows_input!F35*Index!$B$2</f>
        <v>0</v>
      </c>
      <c r="H41" s="225">
        <f>CountyFlows_input!G35*Index!$B$2</f>
        <v>825</v>
      </c>
      <c r="I41" s="225">
        <f>CountyFlows_input!H35*Index!$B$2</f>
        <v>0</v>
      </c>
      <c r="J41" s="225">
        <f>CountyFlows_input!I35*Index!$B$2</f>
        <v>10</v>
      </c>
      <c r="K41" s="225">
        <f>CountyFlows_input!J35*Index!$B$2</f>
        <v>4110</v>
      </c>
      <c r="L41" s="224">
        <f>CountyFlows_input!K35*Index!$B$2</f>
        <v>233175</v>
      </c>
      <c r="M41" s="225">
        <f>CountyFlows_input!L35*Index!$B$2</f>
        <v>0</v>
      </c>
      <c r="N41" s="225">
        <f>CountyFlows_input!M35*Index!$B$2</f>
        <v>0</v>
      </c>
      <c r="O41" s="225">
        <f>CountyFlows_input!N35*Index!$B$2</f>
        <v>0</v>
      </c>
      <c r="P41" s="225">
        <f>CountyFlows_input!O35*Index!$B$2</f>
        <v>0</v>
      </c>
      <c r="Q41" s="225">
        <f>CountyFlows_input!P35*Index!$B$2</f>
        <v>4665</v>
      </c>
      <c r="R41" s="225">
        <f>CountyFlows_input!Q35*Index!$B$2</f>
        <v>0</v>
      </c>
      <c r="S41" s="225">
        <f>CountyFlows_input!R35*Index!$B$2</f>
        <v>0</v>
      </c>
      <c r="T41" s="225">
        <f>CountyFlows_input!S35*Index!$B$2</f>
        <v>1140</v>
      </c>
      <c r="U41" s="225">
        <f>CountyFlows_input!T35*Index!$B$2</f>
        <v>125</v>
      </c>
      <c r="V41" s="225">
        <f>CountyFlows_input!U35*Index!$B$2</f>
        <v>0</v>
      </c>
      <c r="W41" s="225">
        <f>CountyFlows_input!V35*Index!$B$2</f>
        <v>10</v>
      </c>
      <c r="X41" s="226">
        <f t="shared" si="65"/>
        <v>326380</v>
      </c>
      <c r="Z41" s="223" t="s">
        <v>493</v>
      </c>
      <c r="AA41" s="233">
        <f t="shared" si="88"/>
        <v>0</v>
      </c>
      <c r="AB41" s="233">
        <f t="shared" si="89"/>
        <v>0.24125252772841474</v>
      </c>
      <c r="AC41" s="233">
        <f t="shared" si="90"/>
        <v>0</v>
      </c>
      <c r="AD41" s="233">
        <f t="shared" si="91"/>
        <v>1.0968809363318831E-2</v>
      </c>
      <c r="AE41" s="233">
        <f t="shared" si="92"/>
        <v>0</v>
      </c>
      <c r="AF41" s="233">
        <f t="shared" si="93"/>
        <v>2.5277284147312948E-3</v>
      </c>
      <c r="AG41" s="233">
        <f t="shared" si="94"/>
        <v>0</v>
      </c>
      <c r="AH41" s="233">
        <f t="shared" si="95"/>
        <v>3.0639132299773271E-5</v>
      </c>
      <c r="AI41" s="233">
        <f t="shared" si="96"/>
        <v>1.2592683375206814E-2</v>
      </c>
      <c r="AJ41" s="233">
        <f t="shared" si="97"/>
        <v>0.71442796739996328</v>
      </c>
      <c r="AK41" s="233">
        <f t="shared" si="98"/>
        <v>0</v>
      </c>
      <c r="AL41" s="233">
        <f t="shared" si="99"/>
        <v>0</v>
      </c>
      <c r="AM41" s="233">
        <f t="shared" si="100"/>
        <v>0</v>
      </c>
      <c r="AN41" s="233">
        <f t="shared" si="101"/>
        <v>0</v>
      </c>
      <c r="AO41" s="233">
        <f t="shared" si="102"/>
        <v>1.4293155217844231E-2</v>
      </c>
      <c r="AP41" s="233">
        <f t="shared" si="103"/>
        <v>0</v>
      </c>
      <c r="AQ41" s="233">
        <f t="shared" si="104"/>
        <v>0</v>
      </c>
      <c r="AR41" s="233">
        <f t="shared" si="105"/>
        <v>3.4928610821741528E-3</v>
      </c>
      <c r="AS41" s="233">
        <f t="shared" si="106"/>
        <v>3.8298915374716591E-4</v>
      </c>
      <c r="AT41" s="233">
        <f t="shared" si="107"/>
        <v>0</v>
      </c>
      <c r="AU41" s="233">
        <f t="shared" si="108"/>
        <v>3.0639132299773271E-5</v>
      </c>
      <c r="AV41" s="237">
        <f t="shared" si="87"/>
        <v>1</v>
      </c>
    </row>
    <row r="42" spans="2:48" x14ac:dyDescent="0.25">
      <c r="B42" s="223" t="s">
        <v>667</v>
      </c>
      <c r="C42" s="225">
        <f>CountyFlows_input!B36*Index!$B$2</f>
        <v>0</v>
      </c>
      <c r="D42" s="225">
        <f>CountyFlows_input!C36*Index!$B$2</f>
        <v>46970</v>
      </c>
      <c r="E42" s="225">
        <f>CountyFlows_input!D36*Index!$B$2</f>
        <v>0</v>
      </c>
      <c r="F42" s="225">
        <f>CountyFlows_input!E36*Index!$B$2</f>
        <v>125</v>
      </c>
      <c r="G42" s="225">
        <f>CountyFlows_input!F36*Index!$B$2</f>
        <v>0</v>
      </c>
      <c r="H42" s="225">
        <f>CountyFlows_input!G36*Index!$B$2</f>
        <v>0</v>
      </c>
      <c r="I42" s="225">
        <f>CountyFlows_input!H36*Index!$B$2</f>
        <v>1070</v>
      </c>
      <c r="J42" s="225">
        <f>CountyFlows_input!I36*Index!$B$2</f>
        <v>0</v>
      </c>
      <c r="K42" s="225">
        <f>CountyFlows_input!J36*Index!$B$2</f>
        <v>0</v>
      </c>
      <c r="L42" s="225">
        <f>CountyFlows_input!K36*Index!$B$2</f>
        <v>5</v>
      </c>
      <c r="M42" s="224">
        <f>CountyFlows_input!L36*Index!$B$2</f>
        <v>152735</v>
      </c>
      <c r="N42" s="225">
        <f>CountyFlows_input!M36*Index!$B$2</f>
        <v>530</v>
      </c>
      <c r="O42" s="225">
        <f>CountyFlows_input!N36*Index!$B$2</f>
        <v>0</v>
      </c>
      <c r="P42" s="225">
        <f>CountyFlows_input!O36*Index!$B$2</f>
        <v>0</v>
      </c>
      <c r="Q42" s="225">
        <f>CountyFlows_input!P36*Index!$B$2</f>
        <v>0</v>
      </c>
      <c r="R42" s="225">
        <f>CountyFlows_input!Q36*Index!$B$2</f>
        <v>0</v>
      </c>
      <c r="S42" s="225">
        <f>CountyFlows_input!R36*Index!$B$2</f>
        <v>6850</v>
      </c>
      <c r="T42" s="225">
        <f>CountyFlows_input!S36*Index!$B$2</f>
        <v>0</v>
      </c>
      <c r="U42" s="225">
        <f>CountyFlows_input!T36*Index!$B$2</f>
        <v>0</v>
      </c>
      <c r="V42" s="225">
        <f>CountyFlows_input!U36*Index!$B$2</f>
        <v>2525</v>
      </c>
      <c r="W42" s="225">
        <f>CountyFlows_input!V36*Index!$B$2</f>
        <v>0</v>
      </c>
      <c r="X42" s="226">
        <f t="shared" si="65"/>
        <v>210810</v>
      </c>
      <c r="Z42" s="223" t="s">
        <v>667</v>
      </c>
      <c r="AA42" s="233">
        <f t="shared" si="88"/>
        <v>0</v>
      </c>
      <c r="AB42" s="233">
        <f t="shared" si="89"/>
        <v>0.22280726720743799</v>
      </c>
      <c r="AC42" s="233">
        <f t="shared" si="90"/>
        <v>0</v>
      </c>
      <c r="AD42" s="233">
        <f t="shared" si="91"/>
        <v>5.929509985294815E-4</v>
      </c>
      <c r="AE42" s="233">
        <f t="shared" si="92"/>
        <v>0</v>
      </c>
      <c r="AF42" s="233">
        <f t="shared" si="93"/>
        <v>0</v>
      </c>
      <c r="AG42" s="233">
        <f t="shared" si="94"/>
        <v>5.075660547412362E-3</v>
      </c>
      <c r="AH42" s="233">
        <f t="shared" si="95"/>
        <v>0</v>
      </c>
      <c r="AI42" s="233">
        <f t="shared" si="96"/>
        <v>0</v>
      </c>
      <c r="AJ42" s="233">
        <f t="shared" si="97"/>
        <v>2.3718039941179262E-5</v>
      </c>
      <c r="AK42" s="233">
        <f t="shared" si="98"/>
        <v>0.72451496608320287</v>
      </c>
      <c r="AL42" s="233">
        <f t="shared" si="99"/>
        <v>2.5141122337650015E-3</v>
      </c>
      <c r="AM42" s="233">
        <f t="shared" si="100"/>
        <v>0</v>
      </c>
      <c r="AN42" s="233">
        <f t="shared" si="101"/>
        <v>0</v>
      </c>
      <c r="AO42" s="233">
        <f t="shared" si="102"/>
        <v>0</v>
      </c>
      <c r="AP42" s="233">
        <f t="shared" si="103"/>
        <v>0</v>
      </c>
      <c r="AQ42" s="233">
        <f t="shared" si="104"/>
        <v>3.249371471941559E-2</v>
      </c>
      <c r="AR42" s="233">
        <f t="shared" si="105"/>
        <v>0</v>
      </c>
      <c r="AS42" s="233">
        <f t="shared" si="106"/>
        <v>0</v>
      </c>
      <c r="AT42" s="233">
        <f t="shared" si="107"/>
        <v>1.1977610170295527E-2</v>
      </c>
      <c r="AU42" s="233">
        <f t="shared" si="108"/>
        <v>0</v>
      </c>
      <c r="AV42" s="237">
        <f t="shared" si="87"/>
        <v>1</v>
      </c>
    </row>
    <row r="43" spans="2:48" x14ac:dyDescent="0.25">
      <c r="B43" s="223" t="s">
        <v>494</v>
      </c>
      <c r="C43" s="225">
        <f>CountyFlows_input!B37*Index!$B$2</f>
        <v>0</v>
      </c>
      <c r="D43" s="225">
        <f>CountyFlows_input!C37*Index!$B$2</f>
        <v>130</v>
      </c>
      <c r="E43" s="225">
        <f>CountyFlows_input!D37*Index!$B$2</f>
        <v>0</v>
      </c>
      <c r="F43" s="225">
        <f>CountyFlows_input!E37*Index!$B$2</f>
        <v>0</v>
      </c>
      <c r="G43" s="225">
        <f>CountyFlows_input!F37*Index!$B$2</f>
        <v>0</v>
      </c>
      <c r="H43" s="225">
        <f>CountyFlows_input!G37*Index!$B$2</f>
        <v>0</v>
      </c>
      <c r="I43" s="225">
        <f>CountyFlows_input!H37*Index!$B$2</f>
        <v>0</v>
      </c>
      <c r="J43" s="225">
        <f>CountyFlows_input!I37*Index!$B$2</f>
        <v>0</v>
      </c>
      <c r="K43" s="225">
        <f>CountyFlows_input!J37*Index!$B$2</f>
        <v>0</v>
      </c>
      <c r="L43" s="225">
        <f>CountyFlows_input!K37*Index!$B$2</f>
        <v>0</v>
      </c>
      <c r="M43" s="225">
        <f>CountyFlows_input!L37*Index!$B$2</f>
        <v>1760</v>
      </c>
      <c r="N43" s="224">
        <f>CountyFlows_input!M37*Index!$B$2</f>
        <v>39140</v>
      </c>
      <c r="O43" s="225">
        <f>CountyFlows_input!N37*Index!$B$2</f>
        <v>0</v>
      </c>
      <c r="P43" s="225">
        <f>CountyFlows_input!O37*Index!$B$2</f>
        <v>0</v>
      </c>
      <c r="Q43" s="225">
        <f>CountyFlows_input!P37*Index!$B$2</f>
        <v>0</v>
      </c>
      <c r="R43" s="225">
        <f>CountyFlows_input!Q37*Index!$B$2</f>
        <v>0</v>
      </c>
      <c r="S43" s="225">
        <f>CountyFlows_input!R37*Index!$B$2</f>
        <v>7945</v>
      </c>
      <c r="T43" s="225">
        <f>CountyFlows_input!S37*Index!$B$2</f>
        <v>0</v>
      </c>
      <c r="U43" s="225">
        <f>CountyFlows_input!T37*Index!$B$2</f>
        <v>0</v>
      </c>
      <c r="V43" s="225">
        <f>CountyFlows_input!U37*Index!$B$2</f>
        <v>0</v>
      </c>
      <c r="W43" s="225">
        <f>CountyFlows_input!V37*Index!$B$2</f>
        <v>0</v>
      </c>
      <c r="X43" s="226">
        <f t="shared" si="65"/>
        <v>48975</v>
      </c>
      <c r="Z43" s="223" t="s">
        <v>494</v>
      </c>
      <c r="AA43" s="233">
        <f t="shared" si="88"/>
        <v>0</v>
      </c>
      <c r="AB43" s="233">
        <f t="shared" si="89"/>
        <v>2.6544155181214904E-3</v>
      </c>
      <c r="AC43" s="233">
        <f t="shared" si="90"/>
        <v>0</v>
      </c>
      <c r="AD43" s="233">
        <f t="shared" si="91"/>
        <v>0</v>
      </c>
      <c r="AE43" s="233">
        <f t="shared" si="92"/>
        <v>0</v>
      </c>
      <c r="AF43" s="233">
        <f t="shared" si="93"/>
        <v>0</v>
      </c>
      <c r="AG43" s="233">
        <f t="shared" si="94"/>
        <v>0</v>
      </c>
      <c r="AH43" s="233">
        <f t="shared" si="95"/>
        <v>0</v>
      </c>
      <c r="AI43" s="233">
        <f t="shared" si="96"/>
        <v>0</v>
      </c>
      <c r="AJ43" s="233">
        <f t="shared" si="97"/>
        <v>0</v>
      </c>
      <c r="AK43" s="233">
        <f t="shared" si="98"/>
        <v>3.5936702399183257E-2</v>
      </c>
      <c r="AL43" s="233">
        <f t="shared" si="99"/>
        <v>0.79918325676365498</v>
      </c>
      <c r="AM43" s="233">
        <f t="shared" si="100"/>
        <v>0</v>
      </c>
      <c r="AN43" s="233">
        <f t="shared" si="101"/>
        <v>0</v>
      </c>
      <c r="AO43" s="233">
        <f t="shared" si="102"/>
        <v>0</v>
      </c>
      <c r="AP43" s="233">
        <f t="shared" si="103"/>
        <v>0</v>
      </c>
      <c r="AQ43" s="233">
        <f t="shared" si="104"/>
        <v>0.16222562531904033</v>
      </c>
      <c r="AR43" s="233">
        <f t="shared" si="105"/>
        <v>0</v>
      </c>
      <c r="AS43" s="233">
        <f t="shared" si="106"/>
        <v>0</v>
      </c>
      <c r="AT43" s="233">
        <f t="shared" si="107"/>
        <v>0</v>
      </c>
      <c r="AU43" s="233">
        <f t="shared" si="108"/>
        <v>0</v>
      </c>
      <c r="AV43" s="237">
        <f t="shared" si="87"/>
        <v>1</v>
      </c>
    </row>
    <row r="44" spans="2:48" x14ac:dyDescent="0.25">
      <c r="B44" s="223" t="s">
        <v>495</v>
      </c>
      <c r="C44" s="225">
        <f>CountyFlows_input!B38*Index!$B$2</f>
        <v>0</v>
      </c>
      <c r="D44" s="225">
        <f>CountyFlows_input!C38*Index!$B$2</f>
        <v>115</v>
      </c>
      <c r="E44" s="225">
        <f>CountyFlows_input!D38*Index!$B$2</f>
        <v>1410</v>
      </c>
      <c r="F44" s="225">
        <f>CountyFlows_input!E38*Index!$B$2</f>
        <v>885</v>
      </c>
      <c r="G44" s="225">
        <f>CountyFlows_input!F38*Index!$B$2</f>
        <v>2740</v>
      </c>
      <c r="H44" s="225">
        <f>CountyFlows_input!G38*Index!$B$2</f>
        <v>1400</v>
      </c>
      <c r="I44" s="225">
        <f>CountyFlows_input!H38*Index!$B$2</f>
        <v>0</v>
      </c>
      <c r="J44" s="225">
        <f>CountyFlows_input!I38*Index!$B$2</f>
        <v>1515</v>
      </c>
      <c r="K44" s="225">
        <f>CountyFlows_input!J38*Index!$B$2</f>
        <v>0</v>
      </c>
      <c r="L44" s="225">
        <f>CountyFlows_input!K38*Index!$B$2</f>
        <v>0</v>
      </c>
      <c r="M44" s="225">
        <f>CountyFlows_input!L38*Index!$B$2</f>
        <v>0</v>
      </c>
      <c r="N44" s="225">
        <f>CountyFlows_input!M38*Index!$B$2</f>
        <v>0</v>
      </c>
      <c r="O44" s="224">
        <f>CountyFlows_input!N38*Index!$B$2</f>
        <v>40320</v>
      </c>
      <c r="P44" s="225">
        <f>CountyFlows_input!O38*Index!$B$2</f>
        <v>35</v>
      </c>
      <c r="Q44" s="225">
        <f>CountyFlows_input!P38*Index!$B$2</f>
        <v>0</v>
      </c>
      <c r="R44" s="225">
        <f>CountyFlows_input!Q38*Index!$B$2</f>
        <v>230</v>
      </c>
      <c r="S44" s="225">
        <f>CountyFlows_input!R38*Index!$B$2</f>
        <v>0</v>
      </c>
      <c r="T44" s="225">
        <f>CountyFlows_input!S38*Index!$B$2</f>
        <v>0</v>
      </c>
      <c r="U44" s="225">
        <f>CountyFlows_input!T38*Index!$B$2</f>
        <v>0</v>
      </c>
      <c r="V44" s="225">
        <f>CountyFlows_input!U38*Index!$B$2</f>
        <v>695</v>
      </c>
      <c r="W44" s="225">
        <f>CountyFlows_input!V38*Index!$B$2</f>
        <v>25</v>
      </c>
      <c r="X44" s="226">
        <f t="shared" si="65"/>
        <v>49370</v>
      </c>
      <c r="Z44" s="223" t="s">
        <v>495</v>
      </c>
      <c r="AA44" s="233">
        <f t="shared" si="88"/>
        <v>0</v>
      </c>
      <c r="AB44" s="233">
        <f t="shared" si="89"/>
        <v>2.3293498075754506E-3</v>
      </c>
      <c r="AC44" s="233">
        <f t="shared" si="90"/>
        <v>2.8559854162446829E-2</v>
      </c>
      <c r="AD44" s="233">
        <f t="shared" si="91"/>
        <v>1.7925865910471947E-2</v>
      </c>
      <c r="AE44" s="233">
        <f t="shared" si="92"/>
        <v>5.5499291067449871E-2</v>
      </c>
      <c r="AF44" s="233">
        <f t="shared" si="93"/>
        <v>2.8357302005266358E-2</v>
      </c>
      <c r="AG44" s="233">
        <f t="shared" si="94"/>
        <v>0</v>
      </c>
      <c r="AH44" s="233">
        <f t="shared" si="95"/>
        <v>3.0686651812841807E-2</v>
      </c>
      <c r="AI44" s="233">
        <f t="shared" si="96"/>
        <v>0</v>
      </c>
      <c r="AJ44" s="233">
        <f t="shared" si="97"/>
        <v>0</v>
      </c>
      <c r="AK44" s="233">
        <f t="shared" si="98"/>
        <v>0</v>
      </c>
      <c r="AL44" s="233">
        <f t="shared" si="99"/>
        <v>0</v>
      </c>
      <c r="AM44" s="233">
        <f t="shared" si="100"/>
        <v>0.81669029775167101</v>
      </c>
      <c r="AN44" s="233">
        <f t="shared" si="101"/>
        <v>7.0893255013165888E-4</v>
      </c>
      <c r="AO44" s="233">
        <f t="shared" si="102"/>
        <v>0</v>
      </c>
      <c r="AP44" s="233">
        <f t="shared" si="103"/>
        <v>4.6586996151509012E-3</v>
      </c>
      <c r="AQ44" s="233">
        <f t="shared" si="104"/>
        <v>0</v>
      </c>
      <c r="AR44" s="233">
        <f t="shared" si="105"/>
        <v>0</v>
      </c>
      <c r="AS44" s="233">
        <f t="shared" si="106"/>
        <v>0</v>
      </c>
      <c r="AT44" s="233">
        <f t="shared" si="107"/>
        <v>1.4077374924042941E-2</v>
      </c>
      <c r="AU44" s="233">
        <f t="shared" si="108"/>
        <v>5.063803929511849E-4</v>
      </c>
      <c r="AV44" s="237">
        <f t="shared" si="87"/>
        <v>0.99999999999999989</v>
      </c>
    </row>
    <row r="45" spans="2:48" x14ac:dyDescent="0.25">
      <c r="B45" s="223" t="s">
        <v>496</v>
      </c>
      <c r="C45" s="225">
        <f>CountyFlows_input!B39*Index!$B$2</f>
        <v>10</v>
      </c>
      <c r="D45" s="225">
        <f>CountyFlows_input!C39*Index!$B$2</f>
        <v>0</v>
      </c>
      <c r="E45" s="225">
        <f>CountyFlows_input!D39*Index!$B$2</f>
        <v>375</v>
      </c>
      <c r="F45" s="225">
        <f>CountyFlows_input!E39*Index!$B$2</f>
        <v>50</v>
      </c>
      <c r="G45" s="225">
        <f>CountyFlows_input!F39*Index!$B$2</f>
        <v>0</v>
      </c>
      <c r="H45" s="225">
        <f>CountyFlows_input!G39*Index!$B$2</f>
        <v>160</v>
      </c>
      <c r="I45" s="225">
        <f>CountyFlows_input!H39*Index!$B$2</f>
        <v>0</v>
      </c>
      <c r="J45" s="225">
        <f>CountyFlows_input!I39*Index!$B$2</f>
        <v>30</v>
      </c>
      <c r="K45" s="225">
        <f>CountyFlows_input!J39*Index!$B$2</f>
        <v>0</v>
      </c>
      <c r="L45" s="225">
        <f>CountyFlows_input!K39*Index!$B$2</f>
        <v>0</v>
      </c>
      <c r="M45" s="225">
        <f>CountyFlows_input!L39*Index!$B$2</f>
        <v>0</v>
      </c>
      <c r="N45" s="225">
        <f>CountyFlows_input!M39*Index!$B$2</f>
        <v>0</v>
      </c>
      <c r="O45" s="225">
        <f>CountyFlows_input!N39*Index!$B$2</f>
        <v>415</v>
      </c>
      <c r="P45" s="224">
        <f>CountyFlows_input!O39*Index!$B$2</f>
        <v>70</v>
      </c>
      <c r="Q45" s="225">
        <f>CountyFlows_input!P39*Index!$B$2</f>
        <v>0</v>
      </c>
      <c r="R45" s="225">
        <f>CountyFlows_input!Q39*Index!$B$2</f>
        <v>690</v>
      </c>
      <c r="S45" s="225">
        <f>CountyFlows_input!R39*Index!$B$2</f>
        <v>0</v>
      </c>
      <c r="T45" s="225">
        <f>CountyFlows_input!S39*Index!$B$2</f>
        <v>0</v>
      </c>
      <c r="U45" s="225">
        <f>CountyFlows_input!T39*Index!$B$2</f>
        <v>0</v>
      </c>
      <c r="V45" s="225">
        <f>CountyFlows_input!U39*Index!$B$2</f>
        <v>0</v>
      </c>
      <c r="W45" s="225">
        <f>CountyFlows_input!V39*Index!$B$2</f>
        <v>155</v>
      </c>
      <c r="X45" s="226">
        <f t="shared" si="65"/>
        <v>1955</v>
      </c>
      <c r="Z45" s="223" t="s">
        <v>496</v>
      </c>
      <c r="AA45" s="233">
        <f t="shared" si="88"/>
        <v>5.1150895140664966E-3</v>
      </c>
      <c r="AB45" s="233">
        <f t="shared" si="89"/>
        <v>0</v>
      </c>
      <c r="AC45" s="233">
        <f t="shared" si="90"/>
        <v>0.1918158567774936</v>
      </c>
      <c r="AD45" s="233">
        <f t="shared" si="91"/>
        <v>2.557544757033248E-2</v>
      </c>
      <c r="AE45" s="233">
        <f t="shared" si="92"/>
        <v>0</v>
      </c>
      <c r="AF45" s="233">
        <f t="shared" si="93"/>
        <v>8.1841432225063945E-2</v>
      </c>
      <c r="AG45" s="233">
        <f t="shared" si="94"/>
        <v>0</v>
      </c>
      <c r="AH45" s="233">
        <f t="shared" si="95"/>
        <v>1.5345268542199489E-2</v>
      </c>
      <c r="AI45" s="233">
        <f t="shared" si="96"/>
        <v>0</v>
      </c>
      <c r="AJ45" s="233">
        <f t="shared" si="97"/>
        <v>0</v>
      </c>
      <c r="AK45" s="233">
        <f t="shared" si="98"/>
        <v>0</v>
      </c>
      <c r="AL45" s="233">
        <f t="shared" si="99"/>
        <v>0</v>
      </c>
      <c r="AM45" s="233">
        <f t="shared" si="100"/>
        <v>0.21227621483375958</v>
      </c>
      <c r="AN45" s="233">
        <f t="shared" si="101"/>
        <v>3.5805626598465472E-2</v>
      </c>
      <c r="AO45" s="233">
        <f t="shared" si="102"/>
        <v>0</v>
      </c>
      <c r="AP45" s="233">
        <f t="shared" si="103"/>
        <v>0.35294117647058826</v>
      </c>
      <c r="AQ45" s="233">
        <f t="shared" si="104"/>
        <v>0</v>
      </c>
      <c r="AR45" s="233">
        <f t="shared" si="105"/>
        <v>0</v>
      </c>
      <c r="AS45" s="233">
        <f t="shared" si="106"/>
        <v>0</v>
      </c>
      <c r="AT45" s="233">
        <f t="shared" si="107"/>
        <v>0</v>
      </c>
      <c r="AU45" s="233">
        <f t="shared" si="108"/>
        <v>7.9283887468030695E-2</v>
      </c>
      <c r="AV45" s="237">
        <f t="shared" si="87"/>
        <v>1</v>
      </c>
    </row>
    <row r="46" spans="2:48" x14ac:dyDescent="0.25">
      <c r="B46" s="223" t="s">
        <v>497</v>
      </c>
      <c r="C46" s="225">
        <f>CountyFlows_input!B40*Index!$B$2</f>
        <v>1250</v>
      </c>
      <c r="D46" s="225">
        <f>CountyFlows_input!C40*Index!$B$2</f>
        <v>31555</v>
      </c>
      <c r="E46" s="225">
        <f>CountyFlows_input!D40*Index!$B$2</f>
        <v>215</v>
      </c>
      <c r="F46" s="225">
        <f>CountyFlows_input!E40*Index!$B$2</f>
        <v>4265</v>
      </c>
      <c r="G46" s="225">
        <f>CountyFlows_input!F40*Index!$B$2</f>
        <v>0</v>
      </c>
      <c r="H46" s="225">
        <f>CountyFlows_input!G40*Index!$B$2</f>
        <v>15275</v>
      </c>
      <c r="I46" s="225">
        <f>CountyFlows_input!H40*Index!$B$2</f>
        <v>0</v>
      </c>
      <c r="J46" s="225">
        <f>CountyFlows_input!I40*Index!$B$2</f>
        <v>5</v>
      </c>
      <c r="K46" s="225">
        <f>CountyFlows_input!J40*Index!$B$2</f>
        <v>440</v>
      </c>
      <c r="L46" s="225">
        <f>CountyFlows_input!K40*Index!$B$2</f>
        <v>26420</v>
      </c>
      <c r="M46" s="225">
        <f>CountyFlows_input!L40*Index!$B$2</f>
        <v>0</v>
      </c>
      <c r="N46" s="225">
        <f>CountyFlows_input!M40*Index!$B$2</f>
        <v>0</v>
      </c>
      <c r="O46" s="225">
        <f>CountyFlows_input!N40*Index!$B$2</f>
        <v>0</v>
      </c>
      <c r="P46" s="225">
        <f>CountyFlows_input!O40*Index!$B$2</f>
        <v>0</v>
      </c>
      <c r="Q46" s="224">
        <f>CountyFlows_input!P40*Index!$B$2</f>
        <v>66185</v>
      </c>
      <c r="R46" s="225">
        <f>CountyFlows_input!Q40*Index!$B$2</f>
        <v>5</v>
      </c>
      <c r="S46" s="225">
        <f>CountyFlows_input!R40*Index!$B$2</f>
        <v>0</v>
      </c>
      <c r="T46" s="225">
        <f>CountyFlows_input!S40*Index!$B$2</f>
        <v>420</v>
      </c>
      <c r="U46" s="225">
        <f>CountyFlows_input!T40*Index!$B$2</f>
        <v>895</v>
      </c>
      <c r="V46" s="225">
        <f>CountyFlows_input!U40*Index!$B$2</f>
        <v>0</v>
      </c>
      <c r="W46" s="225">
        <f>CountyFlows_input!V40*Index!$B$2</f>
        <v>2100</v>
      </c>
      <c r="X46" s="226">
        <f t="shared" si="65"/>
        <v>149030</v>
      </c>
      <c r="Z46" s="223" t="s">
        <v>497</v>
      </c>
      <c r="AA46" s="233">
        <f t="shared" si="88"/>
        <v>8.387572971884855E-3</v>
      </c>
      <c r="AB46" s="233">
        <f t="shared" si="89"/>
        <v>0.21173589210226129</v>
      </c>
      <c r="AC46" s="233">
        <f t="shared" si="90"/>
        <v>1.4426625511641952E-3</v>
      </c>
      <c r="AD46" s="233">
        <f t="shared" si="91"/>
        <v>2.8618398980071128E-2</v>
      </c>
      <c r="AE46" s="233">
        <f t="shared" si="92"/>
        <v>0</v>
      </c>
      <c r="AF46" s="233">
        <f t="shared" si="93"/>
        <v>0.10249614171643294</v>
      </c>
      <c r="AG46" s="233">
        <f t="shared" si="94"/>
        <v>0</v>
      </c>
      <c r="AH46" s="233">
        <f t="shared" si="95"/>
        <v>3.3550291887539423E-5</v>
      </c>
      <c r="AI46" s="233">
        <f t="shared" si="96"/>
        <v>2.952425686103469E-3</v>
      </c>
      <c r="AJ46" s="233">
        <f t="shared" si="97"/>
        <v>0.17727974233375832</v>
      </c>
      <c r="AK46" s="233">
        <f t="shared" si="98"/>
        <v>0</v>
      </c>
      <c r="AL46" s="233">
        <f t="shared" si="99"/>
        <v>0</v>
      </c>
      <c r="AM46" s="233">
        <f t="shared" si="100"/>
        <v>0</v>
      </c>
      <c r="AN46" s="233">
        <f t="shared" si="101"/>
        <v>0</v>
      </c>
      <c r="AO46" s="233">
        <f t="shared" si="102"/>
        <v>0.44410521371535933</v>
      </c>
      <c r="AP46" s="233">
        <f t="shared" si="103"/>
        <v>3.3550291887539423E-5</v>
      </c>
      <c r="AQ46" s="233">
        <f t="shared" si="104"/>
        <v>0</v>
      </c>
      <c r="AR46" s="233">
        <f t="shared" si="105"/>
        <v>2.8182245185533112E-3</v>
      </c>
      <c r="AS46" s="233">
        <f t="shared" si="106"/>
        <v>6.0055022478695567E-3</v>
      </c>
      <c r="AT46" s="233">
        <f t="shared" si="107"/>
        <v>0</v>
      </c>
      <c r="AU46" s="233">
        <f t="shared" si="108"/>
        <v>1.4091122592766557E-2</v>
      </c>
      <c r="AV46" s="237">
        <f t="shared" si="87"/>
        <v>1</v>
      </c>
    </row>
    <row r="47" spans="2:48" x14ac:dyDescent="0.25">
      <c r="B47" s="223" t="s">
        <v>498</v>
      </c>
      <c r="C47" s="225">
        <f>CountyFlows_input!B41*Index!$B$2</f>
        <v>130</v>
      </c>
      <c r="D47" s="225">
        <f>CountyFlows_input!C41*Index!$B$2</f>
        <v>20</v>
      </c>
      <c r="E47" s="225">
        <f>CountyFlows_input!D41*Index!$B$2</f>
        <v>1155</v>
      </c>
      <c r="F47" s="225">
        <f>CountyFlows_input!E41*Index!$B$2</f>
        <v>0</v>
      </c>
      <c r="G47" s="225">
        <f>CountyFlows_input!F41*Index!$B$2</f>
        <v>0</v>
      </c>
      <c r="H47" s="225">
        <f>CountyFlows_input!G41*Index!$B$2</f>
        <v>235</v>
      </c>
      <c r="I47" s="225">
        <f>CountyFlows_input!H41*Index!$B$2</f>
        <v>0</v>
      </c>
      <c r="J47" s="225">
        <f>CountyFlows_input!I41*Index!$B$2</f>
        <v>0</v>
      </c>
      <c r="K47" s="225">
        <f>CountyFlows_input!J41*Index!$B$2</f>
        <v>0</v>
      </c>
      <c r="L47" s="225">
        <f>CountyFlows_input!K41*Index!$B$2</f>
        <v>0</v>
      </c>
      <c r="M47" s="225">
        <f>CountyFlows_input!L41*Index!$B$2</f>
        <v>0</v>
      </c>
      <c r="N47" s="225">
        <f>CountyFlows_input!M41*Index!$B$2</f>
        <v>0</v>
      </c>
      <c r="O47" s="225">
        <f>CountyFlows_input!N41*Index!$B$2</f>
        <v>165</v>
      </c>
      <c r="P47" s="225">
        <f>CountyFlows_input!O41*Index!$B$2</f>
        <v>45</v>
      </c>
      <c r="Q47" s="225">
        <f>CountyFlows_input!P41*Index!$B$2</f>
        <v>15</v>
      </c>
      <c r="R47" s="224">
        <f>CountyFlows_input!Q41*Index!$B$2</f>
        <v>3425</v>
      </c>
      <c r="S47" s="225">
        <f>CountyFlows_input!R41*Index!$B$2</f>
        <v>0</v>
      </c>
      <c r="T47" s="225">
        <f>CountyFlows_input!S41*Index!$B$2</f>
        <v>0</v>
      </c>
      <c r="U47" s="225">
        <f>CountyFlows_input!T41*Index!$B$2</f>
        <v>0</v>
      </c>
      <c r="V47" s="225">
        <f>CountyFlows_input!U41*Index!$B$2</f>
        <v>0</v>
      </c>
      <c r="W47" s="225">
        <f>CountyFlows_input!V41*Index!$B$2</f>
        <v>3375</v>
      </c>
      <c r="X47" s="226">
        <f t="shared" si="65"/>
        <v>8565</v>
      </c>
      <c r="Z47" s="223" t="s">
        <v>498</v>
      </c>
      <c r="AA47" s="233">
        <f t="shared" si="88"/>
        <v>1.5178050204319907E-2</v>
      </c>
      <c r="AB47" s="233">
        <f t="shared" si="89"/>
        <v>2.3350846468184472E-3</v>
      </c>
      <c r="AC47" s="233">
        <f t="shared" si="90"/>
        <v>0.13485113835376533</v>
      </c>
      <c r="AD47" s="233">
        <f t="shared" si="91"/>
        <v>0</v>
      </c>
      <c r="AE47" s="233">
        <f t="shared" si="92"/>
        <v>0</v>
      </c>
      <c r="AF47" s="233">
        <f t="shared" si="93"/>
        <v>2.7437244600116754E-2</v>
      </c>
      <c r="AG47" s="233">
        <f t="shared" si="94"/>
        <v>0</v>
      </c>
      <c r="AH47" s="233">
        <f t="shared" si="95"/>
        <v>0</v>
      </c>
      <c r="AI47" s="233">
        <f t="shared" si="96"/>
        <v>0</v>
      </c>
      <c r="AJ47" s="233">
        <f t="shared" si="97"/>
        <v>0</v>
      </c>
      <c r="AK47" s="233">
        <f t="shared" si="98"/>
        <v>0</v>
      </c>
      <c r="AL47" s="233">
        <f t="shared" si="99"/>
        <v>0</v>
      </c>
      <c r="AM47" s="233">
        <f t="shared" si="100"/>
        <v>1.9264448336252189E-2</v>
      </c>
      <c r="AN47" s="233">
        <f t="shared" si="101"/>
        <v>5.2539404553415062E-3</v>
      </c>
      <c r="AO47" s="233">
        <f t="shared" si="102"/>
        <v>1.7513134851138354E-3</v>
      </c>
      <c r="AP47" s="233">
        <f t="shared" si="103"/>
        <v>0.3998832457676591</v>
      </c>
      <c r="AQ47" s="233">
        <f t="shared" si="104"/>
        <v>0</v>
      </c>
      <c r="AR47" s="233">
        <f t="shared" si="105"/>
        <v>0</v>
      </c>
      <c r="AS47" s="233">
        <f t="shared" si="106"/>
        <v>0</v>
      </c>
      <c r="AT47" s="233">
        <f t="shared" si="107"/>
        <v>0</v>
      </c>
      <c r="AU47" s="233">
        <f t="shared" si="108"/>
        <v>0.39404553415061294</v>
      </c>
      <c r="AV47" s="237">
        <f t="shared" si="87"/>
        <v>1</v>
      </c>
    </row>
    <row r="48" spans="2:48" x14ac:dyDescent="0.25">
      <c r="B48" s="223" t="s">
        <v>499</v>
      </c>
      <c r="C48" s="225">
        <f>CountyFlows_input!B42*Index!$B$2</f>
        <v>0</v>
      </c>
      <c r="D48" s="225">
        <f>CountyFlows_input!C42*Index!$B$2</f>
        <v>1705</v>
      </c>
      <c r="E48" s="225">
        <f>CountyFlows_input!D42*Index!$B$2</f>
        <v>0</v>
      </c>
      <c r="F48" s="225">
        <f>CountyFlows_input!E42*Index!$B$2</f>
        <v>0</v>
      </c>
      <c r="G48" s="225">
        <f>CountyFlows_input!F42*Index!$B$2</f>
        <v>0</v>
      </c>
      <c r="H48" s="225">
        <f>CountyFlows_input!G42*Index!$B$2</f>
        <v>0</v>
      </c>
      <c r="I48" s="225">
        <f>CountyFlows_input!H42*Index!$B$2</f>
        <v>20</v>
      </c>
      <c r="J48" s="225">
        <f>CountyFlows_input!I42*Index!$B$2</f>
        <v>0</v>
      </c>
      <c r="K48" s="225">
        <f>CountyFlows_input!J42*Index!$B$2</f>
        <v>0</v>
      </c>
      <c r="L48" s="225">
        <f>CountyFlows_input!K42*Index!$B$2</f>
        <v>0</v>
      </c>
      <c r="M48" s="225">
        <f>CountyFlows_input!L42*Index!$B$2</f>
        <v>20360</v>
      </c>
      <c r="N48" s="225">
        <f>CountyFlows_input!M42*Index!$B$2</f>
        <v>6800</v>
      </c>
      <c r="O48" s="225">
        <f>CountyFlows_input!N42*Index!$B$2</f>
        <v>0</v>
      </c>
      <c r="P48" s="225">
        <f>CountyFlows_input!O42*Index!$B$2</f>
        <v>0</v>
      </c>
      <c r="Q48" s="225">
        <f>CountyFlows_input!P42*Index!$B$2</f>
        <v>0</v>
      </c>
      <c r="R48" s="225">
        <f>CountyFlows_input!Q42*Index!$B$2</f>
        <v>0</v>
      </c>
      <c r="S48" s="224">
        <f>CountyFlows_input!R42*Index!$B$2</f>
        <v>47405</v>
      </c>
      <c r="T48" s="225">
        <f>CountyFlows_input!S42*Index!$B$2</f>
        <v>0</v>
      </c>
      <c r="U48" s="225">
        <f>CountyFlows_input!T42*Index!$B$2</f>
        <v>0</v>
      </c>
      <c r="V48" s="225">
        <f>CountyFlows_input!U42*Index!$B$2</f>
        <v>90</v>
      </c>
      <c r="W48" s="225">
        <f>CountyFlows_input!V42*Index!$B$2</f>
        <v>0</v>
      </c>
      <c r="X48" s="226">
        <f t="shared" si="65"/>
        <v>76380</v>
      </c>
      <c r="Z48" s="223" t="s">
        <v>499</v>
      </c>
      <c r="AA48" s="233">
        <f t="shared" si="88"/>
        <v>0</v>
      </c>
      <c r="AB48" s="233">
        <f t="shared" si="89"/>
        <v>2.2322597538622677E-2</v>
      </c>
      <c r="AC48" s="233">
        <f t="shared" si="90"/>
        <v>0</v>
      </c>
      <c r="AD48" s="233">
        <f t="shared" si="91"/>
        <v>0</v>
      </c>
      <c r="AE48" s="233">
        <f t="shared" si="92"/>
        <v>0</v>
      </c>
      <c r="AF48" s="233">
        <f t="shared" si="93"/>
        <v>0</v>
      </c>
      <c r="AG48" s="233">
        <f t="shared" si="94"/>
        <v>2.618486514794449E-4</v>
      </c>
      <c r="AH48" s="233">
        <f t="shared" si="95"/>
        <v>0</v>
      </c>
      <c r="AI48" s="233">
        <f t="shared" si="96"/>
        <v>0</v>
      </c>
      <c r="AJ48" s="233">
        <f t="shared" si="97"/>
        <v>0</v>
      </c>
      <c r="AK48" s="233">
        <f t="shared" si="98"/>
        <v>0.26656192720607491</v>
      </c>
      <c r="AL48" s="233">
        <f t="shared" si="99"/>
        <v>8.902854150301126E-2</v>
      </c>
      <c r="AM48" s="233">
        <f t="shared" si="100"/>
        <v>0</v>
      </c>
      <c r="AN48" s="233">
        <f t="shared" si="101"/>
        <v>0</v>
      </c>
      <c r="AO48" s="233">
        <f t="shared" si="102"/>
        <v>0</v>
      </c>
      <c r="AP48" s="233">
        <f t="shared" si="103"/>
        <v>0</v>
      </c>
      <c r="AQ48" s="233">
        <f t="shared" si="104"/>
        <v>0.62064676616915426</v>
      </c>
      <c r="AR48" s="233">
        <f t="shared" si="105"/>
        <v>0</v>
      </c>
      <c r="AS48" s="233">
        <f t="shared" si="106"/>
        <v>0</v>
      </c>
      <c r="AT48" s="233">
        <f t="shared" si="107"/>
        <v>1.178318931657502E-3</v>
      </c>
      <c r="AU48" s="233">
        <f t="shared" si="108"/>
        <v>0</v>
      </c>
      <c r="AV48" s="237">
        <f t="shared" si="87"/>
        <v>1</v>
      </c>
    </row>
    <row r="49" spans="2:48" x14ac:dyDescent="0.25">
      <c r="B49" s="223" t="s">
        <v>500</v>
      </c>
      <c r="C49" s="225">
        <f>CountyFlows_input!B43*Index!$B$2</f>
        <v>0</v>
      </c>
      <c r="D49" s="225">
        <f>CountyFlows_input!C43*Index!$B$2</f>
        <v>420</v>
      </c>
      <c r="E49" s="225">
        <f>CountyFlows_input!D43*Index!$B$2</f>
        <v>0</v>
      </c>
      <c r="F49" s="225">
        <f>CountyFlows_input!E43*Index!$B$2</f>
        <v>25</v>
      </c>
      <c r="G49" s="225">
        <f>CountyFlows_input!F43*Index!$B$2</f>
        <v>0</v>
      </c>
      <c r="H49" s="225">
        <f>CountyFlows_input!G43*Index!$B$2</f>
        <v>65</v>
      </c>
      <c r="I49" s="225">
        <f>CountyFlows_input!H43*Index!$B$2</f>
        <v>0</v>
      </c>
      <c r="J49" s="225">
        <f>CountyFlows_input!I43*Index!$B$2</f>
        <v>0</v>
      </c>
      <c r="K49" s="225">
        <f>CountyFlows_input!J43*Index!$B$2</f>
        <v>9480</v>
      </c>
      <c r="L49" s="225">
        <f>CountyFlows_input!K43*Index!$B$2</f>
        <v>6285</v>
      </c>
      <c r="M49" s="225">
        <f>CountyFlows_input!L43*Index!$B$2</f>
        <v>0</v>
      </c>
      <c r="N49" s="225">
        <f>CountyFlows_input!M43*Index!$B$2</f>
        <v>0</v>
      </c>
      <c r="O49" s="225">
        <f>CountyFlows_input!N43*Index!$B$2</f>
        <v>0</v>
      </c>
      <c r="P49" s="225">
        <f>CountyFlows_input!O43*Index!$B$2</f>
        <v>0</v>
      </c>
      <c r="Q49" s="225">
        <f>CountyFlows_input!P43*Index!$B$2</f>
        <v>990</v>
      </c>
      <c r="R49" s="225">
        <f>CountyFlows_input!Q43*Index!$B$2</f>
        <v>0</v>
      </c>
      <c r="S49" s="225">
        <f>CountyFlows_input!R43*Index!$B$2</f>
        <v>0</v>
      </c>
      <c r="T49" s="224">
        <f>CountyFlows_input!S43*Index!$B$2</f>
        <v>68755</v>
      </c>
      <c r="U49" s="225">
        <f>CountyFlows_input!T43*Index!$B$2</f>
        <v>2230</v>
      </c>
      <c r="V49" s="225">
        <f>CountyFlows_input!U43*Index!$B$2</f>
        <v>0</v>
      </c>
      <c r="W49" s="225">
        <f>CountyFlows_input!V43*Index!$B$2</f>
        <v>0</v>
      </c>
      <c r="X49" s="226">
        <f t="shared" si="65"/>
        <v>88250</v>
      </c>
      <c r="Z49" s="223" t="s">
        <v>500</v>
      </c>
      <c r="AA49" s="233">
        <f t="shared" si="88"/>
        <v>0</v>
      </c>
      <c r="AB49" s="233">
        <f t="shared" si="89"/>
        <v>4.7592067988668557E-3</v>
      </c>
      <c r="AC49" s="233">
        <f t="shared" si="90"/>
        <v>0</v>
      </c>
      <c r="AD49" s="233">
        <f t="shared" si="91"/>
        <v>2.8328611898016995E-4</v>
      </c>
      <c r="AE49" s="233">
        <f t="shared" si="92"/>
        <v>0</v>
      </c>
      <c r="AF49" s="233">
        <f t="shared" si="93"/>
        <v>7.3654390934844191E-4</v>
      </c>
      <c r="AG49" s="233">
        <f t="shared" si="94"/>
        <v>0</v>
      </c>
      <c r="AH49" s="233">
        <f t="shared" si="95"/>
        <v>0</v>
      </c>
      <c r="AI49" s="233">
        <f t="shared" si="96"/>
        <v>0.10742209631728045</v>
      </c>
      <c r="AJ49" s="233">
        <f t="shared" si="97"/>
        <v>7.1218130311614725E-2</v>
      </c>
      <c r="AK49" s="233">
        <f t="shared" si="98"/>
        <v>0</v>
      </c>
      <c r="AL49" s="233">
        <f t="shared" si="99"/>
        <v>0</v>
      </c>
      <c r="AM49" s="233">
        <f t="shared" si="100"/>
        <v>0</v>
      </c>
      <c r="AN49" s="233">
        <f t="shared" si="101"/>
        <v>0</v>
      </c>
      <c r="AO49" s="233">
        <f t="shared" si="102"/>
        <v>1.121813031161473E-2</v>
      </c>
      <c r="AP49" s="233">
        <f t="shared" si="103"/>
        <v>0</v>
      </c>
      <c r="AQ49" s="233">
        <f t="shared" si="104"/>
        <v>0</v>
      </c>
      <c r="AR49" s="233">
        <f t="shared" si="105"/>
        <v>0.7790934844192634</v>
      </c>
      <c r="AS49" s="233">
        <f t="shared" si="106"/>
        <v>2.5269121813031162E-2</v>
      </c>
      <c r="AT49" s="233">
        <f t="shared" si="107"/>
        <v>0</v>
      </c>
      <c r="AU49" s="233">
        <f t="shared" si="108"/>
        <v>0</v>
      </c>
      <c r="AV49" s="237">
        <f t="shared" si="87"/>
        <v>1</v>
      </c>
    </row>
    <row r="50" spans="2:48" x14ac:dyDescent="0.25">
      <c r="B50" s="223" t="s">
        <v>501</v>
      </c>
      <c r="C50" s="225">
        <f>CountyFlows_input!B44*Index!$B$2</f>
        <v>400</v>
      </c>
      <c r="D50" s="225">
        <f>CountyFlows_input!C44*Index!$B$2</f>
        <v>440</v>
      </c>
      <c r="E50" s="225">
        <f>CountyFlows_input!D44*Index!$B$2</f>
        <v>0</v>
      </c>
      <c r="F50" s="225">
        <f>CountyFlows_input!E44*Index!$B$2</f>
        <v>20</v>
      </c>
      <c r="G50" s="225">
        <f>CountyFlows_input!F44*Index!$B$2</f>
        <v>0</v>
      </c>
      <c r="H50" s="225">
        <f>CountyFlows_input!G44*Index!$B$2</f>
        <v>225</v>
      </c>
      <c r="I50" s="225">
        <f>CountyFlows_input!H44*Index!$B$2</f>
        <v>0</v>
      </c>
      <c r="J50" s="225">
        <f>CountyFlows_input!I44*Index!$B$2</f>
        <v>0</v>
      </c>
      <c r="K50" s="225">
        <f>CountyFlows_input!J44*Index!$B$2</f>
        <v>2090</v>
      </c>
      <c r="L50" s="225">
        <f>CountyFlows_input!K44*Index!$B$2</f>
        <v>1905</v>
      </c>
      <c r="M50" s="225">
        <f>CountyFlows_input!L44*Index!$B$2</f>
        <v>0</v>
      </c>
      <c r="N50" s="225">
        <f>CountyFlows_input!M44*Index!$B$2</f>
        <v>0</v>
      </c>
      <c r="O50" s="225">
        <f>CountyFlows_input!N44*Index!$B$2</f>
        <v>0</v>
      </c>
      <c r="P50" s="225">
        <f>CountyFlows_input!O44*Index!$B$2</f>
        <v>0</v>
      </c>
      <c r="Q50" s="225">
        <f>CountyFlows_input!P44*Index!$B$2</f>
        <v>4930</v>
      </c>
      <c r="R50" s="225">
        <f>CountyFlows_input!Q44*Index!$B$2</f>
        <v>0</v>
      </c>
      <c r="S50" s="225">
        <f>CountyFlows_input!R44*Index!$B$2</f>
        <v>0</v>
      </c>
      <c r="T50" s="225">
        <f>CountyFlows_input!S44*Index!$B$2</f>
        <v>5835</v>
      </c>
      <c r="U50" s="224">
        <f>CountyFlows_input!T44*Index!$B$2</f>
        <v>34440</v>
      </c>
      <c r="V50" s="225">
        <f>CountyFlows_input!U44*Index!$B$2</f>
        <v>0</v>
      </c>
      <c r="W50" s="225">
        <f>CountyFlows_input!V44*Index!$B$2</f>
        <v>1095</v>
      </c>
      <c r="X50" s="226">
        <f t="shared" si="65"/>
        <v>51380</v>
      </c>
      <c r="Z50" s="223" t="s">
        <v>501</v>
      </c>
      <c r="AA50" s="233">
        <f t="shared" si="88"/>
        <v>7.7851304009342159E-3</v>
      </c>
      <c r="AB50" s="233">
        <f t="shared" si="89"/>
        <v>8.5636434410276373E-3</v>
      </c>
      <c r="AC50" s="233">
        <f t="shared" si="90"/>
        <v>0</v>
      </c>
      <c r="AD50" s="233">
        <f t="shared" si="91"/>
        <v>3.8925652004671076E-4</v>
      </c>
      <c r="AE50" s="233">
        <f t="shared" si="92"/>
        <v>0</v>
      </c>
      <c r="AF50" s="233">
        <f t="shared" si="93"/>
        <v>4.3791358505254965E-3</v>
      </c>
      <c r="AG50" s="233">
        <f t="shared" si="94"/>
        <v>0</v>
      </c>
      <c r="AH50" s="233">
        <f t="shared" si="95"/>
        <v>0</v>
      </c>
      <c r="AI50" s="233">
        <f t="shared" si="96"/>
        <v>4.067730634488128E-2</v>
      </c>
      <c r="AJ50" s="233">
        <f t="shared" si="97"/>
        <v>3.7076683534449199E-2</v>
      </c>
      <c r="AK50" s="233">
        <f t="shared" si="98"/>
        <v>0</v>
      </c>
      <c r="AL50" s="233">
        <f t="shared" si="99"/>
        <v>0</v>
      </c>
      <c r="AM50" s="233">
        <f t="shared" si="100"/>
        <v>0</v>
      </c>
      <c r="AN50" s="233">
        <f t="shared" si="101"/>
        <v>0</v>
      </c>
      <c r="AO50" s="233">
        <f t="shared" si="102"/>
        <v>9.5951732191514205E-2</v>
      </c>
      <c r="AP50" s="233">
        <f t="shared" si="103"/>
        <v>0</v>
      </c>
      <c r="AQ50" s="233">
        <f t="shared" si="104"/>
        <v>0</v>
      </c>
      <c r="AR50" s="233">
        <f t="shared" si="105"/>
        <v>0.11356558972362787</v>
      </c>
      <c r="AS50" s="233">
        <f t="shared" si="106"/>
        <v>0.67029972752043598</v>
      </c>
      <c r="AT50" s="233">
        <f t="shared" si="107"/>
        <v>0</v>
      </c>
      <c r="AU50" s="233">
        <f t="shared" si="108"/>
        <v>2.1311794472557415E-2</v>
      </c>
      <c r="AV50" s="237">
        <f t="shared" si="87"/>
        <v>1</v>
      </c>
    </row>
    <row r="51" spans="2:48" x14ac:dyDescent="0.25">
      <c r="B51" s="223" t="s">
        <v>502</v>
      </c>
      <c r="C51" s="225">
        <f>CountyFlows_input!B45*Index!$B$2</f>
        <v>0</v>
      </c>
      <c r="D51" s="225">
        <f>CountyFlows_input!C45*Index!$B$2</f>
        <v>67205</v>
      </c>
      <c r="E51" s="225">
        <f>CountyFlows_input!D45*Index!$B$2</f>
        <v>25</v>
      </c>
      <c r="F51" s="225">
        <f>CountyFlows_input!E45*Index!$B$2</f>
        <v>80485</v>
      </c>
      <c r="G51" s="225">
        <f>CountyFlows_input!F45*Index!$B$2</f>
        <v>2220</v>
      </c>
      <c r="H51" s="225">
        <f>CountyFlows_input!G45*Index!$B$2</f>
        <v>4995</v>
      </c>
      <c r="I51" s="225">
        <f>CountyFlows_input!H45*Index!$B$2</f>
        <v>3510</v>
      </c>
      <c r="J51" s="225">
        <f>CountyFlows_input!I45*Index!$B$2</f>
        <v>1840</v>
      </c>
      <c r="K51" s="225">
        <f>CountyFlows_input!J45*Index!$B$2</f>
        <v>0</v>
      </c>
      <c r="L51" s="225">
        <f>CountyFlows_input!K45*Index!$B$2</f>
        <v>70</v>
      </c>
      <c r="M51" s="225">
        <f>CountyFlows_input!L45*Index!$B$2</f>
        <v>3270</v>
      </c>
      <c r="N51" s="225">
        <f>CountyFlows_input!M45*Index!$B$2</f>
        <v>0</v>
      </c>
      <c r="O51" s="225">
        <f>CountyFlows_input!N45*Index!$B$2</f>
        <v>15</v>
      </c>
      <c r="P51" s="225">
        <f>CountyFlows_input!O45*Index!$B$2</f>
        <v>0</v>
      </c>
      <c r="Q51" s="225">
        <f>CountyFlows_input!P45*Index!$B$2</f>
        <v>10</v>
      </c>
      <c r="R51" s="225">
        <f>CountyFlows_input!Q45*Index!$B$2</f>
        <v>0</v>
      </c>
      <c r="S51" s="225">
        <f>CountyFlows_input!R45*Index!$B$2</f>
        <v>30</v>
      </c>
      <c r="T51" s="225">
        <f>CountyFlows_input!S45*Index!$B$2</f>
        <v>0</v>
      </c>
      <c r="U51" s="225">
        <f>CountyFlows_input!T45*Index!$B$2</f>
        <v>0</v>
      </c>
      <c r="V51" s="224">
        <f>CountyFlows_input!U45*Index!$B$2</f>
        <v>148360</v>
      </c>
      <c r="W51" s="225">
        <f>CountyFlows_input!V45*Index!$B$2</f>
        <v>0</v>
      </c>
      <c r="X51" s="226">
        <f t="shared" si="65"/>
        <v>312035</v>
      </c>
      <c r="Z51" s="223" t="s">
        <v>502</v>
      </c>
      <c r="AA51" s="233">
        <f t="shared" si="88"/>
        <v>0</v>
      </c>
      <c r="AB51" s="233">
        <f t="shared" si="89"/>
        <v>0.21537648020254138</v>
      </c>
      <c r="AC51" s="233">
        <f t="shared" si="90"/>
        <v>8.0119217395484477E-5</v>
      </c>
      <c r="AD51" s="233">
        <f t="shared" si="91"/>
        <v>0.25793580848302272</v>
      </c>
      <c r="AE51" s="233">
        <f t="shared" si="92"/>
        <v>7.1145865047190218E-3</v>
      </c>
      <c r="AF51" s="233">
        <f t="shared" si="93"/>
        <v>1.6007819635617801E-2</v>
      </c>
      <c r="AG51" s="233">
        <f t="shared" si="94"/>
        <v>1.124873812232602E-2</v>
      </c>
      <c r="AH51" s="233">
        <f t="shared" si="95"/>
        <v>5.8967744003076581E-3</v>
      </c>
      <c r="AI51" s="233">
        <f t="shared" si="96"/>
        <v>0</v>
      </c>
      <c r="AJ51" s="233">
        <f t="shared" si="97"/>
        <v>2.2433380870735654E-4</v>
      </c>
      <c r="AK51" s="233">
        <f t="shared" si="98"/>
        <v>1.047959363532937E-2</v>
      </c>
      <c r="AL51" s="233">
        <f t="shared" si="99"/>
        <v>0</v>
      </c>
      <c r="AM51" s="233">
        <f t="shared" si="100"/>
        <v>4.807153043729069E-5</v>
      </c>
      <c r="AN51" s="233">
        <f t="shared" si="101"/>
        <v>0</v>
      </c>
      <c r="AO51" s="233">
        <f t="shared" si="102"/>
        <v>3.2047686958193794E-5</v>
      </c>
      <c r="AP51" s="233">
        <f t="shared" si="103"/>
        <v>0</v>
      </c>
      <c r="AQ51" s="233">
        <f t="shared" si="104"/>
        <v>9.6143060874581381E-5</v>
      </c>
      <c r="AR51" s="233">
        <f t="shared" si="105"/>
        <v>0</v>
      </c>
      <c r="AS51" s="233">
        <f t="shared" si="106"/>
        <v>0</v>
      </c>
      <c r="AT51" s="233">
        <f t="shared" si="107"/>
        <v>0.47545948371176311</v>
      </c>
      <c r="AU51" s="233">
        <f t="shared" si="108"/>
        <v>0</v>
      </c>
      <c r="AV51" s="237">
        <f t="shared" si="87"/>
        <v>1</v>
      </c>
    </row>
    <row r="52" spans="2:48" x14ac:dyDescent="0.25">
      <c r="B52" s="223" t="s">
        <v>503</v>
      </c>
      <c r="C52" s="225">
        <f>CountyFlows_input!B46*Index!$B$2</f>
        <v>4010</v>
      </c>
      <c r="D52" s="225">
        <f>CountyFlows_input!C46*Index!$B$2</f>
        <v>80</v>
      </c>
      <c r="E52" s="225">
        <f>CountyFlows_input!D46*Index!$B$2</f>
        <v>665</v>
      </c>
      <c r="F52" s="225">
        <f>CountyFlows_input!E46*Index!$B$2</f>
        <v>0</v>
      </c>
      <c r="G52" s="225">
        <f>CountyFlows_input!F46*Index!$B$2</f>
        <v>0</v>
      </c>
      <c r="H52" s="225">
        <f>CountyFlows_input!G46*Index!$B$2</f>
        <v>860</v>
      </c>
      <c r="I52" s="225">
        <f>CountyFlows_input!H46*Index!$B$2</f>
        <v>0</v>
      </c>
      <c r="J52" s="225">
        <f>CountyFlows_input!I46*Index!$B$2</f>
        <v>0</v>
      </c>
      <c r="K52" s="225">
        <f>CountyFlows_input!J46*Index!$B$2</f>
        <v>0</v>
      </c>
      <c r="L52" s="225">
        <f>CountyFlows_input!K46*Index!$B$2</f>
        <v>60</v>
      </c>
      <c r="M52" s="225">
        <f>CountyFlows_input!L46*Index!$B$2</f>
        <v>0</v>
      </c>
      <c r="N52" s="225">
        <f>CountyFlows_input!M46*Index!$B$2</f>
        <v>0</v>
      </c>
      <c r="O52" s="225">
        <f>CountyFlows_input!N46*Index!$B$2</f>
        <v>40</v>
      </c>
      <c r="P52" s="225">
        <f>CountyFlows_input!O46*Index!$B$2</f>
        <v>5</v>
      </c>
      <c r="Q52" s="225">
        <f>CountyFlows_input!P46*Index!$B$2</f>
        <v>4660</v>
      </c>
      <c r="R52" s="225">
        <f>CountyFlows_input!Q46*Index!$B$2</f>
        <v>620</v>
      </c>
      <c r="S52" s="225">
        <f>CountyFlows_input!R46*Index!$B$2</f>
        <v>0</v>
      </c>
      <c r="T52" s="225">
        <f>CountyFlows_input!S46*Index!$B$2</f>
        <v>0</v>
      </c>
      <c r="U52" s="225">
        <f>CountyFlows_input!T46*Index!$B$2</f>
        <v>240</v>
      </c>
      <c r="V52" s="225">
        <f>CountyFlows_input!U46*Index!$B$2</f>
        <v>0</v>
      </c>
      <c r="W52" s="224">
        <f>CountyFlows_input!V46*Index!$B$2</f>
        <v>118970</v>
      </c>
      <c r="X52" s="226">
        <f t="shared" si="65"/>
        <v>130210</v>
      </c>
      <c r="Z52" s="223" t="s">
        <v>503</v>
      </c>
      <c r="AA52" s="233">
        <f t="shared" si="88"/>
        <v>3.0796405806005685E-2</v>
      </c>
      <c r="AB52" s="233">
        <f t="shared" si="89"/>
        <v>6.1439213578066206E-4</v>
      </c>
      <c r="AC52" s="233">
        <f t="shared" si="90"/>
        <v>5.1071346286767532E-3</v>
      </c>
      <c r="AD52" s="233">
        <f t="shared" si="91"/>
        <v>0</v>
      </c>
      <c r="AE52" s="233">
        <f t="shared" si="92"/>
        <v>0</v>
      </c>
      <c r="AF52" s="233">
        <f t="shared" si="93"/>
        <v>6.6047154596421166E-3</v>
      </c>
      <c r="AG52" s="233">
        <f t="shared" si="94"/>
        <v>0</v>
      </c>
      <c r="AH52" s="233">
        <f t="shared" si="95"/>
        <v>0</v>
      </c>
      <c r="AI52" s="233">
        <f t="shared" si="96"/>
        <v>0</v>
      </c>
      <c r="AJ52" s="233">
        <f t="shared" si="97"/>
        <v>4.6079410183549652E-4</v>
      </c>
      <c r="AK52" s="233">
        <f t="shared" si="98"/>
        <v>0</v>
      </c>
      <c r="AL52" s="233">
        <f t="shared" si="99"/>
        <v>0</v>
      </c>
      <c r="AM52" s="233">
        <f t="shared" si="100"/>
        <v>3.0719606789033103E-4</v>
      </c>
      <c r="AN52" s="233">
        <f t="shared" si="101"/>
        <v>3.8399508486291379E-5</v>
      </c>
      <c r="AO52" s="233">
        <f t="shared" si="102"/>
        <v>3.5788341909223559E-2</v>
      </c>
      <c r="AP52" s="233">
        <f t="shared" si="103"/>
        <v>4.7615390523001308E-3</v>
      </c>
      <c r="AQ52" s="233">
        <f t="shared" si="104"/>
        <v>0</v>
      </c>
      <c r="AR52" s="233">
        <f t="shared" si="105"/>
        <v>0</v>
      </c>
      <c r="AS52" s="233">
        <f t="shared" si="106"/>
        <v>1.8431764073419861E-3</v>
      </c>
      <c r="AT52" s="233">
        <f t="shared" si="107"/>
        <v>0</v>
      </c>
      <c r="AU52" s="233">
        <f t="shared" si="108"/>
        <v>0.91367790492281697</v>
      </c>
      <c r="AV52" s="237">
        <f t="shared" si="87"/>
        <v>1</v>
      </c>
    </row>
    <row r="53" spans="2:48" ht="15.75" thickBot="1" x14ac:dyDescent="0.3">
      <c r="B53" s="229" t="s">
        <v>29</v>
      </c>
      <c r="C53" s="230">
        <f t="shared" ref="C53:X53" si="109">SUM(C32:C52)</f>
        <v>12955</v>
      </c>
      <c r="D53" s="230">
        <f t="shared" si="109"/>
        <v>2461145</v>
      </c>
      <c r="E53" s="230">
        <f t="shared" si="109"/>
        <v>26455</v>
      </c>
      <c r="F53" s="230">
        <f t="shared" si="109"/>
        <v>632595</v>
      </c>
      <c r="G53" s="230">
        <f t="shared" si="109"/>
        <v>16890</v>
      </c>
      <c r="H53" s="230">
        <f t="shared" si="109"/>
        <v>190560</v>
      </c>
      <c r="I53" s="230">
        <f t="shared" si="109"/>
        <v>43140</v>
      </c>
      <c r="J53" s="230">
        <f t="shared" si="109"/>
        <v>22345</v>
      </c>
      <c r="K53" s="230">
        <f t="shared" si="109"/>
        <v>50690</v>
      </c>
      <c r="L53" s="230">
        <f t="shared" si="109"/>
        <v>329205</v>
      </c>
      <c r="M53" s="230">
        <f t="shared" ref="M53" si="110">SUM(M32:M52)</f>
        <v>198255</v>
      </c>
      <c r="N53" s="230">
        <f t="shared" si="109"/>
        <v>46490</v>
      </c>
      <c r="O53" s="230">
        <f t="shared" si="109"/>
        <v>41850</v>
      </c>
      <c r="P53" s="230">
        <f t="shared" si="109"/>
        <v>200</v>
      </c>
      <c r="Q53" s="230">
        <f t="shared" si="109"/>
        <v>91940</v>
      </c>
      <c r="R53" s="230">
        <f t="shared" si="109"/>
        <v>6065</v>
      </c>
      <c r="S53" s="230">
        <f t="shared" si="109"/>
        <v>62335</v>
      </c>
      <c r="T53" s="230">
        <f t="shared" si="109"/>
        <v>87550</v>
      </c>
      <c r="U53" s="230">
        <f t="shared" si="109"/>
        <v>39625</v>
      </c>
      <c r="V53" s="230">
        <f t="shared" si="109"/>
        <v>199075</v>
      </c>
      <c r="W53" s="230">
        <f t="shared" si="109"/>
        <v>141240</v>
      </c>
      <c r="X53" s="231">
        <f t="shared" si="109"/>
        <v>4700605</v>
      </c>
      <c r="Z53" s="229" t="s">
        <v>29</v>
      </c>
      <c r="AA53" s="238">
        <f t="shared" si="66"/>
        <v>2.7560282133895532E-3</v>
      </c>
      <c r="AB53" s="238">
        <f t="shared" ref="AB53" si="111">IF($X53&gt;0,D53/$X53,"")</f>
        <v>0.523580475279246</v>
      </c>
      <c r="AC53" s="238">
        <f t="shared" ref="AC53" si="112">IF($X53&gt;0,E53/$X53,"")</f>
        <v>5.6279989490714494E-3</v>
      </c>
      <c r="AD53" s="238">
        <f t="shared" ref="AD53" si="113">IF($X53&gt;0,F53/$X53,"")</f>
        <v>0.13457735759545847</v>
      </c>
      <c r="AE53" s="238">
        <f t="shared" ref="AE53" si="114">IF($X53&gt;0,G53/$X53,"")</f>
        <v>3.5931544981975725E-3</v>
      </c>
      <c r="AF53" s="238">
        <f t="shared" ref="AF53" si="115">IF($X53&gt;0,H53/$X53,"")</f>
        <v>4.0539462473447564E-2</v>
      </c>
      <c r="AG53" s="238">
        <f t="shared" ref="AG53" si="116">IF($X53&gt;0,I53/$X53,"")</f>
        <v>9.1775420398012598E-3</v>
      </c>
      <c r="AH53" s="238">
        <f t="shared" ref="AH53" si="117">IF($X53&gt;0,J53/$X53,"")</f>
        <v>4.7536434139860721E-3</v>
      </c>
      <c r="AI53" s="238">
        <f t="shared" ref="AI53" si="118">IF($X53&gt;0,K53/$X53,"")</f>
        <v>1.0783718266052986E-2</v>
      </c>
      <c r="AJ53" s="238">
        <f t="shared" ref="AJ53:AK53" si="119">IF($X53&gt;0,L53/$X53,"")</f>
        <v>7.0034601928900639E-2</v>
      </c>
      <c r="AK53" s="238">
        <f t="shared" si="119"/>
        <v>4.2176485792786246E-2</v>
      </c>
      <c r="AL53" s="238">
        <f t="shared" ref="AL53" si="120">IF($X53&gt;0,N53/$X53,"")</f>
        <v>9.890216259396397E-3</v>
      </c>
      <c r="AM53" s="238">
        <f t="shared" ref="AM53" si="121">IF($X53&gt;0,O53/$X53,"")</f>
        <v>8.9031092806138787E-3</v>
      </c>
      <c r="AN53" s="238">
        <f t="shared" ref="AN53" si="122">IF($X53&gt;0,P53/$X53,"")</f>
        <v>4.2547714602694758E-5</v>
      </c>
      <c r="AO53" s="238">
        <f t="shared" ref="AO53" si="123">IF($X53&gt;0,Q53/$X53,"")</f>
        <v>1.9559184402858781E-2</v>
      </c>
      <c r="AP53" s="238">
        <f t="shared" ref="AP53" si="124">IF($X53&gt;0,R53/$X53,"")</f>
        <v>1.2902594453267186E-3</v>
      </c>
      <c r="AQ53" s="238">
        <f t="shared" ref="AQ53" si="125">IF($X53&gt;0,S53/$X53,"")</f>
        <v>1.3261058948794889E-2</v>
      </c>
      <c r="AR53" s="238">
        <f t="shared" ref="AR53" si="126">IF($X53&gt;0,T53/$X53,"")</f>
        <v>1.8625262067329632E-2</v>
      </c>
      <c r="AS53" s="238">
        <f t="shared" ref="AS53" si="127">IF($X53&gt;0,U53/$X53,"")</f>
        <v>8.4297659556588998E-3</v>
      </c>
      <c r="AT53" s="238">
        <f t="shared" ref="AT53" si="128">IF($X53&gt;0,V53/$X53,"")</f>
        <v>4.2350931422657299E-2</v>
      </c>
      <c r="AU53" s="238">
        <f t="shared" ref="AU53" si="129">IF($X53&gt;0,W53/$X53,"")</f>
        <v>3.004719605242304E-2</v>
      </c>
      <c r="AV53" s="239">
        <f t="shared" si="87"/>
        <v>0.99999999999999989</v>
      </c>
    </row>
    <row r="54" spans="2:48" ht="16.5" thickTop="1" thickBot="1" x14ac:dyDescent="0.3">
      <c r="B54" s="263" t="s">
        <v>514</v>
      </c>
      <c r="C54" s="264">
        <v>12659</v>
      </c>
      <c r="D54" s="264">
        <v>2379923</v>
      </c>
      <c r="E54" s="264">
        <v>27892</v>
      </c>
      <c r="F54" s="264">
        <v>608709</v>
      </c>
      <c r="G54" s="264">
        <v>16450</v>
      </c>
      <c r="H54" s="264">
        <v>186768</v>
      </c>
      <c r="I54" s="264">
        <v>42603</v>
      </c>
      <c r="J54" s="264">
        <v>22066</v>
      </c>
      <c r="K54" s="264">
        <v>47143</v>
      </c>
      <c r="L54" s="264">
        <v>504832</v>
      </c>
      <c r="M54" s="264">
        <v>504833</v>
      </c>
      <c r="N54" s="264">
        <v>41499</v>
      </c>
      <c r="O54" s="264">
        <v>36263</v>
      </c>
      <c r="P54" s="264">
        <v>257</v>
      </c>
      <c r="Q54" s="264">
        <v>88947</v>
      </c>
      <c r="R54" s="264">
        <v>5451</v>
      </c>
      <c r="S54" s="264">
        <v>56061</v>
      </c>
      <c r="T54" s="264">
        <v>73000</v>
      </c>
      <c r="U54" s="264">
        <v>34319</v>
      </c>
      <c r="V54" s="264">
        <v>201854</v>
      </c>
      <c r="W54" s="264">
        <v>128036</v>
      </c>
      <c r="X54" s="265">
        <f>SUM(C54:W54)</f>
        <v>5019565</v>
      </c>
      <c r="Z54" s="266"/>
      <c r="AA54" s="259"/>
      <c r="AB54" s="259"/>
      <c r="AC54" s="259"/>
      <c r="AD54" s="259"/>
      <c r="AE54" s="259"/>
      <c r="AF54" s="259"/>
      <c r="AG54" s="259"/>
      <c r="AH54" s="259"/>
      <c r="AI54" s="259"/>
      <c r="AJ54" s="259"/>
      <c r="AK54" s="259"/>
      <c r="AL54" s="259"/>
      <c r="AM54" s="259"/>
      <c r="AN54" s="259"/>
      <c r="AO54" s="259"/>
      <c r="AP54" s="259"/>
      <c r="AQ54" s="259"/>
      <c r="AR54" s="259"/>
      <c r="AS54" s="259"/>
      <c r="AT54" s="259"/>
      <c r="AU54" s="259"/>
      <c r="AV54" s="260"/>
    </row>
    <row r="55" spans="2:48" ht="24" thickTop="1" x14ac:dyDescent="0.35">
      <c r="B55" s="232" t="s">
        <v>480</v>
      </c>
      <c r="Z55" s="240" t="s">
        <v>140</v>
      </c>
    </row>
    <row r="56" spans="2:48" ht="18.75" x14ac:dyDescent="0.3">
      <c r="B56" s="373" t="s">
        <v>454</v>
      </c>
      <c r="C56" s="375" t="s">
        <v>455</v>
      </c>
      <c r="D56" s="375"/>
      <c r="E56" s="375"/>
      <c r="F56" s="375"/>
      <c r="G56" s="375"/>
      <c r="H56" s="375"/>
      <c r="I56" s="375"/>
      <c r="J56" s="375"/>
      <c r="K56" s="375"/>
      <c r="L56" s="375"/>
      <c r="M56" s="375"/>
      <c r="N56" s="375"/>
      <c r="O56" s="375"/>
      <c r="P56" s="375"/>
      <c r="Q56" s="375"/>
      <c r="R56" s="375"/>
      <c r="S56" s="375"/>
      <c r="T56" s="375"/>
      <c r="U56" s="375"/>
      <c r="V56" s="375"/>
      <c r="W56" s="376"/>
      <c r="X56" s="377" t="s">
        <v>29</v>
      </c>
      <c r="Z56" s="373" t="s">
        <v>454</v>
      </c>
      <c r="AA56" s="375" t="s">
        <v>455</v>
      </c>
      <c r="AB56" s="375"/>
      <c r="AC56" s="375"/>
      <c r="AD56" s="375"/>
      <c r="AE56" s="375"/>
      <c r="AF56" s="375"/>
      <c r="AG56" s="375"/>
      <c r="AH56" s="375"/>
      <c r="AI56" s="375"/>
      <c r="AJ56" s="375"/>
      <c r="AK56" s="375"/>
      <c r="AL56" s="375"/>
      <c r="AM56" s="375"/>
      <c r="AN56" s="375"/>
      <c r="AO56" s="375"/>
      <c r="AP56" s="375"/>
      <c r="AQ56" s="375"/>
      <c r="AR56" s="375"/>
      <c r="AS56" s="375"/>
      <c r="AT56" s="375"/>
      <c r="AU56" s="376"/>
      <c r="AV56" s="377" t="s">
        <v>29</v>
      </c>
    </row>
    <row r="57" spans="2:48" x14ac:dyDescent="0.25">
      <c r="B57" s="374"/>
      <c r="C57" s="223" t="s">
        <v>484</v>
      </c>
      <c r="D57" s="223" t="s">
        <v>485</v>
      </c>
      <c r="E57" s="223" t="s">
        <v>486</v>
      </c>
      <c r="F57" s="223" t="s">
        <v>487</v>
      </c>
      <c r="G57" s="223" t="s">
        <v>488</v>
      </c>
      <c r="H57" s="223" t="s">
        <v>489</v>
      </c>
      <c r="I57" s="223" t="s">
        <v>490</v>
      </c>
      <c r="J57" s="223" t="s">
        <v>491</v>
      </c>
      <c r="K57" s="223" t="s">
        <v>492</v>
      </c>
      <c r="L57" s="223" t="s">
        <v>493</v>
      </c>
      <c r="M57" s="249" t="s">
        <v>667</v>
      </c>
      <c r="N57" s="223" t="s">
        <v>494</v>
      </c>
      <c r="O57" s="223" t="s">
        <v>495</v>
      </c>
      <c r="P57" s="223" t="s">
        <v>496</v>
      </c>
      <c r="Q57" s="223" t="s">
        <v>497</v>
      </c>
      <c r="R57" s="223" t="s">
        <v>498</v>
      </c>
      <c r="S57" s="223" t="s">
        <v>499</v>
      </c>
      <c r="T57" s="223" t="s">
        <v>500</v>
      </c>
      <c r="U57" s="223" t="s">
        <v>501</v>
      </c>
      <c r="V57" s="223" t="s">
        <v>502</v>
      </c>
      <c r="W57" s="223" t="s">
        <v>503</v>
      </c>
      <c r="X57" s="378"/>
      <c r="Z57" s="374"/>
      <c r="AA57" s="249" t="s">
        <v>484</v>
      </c>
      <c r="AB57" s="249" t="s">
        <v>485</v>
      </c>
      <c r="AC57" s="249" t="s">
        <v>486</v>
      </c>
      <c r="AD57" s="249" t="s">
        <v>487</v>
      </c>
      <c r="AE57" s="249" t="s">
        <v>488</v>
      </c>
      <c r="AF57" s="249" t="s">
        <v>489</v>
      </c>
      <c r="AG57" s="249" t="s">
        <v>490</v>
      </c>
      <c r="AH57" s="249" t="s">
        <v>491</v>
      </c>
      <c r="AI57" s="249" t="s">
        <v>492</v>
      </c>
      <c r="AJ57" s="249" t="s">
        <v>493</v>
      </c>
      <c r="AK57" s="249" t="s">
        <v>667</v>
      </c>
      <c r="AL57" s="249" t="s">
        <v>494</v>
      </c>
      <c r="AM57" s="249" t="s">
        <v>495</v>
      </c>
      <c r="AN57" s="249" t="s">
        <v>496</v>
      </c>
      <c r="AO57" s="249" t="s">
        <v>497</v>
      </c>
      <c r="AP57" s="249" t="s">
        <v>498</v>
      </c>
      <c r="AQ57" s="249" t="s">
        <v>499</v>
      </c>
      <c r="AR57" s="249" t="s">
        <v>500</v>
      </c>
      <c r="AS57" s="249" t="s">
        <v>501</v>
      </c>
      <c r="AT57" s="249" t="s">
        <v>502</v>
      </c>
      <c r="AU57" s="249" t="s">
        <v>503</v>
      </c>
      <c r="AV57" s="378"/>
    </row>
    <row r="58" spans="2:48" x14ac:dyDescent="0.25">
      <c r="B58" s="223" t="s">
        <v>484</v>
      </c>
      <c r="C58" s="224">
        <f>C32-C6</f>
        <v>-2010</v>
      </c>
      <c r="D58" s="225">
        <f t="shared" ref="D58:W58" si="130">D32-D6</f>
        <v>-1824</v>
      </c>
      <c r="E58" s="225">
        <f t="shared" si="130"/>
        <v>-131</v>
      </c>
      <c r="F58" s="225">
        <f t="shared" si="130"/>
        <v>-424</v>
      </c>
      <c r="G58" s="225">
        <f t="shared" si="130"/>
        <v>0</v>
      </c>
      <c r="H58" s="225">
        <f t="shared" si="130"/>
        <v>-772</v>
      </c>
      <c r="I58" s="225">
        <f t="shared" si="130"/>
        <v>0</v>
      </c>
      <c r="J58" s="225">
        <f t="shared" si="130"/>
        <v>-2</v>
      </c>
      <c r="K58" s="225">
        <f t="shared" si="130"/>
        <v>10</v>
      </c>
      <c r="L58" s="225">
        <f t="shared" si="130"/>
        <v>-90</v>
      </c>
      <c r="M58" s="225">
        <f t="shared" si="130"/>
        <v>-36</v>
      </c>
      <c r="N58" s="225">
        <f t="shared" si="130"/>
        <v>0</v>
      </c>
      <c r="O58" s="225">
        <f t="shared" si="130"/>
        <v>0</v>
      </c>
      <c r="P58" s="225">
        <f t="shared" si="130"/>
        <v>-18</v>
      </c>
      <c r="Q58" s="225">
        <f t="shared" si="130"/>
        <v>183</v>
      </c>
      <c r="R58" s="225">
        <f t="shared" si="130"/>
        <v>-43</v>
      </c>
      <c r="S58" s="225">
        <f t="shared" si="130"/>
        <v>0</v>
      </c>
      <c r="T58" s="225">
        <f t="shared" si="130"/>
        <v>5</v>
      </c>
      <c r="U58" s="225">
        <f t="shared" si="130"/>
        <v>-95</v>
      </c>
      <c r="V58" s="225">
        <f t="shared" si="130"/>
        <v>-33</v>
      </c>
      <c r="W58" s="225">
        <f t="shared" si="130"/>
        <v>5073</v>
      </c>
      <c r="X58" s="226">
        <f t="shared" ref="X58:X78" si="131">SUM(C58:W58)</f>
        <v>-207</v>
      </c>
      <c r="Z58" s="223" t="s">
        <v>484</v>
      </c>
      <c r="AA58" s="233">
        <f t="shared" ref="AA58:AU58" si="132">AA32-AA6</f>
        <v>-8.6355278445369665E-2</v>
      </c>
      <c r="AB58" s="234">
        <f t="shared" si="132"/>
        <v>-8.0394759761950735E-2</v>
      </c>
      <c r="AC58" s="234">
        <f t="shared" si="132"/>
        <v>-5.6784795481279529E-3</v>
      </c>
      <c r="AD58" s="234">
        <f t="shared" si="132"/>
        <v>-1.8693353622611573E-2</v>
      </c>
      <c r="AE58" s="234">
        <f t="shared" si="132"/>
        <v>0</v>
      </c>
      <c r="AF58" s="234">
        <f t="shared" si="132"/>
        <v>-3.3784607075603053E-2</v>
      </c>
      <c r="AG58" s="234">
        <f t="shared" si="132"/>
        <v>0</v>
      </c>
      <c r="AH58" s="234">
        <f t="shared" si="132"/>
        <v>-8.8214537755822164E-5</v>
      </c>
      <c r="AI58" s="234">
        <f t="shared" si="132"/>
        <v>4.4513687959047408E-4</v>
      </c>
      <c r="AJ58" s="234">
        <f t="shared" si="132"/>
        <v>-3.9473011495494998E-3</v>
      </c>
      <c r="AK58" s="234">
        <f t="shared" ref="AK58" si="133">AK32-AK6</f>
        <v>-1.587861679604799E-3</v>
      </c>
      <c r="AL58" s="234">
        <f t="shared" si="132"/>
        <v>0</v>
      </c>
      <c r="AM58" s="234">
        <f t="shared" si="132"/>
        <v>0</v>
      </c>
      <c r="AN58" s="234">
        <f t="shared" si="132"/>
        <v>-7.9393083980239948E-4</v>
      </c>
      <c r="AO58" s="234">
        <f t="shared" si="132"/>
        <v>9.0531322856019503E-3</v>
      </c>
      <c r="AP58" s="234">
        <f t="shared" si="132"/>
        <v>-1.8864520847217685E-3</v>
      </c>
      <c r="AQ58" s="234">
        <f t="shared" si="132"/>
        <v>0</v>
      </c>
      <c r="AR58" s="234">
        <f t="shared" si="132"/>
        <v>2.2256843979523704E-4</v>
      </c>
      <c r="AS58" s="234">
        <f t="shared" si="132"/>
        <v>-4.1617412077220098E-3</v>
      </c>
      <c r="AT58" s="234">
        <f t="shared" si="132"/>
        <v>-1.4555398729710657E-3</v>
      </c>
      <c r="AU58" s="234">
        <f t="shared" si="132"/>
        <v>0.22910668222080272</v>
      </c>
      <c r="AV58" s="237">
        <f t="shared" ref="AV58:AV79" si="134">SUM(AA58:AU58)</f>
        <v>0</v>
      </c>
    </row>
    <row r="59" spans="2:48" x14ac:dyDescent="0.25">
      <c r="B59" s="223" t="s">
        <v>485</v>
      </c>
      <c r="C59" s="225">
        <f t="shared" ref="C59:W59" si="135">C33-C7</f>
        <v>-87</v>
      </c>
      <c r="D59" s="224">
        <f t="shared" si="135"/>
        <v>28628</v>
      </c>
      <c r="E59" s="225">
        <f t="shared" si="135"/>
        <v>-648</v>
      </c>
      <c r="F59" s="225">
        <f t="shared" si="135"/>
        <v>-13435</v>
      </c>
      <c r="G59" s="225">
        <f t="shared" si="135"/>
        <v>-420</v>
      </c>
      <c r="H59" s="225">
        <f t="shared" si="135"/>
        <v>-12155</v>
      </c>
      <c r="I59" s="225">
        <f t="shared" si="135"/>
        <v>-994</v>
      </c>
      <c r="J59" s="225">
        <f t="shared" si="135"/>
        <v>-602</v>
      </c>
      <c r="K59" s="225">
        <f t="shared" si="135"/>
        <v>-626</v>
      </c>
      <c r="L59" s="225">
        <f t="shared" si="135"/>
        <v>-29926</v>
      </c>
      <c r="M59" s="225">
        <f t="shared" si="135"/>
        <v>4573</v>
      </c>
      <c r="N59" s="225">
        <f t="shared" si="135"/>
        <v>-188</v>
      </c>
      <c r="O59" s="225">
        <f t="shared" si="135"/>
        <v>-212</v>
      </c>
      <c r="P59" s="225">
        <f t="shared" si="135"/>
        <v>-112</v>
      </c>
      <c r="Q59" s="225">
        <f t="shared" si="135"/>
        <v>-4023</v>
      </c>
      <c r="R59" s="225">
        <f t="shared" si="135"/>
        <v>-46</v>
      </c>
      <c r="S59" s="225">
        <f t="shared" si="135"/>
        <v>-316</v>
      </c>
      <c r="T59" s="225">
        <f t="shared" si="135"/>
        <v>-93</v>
      </c>
      <c r="U59" s="225">
        <f t="shared" si="135"/>
        <v>-183</v>
      </c>
      <c r="V59" s="225">
        <f t="shared" si="135"/>
        <v>-19429</v>
      </c>
      <c r="W59" s="225">
        <f t="shared" si="135"/>
        <v>-963</v>
      </c>
      <c r="X59" s="226">
        <f t="shared" si="131"/>
        <v>-51257</v>
      </c>
      <c r="Z59" s="223" t="s">
        <v>485</v>
      </c>
      <c r="AA59" s="234">
        <f t="shared" ref="AA59:AU59" si="136">AA33-AA7</f>
        <v>-3.7149291473340899E-5</v>
      </c>
      <c r="AB59" s="233">
        <f t="shared" si="136"/>
        <v>3.2161482902580696E-2</v>
      </c>
      <c r="AC59" s="234">
        <f t="shared" si="136"/>
        <v>-2.7665039641531965E-4</v>
      </c>
      <c r="AD59" s="234">
        <f t="shared" si="136"/>
        <v>-4.5710907827271538E-3</v>
      </c>
      <c r="AE59" s="234">
        <f t="shared" si="136"/>
        <v>-1.793414071126802E-4</v>
      </c>
      <c r="AF59" s="234">
        <f t="shared" si="136"/>
        <v>-5.1188027575089588E-3</v>
      </c>
      <c r="AG59" s="234">
        <f t="shared" si="136"/>
        <v>-4.208104637184112E-4</v>
      </c>
      <c r="AH59" s="234">
        <f t="shared" si="136"/>
        <v>-2.5657827127621019E-4</v>
      </c>
      <c r="AI59" s="234">
        <f t="shared" si="136"/>
        <v>-2.6725632270941735E-4</v>
      </c>
      <c r="AJ59" s="234">
        <f t="shared" si="136"/>
        <v>-1.2452584221838396E-2</v>
      </c>
      <c r="AK59" s="234">
        <f t="shared" ref="AK59" si="137">AK33-AK7</f>
        <v>2.1344207414242542E-3</v>
      </c>
      <c r="AL59" s="234">
        <f t="shared" si="136"/>
        <v>-8.0085531616318583E-5</v>
      </c>
      <c r="AM59" s="234">
        <f t="shared" si="136"/>
        <v>-9.0524710256876671E-5</v>
      </c>
      <c r="AN59" s="234">
        <f t="shared" si="136"/>
        <v>-4.7824375230048057E-5</v>
      </c>
      <c r="AO59" s="234">
        <f t="shared" si="136"/>
        <v>-1.7132958950689839E-3</v>
      </c>
      <c r="AP59" s="234">
        <f t="shared" si="136"/>
        <v>-1.9642154112341164E-5</v>
      </c>
      <c r="AQ59" s="234">
        <f t="shared" si="136"/>
        <v>-1.3392979295565253E-4</v>
      </c>
      <c r="AR59" s="234">
        <f t="shared" si="136"/>
        <v>-3.971131157495062E-5</v>
      </c>
      <c r="AS59" s="234">
        <f t="shared" si="136"/>
        <v>-7.8141613099096376E-5</v>
      </c>
      <c r="AT59" s="234">
        <f t="shared" si="136"/>
        <v>-8.1013278935609251E-3</v>
      </c>
      <c r="AU59" s="234">
        <f t="shared" si="136"/>
        <v>-4.111564517498298E-4</v>
      </c>
      <c r="AV59" s="237">
        <f t="shared" si="134"/>
        <v>3.6212352561015848E-17</v>
      </c>
    </row>
    <row r="60" spans="2:48" x14ac:dyDescent="0.25">
      <c r="B60" s="223" t="s">
        <v>486</v>
      </c>
      <c r="C60" s="225">
        <f t="shared" ref="C60:W60" si="138">C34-C8</f>
        <v>1288</v>
      </c>
      <c r="D60" s="225">
        <f t="shared" si="138"/>
        <v>-868</v>
      </c>
      <c r="E60" s="224">
        <f t="shared" si="138"/>
        <v>-9044</v>
      </c>
      <c r="F60" s="225">
        <f t="shared" si="138"/>
        <v>1135</v>
      </c>
      <c r="G60" s="225">
        <f t="shared" si="138"/>
        <v>31</v>
      </c>
      <c r="H60" s="225">
        <f t="shared" si="138"/>
        <v>5283</v>
      </c>
      <c r="I60" s="225">
        <f t="shared" si="138"/>
        <v>-17</v>
      </c>
      <c r="J60" s="225">
        <f t="shared" si="138"/>
        <v>112</v>
      </c>
      <c r="K60" s="225">
        <f t="shared" si="138"/>
        <v>-8</v>
      </c>
      <c r="L60" s="225">
        <f t="shared" si="138"/>
        <v>-188</v>
      </c>
      <c r="M60" s="225">
        <f t="shared" si="138"/>
        <v>-14</v>
      </c>
      <c r="N60" s="225">
        <f t="shared" si="138"/>
        <v>0</v>
      </c>
      <c r="O60" s="225">
        <f t="shared" si="138"/>
        <v>-249</v>
      </c>
      <c r="P60" s="225">
        <f t="shared" si="138"/>
        <v>-23</v>
      </c>
      <c r="Q60" s="225">
        <f t="shared" si="138"/>
        <v>-22</v>
      </c>
      <c r="R60" s="225">
        <f t="shared" si="138"/>
        <v>488</v>
      </c>
      <c r="S60" s="225">
        <f t="shared" si="138"/>
        <v>-3</v>
      </c>
      <c r="T60" s="225">
        <f t="shared" si="138"/>
        <v>0</v>
      </c>
      <c r="U60" s="225">
        <f t="shared" si="138"/>
        <v>-16</v>
      </c>
      <c r="V60" s="225">
        <f t="shared" si="138"/>
        <v>-111</v>
      </c>
      <c r="W60" s="225">
        <f t="shared" si="138"/>
        <v>1174</v>
      </c>
      <c r="X60" s="226">
        <f t="shared" si="131"/>
        <v>-1052</v>
      </c>
      <c r="Z60" s="223" t="s">
        <v>486</v>
      </c>
      <c r="AA60" s="234">
        <f t="shared" ref="AA60:AU60" si="139">AA34-AA8</f>
        <v>2.6824534434189355E-2</v>
      </c>
      <c r="AB60" s="234">
        <f t="shared" si="139"/>
        <v>-1.6990428161829423E-2</v>
      </c>
      <c r="AC60" s="233">
        <f t="shared" si="139"/>
        <v>-0.17471905908923213</v>
      </c>
      <c r="AD60" s="234">
        <f t="shared" si="139"/>
        <v>2.5020187612781714E-2</v>
      </c>
      <c r="AE60" s="234">
        <f t="shared" si="139"/>
        <v>6.6371434856702359E-4</v>
      </c>
      <c r="AF60" s="234">
        <f t="shared" si="139"/>
        <v>0.1135714177438561</v>
      </c>
      <c r="AG60" s="234">
        <f t="shared" si="139"/>
        <v>-3.4569005836061572E-4</v>
      </c>
      <c r="AH60" s="234">
        <f t="shared" si="139"/>
        <v>3.0264892599723911E-3</v>
      </c>
      <c r="AI60" s="234">
        <f t="shared" si="139"/>
        <v>-1.626776745226427E-4</v>
      </c>
      <c r="AJ60" s="234">
        <f t="shared" si="139"/>
        <v>-3.7851418768514158E-3</v>
      </c>
      <c r="AK60" s="234">
        <f t="shared" ref="AK60" si="140">AK34-AK8</f>
        <v>-2.846859304146247E-4</v>
      </c>
      <c r="AL60" s="234">
        <f t="shared" si="139"/>
        <v>0</v>
      </c>
      <c r="AM60" s="234">
        <f t="shared" si="139"/>
        <v>-4.978885441378071E-3</v>
      </c>
      <c r="AN60" s="234">
        <f t="shared" si="139"/>
        <v>-4.4991785569698005E-4</v>
      </c>
      <c r="AO60" s="234">
        <f t="shared" si="139"/>
        <v>-1.5398603876957614E-4</v>
      </c>
      <c r="AP60" s="234">
        <f t="shared" si="139"/>
        <v>1.0394520297605072E-2</v>
      </c>
      <c r="AQ60" s="234">
        <f t="shared" si="139"/>
        <v>-6.1004127945991015E-5</v>
      </c>
      <c r="AR60" s="234">
        <f t="shared" si="139"/>
        <v>0</v>
      </c>
      <c r="AS60" s="234">
        <f t="shared" si="139"/>
        <v>-3.253553490452854E-4</v>
      </c>
      <c r="AT60" s="234">
        <f t="shared" si="139"/>
        <v>-2.1193541801956305E-3</v>
      </c>
      <c r="AU60" s="234">
        <f t="shared" si="139"/>
        <v>2.4875322087270758E-2</v>
      </c>
      <c r="AV60" s="237">
        <f t="shared" si="134"/>
        <v>0</v>
      </c>
    </row>
    <row r="61" spans="2:48" x14ac:dyDescent="0.25">
      <c r="B61" s="223" t="s">
        <v>487</v>
      </c>
      <c r="C61" s="225">
        <f t="shared" ref="C61:W61" si="141">C35-C9</f>
        <v>-31</v>
      </c>
      <c r="D61" s="225">
        <f t="shared" si="141"/>
        <v>-38658</v>
      </c>
      <c r="E61" s="225">
        <f t="shared" si="141"/>
        <v>-485</v>
      </c>
      <c r="F61" s="224">
        <f t="shared" si="141"/>
        <v>58809</v>
      </c>
      <c r="G61" s="225">
        <f t="shared" si="141"/>
        <v>-135</v>
      </c>
      <c r="H61" s="225">
        <f t="shared" si="141"/>
        <v>-8172</v>
      </c>
      <c r="I61" s="225">
        <f t="shared" si="141"/>
        <v>-50</v>
      </c>
      <c r="J61" s="225">
        <f t="shared" si="141"/>
        <v>-1128</v>
      </c>
      <c r="K61" s="225">
        <f t="shared" si="141"/>
        <v>-30</v>
      </c>
      <c r="L61" s="225">
        <f t="shared" si="141"/>
        <v>-5926</v>
      </c>
      <c r="M61" s="225">
        <f t="shared" si="141"/>
        <v>-470</v>
      </c>
      <c r="N61" s="225">
        <f t="shared" si="141"/>
        <v>0</v>
      </c>
      <c r="O61" s="225">
        <f t="shared" si="141"/>
        <v>-113</v>
      </c>
      <c r="P61" s="225">
        <f t="shared" si="141"/>
        <v>0</v>
      </c>
      <c r="Q61" s="225">
        <f t="shared" si="141"/>
        <v>-829</v>
      </c>
      <c r="R61" s="225">
        <f t="shared" si="141"/>
        <v>-45</v>
      </c>
      <c r="S61" s="225">
        <f t="shared" si="141"/>
        <v>-76</v>
      </c>
      <c r="T61" s="225">
        <f t="shared" si="141"/>
        <v>0</v>
      </c>
      <c r="U61" s="225">
        <f t="shared" si="141"/>
        <v>-15</v>
      </c>
      <c r="V61" s="225">
        <f t="shared" si="141"/>
        <v>-8714</v>
      </c>
      <c r="W61" s="225">
        <f t="shared" si="141"/>
        <v>-173</v>
      </c>
      <c r="X61" s="226">
        <f t="shared" si="131"/>
        <v>-6241</v>
      </c>
      <c r="Z61" s="223" t="s">
        <v>487</v>
      </c>
      <c r="AA61" s="234">
        <f t="shared" ref="AA61:AU61" si="142">AA35-AA9</f>
        <v>-6.7942078282424265E-5</v>
      </c>
      <c r="AB61" s="234">
        <f t="shared" si="142"/>
        <v>-8.1725757802333626E-2</v>
      </c>
      <c r="AC61" s="234">
        <f t="shared" si="142"/>
        <v>-1.0625088610379161E-3</v>
      </c>
      <c r="AD61" s="233">
        <f t="shared" si="142"/>
        <v>0.13903500578367911</v>
      </c>
      <c r="AE61" s="234">
        <f t="shared" si="142"/>
        <v>-2.958767925202347E-4</v>
      </c>
      <c r="AF61" s="234">
        <f t="shared" si="142"/>
        <v>-1.7606467113668589E-2</v>
      </c>
      <c r="AG61" s="234">
        <f t="shared" si="142"/>
        <v>-1.0958399722971655E-4</v>
      </c>
      <c r="AH61" s="234">
        <f t="shared" si="142"/>
        <v>-2.4608171752440447E-3</v>
      </c>
      <c r="AI61" s="234">
        <f t="shared" si="142"/>
        <v>-6.5750398337829924E-5</v>
      </c>
      <c r="AJ61" s="234">
        <f t="shared" si="142"/>
        <v>-1.2958413036491047E-2</v>
      </c>
      <c r="AK61" s="234">
        <f t="shared" ref="AK61" si="143">AK35-AK9</f>
        <v>-1.0300895739593357E-3</v>
      </c>
      <c r="AL61" s="234">
        <f t="shared" si="142"/>
        <v>0</v>
      </c>
      <c r="AM61" s="234">
        <f t="shared" si="142"/>
        <v>-2.4765983373915943E-4</v>
      </c>
      <c r="AN61" s="234">
        <f t="shared" si="142"/>
        <v>0</v>
      </c>
      <c r="AO61" s="234">
        <f t="shared" si="142"/>
        <v>-1.8144711429202501E-3</v>
      </c>
      <c r="AP61" s="234">
        <f t="shared" si="142"/>
        <v>-9.8625597506744899E-5</v>
      </c>
      <c r="AQ61" s="234">
        <f t="shared" si="142"/>
        <v>-1.6656767578916915E-4</v>
      </c>
      <c r="AR61" s="234">
        <f t="shared" si="142"/>
        <v>0</v>
      </c>
      <c r="AS61" s="234">
        <f t="shared" si="142"/>
        <v>-3.2875199168914962E-5</v>
      </c>
      <c r="AT61" s="234">
        <f t="shared" si="142"/>
        <v>-1.8912438875035339E-2</v>
      </c>
      <c r="AU61" s="234">
        <f t="shared" si="142"/>
        <v>-3.7916063041481927E-4</v>
      </c>
      <c r="AV61" s="237">
        <f t="shared" si="134"/>
        <v>-5.3830637863905295E-17</v>
      </c>
    </row>
    <row r="62" spans="2:48" x14ac:dyDescent="0.25">
      <c r="B62" s="223" t="s">
        <v>488</v>
      </c>
      <c r="C62" s="225">
        <f t="shared" ref="C62:W62" si="144">C36-C10</f>
        <v>-24</v>
      </c>
      <c r="D62" s="225">
        <f t="shared" si="144"/>
        <v>-1454</v>
      </c>
      <c r="E62" s="225">
        <f t="shared" si="144"/>
        <v>25</v>
      </c>
      <c r="F62" s="225">
        <f t="shared" si="144"/>
        <v>35</v>
      </c>
      <c r="G62" s="224">
        <f t="shared" si="144"/>
        <v>1245</v>
      </c>
      <c r="H62" s="225">
        <f t="shared" si="144"/>
        <v>24</v>
      </c>
      <c r="I62" s="225">
        <f t="shared" si="144"/>
        <v>568</v>
      </c>
      <c r="J62" s="225">
        <f t="shared" si="144"/>
        <v>482</v>
      </c>
      <c r="K62" s="225">
        <f t="shared" si="144"/>
        <v>0</v>
      </c>
      <c r="L62" s="225">
        <f t="shared" si="144"/>
        <v>-15</v>
      </c>
      <c r="M62" s="225">
        <f t="shared" si="144"/>
        <v>-97</v>
      </c>
      <c r="N62" s="225">
        <f t="shared" si="144"/>
        <v>0</v>
      </c>
      <c r="O62" s="225">
        <f t="shared" si="144"/>
        <v>-331</v>
      </c>
      <c r="P62" s="225">
        <f t="shared" si="144"/>
        <v>0</v>
      </c>
      <c r="Q62" s="225">
        <f t="shared" si="144"/>
        <v>-24</v>
      </c>
      <c r="R62" s="225">
        <f t="shared" si="144"/>
        <v>0</v>
      </c>
      <c r="S62" s="225">
        <f t="shared" si="144"/>
        <v>0</v>
      </c>
      <c r="T62" s="225">
        <f t="shared" si="144"/>
        <v>0</v>
      </c>
      <c r="U62" s="225">
        <f t="shared" si="144"/>
        <v>0</v>
      </c>
      <c r="V62" s="225">
        <f t="shared" si="144"/>
        <v>-749</v>
      </c>
      <c r="W62" s="225">
        <f t="shared" si="144"/>
        <v>0</v>
      </c>
      <c r="X62" s="226">
        <f t="shared" si="131"/>
        <v>-315</v>
      </c>
      <c r="Z62" s="223" t="s">
        <v>488</v>
      </c>
      <c r="AA62" s="234">
        <f t="shared" ref="AA62:AU62" si="145">AA36-AA10</f>
        <v>-1.0923987255348202E-3</v>
      </c>
      <c r="AB62" s="234">
        <f t="shared" si="145"/>
        <v>-6.5883211999486713E-2</v>
      </c>
      <c r="AC62" s="234">
        <f t="shared" si="145"/>
        <v>1.1544677903486493E-3</v>
      </c>
      <c r="AD62" s="234">
        <f t="shared" si="145"/>
        <v>2.3379417809827954E-3</v>
      </c>
      <c r="AE62" s="233">
        <f t="shared" si="145"/>
        <v>6.3971125378565086E-2</v>
      </c>
      <c r="AF62" s="234">
        <f t="shared" si="145"/>
        <v>1.2877176502833817E-3</v>
      </c>
      <c r="AG62" s="234">
        <f t="shared" si="145"/>
        <v>2.6373183473570254E-2</v>
      </c>
      <c r="AH62" s="234">
        <f t="shared" si="145"/>
        <v>2.2445512746070581E-2</v>
      </c>
      <c r="AI62" s="234">
        <f t="shared" si="145"/>
        <v>0</v>
      </c>
      <c r="AJ62" s="234">
        <f t="shared" si="145"/>
        <v>-6.8274920345926264E-4</v>
      </c>
      <c r="AK62" s="234">
        <f t="shared" ref="AK62" si="146">AK36-AK10</f>
        <v>-4.4051800449533048E-3</v>
      </c>
      <c r="AL62" s="234">
        <f t="shared" si="145"/>
        <v>0</v>
      </c>
      <c r="AM62" s="234">
        <f t="shared" si="145"/>
        <v>-1.4688603201170505E-2</v>
      </c>
      <c r="AN62" s="234">
        <f t="shared" si="145"/>
        <v>0</v>
      </c>
      <c r="AO62" s="234">
        <f t="shared" si="145"/>
        <v>-1.0923987255348202E-3</v>
      </c>
      <c r="AP62" s="234">
        <f t="shared" si="145"/>
        <v>0</v>
      </c>
      <c r="AQ62" s="234">
        <f t="shared" si="145"/>
        <v>0</v>
      </c>
      <c r="AR62" s="234">
        <f t="shared" si="145"/>
        <v>0</v>
      </c>
      <c r="AS62" s="234">
        <f t="shared" si="145"/>
        <v>0</v>
      </c>
      <c r="AT62" s="234">
        <f t="shared" si="145"/>
        <v>-2.9725406919681285E-2</v>
      </c>
      <c r="AU62" s="234">
        <f t="shared" si="145"/>
        <v>0</v>
      </c>
      <c r="AV62" s="237">
        <f t="shared" si="134"/>
        <v>4.8572257327350599E-17</v>
      </c>
    </row>
    <row r="63" spans="2:48" x14ac:dyDescent="0.25">
      <c r="B63" s="223" t="s">
        <v>489</v>
      </c>
      <c r="C63" s="225">
        <f t="shared" ref="C63:W63" si="147">C37-C11</f>
        <v>-173</v>
      </c>
      <c r="D63" s="225">
        <f t="shared" si="147"/>
        <v>-6596</v>
      </c>
      <c r="E63" s="225">
        <f t="shared" si="147"/>
        <v>-1121</v>
      </c>
      <c r="F63" s="225">
        <f t="shared" si="147"/>
        <v>17732</v>
      </c>
      <c r="G63" s="225">
        <f t="shared" si="147"/>
        <v>-150</v>
      </c>
      <c r="H63" s="224">
        <f t="shared" si="147"/>
        <v>-5094</v>
      </c>
      <c r="I63" s="225">
        <f t="shared" si="147"/>
        <v>-20</v>
      </c>
      <c r="J63" s="225">
        <f t="shared" si="147"/>
        <v>-2107</v>
      </c>
      <c r="K63" s="225">
        <f t="shared" si="147"/>
        <v>-13</v>
      </c>
      <c r="L63" s="225">
        <f t="shared" si="147"/>
        <v>-544</v>
      </c>
      <c r="M63" s="225">
        <f t="shared" si="147"/>
        <v>-171</v>
      </c>
      <c r="N63" s="225">
        <f t="shared" si="147"/>
        <v>0</v>
      </c>
      <c r="O63" s="225">
        <f t="shared" si="147"/>
        <v>-230</v>
      </c>
      <c r="P63" s="225">
        <f t="shared" si="147"/>
        <v>5</v>
      </c>
      <c r="Q63" s="225">
        <f t="shared" si="147"/>
        <v>-2555</v>
      </c>
      <c r="R63" s="225">
        <f t="shared" si="147"/>
        <v>-169</v>
      </c>
      <c r="S63" s="225">
        <f t="shared" si="147"/>
        <v>0</v>
      </c>
      <c r="T63" s="225">
        <f t="shared" si="147"/>
        <v>-17</v>
      </c>
      <c r="U63" s="225">
        <f t="shared" si="147"/>
        <v>-31</v>
      </c>
      <c r="V63" s="225">
        <f t="shared" si="147"/>
        <v>-1844</v>
      </c>
      <c r="W63" s="225">
        <f t="shared" si="147"/>
        <v>-433</v>
      </c>
      <c r="X63" s="226">
        <f t="shared" si="131"/>
        <v>-3531</v>
      </c>
      <c r="Z63" s="223" t="s">
        <v>489</v>
      </c>
      <c r="AA63" s="234">
        <f t="shared" ref="AA63:AU63" si="148">AA37-AA11</f>
        <v>-7.168461968341559E-4</v>
      </c>
      <c r="AB63" s="234">
        <f t="shared" si="148"/>
        <v>-2.51171116670168E-2</v>
      </c>
      <c r="AC63" s="234">
        <f t="shared" si="148"/>
        <v>-4.6112769764515846E-3</v>
      </c>
      <c r="AD63" s="234">
        <f t="shared" si="148"/>
        <v>7.7838458690057066E-2</v>
      </c>
      <c r="AE63" s="234">
        <f t="shared" si="148"/>
        <v>-6.2407743799985937E-4</v>
      </c>
      <c r="AF63" s="233">
        <f t="shared" si="148"/>
        <v>-1.3616980647219279E-2</v>
      </c>
      <c r="AG63" s="234">
        <f t="shared" si="148"/>
        <v>-8.3376411145758643E-5</v>
      </c>
      <c r="AH63" s="234">
        <f t="shared" si="148"/>
        <v>-8.622705221267719E-3</v>
      </c>
      <c r="AI63" s="234">
        <f t="shared" si="148"/>
        <v>-5.4194667244743117E-5</v>
      </c>
      <c r="AJ63" s="234">
        <f t="shared" si="148"/>
        <v>-2.0794344871734125E-3</v>
      </c>
      <c r="AK63" s="234">
        <f t="shared" ref="AK63" si="149">AK37-AK11</f>
        <v>-7.1286831529623635E-4</v>
      </c>
      <c r="AL63" s="234">
        <f t="shared" si="148"/>
        <v>0</v>
      </c>
      <c r="AM63" s="234">
        <f t="shared" si="148"/>
        <v>-9.588287281762244E-4</v>
      </c>
      <c r="AN63" s="234">
        <f t="shared" si="148"/>
        <v>2.1155514184772261E-5</v>
      </c>
      <c r="AO63" s="234">
        <f t="shared" si="148"/>
        <v>-1.0398159057026263E-2</v>
      </c>
      <c r="AP63" s="234">
        <f t="shared" si="148"/>
        <v>-7.0390785138499531E-4</v>
      </c>
      <c r="AQ63" s="234">
        <f t="shared" si="148"/>
        <v>0</v>
      </c>
      <c r="AR63" s="234">
        <f t="shared" si="148"/>
        <v>-7.086994947389484E-5</v>
      </c>
      <c r="AS63" s="234">
        <f t="shared" si="148"/>
        <v>-1.2892202587759329E-4</v>
      </c>
      <c r="AT63" s="234">
        <f t="shared" si="148"/>
        <v>-7.5599378457209127E-3</v>
      </c>
      <c r="AU63" s="234">
        <f t="shared" si="148"/>
        <v>-1.8001167189323529E-3</v>
      </c>
      <c r="AV63" s="237">
        <f t="shared" si="134"/>
        <v>5.2909066017292616E-17</v>
      </c>
    </row>
    <row r="64" spans="2:48" x14ac:dyDescent="0.25">
      <c r="B64" s="223" t="s">
        <v>490</v>
      </c>
      <c r="C64" s="225">
        <f t="shared" ref="C64:W64" si="150">C38-C12</f>
        <v>0</v>
      </c>
      <c r="D64" s="225">
        <f t="shared" si="150"/>
        <v>-1850</v>
      </c>
      <c r="E64" s="225">
        <f t="shared" si="150"/>
        <v>-49</v>
      </c>
      <c r="F64" s="225">
        <f t="shared" si="150"/>
        <v>-215</v>
      </c>
      <c r="G64" s="225">
        <f t="shared" si="150"/>
        <v>-57</v>
      </c>
      <c r="H64" s="225">
        <f t="shared" si="150"/>
        <v>-83</v>
      </c>
      <c r="I64" s="224">
        <f t="shared" si="150"/>
        <v>903</v>
      </c>
      <c r="J64" s="225">
        <f t="shared" si="150"/>
        <v>-4</v>
      </c>
      <c r="K64" s="225">
        <f t="shared" si="150"/>
        <v>0</v>
      </c>
      <c r="L64" s="225">
        <f t="shared" si="150"/>
        <v>-18</v>
      </c>
      <c r="M64" s="225">
        <f t="shared" si="150"/>
        <v>748</v>
      </c>
      <c r="N64" s="225">
        <f t="shared" si="150"/>
        <v>-7</v>
      </c>
      <c r="O64" s="225">
        <f t="shared" si="150"/>
        <v>-24</v>
      </c>
      <c r="P64" s="225">
        <f t="shared" si="150"/>
        <v>0</v>
      </c>
      <c r="Q64" s="225">
        <f t="shared" si="150"/>
        <v>0</v>
      </c>
      <c r="R64" s="225">
        <f t="shared" si="150"/>
        <v>-16</v>
      </c>
      <c r="S64" s="225">
        <f t="shared" si="150"/>
        <v>-76</v>
      </c>
      <c r="T64" s="225">
        <f t="shared" si="150"/>
        <v>0</v>
      </c>
      <c r="U64" s="225">
        <f t="shared" si="150"/>
        <v>0</v>
      </c>
      <c r="V64" s="225">
        <f t="shared" si="150"/>
        <v>779</v>
      </c>
      <c r="W64" s="225">
        <f t="shared" si="150"/>
        <v>0</v>
      </c>
      <c r="X64" s="226">
        <f t="shared" si="131"/>
        <v>31</v>
      </c>
      <c r="Z64" s="223" t="s">
        <v>490</v>
      </c>
      <c r="AA64" s="234">
        <f t="shared" ref="AA64:AU64" si="151">AA38-AA12</f>
        <v>0</v>
      </c>
      <c r="AB64" s="234">
        <f t="shared" si="151"/>
        <v>-3.9303665543730493E-2</v>
      </c>
      <c r="AC64" s="234">
        <f t="shared" si="151"/>
        <v>-1.0399202020416392E-3</v>
      </c>
      <c r="AD64" s="234">
        <f t="shared" si="151"/>
        <v>-4.5645895952120688E-3</v>
      </c>
      <c r="AE64" s="234">
        <f t="shared" si="151"/>
        <v>-1.2126333324008485E-3</v>
      </c>
      <c r="AF64" s="234">
        <f t="shared" si="151"/>
        <v>-1.7615672527154628E-3</v>
      </c>
      <c r="AG64" s="233">
        <f t="shared" si="151"/>
        <v>1.8642870265279221E-2</v>
      </c>
      <c r="AH64" s="234">
        <f t="shared" si="151"/>
        <v>-8.4891445064623608E-5</v>
      </c>
      <c r="AI64" s="234">
        <f t="shared" si="151"/>
        <v>0</v>
      </c>
      <c r="AJ64" s="234">
        <f t="shared" si="151"/>
        <v>-3.8201150279080625E-4</v>
      </c>
      <c r="AK64" s="234">
        <f t="shared" ref="AK64" si="152">AK38-AK12</f>
        <v>1.5859490884938626E-2</v>
      </c>
      <c r="AL64" s="234">
        <f t="shared" si="151"/>
        <v>-1.4856002886309133E-4</v>
      </c>
      <c r="AM64" s="234">
        <f t="shared" si="151"/>
        <v>-5.0941843801226457E-4</v>
      </c>
      <c r="AN64" s="234">
        <f t="shared" si="151"/>
        <v>0</v>
      </c>
      <c r="AO64" s="234">
        <f t="shared" si="151"/>
        <v>0</v>
      </c>
      <c r="AP64" s="234">
        <f t="shared" si="151"/>
        <v>-3.3956578025849443E-4</v>
      </c>
      <c r="AQ64" s="234">
        <f t="shared" si="151"/>
        <v>-1.6129374562278487E-3</v>
      </c>
      <c r="AR64" s="234">
        <f t="shared" si="151"/>
        <v>0</v>
      </c>
      <c r="AS64" s="234">
        <f t="shared" si="151"/>
        <v>0</v>
      </c>
      <c r="AT64" s="234">
        <f t="shared" si="151"/>
        <v>1.645739942709977E-2</v>
      </c>
      <c r="AU64" s="234">
        <f t="shared" si="151"/>
        <v>0</v>
      </c>
      <c r="AV64" s="237">
        <f t="shared" si="134"/>
        <v>-2.7755575615628914E-17</v>
      </c>
    </row>
    <row r="65" spans="2:48" x14ac:dyDescent="0.25">
      <c r="B65" s="223" t="s">
        <v>491</v>
      </c>
      <c r="C65" s="225">
        <f t="shared" ref="C65:W65" si="153">C39-C13</f>
        <v>-11</v>
      </c>
      <c r="D65" s="225">
        <f t="shared" si="153"/>
        <v>-3747</v>
      </c>
      <c r="E65" s="225">
        <f t="shared" si="153"/>
        <v>-472</v>
      </c>
      <c r="F65" s="225">
        <f t="shared" si="153"/>
        <v>4656</v>
      </c>
      <c r="G65" s="225">
        <f t="shared" si="153"/>
        <v>-143</v>
      </c>
      <c r="H65" s="225">
        <f t="shared" si="153"/>
        <v>939</v>
      </c>
      <c r="I65" s="225">
        <f t="shared" si="153"/>
        <v>10</v>
      </c>
      <c r="J65" s="224">
        <f t="shared" si="153"/>
        <v>-2650</v>
      </c>
      <c r="K65" s="225">
        <f t="shared" si="153"/>
        <v>0</v>
      </c>
      <c r="L65" s="225">
        <f t="shared" si="153"/>
        <v>-163</v>
      </c>
      <c r="M65" s="225">
        <f t="shared" si="153"/>
        <v>-21</v>
      </c>
      <c r="N65" s="225">
        <f t="shared" si="153"/>
        <v>0</v>
      </c>
      <c r="O65" s="225">
        <f t="shared" si="153"/>
        <v>-129</v>
      </c>
      <c r="P65" s="225">
        <f t="shared" si="153"/>
        <v>0</v>
      </c>
      <c r="Q65" s="225">
        <f t="shared" si="153"/>
        <v>-82</v>
      </c>
      <c r="R65" s="225">
        <f t="shared" si="153"/>
        <v>-15</v>
      </c>
      <c r="S65" s="225">
        <f t="shared" si="153"/>
        <v>0</v>
      </c>
      <c r="T65" s="225">
        <f t="shared" si="153"/>
        <v>0</v>
      </c>
      <c r="U65" s="225">
        <f t="shared" si="153"/>
        <v>0</v>
      </c>
      <c r="V65" s="225">
        <f t="shared" si="153"/>
        <v>311</v>
      </c>
      <c r="W65" s="225">
        <f t="shared" si="153"/>
        <v>0</v>
      </c>
      <c r="X65" s="226">
        <f t="shared" si="131"/>
        <v>-1517</v>
      </c>
      <c r="Z65" s="223" t="s">
        <v>491</v>
      </c>
      <c r="AA65" s="234">
        <f t="shared" ref="AA65:AU65" si="154">AA39-AA13</f>
        <v>-1.9601903166598358E-4</v>
      </c>
      <c r="AB65" s="234">
        <f t="shared" si="154"/>
        <v>-6.5521066628128663E-2</v>
      </c>
      <c r="AC65" s="234">
        <f t="shared" si="154"/>
        <v>-8.0867037934415024E-3</v>
      </c>
      <c r="AD65" s="234">
        <f t="shared" si="154"/>
        <v>9.2297313677644044E-2</v>
      </c>
      <c r="AE65" s="234">
        <f t="shared" si="154"/>
        <v>-2.2536591361546378E-3</v>
      </c>
      <c r="AF65" s="234">
        <f t="shared" si="154"/>
        <v>2.2567725619831058E-2</v>
      </c>
      <c r="AG65" s="234">
        <f t="shared" si="154"/>
        <v>1.8315018315018315E-4</v>
      </c>
      <c r="AH65" s="233">
        <f t="shared" si="154"/>
        <v>-4.0546257652036621E-2</v>
      </c>
      <c r="AI65" s="234">
        <f t="shared" si="154"/>
        <v>0</v>
      </c>
      <c r="AJ65" s="234">
        <f t="shared" si="154"/>
        <v>-2.9021701193235666E-3</v>
      </c>
      <c r="AK65" s="234">
        <f t="shared" ref="AK65" si="155">AK39-AK13</f>
        <v>-3.7174261963541502E-4</v>
      </c>
      <c r="AL65" s="234">
        <f t="shared" si="154"/>
        <v>0</v>
      </c>
      <c r="AM65" s="234">
        <f t="shared" si="154"/>
        <v>-2.2344048191830501E-3</v>
      </c>
      <c r="AN65" s="234">
        <f t="shared" si="154"/>
        <v>0</v>
      </c>
      <c r="AO65" s="234">
        <f t="shared" si="154"/>
        <v>-1.4538061863293076E-3</v>
      </c>
      <c r="AP65" s="234">
        <f t="shared" si="154"/>
        <v>-2.6729867954452304E-4</v>
      </c>
      <c r="AQ65" s="234">
        <f t="shared" si="154"/>
        <v>0</v>
      </c>
      <c r="AR65" s="234">
        <f t="shared" si="154"/>
        <v>0</v>
      </c>
      <c r="AS65" s="234">
        <f t="shared" si="154"/>
        <v>0</v>
      </c>
      <c r="AT65" s="234">
        <f t="shared" si="154"/>
        <v>8.7849391848180136E-3</v>
      </c>
      <c r="AU65" s="234">
        <f t="shared" si="154"/>
        <v>0</v>
      </c>
      <c r="AV65" s="237">
        <f t="shared" si="134"/>
        <v>2.9490299091605721E-17</v>
      </c>
    </row>
    <row r="66" spans="2:48" x14ac:dyDescent="0.25">
      <c r="B66" s="223" t="s">
        <v>492</v>
      </c>
      <c r="C66" s="225">
        <f t="shared" ref="C66:W66" si="156">C40-C14</f>
        <v>-20</v>
      </c>
      <c r="D66" s="225">
        <f t="shared" si="156"/>
        <v>-934</v>
      </c>
      <c r="E66" s="225">
        <f t="shared" si="156"/>
        <v>-91</v>
      </c>
      <c r="F66" s="225">
        <f t="shared" si="156"/>
        <v>-296</v>
      </c>
      <c r="G66" s="225">
        <f t="shared" si="156"/>
        <v>0</v>
      </c>
      <c r="H66" s="225">
        <f t="shared" si="156"/>
        <v>24</v>
      </c>
      <c r="I66" s="225">
        <f t="shared" si="156"/>
        <v>0</v>
      </c>
      <c r="J66" s="225">
        <f t="shared" si="156"/>
        <v>-4</v>
      </c>
      <c r="K66" s="224">
        <f t="shared" si="156"/>
        <v>-7225</v>
      </c>
      <c r="L66" s="225">
        <f t="shared" si="156"/>
        <v>7179</v>
      </c>
      <c r="M66" s="225">
        <f t="shared" si="156"/>
        <v>0</v>
      </c>
      <c r="N66" s="225">
        <f t="shared" si="156"/>
        <v>0</v>
      </c>
      <c r="O66" s="225">
        <f t="shared" si="156"/>
        <v>0</v>
      </c>
      <c r="P66" s="225">
        <f t="shared" si="156"/>
        <v>0</v>
      </c>
      <c r="Q66" s="225">
        <f t="shared" si="156"/>
        <v>1548</v>
      </c>
      <c r="R66" s="225">
        <f t="shared" si="156"/>
        <v>0</v>
      </c>
      <c r="S66" s="225">
        <f t="shared" si="156"/>
        <v>-43</v>
      </c>
      <c r="T66" s="225">
        <f t="shared" si="156"/>
        <v>3464</v>
      </c>
      <c r="U66" s="225">
        <f t="shared" si="156"/>
        <v>433</v>
      </c>
      <c r="V66" s="225">
        <f t="shared" si="156"/>
        <v>-45</v>
      </c>
      <c r="W66" s="225">
        <f t="shared" si="156"/>
        <v>-21</v>
      </c>
      <c r="X66" s="226">
        <f t="shared" si="131"/>
        <v>3969</v>
      </c>
      <c r="Z66" s="223" t="s">
        <v>492</v>
      </c>
      <c r="AA66" s="234">
        <f t="shared" ref="AA66:AU66" si="157">AA40-AA14</f>
        <v>-2.766978874116296E-4</v>
      </c>
      <c r="AB66" s="234">
        <f t="shared" si="157"/>
        <v>-1.4848166570313813E-2</v>
      </c>
      <c r="AC66" s="234">
        <f t="shared" si="157"/>
        <v>-1.2589753877229148E-3</v>
      </c>
      <c r="AD66" s="234">
        <f t="shared" si="157"/>
        <v>-4.1203336432198475E-3</v>
      </c>
      <c r="AE66" s="234">
        <f t="shared" si="157"/>
        <v>0</v>
      </c>
      <c r="AF66" s="234">
        <f t="shared" si="157"/>
        <v>2.2041572269972782E-4</v>
      </c>
      <c r="AG66" s="234">
        <f t="shared" si="157"/>
        <v>0</v>
      </c>
      <c r="AH66" s="234">
        <f t="shared" si="157"/>
        <v>-5.5339577482325922E-5</v>
      </c>
      <c r="AI66" s="233">
        <f t="shared" si="157"/>
        <v>-0.12484155893404175</v>
      </c>
      <c r="AJ66" s="234">
        <f t="shared" si="157"/>
        <v>8.2732275515797732E-2</v>
      </c>
      <c r="AK66" s="234">
        <f t="shared" ref="AK66" si="158">AK40-AK14</f>
        <v>0</v>
      </c>
      <c r="AL66" s="234">
        <f t="shared" si="157"/>
        <v>0</v>
      </c>
      <c r="AM66" s="234">
        <f t="shared" si="157"/>
        <v>0</v>
      </c>
      <c r="AN66" s="234">
        <f t="shared" si="157"/>
        <v>0</v>
      </c>
      <c r="AO66" s="234">
        <f t="shared" si="157"/>
        <v>1.9418027230247343E-2</v>
      </c>
      <c r="AP66" s="234">
        <f t="shared" si="157"/>
        <v>0</v>
      </c>
      <c r="AQ66" s="234">
        <f t="shared" si="157"/>
        <v>-5.9490045793500371E-4</v>
      </c>
      <c r="AR66" s="234">
        <f t="shared" si="157"/>
        <v>3.9718075697737942E-2</v>
      </c>
      <c r="AS66" s="234">
        <f t="shared" si="157"/>
        <v>4.8238820214640439E-3</v>
      </c>
      <c r="AT66" s="234">
        <f t="shared" si="157"/>
        <v>-6.2257024667616661E-4</v>
      </c>
      <c r="AU66" s="234">
        <f t="shared" si="157"/>
        <v>-2.941334831433152E-4</v>
      </c>
      <c r="AV66" s="237">
        <f t="shared" si="134"/>
        <v>2.2985086056692694E-17</v>
      </c>
    </row>
    <row r="67" spans="2:48" x14ac:dyDescent="0.25">
      <c r="B67" s="223" t="s">
        <v>493</v>
      </c>
      <c r="C67" s="225">
        <f t="shared" ref="C67:W67" si="159">C41-C15</f>
        <v>-22</v>
      </c>
      <c r="D67" s="225">
        <f t="shared" si="159"/>
        <v>695</v>
      </c>
      <c r="E67" s="225">
        <f t="shared" si="159"/>
        <v>-68</v>
      </c>
      <c r="F67" s="225">
        <f t="shared" si="159"/>
        <v>-3982</v>
      </c>
      <c r="G67" s="225">
        <f t="shared" si="159"/>
        <v>0</v>
      </c>
      <c r="H67" s="225">
        <f t="shared" si="159"/>
        <v>-758</v>
      </c>
      <c r="I67" s="225">
        <f t="shared" si="159"/>
        <v>-24</v>
      </c>
      <c r="J67" s="225">
        <f t="shared" si="159"/>
        <v>-14</v>
      </c>
      <c r="K67" s="225">
        <f t="shared" si="159"/>
        <v>-19</v>
      </c>
      <c r="L67" s="224">
        <f t="shared" si="159"/>
        <v>-78</v>
      </c>
      <c r="M67" s="225">
        <f t="shared" si="159"/>
        <v>-183</v>
      </c>
      <c r="N67" s="225">
        <f t="shared" si="159"/>
        <v>0</v>
      </c>
      <c r="O67" s="225">
        <f t="shared" si="159"/>
        <v>-13</v>
      </c>
      <c r="P67" s="225">
        <f t="shared" si="159"/>
        <v>-11</v>
      </c>
      <c r="Q67" s="225">
        <f t="shared" si="159"/>
        <v>-1867</v>
      </c>
      <c r="R67" s="225">
        <f t="shared" si="159"/>
        <v>-19</v>
      </c>
      <c r="S67" s="225">
        <f t="shared" si="159"/>
        <v>-10</v>
      </c>
      <c r="T67" s="225">
        <f t="shared" si="159"/>
        <v>454</v>
      </c>
      <c r="U67" s="225">
        <f t="shared" si="159"/>
        <v>-150</v>
      </c>
      <c r="V67" s="225">
        <f t="shared" si="159"/>
        <v>-441</v>
      </c>
      <c r="W67" s="225">
        <f t="shared" si="159"/>
        <v>-106</v>
      </c>
      <c r="X67" s="226">
        <f t="shared" si="131"/>
        <v>-6616</v>
      </c>
      <c r="Z67" s="223" t="s">
        <v>493</v>
      </c>
      <c r="AA67" s="234">
        <f t="shared" ref="AA67:AU68" si="160">AA41-AA15</f>
        <v>-6.6066859661977916E-5</v>
      </c>
      <c r="AB67" s="234">
        <f t="shared" si="160"/>
        <v>6.8803430775480623E-3</v>
      </c>
      <c r="AC67" s="234">
        <f t="shared" si="160"/>
        <v>-2.0420665713702266E-4</v>
      </c>
      <c r="AD67" s="234">
        <f t="shared" si="160"/>
        <v>-1.1740172125948306E-2</v>
      </c>
      <c r="AE67" s="234">
        <f t="shared" si="160"/>
        <v>0</v>
      </c>
      <c r="AF67" s="234">
        <f t="shared" si="160"/>
        <v>-2.2260824418555707E-3</v>
      </c>
      <c r="AG67" s="234">
        <f t="shared" si="160"/>
        <v>-7.2072937813066825E-5</v>
      </c>
      <c r="AH67" s="234">
        <f t="shared" si="160"/>
        <v>-4.1433805513293553E-5</v>
      </c>
      <c r="AI67" s="234">
        <f t="shared" si="160"/>
        <v>1.9313503228377514E-4</v>
      </c>
      <c r="AJ67" s="233">
        <f t="shared" si="160"/>
        <v>1.3960093911993487E-2</v>
      </c>
      <c r="AK67" s="233">
        <f t="shared" ref="AK67:AK68" si="161">AK41-AK15</f>
        <v>-5.4955615082463456E-4</v>
      </c>
      <c r="AL67" s="234">
        <f t="shared" si="160"/>
        <v>0</v>
      </c>
      <c r="AM67" s="234">
        <f t="shared" si="160"/>
        <v>-3.903950798207786E-5</v>
      </c>
      <c r="AN67" s="234">
        <f t="shared" si="160"/>
        <v>-3.3033429830988958E-5</v>
      </c>
      <c r="AO67" s="234">
        <f t="shared" si="160"/>
        <v>-5.3226960236121244E-3</v>
      </c>
      <c r="AP67" s="234">
        <f t="shared" si="160"/>
        <v>-5.7057742435344566E-5</v>
      </c>
      <c r="AQ67" s="234">
        <f t="shared" si="160"/>
        <v>-3.003039075544451E-5</v>
      </c>
      <c r="AR67" s="234">
        <f t="shared" si="160"/>
        <v>1.4327762763506596E-3</v>
      </c>
      <c r="AS67" s="234">
        <f t="shared" si="160"/>
        <v>-4.428465920275581E-4</v>
      </c>
      <c r="AT67" s="234">
        <f t="shared" si="160"/>
        <v>-1.3243402323151029E-3</v>
      </c>
      <c r="AU67" s="234">
        <f t="shared" si="160"/>
        <v>-3.1771340046338301E-4</v>
      </c>
      <c r="AV67" s="237">
        <f t="shared" si="134"/>
        <v>8.8687737709314263E-17</v>
      </c>
    </row>
    <row r="68" spans="2:48" x14ac:dyDescent="0.25">
      <c r="B68" s="223" t="s">
        <v>667</v>
      </c>
      <c r="C68" s="225">
        <f t="shared" ref="C68:W68" si="162">C42-C16</f>
        <v>-19</v>
      </c>
      <c r="D68" s="225">
        <f t="shared" si="162"/>
        <v>3956</v>
      </c>
      <c r="E68" s="225">
        <f t="shared" si="162"/>
        <v>-14</v>
      </c>
      <c r="F68" s="225">
        <f t="shared" si="162"/>
        <v>-1962</v>
      </c>
      <c r="G68" s="225">
        <f t="shared" si="162"/>
        <v>-65</v>
      </c>
      <c r="H68" s="225">
        <f t="shared" si="162"/>
        <v>-119</v>
      </c>
      <c r="I68" s="225">
        <f t="shared" si="162"/>
        <v>760</v>
      </c>
      <c r="J68" s="225">
        <f t="shared" si="162"/>
        <v>-37</v>
      </c>
      <c r="K68" s="225">
        <f t="shared" si="162"/>
        <v>0</v>
      </c>
      <c r="L68" s="225">
        <f t="shared" si="162"/>
        <v>-277</v>
      </c>
      <c r="M68" s="224">
        <f t="shared" si="162"/>
        <v>9234</v>
      </c>
      <c r="N68" s="225">
        <f t="shared" si="162"/>
        <v>-812</v>
      </c>
      <c r="O68" s="225">
        <f t="shared" si="162"/>
        <v>-33</v>
      </c>
      <c r="P68" s="225">
        <f t="shared" si="162"/>
        <v>0</v>
      </c>
      <c r="Q68" s="225">
        <f t="shared" si="162"/>
        <v>0</v>
      </c>
      <c r="R68" s="225">
        <f t="shared" si="162"/>
        <v>0</v>
      </c>
      <c r="S68" s="225">
        <f t="shared" si="162"/>
        <v>-2336</v>
      </c>
      <c r="T68" s="225">
        <f t="shared" si="162"/>
        <v>0</v>
      </c>
      <c r="U68" s="225">
        <f t="shared" si="162"/>
        <v>0</v>
      </c>
      <c r="V68" s="225">
        <f t="shared" si="162"/>
        <v>-1379</v>
      </c>
      <c r="W68" s="225">
        <f t="shared" si="162"/>
        <v>-22</v>
      </c>
      <c r="X68" s="226">
        <f t="shared" si="131"/>
        <v>6875</v>
      </c>
      <c r="Z68" s="223" t="s">
        <v>667</v>
      </c>
      <c r="AA68" s="234">
        <f t="shared" si="160"/>
        <v>-9.3166940446710967E-5</v>
      </c>
      <c r="AB68" s="234">
        <f t="shared" si="160"/>
        <v>1.1887121082447188E-2</v>
      </c>
      <c r="AC68" s="234">
        <f t="shared" si="160"/>
        <v>-6.8649324539681763E-5</v>
      </c>
      <c r="AD68" s="234">
        <f t="shared" si="160"/>
        <v>-9.6407018810645076E-3</v>
      </c>
      <c r="AE68" s="234">
        <f t="shared" si="160"/>
        <v>-3.187290067913796E-4</v>
      </c>
      <c r="AF68" s="234">
        <f t="shared" si="160"/>
        <v>-5.8351925858729492E-4</v>
      </c>
      <c r="AG68" s="234">
        <f t="shared" si="160"/>
        <v>3.5555683611765516E-3</v>
      </c>
      <c r="AH68" s="234">
        <f t="shared" si="160"/>
        <v>-1.8143035771201607E-4</v>
      </c>
      <c r="AI68" s="234">
        <f t="shared" si="160"/>
        <v>0</v>
      </c>
      <c r="AJ68" s="233">
        <f t="shared" si="160"/>
        <v>-1.3590754972152676E-3</v>
      </c>
      <c r="AK68" s="233">
        <f t="shared" si="161"/>
        <v>2.0854486028283437E-2</v>
      </c>
      <c r="AL68" s="234">
        <f t="shared" si="160"/>
        <v>-4.0664158756816352E-3</v>
      </c>
      <c r="AM68" s="234">
        <f t="shared" si="160"/>
        <v>-1.6181626498639273E-4</v>
      </c>
      <c r="AN68" s="234">
        <f t="shared" si="160"/>
        <v>0</v>
      </c>
      <c r="AO68" s="234">
        <f t="shared" si="160"/>
        <v>0</v>
      </c>
      <c r="AP68" s="234">
        <f t="shared" si="160"/>
        <v>0</v>
      </c>
      <c r="AQ68" s="234">
        <f t="shared" si="160"/>
        <v>-1.255004922497846E-2</v>
      </c>
      <c r="AR68" s="234">
        <f t="shared" si="160"/>
        <v>0</v>
      </c>
      <c r="AS68" s="234">
        <f t="shared" si="160"/>
        <v>0</v>
      </c>
      <c r="AT68" s="234">
        <f t="shared" si="160"/>
        <v>-7.165744329912873E-3</v>
      </c>
      <c r="AU68" s="234">
        <f t="shared" si="160"/>
        <v>-1.0787750999092849E-4</v>
      </c>
      <c r="AV68" s="237">
        <f t="shared" si="134"/>
        <v>2.9978190069224198E-17</v>
      </c>
    </row>
    <row r="69" spans="2:48" x14ac:dyDescent="0.25">
      <c r="B69" s="223" t="s">
        <v>494</v>
      </c>
      <c r="C69" s="225">
        <f t="shared" ref="C69:W69" si="163">C43-C17</f>
        <v>0</v>
      </c>
      <c r="D69" s="225">
        <f t="shared" si="163"/>
        <v>-995</v>
      </c>
      <c r="E69" s="225">
        <f t="shared" si="163"/>
        <v>0</v>
      </c>
      <c r="F69" s="225">
        <f t="shared" si="163"/>
        <v>-54</v>
      </c>
      <c r="G69" s="225">
        <f t="shared" si="163"/>
        <v>0</v>
      </c>
      <c r="H69" s="225">
        <f t="shared" si="163"/>
        <v>-3</v>
      </c>
      <c r="I69" s="225">
        <f t="shared" si="163"/>
        <v>0</v>
      </c>
      <c r="J69" s="225">
        <f t="shared" si="163"/>
        <v>0</v>
      </c>
      <c r="K69" s="225">
        <f t="shared" si="163"/>
        <v>0</v>
      </c>
      <c r="L69" s="225">
        <f t="shared" si="163"/>
        <v>-7</v>
      </c>
      <c r="M69" s="225">
        <f t="shared" si="163"/>
        <v>-728</v>
      </c>
      <c r="N69" s="224">
        <f t="shared" si="163"/>
        <v>6773</v>
      </c>
      <c r="O69" s="225">
        <f t="shared" si="163"/>
        <v>-4</v>
      </c>
      <c r="P69" s="225">
        <f t="shared" si="163"/>
        <v>0</v>
      </c>
      <c r="Q69" s="225">
        <f t="shared" si="163"/>
        <v>0</v>
      </c>
      <c r="R69" s="225">
        <f t="shared" si="163"/>
        <v>0</v>
      </c>
      <c r="S69" s="225">
        <f t="shared" si="163"/>
        <v>3573</v>
      </c>
      <c r="T69" s="225">
        <f t="shared" si="163"/>
        <v>0</v>
      </c>
      <c r="U69" s="225">
        <f t="shared" si="163"/>
        <v>0</v>
      </c>
      <c r="V69" s="225">
        <f t="shared" si="163"/>
        <v>-97</v>
      </c>
      <c r="W69" s="225">
        <f t="shared" si="163"/>
        <v>0</v>
      </c>
      <c r="X69" s="226">
        <f t="shared" si="131"/>
        <v>8458</v>
      </c>
      <c r="Z69" s="223" t="s">
        <v>494</v>
      </c>
      <c r="AA69" s="234">
        <f t="shared" ref="AA69:AU69" si="164">AA43-AA17</f>
        <v>0</v>
      </c>
      <c r="AB69" s="234">
        <f t="shared" si="164"/>
        <v>-2.5111707343887048E-2</v>
      </c>
      <c r="AC69" s="234">
        <f t="shared" si="164"/>
        <v>0</v>
      </c>
      <c r="AD69" s="234">
        <f t="shared" si="164"/>
        <v>-1.3327738973764099E-3</v>
      </c>
      <c r="AE69" s="234">
        <f t="shared" si="164"/>
        <v>0</v>
      </c>
      <c r="AF69" s="234">
        <f t="shared" si="164"/>
        <v>-7.4042994298689438E-5</v>
      </c>
      <c r="AG69" s="234">
        <f t="shared" si="164"/>
        <v>0</v>
      </c>
      <c r="AH69" s="234">
        <f t="shared" si="164"/>
        <v>0</v>
      </c>
      <c r="AI69" s="234">
        <f t="shared" si="164"/>
        <v>0</v>
      </c>
      <c r="AJ69" s="234">
        <f t="shared" si="164"/>
        <v>-1.7276698669694201E-4</v>
      </c>
      <c r="AK69" s="234">
        <f t="shared" ref="AK69" si="165">AK43-AK17</f>
        <v>-2.5469620872529852E-2</v>
      </c>
      <c r="AL69" s="233">
        <f t="shared" si="164"/>
        <v>3.3339127509457445E-4</v>
      </c>
      <c r="AM69" s="234">
        <f t="shared" si="164"/>
        <v>-9.8723992398252588E-5</v>
      </c>
      <c r="AN69" s="234">
        <f t="shared" si="164"/>
        <v>0</v>
      </c>
      <c r="AO69" s="234">
        <f t="shared" si="164"/>
        <v>0</v>
      </c>
      <c r="AP69" s="234">
        <f t="shared" si="164"/>
        <v>0</v>
      </c>
      <c r="AQ69" s="234">
        <f t="shared" si="164"/>
        <v>5.4320301627750256E-2</v>
      </c>
      <c r="AR69" s="234">
        <f t="shared" si="164"/>
        <v>0</v>
      </c>
      <c r="AS69" s="234">
        <f t="shared" si="164"/>
        <v>0</v>
      </c>
      <c r="AT69" s="234">
        <f t="shared" si="164"/>
        <v>-2.3940568156576251E-3</v>
      </c>
      <c r="AU69" s="234">
        <f t="shared" si="164"/>
        <v>0</v>
      </c>
      <c r="AV69" s="237">
        <f t="shared" si="134"/>
        <v>5.2041704279304213E-18</v>
      </c>
    </row>
    <row r="70" spans="2:48" x14ac:dyDescent="0.25">
      <c r="B70" s="223" t="s">
        <v>495</v>
      </c>
      <c r="C70" s="225">
        <f t="shared" ref="C70:W70" si="166">C44-C18</f>
        <v>0</v>
      </c>
      <c r="D70" s="225">
        <f t="shared" si="166"/>
        <v>-580</v>
      </c>
      <c r="E70" s="225">
        <f t="shared" si="166"/>
        <v>66</v>
      </c>
      <c r="F70" s="225">
        <f t="shared" si="166"/>
        <v>-273</v>
      </c>
      <c r="G70" s="225">
        <f t="shared" si="166"/>
        <v>1525</v>
      </c>
      <c r="H70" s="225">
        <f t="shared" si="166"/>
        <v>-522</v>
      </c>
      <c r="I70" s="225">
        <f t="shared" si="166"/>
        <v>-48</v>
      </c>
      <c r="J70" s="225">
        <f t="shared" si="166"/>
        <v>-480</v>
      </c>
      <c r="K70" s="225">
        <f t="shared" si="166"/>
        <v>0</v>
      </c>
      <c r="L70" s="225">
        <f t="shared" si="166"/>
        <v>-5</v>
      </c>
      <c r="M70" s="225">
        <f t="shared" si="166"/>
        <v>-76</v>
      </c>
      <c r="N70" s="225">
        <f t="shared" si="166"/>
        <v>-13</v>
      </c>
      <c r="O70" s="224">
        <f t="shared" si="166"/>
        <v>4572</v>
      </c>
      <c r="P70" s="225">
        <f t="shared" si="166"/>
        <v>-144</v>
      </c>
      <c r="Q70" s="225">
        <f t="shared" si="166"/>
        <v>-54</v>
      </c>
      <c r="R70" s="225">
        <f t="shared" si="166"/>
        <v>150</v>
      </c>
      <c r="S70" s="225">
        <f t="shared" si="166"/>
        <v>0</v>
      </c>
      <c r="T70" s="225">
        <f t="shared" si="166"/>
        <v>0</v>
      </c>
      <c r="U70" s="225">
        <f t="shared" si="166"/>
        <v>0</v>
      </c>
      <c r="V70" s="225">
        <f t="shared" si="166"/>
        <v>-750</v>
      </c>
      <c r="W70" s="225">
        <f t="shared" si="166"/>
        <v>-33</v>
      </c>
      <c r="X70" s="226">
        <f t="shared" si="131"/>
        <v>3335</v>
      </c>
      <c r="Z70" s="223" t="s">
        <v>495</v>
      </c>
      <c r="AA70" s="234">
        <f t="shared" ref="AA70:AU70" si="167">AA44-AA18</f>
        <v>0</v>
      </c>
      <c r="AB70" s="234">
        <f t="shared" si="167"/>
        <v>-1.2767858838020292E-2</v>
      </c>
      <c r="AC70" s="234">
        <f t="shared" si="167"/>
        <v>-6.3532341982752705E-4</v>
      </c>
      <c r="AD70" s="234">
        <f t="shared" si="167"/>
        <v>-7.2289076313983708E-3</v>
      </c>
      <c r="AE70" s="234">
        <f t="shared" si="167"/>
        <v>2.9106329190617026E-2</v>
      </c>
      <c r="AF70" s="234">
        <f t="shared" si="167"/>
        <v>-1.3393539745575396E-2</v>
      </c>
      <c r="AG70" s="234">
        <f t="shared" si="167"/>
        <v>-1.0426849136526556E-3</v>
      </c>
      <c r="AH70" s="234">
        <f t="shared" si="167"/>
        <v>-1.2649939910846692E-2</v>
      </c>
      <c r="AI70" s="234">
        <f t="shared" si="167"/>
        <v>0</v>
      </c>
      <c r="AJ70" s="234">
        <f t="shared" si="167"/>
        <v>-1.0861301183881829E-4</v>
      </c>
      <c r="AK70" s="234">
        <f t="shared" ref="AK70" si="168">AK44-AK18</f>
        <v>-1.6509177799500379E-3</v>
      </c>
      <c r="AL70" s="234">
        <f t="shared" si="167"/>
        <v>-2.8239383078092754E-4</v>
      </c>
      <c r="AM70" s="233">
        <f t="shared" si="167"/>
        <v>4.0150708308855809E-2</v>
      </c>
      <c r="AN70" s="234">
        <f t="shared" si="167"/>
        <v>-3.1794132736980359E-3</v>
      </c>
      <c r="AO70" s="234">
        <f t="shared" si="167"/>
        <v>-1.1730205278592375E-3</v>
      </c>
      <c r="AP70" s="234">
        <f t="shared" si="167"/>
        <v>2.9208914257298083E-3</v>
      </c>
      <c r="AQ70" s="234">
        <f t="shared" si="167"/>
        <v>0</v>
      </c>
      <c r="AR70" s="234">
        <f t="shared" si="167"/>
        <v>0</v>
      </c>
      <c r="AS70" s="234">
        <f t="shared" si="167"/>
        <v>0</v>
      </c>
      <c r="AT70" s="234">
        <f t="shared" si="167"/>
        <v>-1.731178549737554E-2</v>
      </c>
      <c r="AU70" s="234">
        <f t="shared" si="167"/>
        <v>-7.535305443791072E-4</v>
      </c>
      <c r="AV70" s="237">
        <f t="shared" si="134"/>
        <v>6.2883726004159257E-18</v>
      </c>
    </row>
    <row r="71" spans="2:48" x14ac:dyDescent="0.25">
      <c r="B71" s="223" t="s">
        <v>496</v>
      </c>
      <c r="C71" s="225">
        <f t="shared" ref="C71:W71" si="169">C45-C19</f>
        <v>-19</v>
      </c>
      <c r="D71" s="225">
        <f t="shared" si="169"/>
        <v>-149</v>
      </c>
      <c r="E71" s="225">
        <f t="shared" si="169"/>
        <v>-242</v>
      </c>
      <c r="F71" s="225">
        <f t="shared" si="169"/>
        <v>-104</v>
      </c>
      <c r="G71" s="225">
        <f t="shared" si="169"/>
        <v>0</v>
      </c>
      <c r="H71" s="225">
        <f t="shared" si="169"/>
        <v>-85</v>
      </c>
      <c r="I71" s="225">
        <f t="shared" si="169"/>
        <v>0</v>
      </c>
      <c r="J71" s="225">
        <f t="shared" si="169"/>
        <v>-64</v>
      </c>
      <c r="K71" s="225">
        <f t="shared" si="169"/>
        <v>0</v>
      </c>
      <c r="L71" s="225">
        <f t="shared" si="169"/>
        <v>-6</v>
      </c>
      <c r="M71" s="225">
        <f t="shared" si="169"/>
        <v>0</v>
      </c>
      <c r="N71" s="225">
        <f t="shared" si="169"/>
        <v>0</v>
      </c>
      <c r="O71" s="225">
        <f t="shared" si="169"/>
        <v>-217</v>
      </c>
      <c r="P71" s="224">
        <f t="shared" si="169"/>
        <v>-9313</v>
      </c>
      <c r="Q71" s="225">
        <f t="shared" si="169"/>
        <v>-36</v>
      </c>
      <c r="R71" s="225">
        <f t="shared" si="169"/>
        <v>-812</v>
      </c>
      <c r="S71" s="225">
        <f t="shared" si="169"/>
        <v>0</v>
      </c>
      <c r="T71" s="225">
        <f t="shared" si="169"/>
        <v>0</v>
      </c>
      <c r="U71" s="225">
        <f t="shared" si="169"/>
        <v>0</v>
      </c>
      <c r="V71" s="225">
        <f t="shared" si="169"/>
        <v>-46</v>
      </c>
      <c r="W71" s="225">
        <f t="shared" si="169"/>
        <v>-298</v>
      </c>
      <c r="X71" s="226">
        <f t="shared" si="131"/>
        <v>-11391</v>
      </c>
      <c r="Z71" s="223" t="s">
        <v>496</v>
      </c>
      <c r="AA71" s="234">
        <f t="shared" ref="AA71:AU71" si="170">AA45-AA19</f>
        <v>2.9421538029920174E-3</v>
      </c>
      <c r="AB71" s="234">
        <f t="shared" si="170"/>
        <v>-1.1164393825865428E-2</v>
      </c>
      <c r="AC71" s="234">
        <f t="shared" si="170"/>
        <v>0.14558477630394348</v>
      </c>
      <c r="AD71" s="234">
        <f t="shared" si="170"/>
        <v>1.4036409656350763E-2</v>
      </c>
      <c r="AE71" s="234">
        <f t="shared" si="170"/>
        <v>0</v>
      </c>
      <c r="AF71" s="234">
        <f t="shared" si="170"/>
        <v>6.3483871907365763E-2</v>
      </c>
      <c r="AG71" s="234">
        <f t="shared" si="170"/>
        <v>0</v>
      </c>
      <c r="AH71" s="234">
        <f t="shared" si="170"/>
        <v>8.3019596856132461E-3</v>
      </c>
      <c r="AI71" s="234">
        <f t="shared" si="170"/>
        <v>0</v>
      </c>
      <c r="AJ71" s="234">
        <f t="shared" si="170"/>
        <v>-4.4957290573954741E-4</v>
      </c>
      <c r="AK71" s="234">
        <f t="shared" ref="AK71" si="171">AK45-AK19</f>
        <v>0</v>
      </c>
      <c r="AL71" s="234">
        <f t="shared" si="170"/>
        <v>0</v>
      </c>
      <c r="AM71" s="234">
        <f t="shared" si="170"/>
        <v>0.16492120209586059</v>
      </c>
      <c r="AN71" s="233">
        <f t="shared" si="170"/>
        <v>-0.66725146916056355</v>
      </c>
      <c r="AO71" s="234">
        <f t="shared" si="170"/>
        <v>-2.6974374344372848E-3</v>
      </c>
      <c r="AP71" s="234">
        <f t="shared" si="170"/>
        <v>0.2403980924004549</v>
      </c>
      <c r="AQ71" s="234">
        <f t="shared" si="170"/>
        <v>0</v>
      </c>
      <c r="AR71" s="234">
        <f t="shared" si="170"/>
        <v>0</v>
      </c>
      <c r="AS71" s="234">
        <f t="shared" si="170"/>
        <v>0</v>
      </c>
      <c r="AT71" s="234">
        <f t="shared" si="170"/>
        <v>-3.4467256106698635E-3</v>
      </c>
      <c r="AU71" s="234">
        <f t="shared" si="170"/>
        <v>4.5341133084694861E-2</v>
      </c>
      <c r="AV71" s="237">
        <f t="shared" si="134"/>
        <v>-6.9388939039072284E-17</v>
      </c>
    </row>
    <row r="72" spans="2:48" x14ac:dyDescent="0.25">
      <c r="B72" s="223" t="s">
        <v>497</v>
      </c>
      <c r="C72" s="225">
        <f t="shared" ref="C72:W72" si="172">C46-C20</f>
        <v>844</v>
      </c>
      <c r="D72" s="225">
        <f t="shared" si="172"/>
        <v>-142</v>
      </c>
      <c r="E72" s="225">
        <f t="shared" si="172"/>
        <v>-96</v>
      </c>
      <c r="F72" s="225">
        <f t="shared" si="172"/>
        <v>-1561</v>
      </c>
      <c r="G72" s="225">
        <f t="shared" si="172"/>
        <v>-17</v>
      </c>
      <c r="H72" s="225">
        <f t="shared" si="172"/>
        <v>4542</v>
      </c>
      <c r="I72" s="225">
        <f t="shared" si="172"/>
        <v>0</v>
      </c>
      <c r="J72" s="225">
        <f t="shared" si="172"/>
        <v>-14</v>
      </c>
      <c r="K72" s="225">
        <f t="shared" si="172"/>
        <v>-255</v>
      </c>
      <c r="L72" s="225">
        <f t="shared" si="172"/>
        <v>6615</v>
      </c>
      <c r="M72" s="225">
        <f t="shared" si="172"/>
        <v>-69</v>
      </c>
      <c r="N72" s="225">
        <f t="shared" si="172"/>
        <v>0</v>
      </c>
      <c r="O72" s="225">
        <f t="shared" si="172"/>
        <v>-9</v>
      </c>
      <c r="P72" s="225">
        <f t="shared" si="172"/>
        <v>0</v>
      </c>
      <c r="Q72" s="224">
        <f t="shared" si="172"/>
        <v>-10926</v>
      </c>
      <c r="R72" s="225">
        <f t="shared" si="172"/>
        <v>-57</v>
      </c>
      <c r="S72" s="225">
        <f t="shared" si="172"/>
        <v>-2</v>
      </c>
      <c r="T72" s="225">
        <f t="shared" si="172"/>
        <v>321</v>
      </c>
      <c r="U72" s="225">
        <f t="shared" si="172"/>
        <v>-57</v>
      </c>
      <c r="V72" s="225">
        <f t="shared" si="172"/>
        <v>-322</v>
      </c>
      <c r="W72" s="225">
        <f t="shared" si="172"/>
        <v>1160</v>
      </c>
      <c r="X72" s="226">
        <f t="shared" si="131"/>
        <v>-45</v>
      </c>
      <c r="Z72" s="223" t="s">
        <v>497</v>
      </c>
      <c r="AA72" s="234">
        <f t="shared" ref="AA72:AU72" si="173">AA46-AA20</f>
        <v>5.6641116269242646E-3</v>
      </c>
      <c r="AB72" s="234">
        <f t="shared" si="173"/>
        <v>-8.8862575787621023E-4</v>
      </c>
      <c r="AC72" s="234">
        <f t="shared" si="173"/>
        <v>-6.4353567120709466E-4</v>
      </c>
      <c r="AD72" s="234">
        <f t="shared" si="173"/>
        <v>-1.0462600516826407E-2</v>
      </c>
      <c r="AE72" s="234">
        <f t="shared" si="173"/>
        <v>-1.1403655877913802E-4</v>
      </c>
      <c r="AF72" s="234">
        <f t="shared" si="173"/>
        <v>3.0498824929580684E-2</v>
      </c>
      <c r="AG72" s="234">
        <f t="shared" si="173"/>
        <v>0</v>
      </c>
      <c r="AH72" s="234">
        <f t="shared" si="173"/>
        <v>-9.3902332630320704E-5</v>
      </c>
      <c r="AI72" s="234">
        <f t="shared" si="173"/>
        <v>-1.7096571581024676E-3</v>
      </c>
      <c r="AJ72" s="234">
        <f t="shared" si="173"/>
        <v>4.4427151356062539E-2</v>
      </c>
      <c r="AK72" s="234">
        <f t="shared" ref="AK72" si="174">AK46-AK20</f>
        <v>-4.6285426798591315E-4</v>
      </c>
      <c r="AL72" s="234">
        <f t="shared" si="173"/>
        <v>0</v>
      </c>
      <c r="AM72" s="234">
        <f t="shared" si="173"/>
        <v>-6.0372295824249541E-5</v>
      </c>
      <c r="AN72" s="234">
        <f t="shared" si="173"/>
        <v>0</v>
      </c>
      <c r="AO72" s="233">
        <f t="shared" si="173"/>
        <v>-7.3157908873941413E-2</v>
      </c>
      <c r="AP72" s="234">
        <f t="shared" si="173"/>
        <v>-3.8234774601284634E-4</v>
      </c>
      <c r="AQ72" s="234">
        <f t="shared" si="173"/>
        <v>-1.341606573872212E-5</v>
      </c>
      <c r="AR72" s="234">
        <f t="shared" si="173"/>
        <v>2.1541292644865662E-3</v>
      </c>
      <c r="AS72" s="234">
        <f t="shared" si="173"/>
        <v>-3.805450437621722E-4</v>
      </c>
      <c r="AT72" s="234">
        <f t="shared" si="173"/>
        <v>-2.1599865839342612E-3</v>
      </c>
      <c r="AU72" s="234">
        <f t="shared" si="173"/>
        <v>7.785571695567161E-3</v>
      </c>
      <c r="AV72" s="237">
        <f t="shared" si="134"/>
        <v>1.0408340855860843E-17</v>
      </c>
    </row>
    <row r="73" spans="2:48" x14ac:dyDescent="0.25">
      <c r="B73" s="223" t="s">
        <v>498</v>
      </c>
      <c r="C73" s="225">
        <f t="shared" ref="C73:W73" si="175">C47-C21</f>
        <v>-258</v>
      </c>
      <c r="D73" s="225">
        <f t="shared" si="175"/>
        <v>-291</v>
      </c>
      <c r="E73" s="225">
        <f t="shared" si="175"/>
        <v>-555</v>
      </c>
      <c r="F73" s="225">
        <f t="shared" si="175"/>
        <v>-326</v>
      </c>
      <c r="G73" s="225">
        <f t="shared" si="175"/>
        <v>-17</v>
      </c>
      <c r="H73" s="225">
        <f t="shared" si="175"/>
        <v>-122</v>
      </c>
      <c r="I73" s="225">
        <f t="shared" si="175"/>
        <v>0</v>
      </c>
      <c r="J73" s="225">
        <f t="shared" si="175"/>
        <v>-6</v>
      </c>
      <c r="K73" s="225">
        <f t="shared" si="175"/>
        <v>-5</v>
      </c>
      <c r="L73" s="225">
        <f t="shared" si="175"/>
        <v>-22</v>
      </c>
      <c r="M73" s="225">
        <f t="shared" si="175"/>
        <v>-4</v>
      </c>
      <c r="N73" s="225">
        <f t="shared" si="175"/>
        <v>0</v>
      </c>
      <c r="O73" s="225">
        <f t="shared" si="175"/>
        <v>126</v>
      </c>
      <c r="P73" s="225">
        <f t="shared" si="175"/>
        <v>-1501</v>
      </c>
      <c r="Q73" s="225">
        <f t="shared" si="175"/>
        <v>-8</v>
      </c>
      <c r="R73" s="224">
        <f t="shared" si="175"/>
        <v>-9473</v>
      </c>
      <c r="S73" s="225">
        <f t="shared" si="175"/>
        <v>0</v>
      </c>
      <c r="T73" s="225">
        <f t="shared" si="175"/>
        <v>0</v>
      </c>
      <c r="U73" s="225">
        <f t="shared" si="175"/>
        <v>-3</v>
      </c>
      <c r="V73" s="225">
        <f t="shared" si="175"/>
        <v>-50</v>
      </c>
      <c r="W73" s="225">
        <f t="shared" si="175"/>
        <v>-1890</v>
      </c>
      <c r="X73" s="226">
        <f t="shared" si="131"/>
        <v>-14405</v>
      </c>
      <c r="Z73" s="223" t="s">
        <v>498</v>
      </c>
      <c r="AA73" s="234">
        <f t="shared" ref="AA73:AU73" si="176">AA47-AA21</f>
        <v>-1.7135475318577169E-3</v>
      </c>
      <c r="AB73" s="234">
        <f t="shared" si="176"/>
        <v>-1.1204314569550729E-2</v>
      </c>
      <c r="AC73" s="234">
        <f t="shared" si="176"/>
        <v>6.0406210186590759E-2</v>
      </c>
      <c r="AD73" s="234">
        <f t="shared" si="176"/>
        <v>-1.4192424902046146E-2</v>
      </c>
      <c r="AE73" s="234">
        <f t="shared" si="176"/>
        <v>-7.4009577710056594E-4</v>
      </c>
      <c r="AF73" s="234">
        <f t="shared" si="176"/>
        <v>1.1895233281004869E-2</v>
      </c>
      <c r="AG73" s="234">
        <f t="shared" si="176"/>
        <v>0</v>
      </c>
      <c r="AH73" s="234">
        <f t="shared" si="176"/>
        <v>-2.6121027427078799E-4</v>
      </c>
      <c r="AI73" s="234">
        <f t="shared" si="176"/>
        <v>-2.1767522855898998E-4</v>
      </c>
      <c r="AJ73" s="234">
        <f t="shared" si="176"/>
        <v>-9.57771005659556E-4</v>
      </c>
      <c r="AK73" s="234">
        <f t="shared" ref="AK73" si="177">AK47-AK21</f>
        <v>-1.7414018284719199E-4</v>
      </c>
      <c r="AL73" s="234">
        <f t="shared" si="176"/>
        <v>0</v>
      </c>
      <c r="AM73" s="234">
        <f t="shared" si="176"/>
        <v>1.7566581553492066E-2</v>
      </c>
      <c r="AN73" s="234">
        <f t="shared" si="176"/>
        <v>-6.2051240215098204E-2</v>
      </c>
      <c r="AO73" s="234">
        <f t="shared" si="176"/>
        <v>7.500074337424814E-4</v>
      </c>
      <c r="AP73" s="233">
        <f t="shared" si="176"/>
        <v>-0.16163177382311145</v>
      </c>
      <c r="AQ73" s="234">
        <f t="shared" si="176"/>
        <v>0</v>
      </c>
      <c r="AR73" s="234">
        <f t="shared" si="176"/>
        <v>0</v>
      </c>
      <c r="AS73" s="234">
        <f t="shared" si="176"/>
        <v>-1.30605137135394E-4</v>
      </c>
      <c r="AT73" s="234">
        <f t="shared" si="176"/>
        <v>-2.1767522855898999E-3</v>
      </c>
      <c r="AU73" s="234">
        <f t="shared" si="176"/>
        <v>0.16483351847799649</v>
      </c>
      <c r="AV73" s="237">
        <f t="shared" si="134"/>
        <v>0</v>
      </c>
    </row>
    <row r="74" spans="2:48" x14ac:dyDescent="0.25">
      <c r="B74" s="223" t="s">
        <v>499</v>
      </c>
      <c r="C74" s="225">
        <f t="shared" ref="C74:W74" si="178">C48-C22</f>
        <v>0</v>
      </c>
      <c r="D74" s="225">
        <f t="shared" si="178"/>
        <v>-3645</v>
      </c>
      <c r="E74" s="225">
        <f t="shared" si="178"/>
        <v>0</v>
      </c>
      <c r="F74" s="225">
        <f t="shared" si="178"/>
        <v>-242</v>
      </c>
      <c r="G74" s="225">
        <f t="shared" si="178"/>
        <v>-27</v>
      </c>
      <c r="H74" s="225">
        <f t="shared" si="178"/>
        <v>-11</v>
      </c>
      <c r="I74" s="225">
        <f t="shared" si="178"/>
        <v>20</v>
      </c>
      <c r="J74" s="225">
        <f t="shared" si="178"/>
        <v>0</v>
      </c>
      <c r="K74" s="225">
        <f t="shared" si="178"/>
        <v>0</v>
      </c>
      <c r="L74" s="225">
        <f t="shared" si="178"/>
        <v>-85</v>
      </c>
      <c r="M74" s="225">
        <f t="shared" si="178"/>
        <v>-1946</v>
      </c>
      <c r="N74" s="225">
        <f t="shared" si="178"/>
        <v>2711</v>
      </c>
      <c r="O74" s="225">
        <f t="shared" si="178"/>
        <v>-6</v>
      </c>
      <c r="P74" s="225">
        <f t="shared" si="178"/>
        <v>0</v>
      </c>
      <c r="Q74" s="225">
        <f t="shared" si="178"/>
        <v>-14</v>
      </c>
      <c r="R74" s="225">
        <f t="shared" si="178"/>
        <v>0</v>
      </c>
      <c r="S74" s="224">
        <f t="shared" si="178"/>
        <v>6619</v>
      </c>
      <c r="T74" s="225">
        <f t="shared" si="178"/>
        <v>0</v>
      </c>
      <c r="U74" s="225">
        <f t="shared" si="178"/>
        <v>0</v>
      </c>
      <c r="V74" s="225">
        <f t="shared" si="178"/>
        <v>-378</v>
      </c>
      <c r="W74" s="225">
        <f t="shared" si="178"/>
        <v>0</v>
      </c>
      <c r="X74" s="226">
        <f t="shared" si="131"/>
        <v>2996</v>
      </c>
      <c r="Z74" s="223" t="s">
        <v>499</v>
      </c>
      <c r="AA74" s="234">
        <f t="shared" ref="AA74:AU74" si="179">AA48-AA22</f>
        <v>0</v>
      </c>
      <c r="AB74" s="234">
        <f t="shared" si="179"/>
        <v>-5.058157775844481E-2</v>
      </c>
      <c r="AC74" s="234">
        <f t="shared" si="179"/>
        <v>0</v>
      </c>
      <c r="AD74" s="234">
        <f t="shared" si="179"/>
        <v>-3.2977215741851083E-3</v>
      </c>
      <c r="AE74" s="234">
        <f t="shared" si="179"/>
        <v>-3.6792761364875176E-4</v>
      </c>
      <c r="AF74" s="234">
        <f t="shared" si="179"/>
        <v>-1.4989643519023222E-4</v>
      </c>
      <c r="AG74" s="234">
        <f t="shared" si="179"/>
        <v>2.618486514794449E-4</v>
      </c>
      <c r="AH74" s="234">
        <f t="shared" si="179"/>
        <v>0</v>
      </c>
      <c r="AI74" s="234">
        <f t="shared" si="179"/>
        <v>0</v>
      </c>
      <c r="AJ74" s="234">
        <f t="shared" si="179"/>
        <v>-1.1582906355608851E-3</v>
      </c>
      <c r="AK74" s="234">
        <f t="shared" ref="AK74" si="180">AK48-AK22</f>
        <v>-3.7400789462408657E-2</v>
      </c>
      <c r="AL74" s="234">
        <f t="shared" si="179"/>
        <v>3.3307948458205852E-2</v>
      </c>
      <c r="AM74" s="234">
        <f t="shared" si="179"/>
        <v>-8.1761691921944835E-5</v>
      </c>
      <c r="AN74" s="234">
        <f t="shared" si="179"/>
        <v>0</v>
      </c>
      <c r="AO74" s="234">
        <f t="shared" si="179"/>
        <v>-1.9077728115120463E-4</v>
      </c>
      <c r="AP74" s="234">
        <f t="shared" si="179"/>
        <v>0</v>
      </c>
      <c r="AQ74" s="233">
        <f t="shared" si="179"/>
        <v>6.4858038381080618E-2</v>
      </c>
      <c r="AR74" s="234">
        <f t="shared" si="179"/>
        <v>0</v>
      </c>
      <c r="AS74" s="234">
        <f t="shared" si="179"/>
        <v>0</v>
      </c>
      <c r="AT74" s="234">
        <f t="shared" si="179"/>
        <v>-5.1990930382541951E-3</v>
      </c>
      <c r="AU74" s="234">
        <f t="shared" si="179"/>
        <v>0</v>
      </c>
      <c r="AV74" s="237">
        <f t="shared" si="134"/>
        <v>1.1622647289044608E-16</v>
      </c>
    </row>
    <row r="75" spans="2:48" x14ac:dyDescent="0.25">
      <c r="B75" s="223" t="s">
        <v>500</v>
      </c>
      <c r="C75" s="225">
        <f t="shared" ref="C75:W75" si="181">C49-C23</f>
        <v>-23</v>
      </c>
      <c r="D75" s="225">
        <f t="shared" si="181"/>
        <v>-163</v>
      </c>
      <c r="E75" s="225">
        <f t="shared" si="181"/>
        <v>0</v>
      </c>
      <c r="F75" s="225">
        <f t="shared" si="181"/>
        <v>-14</v>
      </c>
      <c r="G75" s="225">
        <f t="shared" si="181"/>
        <v>0</v>
      </c>
      <c r="H75" s="225">
        <f t="shared" si="181"/>
        <v>65</v>
      </c>
      <c r="I75" s="225">
        <f t="shared" si="181"/>
        <v>0</v>
      </c>
      <c r="J75" s="225">
        <f t="shared" si="181"/>
        <v>0</v>
      </c>
      <c r="K75" s="225">
        <f t="shared" si="181"/>
        <v>2932</v>
      </c>
      <c r="L75" s="225">
        <f t="shared" si="181"/>
        <v>4542</v>
      </c>
      <c r="M75" s="225">
        <f t="shared" si="181"/>
        <v>-10</v>
      </c>
      <c r="N75" s="225">
        <f t="shared" si="181"/>
        <v>0</v>
      </c>
      <c r="O75" s="225">
        <f t="shared" si="181"/>
        <v>0</v>
      </c>
      <c r="P75" s="225">
        <f t="shared" si="181"/>
        <v>0</v>
      </c>
      <c r="Q75" s="225">
        <f t="shared" si="181"/>
        <v>939</v>
      </c>
      <c r="R75" s="225">
        <f t="shared" si="181"/>
        <v>0</v>
      </c>
      <c r="S75" s="225">
        <f t="shared" si="181"/>
        <v>0</v>
      </c>
      <c r="T75" s="224">
        <f t="shared" si="181"/>
        <v>12071</v>
      </c>
      <c r="U75" s="225">
        <f t="shared" si="181"/>
        <v>128</v>
      </c>
      <c r="V75" s="225">
        <f t="shared" si="181"/>
        <v>-23</v>
      </c>
      <c r="W75" s="225">
        <f t="shared" si="181"/>
        <v>-10</v>
      </c>
      <c r="X75" s="226">
        <f t="shared" si="131"/>
        <v>20434</v>
      </c>
      <c r="Z75" s="223" t="s">
        <v>500</v>
      </c>
      <c r="AA75" s="234">
        <f t="shared" ref="AA75:AU75" si="182">AA49-AA23</f>
        <v>-3.3915300224135898E-4</v>
      </c>
      <c r="AB75" s="234">
        <f t="shared" si="182"/>
        <v>-3.8375845188162875E-3</v>
      </c>
      <c r="AC75" s="234">
        <f t="shared" si="182"/>
        <v>0</v>
      </c>
      <c r="AD75" s="234">
        <f t="shared" si="182"/>
        <v>-2.9179940655952571E-4</v>
      </c>
      <c r="AE75" s="234">
        <f t="shared" si="182"/>
        <v>0</v>
      </c>
      <c r="AF75" s="234">
        <f t="shared" si="182"/>
        <v>7.3654390934844191E-4</v>
      </c>
      <c r="AG75" s="234">
        <f t="shared" si="182"/>
        <v>0</v>
      </c>
      <c r="AH75" s="234">
        <f t="shared" si="182"/>
        <v>0</v>
      </c>
      <c r="AI75" s="234">
        <f t="shared" si="182"/>
        <v>1.0866711157436162E-2</v>
      </c>
      <c r="AJ75" s="234">
        <f t="shared" si="182"/>
        <v>4.5516231054802174E-2</v>
      </c>
      <c r="AK75" s="234">
        <f t="shared" ref="AK75" si="183">AK49-AK23</f>
        <v>-1.4745782706146042E-4</v>
      </c>
      <c r="AL75" s="234">
        <f t="shared" si="182"/>
        <v>0</v>
      </c>
      <c r="AM75" s="234">
        <f t="shared" si="182"/>
        <v>0</v>
      </c>
      <c r="AN75" s="234">
        <f t="shared" si="182"/>
        <v>0</v>
      </c>
      <c r="AO75" s="234">
        <f t="shared" si="182"/>
        <v>1.0466095393601282E-2</v>
      </c>
      <c r="AP75" s="234">
        <f t="shared" si="182"/>
        <v>0</v>
      </c>
      <c r="AQ75" s="234">
        <f t="shared" si="182"/>
        <v>0</v>
      </c>
      <c r="AR75" s="233">
        <f t="shared" si="182"/>
        <v>-5.6756462495918814E-2</v>
      </c>
      <c r="AS75" s="234">
        <f t="shared" si="182"/>
        <v>-5.7265134352878187E-3</v>
      </c>
      <c r="AT75" s="234">
        <f t="shared" si="182"/>
        <v>-3.3915300224135898E-4</v>
      </c>
      <c r="AU75" s="234">
        <f t="shared" si="182"/>
        <v>-1.4745782706146042E-4</v>
      </c>
      <c r="AV75" s="237">
        <f t="shared" si="134"/>
        <v>-2.439454888092385E-17</v>
      </c>
    </row>
    <row r="76" spans="2:48" x14ac:dyDescent="0.25">
      <c r="B76" s="223" t="s">
        <v>501</v>
      </c>
      <c r="C76" s="225">
        <f t="shared" ref="C76:W76" si="184">C50-C24</f>
        <v>272</v>
      </c>
      <c r="D76" s="225">
        <f t="shared" si="184"/>
        <v>-504</v>
      </c>
      <c r="E76" s="225">
        <f t="shared" si="184"/>
        <v>-10</v>
      </c>
      <c r="F76" s="225">
        <f t="shared" si="184"/>
        <v>-114</v>
      </c>
      <c r="G76" s="225">
        <f t="shared" si="184"/>
        <v>0</v>
      </c>
      <c r="H76" s="225">
        <f t="shared" si="184"/>
        <v>138</v>
      </c>
      <c r="I76" s="225">
        <f t="shared" si="184"/>
        <v>0</v>
      </c>
      <c r="J76" s="225">
        <f t="shared" si="184"/>
        <v>-2</v>
      </c>
      <c r="K76" s="225">
        <f t="shared" si="184"/>
        <v>1345</v>
      </c>
      <c r="L76" s="225">
        <f t="shared" si="184"/>
        <v>610</v>
      </c>
      <c r="M76" s="225">
        <f t="shared" si="184"/>
        <v>-14</v>
      </c>
      <c r="N76" s="225">
        <f t="shared" si="184"/>
        <v>0</v>
      </c>
      <c r="O76" s="225">
        <f t="shared" si="184"/>
        <v>0</v>
      </c>
      <c r="P76" s="225">
        <f t="shared" si="184"/>
        <v>0</v>
      </c>
      <c r="Q76" s="225">
        <f t="shared" si="184"/>
        <v>2453</v>
      </c>
      <c r="R76" s="225">
        <f t="shared" si="184"/>
        <v>0</v>
      </c>
      <c r="S76" s="225">
        <f t="shared" si="184"/>
        <v>0</v>
      </c>
      <c r="T76" s="225">
        <f t="shared" si="184"/>
        <v>3289</v>
      </c>
      <c r="U76" s="224">
        <f t="shared" si="184"/>
        <v>3060</v>
      </c>
      <c r="V76" s="225">
        <f t="shared" si="184"/>
        <v>-9</v>
      </c>
      <c r="W76" s="225">
        <f t="shared" si="184"/>
        <v>844</v>
      </c>
      <c r="X76" s="226">
        <f t="shared" si="131"/>
        <v>11358</v>
      </c>
      <c r="Z76" s="223" t="s">
        <v>501</v>
      </c>
      <c r="AA76" s="234">
        <f t="shared" ref="AA76:AU76" si="185">AA50-AA24</f>
        <v>4.5868894334663238E-3</v>
      </c>
      <c r="AB76" s="234">
        <f t="shared" si="185"/>
        <v>-1.502338369404807E-2</v>
      </c>
      <c r="AC76" s="234">
        <f t="shared" si="185"/>
        <v>-2.4986257558342912E-4</v>
      </c>
      <c r="AD76" s="234">
        <f t="shared" si="185"/>
        <v>-2.9589019927712392E-3</v>
      </c>
      <c r="AE76" s="234">
        <f t="shared" si="185"/>
        <v>0</v>
      </c>
      <c r="AF76" s="234">
        <f t="shared" si="185"/>
        <v>2.2053314429496631E-3</v>
      </c>
      <c r="AG76" s="234">
        <f t="shared" si="185"/>
        <v>0</v>
      </c>
      <c r="AH76" s="234">
        <f t="shared" si="185"/>
        <v>-4.997251511668582E-5</v>
      </c>
      <c r="AI76" s="234">
        <f t="shared" si="185"/>
        <v>2.2062544463915812E-2</v>
      </c>
      <c r="AJ76" s="234">
        <f t="shared" si="185"/>
        <v>4.7194799963951317E-3</v>
      </c>
      <c r="AK76" s="234">
        <f t="shared" ref="AK76" si="186">AK50-AK24</f>
        <v>-3.4980760581680074E-4</v>
      </c>
      <c r="AL76" s="234">
        <f t="shared" si="185"/>
        <v>0</v>
      </c>
      <c r="AM76" s="234">
        <f t="shared" si="185"/>
        <v>0</v>
      </c>
      <c r="AN76" s="234">
        <f t="shared" si="185"/>
        <v>0</v>
      </c>
      <c r="AO76" s="234">
        <f t="shared" si="185"/>
        <v>3.4060772219498811E-2</v>
      </c>
      <c r="AP76" s="234">
        <f t="shared" si="185"/>
        <v>0</v>
      </c>
      <c r="AQ76" s="234">
        <f t="shared" si="185"/>
        <v>0</v>
      </c>
      <c r="AR76" s="234">
        <f t="shared" si="185"/>
        <v>4.9950577980086827E-2</v>
      </c>
      <c r="AS76" s="233">
        <f t="shared" si="185"/>
        <v>-0.11376903466036459</v>
      </c>
      <c r="AT76" s="234">
        <f t="shared" si="185"/>
        <v>-2.2487631802508621E-4</v>
      </c>
      <c r="AU76" s="234">
        <f t="shared" si="185"/>
        <v>1.5040243825413344E-2</v>
      </c>
      <c r="AV76" s="237">
        <f t="shared" si="134"/>
        <v>1.9081958235744878E-17</v>
      </c>
    </row>
    <row r="77" spans="2:48" x14ac:dyDescent="0.25">
      <c r="B77" s="223" t="s">
        <v>502</v>
      </c>
      <c r="C77" s="225">
        <f t="shared" ref="C77:W77" si="187">C51-C25</f>
        <v>0</v>
      </c>
      <c r="D77" s="225">
        <f t="shared" si="187"/>
        <v>-23101</v>
      </c>
      <c r="E77" s="225">
        <f t="shared" si="187"/>
        <v>-150</v>
      </c>
      <c r="F77" s="225">
        <f t="shared" si="187"/>
        <v>25177</v>
      </c>
      <c r="G77" s="225">
        <f t="shared" si="187"/>
        <v>-907</v>
      </c>
      <c r="H77" s="225">
        <f t="shared" si="187"/>
        <v>21</v>
      </c>
      <c r="I77" s="225">
        <f t="shared" si="187"/>
        <v>1351</v>
      </c>
      <c r="J77" s="225">
        <f t="shared" si="187"/>
        <v>-629</v>
      </c>
      <c r="K77" s="225">
        <f t="shared" si="187"/>
        <v>-7</v>
      </c>
      <c r="L77" s="225">
        <f t="shared" si="187"/>
        <v>-1291</v>
      </c>
      <c r="M77" s="225">
        <f t="shared" si="187"/>
        <v>800</v>
      </c>
      <c r="N77" s="225">
        <f t="shared" si="187"/>
        <v>-23</v>
      </c>
      <c r="O77" s="225">
        <f t="shared" si="187"/>
        <v>-392</v>
      </c>
      <c r="P77" s="225">
        <f t="shared" si="187"/>
        <v>-15</v>
      </c>
      <c r="Q77" s="225">
        <f t="shared" si="187"/>
        <v>-209</v>
      </c>
      <c r="R77" s="225">
        <f t="shared" si="187"/>
        <v>-34</v>
      </c>
      <c r="S77" s="225">
        <f t="shared" si="187"/>
        <v>-181</v>
      </c>
      <c r="T77" s="225">
        <f t="shared" si="187"/>
        <v>-31</v>
      </c>
      <c r="U77" s="225">
        <f t="shared" si="187"/>
        <v>0</v>
      </c>
      <c r="V77" s="224">
        <f t="shared" si="187"/>
        <v>-1969</v>
      </c>
      <c r="W77" s="225">
        <f t="shared" si="187"/>
        <v>-73</v>
      </c>
      <c r="X77" s="226">
        <f t="shared" si="131"/>
        <v>-1663</v>
      </c>
      <c r="Z77" s="223" t="s">
        <v>502</v>
      </c>
      <c r="AA77" s="234">
        <f t="shared" ref="AA77:AU77" si="188">AA51-AA25</f>
        <v>0</v>
      </c>
      <c r="AB77" s="234">
        <f t="shared" si="188"/>
        <v>-7.2499119896917347E-2</v>
      </c>
      <c r="AC77" s="234">
        <f t="shared" si="188"/>
        <v>-4.7774216520816623E-4</v>
      </c>
      <c r="AD77" s="234">
        <f t="shared" si="188"/>
        <v>8.16261093456358E-2</v>
      </c>
      <c r="AE77" s="234">
        <f t="shared" si="188"/>
        <v>-2.8535994575759243E-3</v>
      </c>
      <c r="AF77" s="234">
        <f t="shared" si="188"/>
        <v>1.5180525235746617E-4</v>
      </c>
      <c r="AG77" s="234">
        <f t="shared" si="188"/>
        <v>4.3663225506615534E-3</v>
      </c>
      <c r="AH77" s="234">
        <f t="shared" si="188"/>
        <v>-1.9738527633975612E-3</v>
      </c>
      <c r="AI77" s="234">
        <f t="shared" si="188"/>
        <v>-2.2314455304146026E-5</v>
      </c>
      <c r="AJ77" s="234">
        <f t="shared" si="188"/>
        <v>-4.1142338582844636E-3</v>
      </c>
      <c r="AK77" s="234">
        <f t="shared" ref="AK77" si="189">AK51-AK25</f>
        <v>2.6057786922949865E-3</v>
      </c>
      <c r="AL77" s="234">
        <f t="shared" si="188"/>
        <v>-7.3318924570765507E-5</v>
      </c>
      <c r="AM77" s="234">
        <f t="shared" si="188"/>
        <v>-1.2493546565323426E-3</v>
      </c>
      <c r="AN77" s="234">
        <f t="shared" si="188"/>
        <v>-4.781668993745577E-5</v>
      </c>
      <c r="AO77" s="234">
        <f t="shared" si="188"/>
        <v>-6.6607598612866041E-4</v>
      </c>
      <c r="AP77" s="234">
        <f t="shared" si="188"/>
        <v>-1.0838449719156641E-4</v>
      </c>
      <c r="AQ77" s="234">
        <f t="shared" si="188"/>
        <v>-5.7647837757896316E-4</v>
      </c>
      <c r="AR77" s="234">
        <f t="shared" si="188"/>
        <v>-9.8821159204075251E-5</v>
      </c>
      <c r="AS77" s="234">
        <f t="shared" si="188"/>
        <v>0</v>
      </c>
      <c r="AT77" s="233">
        <f t="shared" si="188"/>
        <v>-3.7561950620894624E-3</v>
      </c>
      <c r="AU77" s="234">
        <f t="shared" si="188"/>
        <v>-2.3270789102895141E-4</v>
      </c>
      <c r="AV77" s="237">
        <f t="shared" si="134"/>
        <v>-4.7569370317801507E-17</v>
      </c>
    </row>
    <row r="78" spans="2:48" x14ac:dyDescent="0.25">
      <c r="B78" s="223" t="s">
        <v>503</v>
      </c>
      <c r="C78" s="225">
        <f t="shared" ref="C78:W78" si="190">C52-C26</f>
        <v>-1714</v>
      </c>
      <c r="D78" s="225">
        <f t="shared" si="190"/>
        <v>-1977</v>
      </c>
      <c r="E78" s="225">
        <f t="shared" si="190"/>
        <v>-347</v>
      </c>
      <c r="F78" s="225">
        <f t="shared" si="190"/>
        <v>-743</v>
      </c>
      <c r="G78" s="225">
        <f t="shared" si="190"/>
        <v>0</v>
      </c>
      <c r="H78" s="225">
        <f t="shared" si="190"/>
        <v>-194</v>
      </c>
      <c r="I78" s="225">
        <f t="shared" si="190"/>
        <v>-16</v>
      </c>
      <c r="J78" s="225">
        <f t="shared" si="190"/>
        <v>-33</v>
      </c>
      <c r="K78" s="225">
        <f t="shared" si="190"/>
        <v>-65</v>
      </c>
      <c r="L78" s="225">
        <f t="shared" si="190"/>
        <v>-138</v>
      </c>
      <c r="M78" s="225">
        <f t="shared" si="190"/>
        <v>-53</v>
      </c>
      <c r="N78" s="225">
        <f t="shared" si="190"/>
        <v>0</v>
      </c>
      <c r="O78" s="225">
        <f t="shared" si="190"/>
        <v>-26</v>
      </c>
      <c r="P78" s="225">
        <f t="shared" si="190"/>
        <v>-90</v>
      </c>
      <c r="Q78" s="225">
        <f t="shared" si="190"/>
        <v>3383</v>
      </c>
      <c r="R78" s="225">
        <f t="shared" si="190"/>
        <v>-855</v>
      </c>
      <c r="S78" s="225">
        <f t="shared" si="190"/>
        <v>0</v>
      </c>
      <c r="T78" s="225">
        <f t="shared" si="190"/>
        <v>-17</v>
      </c>
      <c r="U78" s="225">
        <f t="shared" si="190"/>
        <v>22</v>
      </c>
      <c r="V78" s="225">
        <f t="shared" si="190"/>
        <v>-38</v>
      </c>
      <c r="W78" s="224">
        <f t="shared" si="190"/>
        <v>12395</v>
      </c>
      <c r="X78" s="226">
        <f t="shared" si="131"/>
        <v>9494</v>
      </c>
      <c r="Z78" s="223" t="s">
        <v>503</v>
      </c>
      <c r="AA78" s="234">
        <f t="shared" ref="AA78:AU78" si="191">AA52-AA26</f>
        <v>-1.6620672294660341E-2</v>
      </c>
      <c r="AB78" s="234">
        <f t="shared" si="191"/>
        <v>-1.642560256251948E-2</v>
      </c>
      <c r="AC78" s="234">
        <f t="shared" si="191"/>
        <v>-3.2761782710217123E-3</v>
      </c>
      <c r="AD78" s="234">
        <f t="shared" si="191"/>
        <v>-6.1549421783359285E-3</v>
      </c>
      <c r="AE78" s="234">
        <f t="shared" si="191"/>
        <v>0</v>
      </c>
      <c r="AF78" s="234">
        <f t="shared" si="191"/>
        <v>-2.1265214932058903E-3</v>
      </c>
      <c r="AG78" s="234">
        <f t="shared" si="191"/>
        <v>-1.325424964379204E-4</v>
      </c>
      <c r="AH78" s="234">
        <f t="shared" si="191"/>
        <v>-2.7336889890321083E-4</v>
      </c>
      <c r="AI78" s="234">
        <f t="shared" si="191"/>
        <v>-5.3845389177905169E-4</v>
      </c>
      <c r="AJ78" s="234">
        <f t="shared" si="191"/>
        <v>-1.1794192915837685E-3</v>
      </c>
      <c r="AK78" s="234">
        <f t="shared" ref="AK78" si="192">AK52-AK26</f>
        <v>-4.3904701945061134E-4</v>
      </c>
      <c r="AL78" s="234">
        <f t="shared" si="191"/>
        <v>0</v>
      </c>
      <c r="AM78" s="234">
        <f t="shared" si="191"/>
        <v>-2.3954172991609064E-4</v>
      </c>
      <c r="AN78" s="234">
        <f t="shared" si="191"/>
        <v>-7.4857156411386105E-4</v>
      </c>
      <c r="AO78" s="234">
        <f t="shared" si="191"/>
        <v>2.5209793912272037E-2</v>
      </c>
      <c r="AP78" s="234">
        <f t="shared" si="191"/>
        <v>-7.4572223380706569E-3</v>
      </c>
      <c r="AQ78" s="234">
        <f t="shared" si="191"/>
        <v>0</v>
      </c>
      <c r="AR78" s="234">
        <f t="shared" si="191"/>
        <v>-1.4082640246529043E-4</v>
      </c>
      <c r="AS78" s="234">
        <f t="shared" si="191"/>
        <v>3.7284893375320611E-5</v>
      </c>
      <c r="AT78" s="234">
        <f t="shared" si="191"/>
        <v>-3.1478842904006095E-4</v>
      </c>
      <c r="AU78" s="233">
        <f t="shared" si="191"/>
        <v>3.0820620055856507E-2</v>
      </c>
      <c r="AV78" s="237">
        <f t="shared" si="134"/>
        <v>0</v>
      </c>
    </row>
    <row r="79" spans="2:48" x14ac:dyDescent="0.25">
      <c r="B79" s="229" t="s">
        <v>29</v>
      </c>
      <c r="C79" s="230">
        <f t="shared" ref="C79:X79" si="193">SUM(C58:C78)</f>
        <v>-2007</v>
      </c>
      <c r="D79" s="230">
        <f t="shared" si="193"/>
        <v>-54199</v>
      </c>
      <c r="E79" s="230">
        <f t="shared" si="193"/>
        <v>-13432</v>
      </c>
      <c r="F79" s="230">
        <f t="shared" si="193"/>
        <v>83799</v>
      </c>
      <c r="G79" s="230">
        <f t="shared" si="193"/>
        <v>863</v>
      </c>
      <c r="H79" s="230">
        <f t="shared" si="193"/>
        <v>-17054</v>
      </c>
      <c r="I79" s="230">
        <f t="shared" si="193"/>
        <v>2443</v>
      </c>
      <c r="J79" s="230">
        <f t="shared" si="193"/>
        <v>-7182</v>
      </c>
      <c r="K79" s="230">
        <f t="shared" si="193"/>
        <v>-3966</v>
      </c>
      <c r="L79" s="230">
        <f t="shared" si="193"/>
        <v>-19833</v>
      </c>
      <c r="M79" s="230">
        <f t="shared" si="193"/>
        <v>11463</v>
      </c>
      <c r="N79" s="230">
        <f t="shared" si="193"/>
        <v>8441</v>
      </c>
      <c r="O79" s="230">
        <f t="shared" si="193"/>
        <v>2710</v>
      </c>
      <c r="P79" s="230">
        <f t="shared" si="193"/>
        <v>-11222</v>
      </c>
      <c r="Q79" s="230">
        <f t="shared" si="193"/>
        <v>-12143</v>
      </c>
      <c r="R79" s="230">
        <f t="shared" si="193"/>
        <v>-10946</v>
      </c>
      <c r="S79" s="230">
        <f t="shared" si="193"/>
        <v>7149</v>
      </c>
      <c r="T79" s="230">
        <f t="shared" si="193"/>
        <v>19446</v>
      </c>
      <c r="U79" s="230">
        <f t="shared" si="193"/>
        <v>3093</v>
      </c>
      <c r="V79" s="230">
        <f t="shared" si="193"/>
        <v>-35337</v>
      </c>
      <c r="W79" s="230">
        <f t="shared" si="193"/>
        <v>16624</v>
      </c>
      <c r="X79" s="231">
        <f t="shared" si="193"/>
        <v>-31290</v>
      </c>
      <c r="Z79" s="229" t="s">
        <v>29</v>
      </c>
      <c r="AA79" s="238">
        <f>AA53-AA27</f>
        <v>-4.0591853310418787E-4</v>
      </c>
      <c r="AB79" s="238">
        <f t="shared" ref="AB79:AU79" si="194">AB53-AB27</f>
        <v>-7.9917595230900584E-3</v>
      </c>
      <c r="AC79" s="238">
        <f t="shared" si="194"/>
        <v>-2.8013935036351302E-3</v>
      </c>
      <c r="AD79" s="238">
        <f t="shared" si="194"/>
        <v>1.8599298065397049E-2</v>
      </c>
      <c r="AE79" s="238">
        <f t="shared" si="194"/>
        <v>2.0613935944238052E-4</v>
      </c>
      <c r="AF79" s="238">
        <f t="shared" si="194"/>
        <v>-3.3359827762885347E-3</v>
      </c>
      <c r="AG79" s="238">
        <f t="shared" si="194"/>
        <v>5.769708098817463E-4</v>
      </c>
      <c r="AH79" s="238">
        <f t="shared" si="194"/>
        <v>-1.4863513449847E-3</v>
      </c>
      <c r="AI79" s="238">
        <f t="shared" si="194"/>
        <v>-7.6683389116943661E-4</v>
      </c>
      <c r="AJ79" s="238">
        <f t="shared" si="194"/>
        <v>-3.7282351585664342E-3</v>
      </c>
      <c r="AK79" s="238">
        <f t="shared" ref="AK79" si="195">AK53-AK27</f>
        <v>2.7013917765411691E-3</v>
      </c>
      <c r="AL79" s="238">
        <f t="shared" si="194"/>
        <v>1.8492516986865753E-3</v>
      </c>
      <c r="AM79" s="238">
        <f t="shared" si="194"/>
        <v>6.3158170022589374E-4</v>
      </c>
      <c r="AN79" s="238">
        <f t="shared" si="194"/>
        <v>-2.3712843759234052E-3</v>
      </c>
      <c r="AO79" s="238">
        <f t="shared" si="194"/>
        <v>-2.4368658053558964E-3</v>
      </c>
      <c r="AP79" s="238">
        <f t="shared" si="194"/>
        <v>-2.3047062079686311E-3</v>
      </c>
      <c r="AQ79" s="238">
        <f t="shared" si="194"/>
        <v>1.5985009250010385E-3</v>
      </c>
      <c r="AR79" s="238">
        <f t="shared" si="194"/>
        <v>4.2327195447250509E-3</v>
      </c>
      <c r="AS79" s="238">
        <f t="shared" si="194"/>
        <v>7.0939177153182213E-4</v>
      </c>
      <c r="AT79" s="238">
        <f t="shared" si="194"/>
        <v>-7.187784039118586E-3</v>
      </c>
      <c r="AU79" s="238">
        <f t="shared" si="194"/>
        <v>3.7118695077723238E-3</v>
      </c>
      <c r="AV79" s="239">
        <f t="shared" si="134"/>
        <v>4.9873299934333204E-17</v>
      </c>
    </row>
    <row r="80" spans="2:48" ht="23.25" x14ac:dyDescent="0.35">
      <c r="B80" s="232" t="s">
        <v>515</v>
      </c>
    </row>
    <row r="81" spans="2:24" ht="18.75" x14ac:dyDescent="0.3">
      <c r="B81" s="373" t="s">
        <v>454</v>
      </c>
      <c r="C81" s="375" t="s">
        <v>455</v>
      </c>
      <c r="D81" s="375"/>
      <c r="E81" s="375"/>
      <c r="F81" s="375"/>
      <c r="G81" s="375"/>
      <c r="H81" s="375"/>
      <c r="I81" s="375"/>
      <c r="J81" s="375"/>
      <c r="K81" s="375"/>
      <c r="L81" s="375"/>
      <c r="M81" s="375"/>
      <c r="N81" s="375"/>
      <c r="O81" s="375"/>
      <c r="P81" s="375"/>
      <c r="Q81" s="375"/>
      <c r="R81" s="375"/>
      <c r="S81" s="375"/>
      <c r="T81" s="375"/>
      <c r="U81" s="375"/>
      <c r="V81" s="375"/>
      <c r="W81" s="376"/>
      <c r="X81" s="377" t="s">
        <v>29</v>
      </c>
    </row>
    <row r="82" spans="2:24" x14ac:dyDescent="0.25">
      <c r="B82" s="374"/>
      <c r="C82" s="223" t="s">
        <v>484</v>
      </c>
      <c r="D82" s="223" t="s">
        <v>485</v>
      </c>
      <c r="E82" s="223" t="s">
        <v>486</v>
      </c>
      <c r="F82" s="223" t="s">
        <v>487</v>
      </c>
      <c r="G82" s="223" t="s">
        <v>488</v>
      </c>
      <c r="H82" s="223" t="s">
        <v>489</v>
      </c>
      <c r="I82" s="223" t="s">
        <v>490</v>
      </c>
      <c r="J82" s="223" t="s">
        <v>491</v>
      </c>
      <c r="K82" s="223" t="s">
        <v>492</v>
      </c>
      <c r="L82" s="223" t="s">
        <v>493</v>
      </c>
      <c r="M82" s="249" t="s">
        <v>667</v>
      </c>
      <c r="N82" s="223" t="s">
        <v>494</v>
      </c>
      <c r="O82" s="223" t="s">
        <v>495</v>
      </c>
      <c r="P82" s="223" t="s">
        <v>496</v>
      </c>
      <c r="Q82" s="223" t="s">
        <v>497</v>
      </c>
      <c r="R82" s="223" t="s">
        <v>498</v>
      </c>
      <c r="S82" s="223" t="s">
        <v>499</v>
      </c>
      <c r="T82" s="223" t="s">
        <v>500</v>
      </c>
      <c r="U82" s="223" t="s">
        <v>501</v>
      </c>
      <c r="V82" s="223" t="s">
        <v>502</v>
      </c>
      <c r="W82" s="223" t="s">
        <v>503</v>
      </c>
      <c r="X82" s="378"/>
    </row>
    <row r="83" spans="2:24" x14ac:dyDescent="0.25">
      <c r="B83" s="223" t="s">
        <v>484</v>
      </c>
      <c r="C83" s="267">
        <f>IF(C6&gt;0,C58/C6,"")</f>
        <v>-0.26205997392438068</v>
      </c>
      <c r="D83" s="268">
        <f t="shared" ref="D83:W83" si="196">IF(D6&gt;0,D58/D6,"")</f>
        <v>-0.92871690427698572</v>
      </c>
      <c r="E83" s="268">
        <f t="shared" si="196"/>
        <v>-0.34840425531914893</v>
      </c>
      <c r="F83" s="268">
        <f t="shared" si="196"/>
        <v>-0.95495495495495497</v>
      </c>
      <c r="G83" s="268" t="str">
        <f t="shared" si="196"/>
        <v/>
      </c>
      <c r="H83" s="268">
        <f t="shared" si="196"/>
        <v>-0.54099509460406447</v>
      </c>
      <c r="I83" s="268" t="str">
        <f t="shared" si="196"/>
        <v/>
      </c>
      <c r="J83" s="268">
        <f t="shared" si="196"/>
        <v>-1</v>
      </c>
      <c r="K83" s="268" t="str">
        <f t="shared" si="196"/>
        <v/>
      </c>
      <c r="L83" s="268">
        <f t="shared" si="196"/>
        <v>-0.62068965517241381</v>
      </c>
      <c r="M83" s="268">
        <f t="shared" si="196"/>
        <v>-1</v>
      </c>
      <c r="N83" s="268" t="str">
        <f t="shared" si="196"/>
        <v/>
      </c>
      <c r="O83" s="268" t="str">
        <f t="shared" si="196"/>
        <v/>
      </c>
      <c r="P83" s="268">
        <f t="shared" si="196"/>
        <v>-1</v>
      </c>
      <c r="Q83" s="268">
        <f t="shared" si="196"/>
        <v>8.1989247311827954E-2</v>
      </c>
      <c r="R83" s="268">
        <f t="shared" si="196"/>
        <v>-0.63235294117647056</v>
      </c>
      <c r="S83" s="268" t="str">
        <f t="shared" si="196"/>
        <v/>
      </c>
      <c r="T83" s="268" t="str">
        <f t="shared" si="196"/>
        <v/>
      </c>
      <c r="U83" s="268">
        <f t="shared" si="196"/>
        <v>-0.5757575757575758</v>
      </c>
      <c r="V83" s="268">
        <f t="shared" si="196"/>
        <v>-1</v>
      </c>
      <c r="W83" s="268">
        <f t="shared" si="196"/>
        <v>0.62691547207118137</v>
      </c>
      <c r="X83" s="269">
        <f t="shared" ref="X83" si="197">IF(X6&gt;0,X58/X6,"")</f>
        <v>-9.130204657727594E-3</v>
      </c>
    </row>
    <row r="84" spans="2:24" x14ac:dyDescent="0.25">
      <c r="B84" s="223" t="s">
        <v>485</v>
      </c>
      <c r="C84" s="268">
        <f t="shared" ref="C84:W84" si="198">IF(C7&gt;0,C59/C7,"")</f>
        <v>-1</v>
      </c>
      <c r="D84" s="267">
        <f t="shared" si="198"/>
        <v>1.3910815868281658E-2</v>
      </c>
      <c r="E84" s="268">
        <f t="shared" si="198"/>
        <v>-0.99234303215926489</v>
      </c>
      <c r="F84" s="268">
        <f t="shared" si="198"/>
        <v>-9.9198877690404988E-2</v>
      </c>
      <c r="G84" s="268">
        <f t="shared" si="198"/>
        <v>-1</v>
      </c>
      <c r="H84" s="268">
        <f t="shared" si="198"/>
        <v>-0.61920529801324509</v>
      </c>
      <c r="I84" s="268">
        <f t="shared" si="198"/>
        <v>-0.72343522561863172</v>
      </c>
      <c r="J84" s="268">
        <f t="shared" si="198"/>
        <v>-0.92331288343558282</v>
      </c>
      <c r="K84" s="268">
        <f t="shared" si="198"/>
        <v>-0.99207606973058637</v>
      </c>
      <c r="L84" s="268">
        <f t="shared" si="198"/>
        <v>-0.46733087638203513</v>
      </c>
      <c r="M84" s="268">
        <f t="shared" si="198"/>
        <v>0.31653630511524883</v>
      </c>
      <c r="N84" s="268">
        <f t="shared" si="198"/>
        <v>-0.90384615384615385</v>
      </c>
      <c r="O84" s="268">
        <f t="shared" si="198"/>
        <v>-1</v>
      </c>
      <c r="P84" s="268">
        <f t="shared" si="198"/>
        <v>-1</v>
      </c>
      <c r="Q84" s="268">
        <f t="shared" si="198"/>
        <v>-0.89439751000444645</v>
      </c>
      <c r="R84" s="268">
        <f t="shared" si="198"/>
        <v>-1</v>
      </c>
      <c r="S84" s="268">
        <f t="shared" si="198"/>
        <v>-0.75059382422802845</v>
      </c>
      <c r="T84" s="268">
        <f t="shared" si="198"/>
        <v>-1</v>
      </c>
      <c r="U84" s="268">
        <f t="shared" si="198"/>
        <v>-1</v>
      </c>
      <c r="V84" s="268">
        <f t="shared" si="198"/>
        <v>-0.48781038941474802</v>
      </c>
      <c r="W84" s="268">
        <f t="shared" si="198"/>
        <v>-0.9948347107438017</v>
      </c>
      <c r="X84" s="269">
        <f t="shared" ref="X84" si="199">IF(X7&gt;0,X59/X7,"")</f>
        <v>-2.1886910724701544E-2</v>
      </c>
    </row>
    <row r="85" spans="2:24" x14ac:dyDescent="0.25">
      <c r="B85" s="223" t="s">
        <v>486</v>
      </c>
      <c r="C85" s="268">
        <f t="shared" ref="C85:W85" si="200">IF(C8&gt;0,C60/C8,"")</f>
        <v>9.4014598540145986</v>
      </c>
      <c r="D85" s="268">
        <f t="shared" si="200"/>
        <v>-0.36889077773055673</v>
      </c>
      <c r="E85" s="267">
        <f t="shared" si="200"/>
        <v>-0.30436831123376185</v>
      </c>
      <c r="F85" s="268">
        <f t="shared" si="200"/>
        <v>0.35139318885448917</v>
      </c>
      <c r="G85" s="268">
        <f t="shared" si="200"/>
        <v>0.70454545454545459</v>
      </c>
      <c r="H85" s="268">
        <f t="shared" si="200"/>
        <v>0.61883565655382455</v>
      </c>
      <c r="I85" s="268">
        <f t="shared" si="200"/>
        <v>-1</v>
      </c>
      <c r="J85" s="268">
        <f t="shared" si="200"/>
        <v>7.1201525746980299E-2</v>
      </c>
      <c r="K85" s="268">
        <f t="shared" si="200"/>
        <v>-1</v>
      </c>
      <c r="L85" s="268">
        <f t="shared" si="200"/>
        <v>-0.68864468864468864</v>
      </c>
      <c r="M85" s="268">
        <f t="shared" si="200"/>
        <v>-1</v>
      </c>
      <c r="N85" s="268" t="str">
        <f t="shared" si="200"/>
        <v/>
      </c>
      <c r="O85" s="268">
        <f t="shared" si="200"/>
        <v>-0.56719817767653757</v>
      </c>
      <c r="P85" s="268">
        <f t="shared" si="200"/>
        <v>-0.36507936507936506</v>
      </c>
      <c r="Q85" s="268">
        <f t="shared" si="200"/>
        <v>-3.2258064516129031E-2</v>
      </c>
      <c r="R85" s="268">
        <f t="shared" si="200"/>
        <v>0.85314685314685312</v>
      </c>
      <c r="S85" s="268">
        <f t="shared" si="200"/>
        <v>-1</v>
      </c>
      <c r="T85" s="268" t="str">
        <f t="shared" si="200"/>
        <v/>
      </c>
      <c r="U85" s="268">
        <f t="shared" si="200"/>
        <v>-1</v>
      </c>
      <c r="V85" s="268">
        <f t="shared" si="200"/>
        <v>-0.26365795724465557</v>
      </c>
      <c r="W85" s="268">
        <f t="shared" si="200"/>
        <v>1.086031452358927</v>
      </c>
      <c r="X85" s="269">
        <f t="shared" ref="X85" si="201">IF(X8&gt;0,X60/X8,"")</f>
        <v>-2.1392114199727516E-2</v>
      </c>
    </row>
    <row r="86" spans="2:24" x14ac:dyDescent="0.25">
      <c r="B86" s="223" t="s">
        <v>487</v>
      </c>
      <c r="C86" s="268">
        <f t="shared" ref="C86:W86" si="202">IF(C9&gt;0,C61/C9,"")</f>
        <v>-1</v>
      </c>
      <c r="D86" s="268">
        <f t="shared" si="202"/>
        <v>-0.28141925339234758</v>
      </c>
      <c r="E86" s="268">
        <f t="shared" si="202"/>
        <v>-0.97</v>
      </c>
      <c r="F86" s="267">
        <f t="shared" si="202"/>
        <v>0.213885130711823</v>
      </c>
      <c r="G86" s="268">
        <f t="shared" si="202"/>
        <v>-1</v>
      </c>
      <c r="H86" s="268">
        <f t="shared" si="202"/>
        <v>-0.449702839533348</v>
      </c>
      <c r="I86" s="268">
        <f t="shared" si="202"/>
        <v>-1</v>
      </c>
      <c r="J86" s="268">
        <f t="shared" si="202"/>
        <v>-0.75049900199600794</v>
      </c>
      <c r="K86" s="268">
        <f t="shared" si="202"/>
        <v>-1</v>
      </c>
      <c r="L86" s="268">
        <f t="shared" si="202"/>
        <v>-0.85933874709976799</v>
      </c>
      <c r="M86" s="268">
        <f t="shared" si="202"/>
        <v>-1</v>
      </c>
      <c r="N86" s="268" t="str">
        <f t="shared" si="202"/>
        <v/>
      </c>
      <c r="O86" s="268">
        <f t="shared" si="202"/>
        <v>-1</v>
      </c>
      <c r="P86" s="268" t="str">
        <f t="shared" si="202"/>
        <v/>
      </c>
      <c r="Q86" s="268">
        <f t="shared" si="202"/>
        <v>-0.911991199119912</v>
      </c>
      <c r="R86" s="268">
        <f t="shared" si="202"/>
        <v>-1</v>
      </c>
      <c r="S86" s="268">
        <f t="shared" si="202"/>
        <v>-1</v>
      </c>
      <c r="T86" s="268" t="str">
        <f t="shared" si="202"/>
        <v/>
      </c>
      <c r="U86" s="268">
        <f t="shared" si="202"/>
        <v>-1</v>
      </c>
      <c r="V86" s="268">
        <f t="shared" si="202"/>
        <v>-0.58763234203250392</v>
      </c>
      <c r="W86" s="268">
        <f t="shared" si="202"/>
        <v>-1</v>
      </c>
      <c r="X86" s="269">
        <f t="shared" ref="X86" si="203">IF(X9&gt;0,X61/X9,"")</f>
        <v>-1.3678274534213219E-2</v>
      </c>
    </row>
    <row r="87" spans="2:24" x14ac:dyDescent="0.25">
      <c r="B87" s="223" t="s">
        <v>488</v>
      </c>
      <c r="C87" s="268">
        <f t="shared" ref="C87:W87" si="204">IF(C10&gt;0,C62/C10,"")</f>
        <v>-1</v>
      </c>
      <c r="D87" s="268">
        <f t="shared" si="204"/>
        <v>-0.7636554621848739</v>
      </c>
      <c r="E87" s="268" t="str">
        <f t="shared" si="204"/>
        <v/>
      </c>
      <c r="F87" s="268">
        <f t="shared" si="204"/>
        <v>3.2110091743119268E-2</v>
      </c>
      <c r="G87" s="267">
        <f t="shared" si="204"/>
        <v>0.12723556463975472</v>
      </c>
      <c r="H87" s="268">
        <f t="shared" si="204"/>
        <v>8.8560885608856083E-2</v>
      </c>
      <c r="I87" s="268">
        <f t="shared" si="204"/>
        <v>2.6175115207373274</v>
      </c>
      <c r="J87" s="268">
        <f t="shared" si="204"/>
        <v>1.7031802120141342</v>
      </c>
      <c r="K87" s="268" t="str">
        <f t="shared" si="204"/>
        <v/>
      </c>
      <c r="L87" s="268">
        <f t="shared" si="204"/>
        <v>-1</v>
      </c>
      <c r="M87" s="268">
        <f t="shared" si="204"/>
        <v>-0.8660714285714286</v>
      </c>
      <c r="N87" s="268" t="str">
        <f t="shared" si="204"/>
        <v/>
      </c>
      <c r="O87" s="268">
        <f t="shared" si="204"/>
        <v>-0.36736958934517205</v>
      </c>
      <c r="P87" s="268" t="str">
        <f t="shared" si="204"/>
        <v/>
      </c>
      <c r="Q87" s="268">
        <f t="shared" si="204"/>
        <v>-1</v>
      </c>
      <c r="R87" s="268" t="str">
        <f t="shared" si="204"/>
        <v/>
      </c>
      <c r="S87" s="268" t="str">
        <f t="shared" si="204"/>
        <v/>
      </c>
      <c r="T87" s="268" t="str">
        <f t="shared" si="204"/>
        <v/>
      </c>
      <c r="U87" s="268" t="str">
        <f t="shared" si="204"/>
        <v/>
      </c>
      <c r="V87" s="268">
        <f t="shared" si="204"/>
        <v>-0.1019880174291939</v>
      </c>
      <c r="W87" s="268" t="str">
        <f t="shared" si="204"/>
        <v/>
      </c>
      <c r="X87" s="269">
        <f t="shared" ref="X87" si="205">IF(X10&gt;0,X62/X10,"")</f>
        <v>-1.4337733272644515E-2</v>
      </c>
    </row>
    <row r="88" spans="2:24" x14ac:dyDescent="0.25">
      <c r="B88" s="223" t="s">
        <v>489</v>
      </c>
      <c r="C88" s="268">
        <f t="shared" ref="C88:W88" si="206">IF(C11&gt;0,C63/C11,"")</f>
        <v>-0.7119341563786008</v>
      </c>
      <c r="D88" s="268">
        <f t="shared" si="206"/>
        <v>-0.14717957872188503</v>
      </c>
      <c r="E88" s="268">
        <f t="shared" si="206"/>
        <v>-0.52977315689981097</v>
      </c>
      <c r="F88" s="268">
        <f t="shared" si="206"/>
        <v>0.39266575136188492</v>
      </c>
      <c r="G88" s="268">
        <f t="shared" si="206"/>
        <v>-0.88235294117647056</v>
      </c>
      <c r="H88" s="267">
        <f t="shared" si="206"/>
        <v>-3.9976770467101956E-2</v>
      </c>
      <c r="I88" s="268">
        <f t="shared" si="206"/>
        <v>-1</v>
      </c>
      <c r="J88" s="268">
        <f t="shared" si="206"/>
        <v>-0.44906223358908781</v>
      </c>
      <c r="K88" s="268">
        <f t="shared" si="206"/>
        <v>-1</v>
      </c>
      <c r="L88" s="268">
        <f t="shared" si="206"/>
        <v>-0.15242364808069486</v>
      </c>
      <c r="M88" s="268">
        <f t="shared" si="206"/>
        <v>-1</v>
      </c>
      <c r="N88" s="268" t="str">
        <f t="shared" si="206"/>
        <v/>
      </c>
      <c r="O88" s="268">
        <f t="shared" si="206"/>
        <v>-1</v>
      </c>
      <c r="P88" s="268" t="str">
        <f t="shared" si="206"/>
        <v/>
      </c>
      <c r="Q88" s="268">
        <f t="shared" si="206"/>
        <v>-0.38595166163141992</v>
      </c>
      <c r="R88" s="268">
        <f t="shared" si="206"/>
        <v>-0.94413407821229045</v>
      </c>
      <c r="S88" s="268" t="str">
        <f t="shared" si="206"/>
        <v/>
      </c>
      <c r="T88" s="268">
        <f t="shared" si="206"/>
        <v>-1</v>
      </c>
      <c r="U88" s="268">
        <f t="shared" si="206"/>
        <v>-0.86111111111111116</v>
      </c>
      <c r="V88" s="268">
        <f t="shared" si="206"/>
        <v>-0.47415788120339419</v>
      </c>
      <c r="W88" s="268">
        <f t="shared" si="206"/>
        <v>-0.84405458089668617</v>
      </c>
      <c r="X88" s="269">
        <f t="shared" ref="X88" si="207">IF(X11&gt;0,X63/X11,"")</f>
        <v>-1.4720105387783688E-2</v>
      </c>
    </row>
    <row r="89" spans="2:24" x14ac:dyDescent="0.25">
      <c r="B89" s="223" t="s">
        <v>490</v>
      </c>
      <c r="C89" s="268" t="str">
        <f t="shared" ref="C89:W89" si="208">IF(C12&gt;0,C64/C12,"")</f>
        <v/>
      </c>
      <c r="D89" s="268">
        <f t="shared" si="208"/>
        <v>-0.38421599169262721</v>
      </c>
      <c r="E89" s="268">
        <f t="shared" si="208"/>
        <v>-1</v>
      </c>
      <c r="F89" s="268">
        <f t="shared" si="208"/>
        <v>-0.64179104477611937</v>
      </c>
      <c r="G89" s="268">
        <f t="shared" si="208"/>
        <v>-0.21348314606741572</v>
      </c>
      <c r="H89" s="268">
        <f t="shared" si="208"/>
        <v>-0.94318181818181823</v>
      </c>
      <c r="I89" s="267">
        <f t="shared" si="208"/>
        <v>2.4765509297350666E-2</v>
      </c>
      <c r="J89" s="268">
        <f t="shared" si="208"/>
        <v>-1</v>
      </c>
      <c r="K89" s="268" t="str">
        <f t="shared" si="208"/>
        <v/>
      </c>
      <c r="L89" s="268">
        <f t="shared" si="208"/>
        <v>-1</v>
      </c>
      <c r="M89" s="268">
        <f t="shared" si="208"/>
        <v>2.1871345029239766</v>
      </c>
      <c r="N89" s="268">
        <f t="shared" si="208"/>
        <v>-1</v>
      </c>
      <c r="O89" s="268">
        <f t="shared" si="208"/>
        <v>-0.82758620689655171</v>
      </c>
      <c r="P89" s="268" t="str">
        <f t="shared" si="208"/>
        <v/>
      </c>
      <c r="Q89" s="268" t="str">
        <f t="shared" si="208"/>
        <v/>
      </c>
      <c r="R89" s="268">
        <f t="shared" si="208"/>
        <v>-1</v>
      </c>
      <c r="S89" s="268">
        <f t="shared" si="208"/>
        <v>-1</v>
      </c>
      <c r="T89" s="268" t="str">
        <f t="shared" si="208"/>
        <v/>
      </c>
      <c r="U89" s="268" t="str">
        <f t="shared" si="208"/>
        <v/>
      </c>
      <c r="V89" s="268">
        <f t="shared" si="208"/>
        <v>0.16894382997180654</v>
      </c>
      <c r="W89" s="268" t="str">
        <f t="shared" si="208"/>
        <v/>
      </c>
      <c r="X89" s="269">
        <f t="shared" ref="X89" si="209">IF(X12&gt;0,X64/X12,"")</f>
        <v>6.5790869925083303E-4</v>
      </c>
    </row>
    <row r="90" spans="2:24" x14ac:dyDescent="0.25">
      <c r="B90" s="223" t="s">
        <v>491</v>
      </c>
      <c r="C90" s="268">
        <f t="shared" ref="C90:W90" si="210">IF(C13&gt;0,C65/C13,"")</f>
        <v>-1</v>
      </c>
      <c r="D90" s="268">
        <f t="shared" si="210"/>
        <v>-0.59741709183673475</v>
      </c>
      <c r="E90" s="268">
        <f t="shared" si="210"/>
        <v>-0.41881100266193433</v>
      </c>
      <c r="F90" s="268">
        <f t="shared" si="210"/>
        <v>0.32825719120135366</v>
      </c>
      <c r="G90" s="268">
        <f t="shared" si="210"/>
        <v>-0.19376693766937669</v>
      </c>
      <c r="H90" s="268">
        <f t="shared" si="210"/>
        <v>8.6575696109164671E-2</v>
      </c>
      <c r="I90" s="268" t="str">
        <f t="shared" si="210"/>
        <v/>
      </c>
      <c r="J90" s="267">
        <f t="shared" si="210"/>
        <v>-0.16423923148435079</v>
      </c>
      <c r="K90" s="268" t="str">
        <f t="shared" si="210"/>
        <v/>
      </c>
      <c r="L90" s="268">
        <f t="shared" si="210"/>
        <v>-0.97023809523809523</v>
      </c>
      <c r="M90" s="268">
        <f t="shared" si="210"/>
        <v>-0.80769230769230771</v>
      </c>
      <c r="N90" s="268" t="str">
        <f t="shared" si="210"/>
        <v/>
      </c>
      <c r="O90" s="268">
        <f t="shared" si="210"/>
        <v>-0.49806949806949807</v>
      </c>
      <c r="P90" s="268" t="str">
        <f t="shared" si="210"/>
        <v/>
      </c>
      <c r="Q90" s="268">
        <f t="shared" si="210"/>
        <v>-0.84536082474226804</v>
      </c>
      <c r="R90" s="268">
        <f t="shared" si="210"/>
        <v>-1</v>
      </c>
      <c r="S90" s="268" t="str">
        <f t="shared" si="210"/>
        <v/>
      </c>
      <c r="T90" s="268" t="str">
        <f t="shared" si="210"/>
        <v/>
      </c>
      <c r="U90" s="268" t="str">
        <f t="shared" si="210"/>
        <v/>
      </c>
      <c r="V90" s="268">
        <f t="shared" si="210"/>
        <v>4.9847732008334672E-2</v>
      </c>
      <c r="W90" s="268" t="str">
        <f t="shared" si="210"/>
        <v/>
      </c>
      <c r="X90" s="269">
        <f t="shared" ref="X90" si="211">IF(X13&gt;0,X65/X13,"")</f>
        <v>-2.7032806457936098E-2</v>
      </c>
    </row>
    <row r="91" spans="2:24" x14ac:dyDescent="0.25">
      <c r="B91" s="223" t="s">
        <v>492</v>
      </c>
      <c r="C91" s="268">
        <f t="shared" ref="C91:W91" si="212">IF(C14&gt;0,C66/C14,"")</f>
        <v>-1</v>
      </c>
      <c r="D91" s="268">
        <f t="shared" si="212"/>
        <v>-0.25879745081740096</v>
      </c>
      <c r="E91" s="268">
        <f t="shared" si="212"/>
        <v>-1</v>
      </c>
      <c r="F91" s="268">
        <f t="shared" si="212"/>
        <v>-0.89425981873111782</v>
      </c>
      <c r="G91" s="268" t="str">
        <f t="shared" si="212"/>
        <v/>
      </c>
      <c r="H91" s="268">
        <f t="shared" si="212"/>
        <v>0.18320610687022901</v>
      </c>
      <c r="I91" s="268" t="str">
        <f t="shared" si="212"/>
        <v/>
      </c>
      <c r="J91" s="268">
        <f t="shared" si="212"/>
        <v>-1</v>
      </c>
      <c r="K91" s="267">
        <f t="shared" si="212"/>
        <v>-0.17292963140258497</v>
      </c>
      <c r="L91" s="268">
        <f t="shared" si="212"/>
        <v>0.45276236125126135</v>
      </c>
      <c r="M91" s="268" t="str">
        <f t="shared" si="212"/>
        <v/>
      </c>
      <c r="N91" s="268" t="str">
        <f t="shared" si="212"/>
        <v/>
      </c>
      <c r="O91" s="268" t="str">
        <f t="shared" si="212"/>
        <v/>
      </c>
      <c r="P91" s="268" t="str">
        <f t="shared" si="212"/>
        <v/>
      </c>
      <c r="Q91" s="268">
        <f t="shared" si="212"/>
        <v>1.2616136919315404</v>
      </c>
      <c r="R91" s="268" t="str">
        <f t="shared" si="212"/>
        <v/>
      </c>
      <c r="S91" s="268">
        <f t="shared" si="212"/>
        <v>-1</v>
      </c>
      <c r="T91" s="268">
        <f t="shared" si="212"/>
        <v>0.43676711637876686</v>
      </c>
      <c r="U91" s="268">
        <f t="shared" si="212"/>
        <v>0.36478517270429656</v>
      </c>
      <c r="V91" s="268">
        <f t="shared" si="212"/>
        <v>-1</v>
      </c>
      <c r="W91" s="268">
        <f t="shared" si="212"/>
        <v>-0.80769230769230771</v>
      </c>
      <c r="X91" s="269">
        <f t="shared" ref="X91" si="213">IF(X14&gt;0,X66/X14,"")</f>
        <v>5.4910695756837893E-2</v>
      </c>
    </row>
    <row r="92" spans="2:24" x14ac:dyDescent="0.25">
      <c r="B92" s="223" t="s">
        <v>493</v>
      </c>
      <c r="C92" s="268">
        <f t="shared" ref="C92:W92" si="214">IF(C15&gt;0,C67/C15,"")</f>
        <v>-1</v>
      </c>
      <c r="D92" s="268">
        <f t="shared" si="214"/>
        <v>8.9051188416938952E-3</v>
      </c>
      <c r="E92" s="268">
        <f t="shared" si="214"/>
        <v>-1</v>
      </c>
      <c r="F92" s="268">
        <f t="shared" si="214"/>
        <v>-0.52658026976990213</v>
      </c>
      <c r="G92" s="268" t="str">
        <f t="shared" si="214"/>
        <v/>
      </c>
      <c r="H92" s="268">
        <f t="shared" si="214"/>
        <v>-0.47883765003158557</v>
      </c>
      <c r="I92" s="268">
        <f t="shared" si="214"/>
        <v>-1</v>
      </c>
      <c r="J92" s="268">
        <f t="shared" si="214"/>
        <v>-0.58333333333333337</v>
      </c>
      <c r="K92" s="268">
        <f t="shared" si="214"/>
        <v>-4.6015984499878908E-3</v>
      </c>
      <c r="L92" s="267">
        <f t="shared" si="214"/>
        <v>-3.3440084371905187E-4</v>
      </c>
      <c r="M92" s="268">
        <f t="shared" si="214"/>
        <v>-1</v>
      </c>
      <c r="N92" s="268" t="str">
        <f t="shared" si="214"/>
        <v/>
      </c>
      <c r="O92" s="268">
        <f t="shared" si="214"/>
        <v>-1</v>
      </c>
      <c r="P92" s="268">
        <f t="shared" si="214"/>
        <v>-1</v>
      </c>
      <c r="Q92" s="268">
        <f t="shared" si="214"/>
        <v>-0.28582363747703615</v>
      </c>
      <c r="R92" s="268">
        <f t="shared" si="214"/>
        <v>-1</v>
      </c>
      <c r="S92" s="268">
        <f t="shared" si="214"/>
        <v>-1</v>
      </c>
      <c r="T92" s="268">
        <f t="shared" si="214"/>
        <v>0.66180758017492713</v>
      </c>
      <c r="U92" s="268">
        <f t="shared" si="214"/>
        <v>-0.54545454545454541</v>
      </c>
      <c r="V92" s="268">
        <f t="shared" si="214"/>
        <v>-1</v>
      </c>
      <c r="W92" s="268">
        <f t="shared" si="214"/>
        <v>-0.91379310344827591</v>
      </c>
      <c r="X92" s="269">
        <f t="shared" ref="X92:X93" si="215">IF(X15&gt;0,X67/X15,"")</f>
        <v>-1.9868106523802088E-2</v>
      </c>
    </row>
    <row r="93" spans="2:24" x14ac:dyDescent="0.25">
      <c r="B93" s="223" t="s">
        <v>667</v>
      </c>
      <c r="C93" s="268">
        <f t="shared" ref="C93:W93" si="216">IF(C16&gt;0,C68/C16,"")</f>
        <v>-1</v>
      </c>
      <c r="D93" s="268">
        <f t="shared" si="216"/>
        <v>9.1970056260752317E-2</v>
      </c>
      <c r="E93" s="268">
        <f t="shared" si="216"/>
        <v>-1</v>
      </c>
      <c r="F93" s="268">
        <f t="shared" si="216"/>
        <v>-0.94010541447053186</v>
      </c>
      <c r="G93" s="268">
        <f t="shared" si="216"/>
        <v>-1</v>
      </c>
      <c r="H93" s="268">
        <f t="shared" si="216"/>
        <v>-1</v>
      </c>
      <c r="I93" s="268">
        <f t="shared" si="216"/>
        <v>2.4516129032258065</v>
      </c>
      <c r="J93" s="268">
        <f t="shared" si="216"/>
        <v>-1</v>
      </c>
      <c r="K93" s="268" t="str">
        <f t="shared" si="216"/>
        <v/>
      </c>
      <c r="L93" s="268">
        <f t="shared" si="216"/>
        <v>-0.98226950354609932</v>
      </c>
      <c r="M93" s="267">
        <f t="shared" si="216"/>
        <v>6.4347983637744688E-2</v>
      </c>
      <c r="N93" s="268">
        <f t="shared" si="216"/>
        <v>-0.60506706408345756</v>
      </c>
      <c r="O93" s="268">
        <f t="shared" si="216"/>
        <v>-1</v>
      </c>
      <c r="P93" s="268" t="str">
        <f t="shared" si="216"/>
        <v/>
      </c>
      <c r="Q93" s="268" t="str">
        <f t="shared" si="216"/>
        <v/>
      </c>
      <c r="R93" s="268" t="str">
        <f t="shared" si="216"/>
        <v/>
      </c>
      <c r="S93" s="268">
        <f t="shared" si="216"/>
        <v>-0.25430002177226213</v>
      </c>
      <c r="T93" s="268" t="str">
        <f t="shared" si="216"/>
        <v/>
      </c>
      <c r="U93" s="268" t="str">
        <f t="shared" si="216"/>
        <v/>
      </c>
      <c r="V93" s="268">
        <f t="shared" si="216"/>
        <v>-0.35322745901639346</v>
      </c>
      <c r="W93" s="268">
        <f t="shared" si="216"/>
        <v>-1</v>
      </c>
      <c r="X93" s="269">
        <f t="shared" si="215"/>
        <v>3.3711721872165153E-2</v>
      </c>
    </row>
    <row r="94" spans="2:24" x14ac:dyDescent="0.25">
      <c r="B94" s="223" t="s">
        <v>494</v>
      </c>
      <c r="C94" s="268" t="str">
        <f t="shared" ref="C94:W94" si="217">IF(C17&gt;0,C69/C17,"")</f>
        <v/>
      </c>
      <c r="D94" s="268">
        <f t="shared" si="217"/>
        <v>-0.88444444444444448</v>
      </c>
      <c r="E94" s="268" t="str">
        <f t="shared" si="217"/>
        <v/>
      </c>
      <c r="F94" s="268">
        <f t="shared" si="217"/>
        <v>-1</v>
      </c>
      <c r="G94" s="268" t="str">
        <f t="shared" si="217"/>
        <v/>
      </c>
      <c r="H94" s="268">
        <f t="shared" si="217"/>
        <v>-1</v>
      </c>
      <c r="I94" s="268" t="str">
        <f t="shared" si="217"/>
        <v/>
      </c>
      <c r="J94" s="268" t="str">
        <f t="shared" si="217"/>
        <v/>
      </c>
      <c r="K94" s="268" t="str">
        <f t="shared" si="217"/>
        <v/>
      </c>
      <c r="L94" s="268">
        <f t="shared" si="217"/>
        <v>-1</v>
      </c>
      <c r="M94" s="268">
        <f t="shared" si="217"/>
        <v>-0.29260450160771706</v>
      </c>
      <c r="N94" s="267">
        <f t="shared" si="217"/>
        <v>0.20925634133531065</v>
      </c>
      <c r="O94" s="268">
        <f t="shared" si="217"/>
        <v>-1</v>
      </c>
      <c r="P94" s="268" t="str">
        <f t="shared" si="217"/>
        <v/>
      </c>
      <c r="Q94" s="268" t="str">
        <f t="shared" si="217"/>
        <v/>
      </c>
      <c r="R94" s="268" t="str">
        <f t="shared" si="217"/>
        <v/>
      </c>
      <c r="S94" s="268">
        <f t="shared" si="217"/>
        <v>0.8172461116193962</v>
      </c>
      <c r="T94" s="268" t="str">
        <f t="shared" si="217"/>
        <v/>
      </c>
      <c r="U94" s="268" t="str">
        <f t="shared" si="217"/>
        <v/>
      </c>
      <c r="V94" s="268">
        <f t="shared" si="217"/>
        <v>-1</v>
      </c>
      <c r="W94" s="268" t="str">
        <f t="shared" si="217"/>
        <v/>
      </c>
      <c r="X94" s="269">
        <f t="shared" ref="X94" si="218">IF(X17&gt;0,X69/X17,"")</f>
        <v>0.20875188192610508</v>
      </c>
    </row>
    <row r="95" spans="2:24" x14ac:dyDescent="0.25">
      <c r="B95" s="223" t="s">
        <v>495</v>
      </c>
      <c r="C95" s="268" t="str">
        <f t="shared" ref="C95:W95" si="219">IF(C18&gt;0,C70/C18,"")</f>
        <v/>
      </c>
      <c r="D95" s="268">
        <f t="shared" si="219"/>
        <v>-0.83453237410071945</v>
      </c>
      <c r="E95" s="268">
        <f t="shared" si="219"/>
        <v>4.9107142857142856E-2</v>
      </c>
      <c r="F95" s="268">
        <f t="shared" si="219"/>
        <v>-0.23575129533678757</v>
      </c>
      <c r="G95" s="268">
        <f t="shared" si="219"/>
        <v>1.2551440329218106</v>
      </c>
      <c r="H95" s="268">
        <f t="shared" si="219"/>
        <v>-0.27159209157127989</v>
      </c>
      <c r="I95" s="268">
        <f t="shared" si="219"/>
        <v>-1</v>
      </c>
      <c r="J95" s="268">
        <f t="shared" si="219"/>
        <v>-0.24060150375939848</v>
      </c>
      <c r="K95" s="268" t="str">
        <f t="shared" si="219"/>
        <v/>
      </c>
      <c r="L95" s="268">
        <f t="shared" si="219"/>
        <v>-1</v>
      </c>
      <c r="M95" s="268">
        <f t="shared" si="219"/>
        <v>-1</v>
      </c>
      <c r="N95" s="268">
        <f t="shared" si="219"/>
        <v>-1</v>
      </c>
      <c r="O95" s="267">
        <f t="shared" si="219"/>
        <v>0.12789526686807653</v>
      </c>
      <c r="P95" s="268">
        <f t="shared" si="219"/>
        <v>-0.8044692737430168</v>
      </c>
      <c r="Q95" s="268">
        <f t="shared" si="219"/>
        <v>-1</v>
      </c>
      <c r="R95" s="268">
        <f t="shared" si="219"/>
        <v>1.875</v>
      </c>
      <c r="S95" s="268" t="str">
        <f t="shared" si="219"/>
        <v/>
      </c>
      <c r="T95" s="268" t="str">
        <f t="shared" si="219"/>
        <v/>
      </c>
      <c r="U95" s="268" t="str">
        <f t="shared" si="219"/>
        <v/>
      </c>
      <c r="V95" s="268">
        <f t="shared" si="219"/>
        <v>-0.51903114186851207</v>
      </c>
      <c r="W95" s="268">
        <f t="shared" si="219"/>
        <v>-0.56896551724137934</v>
      </c>
      <c r="X95" s="269">
        <f t="shared" ref="X95" si="220">IF(X18&gt;0,X70/X18,"")</f>
        <v>7.2444878896491802E-2</v>
      </c>
    </row>
    <row r="96" spans="2:24" x14ac:dyDescent="0.25">
      <c r="B96" s="223" t="s">
        <v>496</v>
      </c>
      <c r="C96" s="268">
        <f t="shared" ref="C96:W96" si="221">IF(C19&gt;0,C71/C19,"")</f>
        <v>-0.65517241379310343</v>
      </c>
      <c r="D96" s="268">
        <f t="shared" si="221"/>
        <v>-1</v>
      </c>
      <c r="E96" s="268">
        <f t="shared" si="221"/>
        <v>-0.39222042139384117</v>
      </c>
      <c r="F96" s="268">
        <f t="shared" si="221"/>
        <v>-0.67532467532467533</v>
      </c>
      <c r="G96" s="268" t="str">
        <f t="shared" si="221"/>
        <v/>
      </c>
      <c r="H96" s="268">
        <f t="shared" si="221"/>
        <v>-0.34693877551020408</v>
      </c>
      <c r="I96" s="268" t="str">
        <f t="shared" si="221"/>
        <v/>
      </c>
      <c r="J96" s="268">
        <f t="shared" si="221"/>
        <v>-0.68085106382978722</v>
      </c>
      <c r="K96" s="268" t="str">
        <f t="shared" si="221"/>
        <v/>
      </c>
      <c r="L96" s="268">
        <f t="shared" si="221"/>
        <v>-1</v>
      </c>
      <c r="M96" s="268" t="str">
        <f t="shared" si="221"/>
        <v/>
      </c>
      <c r="N96" s="268" t="str">
        <f t="shared" si="221"/>
        <v/>
      </c>
      <c r="O96" s="268">
        <f t="shared" si="221"/>
        <v>-0.34335443037974683</v>
      </c>
      <c r="P96" s="267">
        <f t="shared" si="221"/>
        <v>-0.99253969945646381</v>
      </c>
      <c r="Q96" s="268">
        <f t="shared" si="221"/>
        <v>-1</v>
      </c>
      <c r="R96" s="268">
        <f t="shared" si="221"/>
        <v>-0.54061251664447407</v>
      </c>
      <c r="S96" s="268" t="str">
        <f t="shared" si="221"/>
        <v/>
      </c>
      <c r="T96" s="268" t="str">
        <f t="shared" si="221"/>
        <v/>
      </c>
      <c r="U96" s="268" t="str">
        <f t="shared" si="221"/>
        <v/>
      </c>
      <c r="V96" s="268">
        <f t="shared" si="221"/>
        <v>-1</v>
      </c>
      <c r="W96" s="268">
        <f t="shared" si="221"/>
        <v>-0.65783664459161151</v>
      </c>
      <c r="X96" s="269">
        <f t="shared" ref="X96" si="222">IF(X19&gt;0,X71/X19,"")</f>
        <v>-0.85351416154653081</v>
      </c>
    </row>
    <row r="97" spans="2:24" x14ac:dyDescent="0.25">
      <c r="B97" s="223" t="s">
        <v>497</v>
      </c>
      <c r="C97" s="268">
        <f t="shared" ref="C97:W97" si="223">IF(C20&gt;0,C72/C20,"")</f>
        <v>2.0788177339901477</v>
      </c>
      <c r="D97" s="268">
        <f t="shared" si="223"/>
        <v>-4.4799192352588573E-3</v>
      </c>
      <c r="E97" s="268">
        <f t="shared" si="223"/>
        <v>-0.3086816720257235</v>
      </c>
      <c r="F97" s="268">
        <f t="shared" si="223"/>
        <v>-0.26793683487813252</v>
      </c>
      <c r="G97" s="268">
        <f t="shared" si="223"/>
        <v>-1</v>
      </c>
      <c r="H97" s="268">
        <f t="shared" si="223"/>
        <v>0.42318084412559398</v>
      </c>
      <c r="I97" s="268" t="str">
        <f t="shared" si="223"/>
        <v/>
      </c>
      <c r="J97" s="268">
        <f t="shared" si="223"/>
        <v>-0.73684210526315785</v>
      </c>
      <c r="K97" s="268">
        <f t="shared" si="223"/>
        <v>-0.36690647482014388</v>
      </c>
      <c r="L97" s="268">
        <f t="shared" si="223"/>
        <v>0.33400656399899015</v>
      </c>
      <c r="M97" s="268">
        <f t="shared" si="223"/>
        <v>-1</v>
      </c>
      <c r="N97" s="268" t="str">
        <f t="shared" si="223"/>
        <v/>
      </c>
      <c r="O97" s="268">
        <f t="shared" si="223"/>
        <v>-1</v>
      </c>
      <c r="P97" s="268" t="str">
        <f t="shared" si="223"/>
        <v/>
      </c>
      <c r="Q97" s="267">
        <f t="shared" si="223"/>
        <v>-0.14169184681822308</v>
      </c>
      <c r="R97" s="268">
        <f t="shared" si="223"/>
        <v>-0.91935483870967738</v>
      </c>
      <c r="S97" s="268">
        <f t="shared" si="223"/>
        <v>-1</v>
      </c>
      <c r="T97" s="268">
        <f t="shared" si="223"/>
        <v>3.2424242424242422</v>
      </c>
      <c r="U97" s="268">
        <f t="shared" si="223"/>
        <v>-5.9873949579831935E-2</v>
      </c>
      <c r="V97" s="268">
        <f t="shared" si="223"/>
        <v>-1</v>
      </c>
      <c r="W97" s="268">
        <f t="shared" si="223"/>
        <v>1.2340425531914894</v>
      </c>
      <c r="X97" s="269">
        <f t="shared" ref="X97" si="224">IF(X20&gt;0,X72/X20,"")</f>
        <v>-3.0186147912124767E-4</v>
      </c>
    </row>
    <row r="98" spans="2:24" x14ac:dyDescent="0.25">
      <c r="B98" s="223" t="s">
        <v>498</v>
      </c>
      <c r="C98" s="268">
        <f t="shared" ref="C98:W98" si="225">IF(C21&gt;0,C73/C21,"")</f>
        <v>-0.66494845360824739</v>
      </c>
      <c r="D98" s="268">
        <f t="shared" si="225"/>
        <v>-0.93569131832797425</v>
      </c>
      <c r="E98" s="268">
        <f t="shared" si="225"/>
        <v>-0.32456140350877194</v>
      </c>
      <c r="F98" s="268">
        <f t="shared" si="225"/>
        <v>-1</v>
      </c>
      <c r="G98" s="268">
        <f t="shared" si="225"/>
        <v>-1</v>
      </c>
      <c r="H98" s="268">
        <f t="shared" si="225"/>
        <v>-0.34173669467787116</v>
      </c>
      <c r="I98" s="268" t="str">
        <f t="shared" si="225"/>
        <v/>
      </c>
      <c r="J98" s="268">
        <f t="shared" si="225"/>
        <v>-1</v>
      </c>
      <c r="K98" s="268">
        <f t="shared" si="225"/>
        <v>-1</v>
      </c>
      <c r="L98" s="268">
        <f t="shared" si="225"/>
        <v>-1</v>
      </c>
      <c r="M98" s="268">
        <f t="shared" si="225"/>
        <v>-1</v>
      </c>
      <c r="N98" s="268" t="str">
        <f t="shared" si="225"/>
        <v/>
      </c>
      <c r="O98" s="268">
        <f t="shared" si="225"/>
        <v>3.2307692307692308</v>
      </c>
      <c r="P98" s="268">
        <f t="shared" si="225"/>
        <v>-0.97089262613195337</v>
      </c>
      <c r="Q98" s="268">
        <f t="shared" si="225"/>
        <v>-0.34782608695652173</v>
      </c>
      <c r="R98" s="267">
        <f t="shared" si="225"/>
        <v>-0.73445495425647389</v>
      </c>
      <c r="S98" s="268" t="str">
        <f t="shared" si="225"/>
        <v/>
      </c>
      <c r="T98" s="268" t="str">
        <f t="shared" si="225"/>
        <v/>
      </c>
      <c r="U98" s="268">
        <f t="shared" si="225"/>
        <v>-1</v>
      </c>
      <c r="V98" s="268">
        <f t="shared" si="225"/>
        <v>-1</v>
      </c>
      <c r="W98" s="268">
        <f t="shared" si="225"/>
        <v>-0.35897435897435898</v>
      </c>
      <c r="X98" s="269">
        <f t="shared" ref="X98" si="226">IF(X21&gt;0,X73/X21,"")</f>
        <v>-0.62712233347845014</v>
      </c>
    </row>
    <row r="99" spans="2:24" x14ac:dyDescent="0.25">
      <c r="B99" s="223" t="s">
        <v>499</v>
      </c>
      <c r="C99" s="268" t="str">
        <f t="shared" ref="C99:W99" si="227">IF(C22&gt;0,C74/C22,"")</f>
        <v/>
      </c>
      <c r="D99" s="268">
        <f t="shared" si="227"/>
        <v>-0.68130841121495322</v>
      </c>
      <c r="E99" s="268" t="str">
        <f t="shared" si="227"/>
        <v/>
      </c>
      <c r="F99" s="268">
        <f t="shared" si="227"/>
        <v>-1</v>
      </c>
      <c r="G99" s="268">
        <f t="shared" si="227"/>
        <v>-1</v>
      </c>
      <c r="H99" s="268">
        <f t="shared" si="227"/>
        <v>-1</v>
      </c>
      <c r="I99" s="268" t="str">
        <f t="shared" si="227"/>
        <v/>
      </c>
      <c r="J99" s="268" t="str">
        <f t="shared" si="227"/>
        <v/>
      </c>
      <c r="K99" s="268" t="str">
        <f t="shared" si="227"/>
        <v/>
      </c>
      <c r="L99" s="268">
        <f t="shared" si="227"/>
        <v>-1</v>
      </c>
      <c r="M99" s="268">
        <f t="shared" si="227"/>
        <v>-8.7241101049045103E-2</v>
      </c>
      <c r="N99" s="268">
        <f t="shared" si="227"/>
        <v>0.6629982880899975</v>
      </c>
      <c r="O99" s="268">
        <f t="shared" si="227"/>
        <v>-1</v>
      </c>
      <c r="P99" s="268" t="str">
        <f t="shared" si="227"/>
        <v/>
      </c>
      <c r="Q99" s="268">
        <f t="shared" si="227"/>
        <v>-1</v>
      </c>
      <c r="R99" s="268" t="str">
        <f t="shared" si="227"/>
        <v/>
      </c>
      <c r="S99" s="267">
        <f t="shared" si="227"/>
        <v>0.16228607855636737</v>
      </c>
      <c r="T99" s="268" t="str">
        <f t="shared" si="227"/>
        <v/>
      </c>
      <c r="U99" s="268" t="str">
        <f t="shared" si="227"/>
        <v/>
      </c>
      <c r="V99" s="268">
        <f t="shared" si="227"/>
        <v>-0.80769230769230771</v>
      </c>
      <c r="W99" s="268" t="str">
        <f t="shared" si="227"/>
        <v/>
      </c>
      <c r="X99" s="269">
        <f t="shared" ref="X99" si="228">IF(X22&gt;0,X74/X22,"")</f>
        <v>4.0826338166357792E-2</v>
      </c>
    </row>
    <row r="100" spans="2:24" x14ac:dyDescent="0.25">
      <c r="B100" s="223" t="s">
        <v>500</v>
      </c>
      <c r="C100" s="268">
        <f t="shared" ref="C100:W100" si="229">IF(C23&gt;0,C75/C23,"")</f>
        <v>-1</v>
      </c>
      <c r="D100" s="268">
        <f t="shared" si="229"/>
        <v>-0.27958833619210977</v>
      </c>
      <c r="E100" s="268" t="str">
        <f t="shared" si="229"/>
        <v/>
      </c>
      <c r="F100" s="268">
        <f t="shared" si="229"/>
        <v>-0.35897435897435898</v>
      </c>
      <c r="G100" s="268" t="str">
        <f t="shared" si="229"/>
        <v/>
      </c>
      <c r="H100" s="268" t="str">
        <f t="shared" si="229"/>
        <v/>
      </c>
      <c r="I100" s="268" t="str">
        <f t="shared" si="229"/>
        <v/>
      </c>
      <c r="J100" s="268" t="str">
        <f t="shared" si="229"/>
        <v/>
      </c>
      <c r="K100" s="268">
        <f t="shared" si="229"/>
        <v>0.44777031154551006</v>
      </c>
      <c r="L100" s="268">
        <f t="shared" si="229"/>
        <v>2.6058519793459554</v>
      </c>
      <c r="M100" s="268">
        <f t="shared" si="229"/>
        <v>-1</v>
      </c>
      <c r="N100" s="268" t="str">
        <f t="shared" si="229"/>
        <v/>
      </c>
      <c r="O100" s="268" t="str">
        <f t="shared" si="229"/>
        <v/>
      </c>
      <c r="P100" s="268" t="str">
        <f t="shared" si="229"/>
        <v/>
      </c>
      <c r="Q100" s="268">
        <f t="shared" si="229"/>
        <v>18.411764705882351</v>
      </c>
      <c r="R100" s="268" t="str">
        <f t="shared" si="229"/>
        <v/>
      </c>
      <c r="S100" s="268" t="str">
        <f t="shared" si="229"/>
        <v/>
      </c>
      <c r="T100" s="267">
        <f t="shared" si="229"/>
        <v>0.21295250864441465</v>
      </c>
      <c r="U100" s="268">
        <f t="shared" si="229"/>
        <v>6.0894386298763085E-2</v>
      </c>
      <c r="V100" s="268">
        <f t="shared" si="229"/>
        <v>-1</v>
      </c>
      <c r="W100" s="268">
        <f t="shared" si="229"/>
        <v>-1</v>
      </c>
      <c r="X100" s="269">
        <f t="shared" ref="X100" si="230">IF(X23&gt;0,X75/X23,"")</f>
        <v>0.30131532381738824</v>
      </c>
    </row>
    <row r="101" spans="2:24" x14ac:dyDescent="0.25">
      <c r="B101" s="223" t="s">
        <v>501</v>
      </c>
      <c r="C101" s="268">
        <f t="shared" ref="C101:W101" si="231">IF(C24&gt;0,C76/C24,"")</f>
        <v>2.125</v>
      </c>
      <c r="D101" s="268">
        <f t="shared" si="231"/>
        <v>-0.53389830508474578</v>
      </c>
      <c r="E101" s="268">
        <f t="shared" si="231"/>
        <v>-1</v>
      </c>
      <c r="F101" s="268">
        <f t="shared" si="231"/>
        <v>-0.85074626865671643</v>
      </c>
      <c r="G101" s="268" t="str">
        <f t="shared" si="231"/>
        <v/>
      </c>
      <c r="H101" s="268">
        <f t="shared" si="231"/>
        <v>1.5862068965517242</v>
      </c>
      <c r="I101" s="268" t="str">
        <f t="shared" si="231"/>
        <v/>
      </c>
      <c r="J101" s="268">
        <f t="shared" si="231"/>
        <v>-1</v>
      </c>
      <c r="K101" s="268">
        <f t="shared" si="231"/>
        <v>1.8053691275167785</v>
      </c>
      <c r="L101" s="268">
        <f t="shared" si="231"/>
        <v>0.47104247104247104</v>
      </c>
      <c r="M101" s="268">
        <f t="shared" si="231"/>
        <v>-1</v>
      </c>
      <c r="N101" s="268" t="str">
        <f t="shared" si="231"/>
        <v/>
      </c>
      <c r="O101" s="268" t="str">
        <f t="shared" si="231"/>
        <v/>
      </c>
      <c r="P101" s="268" t="str">
        <f t="shared" si="231"/>
        <v/>
      </c>
      <c r="Q101" s="268">
        <f t="shared" si="231"/>
        <v>0.99031085991118284</v>
      </c>
      <c r="R101" s="268" t="str">
        <f t="shared" si="231"/>
        <v/>
      </c>
      <c r="S101" s="268" t="str">
        <f t="shared" si="231"/>
        <v/>
      </c>
      <c r="T101" s="268">
        <f t="shared" si="231"/>
        <v>1.2918303220738414</v>
      </c>
      <c r="U101" s="267">
        <f t="shared" si="231"/>
        <v>9.7514340344168254E-2</v>
      </c>
      <c r="V101" s="268">
        <f t="shared" si="231"/>
        <v>-1</v>
      </c>
      <c r="W101" s="268">
        <f t="shared" si="231"/>
        <v>3.3625498007968129</v>
      </c>
      <c r="X101" s="269">
        <f t="shared" ref="X101" si="232">IF(X24&gt;0,X76/X24,"")</f>
        <v>0.2837939133476588</v>
      </c>
    </row>
    <row r="102" spans="2:24" x14ac:dyDescent="0.25">
      <c r="B102" s="223" t="s">
        <v>502</v>
      </c>
      <c r="C102" s="268" t="str">
        <f t="shared" ref="C102:W102" si="233">IF(C25&gt;0,C77/C25,"")</f>
        <v/>
      </c>
      <c r="D102" s="268">
        <f t="shared" si="233"/>
        <v>-0.25580803047416562</v>
      </c>
      <c r="E102" s="268">
        <f t="shared" si="233"/>
        <v>-0.8571428571428571</v>
      </c>
      <c r="F102" s="268">
        <f t="shared" si="233"/>
        <v>0.45521443552469804</v>
      </c>
      <c r="G102" s="268">
        <f t="shared" si="233"/>
        <v>-0.29005436520626798</v>
      </c>
      <c r="H102" s="268">
        <f t="shared" si="233"/>
        <v>4.2219541616405308E-3</v>
      </c>
      <c r="I102" s="268">
        <f t="shared" si="233"/>
        <v>0.62575266327003243</v>
      </c>
      <c r="J102" s="268">
        <f t="shared" si="233"/>
        <v>-0.25475901174564602</v>
      </c>
      <c r="K102" s="268">
        <f t="shared" si="233"/>
        <v>-1</v>
      </c>
      <c r="L102" s="268">
        <f t="shared" si="233"/>
        <v>-0.94856722997795739</v>
      </c>
      <c r="M102" s="268">
        <f t="shared" si="233"/>
        <v>0.32388663967611336</v>
      </c>
      <c r="N102" s="268">
        <f t="shared" si="233"/>
        <v>-1</v>
      </c>
      <c r="O102" s="268">
        <f t="shared" si="233"/>
        <v>-0.96314496314496312</v>
      </c>
      <c r="P102" s="268">
        <f t="shared" si="233"/>
        <v>-1</v>
      </c>
      <c r="Q102" s="268">
        <f t="shared" si="233"/>
        <v>-0.954337899543379</v>
      </c>
      <c r="R102" s="268">
        <f t="shared" si="233"/>
        <v>-1</v>
      </c>
      <c r="S102" s="268">
        <f t="shared" si="233"/>
        <v>-0.85781990521327012</v>
      </c>
      <c r="T102" s="268">
        <f t="shared" si="233"/>
        <v>-1</v>
      </c>
      <c r="U102" s="268" t="str">
        <f t="shared" si="233"/>
        <v/>
      </c>
      <c r="V102" s="267">
        <f t="shared" si="233"/>
        <v>-1.309793852150949E-2</v>
      </c>
      <c r="W102" s="268">
        <f t="shared" si="233"/>
        <v>-1</v>
      </c>
      <c r="X102" s="269">
        <f t="shared" ref="X102" si="234">IF(X25&gt;0,X77/X25,"")</f>
        <v>-5.3012770243992631E-3</v>
      </c>
    </row>
    <row r="103" spans="2:24" x14ac:dyDescent="0.25">
      <c r="B103" s="223" t="s">
        <v>503</v>
      </c>
      <c r="C103" s="268">
        <f t="shared" ref="C103:W103" si="235">IF(C26&gt;0,C78/C26,"")</f>
        <v>-0.29944095038434659</v>
      </c>
      <c r="D103" s="268">
        <f t="shared" si="235"/>
        <v>-0.96110841030627125</v>
      </c>
      <c r="E103" s="268">
        <f t="shared" si="235"/>
        <v>-0.34288537549407117</v>
      </c>
      <c r="F103" s="268">
        <f t="shared" si="235"/>
        <v>-1</v>
      </c>
      <c r="G103" s="268" t="str">
        <f t="shared" si="235"/>
        <v/>
      </c>
      <c r="H103" s="268">
        <f t="shared" si="235"/>
        <v>-0.18406072106261859</v>
      </c>
      <c r="I103" s="268">
        <f t="shared" si="235"/>
        <v>-1</v>
      </c>
      <c r="J103" s="268">
        <f t="shared" si="235"/>
        <v>-1</v>
      </c>
      <c r="K103" s="268">
        <f t="shared" si="235"/>
        <v>-1</v>
      </c>
      <c r="L103" s="268">
        <f t="shared" si="235"/>
        <v>-0.69696969696969702</v>
      </c>
      <c r="M103" s="268">
        <f t="shared" si="235"/>
        <v>-1</v>
      </c>
      <c r="N103" s="268" t="str">
        <f t="shared" si="235"/>
        <v/>
      </c>
      <c r="O103" s="268">
        <f t="shared" si="235"/>
        <v>-0.39393939393939392</v>
      </c>
      <c r="P103" s="268">
        <f t="shared" si="235"/>
        <v>-0.94736842105263153</v>
      </c>
      <c r="Q103" s="268">
        <f t="shared" si="235"/>
        <v>2.6491777603758808</v>
      </c>
      <c r="R103" s="268">
        <f t="shared" si="235"/>
        <v>-0.57966101694915251</v>
      </c>
      <c r="S103" s="268" t="str">
        <f t="shared" si="235"/>
        <v/>
      </c>
      <c r="T103" s="268">
        <f t="shared" si="235"/>
        <v>-1</v>
      </c>
      <c r="U103" s="268">
        <f t="shared" si="235"/>
        <v>0.10091743119266056</v>
      </c>
      <c r="V103" s="268">
        <f t="shared" si="235"/>
        <v>-1</v>
      </c>
      <c r="W103" s="267">
        <f t="shared" si="235"/>
        <v>0.11630307295331926</v>
      </c>
      <c r="X103" s="269">
        <f t="shared" ref="X103" si="236">IF(X26&gt;0,X78/X26,"")</f>
        <v>7.864740382385102E-2</v>
      </c>
    </row>
    <row r="104" spans="2:24" x14ac:dyDescent="0.25">
      <c r="B104" s="229" t="s">
        <v>29</v>
      </c>
      <c r="C104" s="270">
        <f t="shared" ref="C104:X104" si="237">IF(C27&gt;0,C79/C27,"")</f>
        <v>-0.13413982087956156</v>
      </c>
      <c r="D104" s="270">
        <f t="shared" si="237"/>
        <v>-2.1547350978633539E-2</v>
      </c>
      <c r="E104" s="270">
        <f t="shared" si="237"/>
        <v>-0.33675132248602302</v>
      </c>
      <c r="F104" s="270">
        <f t="shared" si="237"/>
        <v>0.15269608379069818</v>
      </c>
      <c r="G104" s="270">
        <f t="shared" si="237"/>
        <v>5.3846633805453299E-2</v>
      </c>
      <c r="H104" s="270">
        <f t="shared" si="237"/>
        <v>-8.2142822738350982E-2</v>
      </c>
      <c r="I104" s="270">
        <f t="shared" si="237"/>
        <v>6.0028994766198981E-2</v>
      </c>
      <c r="J104" s="270">
        <f t="shared" si="237"/>
        <v>-0.24323500524943273</v>
      </c>
      <c r="K104" s="270">
        <f t="shared" si="237"/>
        <v>-7.2562939110070251E-2</v>
      </c>
      <c r="L104" s="270">
        <f t="shared" si="237"/>
        <v>-5.6821893318206043E-2</v>
      </c>
      <c r="M104" s="270">
        <f t="shared" si="237"/>
        <v>6.1367724527817039E-2</v>
      </c>
      <c r="N104" s="270">
        <f t="shared" si="237"/>
        <v>0.22184551499382377</v>
      </c>
      <c r="O104" s="270">
        <f t="shared" si="237"/>
        <v>6.9238630556974962E-2</v>
      </c>
      <c r="P104" s="270">
        <f t="shared" si="237"/>
        <v>-0.98248993171073362</v>
      </c>
      <c r="Q104" s="270">
        <f t="shared" si="237"/>
        <v>-0.11666650653805136</v>
      </c>
      <c r="R104" s="270">
        <f t="shared" si="237"/>
        <v>-0.64346599259302806</v>
      </c>
      <c r="S104" s="270">
        <f t="shared" si="237"/>
        <v>0.12954372485775378</v>
      </c>
      <c r="T104" s="270">
        <f t="shared" si="237"/>
        <v>0.28553388934570656</v>
      </c>
      <c r="U104" s="270">
        <f t="shared" si="237"/>
        <v>8.4665498740829959E-2</v>
      </c>
      <c r="V104" s="270">
        <f t="shared" si="237"/>
        <v>-0.15074740201013601</v>
      </c>
      <c r="W104" s="270">
        <f t="shared" si="237"/>
        <v>0.13340181036143031</v>
      </c>
      <c r="X104" s="271">
        <f t="shared" si="237"/>
        <v>-6.6125727641885542E-3</v>
      </c>
    </row>
  </sheetData>
  <mergeCells count="22">
    <mergeCell ref="AV4:AV5"/>
    <mergeCell ref="B4:B5"/>
    <mergeCell ref="C4:W4"/>
    <mergeCell ref="X4:X5"/>
    <mergeCell ref="Z4:Z5"/>
    <mergeCell ref="AA4:AU4"/>
    <mergeCell ref="A1:B1"/>
    <mergeCell ref="B81:B82"/>
    <mergeCell ref="C81:W81"/>
    <mergeCell ref="X81:X82"/>
    <mergeCell ref="AV56:AV57"/>
    <mergeCell ref="B30:B31"/>
    <mergeCell ref="C30:W30"/>
    <mergeCell ref="X30:X31"/>
    <mergeCell ref="Z30:Z31"/>
    <mergeCell ref="AA30:AU30"/>
    <mergeCell ref="AV30:AV31"/>
    <mergeCell ref="B56:B57"/>
    <mergeCell ref="C56:W56"/>
    <mergeCell ref="X56:X57"/>
    <mergeCell ref="Z56:Z57"/>
    <mergeCell ref="AA56:AU56"/>
  </mergeCells>
  <conditionalFormatting sqref="AA6:AU26">
    <cfRule type="colorScale" priority="7">
      <colorScale>
        <cfvo type="min"/>
        <cfvo type="max"/>
        <color rgb="FFFCFCFF"/>
        <color rgb="FF63BE7B"/>
      </colorScale>
    </cfRule>
  </conditionalFormatting>
  <conditionalFormatting sqref="AA32:AU52">
    <cfRule type="colorScale" priority="8">
      <colorScale>
        <cfvo type="min"/>
        <cfvo type="max"/>
        <color rgb="FFFCFCFF"/>
        <color rgb="FF63BE7B"/>
      </colorScale>
    </cfRule>
  </conditionalFormatting>
  <conditionalFormatting sqref="AA58:AU78">
    <cfRule type="colorScale" priority="9">
      <colorScale>
        <cfvo type="min"/>
        <cfvo type="percentile" val="50"/>
        <cfvo type="max"/>
        <color rgb="FFF8696B"/>
        <color rgb="FFFFEB84"/>
        <color rgb="FF63BE7B"/>
      </colorScale>
    </cfRule>
  </conditionalFormatting>
  <hyperlinks>
    <hyperlink ref="A1" location="Index!A1" display="Index"/>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Y46"/>
  <sheetViews>
    <sheetView topLeftCell="A10" workbookViewId="0">
      <selection activeCell="B26" sqref="B26:V46"/>
    </sheetView>
  </sheetViews>
  <sheetFormatPr defaultRowHeight="15" x14ac:dyDescent="0.25"/>
  <cols>
    <col min="1" max="1" width="18.140625" bestFit="1" customWidth="1"/>
  </cols>
  <sheetData>
    <row r="1" spans="1:22" x14ac:dyDescent="0.25">
      <c r="A1" t="s">
        <v>24</v>
      </c>
    </row>
    <row r="2" spans="1:22" x14ac:dyDescent="0.25">
      <c r="A2" s="157"/>
      <c r="B2" t="s">
        <v>484</v>
      </c>
      <c r="C2" t="s">
        <v>485</v>
      </c>
      <c r="D2" t="s">
        <v>486</v>
      </c>
      <c r="E2" t="s">
        <v>487</v>
      </c>
      <c r="F2" t="s">
        <v>488</v>
      </c>
      <c r="G2" t="s">
        <v>489</v>
      </c>
      <c r="H2" t="s">
        <v>490</v>
      </c>
      <c r="I2" t="s">
        <v>491</v>
      </c>
      <c r="J2" t="s">
        <v>492</v>
      </c>
      <c r="K2" t="s">
        <v>493</v>
      </c>
      <c r="L2" t="s">
        <v>668</v>
      </c>
      <c r="M2" t="s">
        <v>494</v>
      </c>
      <c r="N2" t="s">
        <v>495</v>
      </c>
      <c r="O2" t="s">
        <v>496</v>
      </c>
      <c r="P2" t="s">
        <v>497</v>
      </c>
      <c r="Q2" t="s">
        <v>498</v>
      </c>
      <c r="R2" t="s">
        <v>499</v>
      </c>
      <c r="S2" t="s">
        <v>500</v>
      </c>
      <c r="T2" t="s">
        <v>501</v>
      </c>
      <c r="U2" t="s">
        <v>502</v>
      </c>
      <c r="V2" t="s">
        <v>503</v>
      </c>
    </row>
    <row r="3" spans="1:22" x14ac:dyDescent="0.25">
      <c r="A3" s="157" t="s">
        <v>484</v>
      </c>
      <c r="B3">
        <v>7670</v>
      </c>
      <c r="C3">
        <v>1964</v>
      </c>
      <c r="D3">
        <v>376</v>
      </c>
      <c r="E3">
        <v>444</v>
      </c>
      <c r="F3">
        <v>0</v>
      </c>
      <c r="G3">
        <v>1427</v>
      </c>
      <c r="H3">
        <v>0</v>
      </c>
      <c r="I3">
        <v>2</v>
      </c>
      <c r="J3">
        <v>0</v>
      </c>
      <c r="K3">
        <v>145</v>
      </c>
      <c r="L3">
        <v>36</v>
      </c>
      <c r="M3">
        <v>0</v>
      </c>
      <c r="N3">
        <v>0</v>
      </c>
      <c r="O3">
        <v>18</v>
      </c>
      <c r="P3">
        <v>2232</v>
      </c>
      <c r="Q3">
        <v>68</v>
      </c>
      <c r="R3">
        <v>0</v>
      </c>
      <c r="S3">
        <v>0</v>
      </c>
      <c r="T3">
        <v>165</v>
      </c>
      <c r="U3">
        <v>33</v>
      </c>
      <c r="V3">
        <v>8092</v>
      </c>
    </row>
    <row r="4" spans="1:22" x14ac:dyDescent="0.25">
      <c r="A4" s="157" t="s">
        <v>485</v>
      </c>
      <c r="B4">
        <v>87</v>
      </c>
      <c r="C4">
        <v>2057967</v>
      </c>
      <c r="D4">
        <v>653</v>
      </c>
      <c r="E4">
        <v>135435</v>
      </c>
      <c r="F4">
        <v>420</v>
      </c>
      <c r="G4">
        <v>19630</v>
      </c>
      <c r="H4">
        <v>1374</v>
      </c>
      <c r="I4">
        <v>652</v>
      </c>
      <c r="J4">
        <v>631</v>
      </c>
      <c r="K4">
        <v>64036</v>
      </c>
      <c r="L4">
        <v>14447</v>
      </c>
      <c r="M4">
        <v>208</v>
      </c>
      <c r="N4">
        <v>212</v>
      </c>
      <c r="O4">
        <v>112</v>
      </c>
      <c r="P4">
        <v>4498</v>
      </c>
      <c r="Q4">
        <v>46</v>
      </c>
      <c r="R4">
        <v>421</v>
      </c>
      <c r="S4">
        <v>93</v>
      </c>
      <c r="T4">
        <v>183</v>
      </c>
      <c r="U4">
        <v>39829</v>
      </c>
      <c r="V4">
        <v>968</v>
      </c>
    </row>
    <row r="5" spans="1:22" x14ac:dyDescent="0.25">
      <c r="A5" s="157" t="s">
        <v>486</v>
      </c>
      <c r="B5">
        <v>137</v>
      </c>
      <c r="C5">
        <v>2353</v>
      </c>
      <c r="D5">
        <v>29714</v>
      </c>
      <c r="E5">
        <v>3230</v>
      </c>
      <c r="F5">
        <v>44</v>
      </c>
      <c r="G5">
        <v>8537</v>
      </c>
      <c r="H5">
        <v>17</v>
      </c>
      <c r="I5">
        <v>1573</v>
      </c>
      <c r="J5">
        <v>8</v>
      </c>
      <c r="K5">
        <v>273</v>
      </c>
      <c r="L5">
        <v>14</v>
      </c>
      <c r="M5">
        <v>0</v>
      </c>
      <c r="N5">
        <v>439</v>
      </c>
      <c r="O5">
        <v>63</v>
      </c>
      <c r="P5">
        <v>682</v>
      </c>
      <c r="Q5">
        <v>572</v>
      </c>
      <c r="R5">
        <v>3</v>
      </c>
      <c r="S5">
        <v>0</v>
      </c>
      <c r="T5">
        <v>16</v>
      </c>
      <c r="U5">
        <v>421</v>
      </c>
      <c r="V5">
        <v>1081</v>
      </c>
    </row>
    <row r="6" spans="1:22" x14ac:dyDescent="0.25">
      <c r="A6" s="157" t="s">
        <v>487</v>
      </c>
      <c r="B6">
        <v>31</v>
      </c>
      <c r="C6">
        <v>137368</v>
      </c>
      <c r="D6">
        <v>500</v>
      </c>
      <c r="E6">
        <v>274956</v>
      </c>
      <c r="F6">
        <v>135</v>
      </c>
      <c r="G6">
        <v>18172</v>
      </c>
      <c r="H6">
        <v>50</v>
      </c>
      <c r="I6">
        <v>1503</v>
      </c>
      <c r="J6">
        <v>30</v>
      </c>
      <c r="K6">
        <v>6896</v>
      </c>
      <c r="L6">
        <v>470</v>
      </c>
      <c r="M6">
        <v>0</v>
      </c>
      <c r="N6">
        <v>113</v>
      </c>
      <c r="O6">
        <v>0</v>
      </c>
      <c r="P6">
        <v>909</v>
      </c>
      <c r="Q6">
        <v>45</v>
      </c>
      <c r="R6">
        <v>76</v>
      </c>
      <c r="S6">
        <v>0</v>
      </c>
      <c r="T6">
        <v>15</v>
      </c>
      <c r="U6">
        <v>14829</v>
      </c>
      <c r="V6">
        <v>173</v>
      </c>
    </row>
    <row r="7" spans="1:22" x14ac:dyDescent="0.25">
      <c r="A7" s="157" t="s">
        <v>488</v>
      </c>
      <c r="B7">
        <v>24</v>
      </c>
      <c r="C7">
        <v>1904</v>
      </c>
      <c r="D7">
        <v>0</v>
      </c>
      <c r="E7">
        <v>1090</v>
      </c>
      <c r="F7">
        <v>9785</v>
      </c>
      <c r="G7">
        <v>271</v>
      </c>
      <c r="H7">
        <v>217</v>
      </c>
      <c r="I7">
        <v>283</v>
      </c>
      <c r="J7">
        <v>0</v>
      </c>
      <c r="K7">
        <v>15</v>
      </c>
      <c r="L7">
        <v>112</v>
      </c>
      <c r="M7">
        <v>0</v>
      </c>
      <c r="N7">
        <v>901</v>
      </c>
      <c r="O7">
        <v>0</v>
      </c>
      <c r="P7">
        <v>24</v>
      </c>
      <c r="Q7">
        <v>0</v>
      </c>
      <c r="R7">
        <v>0</v>
      </c>
      <c r="S7">
        <v>0</v>
      </c>
      <c r="T7">
        <v>0</v>
      </c>
      <c r="U7">
        <v>7344</v>
      </c>
      <c r="V7">
        <v>0</v>
      </c>
    </row>
    <row r="8" spans="1:22" x14ac:dyDescent="0.25">
      <c r="A8" s="157" t="s">
        <v>489</v>
      </c>
      <c r="B8">
        <v>243</v>
      </c>
      <c r="C8">
        <v>44816</v>
      </c>
      <c r="D8">
        <v>2116</v>
      </c>
      <c r="E8">
        <v>45158</v>
      </c>
      <c r="F8">
        <v>170</v>
      </c>
      <c r="G8">
        <v>127424</v>
      </c>
      <c r="H8">
        <v>20</v>
      </c>
      <c r="I8">
        <v>4692</v>
      </c>
      <c r="J8">
        <v>13</v>
      </c>
      <c r="K8">
        <v>3569</v>
      </c>
      <c r="L8">
        <v>171</v>
      </c>
      <c r="M8">
        <v>0</v>
      </c>
      <c r="N8">
        <v>230</v>
      </c>
      <c r="O8">
        <v>0</v>
      </c>
      <c r="P8">
        <v>6620</v>
      </c>
      <c r="Q8">
        <v>179</v>
      </c>
      <c r="R8">
        <v>0</v>
      </c>
      <c r="S8">
        <v>17</v>
      </c>
      <c r="T8">
        <v>36</v>
      </c>
      <c r="U8">
        <v>3889</v>
      </c>
      <c r="V8">
        <v>513</v>
      </c>
    </row>
    <row r="9" spans="1:22" x14ac:dyDescent="0.25">
      <c r="A9" s="157" t="s">
        <v>490</v>
      </c>
      <c r="B9">
        <v>0</v>
      </c>
      <c r="C9">
        <v>4815</v>
      </c>
      <c r="D9">
        <v>49</v>
      </c>
      <c r="E9">
        <v>335</v>
      </c>
      <c r="F9">
        <v>267</v>
      </c>
      <c r="G9">
        <v>88</v>
      </c>
      <c r="H9">
        <v>36462</v>
      </c>
      <c r="I9">
        <v>4</v>
      </c>
      <c r="J9">
        <v>0</v>
      </c>
      <c r="K9">
        <v>18</v>
      </c>
      <c r="L9">
        <v>342</v>
      </c>
      <c r="M9">
        <v>7</v>
      </c>
      <c r="N9">
        <v>29</v>
      </c>
      <c r="O9">
        <v>0</v>
      </c>
      <c r="P9">
        <v>0</v>
      </c>
      <c r="Q9">
        <v>16</v>
      </c>
      <c r="R9">
        <v>76</v>
      </c>
      <c r="S9">
        <v>0</v>
      </c>
      <c r="T9">
        <v>0</v>
      </c>
      <c r="U9">
        <v>4611</v>
      </c>
      <c r="V9">
        <v>0</v>
      </c>
    </row>
    <row r="10" spans="1:22" x14ac:dyDescent="0.25">
      <c r="A10" s="157" t="s">
        <v>491</v>
      </c>
      <c r="B10">
        <v>11</v>
      </c>
      <c r="C10">
        <v>6272</v>
      </c>
      <c r="D10">
        <v>1127</v>
      </c>
      <c r="E10">
        <v>14184</v>
      </c>
      <c r="F10">
        <v>738</v>
      </c>
      <c r="G10">
        <v>10846</v>
      </c>
      <c r="H10">
        <v>0</v>
      </c>
      <c r="I10">
        <v>16135</v>
      </c>
      <c r="J10">
        <v>0</v>
      </c>
      <c r="K10">
        <v>168</v>
      </c>
      <c r="L10">
        <v>26</v>
      </c>
      <c r="M10">
        <v>0</v>
      </c>
      <c r="N10">
        <v>259</v>
      </c>
      <c r="O10">
        <v>0</v>
      </c>
      <c r="P10">
        <v>97</v>
      </c>
      <c r="Q10">
        <v>15</v>
      </c>
      <c r="R10">
        <v>0</v>
      </c>
      <c r="S10">
        <v>0</v>
      </c>
      <c r="T10">
        <v>0</v>
      </c>
      <c r="U10">
        <v>6239</v>
      </c>
      <c r="V10">
        <v>0</v>
      </c>
    </row>
    <row r="11" spans="1:22" x14ac:dyDescent="0.25">
      <c r="A11" s="157" t="s">
        <v>492</v>
      </c>
      <c r="B11">
        <v>20</v>
      </c>
      <c r="C11">
        <v>3609</v>
      </c>
      <c r="D11">
        <v>91</v>
      </c>
      <c r="E11">
        <v>331</v>
      </c>
      <c r="F11">
        <v>0</v>
      </c>
      <c r="G11">
        <v>131</v>
      </c>
      <c r="H11">
        <v>0</v>
      </c>
      <c r="I11">
        <v>4</v>
      </c>
      <c r="J11">
        <v>41780</v>
      </c>
      <c r="K11">
        <v>15856</v>
      </c>
      <c r="L11">
        <v>0</v>
      </c>
      <c r="M11">
        <v>0</v>
      </c>
      <c r="N11">
        <v>0</v>
      </c>
      <c r="O11">
        <v>0</v>
      </c>
      <c r="P11">
        <v>1227</v>
      </c>
      <c r="Q11">
        <v>0</v>
      </c>
      <c r="R11">
        <v>43</v>
      </c>
      <c r="S11">
        <v>7931</v>
      </c>
      <c r="T11">
        <v>1187</v>
      </c>
      <c r="U11">
        <v>45</v>
      </c>
      <c r="V11">
        <v>26</v>
      </c>
    </row>
    <row r="12" spans="1:22" x14ac:dyDescent="0.25">
      <c r="A12" s="157" t="s">
        <v>493</v>
      </c>
      <c r="B12">
        <v>22</v>
      </c>
      <c r="C12">
        <v>78045</v>
      </c>
      <c r="D12">
        <v>68</v>
      </c>
      <c r="E12">
        <v>7562</v>
      </c>
      <c r="F12">
        <v>0</v>
      </c>
      <c r="G12">
        <v>1583</v>
      </c>
      <c r="H12">
        <v>24</v>
      </c>
      <c r="I12">
        <v>24</v>
      </c>
      <c r="J12">
        <v>4129</v>
      </c>
      <c r="K12">
        <v>233253</v>
      </c>
      <c r="L12">
        <v>183</v>
      </c>
      <c r="M12">
        <v>0</v>
      </c>
      <c r="N12">
        <v>13</v>
      </c>
      <c r="O12">
        <v>11</v>
      </c>
      <c r="P12">
        <v>6532</v>
      </c>
      <c r="Q12">
        <v>19</v>
      </c>
      <c r="R12">
        <v>10</v>
      </c>
      <c r="S12">
        <v>686</v>
      </c>
      <c r="T12">
        <v>275</v>
      </c>
      <c r="U12">
        <v>441</v>
      </c>
      <c r="V12">
        <v>116</v>
      </c>
    </row>
    <row r="13" spans="1:22" x14ac:dyDescent="0.25">
      <c r="A13" s="157" t="s">
        <v>668</v>
      </c>
      <c r="B13">
        <v>19</v>
      </c>
      <c r="C13">
        <v>43014</v>
      </c>
      <c r="D13">
        <v>14</v>
      </c>
      <c r="E13">
        <v>2087</v>
      </c>
      <c r="F13">
        <v>65</v>
      </c>
      <c r="G13">
        <v>119</v>
      </c>
      <c r="H13">
        <v>310</v>
      </c>
      <c r="I13">
        <v>37</v>
      </c>
      <c r="J13">
        <v>0</v>
      </c>
      <c r="K13">
        <v>282</v>
      </c>
      <c r="L13">
        <v>143501</v>
      </c>
      <c r="M13">
        <v>1342</v>
      </c>
      <c r="N13">
        <v>33</v>
      </c>
      <c r="O13">
        <v>0</v>
      </c>
      <c r="P13">
        <v>0</v>
      </c>
      <c r="Q13">
        <v>0</v>
      </c>
      <c r="R13">
        <v>9186</v>
      </c>
      <c r="S13">
        <v>0</v>
      </c>
      <c r="T13">
        <v>0</v>
      </c>
      <c r="U13">
        <v>3904</v>
      </c>
      <c r="V13">
        <v>22</v>
      </c>
    </row>
    <row r="14" spans="1:22" x14ac:dyDescent="0.25">
      <c r="A14" s="157" t="s">
        <v>494</v>
      </c>
      <c r="B14">
        <v>0</v>
      </c>
      <c r="C14">
        <v>1125</v>
      </c>
      <c r="D14">
        <v>0</v>
      </c>
      <c r="E14">
        <v>54</v>
      </c>
      <c r="F14">
        <v>0</v>
      </c>
      <c r="G14">
        <v>3</v>
      </c>
      <c r="H14">
        <v>0</v>
      </c>
      <c r="I14">
        <v>0</v>
      </c>
      <c r="J14">
        <v>0</v>
      </c>
      <c r="K14">
        <v>7</v>
      </c>
      <c r="L14">
        <v>2488</v>
      </c>
      <c r="M14">
        <v>32367</v>
      </c>
      <c r="N14">
        <v>4</v>
      </c>
      <c r="O14">
        <v>0</v>
      </c>
      <c r="P14">
        <v>0</v>
      </c>
      <c r="Q14">
        <v>0</v>
      </c>
      <c r="R14">
        <v>4372</v>
      </c>
      <c r="S14">
        <v>0</v>
      </c>
      <c r="T14">
        <v>0</v>
      </c>
      <c r="U14">
        <v>97</v>
      </c>
      <c r="V14">
        <v>0</v>
      </c>
    </row>
    <row r="15" spans="1:22" x14ac:dyDescent="0.25">
      <c r="A15" s="157" t="s">
        <v>495</v>
      </c>
      <c r="B15">
        <v>0</v>
      </c>
      <c r="C15">
        <v>695</v>
      </c>
      <c r="D15">
        <v>1344</v>
      </c>
      <c r="E15">
        <v>1158</v>
      </c>
      <c r="F15">
        <v>1215</v>
      </c>
      <c r="G15">
        <v>1922</v>
      </c>
      <c r="H15">
        <v>48</v>
      </c>
      <c r="I15">
        <v>1995</v>
      </c>
      <c r="J15">
        <v>0</v>
      </c>
      <c r="K15">
        <v>5</v>
      </c>
      <c r="L15">
        <v>76</v>
      </c>
      <c r="M15">
        <v>13</v>
      </c>
      <c r="N15">
        <v>35748</v>
      </c>
      <c r="O15">
        <v>179</v>
      </c>
      <c r="P15">
        <v>54</v>
      </c>
      <c r="Q15">
        <v>80</v>
      </c>
      <c r="R15">
        <v>0</v>
      </c>
      <c r="S15">
        <v>0</v>
      </c>
      <c r="T15">
        <v>0</v>
      </c>
      <c r="U15">
        <v>1445</v>
      </c>
      <c r="V15">
        <v>58</v>
      </c>
    </row>
    <row r="16" spans="1:22" x14ac:dyDescent="0.25">
      <c r="A16" s="157" t="s">
        <v>496</v>
      </c>
      <c r="B16">
        <v>29</v>
      </c>
      <c r="C16">
        <v>149</v>
      </c>
      <c r="D16">
        <v>617</v>
      </c>
      <c r="E16">
        <v>154</v>
      </c>
      <c r="F16">
        <v>0</v>
      </c>
      <c r="G16">
        <v>245</v>
      </c>
      <c r="H16">
        <v>0</v>
      </c>
      <c r="I16">
        <v>94</v>
      </c>
      <c r="J16">
        <v>0</v>
      </c>
      <c r="K16">
        <v>6</v>
      </c>
      <c r="L16">
        <v>0</v>
      </c>
      <c r="M16">
        <v>0</v>
      </c>
      <c r="N16">
        <v>632</v>
      </c>
      <c r="O16">
        <v>9383</v>
      </c>
      <c r="P16">
        <v>36</v>
      </c>
      <c r="Q16">
        <v>1502</v>
      </c>
      <c r="R16">
        <v>0</v>
      </c>
      <c r="S16">
        <v>0</v>
      </c>
      <c r="T16">
        <v>0</v>
      </c>
      <c r="U16">
        <v>46</v>
      </c>
      <c r="V16">
        <v>453</v>
      </c>
    </row>
    <row r="17" spans="1:25" x14ac:dyDescent="0.25">
      <c r="A17" s="157" t="s">
        <v>497</v>
      </c>
      <c r="B17">
        <v>406</v>
      </c>
      <c r="C17">
        <v>31697</v>
      </c>
      <c r="D17">
        <v>311</v>
      </c>
      <c r="E17">
        <v>5826</v>
      </c>
      <c r="F17">
        <v>17</v>
      </c>
      <c r="G17">
        <v>10733</v>
      </c>
      <c r="H17">
        <v>0</v>
      </c>
      <c r="I17">
        <v>19</v>
      </c>
      <c r="J17">
        <v>695</v>
      </c>
      <c r="K17">
        <v>19805</v>
      </c>
      <c r="L17">
        <v>69</v>
      </c>
      <c r="M17">
        <v>0</v>
      </c>
      <c r="N17">
        <v>9</v>
      </c>
      <c r="O17">
        <v>0</v>
      </c>
      <c r="P17">
        <v>77111</v>
      </c>
      <c r="Q17">
        <v>62</v>
      </c>
      <c r="R17">
        <v>2</v>
      </c>
      <c r="S17">
        <v>99</v>
      </c>
      <c r="T17">
        <v>952</v>
      </c>
      <c r="U17">
        <v>322</v>
      </c>
      <c r="V17">
        <v>940</v>
      </c>
    </row>
    <row r="18" spans="1:25" x14ac:dyDescent="0.25">
      <c r="A18" s="157" t="s">
        <v>498</v>
      </c>
      <c r="B18">
        <v>388</v>
      </c>
      <c r="C18">
        <v>311</v>
      </c>
      <c r="D18">
        <v>1710</v>
      </c>
      <c r="E18">
        <v>326</v>
      </c>
      <c r="F18">
        <v>17</v>
      </c>
      <c r="G18">
        <v>357</v>
      </c>
      <c r="H18">
        <v>0</v>
      </c>
      <c r="I18">
        <v>6</v>
      </c>
      <c r="J18">
        <v>5</v>
      </c>
      <c r="K18">
        <v>22</v>
      </c>
      <c r="L18">
        <v>4</v>
      </c>
      <c r="M18">
        <v>0</v>
      </c>
      <c r="N18">
        <v>39</v>
      </c>
      <c r="O18">
        <v>1546</v>
      </c>
      <c r="P18">
        <v>23</v>
      </c>
      <c r="Q18">
        <v>12898</v>
      </c>
      <c r="R18">
        <v>0</v>
      </c>
      <c r="S18">
        <v>0</v>
      </c>
      <c r="T18">
        <v>3</v>
      </c>
      <c r="U18">
        <v>50</v>
      </c>
      <c r="V18">
        <v>5265</v>
      </c>
    </row>
    <row r="19" spans="1:25" x14ac:dyDescent="0.25">
      <c r="A19" s="157" t="s">
        <v>499</v>
      </c>
      <c r="B19">
        <v>0</v>
      </c>
      <c r="C19">
        <v>5350</v>
      </c>
      <c r="D19">
        <v>0</v>
      </c>
      <c r="E19">
        <v>242</v>
      </c>
      <c r="F19">
        <v>27</v>
      </c>
      <c r="G19">
        <v>11</v>
      </c>
      <c r="H19">
        <v>0</v>
      </c>
      <c r="I19">
        <v>0</v>
      </c>
      <c r="J19">
        <v>0</v>
      </c>
      <c r="K19">
        <v>85</v>
      </c>
      <c r="L19">
        <v>22306</v>
      </c>
      <c r="M19">
        <v>4089</v>
      </c>
      <c r="N19">
        <v>6</v>
      </c>
      <c r="O19">
        <v>0</v>
      </c>
      <c r="P19">
        <v>14</v>
      </c>
      <c r="Q19">
        <v>0</v>
      </c>
      <c r="R19">
        <v>40786</v>
      </c>
      <c r="S19">
        <v>0</v>
      </c>
      <c r="T19">
        <v>0</v>
      </c>
      <c r="U19">
        <v>468</v>
      </c>
      <c r="V19">
        <v>0</v>
      </c>
    </row>
    <row r="20" spans="1:25" x14ac:dyDescent="0.25">
      <c r="A20" s="157" t="s">
        <v>500</v>
      </c>
      <c r="B20">
        <v>23</v>
      </c>
      <c r="C20">
        <v>583</v>
      </c>
      <c r="D20">
        <v>0</v>
      </c>
      <c r="E20">
        <v>39</v>
      </c>
      <c r="F20">
        <v>0</v>
      </c>
      <c r="G20">
        <v>0</v>
      </c>
      <c r="H20">
        <v>0</v>
      </c>
      <c r="I20">
        <v>0</v>
      </c>
      <c r="J20">
        <v>6548</v>
      </c>
      <c r="K20">
        <v>1743</v>
      </c>
      <c r="L20">
        <v>10</v>
      </c>
      <c r="M20">
        <v>0</v>
      </c>
      <c r="N20">
        <v>0</v>
      </c>
      <c r="O20">
        <v>0</v>
      </c>
      <c r="P20">
        <v>51</v>
      </c>
      <c r="Q20">
        <v>0</v>
      </c>
      <c r="R20">
        <v>0</v>
      </c>
      <c r="S20">
        <v>56684</v>
      </c>
      <c r="T20">
        <v>2102</v>
      </c>
      <c r="U20">
        <v>23</v>
      </c>
      <c r="V20">
        <v>10</v>
      </c>
    </row>
    <row r="21" spans="1:25" x14ac:dyDescent="0.25">
      <c r="A21" s="157" t="s">
        <v>501</v>
      </c>
      <c r="B21">
        <v>128</v>
      </c>
      <c r="C21">
        <v>944</v>
      </c>
      <c r="D21">
        <v>10</v>
      </c>
      <c r="E21">
        <v>134</v>
      </c>
      <c r="F21">
        <v>0</v>
      </c>
      <c r="G21">
        <v>87</v>
      </c>
      <c r="H21">
        <v>0</v>
      </c>
      <c r="I21">
        <v>2</v>
      </c>
      <c r="J21">
        <v>745</v>
      </c>
      <c r="K21">
        <v>1295</v>
      </c>
      <c r="L21">
        <v>14</v>
      </c>
      <c r="M21">
        <v>0</v>
      </c>
      <c r="N21">
        <v>0</v>
      </c>
      <c r="O21">
        <v>0</v>
      </c>
      <c r="P21">
        <v>2477</v>
      </c>
      <c r="Q21">
        <v>0</v>
      </c>
      <c r="R21">
        <v>0</v>
      </c>
      <c r="S21">
        <v>2546</v>
      </c>
      <c r="T21">
        <v>31380</v>
      </c>
      <c r="U21">
        <v>9</v>
      </c>
      <c r="V21">
        <v>251</v>
      </c>
    </row>
    <row r="22" spans="1:25" x14ac:dyDescent="0.25">
      <c r="A22" s="157" t="s">
        <v>502</v>
      </c>
      <c r="B22">
        <v>0</v>
      </c>
      <c r="C22">
        <v>90306</v>
      </c>
      <c r="D22">
        <v>175</v>
      </c>
      <c r="E22">
        <v>55308</v>
      </c>
      <c r="F22">
        <v>3127</v>
      </c>
      <c r="G22">
        <v>4974</v>
      </c>
      <c r="H22">
        <v>2159</v>
      </c>
      <c r="I22">
        <v>2469</v>
      </c>
      <c r="J22">
        <v>7</v>
      </c>
      <c r="K22">
        <v>1361</v>
      </c>
      <c r="L22">
        <v>2470</v>
      </c>
      <c r="M22">
        <v>23</v>
      </c>
      <c r="N22">
        <v>407</v>
      </c>
      <c r="O22">
        <v>15</v>
      </c>
      <c r="P22">
        <v>219</v>
      </c>
      <c r="Q22">
        <v>34</v>
      </c>
      <c r="R22">
        <v>211</v>
      </c>
      <c r="S22">
        <v>31</v>
      </c>
      <c r="T22">
        <v>0</v>
      </c>
      <c r="U22">
        <v>150329</v>
      </c>
      <c r="V22">
        <v>73</v>
      </c>
    </row>
    <row r="23" spans="1:25" x14ac:dyDescent="0.25">
      <c r="A23" s="157" t="s">
        <v>503</v>
      </c>
      <c r="B23">
        <v>5724</v>
      </c>
      <c r="C23">
        <v>2057</v>
      </c>
      <c r="D23">
        <v>1012</v>
      </c>
      <c r="E23">
        <v>743</v>
      </c>
      <c r="F23">
        <v>0</v>
      </c>
      <c r="G23">
        <v>1054</v>
      </c>
      <c r="H23">
        <v>16</v>
      </c>
      <c r="I23">
        <v>33</v>
      </c>
      <c r="J23">
        <v>65</v>
      </c>
      <c r="K23">
        <v>198</v>
      </c>
      <c r="L23">
        <v>53</v>
      </c>
      <c r="M23">
        <v>0</v>
      </c>
      <c r="N23">
        <v>66</v>
      </c>
      <c r="O23">
        <v>95</v>
      </c>
      <c r="P23">
        <v>1277</v>
      </c>
      <c r="Q23">
        <v>1475</v>
      </c>
      <c r="R23">
        <v>0</v>
      </c>
      <c r="S23">
        <v>17</v>
      </c>
      <c r="T23">
        <v>218</v>
      </c>
      <c r="U23">
        <v>38</v>
      </c>
      <c r="V23">
        <v>106575</v>
      </c>
    </row>
    <row r="25" spans="1:25" x14ac:dyDescent="0.25">
      <c r="A25" s="157"/>
      <c r="B25" t="s">
        <v>484</v>
      </c>
      <c r="C25" t="s">
        <v>485</v>
      </c>
      <c r="D25" t="s">
        <v>486</v>
      </c>
      <c r="E25" t="s">
        <v>487</v>
      </c>
      <c r="F25" t="s">
        <v>488</v>
      </c>
      <c r="G25" t="s">
        <v>489</v>
      </c>
      <c r="H25" t="s">
        <v>490</v>
      </c>
      <c r="I25" t="s">
        <v>491</v>
      </c>
      <c r="J25" t="s">
        <v>492</v>
      </c>
      <c r="K25" t="s">
        <v>493</v>
      </c>
      <c r="L25" t="s">
        <v>668</v>
      </c>
      <c r="M25" t="s">
        <v>494</v>
      </c>
      <c r="N25" t="s">
        <v>495</v>
      </c>
      <c r="O25" t="s">
        <v>496</v>
      </c>
      <c r="P25" t="s">
        <v>497</v>
      </c>
      <c r="Q25" t="s">
        <v>498</v>
      </c>
      <c r="R25" t="s">
        <v>499</v>
      </c>
      <c r="S25" t="s">
        <v>500</v>
      </c>
      <c r="T25" t="s">
        <v>501</v>
      </c>
      <c r="U25" t="s">
        <v>502</v>
      </c>
      <c r="V25" t="s">
        <v>503</v>
      </c>
    </row>
    <row r="26" spans="1:25" x14ac:dyDescent="0.25">
      <c r="A26" s="157" t="s">
        <v>484</v>
      </c>
      <c r="B26">
        <v>1132</v>
      </c>
      <c r="C26">
        <v>28</v>
      </c>
      <c r="D26">
        <v>49</v>
      </c>
      <c r="E26">
        <v>4</v>
      </c>
      <c r="F26">
        <v>0</v>
      </c>
      <c r="G26">
        <v>131</v>
      </c>
      <c r="H26">
        <v>0</v>
      </c>
      <c r="I26">
        <v>0</v>
      </c>
      <c r="J26">
        <v>2</v>
      </c>
      <c r="K26">
        <v>11</v>
      </c>
      <c r="L26">
        <v>0</v>
      </c>
      <c r="M26">
        <v>0</v>
      </c>
      <c r="N26">
        <v>0</v>
      </c>
      <c r="O26">
        <v>0</v>
      </c>
      <c r="P26">
        <v>483</v>
      </c>
      <c r="Q26">
        <v>5</v>
      </c>
      <c r="R26">
        <v>0</v>
      </c>
      <c r="S26">
        <v>1</v>
      </c>
      <c r="T26">
        <v>14</v>
      </c>
      <c r="U26">
        <v>0</v>
      </c>
      <c r="V26">
        <v>2633</v>
      </c>
      <c r="Y26">
        <v>5</v>
      </c>
    </row>
    <row r="27" spans="1:25" x14ac:dyDescent="0.25">
      <c r="A27" s="157" t="s">
        <v>485</v>
      </c>
      <c r="B27">
        <v>0</v>
      </c>
      <c r="C27">
        <v>417319</v>
      </c>
      <c r="D27">
        <v>1</v>
      </c>
      <c r="E27">
        <v>24400</v>
      </c>
      <c r="F27">
        <v>0</v>
      </c>
      <c r="G27">
        <v>1495</v>
      </c>
      <c r="H27">
        <v>76</v>
      </c>
      <c r="I27">
        <v>10</v>
      </c>
      <c r="J27">
        <v>1</v>
      </c>
      <c r="K27">
        <v>6822</v>
      </c>
      <c r="L27">
        <v>3804</v>
      </c>
      <c r="M27">
        <v>4</v>
      </c>
      <c r="N27">
        <v>0</v>
      </c>
      <c r="O27">
        <v>0</v>
      </c>
      <c r="P27">
        <v>95</v>
      </c>
      <c r="Q27">
        <v>0</v>
      </c>
      <c r="R27">
        <v>21</v>
      </c>
      <c r="S27">
        <v>0</v>
      </c>
      <c r="T27">
        <v>0</v>
      </c>
      <c r="U27">
        <v>4080</v>
      </c>
      <c r="V27">
        <v>1</v>
      </c>
    </row>
    <row r="28" spans="1:25" x14ac:dyDescent="0.25">
      <c r="A28" s="157" t="s">
        <v>486</v>
      </c>
      <c r="B28">
        <v>285</v>
      </c>
      <c r="C28">
        <v>297</v>
      </c>
      <c r="D28">
        <v>4134</v>
      </c>
      <c r="E28">
        <v>873</v>
      </c>
      <c r="F28">
        <v>15</v>
      </c>
      <c r="G28">
        <v>2764</v>
      </c>
      <c r="H28">
        <v>0</v>
      </c>
      <c r="I28">
        <v>337</v>
      </c>
      <c r="J28">
        <v>0</v>
      </c>
      <c r="K28">
        <v>17</v>
      </c>
      <c r="L28">
        <v>0</v>
      </c>
      <c r="M28">
        <v>0</v>
      </c>
      <c r="N28">
        <v>38</v>
      </c>
      <c r="O28">
        <v>8</v>
      </c>
      <c r="P28">
        <v>132</v>
      </c>
      <c r="Q28">
        <v>212</v>
      </c>
      <c r="R28">
        <v>0</v>
      </c>
      <c r="S28">
        <v>0</v>
      </c>
      <c r="T28">
        <v>0</v>
      </c>
      <c r="U28">
        <v>62</v>
      </c>
      <c r="V28">
        <v>451</v>
      </c>
    </row>
    <row r="29" spans="1:25" x14ac:dyDescent="0.25">
      <c r="A29" s="157" t="s">
        <v>487</v>
      </c>
      <c r="B29">
        <v>0</v>
      </c>
      <c r="C29">
        <v>19742</v>
      </c>
      <c r="D29">
        <v>3</v>
      </c>
      <c r="E29">
        <v>66753</v>
      </c>
      <c r="F29">
        <v>0</v>
      </c>
      <c r="G29">
        <v>2000</v>
      </c>
      <c r="H29">
        <v>0</v>
      </c>
      <c r="I29">
        <v>75</v>
      </c>
      <c r="J29">
        <v>0</v>
      </c>
      <c r="K29">
        <v>194</v>
      </c>
      <c r="L29">
        <v>0</v>
      </c>
      <c r="M29">
        <v>0</v>
      </c>
      <c r="N29">
        <v>0</v>
      </c>
      <c r="O29">
        <v>0</v>
      </c>
      <c r="P29">
        <v>16</v>
      </c>
      <c r="Q29">
        <v>0</v>
      </c>
      <c r="R29">
        <v>0</v>
      </c>
      <c r="S29">
        <v>0</v>
      </c>
      <c r="T29">
        <v>0</v>
      </c>
      <c r="U29">
        <v>1223</v>
      </c>
      <c r="V29">
        <v>0</v>
      </c>
    </row>
    <row r="30" spans="1:25" x14ac:dyDescent="0.25">
      <c r="A30" s="157" t="s">
        <v>488</v>
      </c>
      <c r="B30">
        <v>0</v>
      </c>
      <c r="C30">
        <v>90</v>
      </c>
      <c r="D30">
        <v>5</v>
      </c>
      <c r="E30">
        <v>225</v>
      </c>
      <c r="F30">
        <v>2206</v>
      </c>
      <c r="G30">
        <v>59</v>
      </c>
      <c r="H30">
        <v>157</v>
      </c>
      <c r="I30">
        <v>153</v>
      </c>
      <c r="J30">
        <v>0</v>
      </c>
      <c r="K30">
        <v>0</v>
      </c>
      <c r="L30">
        <v>3</v>
      </c>
      <c r="M30">
        <v>0</v>
      </c>
      <c r="N30">
        <v>114</v>
      </c>
      <c r="O30">
        <v>0</v>
      </c>
      <c r="P30">
        <v>0</v>
      </c>
      <c r="Q30">
        <v>0</v>
      </c>
      <c r="R30">
        <v>0</v>
      </c>
      <c r="S30">
        <v>0</v>
      </c>
      <c r="T30">
        <v>0</v>
      </c>
      <c r="U30">
        <v>1319</v>
      </c>
      <c r="V30">
        <v>0</v>
      </c>
    </row>
    <row r="31" spans="1:25" x14ac:dyDescent="0.25">
      <c r="A31" s="157" t="s">
        <v>489</v>
      </c>
      <c r="B31">
        <v>14</v>
      </c>
      <c r="C31">
        <v>7644</v>
      </c>
      <c r="D31">
        <v>199</v>
      </c>
      <c r="E31">
        <v>12578</v>
      </c>
      <c r="F31">
        <v>4</v>
      </c>
      <c r="G31">
        <v>24466</v>
      </c>
      <c r="H31">
        <v>0</v>
      </c>
      <c r="I31">
        <v>517</v>
      </c>
      <c r="J31">
        <v>0</v>
      </c>
      <c r="K31">
        <v>605</v>
      </c>
      <c r="L31">
        <v>0</v>
      </c>
      <c r="M31">
        <v>0</v>
      </c>
      <c r="N31">
        <v>0</v>
      </c>
      <c r="O31">
        <v>1</v>
      </c>
      <c r="P31">
        <v>813</v>
      </c>
      <c r="Q31">
        <v>2</v>
      </c>
      <c r="R31">
        <v>0</v>
      </c>
      <c r="S31">
        <v>0</v>
      </c>
      <c r="T31">
        <v>1</v>
      </c>
      <c r="U31">
        <v>409</v>
      </c>
      <c r="V31">
        <v>16</v>
      </c>
    </row>
    <row r="32" spans="1:25" x14ac:dyDescent="0.25">
      <c r="A32" s="157" t="s">
        <v>490</v>
      </c>
      <c r="B32">
        <v>0</v>
      </c>
      <c r="C32">
        <v>593</v>
      </c>
      <c r="D32">
        <v>0</v>
      </c>
      <c r="E32">
        <v>24</v>
      </c>
      <c r="F32">
        <v>42</v>
      </c>
      <c r="G32">
        <v>1</v>
      </c>
      <c r="H32">
        <v>7473</v>
      </c>
      <c r="I32">
        <v>0</v>
      </c>
      <c r="J32">
        <v>0</v>
      </c>
      <c r="K32">
        <v>0</v>
      </c>
      <c r="L32">
        <v>218</v>
      </c>
      <c r="M32">
        <v>0</v>
      </c>
      <c r="N32">
        <v>1</v>
      </c>
      <c r="O32">
        <v>0</v>
      </c>
      <c r="P32">
        <v>0</v>
      </c>
      <c r="Q32">
        <v>0</v>
      </c>
      <c r="R32">
        <v>0</v>
      </c>
      <c r="S32">
        <v>0</v>
      </c>
      <c r="T32">
        <v>0</v>
      </c>
      <c r="U32">
        <v>1078</v>
      </c>
      <c r="V32">
        <v>0</v>
      </c>
    </row>
    <row r="33" spans="1:22" x14ac:dyDescent="0.25">
      <c r="A33" s="157" t="s">
        <v>491</v>
      </c>
      <c r="B33">
        <v>0</v>
      </c>
      <c r="C33">
        <v>505</v>
      </c>
      <c r="D33">
        <v>131</v>
      </c>
      <c r="E33">
        <v>3768</v>
      </c>
      <c r="F33">
        <v>119</v>
      </c>
      <c r="G33">
        <v>2357</v>
      </c>
      <c r="H33">
        <v>2</v>
      </c>
      <c r="I33">
        <v>2697</v>
      </c>
      <c r="J33">
        <v>0</v>
      </c>
      <c r="K33">
        <v>1</v>
      </c>
      <c r="L33">
        <v>1</v>
      </c>
      <c r="M33">
        <v>0</v>
      </c>
      <c r="N33">
        <v>26</v>
      </c>
      <c r="O33">
        <v>0</v>
      </c>
      <c r="P33">
        <v>3</v>
      </c>
      <c r="Q33">
        <v>0</v>
      </c>
      <c r="R33">
        <v>0</v>
      </c>
      <c r="S33">
        <v>0</v>
      </c>
      <c r="T33">
        <v>0</v>
      </c>
      <c r="U33">
        <v>1310</v>
      </c>
      <c r="V33">
        <v>0</v>
      </c>
    </row>
    <row r="34" spans="1:22" x14ac:dyDescent="0.25">
      <c r="A34" s="157" t="s">
        <v>492</v>
      </c>
      <c r="B34">
        <v>0</v>
      </c>
      <c r="C34">
        <v>535</v>
      </c>
      <c r="D34">
        <v>0</v>
      </c>
      <c r="E34">
        <v>7</v>
      </c>
      <c r="F34">
        <v>0</v>
      </c>
      <c r="G34">
        <v>31</v>
      </c>
      <c r="H34">
        <v>0</v>
      </c>
      <c r="I34">
        <v>0</v>
      </c>
      <c r="J34">
        <v>6911</v>
      </c>
      <c r="K34">
        <v>4607</v>
      </c>
      <c r="L34">
        <v>0</v>
      </c>
      <c r="M34">
        <v>0</v>
      </c>
      <c r="N34">
        <v>0</v>
      </c>
      <c r="O34">
        <v>0</v>
      </c>
      <c r="P34">
        <v>555</v>
      </c>
      <c r="Q34">
        <v>0</v>
      </c>
      <c r="R34">
        <v>0</v>
      </c>
      <c r="S34">
        <v>2279</v>
      </c>
      <c r="T34">
        <v>324</v>
      </c>
      <c r="U34">
        <v>0</v>
      </c>
      <c r="V34">
        <v>1</v>
      </c>
    </row>
    <row r="35" spans="1:22" x14ac:dyDescent="0.25">
      <c r="A35" s="157" t="s">
        <v>493</v>
      </c>
      <c r="B35">
        <v>0</v>
      </c>
      <c r="C35">
        <v>15748</v>
      </c>
      <c r="D35">
        <v>0</v>
      </c>
      <c r="E35">
        <v>716</v>
      </c>
      <c r="F35">
        <v>0</v>
      </c>
      <c r="G35">
        <v>165</v>
      </c>
      <c r="H35">
        <v>0</v>
      </c>
      <c r="I35">
        <v>2</v>
      </c>
      <c r="J35">
        <v>822</v>
      </c>
      <c r="K35">
        <v>46635</v>
      </c>
      <c r="L35">
        <v>0</v>
      </c>
      <c r="M35">
        <v>0</v>
      </c>
      <c r="N35">
        <v>0</v>
      </c>
      <c r="O35">
        <v>0</v>
      </c>
      <c r="P35">
        <v>933</v>
      </c>
      <c r="Q35">
        <v>0</v>
      </c>
      <c r="R35">
        <v>0</v>
      </c>
      <c r="S35">
        <v>228</v>
      </c>
      <c r="T35">
        <v>25</v>
      </c>
      <c r="U35">
        <v>0</v>
      </c>
      <c r="V35">
        <v>2</v>
      </c>
    </row>
    <row r="36" spans="1:22" x14ac:dyDescent="0.25">
      <c r="A36" s="157" t="s">
        <v>668</v>
      </c>
      <c r="B36">
        <v>0</v>
      </c>
      <c r="C36">
        <v>9394</v>
      </c>
      <c r="D36">
        <v>0</v>
      </c>
      <c r="E36">
        <v>25</v>
      </c>
      <c r="F36">
        <v>0</v>
      </c>
      <c r="G36">
        <v>0</v>
      </c>
      <c r="H36">
        <v>214</v>
      </c>
      <c r="I36">
        <v>0</v>
      </c>
      <c r="J36">
        <v>0</v>
      </c>
      <c r="K36">
        <v>1</v>
      </c>
      <c r="L36">
        <v>30547</v>
      </c>
      <c r="M36">
        <v>106</v>
      </c>
      <c r="N36">
        <v>0</v>
      </c>
      <c r="O36">
        <v>0</v>
      </c>
      <c r="P36">
        <v>0</v>
      </c>
      <c r="Q36">
        <v>0</v>
      </c>
      <c r="R36">
        <v>1370</v>
      </c>
      <c r="S36">
        <v>0</v>
      </c>
      <c r="T36">
        <v>0</v>
      </c>
      <c r="U36">
        <v>505</v>
      </c>
      <c r="V36">
        <v>0</v>
      </c>
    </row>
    <row r="37" spans="1:22" x14ac:dyDescent="0.25">
      <c r="A37" s="157" t="s">
        <v>494</v>
      </c>
      <c r="B37">
        <v>0</v>
      </c>
      <c r="C37">
        <v>26</v>
      </c>
      <c r="D37">
        <v>0</v>
      </c>
      <c r="E37">
        <v>0</v>
      </c>
      <c r="F37">
        <v>0</v>
      </c>
      <c r="G37">
        <v>0</v>
      </c>
      <c r="H37">
        <v>0</v>
      </c>
      <c r="I37">
        <v>0</v>
      </c>
      <c r="J37">
        <v>0</v>
      </c>
      <c r="K37">
        <v>0</v>
      </c>
      <c r="L37">
        <v>352</v>
      </c>
      <c r="M37">
        <v>7828</v>
      </c>
      <c r="N37">
        <v>0</v>
      </c>
      <c r="O37">
        <v>0</v>
      </c>
      <c r="P37">
        <v>0</v>
      </c>
      <c r="Q37">
        <v>0</v>
      </c>
      <c r="R37">
        <v>1589</v>
      </c>
      <c r="S37">
        <v>0</v>
      </c>
      <c r="T37">
        <v>0</v>
      </c>
      <c r="U37">
        <v>0</v>
      </c>
      <c r="V37">
        <v>0</v>
      </c>
    </row>
    <row r="38" spans="1:22" x14ac:dyDescent="0.25">
      <c r="A38" s="157" t="s">
        <v>495</v>
      </c>
      <c r="B38">
        <v>0</v>
      </c>
      <c r="C38">
        <v>23</v>
      </c>
      <c r="D38">
        <v>282</v>
      </c>
      <c r="E38">
        <v>177</v>
      </c>
      <c r="F38">
        <v>548</v>
      </c>
      <c r="G38">
        <v>280</v>
      </c>
      <c r="H38">
        <v>0</v>
      </c>
      <c r="I38">
        <v>303</v>
      </c>
      <c r="J38">
        <v>0</v>
      </c>
      <c r="K38">
        <v>0</v>
      </c>
      <c r="L38">
        <v>0</v>
      </c>
      <c r="M38">
        <v>0</v>
      </c>
      <c r="N38">
        <v>8064</v>
      </c>
      <c r="O38">
        <v>7</v>
      </c>
      <c r="P38">
        <v>0</v>
      </c>
      <c r="Q38">
        <v>46</v>
      </c>
      <c r="R38">
        <v>0</v>
      </c>
      <c r="S38">
        <v>0</v>
      </c>
      <c r="T38">
        <v>0</v>
      </c>
      <c r="U38">
        <v>139</v>
      </c>
      <c r="V38">
        <v>5</v>
      </c>
    </row>
    <row r="39" spans="1:22" x14ac:dyDescent="0.25">
      <c r="A39" s="157" t="s">
        <v>496</v>
      </c>
      <c r="B39">
        <v>2</v>
      </c>
      <c r="C39">
        <v>0</v>
      </c>
      <c r="D39">
        <v>75</v>
      </c>
      <c r="E39">
        <v>10</v>
      </c>
      <c r="F39">
        <v>0</v>
      </c>
      <c r="G39">
        <v>32</v>
      </c>
      <c r="H39">
        <v>0</v>
      </c>
      <c r="I39">
        <v>6</v>
      </c>
      <c r="J39">
        <v>0</v>
      </c>
      <c r="K39">
        <v>0</v>
      </c>
      <c r="L39">
        <v>0</v>
      </c>
      <c r="M39">
        <v>0</v>
      </c>
      <c r="N39">
        <v>83</v>
      </c>
      <c r="O39">
        <v>14</v>
      </c>
      <c r="P39">
        <v>0</v>
      </c>
      <c r="Q39">
        <v>138</v>
      </c>
      <c r="R39">
        <v>0</v>
      </c>
      <c r="S39">
        <v>0</v>
      </c>
      <c r="T39">
        <v>0</v>
      </c>
      <c r="U39">
        <v>0</v>
      </c>
      <c r="V39">
        <v>31</v>
      </c>
    </row>
    <row r="40" spans="1:22" x14ac:dyDescent="0.25">
      <c r="A40" s="157" t="s">
        <v>497</v>
      </c>
      <c r="B40">
        <v>250</v>
      </c>
      <c r="C40">
        <v>6311</v>
      </c>
      <c r="D40">
        <v>43</v>
      </c>
      <c r="E40">
        <v>853</v>
      </c>
      <c r="F40">
        <v>0</v>
      </c>
      <c r="G40">
        <v>3055</v>
      </c>
      <c r="H40">
        <v>0</v>
      </c>
      <c r="I40">
        <v>1</v>
      </c>
      <c r="J40">
        <v>88</v>
      </c>
      <c r="K40">
        <v>5284</v>
      </c>
      <c r="L40">
        <v>0</v>
      </c>
      <c r="M40">
        <v>0</v>
      </c>
      <c r="N40">
        <v>0</v>
      </c>
      <c r="O40">
        <v>0</v>
      </c>
      <c r="P40">
        <v>13237</v>
      </c>
      <c r="Q40">
        <v>1</v>
      </c>
      <c r="R40">
        <v>0</v>
      </c>
      <c r="S40">
        <v>84</v>
      </c>
      <c r="T40">
        <v>179</v>
      </c>
      <c r="U40">
        <v>0</v>
      </c>
      <c r="V40">
        <v>420</v>
      </c>
    </row>
    <row r="41" spans="1:22" x14ac:dyDescent="0.25">
      <c r="A41" s="157" t="s">
        <v>498</v>
      </c>
      <c r="B41">
        <v>26</v>
      </c>
      <c r="C41">
        <v>4</v>
      </c>
      <c r="D41">
        <v>231</v>
      </c>
      <c r="E41">
        <v>0</v>
      </c>
      <c r="F41">
        <v>0</v>
      </c>
      <c r="G41">
        <v>47</v>
      </c>
      <c r="H41">
        <v>0</v>
      </c>
      <c r="I41">
        <v>0</v>
      </c>
      <c r="J41">
        <v>0</v>
      </c>
      <c r="K41">
        <v>0</v>
      </c>
      <c r="L41">
        <v>0</v>
      </c>
      <c r="M41">
        <v>0</v>
      </c>
      <c r="N41">
        <v>33</v>
      </c>
      <c r="O41">
        <v>9</v>
      </c>
      <c r="P41">
        <v>3</v>
      </c>
      <c r="Q41">
        <v>685</v>
      </c>
      <c r="R41">
        <v>0</v>
      </c>
      <c r="S41">
        <v>0</v>
      </c>
      <c r="T41">
        <v>0</v>
      </c>
      <c r="U41">
        <v>0</v>
      </c>
      <c r="V41">
        <v>675</v>
      </c>
    </row>
    <row r="42" spans="1:22" x14ac:dyDescent="0.25">
      <c r="A42" s="157" t="s">
        <v>499</v>
      </c>
      <c r="B42">
        <v>0</v>
      </c>
      <c r="C42">
        <v>341</v>
      </c>
      <c r="D42">
        <v>0</v>
      </c>
      <c r="E42">
        <v>0</v>
      </c>
      <c r="F42">
        <v>0</v>
      </c>
      <c r="G42">
        <v>0</v>
      </c>
      <c r="H42">
        <v>4</v>
      </c>
      <c r="I42">
        <v>0</v>
      </c>
      <c r="J42">
        <v>0</v>
      </c>
      <c r="K42">
        <v>0</v>
      </c>
      <c r="L42">
        <v>4072</v>
      </c>
      <c r="M42">
        <v>1360</v>
      </c>
      <c r="N42">
        <v>0</v>
      </c>
      <c r="O42">
        <v>0</v>
      </c>
      <c r="P42">
        <v>0</v>
      </c>
      <c r="Q42">
        <v>0</v>
      </c>
      <c r="R42">
        <v>9481</v>
      </c>
      <c r="S42">
        <v>0</v>
      </c>
      <c r="T42">
        <v>0</v>
      </c>
      <c r="U42">
        <v>18</v>
      </c>
      <c r="V42">
        <v>0</v>
      </c>
    </row>
    <row r="43" spans="1:22" x14ac:dyDescent="0.25">
      <c r="A43" s="157" t="s">
        <v>500</v>
      </c>
      <c r="B43">
        <v>0</v>
      </c>
      <c r="C43">
        <v>84</v>
      </c>
      <c r="D43">
        <v>0</v>
      </c>
      <c r="E43">
        <v>5</v>
      </c>
      <c r="F43">
        <v>0</v>
      </c>
      <c r="G43">
        <v>13</v>
      </c>
      <c r="H43">
        <v>0</v>
      </c>
      <c r="I43">
        <v>0</v>
      </c>
      <c r="J43">
        <v>1896</v>
      </c>
      <c r="K43">
        <v>1257</v>
      </c>
      <c r="L43">
        <v>0</v>
      </c>
      <c r="M43">
        <v>0</v>
      </c>
      <c r="N43">
        <v>0</v>
      </c>
      <c r="O43">
        <v>0</v>
      </c>
      <c r="P43">
        <v>198</v>
      </c>
      <c r="Q43">
        <v>0</v>
      </c>
      <c r="R43">
        <v>0</v>
      </c>
      <c r="S43">
        <v>13751</v>
      </c>
      <c r="T43">
        <v>446</v>
      </c>
      <c r="U43">
        <v>0</v>
      </c>
      <c r="V43">
        <v>0</v>
      </c>
    </row>
    <row r="44" spans="1:22" x14ac:dyDescent="0.25">
      <c r="A44" s="157" t="s">
        <v>501</v>
      </c>
      <c r="B44">
        <v>80</v>
      </c>
      <c r="C44">
        <v>88</v>
      </c>
      <c r="D44">
        <v>0</v>
      </c>
      <c r="E44">
        <v>4</v>
      </c>
      <c r="F44">
        <v>0</v>
      </c>
      <c r="G44">
        <v>45</v>
      </c>
      <c r="H44">
        <v>0</v>
      </c>
      <c r="I44">
        <v>0</v>
      </c>
      <c r="J44">
        <v>418</v>
      </c>
      <c r="K44">
        <v>381</v>
      </c>
      <c r="L44">
        <v>0</v>
      </c>
      <c r="M44">
        <v>0</v>
      </c>
      <c r="N44">
        <v>0</v>
      </c>
      <c r="O44">
        <v>0</v>
      </c>
      <c r="P44">
        <v>986</v>
      </c>
      <c r="Q44">
        <v>0</v>
      </c>
      <c r="R44">
        <v>0</v>
      </c>
      <c r="S44">
        <v>1167</v>
      </c>
      <c r="T44">
        <v>6888</v>
      </c>
      <c r="U44">
        <v>0</v>
      </c>
      <c r="V44">
        <v>219</v>
      </c>
    </row>
    <row r="45" spans="1:22" x14ac:dyDescent="0.25">
      <c r="A45" s="157" t="s">
        <v>502</v>
      </c>
      <c r="B45">
        <v>0</v>
      </c>
      <c r="C45">
        <v>13441</v>
      </c>
      <c r="D45">
        <v>5</v>
      </c>
      <c r="E45">
        <v>16097</v>
      </c>
      <c r="F45">
        <v>444</v>
      </c>
      <c r="G45">
        <v>999</v>
      </c>
      <c r="H45">
        <v>702</v>
      </c>
      <c r="I45">
        <v>368</v>
      </c>
      <c r="J45">
        <v>0</v>
      </c>
      <c r="K45">
        <v>14</v>
      </c>
      <c r="L45">
        <v>654</v>
      </c>
      <c r="M45">
        <v>0</v>
      </c>
      <c r="N45">
        <v>3</v>
      </c>
      <c r="O45">
        <v>0</v>
      </c>
      <c r="P45">
        <v>2</v>
      </c>
      <c r="Q45">
        <v>0</v>
      </c>
      <c r="R45">
        <v>6</v>
      </c>
      <c r="S45">
        <v>0</v>
      </c>
      <c r="T45">
        <v>0</v>
      </c>
      <c r="U45">
        <v>29672</v>
      </c>
      <c r="V45">
        <v>0</v>
      </c>
    </row>
    <row r="46" spans="1:22" x14ac:dyDescent="0.25">
      <c r="A46" s="157" t="s">
        <v>503</v>
      </c>
      <c r="B46">
        <v>802</v>
      </c>
      <c r="C46">
        <v>16</v>
      </c>
      <c r="D46">
        <v>133</v>
      </c>
      <c r="E46">
        <v>0</v>
      </c>
      <c r="F46">
        <v>0</v>
      </c>
      <c r="G46">
        <v>172</v>
      </c>
      <c r="H46">
        <v>0</v>
      </c>
      <c r="I46">
        <v>0</v>
      </c>
      <c r="J46">
        <v>0</v>
      </c>
      <c r="K46">
        <v>12</v>
      </c>
      <c r="L46">
        <v>0</v>
      </c>
      <c r="M46">
        <v>0</v>
      </c>
      <c r="N46">
        <v>8</v>
      </c>
      <c r="O46">
        <v>1</v>
      </c>
      <c r="P46">
        <v>932</v>
      </c>
      <c r="Q46">
        <v>124</v>
      </c>
      <c r="R46">
        <v>0</v>
      </c>
      <c r="S46">
        <v>0</v>
      </c>
      <c r="T46">
        <v>48</v>
      </c>
      <c r="U46">
        <v>0</v>
      </c>
      <c r="V46">
        <v>23794</v>
      </c>
    </row>
  </sheetData>
  <pageMargins left="0.7" right="0.7" top="0.75" bottom="0.75" header="0.3" footer="0.3"/>
  <pageSetup paperSize="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403"/>
  <sheetViews>
    <sheetView workbookViewId="0">
      <selection activeCell="C16" sqref="C16"/>
    </sheetView>
  </sheetViews>
  <sheetFormatPr defaultRowHeight="15" x14ac:dyDescent="0.25"/>
  <cols>
    <col min="1" max="1" width="16.42578125" bestFit="1" customWidth="1"/>
    <col min="2" max="2" width="14.7109375" bestFit="1" customWidth="1"/>
    <col min="3" max="4" width="13.28515625" style="29" bestFit="1" customWidth="1"/>
  </cols>
  <sheetData>
    <row r="1" spans="1:4" ht="23.25" x14ac:dyDescent="0.35">
      <c r="A1" s="372" t="s">
        <v>371</v>
      </c>
      <c r="B1" s="372"/>
    </row>
    <row r="3" spans="1:4" ht="18.75" x14ac:dyDescent="0.3">
      <c r="A3" s="59" t="s">
        <v>526</v>
      </c>
      <c r="B3" s="59" t="s">
        <v>527</v>
      </c>
      <c r="C3" s="345" t="s">
        <v>24</v>
      </c>
      <c r="D3" s="345" t="s">
        <v>3</v>
      </c>
    </row>
    <row r="4" spans="1:4" x14ac:dyDescent="0.25">
      <c r="A4" s="282" t="s">
        <v>484</v>
      </c>
      <c r="B4" s="280" t="s">
        <v>484</v>
      </c>
      <c r="C4" s="29">
        <v>7670</v>
      </c>
      <c r="D4" s="29">
        <v>5660</v>
      </c>
    </row>
    <row r="5" spans="1:4" x14ac:dyDescent="0.25">
      <c r="A5" s="283" t="s">
        <v>485</v>
      </c>
      <c r="B5" s="223" t="s">
        <v>484</v>
      </c>
      <c r="C5" s="29">
        <v>0</v>
      </c>
      <c r="D5" s="29">
        <v>0</v>
      </c>
    </row>
    <row r="6" spans="1:4" x14ac:dyDescent="0.25">
      <c r="A6" s="283" t="s">
        <v>486</v>
      </c>
      <c r="B6" s="223" t="s">
        <v>484</v>
      </c>
      <c r="C6" s="29">
        <v>137</v>
      </c>
      <c r="D6" s="29">
        <v>1425</v>
      </c>
    </row>
    <row r="7" spans="1:4" x14ac:dyDescent="0.25">
      <c r="A7" s="283" t="s">
        <v>487</v>
      </c>
      <c r="B7" s="223" t="s">
        <v>484</v>
      </c>
      <c r="C7" s="29">
        <v>0</v>
      </c>
      <c r="D7" s="29">
        <v>0</v>
      </c>
    </row>
    <row r="8" spans="1:4" x14ac:dyDescent="0.25">
      <c r="A8" s="283" t="s">
        <v>488</v>
      </c>
      <c r="B8" s="223" t="s">
        <v>484</v>
      </c>
      <c r="C8" s="29">
        <v>0</v>
      </c>
      <c r="D8" s="29">
        <v>0</v>
      </c>
    </row>
    <row r="9" spans="1:4" x14ac:dyDescent="0.25">
      <c r="A9" s="283" t="s">
        <v>489</v>
      </c>
      <c r="B9" s="223" t="s">
        <v>484</v>
      </c>
      <c r="C9" s="29">
        <v>243</v>
      </c>
      <c r="D9" s="29">
        <v>70</v>
      </c>
    </row>
    <row r="10" spans="1:4" x14ac:dyDescent="0.25">
      <c r="A10" s="283" t="s">
        <v>490</v>
      </c>
      <c r="B10" s="223" t="s">
        <v>484</v>
      </c>
      <c r="C10" s="29">
        <v>0</v>
      </c>
      <c r="D10" s="29">
        <v>0</v>
      </c>
    </row>
    <row r="11" spans="1:4" x14ac:dyDescent="0.25">
      <c r="A11" s="283" t="s">
        <v>491</v>
      </c>
      <c r="B11" s="223" t="s">
        <v>484</v>
      </c>
      <c r="C11" s="29">
        <v>0</v>
      </c>
      <c r="D11" s="29">
        <v>0</v>
      </c>
    </row>
    <row r="12" spans="1:4" x14ac:dyDescent="0.25">
      <c r="A12" s="283" t="s">
        <v>492</v>
      </c>
      <c r="B12" s="223" t="s">
        <v>484</v>
      </c>
      <c r="C12" s="29">
        <v>0</v>
      </c>
      <c r="D12" s="29">
        <v>0</v>
      </c>
    </row>
    <row r="13" spans="1:4" x14ac:dyDescent="0.25">
      <c r="A13" s="283" t="s">
        <v>493</v>
      </c>
      <c r="B13" s="223" t="s">
        <v>484</v>
      </c>
      <c r="C13" s="29">
        <v>0</v>
      </c>
      <c r="D13" s="29">
        <v>0</v>
      </c>
    </row>
    <row r="14" spans="1:4" x14ac:dyDescent="0.25">
      <c r="A14" s="283" t="s">
        <v>494</v>
      </c>
      <c r="B14" s="223" t="s">
        <v>484</v>
      </c>
      <c r="C14" s="29">
        <v>0</v>
      </c>
      <c r="D14" s="29">
        <v>0</v>
      </c>
    </row>
    <row r="15" spans="1:4" x14ac:dyDescent="0.25">
      <c r="A15" s="283" t="s">
        <v>495</v>
      </c>
      <c r="B15" s="223" t="s">
        <v>484</v>
      </c>
      <c r="C15" s="29">
        <v>0</v>
      </c>
      <c r="D15" s="29">
        <v>0</v>
      </c>
    </row>
    <row r="16" spans="1:4" x14ac:dyDescent="0.25">
      <c r="A16" s="283" t="s">
        <v>496</v>
      </c>
      <c r="B16" s="223" t="s">
        <v>484</v>
      </c>
      <c r="C16" s="29">
        <v>29</v>
      </c>
      <c r="D16" s="29">
        <v>10</v>
      </c>
    </row>
    <row r="17" spans="1:4" x14ac:dyDescent="0.25">
      <c r="A17" s="283" t="s">
        <v>497</v>
      </c>
      <c r="B17" s="223" t="s">
        <v>484</v>
      </c>
      <c r="C17" s="29">
        <v>406</v>
      </c>
      <c r="D17" s="29">
        <v>1250</v>
      </c>
    </row>
    <row r="18" spans="1:4" x14ac:dyDescent="0.25">
      <c r="A18" s="283" t="s">
        <v>498</v>
      </c>
      <c r="B18" s="223" t="s">
        <v>484</v>
      </c>
      <c r="C18" s="29">
        <v>388</v>
      </c>
      <c r="D18" s="29">
        <v>130</v>
      </c>
    </row>
    <row r="19" spans="1:4" x14ac:dyDescent="0.25">
      <c r="A19" s="283" t="s">
        <v>499</v>
      </c>
      <c r="B19" s="223" t="s">
        <v>484</v>
      </c>
      <c r="C19" s="29">
        <v>0</v>
      </c>
      <c r="D19" s="29">
        <v>0</v>
      </c>
    </row>
    <row r="20" spans="1:4" x14ac:dyDescent="0.25">
      <c r="A20" s="283" t="s">
        <v>500</v>
      </c>
      <c r="B20" s="223" t="s">
        <v>484</v>
      </c>
      <c r="C20" s="29">
        <v>0</v>
      </c>
      <c r="D20" s="29">
        <v>0</v>
      </c>
    </row>
    <row r="21" spans="1:4" x14ac:dyDescent="0.25">
      <c r="A21" s="283" t="s">
        <v>501</v>
      </c>
      <c r="B21" s="223" t="s">
        <v>484</v>
      </c>
      <c r="C21" s="29">
        <v>128</v>
      </c>
      <c r="D21" s="29">
        <v>400</v>
      </c>
    </row>
    <row r="22" spans="1:4" x14ac:dyDescent="0.25">
      <c r="A22" s="283" t="s">
        <v>502</v>
      </c>
      <c r="B22" s="223" t="s">
        <v>484</v>
      </c>
      <c r="C22" s="29">
        <v>0</v>
      </c>
      <c r="D22" s="29">
        <v>0</v>
      </c>
    </row>
    <row r="23" spans="1:4" x14ac:dyDescent="0.25">
      <c r="A23" s="284" t="s">
        <v>503</v>
      </c>
      <c r="B23" s="281" t="s">
        <v>484</v>
      </c>
      <c r="C23" s="29">
        <v>5724</v>
      </c>
      <c r="D23" s="29">
        <v>4010</v>
      </c>
    </row>
    <row r="24" spans="1:4" x14ac:dyDescent="0.25">
      <c r="A24" s="280" t="s">
        <v>484</v>
      </c>
      <c r="B24" s="223" t="s">
        <v>485</v>
      </c>
      <c r="C24" s="29">
        <v>1964</v>
      </c>
      <c r="D24" s="29">
        <v>140</v>
      </c>
    </row>
    <row r="25" spans="1:4" x14ac:dyDescent="0.25">
      <c r="A25" s="223" t="s">
        <v>485</v>
      </c>
      <c r="B25" s="223" t="s">
        <v>485</v>
      </c>
      <c r="C25" s="29">
        <v>2057967</v>
      </c>
      <c r="D25" s="29">
        <v>2086595</v>
      </c>
    </row>
    <row r="26" spans="1:4" x14ac:dyDescent="0.25">
      <c r="A26" s="223" t="s">
        <v>486</v>
      </c>
      <c r="B26" s="223" t="s">
        <v>485</v>
      </c>
      <c r="C26" s="29">
        <v>2353</v>
      </c>
      <c r="D26" s="29">
        <v>1485</v>
      </c>
    </row>
    <row r="27" spans="1:4" x14ac:dyDescent="0.25">
      <c r="A27" s="223" t="s">
        <v>487</v>
      </c>
      <c r="B27" s="223" t="s">
        <v>485</v>
      </c>
      <c r="C27" s="29">
        <v>137368</v>
      </c>
      <c r="D27" s="29">
        <v>98710</v>
      </c>
    </row>
    <row r="28" spans="1:4" x14ac:dyDescent="0.25">
      <c r="A28" s="223" t="s">
        <v>488</v>
      </c>
      <c r="B28" s="223" t="s">
        <v>485</v>
      </c>
      <c r="C28" s="29">
        <v>1904</v>
      </c>
      <c r="D28" s="29">
        <v>450</v>
      </c>
    </row>
    <row r="29" spans="1:4" x14ac:dyDescent="0.25">
      <c r="A29" s="223" t="s">
        <v>489</v>
      </c>
      <c r="B29" s="223" t="s">
        <v>485</v>
      </c>
      <c r="C29" s="29">
        <v>44816</v>
      </c>
      <c r="D29" s="29">
        <v>38220</v>
      </c>
    </row>
    <row r="30" spans="1:4" x14ac:dyDescent="0.25">
      <c r="A30" s="223" t="s">
        <v>490</v>
      </c>
      <c r="B30" s="223" t="s">
        <v>485</v>
      </c>
      <c r="C30" s="29">
        <v>4815</v>
      </c>
      <c r="D30" s="29">
        <v>2965</v>
      </c>
    </row>
    <row r="31" spans="1:4" x14ac:dyDescent="0.25">
      <c r="A31" s="223" t="s">
        <v>491</v>
      </c>
      <c r="B31" s="223" t="s">
        <v>485</v>
      </c>
      <c r="C31" s="29">
        <v>6272</v>
      </c>
      <c r="D31" s="29">
        <v>2525</v>
      </c>
    </row>
    <row r="32" spans="1:4" x14ac:dyDescent="0.25">
      <c r="A32" s="223" t="s">
        <v>492</v>
      </c>
      <c r="B32" s="223" t="s">
        <v>485</v>
      </c>
      <c r="C32" s="29">
        <v>3609</v>
      </c>
      <c r="D32" s="29">
        <v>2675</v>
      </c>
    </row>
    <row r="33" spans="1:4" x14ac:dyDescent="0.25">
      <c r="A33" s="223" t="s">
        <v>493</v>
      </c>
      <c r="B33" s="223" t="s">
        <v>485</v>
      </c>
      <c r="C33" s="29">
        <v>78045</v>
      </c>
      <c r="D33" s="29">
        <v>78740</v>
      </c>
    </row>
    <row r="34" spans="1:4" x14ac:dyDescent="0.25">
      <c r="A34" s="223" t="s">
        <v>494</v>
      </c>
      <c r="B34" s="223" t="s">
        <v>485</v>
      </c>
      <c r="C34" s="29">
        <v>1125</v>
      </c>
      <c r="D34" s="29">
        <v>130</v>
      </c>
    </row>
    <row r="35" spans="1:4" x14ac:dyDescent="0.25">
      <c r="A35" s="223" t="s">
        <v>495</v>
      </c>
      <c r="B35" s="223" t="s">
        <v>485</v>
      </c>
      <c r="C35" s="29">
        <v>695</v>
      </c>
      <c r="D35" s="29">
        <v>115</v>
      </c>
    </row>
    <row r="36" spans="1:4" x14ac:dyDescent="0.25">
      <c r="A36" s="223" t="s">
        <v>496</v>
      </c>
      <c r="B36" s="223" t="s">
        <v>485</v>
      </c>
      <c r="C36" s="29">
        <v>0</v>
      </c>
      <c r="D36" s="29">
        <v>0</v>
      </c>
    </row>
    <row r="37" spans="1:4" x14ac:dyDescent="0.25">
      <c r="A37" s="223" t="s">
        <v>497</v>
      </c>
      <c r="B37" s="223" t="s">
        <v>485</v>
      </c>
      <c r="C37" s="29">
        <v>31697</v>
      </c>
      <c r="D37" s="29">
        <v>31555</v>
      </c>
    </row>
    <row r="38" spans="1:4" x14ac:dyDescent="0.25">
      <c r="A38" s="223" t="s">
        <v>498</v>
      </c>
      <c r="B38" s="223" t="s">
        <v>485</v>
      </c>
      <c r="C38" s="29">
        <v>311</v>
      </c>
      <c r="D38" s="29">
        <v>20</v>
      </c>
    </row>
    <row r="39" spans="1:4" x14ac:dyDescent="0.25">
      <c r="A39" s="223" t="s">
        <v>499</v>
      </c>
      <c r="B39" s="223" t="s">
        <v>485</v>
      </c>
      <c r="C39" s="29">
        <v>5350</v>
      </c>
      <c r="D39" s="29">
        <v>1705</v>
      </c>
    </row>
    <row r="40" spans="1:4" x14ac:dyDescent="0.25">
      <c r="A40" s="223" t="s">
        <v>500</v>
      </c>
      <c r="B40" s="223" t="s">
        <v>485</v>
      </c>
      <c r="C40" s="29">
        <v>583</v>
      </c>
      <c r="D40" s="29">
        <v>420</v>
      </c>
    </row>
    <row r="41" spans="1:4" x14ac:dyDescent="0.25">
      <c r="A41" s="223" t="s">
        <v>501</v>
      </c>
      <c r="B41" s="223" t="s">
        <v>485</v>
      </c>
      <c r="C41" s="29">
        <v>944</v>
      </c>
      <c r="D41" s="29">
        <v>440</v>
      </c>
    </row>
    <row r="42" spans="1:4" x14ac:dyDescent="0.25">
      <c r="A42" s="223" t="s">
        <v>502</v>
      </c>
      <c r="B42" s="223" t="s">
        <v>485</v>
      </c>
      <c r="C42" s="29">
        <v>90306</v>
      </c>
      <c r="D42" s="29">
        <v>67205</v>
      </c>
    </row>
    <row r="43" spans="1:4" x14ac:dyDescent="0.25">
      <c r="A43" s="281" t="s">
        <v>503</v>
      </c>
      <c r="B43" s="223" t="s">
        <v>485</v>
      </c>
      <c r="C43" s="29">
        <v>2057</v>
      </c>
      <c r="D43" s="29">
        <v>80</v>
      </c>
    </row>
    <row r="44" spans="1:4" x14ac:dyDescent="0.25">
      <c r="A44" s="280" t="s">
        <v>484</v>
      </c>
      <c r="B44" s="223" t="s">
        <v>486</v>
      </c>
      <c r="C44" s="29">
        <v>376</v>
      </c>
      <c r="D44" s="29">
        <v>245</v>
      </c>
    </row>
    <row r="45" spans="1:4" x14ac:dyDescent="0.25">
      <c r="A45" s="223" t="s">
        <v>485</v>
      </c>
      <c r="B45" s="223" t="s">
        <v>486</v>
      </c>
      <c r="C45" s="29">
        <v>653</v>
      </c>
      <c r="D45" s="29">
        <v>5</v>
      </c>
    </row>
    <row r="46" spans="1:4" x14ac:dyDescent="0.25">
      <c r="A46" s="223" t="s">
        <v>486</v>
      </c>
      <c r="B46" s="223" t="s">
        <v>486</v>
      </c>
      <c r="C46" s="29">
        <v>29714</v>
      </c>
      <c r="D46" s="29">
        <v>20670</v>
      </c>
    </row>
    <row r="47" spans="1:4" x14ac:dyDescent="0.25">
      <c r="A47" s="223" t="s">
        <v>487</v>
      </c>
      <c r="B47" s="223" t="s">
        <v>486</v>
      </c>
      <c r="C47" s="29">
        <v>500</v>
      </c>
      <c r="D47" s="29">
        <v>15</v>
      </c>
    </row>
    <row r="48" spans="1:4" x14ac:dyDescent="0.25">
      <c r="A48" s="223" t="s">
        <v>488</v>
      </c>
      <c r="B48" s="223" t="s">
        <v>486</v>
      </c>
      <c r="C48" s="29">
        <v>0</v>
      </c>
      <c r="D48" s="29">
        <v>25</v>
      </c>
    </row>
    <row r="49" spans="1:4" x14ac:dyDescent="0.25">
      <c r="A49" s="223" t="s">
        <v>489</v>
      </c>
      <c r="B49" s="223" t="s">
        <v>486</v>
      </c>
      <c r="C49" s="29">
        <v>2116</v>
      </c>
      <c r="D49" s="29">
        <v>995</v>
      </c>
    </row>
    <row r="50" spans="1:4" x14ac:dyDescent="0.25">
      <c r="A50" s="223" t="s">
        <v>490</v>
      </c>
      <c r="B50" s="223" t="s">
        <v>486</v>
      </c>
      <c r="C50" s="29">
        <v>0</v>
      </c>
      <c r="D50" s="29">
        <v>0</v>
      </c>
    </row>
    <row r="51" spans="1:4" x14ac:dyDescent="0.25">
      <c r="A51" s="223" t="s">
        <v>491</v>
      </c>
      <c r="B51" s="223" t="s">
        <v>486</v>
      </c>
      <c r="C51" s="29">
        <v>1127</v>
      </c>
      <c r="D51" s="29">
        <v>655</v>
      </c>
    </row>
    <row r="52" spans="1:4" x14ac:dyDescent="0.25">
      <c r="A52" s="223" t="s">
        <v>492</v>
      </c>
      <c r="B52" s="223" t="s">
        <v>486</v>
      </c>
      <c r="C52" s="29">
        <v>0</v>
      </c>
      <c r="D52" s="29">
        <v>0</v>
      </c>
    </row>
    <row r="53" spans="1:4" x14ac:dyDescent="0.25">
      <c r="A53" s="223" t="s">
        <v>493</v>
      </c>
      <c r="B53" s="223" t="s">
        <v>486</v>
      </c>
      <c r="C53" s="29">
        <v>0</v>
      </c>
      <c r="D53" s="29">
        <v>0</v>
      </c>
    </row>
    <row r="54" spans="1:4" x14ac:dyDescent="0.25">
      <c r="A54" s="223" t="s">
        <v>494</v>
      </c>
      <c r="B54" s="223" t="s">
        <v>486</v>
      </c>
      <c r="C54" s="29">
        <v>0</v>
      </c>
      <c r="D54" s="29">
        <v>0</v>
      </c>
    </row>
    <row r="55" spans="1:4" x14ac:dyDescent="0.25">
      <c r="A55" s="223" t="s">
        <v>495</v>
      </c>
      <c r="B55" s="223" t="s">
        <v>486</v>
      </c>
      <c r="C55" s="29">
        <v>1344</v>
      </c>
      <c r="D55" s="29">
        <v>1410</v>
      </c>
    </row>
    <row r="56" spans="1:4" x14ac:dyDescent="0.25">
      <c r="A56" s="223" t="s">
        <v>496</v>
      </c>
      <c r="B56" s="223" t="s">
        <v>486</v>
      </c>
      <c r="C56" s="29">
        <v>617</v>
      </c>
      <c r="D56" s="29">
        <v>375</v>
      </c>
    </row>
    <row r="57" spans="1:4" x14ac:dyDescent="0.25">
      <c r="A57" s="223" t="s">
        <v>497</v>
      </c>
      <c r="B57" s="223" t="s">
        <v>486</v>
      </c>
      <c r="C57" s="29">
        <v>311</v>
      </c>
      <c r="D57" s="29">
        <v>215</v>
      </c>
    </row>
    <row r="58" spans="1:4" x14ac:dyDescent="0.25">
      <c r="A58" s="223" t="s">
        <v>498</v>
      </c>
      <c r="B58" s="223" t="s">
        <v>486</v>
      </c>
      <c r="C58" s="29">
        <v>1710</v>
      </c>
      <c r="D58" s="29">
        <v>1155</v>
      </c>
    </row>
    <row r="59" spans="1:4" x14ac:dyDescent="0.25">
      <c r="A59" s="223" t="s">
        <v>499</v>
      </c>
      <c r="B59" s="223" t="s">
        <v>486</v>
      </c>
      <c r="C59" s="29">
        <v>0</v>
      </c>
      <c r="D59" s="29">
        <v>0</v>
      </c>
    </row>
    <row r="60" spans="1:4" x14ac:dyDescent="0.25">
      <c r="A60" s="223" t="s">
        <v>500</v>
      </c>
      <c r="B60" s="223" t="s">
        <v>486</v>
      </c>
      <c r="C60" s="29">
        <v>0</v>
      </c>
      <c r="D60" s="29">
        <v>0</v>
      </c>
    </row>
    <row r="61" spans="1:4" x14ac:dyDescent="0.25">
      <c r="A61" s="223" t="s">
        <v>501</v>
      </c>
      <c r="B61" s="223" t="s">
        <v>486</v>
      </c>
      <c r="C61" s="29">
        <v>0</v>
      </c>
      <c r="D61" s="29">
        <v>0</v>
      </c>
    </row>
    <row r="62" spans="1:4" x14ac:dyDescent="0.25">
      <c r="A62" s="223" t="s">
        <v>502</v>
      </c>
      <c r="B62" s="223" t="s">
        <v>486</v>
      </c>
      <c r="C62" s="29">
        <v>175</v>
      </c>
      <c r="D62" s="29">
        <v>25</v>
      </c>
    </row>
    <row r="63" spans="1:4" x14ac:dyDescent="0.25">
      <c r="A63" s="281" t="s">
        <v>503</v>
      </c>
      <c r="B63" s="223" t="s">
        <v>486</v>
      </c>
      <c r="C63" s="29">
        <v>1012</v>
      </c>
      <c r="D63" s="29">
        <v>665</v>
      </c>
    </row>
    <row r="64" spans="1:4" x14ac:dyDescent="0.25">
      <c r="A64" s="280" t="s">
        <v>484</v>
      </c>
      <c r="B64" s="223" t="s">
        <v>487</v>
      </c>
      <c r="C64" s="29">
        <v>444</v>
      </c>
      <c r="D64" s="29">
        <v>20</v>
      </c>
    </row>
    <row r="65" spans="1:4" x14ac:dyDescent="0.25">
      <c r="A65" s="223" t="s">
        <v>485</v>
      </c>
      <c r="B65" s="223" t="s">
        <v>487</v>
      </c>
      <c r="C65" s="29">
        <v>135435</v>
      </c>
      <c r="D65" s="29">
        <v>122000</v>
      </c>
    </row>
    <row r="66" spans="1:4" x14ac:dyDescent="0.25">
      <c r="A66" s="223" t="s">
        <v>486</v>
      </c>
      <c r="B66" s="223" t="s">
        <v>487</v>
      </c>
      <c r="C66" s="29">
        <v>3230</v>
      </c>
      <c r="D66" s="29">
        <v>4365</v>
      </c>
    </row>
    <row r="67" spans="1:4" x14ac:dyDescent="0.25">
      <c r="A67" s="223" t="s">
        <v>487</v>
      </c>
      <c r="B67" s="223" t="s">
        <v>487</v>
      </c>
      <c r="C67" s="29">
        <v>274956</v>
      </c>
      <c r="D67" s="29">
        <v>333765</v>
      </c>
    </row>
    <row r="68" spans="1:4" x14ac:dyDescent="0.25">
      <c r="A68" s="223" t="s">
        <v>488</v>
      </c>
      <c r="B68" s="223" t="s">
        <v>487</v>
      </c>
      <c r="C68" s="29">
        <v>1090</v>
      </c>
      <c r="D68" s="29">
        <v>1125</v>
      </c>
    </row>
    <row r="69" spans="1:4" x14ac:dyDescent="0.25">
      <c r="A69" s="223" t="s">
        <v>489</v>
      </c>
      <c r="B69" s="223" t="s">
        <v>487</v>
      </c>
      <c r="C69" s="29">
        <v>45158</v>
      </c>
      <c r="D69" s="29">
        <v>62890</v>
      </c>
    </row>
    <row r="70" spans="1:4" x14ac:dyDescent="0.25">
      <c r="A70" s="223" t="s">
        <v>490</v>
      </c>
      <c r="B70" s="223" t="s">
        <v>487</v>
      </c>
      <c r="C70" s="29">
        <v>335</v>
      </c>
      <c r="D70" s="29">
        <v>120</v>
      </c>
    </row>
    <row r="71" spans="1:4" x14ac:dyDescent="0.25">
      <c r="A71" s="223" t="s">
        <v>491</v>
      </c>
      <c r="B71" s="223" t="s">
        <v>487</v>
      </c>
      <c r="C71" s="29">
        <v>14184</v>
      </c>
      <c r="D71" s="29">
        <v>18840</v>
      </c>
    </row>
    <row r="72" spans="1:4" x14ac:dyDescent="0.25">
      <c r="A72" s="223" t="s">
        <v>492</v>
      </c>
      <c r="B72" s="223" t="s">
        <v>487</v>
      </c>
      <c r="C72" s="29">
        <v>331</v>
      </c>
      <c r="D72" s="29">
        <v>35</v>
      </c>
    </row>
    <row r="73" spans="1:4" x14ac:dyDescent="0.25">
      <c r="A73" s="223" t="s">
        <v>493</v>
      </c>
      <c r="B73" s="223" t="s">
        <v>487</v>
      </c>
      <c r="C73" s="29">
        <v>7562</v>
      </c>
      <c r="D73" s="29">
        <v>3580</v>
      </c>
    </row>
    <row r="74" spans="1:4" x14ac:dyDescent="0.25">
      <c r="A74" s="223" t="s">
        <v>494</v>
      </c>
      <c r="B74" s="223" t="s">
        <v>487</v>
      </c>
      <c r="C74" s="29">
        <v>0</v>
      </c>
      <c r="D74" s="29">
        <v>0</v>
      </c>
    </row>
    <row r="75" spans="1:4" x14ac:dyDescent="0.25">
      <c r="A75" s="223" t="s">
        <v>495</v>
      </c>
      <c r="B75" s="223" t="s">
        <v>487</v>
      </c>
      <c r="C75" s="29">
        <v>1158</v>
      </c>
      <c r="D75" s="29">
        <v>885</v>
      </c>
    </row>
    <row r="76" spans="1:4" x14ac:dyDescent="0.25">
      <c r="A76" s="223" t="s">
        <v>496</v>
      </c>
      <c r="B76" s="223" t="s">
        <v>487</v>
      </c>
      <c r="C76" s="29">
        <v>154</v>
      </c>
      <c r="D76" s="29">
        <v>50</v>
      </c>
    </row>
    <row r="77" spans="1:4" x14ac:dyDescent="0.25">
      <c r="A77" s="223" t="s">
        <v>497</v>
      </c>
      <c r="B77" s="223" t="s">
        <v>487</v>
      </c>
      <c r="C77" s="29">
        <v>5826</v>
      </c>
      <c r="D77" s="29">
        <v>4265</v>
      </c>
    </row>
    <row r="78" spans="1:4" x14ac:dyDescent="0.25">
      <c r="A78" s="223" t="s">
        <v>498</v>
      </c>
      <c r="B78" s="223" t="s">
        <v>487</v>
      </c>
      <c r="C78" s="29">
        <v>0</v>
      </c>
      <c r="D78" s="29">
        <v>0</v>
      </c>
    </row>
    <row r="79" spans="1:4" x14ac:dyDescent="0.25">
      <c r="A79" s="223" t="s">
        <v>499</v>
      </c>
      <c r="B79" s="223" t="s">
        <v>487</v>
      </c>
      <c r="C79" s="29">
        <v>0</v>
      </c>
      <c r="D79" s="29">
        <v>0</v>
      </c>
    </row>
    <row r="80" spans="1:4" x14ac:dyDescent="0.25">
      <c r="A80" s="223" t="s">
        <v>500</v>
      </c>
      <c r="B80" s="223" t="s">
        <v>487</v>
      </c>
      <c r="C80" s="29">
        <v>39</v>
      </c>
      <c r="D80" s="29">
        <v>25</v>
      </c>
    </row>
    <row r="81" spans="1:4" x14ac:dyDescent="0.25">
      <c r="A81" s="223" t="s">
        <v>501</v>
      </c>
      <c r="B81" s="223" t="s">
        <v>487</v>
      </c>
      <c r="C81" s="29">
        <v>134</v>
      </c>
      <c r="D81" s="29">
        <v>20</v>
      </c>
    </row>
    <row r="82" spans="1:4" x14ac:dyDescent="0.25">
      <c r="A82" s="223" t="s">
        <v>502</v>
      </c>
      <c r="B82" s="223" t="s">
        <v>487</v>
      </c>
      <c r="C82" s="29">
        <v>55308</v>
      </c>
      <c r="D82" s="29">
        <v>80485</v>
      </c>
    </row>
    <row r="83" spans="1:4" x14ac:dyDescent="0.25">
      <c r="A83" s="281" t="s">
        <v>503</v>
      </c>
      <c r="B83" s="223" t="s">
        <v>487</v>
      </c>
      <c r="C83" s="29">
        <v>0</v>
      </c>
      <c r="D83" s="29">
        <v>0</v>
      </c>
    </row>
    <row r="84" spans="1:4" x14ac:dyDescent="0.25">
      <c r="A84" s="280" t="s">
        <v>484</v>
      </c>
      <c r="B84" s="223" t="s">
        <v>488</v>
      </c>
      <c r="C84" s="29">
        <v>0</v>
      </c>
      <c r="D84" s="29">
        <v>0</v>
      </c>
    </row>
    <row r="85" spans="1:4" x14ac:dyDescent="0.25">
      <c r="A85" s="223" t="s">
        <v>485</v>
      </c>
      <c r="B85" s="223" t="s">
        <v>488</v>
      </c>
      <c r="C85" s="29">
        <v>0</v>
      </c>
      <c r="D85" s="29">
        <v>0</v>
      </c>
    </row>
    <row r="86" spans="1:4" x14ac:dyDescent="0.25">
      <c r="A86" s="223" t="s">
        <v>486</v>
      </c>
      <c r="B86" s="223" t="s">
        <v>488</v>
      </c>
      <c r="C86" s="29">
        <v>44</v>
      </c>
      <c r="D86" s="29">
        <v>75</v>
      </c>
    </row>
    <row r="87" spans="1:4" x14ac:dyDescent="0.25">
      <c r="A87" s="223" t="s">
        <v>487</v>
      </c>
      <c r="B87" s="223" t="s">
        <v>488</v>
      </c>
      <c r="C87" s="29">
        <v>0</v>
      </c>
      <c r="D87" s="29">
        <v>0</v>
      </c>
    </row>
    <row r="88" spans="1:4" x14ac:dyDescent="0.25">
      <c r="A88" s="223" t="s">
        <v>488</v>
      </c>
      <c r="B88" s="223" t="s">
        <v>488</v>
      </c>
      <c r="C88" s="29">
        <v>9785</v>
      </c>
      <c r="D88" s="29">
        <v>11030</v>
      </c>
    </row>
    <row r="89" spans="1:4" x14ac:dyDescent="0.25">
      <c r="A89" s="223" t="s">
        <v>489</v>
      </c>
      <c r="B89" s="223" t="s">
        <v>488</v>
      </c>
      <c r="C89" s="29">
        <v>170</v>
      </c>
      <c r="D89" s="29">
        <v>20</v>
      </c>
    </row>
    <row r="90" spans="1:4" x14ac:dyDescent="0.25">
      <c r="A90" s="223" t="s">
        <v>490</v>
      </c>
      <c r="B90" s="223" t="s">
        <v>488</v>
      </c>
      <c r="C90" s="29">
        <v>267</v>
      </c>
      <c r="D90" s="29">
        <v>210</v>
      </c>
    </row>
    <row r="91" spans="1:4" x14ac:dyDescent="0.25">
      <c r="A91" s="223" t="s">
        <v>491</v>
      </c>
      <c r="B91" s="223" t="s">
        <v>488</v>
      </c>
      <c r="C91" s="29">
        <v>738</v>
      </c>
      <c r="D91" s="29">
        <v>595</v>
      </c>
    </row>
    <row r="92" spans="1:4" x14ac:dyDescent="0.25">
      <c r="A92" s="223" t="s">
        <v>492</v>
      </c>
      <c r="B92" s="223" t="s">
        <v>488</v>
      </c>
      <c r="C92" s="29">
        <v>0</v>
      </c>
      <c r="D92" s="29">
        <v>0</v>
      </c>
    </row>
    <row r="93" spans="1:4" x14ac:dyDescent="0.25">
      <c r="A93" s="223" t="s">
        <v>493</v>
      </c>
      <c r="B93" s="223" t="s">
        <v>488</v>
      </c>
      <c r="C93" s="29">
        <v>0</v>
      </c>
      <c r="D93" s="29">
        <v>0</v>
      </c>
    </row>
    <row r="94" spans="1:4" x14ac:dyDescent="0.25">
      <c r="A94" s="223" t="s">
        <v>494</v>
      </c>
      <c r="B94" s="223" t="s">
        <v>488</v>
      </c>
      <c r="C94" s="29">
        <v>0</v>
      </c>
      <c r="D94" s="29">
        <v>0</v>
      </c>
    </row>
    <row r="95" spans="1:4" x14ac:dyDescent="0.25">
      <c r="A95" s="223" t="s">
        <v>495</v>
      </c>
      <c r="B95" s="223" t="s">
        <v>488</v>
      </c>
      <c r="C95" s="29">
        <v>1215</v>
      </c>
      <c r="D95" s="29">
        <v>2740</v>
      </c>
    </row>
    <row r="96" spans="1:4" x14ac:dyDescent="0.25">
      <c r="A96" s="223" t="s">
        <v>496</v>
      </c>
      <c r="B96" s="223" t="s">
        <v>488</v>
      </c>
      <c r="C96" s="29">
        <v>0</v>
      </c>
      <c r="D96" s="29">
        <v>0</v>
      </c>
    </row>
    <row r="97" spans="1:4" x14ac:dyDescent="0.25">
      <c r="A97" s="223" t="s">
        <v>497</v>
      </c>
      <c r="B97" s="223" t="s">
        <v>488</v>
      </c>
      <c r="C97" s="29">
        <v>0</v>
      </c>
      <c r="D97" s="29">
        <v>0</v>
      </c>
    </row>
    <row r="98" spans="1:4" x14ac:dyDescent="0.25">
      <c r="A98" s="223" t="s">
        <v>498</v>
      </c>
      <c r="B98" s="223" t="s">
        <v>488</v>
      </c>
      <c r="C98" s="29">
        <v>0</v>
      </c>
      <c r="D98" s="29">
        <v>0</v>
      </c>
    </row>
    <row r="99" spans="1:4" x14ac:dyDescent="0.25">
      <c r="A99" s="223" t="s">
        <v>499</v>
      </c>
      <c r="B99" s="223" t="s">
        <v>488</v>
      </c>
      <c r="C99" s="29">
        <v>0</v>
      </c>
      <c r="D99" s="29">
        <v>0</v>
      </c>
    </row>
    <row r="100" spans="1:4" x14ac:dyDescent="0.25">
      <c r="A100" s="223" t="s">
        <v>500</v>
      </c>
      <c r="B100" s="223" t="s">
        <v>488</v>
      </c>
      <c r="C100" s="29">
        <v>0</v>
      </c>
      <c r="D100" s="29">
        <v>0</v>
      </c>
    </row>
    <row r="101" spans="1:4" x14ac:dyDescent="0.25">
      <c r="A101" s="223" t="s">
        <v>501</v>
      </c>
      <c r="B101" s="223" t="s">
        <v>488</v>
      </c>
      <c r="C101" s="29">
        <v>0</v>
      </c>
      <c r="D101" s="29">
        <v>0</v>
      </c>
    </row>
    <row r="102" spans="1:4" x14ac:dyDescent="0.25">
      <c r="A102" s="223" t="s">
        <v>502</v>
      </c>
      <c r="B102" s="223" t="s">
        <v>488</v>
      </c>
      <c r="C102" s="29">
        <v>3127</v>
      </c>
      <c r="D102" s="29">
        <v>2220</v>
      </c>
    </row>
    <row r="103" spans="1:4" x14ac:dyDescent="0.25">
      <c r="A103" s="281" t="s">
        <v>503</v>
      </c>
      <c r="B103" s="223" t="s">
        <v>488</v>
      </c>
      <c r="C103" s="29">
        <v>0</v>
      </c>
      <c r="D103" s="29">
        <v>0</v>
      </c>
    </row>
    <row r="104" spans="1:4" x14ac:dyDescent="0.25">
      <c r="A104" s="280" t="s">
        <v>484</v>
      </c>
      <c r="B104" s="223" t="s">
        <v>489</v>
      </c>
      <c r="C104" s="29">
        <v>1427</v>
      </c>
      <c r="D104" s="29">
        <v>655</v>
      </c>
    </row>
    <row r="105" spans="1:4" x14ac:dyDescent="0.25">
      <c r="A105" s="223" t="s">
        <v>485</v>
      </c>
      <c r="B105" s="223" t="s">
        <v>489</v>
      </c>
      <c r="C105" s="29">
        <v>19630</v>
      </c>
      <c r="D105" s="29">
        <v>7475</v>
      </c>
    </row>
    <row r="106" spans="1:4" x14ac:dyDescent="0.25">
      <c r="A106" s="223" t="s">
        <v>486</v>
      </c>
      <c r="B106" s="223" t="s">
        <v>489</v>
      </c>
      <c r="C106" s="29">
        <v>8537</v>
      </c>
      <c r="D106" s="29">
        <v>13820</v>
      </c>
    </row>
    <row r="107" spans="1:4" x14ac:dyDescent="0.25">
      <c r="A107" s="223" t="s">
        <v>487</v>
      </c>
      <c r="B107" s="223" t="s">
        <v>489</v>
      </c>
      <c r="C107" s="29">
        <v>18172</v>
      </c>
      <c r="D107" s="29">
        <v>10000</v>
      </c>
    </row>
    <row r="108" spans="1:4" x14ac:dyDescent="0.25">
      <c r="A108" s="223" t="s">
        <v>488</v>
      </c>
      <c r="B108" s="223" t="s">
        <v>489</v>
      </c>
      <c r="C108" s="29">
        <v>271</v>
      </c>
      <c r="D108" s="29">
        <v>295</v>
      </c>
    </row>
    <row r="109" spans="1:4" x14ac:dyDescent="0.25">
      <c r="A109" s="223" t="s">
        <v>489</v>
      </c>
      <c r="B109" s="223" t="s">
        <v>489</v>
      </c>
      <c r="C109" s="29">
        <v>127424</v>
      </c>
      <c r="D109" s="29">
        <v>122330</v>
      </c>
    </row>
    <row r="110" spans="1:4" x14ac:dyDescent="0.25">
      <c r="A110" s="223" t="s">
        <v>490</v>
      </c>
      <c r="B110" s="223" t="s">
        <v>489</v>
      </c>
      <c r="C110" s="29">
        <v>88</v>
      </c>
      <c r="D110" s="29">
        <v>5</v>
      </c>
    </row>
    <row r="111" spans="1:4" x14ac:dyDescent="0.25">
      <c r="A111" s="223" t="s">
        <v>491</v>
      </c>
      <c r="B111" s="223" t="s">
        <v>489</v>
      </c>
      <c r="C111" s="29">
        <v>10846</v>
      </c>
      <c r="D111" s="29">
        <v>11785</v>
      </c>
    </row>
    <row r="112" spans="1:4" x14ac:dyDescent="0.25">
      <c r="A112" s="223" t="s">
        <v>492</v>
      </c>
      <c r="B112" s="223" t="s">
        <v>489</v>
      </c>
      <c r="C112" s="29">
        <v>131</v>
      </c>
      <c r="D112" s="29">
        <v>155</v>
      </c>
    </row>
    <row r="113" spans="1:4" x14ac:dyDescent="0.25">
      <c r="A113" s="223" t="s">
        <v>493</v>
      </c>
      <c r="B113" s="223" t="s">
        <v>489</v>
      </c>
      <c r="C113" s="29">
        <v>1583</v>
      </c>
      <c r="D113" s="29">
        <v>825</v>
      </c>
    </row>
    <row r="114" spans="1:4" x14ac:dyDescent="0.25">
      <c r="A114" s="223" t="s">
        <v>494</v>
      </c>
      <c r="B114" s="223" t="s">
        <v>489</v>
      </c>
      <c r="C114" s="29">
        <v>0</v>
      </c>
      <c r="D114" s="29">
        <v>0</v>
      </c>
    </row>
    <row r="115" spans="1:4" x14ac:dyDescent="0.25">
      <c r="A115" s="223" t="s">
        <v>495</v>
      </c>
      <c r="B115" s="223" t="s">
        <v>489</v>
      </c>
      <c r="C115" s="29">
        <v>1922</v>
      </c>
      <c r="D115" s="29">
        <v>1400</v>
      </c>
    </row>
    <row r="116" spans="1:4" x14ac:dyDescent="0.25">
      <c r="A116" s="223" t="s">
        <v>496</v>
      </c>
      <c r="B116" s="223" t="s">
        <v>489</v>
      </c>
      <c r="C116" s="29">
        <v>245</v>
      </c>
      <c r="D116" s="29">
        <v>160</v>
      </c>
    </row>
    <row r="117" spans="1:4" x14ac:dyDescent="0.25">
      <c r="A117" s="223" t="s">
        <v>497</v>
      </c>
      <c r="B117" s="223" t="s">
        <v>489</v>
      </c>
      <c r="C117" s="29">
        <v>10733</v>
      </c>
      <c r="D117" s="29">
        <v>15275</v>
      </c>
    </row>
    <row r="118" spans="1:4" x14ac:dyDescent="0.25">
      <c r="A118" s="223" t="s">
        <v>498</v>
      </c>
      <c r="B118" s="223" t="s">
        <v>489</v>
      </c>
      <c r="C118" s="29">
        <v>357</v>
      </c>
      <c r="D118" s="29">
        <v>235</v>
      </c>
    </row>
    <row r="119" spans="1:4" x14ac:dyDescent="0.25">
      <c r="A119" s="223" t="s">
        <v>499</v>
      </c>
      <c r="B119" s="223" t="s">
        <v>489</v>
      </c>
      <c r="C119" s="29">
        <v>0</v>
      </c>
      <c r="D119" s="29">
        <v>0</v>
      </c>
    </row>
    <row r="120" spans="1:4" x14ac:dyDescent="0.25">
      <c r="A120" s="223" t="s">
        <v>500</v>
      </c>
      <c r="B120" s="223" t="s">
        <v>489</v>
      </c>
      <c r="C120" s="29">
        <v>0</v>
      </c>
      <c r="D120" s="29">
        <v>65</v>
      </c>
    </row>
    <row r="121" spans="1:4" x14ac:dyDescent="0.25">
      <c r="A121" s="223" t="s">
        <v>501</v>
      </c>
      <c r="B121" s="223" t="s">
        <v>489</v>
      </c>
      <c r="C121" s="29">
        <v>87</v>
      </c>
      <c r="D121" s="29">
        <v>225</v>
      </c>
    </row>
    <row r="122" spans="1:4" x14ac:dyDescent="0.25">
      <c r="A122" s="223" t="s">
        <v>502</v>
      </c>
      <c r="B122" s="223" t="s">
        <v>489</v>
      </c>
      <c r="C122" s="29">
        <v>4974</v>
      </c>
      <c r="D122" s="29">
        <v>4995</v>
      </c>
    </row>
    <row r="123" spans="1:4" x14ac:dyDescent="0.25">
      <c r="A123" s="281" t="s">
        <v>503</v>
      </c>
      <c r="B123" s="223" t="s">
        <v>489</v>
      </c>
      <c r="C123" s="29">
        <v>1054</v>
      </c>
      <c r="D123" s="29">
        <v>860</v>
      </c>
    </row>
    <row r="124" spans="1:4" x14ac:dyDescent="0.25">
      <c r="A124" s="280" t="s">
        <v>484</v>
      </c>
      <c r="B124" s="223" t="s">
        <v>490</v>
      </c>
      <c r="C124" s="29">
        <v>0</v>
      </c>
      <c r="D124" s="29">
        <v>0</v>
      </c>
    </row>
    <row r="125" spans="1:4" x14ac:dyDescent="0.25">
      <c r="A125" s="223" t="s">
        <v>485</v>
      </c>
      <c r="B125" s="223" t="s">
        <v>490</v>
      </c>
      <c r="C125" s="29">
        <v>1374</v>
      </c>
      <c r="D125" s="29">
        <v>380</v>
      </c>
    </row>
    <row r="126" spans="1:4" x14ac:dyDescent="0.25">
      <c r="A126" s="223" t="s">
        <v>486</v>
      </c>
      <c r="B126" s="223" t="s">
        <v>490</v>
      </c>
      <c r="C126" s="29">
        <v>0</v>
      </c>
      <c r="D126" s="29">
        <v>0</v>
      </c>
    </row>
    <row r="127" spans="1:4" x14ac:dyDescent="0.25">
      <c r="A127" s="223" t="s">
        <v>487</v>
      </c>
      <c r="B127" s="223" t="s">
        <v>490</v>
      </c>
      <c r="C127" s="29">
        <v>0</v>
      </c>
      <c r="D127" s="29">
        <v>0</v>
      </c>
    </row>
    <row r="128" spans="1:4" x14ac:dyDescent="0.25">
      <c r="A128" s="223" t="s">
        <v>488</v>
      </c>
      <c r="B128" s="223" t="s">
        <v>490</v>
      </c>
      <c r="C128" s="29">
        <v>217</v>
      </c>
      <c r="D128" s="29">
        <v>785</v>
      </c>
    </row>
    <row r="129" spans="1:4" x14ac:dyDescent="0.25">
      <c r="A129" s="223" t="s">
        <v>489</v>
      </c>
      <c r="B129" s="223" t="s">
        <v>490</v>
      </c>
      <c r="C129" s="29">
        <v>0</v>
      </c>
      <c r="D129" s="29">
        <v>0</v>
      </c>
    </row>
    <row r="130" spans="1:4" x14ac:dyDescent="0.25">
      <c r="A130" s="223" t="s">
        <v>490</v>
      </c>
      <c r="B130" s="223" t="s">
        <v>490</v>
      </c>
      <c r="C130" s="29">
        <v>36462</v>
      </c>
      <c r="D130" s="29">
        <v>37365</v>
      </c>
    </row>
    <row r="131" spans="1:4" x14ac:dyDescent="0.25">
      <c r="A131" s="223" t="s">
        <v>491</v>
      </c>
      <c r="B131" s="223" t="s">
        <v>490</v>
      </c>
      <c r="C131" s="29">
        <v>0</v>
      </c>
      <c r="D131" s="29">
        <v>10</v>
      </c>
    </row>
    <row r="132" spans="1:4" x14ac:dyDescent="0.25">
      <c r="A132" s="223" t="s">
        <v>492</v>
      </c>
      <c r="B132" s="223" t="s">
        <v>490</v>
      </c>
      <c r="C132" s="29">
        <v>0</v>
      </c>
      <c r="D132" s="29">
        <v>0</v>
      </c>
    </row>
    <row r="133" spans="1:4" x14ac:dyDescent="0.25">
      <c r="A133" s="223" t="s">
        <v>493</v>
      </c>
      <c r="B133" s="223" t="s">
        <v>490</v>
      </c>
      <c r="C133" s="29">
        <v>0</v>
      </c>
      <c r="D133" s="29">
        <v>0</v>
      </c>
    </row>
    <row r="134" spans="1:4" x14ac:dyDescent="0.25">
      <c r="A134" s="223" t="s">
        <v>494</v>
      </c>
      <c r="B134" s="223" t="s">
        <v>490</v>
      </c>
      <c r="C134" s="29">
        <v>0</v>
      </c>
      <c r="D134" s="29">
        <v>0</v>
      </c>
    </row>
    <row r="135" spans="1:4" x14ac:dyDescent="0.25">
      <c r="A135" s="223" t="s">
        <v>495</v>
      </c>
      <c r="B135" s="223" t="s">
        <v>490</v>
      </c>
      <c r="C135" s="29">
        <v>0</v>
      </c>
      <c r="D135" s="29">
        <v>0</v>
      </c>
    </row>
    <row r="136" spans="1:4" x14ac:dyDescent="0.25">
      <c r="A136" s="223" t="s">
        <v>496</v>
      </c>
      <c r="B136" s="223" t="s">
        <v>490</v>
      </c>
      <c r="C136" s="29">
        <v>0</v>
      </c>
      <c r="D136" s="29">
        <v>0</v>
      </c>
    </row>
    <row r="137" spans="1:4" x14ac:dyDescent="0.25">
      <c r="A137" s="223" t="s">
        <v>497</v>
      </c>
      <c r="B137" s="223" t="s">
        <v>490</v>
      </c>
      <c r="C137" s="29">
        <v>0</v>
      </c>
      <c r="D137" s="29">
        <v>0</v>
      </c>
    </row>
    <row r="138" spans="1:4" x14ac:dyDescent="0.25">
      <c r="A138" s="223" t="s">
        <v>498</v>
      </c>
      <c r="B138" s="223" t="s">
        <v>490</v>
      </c>
      <c r="C138" s="29">
        <v>0</v>
      </c>
      <c r="D138" s="29">
        <v>0</v>
      </c>
    </row>
    <row r="139" spans="1:4" x14ac:dyDescent="0.25">
      <c r="A139" s="223" t="s">
        <v>499</v>
      </c>
      <c r="B139" s="223" t="s">
        <v>490</v>
      </c>
      <c r="C139" s="29">
        <v>0</v>
      </c>
      <c r="D139" s="29">
        <v>20</v>
      </c>
    </row>
    <row r="140" spans="1:4" x14ac:dyDescent="0.25">
      <c r="A140" s="223" t="s">
        <v>500</v>
      </c>
      <c r="B140" s="223" t="s">
        <v>490</v>
      </c>
      <c r="C140" s="29">
        <v>0</v>
      </c>
      <c r="D140" s="29">
        <v>0</v>
      </c>
    </row>
    <row r="141" spans="1:4" x14ac:dyDescent="0.25">
      <c r="A141" s="223" t="s">
        <v>501</v>
      </c>
      <c r="B141" s="223" t="s">
        <v>490</v>
      </c>
      <c r="C141" s="29">
        <v>0</v>
      </c>
      <c r="D141" s="29">
        <v>0</v>
      </c>
    </row>
    <row r="142" spans="1:4" x14ac:dyDescent="0.25">
      <c r="A142" s="223" t="s">
        <v>502</v>
      </c>
      <c r="B142" s="223" t="s">
        <v>490</v>
      </c>
      <c r="C142" s="29">
        <v>2159</v>
      </c>
      <c r="D142" s="29">
        <v>3510</v>
      </c>
    </row>
    <row r="143" spans="1:4" x14ac:dyDescent="0.25">
      <c r="A143" s="281" t="s">
        <v>503</v>
      </c>
      <c r="B143" s="223" t="s">
        <v>490</v>
      </c>
      <c r="C143" s="29">
        <v>0</v>
      </c>
      <c r="D143" s="29">
        <v>0</v>
      </c>
    </row>
    <row r="144" spans="1:4" x14ac:dyDescent="0.25">
      <c r="A144" s="280" t="s">
        <v>484</v>
      </c>
      <c r="B144" s="223" t="s">
        <v>491</v>
      </c>
      <c r="C144" s="29">
        <v>0</v>
      </c>
      <c r="D144" s="29">
        <v>0</v>
      </c>
    </row>
    <row r="145" spans="1:4" x14ac:dyDescent="0.25">
      <c r="A145" s="223" t="s">
        <v>485</v>
      </c>
      <c r="B145" s="223" t="s">
        <v>491</v>
      </c>
      <c r="C145" s="29">
        <v>652</v>
      </c>
      <c r="D145" s="29">
        <v>50</v>
      </c>
    </row>
    <row r="146" spans="1:4" x14ac:dyDescent="0.25">
      <c r="A146" s="223" t="s">
        <v>486</v>
      </c>
      <c r="B146" s="223" t="s">
        <v>491</v>
      </c>
      <c r="C146" s="29">
        <v>1573</v>
      </c>
      <c r="D146" s="29">
        <v>1685</v>
      </c>
    </row>
    <row r="147" spans="1:4" x14ac:dyDescent="0.25">
      <c r="A147" s="223" t="s">
        <v>487</v>
      </c>
      <c r="B147" s="223" t="s">
        <v>491</v>
      </c>
      <c r="C147" s="29">
        <v>1503</v>
      </c>
      <c r="D147" s="29">
        <v>375</v>
      </c>
    </row>
    <row r="148" spans="1:4" x14ac:dyDescent="0.25">
      <c r="A148" s="223" t="s">
        <v>488</v>
      </c>
      <c r="B148" s="223" t="s">
        <v>491</v>
      </c>
      <c r="C148" s="29">
        <v>283</v>
      </c>
      <c r="D148" s="29">
        <v>765</v>
      </c>
    </row>
    <row r="149" spans="1:4" x14ac:dyDescent="0.25">
      <c r="A149" s="223" t="s">
        <v>489</v>
      </c>
      <c r="B149" s="223" t="s">
        <v>491</v>
      </c>
      <c r="C149" s="29">
        <v>4692</v>
      </c>
      <c r="D149" s="29">
        <v>2585</v>
      </c>
    </row>
    <row r="150" spans="1:4" x14ac:dyDescent="0.25">
      <c r="A150" s="223" t="s">
        <v>490</v>
      </c>
      <c r="B150" s="223" t="s">
        <v>491</v>
      </c>
      <c r="C150" s="29">
        <v>0</v>
      </c>
      <c r="D150" s="29">
        <v>0</v>
      </c>
    </row>
    <row r="151" spans="1:4" x14ac:dyDescent="0.25">
      <c r="A151" s="223" t="s">
        <v>491</v>
      </c>
      <c r="B151" s="223" t="s">
        <v>491</v>
      </c>
      <c r="C151" s="29">
        <v>16135</v>
      </c>
      <c r="D151" s="29">
        <v>13485</v>
      </c>
    </row>
    <row r="152" spans="1:4" x14ac:dyDescent="0.25">
      <c r="A152" s="223" t="s">
        <v>492</v>
      </c>
      <c r="B152" s="223" t="s">
        <v>491</v>
      </c>
      <c r="C152" s="29">
        <v>0</v>
      </c>
      <c r="D152" s="29">
        <v>0</v>
      </c>
    </row>
    <row r="153" spans="1:4" x14ac:dyDescent="0.25">
      <c r="A153" s="223" t="s">
        <v>493</v>
      </c>
      <c r="B153" s="223" t="s">
        <v>491</v>
      </c>
      <c r="C153" s="29">
        <v>24</v>
      </c>
      <c r="D153" s="29">
        <v>10</v>
      </c>
    </row>
    <row r="154" spans="1:4" x14ac:dyDescent="0.25">
      <c r="A154" s="223" t="s">
        <v>494</v>
      </c>
      <c r="B154" s="223" t="s">
        <v>491</v>
      </c>
      <c r="C154" s="29">
        <v>0</v>
      </c>
      <c r="D154" s="29">
        <v>0</v>
      </c>
    </row>
    <row r="155" spans="1:4" x14ac:dyDescent="0.25">
      <c r="A155" s="223" t="s">
        <v>495</v>
      </c>
      <c r="B155" s="223" t="s">
        <v>491</v>
      </c>
      <c r="C155" s="29">
        <v>1995</v>
      </c>
      <c r="D155" s="29">
        <v>1515</v>
      </c>
    </row>
    <row r="156" spans="1:4" x14ac:dyDescent="0.25">
      <c r="A156" s="223" t="s">
        <v>496</v>
      </c>
      <c r="B156" s="223" t="s">
        <v>491</v>
      </c>
      <c r="C156" s="29">
        <v>94</v>
      </c>
      <c r="D156" s="29">
        <v>30</v>
      </c>
    </row>
    <row r="157" spans="1:4" x14ac:dyDescent="0.25">
      <c r="A157" s="223" t="s">
        <v>497</v>
      </c>
      <c r="B157" s="223" t="s">
        <v>491</v>
      </c>
      <c r="C157" s="29">
        <v>19</v>
      </c>
      <c r="D157" s="29">
        <v>5</v>
      </c>
    </row>
    <row r="158" spans="1:4" x14ac:dyDescent="0.25">
      <c r="A158" s="223" t="s">
        <v>498</v>
      </c>
      <c r="B158" s="223" t="s">
        <v>491</v>
      </c>
      <c r="C158" s="29">
        <v>0</v>
      </c>
      <c r="D158" s="29">
        <v>0</v>
      </c>
    </row>
    <row r="159" spans="1:4" x14ac:dyDescent="0.25">
      <c r="A159" s="223" t="s">
        <v>499</v>
      </c>
      <c r="B159" s="223" t="s">
        <v>491</v>
      </c>
      <c r="C159" s="29">
        <v>0</v>
      </c>
      <c r="D159" s="29">
        <v>0</v>
      </c>
    </row>
    <row r="160" spans="1:4" x14ac:dyDescent="0.25">
      <c r="A160" s="223" t="s">
        <v>500</v>
      </c>
      <c r="B160" s="223" t="s">
        <v>491</v>
      </c>
      <c r="C160" s="29">
        <v>0</v>
      </c>
      <c r="D160" s="29">
        <v>0</v>
      </c>
    </row>
    <row r="161" spans="1:4" x14ac:dyDescent="0.25">
      <c r="A161" s="223" t="s">
        <v>501</v>
      </c>
      <c r="B161" s="223" t="s">
        <v>491</v>
      </c>
      <c r="C161" s="29">
        <v>0</v>
      </c>
      <c r="D161" s="29">
        <v>0</v>
      </c>
    </row>
    <row r="162" spans="1:4" x14ac:dyDescent="0.25">
      <c r="A162" s="223" t="s">
        <v>502</v>
      </c>
      <c r="B162" s="223" t="s">
        <v>491</v>
      </c>
      <c r="C162" s="29">
        <v>2469</v>
      </c>
      <c r="D162" s="29">
        <v>1840</v>
      </c>
    </row>
    <row r="163" spans="1:4" x14ac:dyDescent="0.25">
      <c r="A163" s="281" t="s">
        <v>503</v>
      </c>
      <c r="B163" s="223" t="s">
        <v>491</v>
      </c>
      <c r="C163" s="29">
        <v>0</v>
      </c>
      <c r="D163" s="29">
        <v>0</v>
      </c>
    </row>
    <row r="164" spans="1:4" x14ac:dyDescent="0.25">
      <c r="A164" s="280" t="s">
        <v>484</v>
      </c>
      <c r="B164" s="223" t="s">
        <v>492</v>
      </c>
      <c r="C164" s="29">
        <v>0</v>
      </c>
      <c r="D164" s="29">
        <v>10</v>
      </c>
    </row>
    <row r="165" spans="1:4" x14ac:dyDescent="0.25">
      <c r="A165" s="223" t="s">
        <v>485</v>
      </c>
      <c r="B165" s="223" t="s">
        <v>492</v>
      </c>
      <c r="C165" s="29">
        <v>631</v>
      </c>
      <c r="D165" s="29">
        <v>5</v>
      </c>
    </row>
    <row r="166" spans="1:4" x14ac:dyDescent="0.25">
      <c r="A166" s="223" t="s">
        <v>486</v>
      </c>
      <c r="B166" s="223" t="s">
        <v>492</v>
      </c>
      <c r="C166" s="29">
        <v>0</v>
      </c>
      <c r="D166" s="29">
        <v>0</v>
      </c>
    </row>
    <row r="167" spans="1:4" x14ac:dyDescent="0.25">
      <c r="A167" s="223" t="s">
        <v>487</v>
      </c>
      <c r="B167" s="223" t="s">
        <v>492</v>
      </c>
      <c r="C167" s="29">
        <v>0</v>
      </c>
      <c r="D167" s="29">
        <v>0</v>
      </c>
    </row>
    <row r="168" spans="1:4" x14ac:dyDescent="0.25">
      <c r="A168" s="223" t="s">
        <v>488</v>
      </c>
      <c r="B168" s="223" t="s">
        <v>492</v>
      </c>
      <c r="C168" s="29">
        <v>0</v>
      </c>
      <c r="D168" s="29">
        <v>0</v>
      </c>
    </row>
    <row r="169" spans="1:4" x14ac:dyDescent="0.25">
      <c r="A169" s="223" t="s">
        <v>489</v>
      </c>
      <c r="B169" s="223" t="s">
        <v>492</v>
      </c>
      <c r="C169" s="29">
        <v>0</v>
      </c>
      <c r="D169" s="29">
        <v>0</v>
      </c>
    </row>
    <row r="170" spans="1:4" x14ac:dyDescent="0.25">
      <c r="A170" s="223" t="s">
        <v>490</v>
      </c>
      <c r="B170" s="223" t="s">
        <v>492</v>
      </c>
      <c r="C170" s="29">
        <v>0</v>
      </c>
      <c r="D170" s="29">
        <v>0</v>
      </c>
    </row>
    <row r="171" spans="1:4" x14ac:dyDescent="0.25">
      <c r="A171" s="223" t="s">
        <v>491</v>
      </c>
      <c r="B171" s="223" t="s">
        <v>492</v>
      </c>
      <c r="C171" s="29">
        <v>0</v>
      </c>
      <c r="D171" s="29">
        <v>0</v>
      </c>
    </row>
    <row r="172" spans="1:4" x14ac:dyDescent="0.25">
      <c r="A172" s="223" t="s">
        <v>492</v>
      </c>
      <c r="B172" s="223" t="s">
        <v>492</v>
      </c>
      <c r="C172" s="29">
        <v>41780</v>
      </c>
      <c r="D172" s="29">
        <v>34555</v>
      </c>
    </row>
    <row r="173" spans="1:4" x14ac:dyDescent="0.25">
      <c r="A173" s="223" t="s">
        <v>493</v>
      </c>
      <c r="B173" s="223" t="s">
        <v>492</v>
      </c>
      <c r="C173" s="29">
        <v>4129</v>
      </c>
      <c r="D173" s="29">
        <v>4110</v>
      </c>
    </row>
    <row r="174" spans="1:4" x14ac:dyDescent="0.25">
      <c r="A174" s="223" t="s">
        <v>494</v>
      </c>
      <c r="B174" s="223" t="s">
        <v>492</v>
      </c>
      <c r="C174" s="29">
        <v>0</v>
      </c>
      <c r="D174" s="29">
        <v>0</v>
      </c>
    </row>
    <row r="175" spans="1:4" x14ac:dyDescent="0.25">
      <c r="A175" s="223" t="s">
        <v>495</v>
      </c>
      <c r="B175" s="223" t="s">
        <v>492</v>
      </c>
      <c r="C175" s="29">
        <v>0</v>
      </c>
      <c r="D175" s="29">
        <v>0</v>
      </c>
    </row>
    <row r="176" spans="1:4" x14ac:dyDescent="0.25">
      <c r="A176" s="223" t="s">
        <v>496</v>
      </c>
      <c r="B176" s="223" t="s">
        <v>492</v>
      </c>
      <c r="C176" s="29">
        <v>0</v>
      </c>
      <c r="D176" s="29">
        <v>0</v>
      </c>
    </row>
    <row r="177" spans="1:4" x14ac:dyDescent="0.25">
      <c r="A177" s="223" t="s">
        <v>497</v>
      </c>
      <c r="B177" s="223" t="s">
        <v>492</v>
      </c>
      <c r="C177" s="29">
        <v>695</v>
      </c>
      <c r="D177" s="29">
        <v>440</v>
      </c>
    </row>
    <row r="178" spans="1:4" x14ac:dyDescent="0.25">
      <c r="A178" s="223" t="s">
        <v>498</v>
      </c>
      <c r="B178" s="223" t="s">
        <v>492</v>
      </c>
      <c r="C178" s="29">
        <v>0</v>
      </c>
      <c r="D178" s="29">
        <v>0</v>
      </c>
    </row>
    <row r="179" spans="1:4" x14ac:dyDescent="0.25">
      <c r="A179" s="223" t="s">
        <v>499</v>
      </c>
      <c r="B179" s="223" t="s">
        <v>492</v>
      </c>
      <c r="C179" s="29">
        <v>0</v>
      </c>
      <c r="D179" s="29">
        <v>0</v>
      </c>
    </row>
    <row r="180" spans="1:4" x14ac:dyDescent="0.25">
      <c r="A180" s="223" t="s">
        <v>500</v>
      </c>
      <c r="B180" s="223" t="s">
        <v>492</v>
      </c>
      <c r="C180" s="29">
        <v>6548</v>
      </c>
      <c r="D180" s="29">
        <v>9480</v>
      </c>
    </row>
    <row r="181" spans="1:4" x14ac:dyDescent="0.25">
      <c r="A181" s="223" t="s">
        <v>501</v>
      </c>
      <c r="B181" s="223" t="s">
        <v>492</v>
      </c>
      <c r="C181" s="29">
        <v>745</v>
      </c>
      <c r="D181" s="29">
        <v>2090</v>
      </c>
    </row>
    <row r="182" spans="1:4" x14ac:dyDescent="0.25">
      <c r="A182" s="223" t="s">
        <v>502</v>
      </c>
      <c r="B182" s="223" t="s">
        <v>492</v>
      </c>
      <c r="C182" s="29">
        <v>0</v>
      </c>
      <c r="D182" s="29">
        <v>0</v>
      </c>
    </row>
    <row r="183" spans="1:4" x14ac:dyDescent="0.25">
      <c r="A183" s="281" t="s">
        <v>503</v>
      </c>
      <c r="B183" s="223" t="s">
        <v>492</v>
      </c>
      <c r="C183" s="29">
        <v>0</v>
      </c>
      <c r="D183" s="29">
        <v>0</v>
      </c>
    </row>
    <row r="184" spans="1:4" x14ac:dyDescent="0.25">
      <c r="A184" s="280" t="s">
        <v>484</v>
      </c>
      <c r="B184" s="223" t="s">
        <v>493</v>
      </c>
      <c r="C184" s="29">
        <v>145</v>
      </c>
      <c r="D184" s="29">
        <v>55</v>
      </c>
    </row>
    <row r="185" spans="1:4" x14ac:dyDescent="0.25">
      <c r="A185" s="223" t="s">
        <v>485</v>
      </c>
      <c r="B185" s="223" t="s">
        <v>493</v>
      </c>
      <c r="C185" s="29">
        <v>64036</v>
      </c>
      <c r="D185" s="29">
        <v>34110</v>
      </c>
    </row>
    <row r="186" spans="1:4" x14ac:dyDescent="0.25">
      <c r="A186" s="223" t="s">
        <v>486</v>
      </c>
      <c r="B186" s="223" t="s">
        <v>493</v>
      </c>
      <c r="C186" s="29">
        <v>273</v>
      </c>
      <c r="D186" s="29">
        <v>85</v>
      </c>
    </row>
    <row r="187" spans="1:4" x14ac:dyDescent="0.25">
      <c r="A187" s="223" t="s">
        <v>487</v>
      </c>
      <c r="B187" s="223" t="s">
        <v>493</v>
      </c>
      <c r="C187" s="29">
        <v>6896</v>
      </c>
      <c r="D187" s="29">
        <v>970</v>
      </c>
    </row>
    <row r="188" spans="1:4" x14ac:dyDescent="0.25">
      <c r="A188" s="223" t="s">
        <v>488</v>
      </c>
      <c r="B188" s="223" t="s">
        <v>493</v>
      </c>
      <c r="C188" s="29">
        <v>0</v>
      </c>
      <c r="D188" s="29">
        <v>0</v>
      </c>
    </row>
    <row r="189" spans="1:4" x14ac:dyDescent="0.25">
      <c r="A189" s="223" t="s">
        <v>489</v>
      </c>
      <c r="B189" s="223" t="s">
        <v>493</v>
      </c>
      <c r="C189" s="29">
        <v>3569</v>
      </c>
      <c r="D189" s="29">
        <v>3025</v>
      </c>
    </row>
    <row r="190" spans="1:4" x14ac:dyDescent="0.25">
      <c r="A190" s="223" t="s">
        <v>490</v>
      </c>
      <c r="B190" s="223" t="s">
        <v>493</v>
      </c>
      <c r="C190" s="29">
        <v>0</v>
      </c>
      <c r="D190" s="29">
        <v>0</v>
      </c>
    </row>
    <row r="191" spans="1:4" x14ac:dyDescent="0.25">
      <c r="A191" s="223" t="s">
        <v>491</v>
      </c>
      <c r="B191" s="223" t="s">
        <v>493</v>
      </c>
      <c r="C191" s="29">
        <v>168</v>
      </c>
      <c r="D191" s="29">
        <v>5</v>
      </c>
    </row>
    <row r="192" spans="1:4" x14ac:dyDescent="0.25">
      <c r="A192" s="223" t="s">
        <v>492</v>
      </c>
      <c r="B192" s="223" t="s">
        <v>493</v>
      </c>
      <c r="C192" s="29">
        <v>15856</v>
      </c>
      <c r="D192" s="29">
        <v>23035</v>
      </c>
    </row>
    <row r="193" spans="1:4" x14ac:dyDescent="0.25">
      <c r="A193" s="223" t="s">
        <v>493</v>
      </c>
      <c r="B193" s="223" t="s">
        <v>493</v>
      </c>
      <c r="C193" s="29">
        <v>233253</v>
      </c>
      <c r="D193" s="29">
        <v>233175</v>
      </c>
    </row>
    <row r="194" spans="1:4" x14ac:dyDescent="0.25">
      <c r="A194" s="223" t="s">
        <v>494</v>
      </c>
      <c r="B194" s="223" t="s">
        <v>493</v>
      </c>
      <c r="C194" s="29">
        <v>0</v>
      </c>
      <c r="D194" s="29">
        <v>0</v>
      </c>
    </row>
    <row r="195" spans="1:4" x14ac:dyDescent="0.25">
      <c r="A195" s="223" t="s">
        <v>495</v>
      </c>
      <c r="B195" s="223" t="s">
        <v>493</v>
      </c>
      <c r="C195" s="29">
        <v>0</v>
      </c>
      <c r="D195" s="29">
        <v>0</v>
      </c>
    </row>
    <row r="196" spans="1:4" x14ac:dyDescent="0.25">
      <c r="A196" s="223" t="s">
        <v>496</v>
      </c>
      <c r="B196" s="223" t="s">
        <v>493</v>
      </c>
      <c r="C196" s="29">
        <v>0</v>
      </c>
      <c r="D196" s="29">
        <v>0</v>
      </c>
    </row>
    <row r="197" spans="1:4" x14ac:dyDescent="0.25">
      <c r="A197" s="223" t="s">
        <v>497</v>
      </c>
      <c r="B197" s="223" t="s">
        <v>493</v>
      </c>
      <c r="C197" s="29">
        <v>19805</v>
      </c>
      <c r="D197" s="29">
        <v>26420</v>
      </c>
    </row>
    <row r="198" spans="1:4" x14ac:dyDescent="0.25">
      <c r="A198" s="223" t="s">
        <v>498</v>
      </c>
      <c r="B198" s="223" t="s">
        <v>493</v>
      </c>
      <c r="C198" s="29">
        <v>0</v>
      </c>
      <c r="D198" s="29">
        <v>0</v>
      </c>
    </row>
    <row r="199" spans="1:4" x14ac:dyDescent="0.25">
      <c r="A199" s="223" t="s">
        <v>499</v>
      </c>
      <c r="B199" s="223" t="s">
        <v>493</v>
      </c>
      <c r="C199" s="29">
        <v>0</v>
      </c>
      <c r="D199" s="29">
        <v>0</v>
      </c>
    </row>
    <row r="200" spans="1:4" x14ac:dyDescent="0.25">
      <c r="A200" s="223" t="s">
        <v>500</v>
      </c>
      <c r="B200" s="223" t="s">
        <v>493</v>
      </c>
      <c r="C200" s="29">
        <v>1743</v>
      </c>
      <c r="D200" s="29">
        <v>6285</v>
      </c>
    </row>
    <row r="201" spans="1:4" x14ac:dyDescent="0.25">
      <c r="A201" s="223" t="s">
        <v>501</v>
      </c>
      <c r="B201" s="223" t="s">
        <v>493</v>
      </c>
      <c r="C201" s="29">
        <v>1295</v>
      </c>
      <c r="D201" s="29">
        <v>1905</v>
      </c>
    </row>
    <row r="202" spans="1:4" x14ac:dyDescent="0.25">
      <c r="A202" s="223" t="s">
        <v>502</v>
      </c>
      <c r="B202" s="223" t="s">
        <v>493</v>
      </c>
      <c r="C202" s="29">
        <v>1361</v>
      </c>
      <c r="D202" s="29">
        <v>70</v>
      </c>
    </row>
    <row r="203" spans="1:4" x14ac:dyDescent="0.25">
      <c r="A203" s="281" t="s">
        <v>503</v>
      </c>
      <c r="B203" s="223" t="s">
        <v>493</v>
      </c>
      <c r="C203" s="29">
        <v>198</v>
      </c>
      <c r="D203" s="29">
        <v>60</v>
      </c>
    </row>
    <row r="204" spans="1:4" x14ac:dyDescent="0.25">
      <c r="A204" s="280" t="s">
        <v>484</v>
      </c>
      <c r="B204" s="223" t="s">
        <v>494</v>
      </c>
      <c r="C204" s="29">
        <v>0</v>
      </c>
      <c r="D204" s="29">
        <v>0</v>
      </c>
    </row>
    <row r="205" spans="1:4" x14ac:dyDescent="0.25">
      <c r="A205" s="223" t="s">
        <v>485</v>
      </c>
      <c r="B205" s="223" t="s">
        <v>494</v>
      </c>
      <c r="C205" s="29">
        <v>208</v>
      </c>
      <c r="D205" s="29">
        <v>20</v>
      </c>
    </row>
    <row r="206" spans="1:4" x14ac:dyDescent="0.25">
      <c r="A206" s="223" t="s">
        <v>486</v>
      </c>
      <c r="B206" s="223" t="s">
        <v>494</v>
      </c>
      <c r="C206" s="29">
        <v>0</v>
      </c>
      <c r="D206" s="29">
        <v>0</v>
      </c>
    </row>
    <row r="207" spans="1:4" x14ac:dyDescent="0.25">
      <c r="A207" s="223" t="s">
        <v>487</v>
      </c>
      <c r="B207" s="223" t="s">
        <v>494</v>
      </c>
      <c r="C207" s="29">
        <v>0</v>
      </c>
      <c r="D207" s="29">
        <v>0</v>
      </c>
    </row>
    <row r="208" spans="1:4" x14ac:dyDescent="0.25">
      <c r="A208" s="223" t="s">
        <v>488</v>
      </c>
      <c r="B208" s="223" t="s">
        <v>494</v>
      </c>
      <c r="C208" s="29">
        <v>0</v>
      </c>
      <c r="D208" s="29">
        <v>0</v>
      </c>
    </row>
    <row r="209" spans="1:4" x14ac:dyDescent="0.25">
      <c r="A209" s="223" t="s">
        <v>489</v>
      </c>
      <c r="B209" s="223" t="s">
        <v>494</v>
      </c>
      <c r="C209" s="29">
        <v>0</v>
      </c>
      <c r="D209" s="29">
        <v>0</v>
      </c>
    </row>
    <row r="210" spans="1:4" x14ac:dyDescent="0.25">
      <c r="A210" s="223" t="s">
        <v>490</v>
      </c>
      <c r="B210" s="223" t="s">
        <v>494</v>
      </c>
      <c r="C210" s="29">
        <v>0</v>
      </c>
      <c r="D210" s="29">
        <v>0</v>
      </c>
    </row>
    <row r="211" spans="1:4" x14ac:dyDescent="0.25">
      <c r="A211" s="223" t="s">
        <v>491</v>
      </c>
      <c r="B211" s="223" t="s">
        <v>494</v>
      </c>
      <c r="C211" s="29">
        <v>0</v>
      </c>
      <c r="D211" s="29">
        <v>0</v>
      </c>
    </row>
    <row r="212" spans="1:4" x14ac:dyDescent="0.25">
      <c r="A212" s="223" t="s">
        <v>492</v>
      </c>
      <c r="B212" s="223" t="s">
        <v>494</v>
      </c>
      <c r="C212" s="29">
        <v>0</v>
      </c>
      <c r="D212" s="29">
        <v>0</v>
      </c>
    </row>
    <row r="213" spans="1:4" x14ac:dyDescent="0.25">
      <c r="A213" s="223" t="s">
        <v>493</v>
      </c>
      <c r="B213" s="223" t="s">
        <v>494</v>
      </c>
      <c r="C213" s="29">
        <v>0</v>
      </c>
      <c r="D213" s="29">
        <v>0</v>
      </c>
    </row>
    <row r="214" spans="1:4" x14ac:dyDescent="0.25">
      <c r="A214" s="223" t="s">
        <v>494</v>
      </c>
      <c r="B214" s="223" t="s">
        <v>494</v>
      </c>
      <c r="C214" s="29">
        <v>32367</v>
      </c>
      <c r="D214" s="29">
        <v>39140</v>
      </c>
    </row>
    <row r="215" spans="1:4" x14ac:dyDescent="0.25">
      <c r="A215" s="223" t="s">
        <v>495</v>
      </c>
      <c r="B215" s="223" t="s">
        <v>494</v>
      </c>
      <c r="C215" s="29">
        <v>0</v>
      </c>
      <c r="D215" s="29">
        <v>0</v>
      </c>
    </row>
    <row r="216" spans="1:4" x14ac:dyDescent="0.25">
      <c r="A216" s="223" t="s">
        <v>496</v>
      </c>
      <c r="B216" s="223" t="s">
        <v>494</v>
      </c>
      <c r="C216" s="29">
        <v>0</v>
      </c>
      <c r="D216" s="29">
        <v>0</v>
      </c>
    </row>
    <row r="217" spans="1:4" x14ac:dyDescent="0.25">
      <c r="A217" s="223" t="s">
        <v>497</v>
      </c>
      <c r="B217" s="223" t="s">
        <v>494</v>
      </c>
      <c r="C217" s="29">
        <v>0</v>
      </c>
      <c r="D217" s="29">
        <v>0</v>
      </c>
    </row>
    <row r="218" spans="1:4" x14ac:dyDescent="0.25">
      <c r="A218" s="223" t="s">
        <v>498</v>
      </c>
      <c r="B218" s="223" t="s">
        <v>494</v>
      </c>
      <c r="C218" s="29">
        <v>0</v>
      </c>
      <c r="D218" s="29">
        <v>0</v>
      </c>
    </row>
    <row r="219" spans="1:4" x14ac:dyDescent="0.25">
      <c r="A219" s="223" t="s">
        <v>499</v>
      </c>
      <c r="B219" s="223" t="s">
        <v>494</v>
      </c>
      <c r="C219" s="29">
        <v>4089</v>
      </c>
      <c r="D219" s="29">
        <v>6800</v>
      </c>
    </row>
    <row r="220" spans="1:4" x14ac:dyDescent="0.25">
      <c r="A220" s="223" t="s">
        <v>500</v>
      </c>
      <c r="B220" s="223" t="s">
        <v>494</v>
      </c>
      <c r="C220" s="29">
        <v>0</v>
      </c>
      <c r="D220" s="29">
        <v>0</v>
      </c>
    </row>
    <row r="221" spans="1:4" x14ac:dyDescent="0.25">
      <c r="A221" s="223" t="s">
        <v>501</v>
      </c>
      <c r="B221" s="223" t="s">
        <v>494</v>
      </c>
      <c r="C221" s="29">
        <v>0</v>
      </c>
      <c r="D221" s="29">
        <v>0</v>
      </c>
    </row>
    <row r="222" spans="1:4" x14ac:dyDescent="0.25">
      <c r="A222" s="223" t="s">
        <v>502</v>
      </c>
      <c r="B222" s="223" t="s">
        <v>494</v>
      </c>
      <c r="C222" s="29">
        <v>0</v>
      </c>
      <c r="D222" s="29">
        <v>0</v>
      </c>
    </row>
    <row r="223" spans="1:4" x14ac:dyDescent="0.25">
      <c r="A223" s="281" t="s">
        <v>503</v>
      </c>
      <c r="B223" s="223" t="s">
        <v>494</v>
      </c>
      <c r="C223" s="29">
        <v>0</v>
      </c>
      <c r="D223" s="29">
        <v>0</v>
      </c>
    </row>
    <row r="224" spans="1:4" x14ac:dyDescent="0.25">
      <c r="A224" s="280" t="s">
        <v>484</v>
      </c>
      <c r="B224" s="223" t="s">
        <v>495</v>
      </c>
      <c r="C224" s="29">
        <v>0</v>
      </c>
      <c r="D224" s="29">
        <v>0</v>
      </c>
    </row>
    <row r="225" spans="1:4" x14ac:dyDescent="0.25">
      <c r="A225" s="223" t="s">
        <v>485</v>
      </c>
      <c r="B225" s="223" t="s">
        <v>495</v>
      </c>
      <c r="C225" s="29">
        <v>0</v>
      </c>
      <c r="D225" s="29">
        <v>0</v>
      </c>
    </row>
    <row r="226" spans="1:4" x14ac:dyDescent="0.25">
      <c r="A226" s="223" t="s">
        <v>486</v>
      </c>
      <c r="B226" s="223" t="s">
        <v>495</v>
      </c>
      <c r="C226" s="29">
        <v>439</v>
      </c>
      <c r="D226" s="29">
        <v>190</v>
      </c>
    </row>
    <row r="227" spans="1:4" x14ac:dyDescent="0.25">
      <c r="A227" s="223" t="s">
        <v>487</v>
      </c>
      <c r="B227" s="223" t="s">
        <v>495</v>
      </c>
      <c r="C227" s="29">
        <v>0</v>
      </c>
      <c r="D227" s="29">
        <v>0</v>
      </c>
    </row>
    <row r="228" spans="1:4" x14ac:dyDescent="0.25">
      <c r="A228" s="223" t="s">
        <v>488</v>
      </c>
      <c r="B228" s="223" t="s">
        <v>495</v>
      </c>
      <c r="C228" s="29">
        <v>901</v>
      </c>
      <c r="D228" s="29">
        <v>570</v>
      </c>
    </row>
    <row r="229" spans="1:4" x14ac:dyDescent="0.25">
      <c r="A229" s="223" t="s">
        <v>489</v>
      </c>
      <c r="B229" s="223" t="s">
        <v>495</v>
      </c>
      <c r="C229" s="29">
        <v>0</v>
      </c>
      <c r="D229" s="29">
        <v>0</v>
      </c>
    </row>
    <row r="230" spans="1:4" x14ac:dyDescent="0.25">
      <c r="A230" s="223" t="s">
        <v>490</v>
      </c>
      <c r="B230" s="223" t="s">
        <v>495</v>
      </c>
      <c r="C230" s="29">
        <v>29</v>
      </c>
      <c r="D230" s="29">
        <v>5</v>
      </c>
    </row>
    <row r="231" spans="1:4" x14ac:dyDescent="0.25">
      <c r="A231" s="223" t="s">
        <v>491</v>
      </c>
      <c r="B231" s="223" t="s">
        <v>495</v>
      </c>
      <c r="C231" s="29">
        <v>259</v>
      </c>
      <c r="D231" s="29">
        <v>130</v>
      </c>
    </row>
    <row r="232" spans="1:4" x14ac:dyDescent="0.25">
      <c r="A232" s="223" t="s">
        <v>492</v>
      </c>
      <c r="B232" s="223" t="s">
        <v>495</v>
      </c>
      <c r="C232" s="29">
        <v>0</v>
      </c>
      <c r="D232" s="29">
        <v>0</v>
      </c>
    </row>
    <row r="233" spans="1:4" x14ac:dyDescent="0.25">
      <c r="A233" s="223" t="s">
        <v>493</v>
      </c>
      <c r="B233" s="223" t="s">
        <v>495</v>
      </c>
      <c r="C233" s="29">
        <v>0</v>
      </c>
      <c r="D233" s="29">
        <v>0</v>
      </c>
    </row>
    <row r="234" spans="1:4" x14ac:dyDescent="0.25">
      <c r="A234" s="223" t="s">
        <v>494</v>
      </c>
      <c r="B234" s="223" t="s">
        <v>495</v>
      </c>
      <c r="C234" s="29">
        <v>0</v>
      </c>
      <c r="D234" s="29">
        <v>0</v>
      </c>
    </row>
    <row r="235" spans="1:4" x14ac:dyDescent="0.25">
      <c r="A235" s="223" t="s">
        <v>495</v>
      </c>
      <c r="B235" s="223" t="s">
        <v>495</v>
      </c>
      <c r="C235" s="29">
        <v>35748</v>
      </c>
      <c r="D235" s="29">
        <v>40320</v>
      </c>
    </row>
    <row r="236" spans="1:4" x14ac:dyDescent="0.25">
      <c r="A236" s="223" t="s">
        <v>496</v>
      </c>
      <c r="B236" s="223" t="s">
        <v>495</v>
      </c>
      <c r="C236" s="29">
        <v>632</v>
      </c>
      <c r="D236" s="29">
        <v>415</v>
      </c>
    </row>
    <row r="237" spans="1:4" x14ac:dyDescent="0.25">
      <c r="A237" s="223" t="s">
        <v>497</v>
      </c>
      <c r="B237" s="223" t="s">
        <v>495</v>
      </c>
      <c r="C237" s="29">
        <v>0</v>
      </c>
      <c r="D237" s="29">
        <v>0</v>
      </c>
    </row>
    <row r="238" spans="1:4" x14ac:dyDescent="0.25">
      <c r="A238" s="223" t="s">
        <v>498</v>
      </c>
      <c r="B238" s="223" t="s">
        <v>495</v>
      </c>
      <c r="C238" s="29">
        <v>39</v>
      </c>
      <c r="D238" s="29">
        <v>165</v>
      </c>
    </row>
    <row r="239" spans="1:4" x14ac:dyDescent="0.25">
      <c r="A239" s="223" t="s">
        <v>499</v>
      </c>
      <c r="B239" s="223" t="s">
        <v>495</v>
      </c>
      <c r="C239" s="29">
        <v>0</v>
      </c>
      <c r="D239" s="29">
        <v>0</v>
      </c>
    </row>
    <row r="240" spans="1:4" x14ac:dyDescent="0.25">
      <c r="A240" s="223" t="s">
        <v>500</v>
      </c>
      <c r="B240" s="223" t="s">
        <v>495</v>
      </c>
      <c r="C240" s="29">
        <v>0</v>
      </c>
      <c r="D240" s="29">
        <v>0</v>
      </c>
    </row>
    <row r="241" spans="1:4" x14ac:dyDescent="0.25">
      <c r="A241" s="223" t="s">
        <v>501</v>
      </c>
      <c r="B241" s="223" t="s">
        <v>495</v>
      </c>
      <c r="C241" s="29">
        <v>0</v>
      </c>
      <c r="D241" s="29">
        <v>0</v>
      </c>
    </row>
    <row r="242" spans="1:4" x14ac:dyDescent="0.25">
      <c r="A242" s="223" t="s">
        <v>502</v>
      </c>
      <c r="B242" s="223" t="s">
        <v>495</v>
      </c>
      <c r="C242" s="29">
        <v>407</v>
      </c>
      <c r="D242" s="29">
        <v>15</v>
      </c>
    </row>
    <row r="243" spans="1:4" x14ac:dyDescent="0.25">
      <c r="A243" s="281" t="s">
        <v>503</v>
      </c>
      <c r="B243" s="223" t="s">
        <v>495</v>
      </c>
      <c r="C243" s="29">
        <v>66</v>
      </c>
      <c r="D243" s="29">
        <v>40</v>
      </c>
    </row>
    <row r="244" spans="1:4" x14ac:dyDescent="0.25">
      <c r="A244" s="280" t="s">
        <v>484</v>
      </c>
      <c r="B244" s="223" t="s">
        <v>496</v>
      </c>
      <c r="C244" s="29">
        <v>0</v>
      </c>
      <c r="D244" s="29">
        <v>0</v>
      </c>
    </row>
    <row r="245" spans="1:4" x14ac:dyDescent="0.25">
      <c r="A245" s="223" t="s">
        <v>485</v>
      </c>
      <c r="B245" s="223" t="s">
        <v>496</v>
      </c>
      <c r="C245" s="29">
        <v>0</v>
      </c>
      <c r="D245" s="29">
        <v>0</v>
      </c>
    </row>
    <row r="246" spans="1:4" x14ac:dyDescent="0.25">
      <c r="A246" s="223" t="s">
        <v>486</v>
      </c>
      <c r="B246" s="223" t="s">
        <v>496</v>
      </c>
      <c r="C246" s="29">
        <v>63</v>
      </c>
      <c r="D246" s="29">
        <v>40</v>
      </c>
    </row>
    <row r="247" spans="1:4" x14ac:dyDescent="0.25">
      <c r="A247" s="223" t="s">
        <v>487</v>
      </c>
      <c r="B247" s="223" t="s">
        <v>496</v>
      </c>
      <c r="C247" s="29">
        <v>0</v>
      </c>
      <c r="D247" s="29">
        <v>0</v>
      </c>
    </row>
    <row r="248" spans="1:4" x14ac:dyDescent="0.25">
      <c r="A248" s="223" t="s">
        <v>488</v>
      </c>
      <c r="B248" s="223" t="s">
        <v>496</v>
      </c>
      <c r="C248" s="29">
        <v>0</v>
      </c>
      <c r="D248" s="29">
        <v>0</v>
      </c>
    </row>
    <row r="249" spans="1:4" x14ac:dyDescent="0.25">
      <c r="A249" s="223" t="s">
        <v>489</v>
      </c>
      <c r="B249" s="223" t="s">
        <v>496</v>
      </c>
      <c r="C249" s="29">
        <v>0</v>
      </c>
      <c r="D249" s="29">
        <v>5</v>
      </c>
    </row>
    <row r="250" spans="1:4" x14ac:dyDescent="0.25">
      <c r="A250" s="223" t="s">
        <v>490</v>
      </c>
      <c r="B250" s="223" t="s">
        <v>496</v>
      </c>
      <c r="C250" s="29">
        <v>0</v>
      </c>
      <c r="D250" s="29">
        <v>0</v>
      </c>
    </row>
    <row r="251" spans="1:4" x14ac:dyDescent="0.25">
      <c r="A251" s="223" t="s">
        <v>491</v>
      </c>
      <c r="B251" s="223" t="s">
        <v>496</v>
      </c>
      <c r="C251" s="29">
        <v>0</v>
      </c>
      <c r="D251" s="29">
        <v>0</v>
      </c>
    </row>
    <row r="252" spans="1:4" x14ac:dyDescent="0.25">
      <c r="A252" s="223" t="s">
        <v>492</v>
      </c>
      <c r="B252" s="223" t="s">
        <v>496</v>
      </c>
      <c r="C252" s="29">
        <v>0</v>
      </c>
      <c r="D252" s="29">
        <v>0</v>
      </c>
    </row>
    <row r="253" spans="1:4" x14ac:dyDescent="0.25">
      <c r="A253" s="223" t="s">
        <v>493</v>
      </c>
      <c r="B253" s="223" t="s">
        <v>496</v>
      </c>
      <c r="C253" s="29">
        <v>0</v>
      </c>
      <c r="D253" s="29">
        <v>0</v>
      </c>
    </row>
    <row r="254" spans="1:4" x14ac:dyDescent="0.25">
      <c r="A254" s="223" t="s">
        <v>494</v>
      </c>
      <c r="B254" s="223" t="s">
        <v>496</v>
      </c>
      <c r="C254" s="29">
        <v>0</v>
      </c>
      <c r="D254" s="29">
        <v>0</v>
      </c>
    </row>
    <row r="255" spans="1:4" x14ac:dyDescent="0.25">
      <c r="A255" s="223" t="s">
        <v>495</v>
      </c>
      <c r="B255" s="223" t="s">
        <v>496</v>
      </c>
      <c r="C255" s="29">
        <v>179</v>
      </c>
      <c r="D255" s="29">
        <v>35</v>
      </c>
    </row>
    <row r="256" spans="1:4" x14ac:dyDescent="0.25">
      <c r="A256" s="223" t="s">
        <v>496</v>
      </c>
      <c r="B256" s="223" t="s">
        <v>496</v>
      </c>
      <c r="C256" s="29">
        <v>9383</v>
      </c>
      <c r="D256" s="29">
        <v>70</v>
      </c>
    </row>
    <row r="257" spans="1:4" x14ac:dyDescent="0.25">
      <c r="A257" s="223" t="s">
        <v>497</v>
      </c>
      <c r="B257" s="223" t="s">
        <v>496</v>
      </c>
      <c r="C257" s="29">
        <v>0</v>
      </c>
      <c r="D257" s="29">
        <v>0</v>
      </c>
    </row>
    <row r="258" spans="1:4" x14ac:dyDescent="0.25">
      <c r="A258" s="223" t="s">
        <v>498</v>
      </c>
      <c r="B258" s="223" t="s">
        <v>496</v>
      </c>
      <c r="C258" s="29">
        <v>1546</v>
      </c>
      <c r="D258" s="29">
        <v>45</v>
      </c>
    </row>
    <row r="259" spans="1:4" x14ac:dyDescent="0.25">
      <c r="A259" s="223" t="s">
        <v>499</v>
      </c>
      <c r="B259" s="223" t="s">
        <v>496</v>
      </c>
      <c r="C259" s="29">
        <v>0</v>
      </c>
      <c r="D259" s="29">
        <v>0</v>
      </c>
    </row>
    <row r="260" spans="1:4" x14ac:dyDescent="0.25">
      <c r="A260" s="223" t="s">
        <v>500</v>
      </c>
      <c r="B260" s="223" t="s">
        <v>496</v>
      </c>
      <c r="C260" s="29">
        <v>0</v>
      </c>
      <c r="D260" s="29">
        <v>0</v>
      </c>
    </row>
    <row r="261" spans="1:4" x14ac:dyDescent="0.25">
      <c r="A261" s="223" t="s">
        <v>501</v>
      </c>
      <c r="B261" s="223" t="s">
        <v>496</v>
      </c>
      <c r="C261" s="29">
        <v>0</v>
      </c>
      <c r="D261" s="29">
        <v>0</v>
      </c>
    </row>
    <row r="262" spans="1:4" x14ac:dyDescent="0.25">
      <c r="A262" s="223" t="s">
        <v>502</v>
      </c>
      <c r="B262" s="223" t="s">
        <v>496</v>
      </c>
      <c r="C262" s="29">
        <v>0</v>
      </c>
      <c r="D262" s="29">
        <v>0</v>
      </c>
    </row>
    <row r="263" spans="1:4" x14ac:dyDescent="0.25">
      <c r="A263" s="281" t="s">
        <v>503</v>
      </c>
      <c r="B263" s="223" t="s">
        <v>496</v>
      </c>
      <c r="C263" s="29">
        <v>95</v>
      </c>
      <c r="D263" s="29">
        <v>5</v>
      </c>
    </row>
    <row r="264" spans="1:4" x14ac:dyDescent="0.25">
      <c r="A264" s="280" t="s">
        <v>484</v>
      </c>
      <c r="B264" s="223" t="s">
        <v>497</v>
      </c>
      <c r="C264" s="29">
        <v>2232</v>
      </c>
      <c r="D264" s="29">
        <v>2415</v>
      </c>
    </row>
    <row r="265" spans="1:4" x14ac:dyDescent="0.25">
      <c r="A265" s="223" t="s">
        <v>485</v>
      </c>
      <c r="B265" s="223" t="s">
        <v>497</v>
      </c>
      <c r="C265" s="29">
        <v>4498</v>
      </c>
      <c r="D265" s="29">
        <v>475</v>
      </c>
    </row>
    <row r="266" spans="1:4" x14ac:dyDescent="0.25">
      <c r="A266" s="223" t="s">
        <v>486</v>
      </c>
      <c r="B266" s="223" t="s">
        <v>497</v>
      </c>
      <c r="C266" s="29">
        <v>682</v>
      </c>
      <c r="D266" s="29">
        <v>660</v>
      </c>
    </row>
    <row r="267" spans="1:4" x14ac:dyDescent="0.25">
      <c r="A267" s="223" t="s">
        <v>487</v>
      </c>
      <c r="B267" s="223" t="s">
        <v>497</v>
      </c>
      <c r="C267" s="29">
        <v>909</v>
      </c>
      <c r="D267" s="29">
        <v>80</v>
      </c>
    </row>
    <row r="268" spans="1:4" x14ac:dyDescent="0.25">
      <c r="A268" s="223" t="s">
        <v>488</v>
      </c>
      <c r="B268" s="223" t="s">
        <v>497</v>
      </c>
      <c r="C268" s="29">
        <v>0</v>
      </c>
      <c r="D268" s="29">
        <v>0</v>
      </c>
    </row>
    <row r="269" spans="1:4" x14ac:dyDescent="0.25">
      <c r="A269" s="223" t="s">
        <v>489</v>
      </c>
      <c r="B269" s="223" t="s">
        <v>497</v>
      </c>
      <c r="C269" s="29">
        <v>6620</v>
      </c>
      <c r="D269" s="29">
        <v>4065</v>
      </c>
    </row>
    <row r="270" spans="1:4" x14ac:dyDescent="0.25">
      <c r="A270" s="223" t="s">
        <v>490</v>
      </c>
      <c r="B270" s="223" t="s">
        <v>497</v>
      </c>
      <c r="C270" s="29">
        <v>0</v>
      </c>
      <c r="D270" s="29">
        <v>0</v>
      </c>
    </row>
    <row r="271" spans="1:4" x14ac:dyDescent="0.25">
      <c r="A271" s="223" t="s">
        <v>491</v>
      </c>
      <c r="B271" s="223" t="s">
        <v>497</v>
      </c>
      <c r="C271" s="29">
        <v>97</v>
      </c>
      <c r="D271" s="29">
        <v>15</v>
      </c>
    </row>
    <row r="272" spans="1:4" x14ac:dyDescent="0.25">
      <c r="A272" s="223" t="s">
        <v>492</v>
      </c>
      <c r="B272" s="223" t="s">
        <v>497</v>
      </c>
      <c r="C272" s="29">
        <v>1227</v>
      </c>
      <c r="D272" s="29">
        <v>2775</v>
      </c>
    </row>
    <row r="273" spans="1:4" x14ac:dyDescent="0.25">
      <c r="A273" s="223" t="s">
        <v>493</v>
      </c>
      <c r="B273" s="223" t="s">
        <v>497</v>
      </c>
      <c r="C273" s="29">
        <v>6532</v>
      </c>
      <c r="D273" s="29">
        <v>4665</v>
      </c>
    </row>
    <row r="274" spans="1:4" x14ac:dyDescent="0.25">
      <c r="A274" s="223" t="s">
        <v>494</v>
      </c>
      <c r="B274" s="223" t="s">
        <v>497</v>
      </c>
      <c r="C274" s="29">
        <v>0</v>
      </c>
      <c r="D274" s="29">
        <v>0</v>
      </c>
    </row>
    <row r="275" spans="1:4" x14ac:dyDescent="0.25">
      <c r="A275" s="223" t="s">
        <v>495</v>
      </c>
      <c r="B275" s="223" t="s">
        <v>497</v>
      </c>
      <c r="C275" s="29">
        <v>0</v>
      </c>
      <c r="D275" s="29">
        <v>0</v>
      </c>
    </row>
    <row r="276" spans="1:4" x14ac:dyDescent="0.25">
      <c r="A276" s="223" t="s">
        <v>496</v>
      </c>
      <c r="B276" s="223" t="s">
        <v>497</v>
      </c>
      <c r="C276" s="29">
        <v>0</v>
      </c>
      <c r="D276" s="29">
        <v>0</v>
      </c>
    </row>
    <row r="277" spans="1:4" x14ac:dyDescent="0.25">
      <c r="A277" s="223" t="s">
        <v>497</v>
      </c>
      <c r="B277" s="223" t="s">
        <v>497</v>
      </c>
      <c r="C277" s="29">
        <v>77111</v>
      </c>
      <c r="D277" s="29">
        <v>66185</v>
      </c>
    </row>
    <row r="278" spans="1:4" x14ac:dyDescent="0.25">
      <c r="A278" s="223" t="s">
        <v>498</v>
      </c>
      <c r="B278" s="223" t="s">
        <v>497</v>
      </c>
      <c r="C278" s="29">
        <v>23</v>
      </c>
      <c r="D278" s="29">
        <v>15</v>
      </c>
    </row>
    <row r="279" spans="1:4" x14ac:dyDescent="0.25">
      <c r="A279" s="223" t="s">
        <v>499</v>
      </c>
      <c r="B279" s="223" t="s">
        <v>497</v>
      </c>
      <c r="C279" s="29">
        <v>0</v>
      </c>
      <c r="D279" s="29">
        <v>0</v>
      </c>
    </row>
    <row r="280" spans="1:4" x14ac:dyDescent="0.25">
      <c r="A280" s="223" t="s">
        <v>500</v>
      </c>
      <c r="B280" s="223" t="s">
        <v>497</v>
      </c>
      <c r="C280" s="29">
        <v>51</v>
      </c>
      <c r="D280" s="29">
        <v>990</v>
      </c>
    </row>
    <row r="281" spans="1:4" x14ac:dyDescent="0.25">
      <c r="A281" s="223" t="s">
        <v>501</v>
      </c>
      <c r="B281" s="223" t="s">
        <v>497</v>
      </c>
      <c r="C281" s="29">
        <v>2477</v>
      </c>
      <c r="D281" s="29">
        <v>4930</v>
      </c>
    </row>
    <row r="282" spans="1:4" x14ac:dyDescent="0.25">
      <c r="A282" s="223" t="s">
        <v>502</v>
      </c>
      <c r="B282" s="223" t="s">
        <v>497</v>
      </c>
      <c r="C282" s="29">
        <v>219</v>
      </c>
      <c r="D282" s="29">
        <v>10</v>
      </c>
    </row>
    <row r="283" spans="1:4" x14ac:dyDescent="0.25">
      <c r="A283" s="281" t="s">
        <v>503</v>
      </c>
      <c r="B283" s="223" t="s">
        <v>497</v>
      </c>
      <c r="C283" s="29">
        <v>1277</v>
      </c>
      <c r="D283" s="29">
        <v>4660</v>
      </c>
    </row>
    <row r="284" spans="1:4" x14ac:dyDescent="0.25">
      <c r="A284" s="280" t="s">
        <v>484</v>
      </c>
      <c r="B284" s="223" t="s">
        <v>498</v>
      </c>
      <c r="C284" s="29">
        <v>68</v>
      </c>
      <c r="D284" s="29">
        <v>25</v>
      </c>
    </row>
    <row r="285" spans="1:4" x14ac:dyDescent="0.25">
      <c r="A285" s="223" t="s">
        <v>485</v>
      </c>
      <c r="B285" s="223" t="s">
        <v>498</v>
      </c>
      <c r="C285" s="29">
        <v>0</v>
      </c>
      <c r="D285" s="29">
        <v>0</v>
      </c>
    </row>
    <row r="286" spans="1:4" x14ac:dyDescent="0.25">
      <c r="A286" s="223" t="s">
        <v>486</v>
      </c>
      <c r="B286" s="223" t="s">
        <v>498</v>
      </c>
      <c r="C286" s="29">
        <v>572</v>
      </c>
      <c r="D286" s="29">
        <v>1060</v>
      </c>
    </row>
    <row r="287" spans="1:4" x14ac:dyDescent="0.25">
      <c r="A287" s="223" t="s">
        <v>487</v>
      </c>
      <c r="B287" s="223" t="s">
        <v>498</v>
      </c>
      <c r="C287" s="29">
        <v>0</v>
      </c>
      <c r="D287" s="29">
        <v>0</v>
      </c>
    </row>
    <row r="288" spans="1:4" x14ac:dyDescent="0.25">
      <c r="A288" s="223" t="s">
        <v>488</v>
      </c>
      <c r="B288" s="223" t="s">
        <v>498</v>
      </c>
      <c r="C288" s="29">
        <v>0</v>
      </c>
      <c r="D288" s="29">
        <v>0</v>
      </c>
    </row>
    <row r="289" spans="1:4" x14ac:dyDescent="0.25">
      <c r="A289" s="223" t="s">
        <v>489</v>
      </c>
      <c r="B289" s="223" t="s">
        <v>498</v>
      </c>
      <c r="C289" s="29">
        <v>179</v>
      </c>
      <c r="D289" s="29">
        <v>10</v>
      </c>
    </row>
    <row r="290" spans="1:4" x14ac:dyDescent="0.25">
      <c r="A290" s="223" t="s">
        <v>490</v>
      </c>
      <c r="B290" s="223" t="s">
        <v>498</v>
      </c>
      <c r="C290" s="29">
        <v>0</v>
      </c>
      <c r="D290" s="29">
        <v>0</v>
      </c>
    </row>
    <row r="291" spans="1:4" x14ac:dyDescent="0.25">
      <c r="A291" s="223" t="s">
        <v>491</v>
      </c>
      <c r="B291" s="223" t="s">
        <v>498</v>
      </c>
      <c r="C291" s="29">
        <v>0</v>
      </c>
      <c r="D291" s="29">
        <v>0</v>
      </c>
    </row>
    <row r="292" spans="1:4" x14ac:dyDescent="0.25">
      <c r="A292" s="223" t="s">
        <v>492</v>
      </c>
      <c r="B292" s="223" t="s">
        <v>498</v>
      </c>
      <c r="C292" s="29">
        <v>0</v>
      </c>
      <c r="D292" s="29">
        <v>0</v>
      </c>
    </row>
    <row r="293" spans="1:4" x14ac:dyDescent="0.25">
      <c r="A293" s="223" t="s">
        <v>493</v>
      </c>
      <c r="B293" s="223" t="s">
        <v>498</v>
      </c>
      <c r="C293" s="29">
        <v>0</v>
      </c>
      <c r="D293" s="29">
        <v>0</v>
      </c>
    </row>
    <row r="294" spans="1:4" x14ac:dyDescent="0.25">
      <c r="A294" s="223" t="s">
        <v>494</v>
      </c>
      <c r="B294" s="223" t="s">
        <v>498</v>
      </c>
      <c r="C294" s="29">
        <v>0</v>
      </c>
      <c r="D294" s="29">
        <v>0</v>
      </c>
    </row>
    <row r="295" spans="1:4" x14ac:dyDescent="0.25">
      <c r="A295" s="223" t="s">
        <v>495</v>
      </c>
      <c r="B295" s="223" t="s">
        <v>498</v>
      </c>
      <c r="C295" s="29">
        <v>80</v>
      </c>
      <c r="D295" s="29">
        <v>230</v>
      </c>
    </row>
    <row r="296" spans="1:4" x14ac:dyDescent="0.25">
      <c r="A296" s="223" t="s">
        <v>496</v>
      </c>
      <c r="B296" s="223" t="s">
        <v>498</v>
      </c>
      <c r="C296" s="29">
        <v>1502</v>
      </c>
      <c r="D296" s="29">
        <v>690</v>
      </c>
    </row>
    <row r="297" spans="1:4" x14ac:dyDescent="0.25">
      <c r="A297" s="223" t="s">
        <v>497</v>
      </c>
      <c r="B297" s="223" t="s">
        <v>498</v>
      </c>
      <c r="C297" s="29">
        <v>62</v>
      </c>
      <c r="D297" s="29">
        <v>5</v>
      </c>
    </row>
    <row r="298" spans="1:4" x14ac:dyDescent="0.25">
      <c r="A298" s="223" t="s">
        <v>498</v>
      </c>
      <c r="B298" s="223" t="s">
        <v>498</v>
      </c>
      <c r="C298" s="29">
        <v>12898</v>
      </c>
      <c r="D298" s="29">
        <v>3425</v>
      </c>
    </row>
    <row r="299" spans="1:4" x14ac:dyDescent="0.25">
      <c r="A299" s="223" t="s">
        <v>499</v>
      </c>
      <c r="B299" s="223" t="s">
        <v>498</v>
      </c>
      <c r="C299" s="29">
        <v>0</v>
      </c>
      <c r="D299" s="29">
        <v>0</v>
      </c>
    </row>
    <row r="300" spans="1:4" x14ac:dyDescent="0.25">
      <c r="A300" s="223" t="s">
        <v>500</v>
      </c>
      <c r="B300" s="223" t="s">
        <v>498</v>
      </c>
      <c r="C300" s="29">
        <v>0</v>
      </c>
      <c r="D300" s="29">
        <v>0</v>
      </c>
    </row>
    <row r="301" spans="1:4" x14ac:dyDescent="0.25">
      <c r="A301" s="223" t="s">
        <v>501</v>
      </c>
      <c r="B301" s="223" t="s">
        <v>498</v>
      </c>
      <c r="C301" s="29">
        <v>0</v>
      </c>
      <c r="D301" s="29">
        <v>0</v>
      </c>
    </row>
    <row r="302" spans="1:4" x14ac:dyDescent="0.25">
      <c r="A302" s="223" t="s">
        <v>502</v>
      </c>
      <c r="B302" s="223" t="s">
        <v>498</v>
      </c>
      <c r="C302" s="29">
        <v>0</v>
      </c>
      <c r="D302" s="29">
        <v>0</v>
      </c>
    </row>
    <row r="303" spans="1:4" x14ac:dyDescent="0.25">
      <c r="A303" s="281" t="s">
        <v>503</v>
      </c>
      <c r="B303" s="223" t="s">
        <v>498</v>
      </c>
      <c r="C303" s="29">
        <v>1475</v>
      </c>
      <c r="D303" s="29">
        <v>620</v>
      </c>
    </row>
    <row r="304" spans="1:4" x14ac:dyDescent="0.25">
      <c r="A304" s="280" t="s">
        <v>484</v>
      </c>
      <c r="B304" s="223" t="s">
        <v>499</v>
      </c>
      <c r="C304" s="29">
        <v>0</v>
      </c>
      <c r="D304" s="29">
        <v>0</v>
      </c>
    </row>
    <row r="305" spans="1:4" x14ac:dyDescent="0.25">
      <c r="A305" s="223" t="s">
        <v>485</v>
      </c>
      <c r="B305" s="223" t="s">
        <v>499</v>
      </c>
      <c r="C305" s="29">
        <v>421</v>
      </c>
      <c r="D305" s="29">
        <v>105</v>
      </c>
    </row>
    <row r="306" spans="1:4" x14ac:dyDescent="0.25">
      <c r="A306" s="223" t="s">
        <v>486</v>
      </c>
      <c r="B306" s="223" t="s">
        <v>499</v>
      </c>
      <c r="C306" s="29">
        <v>0</v>
      </c>
      <c r="D306" s="29">
        <v>0</v>
      </c>
    </row>
    <row r="307" spans="1:4" x14ac:dyDescent="0.25">
      <c r="A307" s="223" t="s">
        <v>487</v>
      </c>
      <c r="B307" s="223" t="s">
        <v>499</v>
      </c>
      <c r="C307" s="29">
        <v>0</v>
      </c>
      <c r="D307" s="29">
        <v>0</v>
      </c>
    </row>
    <row r="308" spans="1:4" x14ac:dyDescent="0.25">
      <c r="A308" s="223" t="s">
        <v>488</v>
      </c>
      <c r="B308" s="223" t="s">
        <v>499</v>
      </c>
      <c r="C308" s="29">
        <v>0</v>
      </c>
      <c r="D308" s="29">
        <v>0</v>
      </c>
    </row>
    <row r="309" spans="1:4" x14ac:dyDescent="0.25">
      <c r="A309" s="223" t="s">
        <v>489</v>
      </c>
      <c r="B309" s="223" t="s">
        <v>499</v>
      </c>
      <c r="C309" s="29">
        <v>0</v>
      </c>
      <c r="D309" s="29">
        <v>0</v>
      </c>
    </row>
    <row r="310" spans="1:4" x14ac:dyDescent="0.25">
      <c r="A310" s="223" t="s">
        <v>490</v>
      </c>
      <c r="B310" s="223" t="s">
        <v>499</v>
      </c>
      <c r="C310" s="29">
        <v>0</v>
      </c>
      <c r="D310" s="29">
        <v>0</v>
      </c>
    </row>
    <row r="311" spans="1:4" x14ac:dyDescent="0.25">
      <c r="A311" s="223" t="s">
        <v>491</v>
      </c>
      <c r="B311" s="223" t="s">
        <v>499</v>
      </c>
      <c r="C311" s="29">
        <v>0</v>
      </c>
      <c r="D311" s="29">
        <v>0</v>
      </c>
    </row>
    <row r="312" spans="1:4" x14ac:dyDescent="0.25">
      <c r="A312" s="223" t="s">
        <v>492</v>
      </c>
      <c r="B312" s="223" t="s">
        <v>499</v>
      </c>
      <c r="C312" s="29">
        <v>0</v>
      </c>
      <c r="D312" s="29">
        <v>0</v>
      </c>
    </row>
    <row r="313" spans="1:4" x14ac:dyDescent="0.25">
      <c r="A313" s="223" t="s">
        <v>493</v>
      </c>
      <c r="B313" s="223" t="s">
        <v>499</v>
      </c>
      <c r="C313" s="29">
        <v>0</v>
      </c>
      <c r="D313" s="29">
        <v>0</v>
      </c>
    </row>
    <row r="314" spans="1:4" x14ac:dyDescent="0.25">
      <c r="A314" s="223" t="s">
        <v>494</v>
      </c>
      <c r="B314" s="223" t="s">
        <v>499</v>
      </c>
      <c r="C314" s="29">
        <v>4372</v>
      </c>
      <c r="D314" s="29">
        <v>7945</v>
      </c>
    </row>
    <row r="315" spans="1:4" x14ac:dyDescent="0.25">
      <c r="A315" s="223" t="s">
        <v>495</v>
      </c>
      <c r="B315" s="223" t="s">
        <v>499</v>
      </c>
      <c r="C315" s="29">
        <v>0</v>
      </c>
      <c r="D315" s="29">
        <v>0</v>
      </c>
    </row>
    <row r="316" spans="1:4" x14ac:dyDescent="0.25">
      <c r="A316" s="223" t="s">
        <v>496</v>
      </c>
      <c r="B316" s="223" t="s">
        <v>499</v>
      </c>
      <c r="C316" s="29">
        <v>0</v>
      </c>
      <c r="D316" s="29">
        <v>0</v>
      </c>
    </row>
    <row r="317" spans="1:4" x14ac:dyDescent="0.25">
      <c r="A317" s="223" t="s">
        <v>497</v>
      </c>
      <c r="B317" s="223" t="s">
        <v>499</v>
      </c>
      <c r="C317" s="29">
        <v>0</v>
      </c>
      <c r="D317" s="29">
        <v>0</v>
      </c>
    </row>
    <row r="318" spans="1:4" x14ac:dyDescent="0.25">
      <c r="A318" s="223" t="s">
        <v>498</v>
      </c>
      <c r="B318" s="223" t="s">
        <v>499</v>
      </c>
      <c r="C318" s="29">
        <v>0</v>
      </c>
      <c r="D318" s="29">
        <v>0</v>
      </c>
    </row>
    <row r="319" spans="1:4" x14ac:dyDescent="0.25">
      <c r="A319" s="223" t="s">
        <v>499</v>
      </c>
      <c r="B319" s="223" t="s">
        <v>499</v>
      </c>
      <c r="C319" s="29">
        <v>40786</v>
      </c>
      <c r="D319" s="29">
        <v>47405</v>
      </c>
    </row>
    <row r="320" spans="1:4" x14ac:dyDescent="0.25">
      <c r="A320" s="223" t="s">
        <v>500</v>
      </c>
      <c r="B320" s="223" t="s">
        <v>499</v>
      </c>
      <c r="C320" s="29">
        <v>0</v>
      </c>
      <c r="D320" s="29">
        <v>0</v>
      </c>
    </row>
    <row r="321" spans="1:4" x14ac:dyDescent="0.25">
      <c r="A321" s="223" t="s">
        <v>501</v>
      </c>
      <c r="B321" s="223" t="s">
        <v>499</v>
      </c>
      <c r="C321" s="29">
        <v>0</v>
      </c>
      <c r="D321" s="29">
        <v>0</v>
      </c>
    </row>
    <row r="322" spans="1:4" x14ac:dyDescent="0.25">
      <c r="A322" s="223" t="s">
        <v>502</v>
      </c>
      <c r="B322" s="223" t="s">
        <v>499</v>
      </c>
      <c r="C322" s="29">
        <v>211</v>
      </c>
      <c r="D322" s="29">
        <v>30</v>
      </c>
    </row>
    <row r="323" spans="1:4" x14ac:dyDescent="0.25">
      <c r="A323" s="281" t="s">
        <v>503</v>
      </c>
      <c r="B323" s="223" t="s">
        <v>499</v>
      </c>
      <c r="C323" s="29">
        <v>0</v>
      </c>
      <c r="D323" s="29">
        <v>0</v>
      </c>
    </row>
    <row r="324" spans="1:4" x14ac:dyDescent="0.25">
      <c r="A324" s="280" t="s">
        <v>484</v>
      </c>
      <c r="B324" s="223" t="s">
        <v>500</v>
      </c>
      <c r="C324" s="29">
        <v>0</v>
      </c>
      <c r="D324" s="29">
        <v>5</v>
      </c>
    </row>
    <row r="325" spans="1:4" x14ac:dyDescent="0.25">
      <c r="A325" s="223" t="s">
        <v>485</v>
      </c>
      <c r="B325" s="223" t="s">
        <v>500</v>
      </c>
      <c r="C325" s="29">
        <v>0</v>
      </c>
      <c r="D325" s="29">
        <v>0</v>
      </c>
    </row>
    <row r="326" spans="1:4" x14ac:dyDescent="0.25">
      <c r="A326" s="223" t="s">
        <v>486</v>
      </c>
      <c r="B326" s="223" t="s">
        <v>500</v>
      </c>
      <c r="C326" s="29">
        <v>0</v>
      </c>
      <c r="D326" s="29">
        <v>0</v>
      </c>
    </row>
    <row r="327" spans="1:4" x14ac:dyDescent="0.25">
      <c r="A327" s="223" t="s">
        <v>487</v>
      </c>
      <c r="B327" s="223" t="s">
        <v>500</v>
      </c>
      <c r="C327" s="29">
        <v>0</v>
      </c>
      <c r="D327" s="29">
        <v>0</v>
      </c>
    </row>
    <row r="328" spans="1:4" x14ac:dyDescent="0.25">
      <c r="A328" s="223" t="s">
        <v>488</v>
      </c>
      <c r="B328" s="223" t="s">
        <v>500</v>
      </c>
      <c r="C328" s="29">
        <v>0</v>
      </c>
      <c r="D328" s="29">
        <v>0</v>
      </c>
    </row>
    <row r="329" spans="1:4" x14ac:dyDescent="0.25">
      <c r="A329" s="223" t="s">
        <v>489</v>
      </c>
      <c r="B329" s="223" t="s">
        <v>500</v>
      </c>
      <c r="C329" s="29">
        <v>0</v>
      </c>
      <c r="D329" s="29">
        <v>0</v>
      </c>
    </row>
    <row r="330" spans="1:4" x14ac:dyDescent="0.25">
      <c r="A330" s="223" t="s">
        <v>490</v>
      </c>
      <c r="B330" s="223" t="s">
        <v>500</v>
      </c>
      <c r="C330" s="29">
        <v>0</v>
      </c>
      <c r="D330" s="29">
        <v>0</v>
      </c>
    </row>
    <row r="331" spans="1:4" x14ac:dyDescent="0.25">
      <c r="A331" s="223" t="s">
        <v>491</v>
      </c>
      <c r="B331" s="223" t="s">
        <v>500</v>
      </c>
      <c r="C331" s="29">
        <v>0</v>
      </c>
      <c r="D331" s="29">
        <v>0</v>
      </c>
    </row>
    <row r="332" spans="1:4" x14ac:dyDescent="0.25">
      <c r="A332" s="223" t="s">
        <v>492</v>
      </c>
      <c r="B332" s="223" t="s">
        <v>500</v>
      </c>
      <c r="C332" s="29">
        <v>7931</v>
      </c>
      <c r="D332" s="29">
        <v>11395</v>
      </c>
    </row>
    <row r="333" spans="1:4" x14ac:dyDescent="0.25">
      <c r="A333" s="223" t="s">
        <v>493</v>
      </c>
      <c r="B333" s="223" t="s">
        <v>500</v>
      </c>
      <c r="C333" s="29">
        <v>686</v>
      </c>
      <c r="D333" s="29">
        <v>1140</v>
      </c>
    </row>
    <row r="334" spans="1:4" x14ac:dyDescent="0.25">
      <c r="A334" s="223" t="s">
        <v>494</v>
      </c>
      <c r="B334" s="223" t="s">
        <v>500</v>
      </c>
      <c r="C334" s="29">
        <v>0</v>
      </c>
      <c r="D334" s="29">
        <v>0</v>
      </c>
    </row>
    <row r="335" spans="1:4" x14ac:dyDescent="0.25">
      <c r="A335" s="223" t="s">
        <v>495</v>
      </c>
      <c r="B335" s="223" t="s">
        <v>500</v>
      </c>
      <c r="C335" s="29">
        <v>0</v>
      </c>
      <c r="D335" s="29">
        <v>0</v>
      </c>
    </row>
    <row r="336" spans="1:4" x14ac:dyDescent="0.25">
      <c r="A336" s="223" t="s">
        <v>496</v>
      </c>
      <c r="B336" s="223" t="s">
        <v>500</v>
      </c>
      <c r="C336" s="29">
        <v>0</v>
      </c>
      <c r="D336" s="29">
        <v>0</v>
      </c>
    </row>
    <row r="337" spans="1:4" x14ac:dyDescent="0.25">
      <c r="A337" s="223" t="s">
        <v>497</v>
      </c>
      <c r="B337" s="223" t="s">
        <v>500</v>
      </c>
      <c r="C337" s="29">
        <v>99</v>
      </c>
      <c r="D337" s="29">
        <v>420</v>
      </c>
    </row>
    <row r="338" spans="1:4" x14ac:dyDescent="0.25">
      <c r="A338" s="223" t="s">
        <v>498</v>
      </c>
      <c r="B338" s="223" t="s">
        <v>500</v>
      </c>
      <c r="C338" s="29">
        <v>0</v>
      </c>
      <c r="D338" s="29">
        <v>0</v>
      </c>
    </row>
    <row r="339" spans="1:4" x14ac:dyDescent="0.25">
      <c r="A339" s="223" t="s">
        <v>499</v>
      </c>
      <c r="B339" s="223" t="s">
        <v>500</v>
      </c>
      <c r="C339" s="29">
        <v>0</v>
      </c>
      <c r="D339" s="29">
        <v>0</v>
      </c>
    </row>
    <row r="340" spans="1:4" x14ac:dyDescent="0.25">
      <c r="A340" s="223" t="s">
        <v>500</v>
      </c>
      <c r="B340" s="223" t="s">
        <v>500</v>
      </c>
      <c r="C340" s="29">
        <v>56684</v>
      </c>
      <c r="D340" s="29">
        <v>68755</v>
      </c>
    </row>
    <row r="341" spans="1:4" x14ac:dyDescent="0.25">
      <c r="A341" s="223" t="s">
        <v>501</v>
      </c>
      <c r="B341" s="223" t="s">
        <v>500</v>
      </c>
      <c r="C341" s="29">
        <v>2546</v>
      </c>
      <c r="D341" s="29">
        <v>5835</v>
      </c>
    </row>
    <row r="342" spans="1:4" x14ac:dyDescent="0.25">
      <c r="A342" s="223" t="s">
        <v>502</v>
      </c>
      <c r="B342" s="223" t="s">
        <v>500</v>
      </c>
      <c r="C342" s="29">
        <v>0</v>
      </c>
      <c r="D342" s="29">
        <v>0</v>
      </c>
    </row>
    <row r="343" spans="1:4" x14ac:dyDescent="0.25">
      <c r="A343" s="281" t="s">
        <v>503</v>
      </c>
      <c r="B343" s="223" t="s">
        <v>500</v>
      </c>
      <c r="C343" s="29">
        <v>0</v>
      </c>
      <c r="D343" s="29">
        <v>0</v>
      </c>
    </row>
    <row r="344" spans="1:4" x14ac:dyDescent="0.25">
      <c r="A344" s="280" t="s">
        <v>484</v>
      </c>
      <c r="B344" s="223" t="s">
        <v>501</v>
      </c>
      <c r="C344" s="29">
        <v>165</v>
      </c>
      <c r="D344" s="29">
        <v>70</v>
      </c>
    </row>
    <row r="345" spans="1:4" x14ac:dyDescent="0.25">
      <c r="A345" s="223" t="s">
        <v>485</v>
      </c>
      <c r="B345" s="223" t="s">
        <v>501</v>
      </c>
      <c r="C345" s="29">
        <v>0</v>
      </c>
      <c r="D345" s="29">
        <v>0</v>
      </c>
    </row>
    <row r="346" spans="1:4" x14ac:dyDescent="0.25">
      <c r="A346" s="223" t="s">
        <v>486</v>
      </c>
      <c r="B346" s="223" t="s">
        <v>501</v>
      </c>
      <c r="C346" s="29">
        <v>0</v>
      </c>
      <c r="D346" s="29">
        <v>0</v>
      </c>
    </row>
    <row r="347" spans="1:4" x14ac:dyDescent="0.25">
      <c r="A347" s="223" t="s">
        <v>487</v>
      </c>
      <c r="B347" s="223" t="s">
        <v>501</v>
      </c>
      <c r="C347" s="29">
        <v>0</v>
      </c>
      <c r="D347" s="29">
        <v>0</v>
      </c>
    </row>
    <row r="348" spans="1:4" x14ac:dyDescent="0.25">
      <c r="A348" s="223" t="s">
        <v>488</v>
      </c>
      <c r="B348" s="223" t="s">
        <v>501</v>
      </c>
      <c r="C348" s="29">
        <v>0</v>
      </c>
      <c r="D348" s="29">
        <v>0</v>
      </c>
    </row>
    <row r="349" spans="1:4" x14ac:dyDescent="0.25">
      <c r="A349" s="223" t="s">
        <v>489</v>
      </c>
      <c r="B349" s="223" t="s">
        <v>501</v>
      </c>
      <c r="C349" s="29">
        <v>36</v>
      </c>
      <c r="D349" s="29">
        <v>5</v>
      </c>
    </row>
    <row r="350" spans="1:4" x14ac:dyDescent="0.25">
      <c r="A350" s="223" t="s">
        <v>490</v>
      </c>
      <c r="B350" s="223" t="s">
        <v>501</v>
      </c>
      <c r="C350" s="29">
        <v>0</v>
      </c>
      <c r="D350" s="29">
        <v>0</v>
      </c>
    </row>
    <row r="351" spans="1:4" x14ac:dyDescent="0.25">
      <c r="A351" s="223" t="s">
        <v>491</v>
      </c>
      <c r="B351" s="223" t="s">
        <v>501</v>
      </c>
      <c r="C351" s="29">
        <v>0</v>
      </c>
      <c r="D351" s="29">
        <v>0</v>
      </c>
    </row>
    <row r="352" spans="1:4" x14ac:dyDescent="0.25">
      <c r="A352" s="223" t="s">
        <v>492</v>
      </c>
      <c r="B352" s="223" t="s">
        <v>501</v>
      </c>
      <c r="C352" s="29">
        <v>1187</v>
      </c>
      <c r="D352" s="29">
        <v>1620</v>
      </c>
    </row>
    <row r="353" spans="1:4" x14ac:dyDescent="0.25">
      <c r="A353" s="223" t="s">
        <v>493</v>
      </c>
      <c r="B353" s="223" t="s">
        <v>501</v>
      </c>
      <c r="C353" s="29">
        <v>275</v>
      </c>
      <c r="D353" s="29">
        <v>125</v>
      </c>
    </row>
    <row r="354" spans="1:4" x14ac:dyDescent="0.25">
      <c r="A354" s="223" t="s">
        <v>494</v>
      </c>
      <c r="B354" s="223" t="s">
        <v>501</v>
      </c>
      <c r="C354" s="29">
        <v>0</v>
      </c>
      <c r="D354" s="29">
        <v>0</v>
      </c>
    </row>
    <row r="355" spans="1:4" x14ac:dyDescent="0.25">
      <c r="A355" s="223" t="s">
        <v>495</v>
      </c>
      <c r="B355" s="223" t="s">
        <v>501</v>
      </c>
      <c r="C355" s="29">
        <v>0</v>
      </c>
      <c r="D355" s="29">
        <v>0</v>
      </c>
    </row>
    <row r="356" spans="1:4" x14ac:dyDescent="0.25">
      <c r="A356" s="223" t="s">
        <v>496</v>
      </c>
      <c r="B356" s="223" t="s">
        <v>501</v>
      </c>
      <c r="C356" s="29">
        <v>0</v>
      </c>
      <c r="D356" s="29">
        <v>0</v>
      </c>
    </row>
    <row r="357" spans="1:4" x14ac:dyDescent="0.25">
      <c r="A357" s="223" t="s">
        <v>497</v>
      </c>
      <c r="B357" s="223" t="s">
        <v>501</v>
      </c>
      <c r="C357" s="29">
        <v>952</v>
      </c>
      <c r="D357" s="29">
        <v>895</v>
      </c>
    </row>
    <row r="358" spans="1:4" x14ac:dyDescent="0.25">
      <c r="A358" s="223" t="s">
        <v>498</v>
      </c>
      <c r="B358" s="223" t="s">
        <v>501</v>
      </c>
      <c r="C358" s="29">
        <v>0</v>
      </c>
      <c r="D358" s="29">
        <v>0</v>
      </c>
    </row>
    <row r="359" spans="1:4" x14ac:dyDescent="0.25">
      <c r="A359" s="223" t="s">
        <v>499</v>
      </c>
      <c r="B359" s="223" t="s">
        <v>501</v>
      </c>
      <c r="C359" s="29">
        <v>0</v>
      </c>
      <c r="D359" s="29">
        <v>0</v>
      </c>
    </row>
    <row r="360" spans="1:4" x14ac:dyDescent="0.25">
      <c r="A360" s="223" t="s">
        <v>500</v>
      </c>
      <c r="B360" s="223" t="s">
        <v>501</v>
      </c>
      <c r="C360" s="29">
        <v>2102</v>
      </c>
      <c r="D360" s="29">
        <v>2230</v>
      </c>
    </row>
    <row r="361" spans="1:4" x14ac:dyDescent="0.25">
      <c r="A361" s="223" t="s">
        <v>501</v>
      </c>
      <c r="B361" s="223" t="s">
        <v>501</v>
      </c>
      <c r="C361" s="29">
        <v>31380</v>
      </c>
      <c r="D361" s="29">
        <v>34440</v>
      </c>
    </row>
    <row r="362" spans="1:4" x14ac:dyDescent="0.25">
      <c r="A362" s="223" t="s">
        <v>502</v>
      </c>
      <c r="B362" s="223" t="s">
        <v>501</v>
      </c>
      <c r="C362" s="29">
        <v>0</v>
      </c>
      <c r="D362" s="29">
        <v>0</v>
      </c>
    </row>
    <row r="363" spans="1:4" x14ac:dyDescent="0.25">
      <c r="A363" s="281" t="s">
        <v>503</v>
      </c>
      <c r="B363" s="223" t="s">
        <v>501</v>
      </c>
      <c r="C363" s="29">
        <v>218</v>
      </c>
      <c r="D363" s="29">
        <v>240</v>
      </c>
    </row>
    <row r="364" spans="1:4" x14ac:dyDescent="0.25">
      <c r="A364" s="280" t="s">
        <v>484</v>
      </c>
      <c r="B364" s="223" t="s">
        <v>502</v>
      </c>
      <c r="C364" s="29">
        <v>0</v>
      </c>
      <c r="D364" s="29">
        <v>0</v>
      </c>
    </row>
    <row r="365" spans="1:4" x14ac:dyDescent="0.25">
      <c r="A365" s="223" t="s">
        <v>485</v>
      </c>
      <c r="B365" s="223" t="s">
        <v>502</v>
      </c>
      <c r="C365" s="29">
        <v>39829</v>
      </c>
      <c r="D365" s="29">
        <v>20400</v>
      </c>
    </row>
    <row r="366" spans="1:4" x14ac:dyDescent="0.25">
      <c r="A366" s="223" t="s">
        <v>486</v>
      </c>
      <c r="B366" s="223" t="s">
        <v>502</v>
      </c>
      <c r="C366" s="29">
        <v>421</v>
      </c>
      <c r="D366" s="29">
        <v>310</v>
      </c>
    </row>
    <row r="367" spans="1:4" x14ac:dyDescent="0.25">
      <c r="A367" s="223" t="s">
        <v>487</v>
      </c>
      <c r="B367" s="223" t="s">
        <v>502</v>
      </c>
      <c r="C367" s="29">
        <v>14829</v>
      </c>
      <c r="D367" s="29">
        <v>6115</v>
      </c>
    </row>
    <row r="368" spans="1:4" x14ac:dyDescent="0.25">
      <c r="A368" s="223" t="s">
        <v>488</v>
      </c>
      <c r="B368" s="223" t="s">
        <v>502</v>
      </c>
      <c r="C368" s="29">
        <v>7344</v>
      </c>
      <c r="D368" s="29">
        <v>6595</v>
      </c>
    </row>
    <row r="369" spans="1:4" x14ac:dyDescent="0.25">
      <c r="A369" s="223" t="s">
        <v>489</v>
      </c>
      <c r="B369" s="223" t="s">
        <v>502</v>
      </c>
      <c r="C369" s="29">
        <v>3889</v>
      </c>
      <c r="D369" s="29">
        <v>2045</v>
      </c>
    </row>
    <row r="370" spans="1:4" x14ac:dyDescent="0.25">
      <c r="A370" s="223" t="s">
        <v>490</v>
      </c>
      <c r="B370" s="223" t="s">
        <v>502</v>
      </c>
      <c r="C370" s="29">
        <v>4611</v>
      </c>
      <c r="D370" s="29">
        <v>5390</v>
      </c>
    </row>
    <row r="371" spans="1:4" x14ac:dyDescent="0.25">
      <c r="A371" s="223" t="s">
        <v>491</v>
      </c>
      <c r="B371" s="223" t="s">
        <v>502</v>
      </c>
      <c r="C371" s="29">
        <v>6239</v>
      </c>
      <c r="D371" s="29">
        <v>6550</v>
      </c>
    </row>
    <row r="372" spans="1:4" x14ac:dyDescent="0.25">
      <c r="A372" s="223" t="s">
        <v>492</v>
      </c>
      <c r="B372" s="223" t="s">
        <v>502</v>
      </c>
      <c r="C372" s="29">
        <v>0</v>
      </c>
      <c r="D372" s="29">
        <v>0</v>
      </c>
    </row>
    <row r="373" spans="1:4" x14ac:dyDescent="0.25">
      <c r="A373" s="223" t="s">
        <v>493</v>
      </c>
      <c r="B373" s="223" t="s">
        <v>502</v>
      </c>
      <c r="C373" s="29">
        <v>0</v>
      </c>
      <c r="D373" s="29">
        <v>0</v>
      </c>
    </row>
    <row r="374" spans="1:4" x14ac:dyDescent="0.25">
      <c r="A374" s="223" t="s">
        <v>494</v>
      </c>
      <c r="B374" s="223" t="s">
        <v>502</v>
      </c>
      <c r="C374" s="29">
        <v>0</v>
      </c>
      <c r="D374" s="29">
        <v>0</v>
      </c>
    </row>
    <row r="375" spans="1:4" x14ac:dyDescent="0.25">
      <c r="A375" s="223" t="s">
        <v>495</v>
      </c>
      <c r="B375" s="223" t="s">
        <v>502</v>
      </c>
      <c r="C375" s="29">
        <v>1445</v>
      </c>
      <c r="D375" s="29">
        <v>695</v>
      </c>
    </row>
    <row r="376" spans="1:4" x14ac:dyDescent="0.25">
      <c r="A376" s="223" t="s">
        <v>496</v>
      </c>
      <c r="B376" s="223" t="s">
        <v>502</v>
      </c>
      <c r="C376" s="29">
        <v>0</v>
      </c>
      <c r="D376" s="29">
        <v>0</v>
      </c>
    </row>
    <row r="377" spans="1:4" x14ac:dyDescent="0.25">
      <c r="A377" s="223" t="s">
        <v>497</v>
      </c>
      <c r="B377" s="223" t="s">
        <v>502</v>
      </c>
      <c r="C377" s="29">
        <v>0</v>
      </c>
      <c r="D377" s="29">
        <v>0</v>
      </c>
    </row>
    <row r="378" spans="1:4" x14ac:dyDescent="0.25">
      <c r="A378" s="223" t="s">
        <v>498</v>
      </c>
      <c r="B378" s="223" t="s">
        <v>502</v>
      </c>
      <c r="C378" s="29">
        <v>0</v>
      </c>
      <c r="D378" s="29">
        <v>0</v>
      </c>
    </row>
    <row r="379" spans="1:4" x14ac:dyDescent="0.25">
      <c r="A379" s="223" t="s">
        <v>499</v>
      </c>
      <c r="B379" s="223" t="s">
        <v>502</v>
      </c>
      <c r="C379" s="29">
        <v>468</v>
      </c>
      <c r="D379" s="29">
        <v>90</v>
      </c>
    </row>
    <row r="380" spans="1:4" x14ac:dyDescent="0.25">
      <c r="A380" s="223" t="s">
        <v>500</v>
      </c>
      <c r="B380" s="223" t="s">
        <v>502</v>
      </c>
      <c r="C380" s="29">
        <v>0</v>
      </c>
      <c r="D380" s="29">
        <v>0</v>
      </c>
    </row>
    <row r="381" spans="1:4" x14ac:dyDescent="0.25">
      <c r="A381" s="223" t="s">
        <v>501</v>
      </c>
      <c r="B381" s="223" t="s">
        <v>502</v>
      </c>
      <c r="C381" s="29">
        <v>0</v>
      </c>
      <c r="D381" s="29">
        <v>0</v>
      </c>
    </row>
    <row r="382" spans="1:4" x14ac:dyDescent="0.25">
      <c r="A382" s="223" t="s">
        <v>502</v>
      </c>
      <c r="B382" s="223" t="s">
        <v>502</v>
      </c>
      <c r="C382" s="29">
        <v>150329</v>
      </c>
      <c r="D382" s="29">
        <v>148360</v>
      </c>
    </row>
    <row r="383" spans="1:4" x14ac:dyDescent="0.25">
      <c r="A383" s="281" t="s">
        <v>503</v>
      </c>
      <c r="B383" s="223" t="s">
        <v>502</v>
      </c>
      <c r="C383" s="29">
        <v>0</v>
      </c>
      <c r="D383" s="29">
        <v>0</v>
      </c>
    </row>
    <row r="384" spans="1:4" x14ac:dyDescent="0.25">
      <c r="A384" s="280" t="s">
        <v>484</v>
      </c>
      <c r="B384" s="281" t="s">
        <v>503</v>
      </c>
      <c r="C384" s="29">
        <v>8092</v>
      </c>
      <c r="D384" s="29">
        <v>13165</v>
      </c>
    </row>
    <row r="385" spans="1:4" x14ac:dyDescent="0.25">
      <c r="A385" s="223" t="s">
        <v>485</v>
      </c>
      <c r="B385" s="281" t="s">
        <v>503</v>
      </c>
      <c r="C385" s="29">
        <v>968</v>
      </c>
      <c r="D385" s="29">
        <v>5</v>
      </c>
    </row>
    <row r="386" spans="1:4" x14ac:dyDescent="0.25">
      <c r="A386" s="223" t="s">
        <v>486</v>
      </c>
      <c r="B386" s="281" t="s">
        <v>503</v>
      </c>
      <c r="C386" s="29">
        <v>1081</v>
      </c>
      <c r="D386" s="29">
        <v>2255</v>
      </c>
    </row>
    <row r="387" spans="1:4" x14ac:dyDescent="0.25">
      <c r="A387" s="223" t="s">
        <v>487</v>
      </c>
      <c r="B387" s="281" t="s">
        <v>503</v>
      </c>
      <c r="C387" s="29">
        <v>0</v>
      </c>
      <c r="D387" s="29">
        <v>0</v>
      </c>
    </row>
    <row r="388" spans="1:4" x14ac:dyDescent="0.25">
      <c r="A388" s="223" t="s">
        <v>488</v>
      </c>
      <c r="B388" s="281" t="s">
        <v>503</v>
      </c>
      <c r="C388" s="29">
        <v>0</v>
      </c>
      <c r="D388" s="29">
        <v>0</v>
      </c>
    </row>
    <row r="389" spans="1:4" x14ac:dyDescent="0.25">
      <c r="A389" s="223" t="s">
        <v>489</v>
      </c>
      <c r="B389" s="281" t="s">
        <v>503</v>
      </c>
      <c r="C389" s="29">
        <v>513</v>
      </c>
      <c r="D389" s="29">
        <v>80</v>
      </c>
    </row>
    <row r="390" spans="1:4" x14ac:dyDescent="0.25">
      <c r="A390" s="223" t="s">
        <v>490</v>
      </c>
      <c r="B390" s="281" t="s">
        <v>503</v>
      </c>
      <c r="C390" s="29">
        <v>0</v>
      </c>
      <c r="D390" s="29">
        <v>0</v>
      </c>
    </row>
    <row r="391" spans="1:4" x14ac:dyDescent="0.25">
      <c r="A391" s="223" t="s">
        <v>491</v>
      </c>
      <c r="B391" s="281" t="s">
        <v>503</v>
      </c>
      <c r="C391" s="29">
        <v>0</v>
      </c>
      <c r="D391" s="29">
        <v>0</v>
      </c>
    </row>
    <row r="392" spans="1:4" x14ac:dyDescent="0.25">
      <c r="A392" s="223" t="s">
        <v>492</v>
      </c>
      <c r="B392" s="281" t="s">
        <v>503</v>
      </c>
      <c r="C392" s="29">
        <v>26</v>
      </c>
      <c r="D392" s="29">
        <v>5</v>
      </c>
    </row>
    <row r="393" spans="1:4" x14ac:dyDescent="0.25">
      <c r="A393" s="223" t="s">
        <v>493</v>
      </c>
      <c r="B393" s="281" t="s">
        <v>503</v>
      </c>
      <c r="C393" s="29">
        <v>116</v>
      </c>
      <c r="D393" s="29">
        <v>10</v>
      </c>
    </row>
    <row r="394" spans="1:4" x14ac:dyDescent="0.25">
      <c r="A394" s="223" t="s">
        <v>494</v>
      </c>
      <c r="B394" s="281" t="s">
        <v>503</v>
      </c>
      <c r="C394" s="29">
        <v>0</v>
      </c>
      <c r="D394" s="29">
        <v>0</v>
      </c>
    </row>
    <row r="395" spans="1:4" x14ac:dyDescent="0.25">
      <c r="A395" s="223" t="s">
        <v>495</v>
      </c>
      <c r="B395" s="281" t="s">
        <v>503</v>
      </c>
      <c r="C395" s="29">
        <v>58</v>
      </c>
      <c r="D395" s="29">
        <v>25</v>
      </c>
    </row>
    <row r="396" spans="1:4" x14ac:dyDescent="0.25">
      <c r="A396" s="223" t="s">
        <v>496</v>
      </c>
      <c r="B396" s="281" t="s">
        <v>503</v>
      </c>
      <c r="C396" s="29">
        <v>453</v>
      </c>
      <c r="D396" s="29">
        <v>155</v>
      </c>
    </row>
    <row r="397" spans="1:4" x14ac:dyDescent="0.25">
      <c r="A397" s="223" t="s">
        <v>497</v>
      </c>
      <c r="B397" s="281" t="s">
        <v>503</v>
      </c>
      <c r="C397" s="29">
        <v>940</v>
      </c>
      <c r="D397" s="29">
        <v>2100</v>
      </c>
    </row>
    <row r="398" spans="1:4" x14ac:dyDescent="0.25">
      <c r="A398" s="223" t="s">
        <v>498</v>
      </c>
      <c r="B398" s="281" t="s">
        <v>503</v>
      </c>
      <c r="C398" s="29">
        <v>5265</v>
      </c>
      <c r="D398" s="29">
        <v>3375</v>
      </c>
    </row>
    <row r="399" spans="1:4" x14ac:dyDescent="0.25">
      <c r="A399" s="223" t="s">
        <v>499</v>
      </c>
      <c r="B399" s="281" t="s">
        <v>503</v>
      </c>
      <c r="C399" s="29">
        <v>0</v>
      </c>
      <c r="D399" s="29">
        <v>0</v>
      </c>
    </row>
    <row r="400" spans="1:4" x14ac:dyDescent="0.25">
      <c r="A400" s="223" t="s">
        <v>500</v>
      </c>
      <c r="B400" s="281" t="s">
        <v>503</v>
      </c>
      <c r="C400" s="29">
        <v>0</v>
      </c>
      <c r="D400" s="29">
        <v>0</v>
      </c>
    </row>
    <row r="401" spans="1:4" x14ac:dyDescent="0.25">
      <c r="A401" s="223" t="s">
        <v>501</v>
      </c>
      <c r="B401" s="281" t="s">
        <v>503</v>
      </c>
      <c r="C401" s="29">
        <v>251</v>
      </c>
      <c r="D401" s="29">
        <v>1095</v>
      </c>
    </row>
    <row r="402" spans="1:4" x14ac:dyDescent="0.25">
      <c r="A402" s="223" t="s">
        <v>502</v>
      </c>
      <c r="B402" s="281" t="s">
        <v>503</v>
      </c>
      <c r="C402" s="29">
        <v>0</v>
      </c>
      <c r="D402" s="29">
        <v>0</v>
      </c>
    </row>
    <row r="403" spans="1:4" x14ac:dyDescent="0.25">
      <c r="A403" s="281" t="s">
        <v>503</v>
      </c>
      <c r="B403" s="281" t="s">
        <v>503</v>
      </c>
      <c r="C403" s="29">
        <v>106575</v>
      </c>
      <c r="D403" s="29">
        <v>118970</v>
      </c>
    </row>
  </sheetData>
  <mergeCells count="1">
    <mergeCell ref="A1:B1"/>
  </mergeCells>
  <hyperlinks>
    <hyperlink ref="A1" location="Index!A1" display="Index"/>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1"/>
  <dimension ref="A1:BD121"/>
  <sheetViews>
    <sheetView zoomScale="75" zoomScaleNormal="75" workbookViewId="0">
      <pane ySplit="2" topLeftCell="A3" activePane="bottomLeft" state="frozen"/>
      <selection pane="bottomLeft" activeCell="P2" sqref="P2"/>
    </sheetView>
  </sheetViews>
  <sheetFormatPr defaultRowHeight="15" x14ac:dyDescent="0.25"/>
  <cols>
    <col min="1" max="1" width="2.140625" customWidth="1"/>
    <col min="2" max="2" width="10" customWidth="1"/>
    <col min="3" max="4" width="12.28515625" bestFit="1" customWidth="1"/>
    <col min="5" max="5" width="9.85546875" style="34" customWidth="1"/>
    <col min="6" max="6" width="9.5703125" customWidth="1"/>
    <col min="7" max="7" width="9.7109375" customWidth="1"/>
    <col min="8" max="8" width="11.28515625" bestFit="1" customWidth="1"/>
    <col min="9" max="9" width="10" customWidth="1"/>
    <col min="10" max="10" width="12.28515625" style="34" bestFit="1" customWidth="1"/>
    <col min="11" max="12" width="9.42578125" customWidth="1"/>
    <col min="13" max="13" width="10.42578125" customWidth="1"/>
    <col min="14" max="14" width="10.28515625" customWidth="1"/>
    <col min="15" max="15" width="9.42578125" customWidth="1"/>
    <col min="16" max="17" width="9.5703125" customWidth="1"/>
    <col min="18" max="23" width="12.28515625" bestFit="1" customWidth="1"/>
    <col min="24" max="26" width="11.28515625" bestFit="1" customWidth="1"/>
    <col min="27" max="27" width="12.28515625" bestFit="1" customWidth="1"/>
    <col min="28" max="28" width="11.28515625" bestFit="1" customWidth="1"/>
  </cols>
  <sheetData>
    <row r="1" spans="1:56" ht="23.25" x14ac:dyDescent="0.35">
      <c r="A1" s="372" t="s">
        <v>371</v>
      </c>
      <c r="B1" s="372"/>
      <c r="O1" t="s">
        <v>530</v>
      </c>
    </row>
    <row r="2" spans="1:56" ht="18.75" x14ac:dyDescent="0.3">
      <c r="O2" t="s">
        <v>591</v>
      </c>
      <c r="AD2" s="59" t="s">
        <v>481</v>
      </c>
    </row>
    <row r="3" spans="1:56" ht="23.25" x14ac:dyDescent="0.35">
      <c r="B3" s="232" t="s">
        <v>191</v>
      </c>
      <c r="D3" t="s">
        <v>591</v>
      </c>
    </row>
    <row r="4" spans="1:56" ht="18.75" x14ac:dyDescent="0.3">
      <c r="B4" s="373" t="s">
        <v>454</v>
      </c>
      <c r="C4" s="375" t="s">
        <v>455</v>
      </c>
      <c r="D4" s="375"/>
      <c r="E4" s="375"/>
      <c r="F4" s="375"/>
      <c r="G4" s="375"/>
      <c r="H4" s="375"/>
      <c r="I4" s="375"/>
      <c r="J4" s="375"/>
      <c r="K4" s="375"/>
      <c r="L4" s="375"/>
      <c r="M4" s="375"/>
      <c r="N4" s="375"/>
      <c r="O4" s="375"/>
      <c r="P4" s="375"/>
      <c r="Q4" s="375"/>
      <c r="R4" s="375"/>
      <c r="S4" s="375"/>
      <c r="T4" s="375"/>
      <c r="U4" s="375"/>
      <c r="V4" s="376"/>
      <c r="W4" s="376"/>
      <c r="X4" s="376"/>
      <c r="Y4" s="376"/>
      <c r="Z4" s="379"/>
      <c r="AA4" s="219"/>
      <c r="AB4" s="377" t="s">
        <v>29</v>
      </c>
      <c r="AD4" s="373" t="s">
        <v>454</v>
      </c>
      <c r="AE4" s="375" t="s">
        <v>455</v>
      </c>
      <c r="AF4" s="375"/>
      <c r="AG4" s="375"/>
      <c r="AH4" s="375"/>
      <c r="AI4" s="375"/>
      <c r="AJ4" s="375"/>
      <c r="AK4" s="375"/>
      <c r="AL4" s="375"/>
      <c r="AM4" s="375"/>
      <c r="AN4" s="375"/>
      <c r="AO4" s="375"/>
      <c r="AP4" s="375"/>
      <c r="AQ4" s="375"/>
      <c r="AR4" s="375"/>
      <c r="AS4" s="375"/>
      <c r="AT4" s="375"/>
      <c r="AU4" s="375"/>
      <c r="AV4" s="375"/>
      <c r="AW4" s="375"/>
      <c r="AX4" s="376"/>
      <c r="AY4" s="376"/>
      <c r="AZ4" s="376"/>
      <c r="BA4" s="376"/>
      <c r="BB4" s="379"/>
      <c r="BC4" s="219"/>
      <c r="BD4" s="377" t="s">
        <v>29</v>
      </c>
    </row>
    <row r="5" spans="1:56" x14ac:dyDescent="0.25">
      <c r="B5" s="374"/>
      <c r="C5" s="220">
        <v>1</v>
      </c>
      <c r="D5" s="220" t="s">
        <v>456</v>
      </c>
      <c r="E5" s="220" t="s">
        <v>457</v>
      </c>
      <c r="F5" s="220" t="s">
        <v>458</v>
      </c>
      <c r="G5" s="220" t="s">
        <v>47</v>
      </c>
      <c r="H5" s="220" t="s">
        <v>459</v>
      </c>
      <c r="I5" s="220" t="s">
        <v>460</v>
      </c>
      <c r="J5" s="220" t="s">
        <v>49</v>
      </c>
      <c r="K5" s="220" t="s">
        <v>461</v>
      </c>
      <c r="L5" s="220" t="s">
        <v>462</v>
      </c>
      <c r="M5" s="220" t="s">
        <v>463</v>
      </c>
      <c r="N5" s="220" t="s">
        <v>464</v>
      </c>
      <c r="O5" s="220" t="s">
        <v>465</v>
      </c>
      <c r="P5" s="220" t="s">
        <v>466</v>
      </c>
      <c r="Q5" s="220" t="s">
        <v>467</v>
      </c>
      <c r="R5" s="220" t="s">
        <v>468</v>
      </c>
      <c r="S5" s="220" t="s">
        <v>469</v>
      </c>
      <c r="T5" s="220" t="s">
        <v>470</v>
      </c>
      <c r="U5" s="220" t="s">
        <v>471</v>
      </c>
      <c r="V5" s="221" t="s">
        <v>472</v>
      </c>
      <c r="W5" s="220" t="s">
        <v>473</v>
      </c>
      <c r="X5" s="220" t="s">
        <v>474</v>
      </c>
      <c r="Y5" s="220" t="s">
        <v>475</v>
      </c>
      <c r="Z5" s="222" t="s">
        <v>476</v>
      </c>
      <c r="AA5" s="222" t="s">
        <v>477</v>
      </c>
      <c r="AB5" s="378"/>
      <c r="AD5" s="374"/>
      <c r="AE5" s="220">
        <v>1</v>
      </c>
      <c r="AF5" s="220" t="s">
        <v>456</v>
      </c>
      <c r="AG5" s="220" t="s">
        <v>457</v>
      </c>
      <c r="AH5" s="220" t="s">
        <v>458</v>
      </c>
      <c r="AI5" s="220" t="s">
        <v>47</v>
      </c>
      <c r="AJ5" s="220" t="s">
        <v>459</v>
      </c>
      <c r="AK5" s="220" t="s">
        <v>460</v>
      </c>
      <c r="AL5" s="220" t="s">
        <v>49</v>
      </c>
      <c r="AM5" s="220" t="s">
        <v>461</v>
      </c>
      <c r="AN5" s="220" t="s">
        <v>462</v>
      </c>
      <c r="AO5" s="220" t="s">
        <v>463</v>
      </c>
      <c r="AP5" s="220" t="s">
        <v>464</v>
      </c>
      <c r="AQ5" s="220" t="s">
        <v>465</v>
      </c>
      <c r="AR5" s="220" t="s">
        <v>466</v>
      </c>
      <c r="AS5" s="220" t="s">
        <v>467</v>
      </c>
      <c r="AT5" s="220" t="s">
        <v>468</v>
      </c>
      <c r="AU5" s="220" t="s">
        <v>469</v>
      </c>
      <c r="AV5" s="220" t="s">
        <v>470</v>
      </c>
      <c r="AW5" s="220" t="s">
        <v>471</v>
      </c>
      <c r="AX5" s="221" t="s">
        <v>472</v>
      </c>
      <c r="AY5" s="220" t="s">
        <v>473</v>
      </c>
      <c r="AZ5" s="220" t="s">
        <v>474</v>
      </c>
      <c r="BA5" s="220" t="s">
        <v>475</v>
      </c>
      <c r="BB5" s="222" t="s">
        <v>476</v>
      </c>
      <c r="BC5" s="222" t="s">
        <v>477</v>
      </c>
      <c r="BD5" s="378"/>
    </row>
    <row r="6" spans="1:56" x14ac:dyDescent="0.25">
      <c r="B6" s="223">
        <v>1</v>
      </c>
      <c r="C6" s="224">
        <f>IF($D$3="HIS",SectorFlows_input!B3,INDEX(SectorFlows_input!$B$57:$Z$81,MATCH(SectorFlows!$B6,SectorFlows_input!$A$57:$A$81,0),MATCH(SectorFlows!C$5,SectorFlows_input!$B$56:$Z$56,0)))</f>
        <v>110153</v>
      </c>
      <c r="D6" s="225">
        <f>IF($D$3="HIS",SectorFlows_input!C3,INDEX(SectorFlows_input!$B$57:$Z$81,MATCH(SectorFlows!$B6,SectorFlows_input!$A$57:$A$81,0),MATCH(SectorFlows!D$5,SectorFlows_input!$B$56:$Z$56,0)))</f>
        <v>17573</v>
      </c>
      <c r="E6" s="225">
        <f>IF($D$3="HIS",SectorFlows_input!D3,INDEX(SectorFlows_input!$B$57:$Z$81,MATCH(SectorFlows!$B6,SectorFlows_input!$A$57:$A$81,0),MATCH(SectorFlows!E$5,SectorFlows_input!$B$56:$Z$56,0)))</f>
        <v>8045</v>
      </c>
      <c r="F6" s="225">
        <f>IF($D$3="HIS",SectorFlows_input!E3,INDEX(SectorFlows_input!$B$57:$Z$81,MATCH(SectorFlows!$B6,SectorFlows_input!$A$57:$A$81,0),MATCH(SectorFlows!F$5,SectorFlows_input!$B$56:$Z$56,0)))</f>
        <v>2211</v>
      </c>
      <c r="G6" s="225">
        <f>IF($D$3="HIS",SectorFlows_input!F3,INDEX(SectorFlows_input!$B$57:$Z$81,MATCH(SectorFlows!$B6,SectorFlows_input!$A$57:$A$81,0),MATCH(SectorFlows!G$5,SectorFlows_input!$B$56:$Z$56,0)))</f>
        <v>4299</v>
      </c>
      <c r="H6" s="225">
        <f>IF($D$3="HIS",SectorFlows_input!G3,INDEX(SectorFlows_input!$B$57:$Z$81,MATCH(SectorFlows!$B6,SectorFlows_input!$A$57:$A$81,0),MATCH(SectorFlows!H$5,SectorFlows_input!$B$56:$Z$56,0)))</f>
        <v>3575</v>
      </c>
      <c r="I6" s="225">
        <f>IF($D$3="HIS",SectorFlows_input!H3,INDEX(SectorFlows_input!$B$57:$Z$81,MATCH(SectorFlows!$B6,SectorFlows_input!$A$57:$A$81,0),MATCH(SectorFlows!I$5,SectorFlows_input!$B$56:$Z$56,0)))</f>
        <v>4513</v>
      </c>
      <c r="J6" s="225">
        <f>IF($D$3="HIS",SectorFlows_input!I3,INDEX(SectorFlows_input!$B$57:$Z$81,MATCH(SectorFlows!$B6,SectorFlows_input!$A$57:$A$81,0),MATCH(SectorFlows!J$5,SectorFlows_input!$B$56:$Z$56,0)))</f>
        <v>7293</v>
      </c>
      <c r="K6" s="225">
        <f>IF($D$3="HIS",SectorFlows_input!J3,INDEX(SectorFlows_input!$B$57:$Z$81,MATCH(SectorFlows!$B6,SectorFlows_input!$A$57:$A$81,0),MATCH(SectorFlows!K$5,SectorFlows_input!$B$56:$Z$56,0)))</f>
        <v>3028</v>
      </c>
      <c r="L6" s="225">
        <f>IF($D$3="HIS",SectorFlows_input!K3,INDEX(SectorFlows_input!$B$57:$Z$81,MATCH(SectorFlows!$B6,SectorFlows_input!$A$57:$A$81,0),MATCH(SectorFlows!L$5,SectorFlows_input!$B$56:$Z$56,0)))</f>
        <v>3698</v>
      </c>
      <c r="M6" s="225">
        <f>IF($D$3="HIS",SectorFlows_input!L3,INDEX(SectorFlows_input!$B$57:$Z$81,MATCH(SectorFlows!$B6,SectorFlows_input!$A$57:$A$81,0),MATCH(SectorFlows!M$5,SectorFlows_input!$B$56:$Z$56,0)))</f>
        <v>1978</v>
      </c>
      <c r="N6" s="225">
        <f>IF($D$3="HIS",SectorFlows_input!M3,INDEX(SectorFlows_input!$B$57:$Z$81,MATCH(SectorFlows!$B6,SectorFlows_input!$A$57:$A$81,0),MATCH(SectorFlows!N$5,SectorFlows_input!$B$56:$Z$56,0)))</f>
        <v>2140</v>
      </c>
      <c r="O6" s="225">
        <f>IF($D$3="HIS",SectorFlows_input!N3,INDEX(SectorFlows_input!$B$57:$Z$81,MATCH(SectorFlows!$B6,SectorFlows_input!$A$57:$A$81,0),MATCH(SectorFlows!O$5,SectorFlows_input!$B$56:$Z$56,0)))</f>
        <v>4130</v>
      </c>
      <c r="P6" s="225">
        <f>IF($D$3="HIS",SectorFlows_input!O3,INDEX(SectorFlows_input!$B$57:$Z$81,MATCH(SectorFlows!$B6,SectorFlows_input!$A$57:$A$81,0),MATCH(SectorFlows!P$5,SectorFlows_input!$B$56:$Z$56,0)))</f>
        <v>1715</v>
      </c>
      <c r="Q6" s="225">
        <f>IF($D$3="HIS",SectorFlows_input!P3,INDEX(SectorFlows_input!$B$57:$Z$81,MATCH(SectorFlows!$B6,SectorFlows_input!$A$57:$A$81,0),MATCH(SectorFlows!Q$5,SectorFlows_input!$B$56:$Z$56,0)))</f>
        <v>598</v>
      </c>
      <c r="R6" s="225">
        <f>IF($D$3="HIS",SectorFlows_input!Q3,INDEX(SectorFlows_input!$B$57:$Z$81,MATCH(SectorFlows!$B6,SectorFlows_input!$A$57:$A$81,0),MATCH(SectorFlows!R$5,SectorFlows_input!$B$56:$Z$56,0)))</f>
        <v>25</v>
      </c>
      <c r="S6" s="225">
        <f>IF($D$3="HIS",SectorFlows_input!R3,INDEX(SectorFlows_input!$B$57:$Z$81,MATCH(SectorFlows!$B6,SectorFlows_input!$A$57:$A$81,0),MATCH(SectorFlows!S$5,SectorFlows_input!$B$56:$Z$56,0)))</f>
        <v>333</v>
      </c>
      <c r="T6" s="225">
        <f>IF($D$3="HIS",SectorFlows_input!S3,INDEX(SectorFlows_input!$B$57:$Z$81,MATCH(SectorFlows!$B6,SectorFlows_input!$A$57:$A$81,0),MATCH(SectorFlows!T$5,SectorFlows_input!$B$56:$Z$56,0)))</f>
        <v>847</v>
      </c>
      <c r="U6" s="225">
        <f>IF($D$3="HIS",SectorFlows_input!T3,INDEX(SectorFlows_input!$B$57:$Z$81,MATCH(SectorFlows!$B6,SectorFlows_input!$A$57:$A$81,0),MATCH(SectorFlows!U$5,SectorFlows_input!$B$56:$Z$56,0)))</f>
        <v>94</v>
      </c>
      <c r="V6" s="225">
        <f>IF($D$3="HIS",SectorFlows_input!U3,INDEX(SectorFlows_input!$B$57:$Z$81,MATCH(SectorFlows!$B6,SectorFlows_input!$A$57:$A$81,0),MATCH(SectorFlows!V$5,SectorFlows_input!$B$56:$Z$56,0)))</f>
        <v>2271</v>
      </c>
      <c r="W6" s="225">
        <f>IF($D$3="HIS",SectorFlows_input!V3,INDEX(SectorFlows_input!$B$57:$Z$81,MATCH(SectorFlows!$B6,SectorFlows_input!$A$57:$A$81,0),MATCH(SectorFlows!W$5,SectorFlows_input!$B$56:$Z$56,0)))</f>
        <v>1547</v>
      </c>
      <c r="X6" s="225">
        <f>IF($D$3="HIS",SectorFlows_input!W3,INDEX(SectorFlows_input!$B$57:$Z$81,MATCH(SectorFlows!$B6,SectorFlows_input!$A$57:$A$81,0),MATCH(SectorFlows!X$5,SectorFlows_input!$B$56:$Z$56,0)))</f>
        <v>159</v>
      </c>
      <c r="Y6" s="225">
        <f>IF($D$3="HIS",SectorFlows_input!X3,INDEX(SectorFlows_input!$B$57:$Z$81,MATCH(SectorFlows!$B6,SectorFlows_input!$A$57:$A$81,0),MATCH(SectorFlows!Y$5,SectorFlows_input!$B$56:$Z$56,0)))</f>
        <v>209</v>
      </c>
      <c r="Z6" s="225">
        <f>IF($D$3="HIS",SectorFlows_input!Y3,INDEX(SectorFlows_input!$B$57:$Z$81,MATCH(SectorFlows!$B6,SectorFlows_input!$A$57:$A$81,0),MATCH(SectorFlows!Z$5,SectorFlows_input!$B$56:$Z$56,0)))</f>
        <v>329</v>
      </c>
      <c r="AA6" s="225">
        <f>IF($D$3="HIS",SectorFlows_input!Z3,INDEX(SectorFlows_input!$B$57:$Z$81,MATCH(SectorFlows!$B6,SectorFlows_input!$A$57:$A$81,0),MATCH(SectorFlows!AA$5,SectorFlows_input!$B$56:$Z$56,0)))</f>
        <v>906</v>
      </c>
      <c r="AB6" s="226">
        <f>SUM(C6:AA6)</f>
        <v>181669</v>
      </c>
      <c r="AD6" s="223">
        <v>1</v>
      </c>
      <c r="AE6" s="233">
        <f>IF($AB6&gt;0,C6/$AB6,"")</f>
        <v>0.60633900115044392</v>
      </c>
      <c r="AF6" s="234">
        <f t="shared" ref="AF6:BC6" si="0">IF($AB6&gt;0,D6/$AB6,"")</f>
        <v>9.6730867676928914E-2</v>
      </c>
      <c r="AG6" s="234">
        <f t="shared" si="0"/>
        <v>4.4283834886524397E-2</v>
      </c>
      <c r="AH6" s="234">
        <f t="shared" si="0"/>
        <v>1.2170485883667549E-2</v>
      </c>
      <c r="AI6" s="234">
        <f t="shared" si="0"/>
        <v>2.366391624327761E-2</v>
      </c>
      <c r="AJ6" s="234">
        <f t="shared" si="0"/>
        <v>1.9678646329313203E-2</v>
      </c>
      <c r="AK6" s="234">
        <f t="shared" si="0"/>
        <v>2.4841882764808525E-2</v>
      </c>
      <c r="AL6" s="234">
        <f t="shared" si="0"/>
        <v>4.0144438511798934E-2</v>
      </c>
      <c r="AM6" s="234">
        <f t="shared" si="0"/>
        <v>1.6667675828016888E-2</v>
      </c>
      <c r="AN6" s="234">
        <f t="shared" si="0"/>
        <v>2.035570185337069E-2</v>
      </c>
      <c r="AO6" s="234">
        <f t="shared" si="0"/>
        <v>1.0887933549477346E-2</v>
      </c>
      <c r="AP6" s="234">
        <f t="shared" si="0"/>
        <v>1.1779665215309161E-2</v>
      </c>
      <c r="AQ6" s="234">
        <f t="shared" si="0"/>
        <v>2.2733652962255532E-2</v>
      </c>
      <c r="AR6" s="234">
        <f t="shared" si="0"/>
        <v>9.4402457216145839E-3</v>
      </c>
      <c r="AS6" s="234">
        <f t="shared" si="0"/>
        <v>3.2917008405396629E-3</v>
      </c>
      <c r="AT6" s="234">
        <f t="shared" si="0"/>
        <v>1.376129113937986E-4</v>
      </c>
      <c r="AU6" s="234">
        <f t="shared" si="0"/>
        <v>1.8330039797653974E-3</v>
      </c>
      <c r="AV6" s="234">
        <f t="shared" si="0"/>
        <v>4.6623254380218967E-3</v>
      </c>
      <c r="AW6" s="234">
        <f t="shared" si="0"/>
        <v>5.1742454684068281E-4</v>
      </c>
      <c r="AX6" s="234">
        <f t="shared" si="0"/>
        <v>1.2500756871012667E-2</v>
      </c>
      <c r="AY6" s="234">
        <f t="shared" si="0"/>
        <v>8.5154869570482575E-3</v>
      </c>
      <c r="AZ6" s="234">
        <f t="shared" si="0"/>
        <v>8.7521811646455922E-4</v>
      </c>
      <c r="BA6" s="234">
        <f t="shared" si="0"/>
        <v>1.1504439392521564E-3</v>
      </c>
      <c r="BB6" s="234">
        <f t="shared" si="0"/>
        <v>1.8109859139423896E-3</v>
      </c>
      <c r="BC6" s="234">
        <f t="shared" si="0"/>
        <v>4.9870919089112613E-3</v>
      </c>
      <c r="BD6" s="237">
        <f>SUM(AE6:BC6)</f>
        <v>0.99999999999999978</v>
      </c>
    </row>
    <row r="7" spans="1:56" x14ac:dyDescent="0.25">
      <c r="B7" s="223" t="s">
        <v>456</v>
      </c>
      <c r="C7" s="225">
        <f>IF($D$3="HIS",SectorFlows_input!B4,INDEX(SectorFlows_input!$B$57:$Z$81,MATCH(SectorFlows!$B7,SectorFlows_input!$A$57:$A$81,0),MATCH(SectorFlows!C$5,SectorFlows_input!$B$56:$Z$56,0)))</f>
        <v>136550</v>
      </c>
      <c r="D7" s="224">
        <f>IF($D$3="HIS",SectorFlows_input!C4,INDEX(SectorFlows_input!$B$57:$Z$81,MATCH(SectorFlows!$B7,SectorFlows_input!$A$57:$A$81,0),MATCH(SectorFlows!D$5,SectorFlows_input!$B$56:$Z$56,0)))</f>
        <v>115562</v>
      </c>
      <c r="E7" s="225">
        <f>IF($D$3="HIS",SectorFlows_input!D4,INDEX(SectorFlows_input!$B$57:$Z$81,MATCH(SectorFlows!$B7,SectorFlows_input!$A$57:$A$81,0),MATCH(SectorFlows!E$5,SectorFlows_input!$B$56:$Z$56,0)))</f>
        <v>29402</v>
      </c>
      <c r="F7" s="225">
        <f>IF($D$3="HIS",SectorFlows_input!E4,INDEX(SectorFlows_input!$B$57:$Z$81,MATCH(SectorFlows!$B7,SectorFlows_input!$A$57:$A$81,0),MATCH(SectorFlows!F$5,SectorFlows_input!$B$56:$Z$56,0)))</f>
        <v>4892</v>
      </c>
      <c r="G7" s="225">
        <f>IF($D$3="HIS",SectorFlows_input!F4,INDEX(SectorFlows_input!$B$57:$Z$81,MATCH(SectorFlows!$B7,SectorFlows_input!$A$57:$A$81,0),MATCH(SectorFlows!G$5,SectorFlows_input!$B$56:$Z$56,0)))</f>
        <v>6464</v>
      </c>
      <c r="H7" s="225">
        <f>IF($D$3="HIS",SectorFlows_input!G4,INDEX(SectorFlows_input!$B$57:$Z$81,MATCH(SectorFlows!$B7,SectorFlows_input!$A$57:$A$81,0),MATCH(SectorFlows!H$5,SectorFlows_input!$B$56:$Z$56,0)))</f>
        <v>3616</v>
      </c>
      <c r="I7" s="225">
        <f>IF($D$3="HIS",SectorFlows_input!H4,INDEX(SectorFlows_input!$B$57:$Z$81,MATCH(SectorFlows!$B7,SectorFlows_input!$A$57:$A$81,0),MATCH(SectorFlows!I$5,SectorFlows_input!$B$56:$Z$56,0)))</f>
        <v>5233</v>
      </c>
      <c r="J7" s="225">
        <f>IF($D$3="HIS",SectorFlows_input!I4,INDEX(SectorFlows_input!$B$57:$Z$81,MATCH(SectorFlows!$B7,SectorFlows_input!$A$57:$A$81,0),MATCH(SectorFlows!J$5,SectorFlows_input!$B$56:$Z$56,0)))</f>
        <v>8369</v>
      </c>
      <c r="K7" s="225">
        <f>IF($D$3="HIS",SectorFlows_input!J4,INDEX(SectorFlows_input!$B$57:$Z$81,MATCH(SectorFlows!$B7,SectorFlows_input!$A$57:$A$81,0),MATCH(SectorFlows!K$5,SectorFlows_input!$B$56:$Z$56,0)))</f>
        <v>16073</v>
      </c>
      <c r="L7" s="225">
        <f>IF($D$3="HIS",SectorFlows_input!K4,INDEX(SectorFlows_input!$B$57:$Z$81,MATCH(SectorFlows!$B7,SectorFlows_input!$A$57:$A$81,0),MATCH(SectorFlows!L$5,SectorFlows_input!$B$56:$Z$56,0)))</f>
        <v>9869</v>
      </c>
      <c r="M7" s="225">
        <f>IF($D$3="HIS",SectorFlows_input!L4,INDEX(SectorFlows_input!$B$57:$Z$81,MATCH(SectorFlows!$B7,SectorFlows_input!$A$57:$A$81,0),MATCH(SectorFlows!M$5,SectorFlows_input!$B$56:$Z$56,0)))</f>
        <v>5418</v>
      </c>
      <c r="N7" s="225">
        <f>IF($D$3="HIS",SectorFlows_input!M4,INDEX(SectorFlows_input!$B$57:$Z$81,MATCH(SectorFlows!$B7,SectorFlows_input!$A$57:$A$81,0),MATCH(SectorFlows!N$5,SectorFlows_input!$B$56:$Z$56,0)))</f>
        <v>2189</v>
      </c>
      <c r="O7" s="225">
        <f>IF($D$3="HIS",SectorFlows_input!N4,INDEX(SectorFlows_input!$B$57:$Z$81,MATCH(SectorFlows!$B7,SectorFlows_input!$A$57:$A$81,0),MATCH(SectorFlows!O$5,SectorFlows_input!$B$56:$Z$56,0)))</f>
        <v>3851</v>
      </c>
      <c r="P7" s="225">
        <f>IF($D$3="HIS",SectorFlows_input!O4,INDEX(SectorFlows_input!$B$57:$Z$81,MATCH(SectorFlows!$B7,SectorFlows_input!$A$57:$A$81,0),MATCH(SectorFlows!P$5,SectorFlows_input!$B$56:$Z$56,0)))</f>
        <v>1795</v>
      </c>
      <c r="Q7" s="225">
        <f>IF($D$3="HIS",SectorFlows_input!P4,INDEX(SectorFlows_input!$B$57:$Z$81,MATCH(SectorFlows!$B7,SectorFlows_input!$A$57:$A$81,0),MATCH(SectorFlows!Q$5,SectorFlows_input!$B$56:$Z$56,0)))</f>
        <v>665</v>
      </c>
      <c r="R7" s="225">
        <f>IF($D$3="HIS",SectorFlows_input!Q4,INDEX(SectorFlows_input!$B$57:$Z$81,MATCH(SectorFlows!$B7,SectorFlows_input!$A$57:$A$81,0),MATCH(SectorFlows!R$5,SectorFlows_input!$B$56:$Z$56,0)))</f>
        <v>94</v>
      </c>
      <c r="S7" s="225">
        <f>IF($D$3="HIS",SectorFlows_input!R4,INDEX(SectorFlows_input!$B$57:$Z$81,MATCH(SectorFlows!$B7,SectorFlows_input!$A$57:$A$81,0),MATCH(SectorFlows!S$5,SectorFlows_input!$B$56:$Z$56,0)))</f>
        <v>200</v>
      </c>
      <c r="T7" s="225">
        <f>IF($D$3="HIS",SectorFlows_input!S4,INDEX(SectorFlows_input!$B$57:$Z$81,MATCH(SectorFlows!$B7,SectorFlows_input!$A$57:$A$81,0),MATCH(SectorFlows!T$5,SectorFlows_input!$B$56:$Z$56,0)))</f>
        <v>322</v>
      </c>
      <c r="U7" s="225">
        <f>IF($D$3="HIS",SectorFlows_input!T4,INDEX(SectorFlows_input!$B$57:$Z$81,MATCH(SectorFlows!$B7,SectorFlows_input!$A$57:$A$81,0),MATCH(SectorFlows!U$5,SectorFlows_input!$B$56:$Z$56,0)))</f>
        <v>84</v>
      </c>
      <c r="V7" s="225">
        <f>IF($D$3="HIS",SectorFlows_input!U4,INDEX(SectorFlows_input!$B$57:$Z$81,MATCH(SectorFlows!$B7,SectorFlows_input!$A$57:$A$81,0),MATCH(SectorFlows!V$5,SectorFlows_input!$B$56:$Z$56,0)))</f>
        <v>6530</v>
      </c>
      <c r="W7" s="225">
        <f>IF($D$3="HIS",SectorFlows_input!V4,INDEX(SectorFlows_input!$B$57:$Z$81,MATCH(SectorFlows!$B7,SectorFlows_input!$A$57:$A$81,0),MATCH(SectorFlows!W$5,SectorFlows_input!$B$56:$Z$56,0)))</f>
        <v>5588</v>
      </c>
      <c r="X7" s="225">
        <f>IF($D$3="HIS",SectorFlows_input!W4,INDEX(SectorFlows_input!$B$57:$Z$81,MATCH(SectorFlows!$B7,SectorFlows_input!$A$57:$A$81,0),MATCH(SectorFlows!X$5,SectorFlows_input!$B$56:$Z$56,0)))</f>
        <v>203</v>
      </c>
      <c r="Y7" s="225">
        <f>IF($D$3="HIS",SectorFlows_input!X4,INDEX(SectorFlows_input!$B$57:$Z$81,MATCH(SectorFlows!$B7,SectorFlows_input!$A$57:$A$81,0),MATCH(SectorFlows!Y$5,SectorFlows_input!$B$56:$Z$56,0)))</f>
        <v>219</v>
      </c>
      <c r="Z7" s="225">
        <f>IF($D$3="HIS",SectorFlows_input!Y4,INDEX(SectorFlows_input!$B$57:$Z$81,MATCH(SectorFlows!$B7,SectorFlows_input!$A$57:$A$81,0),MATCH(SectorFlows!Z$5,SectorFlows_input!$B$56:$Z$56,0)))</f>
        <v>364</v>
      </c>
      <c r="AA7" s="225">
        <f>IF($D$3="HIS",SectorFlows_input!Z4,INDEX(SectorFlows_input!$B$57:$Z$81,MATCH(SectorFlows!$B7,SectorFlows_input!$A$57:$A$81,0),MATCH(SectorFlows!AA$5,SectorFlows_input!$B$56:$Z$56,0)))</f>
        <v>432</v>
      </c>
      <c r="AB7" s="226">
        <f t="shared" ref="AB7:AB30" si="1">SUM(C7:AA7)</f>
        <v>363984</v>
      </c>
      <c r="AD7" s="223" t="s">
        <v>456</v>
      </c>
      <c r="AE7" s="234">
        <f t="shared" ref="AE7:AE30" si="2">IF($AB7&gt;0,C7/$AB7,"")</f>
        <v>0.37515385291661174</v>
      </c>
      <c r="AF7" s="233">
        <f t="shared" ref="AF7:AF30" si="3">IF($AB7&gt;0,D7/$AB7,"")</f>
        <v>0.31749197766934811</v>
      </c>
      <c r="AG7" s="234">
        <f t="shared" ref="AG7:AG30" si="4">IF($AB7&gt;0,E7/$AB7,"")</f>
        <v>8.0778275968174426E-2</v>
      </c>
      <c r="AH7" s="234">
        <f t="shared" ref="AH7:AH30" si="5">IF($AB7&gt;0,F7/$AB7,"")</f>
        <v>1.3440151215438042E-2</v>
      </c>
      <c r="AI7" s="234">
        <f t="shared" ref="AI7:AI30" si="6">IF($AB7&gt;0,G7/$AB7,"")</f>
        <v>1.7759022374609874E-2</v>
      </c>
      <c r="AJ7" s="234">
        <f t="shared" ref="AJ7:AJ30" si="7">IF($AB7&gt;0,H7/$AB7,"")</f>
        <v>9.9345026154995832E-3</v>
      </c>
      <c r="AK7" s="234">
        <f t="shared" ref="AK7:AK30" si="8">IF($AB7&gt;0,I7/$AB7,"")</f>
        <v>1.4377005582662973E-2</v>
      </c>
      <c r="AL7" s="234">
        <f t="shared" ref="AL7:AL30" si="9">IF($AB7&gt;0,J7/$AB7,"")</f>
        <v>2.2992768912919251E-2</v>
      </c>
      <c r="AM7" s="234">
        <f t="shared" ref="AM7:AM30" si="10">IF($AB7&gt;0,K7/$AB7,"")</f>
        <v>4.4158534441074336E-2</v>
      </c>
      <c r="AN7" s="234">
        <f t="shared" ref="AN7:AN30" si="11">IF($AB7&gt;0,L7/$AB7,"")</f>
        <v>2.7113829179304584E-2</v>
      </c>
      <c r="AO7" s="234">
        <f t="shared" ref="AO7:AO30" si="12">IF($AB7&gt;0,M7/$AB7,"")</f>
        <v>1.4885269682183832E-2</v>
      </c>
      <c r="AP7" s="234">
        <f t="shared" ref="AP7:AP30" si="13">IF($AB7&gt;0,N7/$AB7,"")</f>
        <v>6.0140006154116663E-3</v>
      </c>
      <c r="AQ7" s="234">
        <f t="shared" ref="AQ7:AQ30" si="14">IF($AB7&gt;0,O7/$AB7,"")</f>
        <v>1.0580135390566618E-2</v>
      </c>
      <c r="AR7" s="234">
        <f t="shared" ref="AR7:AR30" si="15">IF($AB7&gt;0,P7/$AB7,"")</f>
        <v>4.9315354521077851E-3</v>
      </c>
      <c r="AS7" s="234">
        <f t="shared" ref="AS7:AS30" si="16">IF($AB7&gt;0,Q7/$AB7,"")</f>
        <v>1.8270033847641654E-3</v>
      </c>
      <c r="AT7" s="234">
        <f t="shared" ref="AT7:AT30" si="17">IF($AB7&gt;0,R7/$AB7,"")</f>
        <v>2.5825311002681438E-4</v>
      </c>
      <c r="AU7" s="234">
        <f t="shared" ref="AU7:AU30" si="18">IF($AB7&gt;0,S7/$AB7,"")</f>
        <v>5.4947470218471141E-4</v>
      </c>
      <c r="AV7" s="234">
        <f t="shared" ref="AV7:AV30" si="19">IF($AB7&gt;0,T7/$AB7,"")</f>
        <v>8.8465427051738542E-4</v>
      </c>
      <c r="AW7" s="234">
        <f t="shared" ref="AW7:AW30" si="20">IF($AB7&gt;0,U7/$AB7,"")</f>
        <v>2.307793749175788E-4</v>
      </c>
      <c r="AX7" s="234">
        <f t="shared" ref="AX7:AX30" si="21">IF($AB7&gt;0,V7/$AB7,"")</f>
        <v>1.7940349026330828E-2</v>
      </c>
      <c r="AY7" s="234">
        <f t="shared" ref="AY7:AY30" si="22">IF($AB7&gt;0,W7/$AB7,"")</f>
        <v>1.5352323179040837E-2</v>
      </c>
      <c r="AZ7" s="234">
        <f t="shared" ref="AZ7:AZ30" si="23">IF($AB7&gt;0,X7/$AB7,"")</f>
        <v>5.5771682271748212E-4</v>
      </c>
      <c r="BA7" s="234">
        <f t="shared" ref="BA7:BA30" si="24">IF($AB7&gt;0,Y7/$AB7,"")</f>
        <v>6.0167479889225905E-4</v>
      </c>
      <c r="BB7" s="234">
        <f t="shared" ref="BB7:BB30" si="25">IF($AB7&gt;0,Z7/$AB7,"")</f>
        <v>1.0000439579761747E-3</v>
      </c>
      <c r="BC7" s="234">
        <f t="shared" ref="BC7:BC30" si="26">IF($AB7&gt;0,AA7/$AB7,"")</f>
        <v>1.1868653567189767E-3</v>
      </c>
      <c r="BD7" s="237">
        <f t="shared" ref="BD7:BD30" si="27">SUM(AE7:BC7)</f>
        <v>0.99999999999999989</v>
      </c>
    </row>
    <row r="8" spans="1:56" x14ac:dyDescent="0.25">
      <c r="B8" s="223" t="s">
        <v>457</v>
      </c>
      <c r="C8" s="225">
        <f>IF($D$3="HIS",SectorFlows_input!B5,INDEX(SectorFlows_input!$B$57:$Z$81,MATCH(SectorFlows!$B8,SectorFlows_input!$A$57:$A$81,0),MATCH(SectorFlows!C$5,SectorFlows_input!$B$56:$Z$56,0)))</f>
        <v>52109</v>
      </c>
      <c r="D8" s="225">
        <f>IF($D$3="HIS",SectorFlows_input!C5,INDEX(SectorFlows_input!$B$57:$Z$81,MATCH(SectorFlows!$B8,SectorFlows_input!$A$57:$A$81,0),MATCH(SectorFlows!D$5,SectorFlows_input!$B$56:$Z$56,0)))</f>
        <v>38388</v>
      </c>
      <c r="E8" s="224">
        <f>IF($D$3="HIS",SectorFlows_input!D5,INDEX(SectorFlows_input!$B$57:$Z$81,MATCH(SectorFlows!$B8,SectorFlows_input!$A$57:$A$81,0),MATCH(SectorFlows!E$5,SectorFlows_input!$B$56:$Z$56,0)))</f>
        <v>64171</v>
      </c>
      <c r="F8" s="225">
        <f>IF($D$3="HIS",SectorFlows_input!E5,INDEX(SectorFlows_input!$B$57:$Z$81,MATCH(SectorFlows!$B8,SectorFlows_input!$A$57:$A$81,0),MATCH(SectorFlows!F$5,SectorFlows_input!$B$56:$Z$56,0)))</f>
        <v>9816</v>
      </c>
      <c r="G8" s="225">
        <f>IF($D$3="HIS",SectorFlows_input!F5,INDEX(SectorFlows_input!$B$57:$Z$81,MATCH(SectorFlows!$B8,SectorFlows_input!$A$57:$A$81,0),MATCH(SectorFlows!G$5,SectorFlows_input!$B$56:$Z$56,0)))</f>
        <v>8328</v>
      </c>
      <c r="H8" s="225">
        <f>IF($D$3="HIS",SectorFlows_input!G5,INDEX(SectorFlows_input!$B$57:$Z$81,MATCH(SectorFlows!$B8,SectorFlows_input!$A$57:$A$81,0),MATCH(SectorFlows!H$5,SectorFlows_input!$B$56:$Z$56,0)))</f>
        <v>3180</v>
      </c>
      <c r="I8" s="225">
        <f>IF($D$3="HIS",SectorFlows_input!H5,INDEX(SectorFlows_input!$B$57:$Z$81,MATCH(SectorFlows!$B8,SectorFlows_input!$A$57:$A$81,0),MATCH(SectorFlows!I$5,SectorFlows_input!$B$56:$Z$56,0)))</f>
        <v>4442</v>
      </c>
      <c r="J8" s="225">
        <f>IF($D$3="HIS",SectorFlows_input!I5,INDEX(SectorFlows_input!$B$57:$Z$81,MATCH(SectorFlows!$B8,SectorFlows_input!$A$57:$A$81,0),MATCH(SectorFlows!J$5,SectorFlows_input!$B$56:$Z$56,0)))</f>
        <v>4817</v>
      </c>
      <c r="K8" s="225">
        <f>IF($D$3="HIS",SectorFlows_input!J5,INDEX(SectorFlows_input!$B$57:$Z$81,MATCH(SectorFlows!$B8,SectorFlows_input!$A$57:$A$81,0),MATCH(SectorFlows!K$5,SectorFlows_input!$B$56:$Z$56,0)))</f>
        <v>8714</v>
      </c>
      <c r="L8" s="225">
        <f>IF($D$3="HIS",SectorFlows_input!K5,INDEX(SectorFlows_input!$B$57:$Z$81,MATCH(SectorFlows!$B8,SectorFlows_input!$A$57:$A$81,0),MATCH(SectorFlows!L$5,SectorFlows_input!$B$56:$Z$56,0)))</f>
        <v>14381</v>
      </c>
      <c r="M8" s="225">
        <f>IF($D$3="HIS",SectorFlows_input!L5,INDEX(SectorFlows_input!$B$57:$Z$81,MATCH(SectorFlows!$B8,SectorFlows_input!$A$57:$A$81,0),MATCH(SectorFlows!M$5,SectorFlows_input!$B$56:$Z$56,0)))</f>
        <v>10360</v>
      </c>
      <c r="N8" s="225">
        <f>IF($D$3="HIS",SectorFlows_input!M5,INDEX(SectorFlows_input!$B$57:$Z$81,MATCH(SectorFlows!$B8,SectorFlows_input!$A$57:$A$81,0),MATCH(SectorFlows!N$5,SectorFlows_input!$B$56:$Z$56,0)))</f>
        <v>4124</v>
      </c>
      <c r="O8" s="225">
        <f>IF($D$3="HIS",SectorFlows_input!N5,INDEX(SectorFlows_input!$B$57:$Z$81,MATCH(SectorFlows!$B8,SectorFlows_input!$A$57:$A$81,0),MATCH(SectorFlows!O$5,SectorFlows_input!$B$56:$Z$56,0)))</f>
        <v>3465</v>
      </c>
      <c r="P8" s="225">
        <f>IF($D$3="HIS",SectorFlows_input!O5,INDEX(SectorFlows_input!$B$57:$Z$81,MATCH(SectorFlows!$B8,SectorFlows_input!$A$57:$A$81,0),MATCH(SectorFlows!P$5,SectorFlows_input!$B$56:$Z$56,0)))</f>
        <v>1391</v>
      </c>
      <c r="Q8" s="225">
        <f>IF($D$3="HIS",SectorFlows_input!P5,INDEX(SectorFlows_input!$B$57:$Z$81,MATCH(SectorFlows!$B8,SectorFlows_input!$A$57:$A$81,0),MATCH(SectorFlows!Q$5,SectorFlows_input!$B$56:$Z$56,0)))</f>
        <v>913</v>
      </c>
      <c r="R8" s="225">
        <f>IF($D$3="HIS",SectorFlows_input!Q5,INDEX(SectorFlows_input!$B$57:$Z$81,MATCH(SectorFlows!$B8,SectorFlows_input!$A$57:$A$81,0),MATCH(SectorFlows!R$5,SectorFlows_input!$B$56:$Z$56,0)))</f>
        <v>115</v>
      </c>
      <c r="S8" s="225">
        <f>IF($D$3="HIS",SectorFlows_input!R5,INDEX(SectorFlows_input!$B$57:$Z$81,MATCH(SectorFlows!$B8,SectorFlows_input!$A$57:$A$81,0),MATCH(SectorFlows!S$5,SectorFlows_input!$B$56:$Z$56,0)))</f>
        <v>253</v>
      </c>
      <c r="T8" s="225">
        <f>IF($D$3="HIS",SectorFlows_input!S5,INDEX(SectorFlows_input!$B$57:$Z$81,MATCH(SectorFlows!$B8,SectorFlows_input!$A$57:$A$81,0),MATCH(SectorFlows!T$5,SectorFlows_input!$B$56:$Z$56,0)))</f>
        <v>158</v>
      </c>
      <c r="U8" s="225">
        <f>IF($D$3="HIS",SectorFlows_input!T5,INDEX(SectorFlows_input!$B$57:$Z$81,MATCH(SectorFlows!$B8,SectorFlows_input!$A$57:$A$81,0),MATCH(SectorFlows!U$5,SectorFlows_input!$B$56:$Z$56,0)))</f>
        <v>80</v>
      </c>
      <c r="V8" s="225">
        <f>IF($D$3="HIS",SectorFlows_input!U5,INDEX(SectorFlows_input!$B$57:$Z$81,MATCH(SectorFlows!$B8,SectorFlows_input!$A$57:$A$81,0),MATCH(SectorFlows!V$5,SectorFlows_input!$B$56:$Z$56,0)))</f>
        <v>4983</v>
      </c>
      <c r="W8" s="225">
        <f>IF($D$3="HIS",SectorFlows_input!V5,INDEX(SectorFlows_input!$B$57:$Z$81,MATCH(SectorFlows!$B8,SectorFlows_input!$A$57:$A$81,0),MATCH(SectorFlows!W$5,SectorFlows_input!$B$56:$Z$56,0)))</f>
        <v>2827</v>
      </c>
      <c r="X8" s="225">
        <f>IF($D$3="HIS",SectorFlows_input!W5,INDEX(SectorFlows_input!$B$57:$Z$81,MATCH(SectorFlows!$B8,SectorFlows_input!$A$57:$A$81,0),MATCH(SectorFlows!X$5,SectorFlows_input!$B$56:$Z$56,0)))</f>
        <v>582</v>
      </c>
      <c r="Y8" s="225">
        <f>IF($D$3="HIS",SectorFlows_input!X5,INDEX(SectorFlows_input!$B$57:$Z$81,MATCH(SectorFlows!$B8,SectorFlows_input!$A$57:$A$81,0),MATCH(SectorFlows!Y$5,SectorFlows_input!$B$56:$Z$56,0)))</f>
        <v>183</v>
      </c>
      <c r="Z8" s="225">
        <f>IF($D$3="HIS",SectorFlows_input!Y5,INDEX(SectorFlows_input!$B$57:$Z$81,MATCH(SectorFlows!$B8,SectorFlows_input!$A$57:$A$81,0),MATCH(SectorFlows!Z$5,SectorFlows_input!$B$56:$Z$56,0)))</f>
        <v>210</v>
      </c>
      <c r="AA8" s="225">
        <f>IF($D$3="HIS",SectorFlows_input!Z5,INDEX(SectorFlows_input!$B$57:$Z$81,MATCH(SectorFlows!$B8,SectorFlows_input!$A$57:$A$81,0),MATCH(SectorFlows!AA$5,SectorFlows_input!$B$56:$Z$56,0)))</f>
        <v>487</v>
      </c>
      <c r="AB8" s="226">
        <f t="shared" si="1"/>
        <v>238477</v>
      </c>
      <c r="AD8" s="223" t="s">
        <v>457</v>
      </c>
      <c r="AE8" s="234">
        <f t="shared" si="2"/>
        <v>0.21850744516242657</v>
      </c>
      <c r="AF8" s="234">
        <f t="shared" si="3"/>
        <v>0.16097149829962637</v>
      </c>
      <c r="AG8" s="233">
        <f t="shared" si="4"/>
        <v>0.26908674631096502</v>
      </c>
      <c r="AH8" s="234">
        <f t="shared" si="5"/>
        <v>4.116120212850715E-2</v>
      </c>
      <c r="AI8" s="234">
        <f t="shared" si="6"/>
        <v>3.4921606695823913E-2</v>
      </c>
      <c r="AJ8" s="234">
        <f t="shared" si="7"/>
        <v>1.3334619271460142E-2</v>
      </c>
      <c r="AK8" s="234">
        <f t="shared" si="8"/>
        <v>1.8626534215039604E-2</v>
      </c>
      <c r="AL8" s="234">
        <f t="shared" si="9"/>
        <v>2.0199012902711793E-2</v>
      </c>
      <c r="AM8" s="234">
        <f t="shared" si="10"/>
        <v>3.6540211425001155E-2</v>
      </c>
      <c r="AN8" s="234">
        <f t="shared" si="11"/>
        <v>6.0303509353103232E-2</v>
      </c>
      <c r="AO8" s="234">
        <f t="shared" si="12"/>
        <v>4.3442344544756935E-2</v>
      </c>
      <c r="AP8" s="234">
        <f t="shared" si="13"/>
        <v>1.7293072287893591E-2</v>
      </c>
      <c r="AQ8" s="234">
        <f t="shared" si="14"/>
        <v>1.4529703074091002E-2</v>
      </c>
      <c r="AR8" s="234">
        <f t="shared" si="15"/>
        <v>5.8328476121386969E-3</v>
      </c>
      <c r="AS8" s="234">
        <f t="shared" si="16"/>
        <v>3.8284614449192165E-3</v>
      </c>
      <c r="AT8" s="234">
        <f t="shared" si="17"/>
        <v>4.8222679755280384E-4</v>
      </c>
      <c r="AU8" s="234">
        <f t="shared" si="18"/>
        <v>1.0608989546161685E-3</v>
      </c>
      <c r="AV8" s="234">
        <f t="shared" si="19"/>
        <v>6.6253768707254788E-4</v>
      </c>
      <c r="AW8" s="234">
        <f t="shared" si="20"/>
        <v>3.3546212003673312E-4</v>
      </c>
      <c r="AX8" s="234">
        <f t="shared" si="21"/>
        <v>2.0895096801788013E-2</v>
      </c>
      <c r="AY8" s="234">
        <f t="shared" si="22"/>
        <v>1.1854392666798056E-2</v>
      </c>
      <c r="AZ8" s="234">
        <f t="shared" si="23"/>
        <v>2.4404869232672335E-3</v>
      </c>
      <c r="BA8" s="234">
        <f t="shared" si="24"/>
        <v>7.6736959958402702E-4</v>
      </c>
      <c r="BB8" s="234">
        <f t="shared" si="25"/>
        <v>8.8058806509642442E-4</v>
      </c>
      <c r="BC8" s="234">
        <f t="shared" si="26"/>
        <v>2.0421256557236127E-3</v>
      </c>
      <c r="BD8" s="237">
        <f t="shared" si="27"/>
        <v>0.99999999999999989</v>
      </c>
    </row>
    <row r="9" spans="1:56" x14ac:dyDescent="0.25">
      <c r="B9" s="223" t="s">
        <v>458</v>
      </c>
      <c r="C9" s="225">
        <f>IF($D$3="HIS",SectorFlows_input!B6,INDEX(SectorFlows_input!$B$57:$Z$81,MATCH(SectorFlows!$B9,SectorFlows_input!$A$57:$A$81,0),MATCH(SectorFlows!C$5,SectorFlows_input!$B$56:$Z$56,0)))</f>
        <v>23067</v>
      </c>
      <c r="D9" s="225">
        <f>IF($D$3="HIS",SectorFlows_input!C6,INDEX(SectorFlows_input!$B$57:$Z$81,MATCH(SectorFlows!$B9,SectorFlows_input!$A$57:$A$81,0),MATCH(SectorFlows!D$5,SectorFlows_input!$B$56:$Z$56,0)))</f>
        <v>16634</v>
      </c>
      <c r="E9" s="225">
        <f>IF($D$3="HIS",SectorFlows_input!D6,INDEX(SectorFlows_input!$B$57:$Z$81,MATCH(SectorFlows!$B9,SectorFlows_input!$A$57:$A$81,0),MATCH(SectorFlows!E$5,SectorFlows_input!$B$56:$Z$56,0)))</f>
        <v>19299</v>
      </c>
      <c r="F9" s="224">
        <f>IF($D$3="HIS",SectorFlows_input!E6,INDEX(SectorFlows_input!$B$57:$Z$81,MATCH(SectorFlows!$B9,SectorFlows_input!$A$57:$A$81,0),MATCH(SectorFlows!F$5,SectorFlows_input!$B$56:$Z$56,0)))</f>
        <v>16358</v>
      </c>
      <c r="G9" s="225">
        <f>IF($D$3="HIS",SectorFlows_input!F6,INDEX(SectorFlows_input!$B$57:$Z$81,MATCH(SectorFlows!$B9,SectorFlows_input!$A$57:$A$81,0),MATCH(SectorFlows!G$5,SectorFlows_input!$B$56:$Z$56,0)))</f>
        <v>9508</v>
      </c>
      <c r="H9" s="225">
        <f>IF($D$3="HIS",SectorFlows_input!G6,INDEX(SectorFlows_input!$B$57:$Z$81,MATCH(SectorFlows!$B9,SectorFlows_input!$A$57:$A$81,0),MATCH(SectorFlows!H$5,SectorFlows_input!$B$56:$Z$56,0)))</f>
        <v>2627</v>
      </c>
      <c r="I9" s="225">
        <f>IF($D$3="HIS",SectorFlows_input!H6,INDEX(SectorFlows_input!$B$57:$Z$81,MATCH(SectorFlows!$B9,SectorFlows_input!$A$57:$A$81,0),MATCH(SectorFlows!I$5,SectorFlows_input!$B$56:$Z$56,0)))</f>
        <v>3830</v>
      </c>
      <c r="J9" s="225">
        <f>IF($D$3="HIS",SectorFlows_input!I6,INDEX(SectorFlows_input!$B$57:$Z$81,MATCH(SectorFlows!$B9,SectorFlows_input!$A$57:$A$81,0),MATCH(SectorFlows!J$5,SectorFlows_input!$B$56:$Z$56,0)))</f>
        <v>3281</v>
      </c>
      <c r="K9" s="225">
        <f>IF($D$3="HIS",SectorFlows_input!J6,INDEX(SectorFlows_input!$B$57:$Z$81,MATCH(SectorFlows!$B9,SectorFlows_input!$A$57:$A$81,0),MATCH(SectorFlows!K$5,SectorFlows_input!$B$56:$Z$56,0)))</f>
        <v>1972</v>
      </c>
      <c r="L9" s="225">
        <f>IF($D$3="HIS",SectorFlows_input!K6,INDEX(SectorFlows_input!$B$57:$Z$81,MATCH(SectorFlows!$B9,SectorFlows_input!$A$57:$A$81,0),MATCH(SectorFlows!L$5,SectorFlows_input!$B$56:$Z$56,0)))</f>
        <v>3370</v>
      </c>
      <c r="M9" s="225">
        <f>IF($D$3="HIS",SectorFlows_input!L6,INDEX(SectorFlows_input!$B$57:$Z$81,MATCH(SectorFlows!$B9,SectorFlows_input!$A$57:$A$81,0),MATCH(SectorFlows!M$5,SectorFlows_input!$B$56:$Z$56,0)))</f>
        <v>5394</v>
      </c>
      <c r="N9" s="225">
        <f>IF($D$3="HIS",SectorFlows_input!M6,INDEX(SectorFlows_input!$B$57:$Z$81,MATCH(SectorFlows!$B9,SectorFlows_input!$A$57:$A$81,0),MATCH(SectorFlows!N$5,SectorFlows_input!$B$56:$Z$56,0)))</f>
        <v>3114</v>
      </c>
      <c r="O9" s="225">
        <f>IF($D$3="HIS",SectorFlows_input!N6,INDEX(SectorFlows_input!$B$57:$Z$81,MATCH(SectorFlows!$B9,SectorFlows_input!$A$57:$A$81,0),MATCH(SectorFlows!O$5,SectorFlows_input!$B$56:$Z$56,0)))</f>
        <v>2422</v>
      </c>
      <c r="P9" s="225">
        <f>IF($D$3="HIS",SectorFlows_input!O6,INDEX(SectorFlows_input!$B$57:$Z$81,MATCH(SectorFlows!$B9,SectorFlows_input!$A$57:$A$81,0),MATCH(SectorFlows!P$5,SectorFlows_input!$B$56:$Z$56,0)))</f>
        <v>1241</v>
      </c>
      <c r="Q9" s="225">
        <f>IF($D$3="HIS",SectorFlows_input!P6,INDEX(SectorFlows_input!$B$57:$Z$81,MATCH(SectorFlows!$B9,SectorFlows_input!$A$57:$A$81,0),MATCH(SectorFlows!Q$5,SectorFlows_input!$B$56:$Z$56,0)))</f>
        <v>676</v>
      </c>
      <c r="R9" s="225">
        <f>IF($D$3="HIS",SectorFlows_input!Q6,INDEX(SectorFlows_input!$B$57:$Z$81,MATCH(SectorFlows!$B9,SectorFlows_input!$A$57:$A$81,0),MATCH(SectorFlows!R$5,SectorFlows_input!$B$56:$Z$56,0)))</f>
        <v>40</v>
      </c>
      <c r="S9" s="225">
        <f>IF($D$3="HIS",SectorFlows_input!R6,INDEX(SectorFlows_input!$B$57:$Z$81,MATCH(SectorFlows!$B9,SectorFlows_input!$A$57:$A$81,0),MATCH(SectorFlows!S$5,SectorFlows_input!$B$56:$Z$56,0)))</f>
        <v>100</v>
      </c>
      <c r="T9" s="225">
        <f>IF($D$3="HIS",SectorFlows_input!S6,INDEX(SectorFlows_input!$B$57:$Z$81,MATCH(SectorFlows!$B9,SectorFlows_input!$A$57:$A$81,0),MATCH(SectorFlows!T$5,SectorFlows_input!$B$56:$Z$56,0)))</f>
        <v>85</v>
      </c>
      <c r="U9" s="225">
        <f>IF($D$3="HIS",SectorFlows_input!T6,INDEX(SectorFlows_input!$B$57:$Z$81,MATCH(SectorFlows!$B9,SectorFlows_input!$A$57:$A$81,0),MATCH(SectorFlows!U$5,SectorFlows_input!$B$56:$Z$56,0)))</f>
        <v>0</v>
      </c>
      <c r="V9" s="225">
        <f>IF($D$3="HIS",SectorFlows_input!U6,INDEX(SectorFlows_input!$B$57:$Z$81,MATCH(SectorFlows!$B9,SectorFlows_input!$A$57:$A$81,0),MATCH(SectorFlows!V$5,SectorFlows_input!$B$56:$Z$56,0)))</f>
        <v>1665</v>
      </c>
      <c r="W9" s="225">
        <f>IF($D$3="HIS",SectorFlows_input!V6,INDEX(SectorFlows_input!$B$57:$Z$81,MATCH(SectorFlows!$B9,SectorFlows_input!$A$57:$A$81,0),MATCH(SectorFlows!W$5,SectorFlows_input!$B$56:$Z$56,0)))</f>
        <v>699</v>
      </c>
      <c r="X9" s="225">
        <f>IF($D$3="HIS",SectorFlows_input!W6,INDEX(SectorFlows_input!$B$57:$Z$81,MATCH(SectorFlows!$B9,SectorFlows_input!$A$57:$A$81,0),MATCH(SectorFlows!X$5,SectorFlows_input!$B$56:$Z$56,0)))</f>
        <v>333</v>
      </c>
      <c r="Y9" s="225">
        <f>IF($D$3="HIS",SectorFlows_input!X6,INDEX(SectorFlows_input!$B$57:$Z$81,MATCH(SectorFlows!$B9,SectorFlows_input!$A$57:$A$81,0),MATCH(SectorFlows!Y$5,SectorFlows_input!$B$56:$Z$56,0)))</f>
        <v>145</v>
      </c>
      <c r="Z9" s="225">
        <f>IF($D$3="HIS",SectorFlows_input!Y6,INDEX(SectorFlows_input!$B$57:$Z$81,MATCH(SectorFlows!$B9,SectorFlows_input!$A$57:$A$81,0),MATCH(SectorFlows!Z$5,SectorFlows_input!$B$56:$Z$56,0)))</f>
        <v>234</v>
      </c>
      <c r="AA9" s="225">
        <f>IF($D$3="HIS",SectorFlows_input!Z6,INDEX(SectorFlows_input!$B$57:$Z$81,MATCH(SectorFlows!$B9,SectorFlows_input!$A$57:$A$81,0),MATCH(SectorFlows!AA$5,SectorFlows_input!$B$56:$Z$56,0)))</f>
        <v>269</v>
      </c>
      <c r="AB9" s="226">
        <f t="shared" si="1"/>
        <v>116363</v>
      </c>
      <c r="AD9" s="223" t="s">
        <v>458</v>
      </c>
      <c r="AE9" s="234">
        <f t="shared" si="2"/>
        <v>0.1982331153373495</v>
      </c>
      <c r="AF9" s="234">
        <f t="shared" si="3"/>
        <v>0.14294921925354279</v>
      </c>
      <c r="AG9" s="234">
        <f t="shared" si="4"/>
        <v>0.16585168825142013</v>
      </c>
      <c r="AH9" s="233">
        <f t="shared" si="5"/>
        <v>0.14057733128228045</v>
      </c>
      <c r="AI9" s="234">
        <f t="shared" si="6"/>
        <v>8.1709821850588241E-2</v>
      </c>
      <c r="AJ9" s="234">
        <f t="shared" si="7"/>
        <v>2.2575904711978893E-2</v>
      </c>
      <c r="AK9" s="234">
        <f t="shared" si="8"/>
        <v>3.2914242499763671E-2</v>
      </c>
      <c r="AL9" s="234">
        <f t="shared" si="9"/>
        <v>2.8196247948230967E-2</v>
      </c>
      <c r="AM9" s="234">
        <f t="shared" si="10"/>
        <v>1.6946967678729493E-2</v>
      </c>
      <c r="AN9" s="234">
        <f t="shared" si="11"/>
        <v>2.8961095880993101E-2</v>
      </c>
      <c r="AO9" s="234">
        <f t="shared" si="12"/>
        <v>4.6354941003583616E-2</v>
      </c>
      <c r="AP9" s="234">
        <f t="shared" si="13"/>
        <v>2.6761083849677302E-2</v>
      </c>
      <c r="AQ9" s="234">
        <f t="shared" si="14"/>
        <v>2.0814176327526791E-2</v>
      </c>
      <c r="AR9" s="234">
        <f t="shared" si="15"/>
        <v>1.0664902073683216E-2</v>
      </c>
      <c r="AS9" s="234">
        <f t="shared" si="16"/>
        <v>5.8094067701932742E-3</v>
      </c>
      <c r="AT9" s="234">
        <f t="shared" si="17"/>
        <v>3.4375187989309317E-4</v>
      </c>
      <c r="AU9" s="234">
        <f t="shared" si="18"/>
        <v>8.5937969973273287E-4</v>
      </c>
      <c r="AV9" s="234">
        <f t="shared" si="19"/>
        <v>7.3047274477282297E-4</v>
      </c>
      <c r="AW9" s="234">
        <f t="shared" si="20"/>
        <v>0</v>
      </c>
      <c r="AX9" s="234">
        <f t="shared" si="21"/>
        <v>1.4308672000550002E-2</v>
      </c>
      <c r="AY9" s="234">
        <f t="shared" si="22"/>
        <v>6.0070641011318029E-3</v>
      </c>
      <c r="AZ9" s="234">
        <f t="shared" si="23"/>
        <v>2.8617344001100006E-3</v>
      </c>
      <c r="BA9" s="234">
        <f t="shared" si="24"/>
        <v>1.2461005646124627E-3</v>
      </c>
      <c r="BB9" s="234">
        <f t="shared" si="25"/>
        <v>2.0109484973745949E-3</v>
      </c>
      <c r="BC9" s="234">
        <f t="shared" si="26"/>
        <v>2.3117313922810514E-3</v>
      </c>
      <c r="BD9" s="237">
        <f t="shared" si="27"/>
        <v>1</v>
      </c>
    </row>
    <row r="10" spans="1:56" x14ac:dyDescent="0.25">
      <c r="B10" s="223" t="s">
        <v>47</v>
      </c>
      <c r="C10" s="225">
        <f>IF($D$3="HIS",SectorFlows_input!B7,INDEX(SectorFlows_input!$B$57:$Z$81,MATCH(SectorFlows!$B10,SectorFlows_input!$A$57:$A$81,0),MATCH(SectorFlows!C$5,SectorFlows_input!$B$56:$Z$56,0)))</f>
        <v>31349</v>
      </c>
      <c r="D10" s="225">
        <f>IF($D$3="HIS",SectorFlows_input!C7,INDEX(SectorFlows_input!$B$57:$Z$81,MATCH(SectorFlows!$B10,SectorFlows_input!$A$57:$A$81,0),MATCH(SectorFlows!D$5,SectorFlows_input!$B$56:$Z$56,0)))</f>
        <v>10193</v>
      </c>
      <c r="E10" s="225">
        <f>IF($D$3="HIS",SectorFlows_input!D7,INDEX(SectorFlows_input!$B$57:$Z$81,MATCH(SectorFlows!$B10,SectorFlows_input!$A$57:$A$81,0),MATCH(SectorFlows!E$5,SectorFlows_input!$B$56:$Z$56,0)))</f>
        <v>9659</v>
      </c>
      <c r="F10" s="225">
        <f>IF($D$3="HIS",SectorFlows_input!E7,INDEX(SectorFlows_input!$B$57:$Z$81,MATCH(SectorFlows!$B10,SectorFlows_input!$A$57:$A$81,0),MATCH(SectorFlows!F$5,SectorFlows_input!$B$56:$Z$56,0)))</f>
        <v>6209</v>
      </c>
      <c r="G10" s="224">
        <f>IF($D$3="HIS",SectorFlows_input!F7,INDEX(SectorFlows_input!$B$57:$Z$81,MATCH(SectorFlows!$B10,SectorFlows_input!$A$57:$A$81,0),MATCH(SectorFlows!G$5,SectorFlows_input!$B$56:$Z$56,0)))</f>
        <v>35268</v>
      </c>
      <c r="H10" s="225">
        <f>IF($D$3="HIS",SectorFlows_input!G7,INDEX(SectorFlows_input!$B$57:$Z$81,MATCH(SectorFlows!$B10,SectorFlows_input!$A$57:$A$81,0),MATCH(SectorFlows!H$5,SectorFlows_input!$B$56:$Z$56,0)))</f>
        <v>7345</v>
      </c>
      <c r="I10" s="225">
        <f>IF($D$3="HIS",SectorFlows_input!H7,INDEX(SectorFlows_input!$B$57:$Z$81,MATCH(SectorFlows!$B10,SectorFlows_input!$A$57:$A$81,0),MATCH(SectorFlows!I$5,SectorFlows_input!$B$56:$Z$56,0)))</f>
        <v>3783</v>
      </c>
      <c r="J10" s="225">
        <f>IF($D$3="HIS",SectorFlows_input!I7,INDEX(SectorFlows_input!$B$57:$Z$81,MATCH(SectorFlows!$B10,SectorFlows_input!$A$57:$A$81,0),MATCH(SectorFlows!J$5,SectorFlows_input!$B$56:$Z$56,0)))</f>
        <v>4108</v>
      </c>
      <c r="K10" s="225">
        <f>IF($D$3="HIS",SectorFlows_input!J7,INDEX(SectorFlows_input!$B$57:$Z$81,MATCH(SectorFlows!$B10,SectorFlows_input!$A$57:$A$81,0),MATCH(SectorFlows!K$5,SectorFlows_input!$B$56:$Z$56,0)))</f>
        <v>1389</v>
      </c>
      <c r="L10" s="225">
        <f>IF($D$3="HIS",SectorFlows_input!K7,INDEX(SectorFlows_input!$B$57:$Z$81,MATCH(SectorFlows!$B10,SectorFlows_input!$A$57:$A$81,0),MATCH(SectorFlows!L$5,SectorFlows_input!$B$56:$Z$56,0)))</f>
        <v>4566</v>
      </c>
      <c r="M10" s="225">
        <f>IF($D$3="HIS",SectorFlows_input!L7,INDEX(SectorFlows_input!$B$57:$Z$81,MATCH(SectorFlows!$B10,SectorFlows_input!$A$57:$A$81,0),MATCH(SectorFlows!M$5,SectorFlows_input!$B$56:$Z$56,0)))</f>
        <v>6452</v>
      </c>
      <c r="N10" s="225">
        <f>IF($D$3="HIS",SectorFlows_input!M7,INDEX(SectorFlows_input!$B$57:$Z$81,MATCH(SectorFlows!$B10,SectorFlows_input!$A$57:$A$81,0),MATCH(SectorFlows!N$5,SectorFlows_input!$B$56:$Z$56,0)))</f>
        <v>7837</v>
      </c>
      <c r="O10" s="225">
        <f>IF($D$3="HIS",SectorFlows_input!N7,INDEX(SectorFlows_input!$B$57:$Z$81,MATCH(SectorFlows!$B10,SectorFlows_input!$A$57:$A$81,0),MATCH(SectorFlows!O$5,SectorFlows_input!$B$56:$Z$56,0)))</f>
        <v>6492</v>
      </c>
      <c r="P10" s="225">
        <f>IF($D$3="HIS",SectorFlows_input!O7,INDEX(SectorFlows_input!$B$57:$Z$81,MATCH(SectorFlows!$B10,SectorFlows_input!$A$57:$A$81,0),MATCH(SectorFlows!P$5,SectorFlows_input!$B$56:$Z$56,0)))</f>
        <v>1530</v>
      </c>
      <c r="Q10" s="225">
        <f>IF($D$3="HIS",SectorFlows_input!P7,INDEX(SectorFlows_input!$B$57:$Z$81,MATCH(SectorFlows!$B10,SectorFlows_input!$A$57:$A$81,0),MATCH(SectorFlows!Q$5,SectorFlows_input!$B$56:$Z$56,0)))</f>
        <v>965</v>
      </c>
      <c r="R10" s="225">
        <f>IF($D$3="HIS",SectorFlows_input!Q7,INDEX(SectorFlows_input!$B$57:$Z$81,MATCH(SectorFlows!$B10,SectorFlows_input!$A$57:$A$81,0),MATCH(SectorFlows!R$5,SectorFlows_input!$B$56:$Z$56,0)))</f>
        <v>14</v>
      </c>
      <c r="S10" s="225">
        <f>IF($D$3="HIS",SectorFlows_input!R7,INDEX(SectorFlows_input!$B$57:$Z$81,MATCH(SectorFlows!$B10,SectorFlows_input!$A$57:$A$81,0),MATCH(SectorFlows!S$5,SectorFlows_input!$B$56:$Z$56,0)))</f>
        <v>237</v>
      </c>
      <c r="T10" s="225">
        <f>IF($D$3="HIS",SectorFlows_input!S7,INDEX(SectorFlows_input!$B$57:$Z$81,MATCH(SectorFlows!$B10,SectorFlows_input!$A$57:$A$81,0),MATCH(SectorFlows!T$5,SectorFlows_input!$B$56:$Z$56,0)))</f>
        <v>100</v>
      </c>
      <c r="U10" s="225">
        <f>IF($D$3="HIS",SectorFlows_input!T7,INDEX(SectorFlows_input!$B$57:$Z$81,MATCH(SectorFlows!$B10,SectorFlows_input!$A$57:$A$81,0),MATCH(SectorFlows!U$5,SectorFlows_input!$B$56:$Z$56,0)))</f>
        <v>35</v>
      </c>
      <c r="V10" s="225">
        <f>IF($D$3="HIS",SectorFlows_input!U7,INDEX(SectorFlows_input!$B$57:$Z$81,MATCH(SectorFlows!$B10,SectorFlows_input!$A$57:$A$81,0),MATCH(SectorFlows!V$5,SectorFlows_input!$B$56:$Z$56,0)))</f>
        <v>1401</v>
      </c>
      <c r="W10" s="225">
        <f>IF($D$3="HIS",SectorFlows_input!V7,INDEX(SectorFlows_input!$B$57:$Z$81,MATCH(SectorFlows!$B10,SectorFlows_input!$A$57:$A$81,0),MATCH(SectorFlows!W$5,SectorFlows_input!$B$56:$Z$56,0)))</f>
        <v>619</v>
      </c>
      <c r="X10" s="225">
        <f>IF($D$3="HIS",SectorFlows_input!W7,INDEX(SectorFlows_input!$B$57:$Z$81,MATCH(SectorFlows!$B10,SectorFlows_input!$A$57:$A$81,0),MATCH(SectorFlows!X$5,SectorFlows_input!$B$56:$Z$56,0)))</f>
        <v>233</v>
      </c>
      <c r="Y10" s="225">
        <f>IF($D$3="HIS",SectorFlows_input!X7,INDEX(SectorFlows_input!$B$57:$Z$81,MATCH(SectorFlows!$B10,SectorFlows_input!$A$57:$A$81,0),MATCH(SectorFlows!Y$5,SectorFlows_input!$B$56:$Z$56,0)))</f>
        <v>331</v>
      </c>
      <c r="Z10" s="225">
        <f>IF($D$3="HIS",SectorFlows_input!Y7,INDEX(SectorFlows_input!$B$57:$Z$81,MATCH(SectorFlows!$B10,SectorFlows_input!$A$57:$A$81,0),MATCH(SectorFlows!Z$5,SectorFlows_input!$B$56:$Z$56,0)))</f>
        <v>492</v>
      </c>
      <c r="AA10" s="225">
        <f>IF($D$3="HIS",SectorFlows_input!Z7,INDEX(SectorFlows_input!$B$57:$Z$81,MATCH(SectorFlows!$B10,SectorFlows_input!$A$57:$A$81,0),MATCH(SectorFlows!AA$5,SectorFlows_input!$B$56:$Z$56,0)))</f>
        <v>516</v>
      </c>
      <c r="AB10" s="226">
        <f t="shared" si="1"/>
        <v>141123</v>
      </c>
      <c r="AD10" s="223" t="s">
        <v>47</v>
      </c>
      <c r="AE10" s="234">
        <f t="shared" si="2"/>
        <v>0.22213955202199501</v>
      </c>
      <c r="AF10" s="234">
        <f t="shared" si="3"/>
        <v>7.2227772935666054E-2</v>
      </c>
      <c r="AG10" s="234">
        <f t="shared" si="4"/>
        <v>6.8443839770979925E-2</v>
      </c>
      <c r="AH10" s="234">
        <f t="shared" si="5"/>
        <v>4.3997080560929117E-2</v>
      </c>
      <c r="AI10" s="233">
        <f t="shared" si="6"/>
        <v>0.24990965328118026</v>
      </c>
      <c r="AJ10" s="234">
        <f t="shared" si="7"/>
        <v>5.2046796057340049E-2</v>
      </c>
      <c r="AK10" s="234">
        <f t="shared" si="8"/>
        <v>2.6806402925107886E-2</v>
      </c>
      <c r="AL10" s="234">
        <f t="shared" si="9"/>
        <v>2.9109358502866296E-2</v>
      </c>
      <c r="AM10" s="234">
        <f t="shared" si="10"/>
        <v>9.8424778384813248E-3</v>
      </c>
      <c r="AN10" s="234">
        <f t="shared" si="11"/>
        <v>3.2354754363215069E-2</v>
      </c>
      <c r="AO10" s="234">
        <f t="shared" si="12"/>
        <v>4.5718982731376173E-2</v>
      </c>
      <c r="AP10" s="234">
        <f t="shared" si="13"/>
        <v>5.5533116501208166E-2</v>
      </c>
      <c r="AQ10" s="234">
        <f t="shared" si="14"/>
        <v>4.6002423417869517E-2</v>
      </c>
      <c r="AR10" s="234">
        <f t="shared" si="15"/>
        <v>1.0841606258370358E-2</v>
      </c>
      <c r="AS10" s="234">
        <f t="shared" si="16"/>
        <v>6.8380065616518923E-3</v>
      </c>
      <c r="AT10" s="234">
        <f t="shared" si="17"/>
        <v>9.9204240272669945E-5</v>
      </c>
      <c r="AU10" s="234">
        <f t="shared" si="18"/>
        <v>1.6793860674730555E-3</v>
      </c>
      <c r="AV10" s="234">
        <f t="shared" si="19"/>
        <v>7.086017162333567E-4</v>
      </c>
      <c r="AW10" s="234">
        <f t="shared" si="20"/>
        <v>2.4801060068167487E-4</v>
      </c>
      <c r="AX10" s="234">
        <f t="shared" si="21"/>
        <v>9.927510044429327E-3</v>
      </c>
      <c r="AY10" s="234">
        <f t="shared" si="22"/>
        <v>4.3862446234844777E-3</v>
      </c>
      <c r="AZ10" s="234">
        <f t="shared" si="23"/>
        <v>1.6510419988237212E-3</v>
      </c>
      <c r="BA10" s="234">
        <f t="shared" si="24"/>
        <v>2.3454716807324106E-3</v>
      </c>
      <c r="BB10" s="234">
        <f t="shared" si="25"/>
        <v>3.4863204438681152E-3</v>
      </c>
      <c r="BC10" s="234">
        <f t="shared" si="26"/>
        <v>3.6563848557641205E-3</v>
      </c>
      <c r="BD10" s="237">
        <f t="shared" si="27"/>
        <v>1</v>
      </c>
    </row>
    <row r="11" spans="1:56" x14ac:dyDescent="0.25">
      <c r="B11" s="223" t="s">
        <v>459</v>
      </c>
      <c r="C11" s="225">
        <f>IF($D$3="HIS",SectorFlows_input!B8,INDEX(SectorFlows_input!$B$57:$Z$81,MATCH(SectorFlows!$B11,SectorFlows_input!$A$57:$A$81,0),MATCH(SectorFlows!C$5,SectorFlows_input!$B$56:$Z$56,0)))</f>
        <v>23457</v>
      </c>
      <c r="D11" s="225">
        <f>IF($D$3="HIS",SectorFlows_input!C8,INDEX(SectorFlows_input!$B$57:$Z$81,MATCH(SectorFlows!$B11,SectorFlows_input!$A$57:$A$81,0),MATCH(SectorFlows!D$5,SectorFlows_input!$B$56:$Z$56,0)))</f>
        <v>8002</v>
      </c>
      <c r="E11" s="225">
        <f>IF($D$3="HIS",SectorFlows_input!D8,INDEX(SectorFlows_input!$B$57:$Z$81,MATCH(SectorFlows!$B11,SectorFlows_input!$A$57:$A$81,0),MATCH(SectorFlows!E$5,SectorFlows_input!$B$56:$Z$56,0)))</f>
        <v>6576</v>
      </c>
      <c r="F11" s="225">
        <f>IF($D$3="HIS",SectorFlows_input!E8,INDEX(SectorFlows_input!$B$57:$Z$81,MATCH(SectorFlows!$B11,SectorFlows_input!$A$57:$A$81,0),MATCH(SectorFlows!F$5,SectorFlows_input!$B$56:$Z$56,0)))</f>
        <v>3541</v>
      </c>
      <c r="G11" s="225">
        <f>IF($D$3="HIS",SectorFlows_input!F8,INDEX(SectorFlows_input!$B$57:$Z$81,MATCH(SectorFlows!$B11,SectorFlows_input!$A$57:$A$81,0),MATCH(SectorFlows!G$5,SectorFlows_input!$B$56:$Z$56,0)))</f>
        <v>12871</v>
      </c>
      <c r="H11" s="224">
        <f>IF($D$3="HIS",SectorFlows_input!G8,INDEX(SectorFlows_input!$B$57:$Z$81,MATCH(SectorFlows!$B11,SectorFlows_input!$A$57:$A$81,0),MATCH(SectorFlows!H$5,SectorFlows_input!$B$56:$Z$56,0)))</f>
        <v>28181</v>
      </c>
      <c r="I11" s="225">
        <f>IF($D$3="HIS",SectorFlows_input!H8,INDEX(SectorFlows_input!$B$57:$Z$81,MATCH(SectorFlows!$B11,SectorFlows_input!$A$57:$A$81,0),MATCH(SectorFlows!I$5,SectorFlows_input!$B$56:$Z$56,0)))</f>
        <v>8117</v>
      </c>
      <c r="J11" s="225">
        <f>IF($D$3="HIS",SectorFlows_input!I8,INDEX(SectorFlows_input!$B$57:$Z$81,MATCH(SectorFlows!$B11,SectorFlows_input!$A$57:$A$81,0),MATCH(SectorFlows!J$5,SectorFlows_input!$B$56:$Z$56,0)))</f>
        <v>3728</v>
      </c>
      <c r="K11" s="225">
        <f>IF($D$3="HIS",SectorFlows_input!J8,INDEX(SectorFlows_input!$B$57:$Z$81,MATCH(SectorFlows!$B11,SectorFlows_input!$A$57:$A$81,0),MATCH(SectorFlows!K$5,SectorFlows_input!$B$56:$Z$56,0)))</f>
        <v>1270</v>
      </c>
      <c r="L11" s="225">
        <f>IF($D$3="HIS",SectorFlows_input!K8,INDEX(SectorFlows_input!$B$57:$Z$81,MATCH(SectorFlows!$B11,SectorFlows_input!$A$57:$A$81,0),MATCH(SectorFlows!L$5,SectorFlows_input!$B$56:$Z$56,0)))</f>
        <v>2618</v>
      </c>
      <c r="M11" s="225">
        <f>IF($D$3="HIS",SectorFlows_input!L8,INDEX(SectorFlows_input!$B$57:$Z$81,MATCH(SectorFlows!$B11,SectorFlows_input!$A$57:$A$81,0),MATCH(SectorFlows!M$5,SectorFlows_input!$B$56:$Z$56,0)))</f>
        <v>3998</v>
      </c>
      <c r="N11" s="225">
        <f>IF($D$3="HIS",SectorFlows_input!M8,INDEX(SectorFlows_input!$B$57:$Z$81,MATCH(SectorFlows!$B11,SectorFlows_input!$A$57:$A$81,0),MATCH(SectorFlows!N$5,SectorFlows_input!$B$56:$Z$56,0)))</f>
        <v>4895</v>
      </c>
      <c r="O11" s="225">
        <f>IF($D$3="HIS",SectorFlows_input!N8,INDEX(SectorFlows_input!$B$57:$Z$81,MATCH(SectorFlows!$B11,SectorFlows_input!$A$57:$A$81,0),MATCH(SectorFlows!O$5,SectorFlows_input!$B$56:$Z$56,0)))</f>
        <v>9654</v>
      </c>
      <c r="P11" s="225">
        <f>IF($D$3="HIS",SectorFlows_input!O8,INDEX(SectorFlows_input!$B$57:$Z$81,MATCH(SectorFlows!$B11,SectorFlows_input!$A$57:$A$81,0),MATCH(SectorFlows!P$5,SectorFlows_input!$B$56:$Z$56,0)))</f>
        <v>3870</v>
      </c>
      <c r="Q11" s="225">
        <f>IF($D$3="HIS",SectorFlows_input!P8,INDEX(SectorFlows_input!$B$57:$Z$81,MATCH(SectorFlows!$B11,SectorFlows_input!$A$57:$A$81,0),MATCH(SectorFlows!Q$5,SectorFlows_input!$B$56:$Z$56,0)))</f>
        <v>625</v>
      </c>
      <c r="R11" s="225">
        <f>IF($D$3="HIS",SectorFlows_input!Q8,INDEX(SectorFlows_input!$B$57:$Z$81,MATCH(SectorFlows!$B11,SectorFlows_input!$A$57:$A$81,0),MATCH(SectorFlows!R$5,SectorFlows_input!$B$56:$Z$56,0)))</f>
        <v>90</v>
      </c>
      <c r="S11" s="225">
        <f>IF($D$3="HIS",SectorFlows_input!R8,INDEX(SectorFlows_input!$B$57:$Z$81,MATCH(SectorFlows!$B11,SectorFlows_input!$A$57:$A$81,0),MATCH(SectorFlows!S$5,SectorFlows_input!$B$56:$Z$56,0)))</f>
        <v>104</v>
      </c>
      <c r="T11" s="225">
        <f>IF($D$3="HIS",SectorFlows_input!S8,INDEX(SectorFlows_input!$B$57:$Z$81,MATCH(SectorFlows!$B11,SectorFlows_input!$A$57:$A$81,0),MATCH(SectorFlows!T$5,SectorFlows_input!$B$56:$Z$56,0)))</f>
        <v>309</v>
      </c>
      <c r="U11" s="225">
        <f>IF($D$3="HIS",SectorFlows_input!T8,INDEX(SectorFlows_input!$B$57:$Z$81,MATCH(SectorFlows!$B11,SectorFlows_input!$A$57:$A$81,0),MATCH(SectorFlows!U$5,SectorFlows_input!$B$56:$Z$56,0)))</f>
        <v>40</v>
      </c>
      <c r="V11" s="225">
        <f>IF($D$3="HIS",SectorFlows_input!U8,INDEX(SectorFlows_input!$B$57:$Z$81,MATCH(SectorFlows!$B11,SectorFlows_input!$A$57:$A$81,0),MATCH(SectorFlows!V$5,SectorFlows_input!$B$56:$Z$56,0)))</f>
        <v>822</v>
      </c>
      <c r="W11" s="225">
        <f>IF($D$3="HIS",SectorFlows_input!V8,INDEX(SectorFlows_input!$B$57:$Z$81,MATCH(SectorFlows!$B11,SectorFlows_input!$A$57:$A$81,0),MATCH(SectorFlows!W$5,SectorFlows_input!$B$56:$Z$56,0)))</f>
        <v>337</v>
      </c>
      <c r="X11" s="225">
        <f>IF($D$3="HIS",SectorFlows_input!W8,INDEX(SectorFlows_input!$B$57:$Z$81,MATCH(SectorFlows!$B11,SectorFlows_input!$A$57:$A$81,0),MATCH(SectorFlows!X$5,SectorFlows_input!$B$56:$Z$56,0)))</f>
        <v>232</v>
      </c>
      <c r="Y11" s="225">
        <f>IF($D$3="HIS",SectorFlows_input!X8,INDEX(SectorFlows_input!$B$57:$Z$81,MATCH(SectorFlows!$B11,SectorFlows_input!$A$57:$A$81,0),MATCH(SectorFlows!Y$5,SectorFlows_input!$B$56:$Z$56,0)))</f>
        <v>293</v>
      </c>
      <c r="Z11" s="225">
        <f>IF($D$3="HIS",SectorFlows_input!Y8,INDEX(SectorFlows_input!$B$57:$Z$81,MATCH(SectorFlows!$B11,SectorFlows_input!$A$57:$A$81,0),MATCH(SectorFlows!Z$5,SectorFlows_input!$B$56:$Z$56,0)))</f>
        <v>505</v>
      </c>
      <c r="AA11" s="225">
        <f>IF($D$3="HIS",SectorFlows_input!Z8,INDEX(SectorFlows_input!$B$57:$Z$81,MATCH(SectorFlows!$B11,SectorFlows_input!$A$57:$A$81,0),MATCH(SectorFlows!AA$5,SectorFlows_input!$B$56:$Z$56,0)))</f>
        <v>1241</v>
      </c>
      <c r="AB11" s="226">
        <f t="shared" si="1"/>
        <v>125376</v>
      </c>
      <c r="AD11" s="223" t="s">
        <v>459</v>
      </c>
      <c r="AE11" s="234">
        <f t="shared" si="2"/>
        <v>0.18709322358346095</v>
      </c>
      <c r="AF11" s="234">
        <f t="shared" si="3"/>
        <v>6.3824017355793766E-2</v>
      </c>
      <c r="AG11" s="234">
        <f t="shared" si="4"/>
        <v>5.245022970903522E-2</v>
      </c>
      <c r="AH11" s="234">
        <f t="shared" si="5"/>
        <v>2.8243044920877997E-2</v>
      </c>
      <c r="AI11" s="234">
        <f t="shared" si="6"/>
        <v>0.10265920112302195</v>
      </c>
      <c r="AJ11" s="233">
        <f t="shared" si="7"/>
        <v>0.22477188616641144</v>
      </c>
      <c r="AK11" s="234">
        <f t="shared" si="8"/>
        <v>6.4741258295048495E-2</v>
      </c>
      <c r="AL11" s="234">
        <f t="shared" si="9"/>
        <v>2.9734558448187853E-2</v>
      </c>
      <c r="AM11" s="234">
        <f t="shared" si="10"/>
        <v>1.0129530372639101E-2</v>
      </c>
      <c r="AN11" s="234">
        <f t="shared" si="11"/>
        <v>2.0881189382337927E-2</v>
      </c>
      <c r="AO11" s="234">
        <f t="shared" si="12"/>
        <v>3.1888080653394588E-2</v>
      </c>
      <c r="AP11" s="234">
        <f t="shared" si="13"/>
        <v>3.904255997958142E-2</v>
      </c>
      <c r="AQ11" s="234">
        <f t="shared" si="14"/>
        <v>7.7000382848392043E-2</v>
      </c>
      <c r="AR11" s="234">
        <f t="shared" si="15"/>
        <v>3.0867151607963248E-2</v>
      </c>
      <c r="AS11" s="234">
        <f t="shared" si="16"/>
        <v>4.9850051046452272E-3</v>
      </c>
      <c r="AT11" s="234">
        <f t="shared" si="17"/>
        <v>7.1784073506891272E-4</v>
      </c>
      <c r="AU11" s="234">
        <f t="shared" si="18"/>
        <v>8.2950484941296575E-4</v>
      </c>
      <c r="AV11" s="234">
        <f t="shared" si="19"/>
        <v>2.4645865237366005E-3</v>
      </c>
      <c r="AW11" s="234">
        <f t="shared" si="20"/>
        <v>3.1904032669729452E-4</v>
      </c>
      <c r="AX11" s="234">
        <f t="shared" si="21"/>
        <v>6.5562787136294026E-3</v>
      </c>
      <c r="AY11" s="234">
        <f t="shared" si="22"/>
        <v>2.6879147524247063E-3</v>
      </c>
      <c r="AZ11" s="234">
        <f t="shared" si="23"/>
        <v>1.8504338948443083E-3</v>
      </c>
      <c r="BA11" s="234">
        <f t="shared" si="24"/>
        <v>2.3369703930576826E-3</v>
      </c>
      <c r="BB11" s="234">
        <f t="shared" si="25"/>
        <v>4.0278841245533431E-3</v>
      </c>
      <c r="BC11" s="234">
        <f t="shared" si="26"/>
        <v>9.8982261357835628E-3</v>
      </c>
      <c r="BD11" s="237">
        <f t="shared" si="27"/>
        <v>1</v>
      </c>
    </row>
    <row r="12" spans="1:56" x14ac:dyDescent="0.25">
      <c r="B12" s="223" t="s">
        <v>460</v>
      </c>
      <c r="C12" s="225">
        <f>IF($D$3="HIS",SectorFlows_input!B9,INDEX(SectorFlows_input!$B$57:$Z$81,MATCH(SectorFlows!$B12,SectorFlows_input!$A$57:$A$81,0),MATCH(SectorFlows!C$5,SectorFlows_input!$B$56:$Z$56,0)))</f>
        <v>48823</v>
      </c>
      <c r="D12" s="225">
        <f>IF($D$3="HIS",SectorFlows_input!C9,INDEX(SectorFlows_input!$B$57:$Z$81,MATCH(SectorFlows!$B12,SectorFlows_input!$A$57:$A$81,0),MATCH(SectorFlows!D$5,SectorFlows_input!$B$56:$Z$56,0)))</f>
        <v>14111</v>
      </c>
      <c r="E12" s="225">
        <f>IF($D$3="HIS",SectorFlows_input!D9,INDEX(SectorFlows_input!$B$57:$Z$81,MATCH(SectorFlows!$B12,SectorFlows_input!$A$57:$A$81,0),MATCH(SectorFlows!E$5,SectorFlows_input!$B$56:$Z$56,0)))</f>
        <v>10205</v>
      </c>
      <c r="F12" s="225">
        <f>IF($D$3="HIS",SectorFlows_input!E9,INDEX(SectorFlows_input!$B$57:$Z$81,MATCH(SectorFlows!$B12,SectorFlows_input!$A$57:$A$81,0),MATCH(SectorFlows!F$5,SectorFlows_input!$B$56:$Z$56,0)))</f>
        <v>4249</v>
      </c>
      <c r="G12" s="225">
        <f>IF($D$3="HIS",SectorFlows_input!F9,INDEX(SectorFlows_input!$B$57:$Z$81,MATCH(SectorFlows!$B12,SectorFlows_input!$A$57:$A$81,0),MATCH(SectorFlows!G$5,SectorFlows_input!$B$56:$Z$56,0)))</f>
        <v>8388</v>
      </c>
      <c r="H12" s="225">
        <f>IF($D$3="HIS",SectorFlows_input!G9,INDEX(SectorFlows_input!$B$57:$Z$81,MATCH(SectorFlows!$B12,SectorFlows_input!$A$57:$A$81,0),MATCH(SectorFlows!H$5,SectorFlows_input!$B$56:$Z$56,0)))</f>
        <v>12387</v>
      </c>
      <c r="I12" s="224">
        <f>IF($D$3="HIS",SectorFlows_input!H9,INDEX(SectorFlows_input!$B$57:$Z$81,MATCH(SectorFlows!$B12,SectorFlows_input!$A$57:$A$81,0),MATCH(SectorFlows!I$5,SectorFlows_input!$B$56:$Z$56,0)))</f>
        <v>49295</v>
      </c>
      <c r="J12" s="225">
        <f>IF($D$3="HIS",SectorFlows_input!I9,INDEX(SectorFlows_input!$B$57:$Z$81,MATCH(SectorFlows!$B12,SectorFlows_input!$A$57:$A$81,0),MATCH(SectorFlows!J$5,SectorFlows_input!$B$56:$Z$56,0)))</f>
        <v>16477</v>
      </c>
      <c r="K12" s="225">
        <f>IF($D$3="HIS",SectorFlows_input!J9,INDEX(SectorFlows_input!$B$57:$Z$81,MATCH(SectorFlows!$B12,SectorFlows_input!$A$57:$A$81,0),MATCH(SectorFlows!K$5,SectorFlows_input!$B$56:$Z$56,0)))</f>
        <v>1598</v>
      </c>
      <c r="L12" s="225">
        <f>IF($D$3="HIS",SectorFlows_input!K9,INDEX(SectorFlows_input!$B$57:$Z$81,MATCH(SectorFlows!$B12,SectorFlows_input!$A$57:$A$81,0),MATCH(SectorFlows!L$5,SectorFlows_input!$B$56:$Z$56,0)))</f>
        <v>3145</v>
      </c>
      <c r="M12" s="225">
        <f>IF($D$3="HIS",SectorFlows_input!L9,INDEX(SectorFlows_input!$B$57:$Z$81,MATCH(SectorFlows!$B12,SectorFlows_input!$A$57:$A$81,0),MATCH(SectorFlows!M$5,SectorFlows_input!$B$56:$Z$56,0)))</f>
        <v>3232</v>
      </c>
      <c r="N12" s="225">
        <f>IF($D$3="HIS",SectorFlows_input!M9,INDEX(SectorFlows_input!$B$57:$Z$81,MATCH(SectorFlows!$B12,SectorFlows_input!$A$57:$A$81,0),MATCH(SectorFlows!N$5,SectorFlows_input!$B$56:$Z$56,0)))</f>
        <v>3186</v>
      </c>
      <c r="O12" s="225">
        <f>IF($D$3="HIS",SectorFlows_input!N9,INDEX(SectorFlows_input!$B$57:$Z$81,MATCH(SectorFlows!$B12,SectorFlows_input!$A$57:$A$81,0),MATCH(SectorFlows!O$5,SectorFlows_input!$B$56:$Z$56,0)))</f>
        <v>6035</v>
      </c>
      <c r="P12" s="225">
        <f>IF($D$3="HIS",SectorFlows_input!O9,INDEX(SectorFlows_input!$B$57:$Z$81,MATCH(SectorFlows!$B12,SectorFlows_input!$A$57:$A$81,0),MATCH(SectorFlows!P$5,SectorFlows_input!$B$56:$Z$56,0)))</f>
        <v>14652</v>
      </c>
      <c r="Q12" s="225">
        <f>IF($D$3="HIS",SectorFlows_input!P9,INDEX(SectorFlows_input!$B$57:$Z$81,MATCH(SectorFlows!$B12,SectorFlows_input!$A$57:$A$81,0),MATCH(SectorFlows!Q$5,SectorFlows_input!$B$56:$Z$56,0)))</f>
        <v>2357</v>
      </c>
      <c r="R12" s="225">
        <f>IF($D$3="HIS",SectorFlows_input!Q9,INDEX(SectorFlows_input!$B$57:$Z$81,MATCH(SectorFlows!$B12,SectorFlows_input!$A$57:$A$81,0),MATCH(SectorFlows!R$5,SectorFlows_input!$B$56:$Z$56,0)))</f>
        <v>39</v>
      </c>
      <c r="S12" s="225">
        <f>IF($D$3="HIS",SectorFlows_input!R9,INDEX(SectorFlows_input!$B$57:$Z$81,MATCH(SectorFlows!$B12,SectorFlows_input!$A$57:$A$81,0),MATCH(SectorFlows!S$5,SectorFlows_input!$B$56:$Z$56,0)))</f>
        <v>335</v>
      </c>
      <c r="T12" s="225">
        <f>IF($D$3="HIS",SectorFlows_input!S9,INDEX(SectorFlows_input!$B$57:$Z$81,MATCH(SectorFlows!$B12,SectorFlows_input!$A$57:$A$81,0),MATCH(SectorFlows!T$5,SectorFlows_input!$B$56:$Z$56,0)))</f>
        <v>742</v>
      </c>
      <c r="U12" s="225">
        <f>IF($D$3="HIS",SectorFlows_input!T9,INDEX(SectorFlows_input!$B$57:$Z$81,MATCH(SectorFlows!$B12,SectorFlows_input!$A$57:$A$81,0),MATCH(SectorFlows!U$5,SectorFlows_input!$B$56:$Z$56,0)))</f>
        <v>140</v>
      </c>
      <c r="V12" s="225">
        <f>IF($D$3="HIS",SectorFlows_input!U9,INDEX(SectorFlows_input!$B$57:$Z$81,MATCH(SectorFlows!$B12,SectorFlows_input!$A$57:$A$81,0),MATCH(SectorFlows!V$5,SectorFlows_input!$B$56:$Z$56,0)))</f>
        <v>1069</v>
      </c>
      <c r="W12" s="225">
        <f>IF($D$3="HIS",SectorFlows_input!V9,INDEX(SectorFlows_input!$B$57:$Z$81,MATCH(SectorFlows!$B12,SectorFlows_input!$A$57:$A$81,0),MATCH(SectorFlows!W$5,SectorFlows_input!$B$56:$Z$56,0)))</f>
        <v>379</v>
      </c>
      <c r="X12" s="225">
        <f>IF($D$3="HIS",SectorFlows_input!W9,INDEX(SectorFlows_input!$B$57:$Z$81,MATCH(SectorFlows!$B12,SectorFlows_input!$A$57:$A$81,0),MATCH(SectorFlows!X$5,SectorFlows_input!$B$56:$Z$56,0)))</f>
        <v>262</v>
      </c>
      <c r="Y12" s="225">
        <f>IF($D$3="HIS",SectorFlows_input!X9,INDEX(SectorFlows_input!$B$57:$Z$81,MATCH(SectorFlows!$B12,SectorFlows_input!$A$57:$A$81,0),MATCH(SectorFlows!Y$5,SectorFlows_input!$B$56:$Z$56,0)))</f>
        <v>196</v>
      </c>
      <c r="Z12" s="225">
        <f>IF($D$3="HIS",SectorFlows_input!Y9,INDEX(SectorFlows_input!$B$57:$Z$81,MATCH(SectorFlows!$B12,SectorFlows_input!$A$57:$A$81,0),MATCH(SectorFlows!Z$5,SectorFlows_input!$B$56:$Z$56,0)))</f>
        <v>576</v>
      </c>
      <c r="AA12" s="225">
        <f>IF($D$3="HIS",SectorFlows_input!Z9,INDEX(SectorFlows_input!$B$57:$Z$81,MATCH(SectorFlows!$B12,SectorFlows_input!$A$57:$A$81,0),MATCH(SectorFlows!AA$5,SectorFlows_input!$B$56:$Z$56,0)))</f>
        <v>2682</v>
      </c>
      <c r="AB12" s="226">
        <f t="shared" si="1"/>
        <v>204560</v>
      </c>
      <c r="AD12" s="223" t="s">
        <v>460</v>
      </c>
      <c r="AE12" s="234">
        <f t="shared" si="2"/>
        <v>0.23867324990222918</v>
      </c>
      <c r="AF12" s="234">
        <f t="shared" si="3"/>
        <v>6.8982205709816197E-2</v>
      </c>
      <c r="AG12" s="234">
        <f t="shared" si="4"/>
        <v>4.9887563551036372E-2</v>
      </c>
      <c r="AH12" s="234">
        <f t="shared" si="5"/>
        <v>2.0771411810715682E-2</v>
      </c>
      <c r="AI12" s="234">
        <f t="shared" si="6"/>
        <v>4.1005084082909662E-2</v>
      </c>
      <c r="AJ12" s="234">
        <f t="shared" si="7"/>
        <v>6.0554360578803285E-2</v>
      </c>
      <c r="AK12" s="233">
        <f t="shared" si="8"/>
        <v>0.24098064137661321</v>
      </c>
      <c r="AL12" s="234">
        <f t="shared" si="9"/>
        <v>8.0548494329292133E-2</v>
      </c>
      <c r="AM12" s="234">
        <f t="shared" si="10"/>
        <v>7.8118889323425889E-3</v>
      </c>
      <c r="AN12" s="234">
        <f t="shared" si="11"/>
        <v>1.5374462260461479E-2</v>
      </c>
      <c r="AO12" s="234">
        <f t="shared" si="12"/>
        <v>1.5799765350019555E-2</v>
      </c>
      <c r="AP12" s="234">
        <f t="shared" si="13"/>
        <v>1.5574892452092296E-2</v>
      </c>
      <c r="AQ12" s="234">
        <f t="shared" si="14"/>
        <v>2.9502346499804457E-2</v>
      </c>
      <c r="AR12" s="234">
        <f t="shared" si="15"/>
        <v>7.162690653109112E-2</v>
      </c>
      <c r="AS12" s="234">
        <f t="shared" si="16"/>
        <v>1.1522291748142354E-2</v>
      </c>
      <c r="AT12" s="234">
        <f t="shared" si="17"/>
        <v>1.9065310911224091E-4</v>
      </c>
      <c r="AU12" s="234">
        <f t="shared" si="18"/>
        <v>1.6376613218615566E-3</v>
      </c>
      <c r="AV12" s="234">
        <f t="shared" si="19"/>
        <v>3.6272976143918653E-3</v>
      </c>
      <c r="AW12" s="234">
        <f t="shared" si="20"/>
        <v>6.8439577630035199E-4</v>
      </c>
      <c r="AX12" s="234">
        <f t="shared" si="21"/>
        <v>5.2258506061791162E-3</v>
      </c>
      <c r="AY12" s="234">
        <f t="shared" si="22"/>
        <v>1.8527571372702386E-3</v>
      </c>
      <c r="AZ12" s="234">
        <f t="shared" si="23"/>
        <v>1.2807978099335158E-3</v>
      </c>
      <c r="BA12" s="234">
        <f t="shared" si="24"/>
        <v>9.5815408682049276E-4</v>
      </c>
      <c r="BB12" s="234">
        <f t="shared" si="25"/>
        <v>2.8157997653500194E-3</v>
      </c>
      <c r="BC12" s="234">
        <f t="shared" si="26"/>
        <v>1.3111067657411029E-2</v>
      </c>
      <c r="BD12" s="237">
        <f t="shared" si="27"/>
        <v>1.0000000000000002</v>
      </c>
    </row>
    <row r="13" spans="1:56" x14ac:dyDescent="0.25">
      <c r="B13" s="223" t="s">
        <v>49</v>
      </c>
      <c r="C13" s="225">
        <f>IF($D$3="HIS",SectorFlows_input!B10,INDEX(SectorFlows_input!$B$57:$Z$81,MATCH(SectorFlows!$B13,SectorFlows_input!$A$57:$A$81,0),MATCH(SectorFlows!C$5,SectorFlows_input!$B$56:$Z$56,0)))</f>
        <v>88924</v>
      </c>
      <c r="D13" s="225">
        <f>IF($D$3="HIS",SectorFlows_input!C10,INDEX(SectorFlows_input!$B$57:$Z$81,MATCH(SectorFlows!$B13,SectorFlows_input!$A$57:$A$81,0),MATCH(SectorFlows!D$5,SectorFlows_input!$B$56:$Z$56,0)))</f>
        <v>23264</v>
      </c>
      <c r="E13" s="225">
        <f>IF($D$3="HIS",SectorFlows_input!D10,INDEX(SectorFlows_input!$B$57:$Z$81,MATCH(SectorFlows!$B13,SectorFlows_input!$A$57:$A$81,0),MATCH(SectorFlows!E$5,SectorFlows_input!$B$56:$Z$56,0)))</f>
        <v>11647</v>
      </c>
      <c r="F13" s="225">
        <f>IF($D$3="HIS",SectorFlows_input!E10,INDEX(SectorFlows_input!$B$57:$Z$81,MATCH(SectorFlows!$B13,SectorFlows_input!$A$57:$A$81,0),MATCH(SectorFlows!F$5,SectorFlows_input!$B$56:$Z$56,0)))</f>
        <v>4403</v>
      </c>
      <c r="G13" s="225">
        <f>IF($D$3="HIS",SectorFlows_input!F10,INDEX(SectorFlows_input!$B$57:$Z$81,MATCH(SectorFlows!$B13,SectorFlows_input!$A$57:$A$81,0),MATCH(SectorFlows!G$5,SectorFlows_input!$B$56:$Z$56,0)))</f>
        <v>9046</v>
      </c>
      <c r="H13" s="225">
        <f>IF($D$3="HIS",SectorFlows_input!G10,INDEX(SectorFlows_input!$B$57:$Z$81,MATCH(SectorFlows!$B13,SectorFlows_input!$A$57:$A$81,0),MATCH(SectorFlows!H$5,SectorFlows_input!$B$56:$Z$56,0)))</f>
        <v>6965</v>
      </c>
      <c r="I13" s="225">
        <f>IF($D$3="HIS",SectorFlows_input!H10,INDEX(SectorFlows_input!$B$57:$Z$81,MATCH(SectorFlows!$B13,SectorFlows_input!$A$57:$A$81,0),MATCH(SectorFlows!I$5,SectorFlows_input!$B$56:$Z$56,0)))</f>
        <v>21204</v>
      </c>
      <c r="J13" s="224">
        <f>IF($D$3="HIS",SectorFlows_input!I10,INDEX(SectorFlows_input!$B$57:$Z$81,MATCH(SectorFlows!$B13,SectorFlows_input!$A$57:$A$81,0),MATCH(SectorFlows!J$5,SectorFlows_input!$B$56:$Z$56,0)))</f>
        <v>86862</v>
      </c>
      <c r="K13" s="225">
        <f>IF($D$3="HIS",SectorFlows_input!J10,INDEX(SectorFlows_input!$B$57:$Z$81,MATCH(SectorFlows!$B13,SectorFlows_input!$A$57:$A$81,0),MATCH(SectorFlows!K$5,SectorFlows_input!$B$56:$Z$56,0)))</f>
        <v>1612</v>
      </c>
      <c r="L13" s="225">
        <f>IF($D$3="HIS",SectorFlows_input!K10,INDEX(SectorFlows_input!$B$57:$Z$81,MATCH(SectorFlows!$B13,SectorFlows_input!$A$57:$A$81,0),MATCH(SectorFlows!L$5,SectorFlows_input!$B$56:$Z$56,0)))</f>
        <v>4413</v>
      </c>
      <c r="M13" s="225">
        <f>IF($D$3="HIS",SectorFlows_input!L10,INDEX(SectorFlows_input!$B$57:$Z$81,MATCH(SectorFlows!$B13,SectorFlows_input!$A$57:$A$81,0),MATCH(SectorFlows!M$5,SectorFlows_input!$B$56:$Z$56,0)))</f>
        <v>2594</v>
      </c>
      <c r="N13" s="225">
        <f>IF($D$3="HIS",SectorFlows_input!M10,INDEX(SectorFlows_input!$B$57:$Z$81,MATCH(SectorFlows!$B13,SectorFlows_input!$A$57:$A$81,0),MATCH(SectorFlows!N$5,SectorFlows_input!$B$56:$Z$56,0)))</f>
        <v>2131</v>
      </c>
      <c r="O13" s="225">
        <f>IF($D$3="HIS",SectorFlows_input!N10,INDEX(SectorFlows_input!$B$57:$Z$81,MATCH(SectorFlows!$B13,SectorFlows_input!$A$57:$A$81,0),MATCH(SectorFlows!O$5,SectorFlows_input!$B$56:$Z$56,0)))</f>
        <v>3684</v>
      </c>
      <c r="P13" s="225">
        <f>IF($D$3="HIS",SectorFlows_input!O10,INDEX(SectorFlows_input!$B$57:$Z$81,MATCH(SectorFlows!$B13,SectorFlows_input!$A$57:$A$81,0),MATCH(SectorFlows!P$5,SectorFlows_input!$B$56:$Z$56,0)))</f>
        <v>11725</v>
      </c>
      <c r="Q13" s="225">
        <f>IF($D$3="HIS",SectorFlows_input!P10,INDEX(SectorFlows_input!$B$57:$Z$81,MATCH(SectorFlows!$B13,SectorFlows_input!$A$57:$A$81,0),MATCH(SectorFlows!Q$5,SectorFlows_input!$B$56:$Z$56,0)))</f>
        <v>9846</v>
      </c>
      <c r="R13" s="225">
        <f>IF($D$3="HIS",SectorFlows_input!Q10,INDEX(SectorFlows_input!$B$57:$Z$81,MATCH(SectorFlows!$B13,SectorFlows_input!$A$57:$A$81,0),MATCH(SectorFlows!R$5,SectorFlows_input!$B$56:$Z$56,0)))</f>
        <v>45</v>
      </c>
      <c r="S13" s="225">
        <f>IF($D$3="HIS",SectorFlows_input!R10,INDEX(SectorFlows_input!$B$57:$Z$81,MATCH(SectorFlows!$B13,SectorFlows_input!$A$57:$A$81,0),MATCH(SectorFlows!S$5,SectorFlows_input!$B$56:$Z$56,0)))</f>
        <v>261</v>
      </c>
      <c r="T13" s="225">
        <f>IF($D$3="HIS",SectorFlows_input!S10,INDEX(SectorFlows_input!$B$57:$Z$81,MATCH(SectorFlows!$B13,SectorFlows_input!$A$57:$A$81,0),MATCH(SectorFlows!T$5,SectorFlows_input!$B$56:$Z$56,0)))</f>
        <v>3840</v>
      </c>
      <c r="U13" s="225">
        <f>IF($D$3="HIS",SectorFlows_input!T10,INDEX(SectorFlows_input!$B$57:$Z$81,MATCH(SectorFlows!$B13,SectorFlows_input!$A$57:$A$81,0),MATCH(SectorFlows!U$5,SectorFlows_input!$B$56:$Z$56,0)))</f>
        <v>468</v>
      </c>
      <c r="V13" s="225">
        <f>IF($D$3="HIS",SectorFlows_input!U10,INDEX(SectorFlows_input!$B$57:$Z$81,MATCH(SectorFlows!$B13,SectorFlows_input!$A$57:$A$81,0),MATCH(SectorFlows!V$5,SectorFlows_input!$B$56:$Z$56,0)))</f>
        <v>1114</v>
      </c>
      <c r="W13" s="225">
        <f>IF($D$3="HIS",SectorFlows_input!V10,INDEX(SectorFlows_input!$B$57:$Z$81,MATCH(SectorFlows!$B13,SectorFlows_input!$A$57:$A$81,0),MATCH(SectorFlows!W$5,SectorFlows_input!$B$56:$Z$56,0)))</f>
        <v>642</v>
      </c>
      <c r="X13" s="225">
        <f>IF($D$3="HIS",SectorFlows_input!W10,INDEX(SectorFlows_input!$B$57:$Z$81,MATCH(SectorFlows!$B13,SectorFlows_input!$A$57:$A$81,0),MATCH(SectorFlows!X$5,SectorFlows_input!$B$56:$Z$56,0)))</f>
        <v>243</v>
      </c>
      <c r="Y13" s="225">
        <f>IF($D$3="HIS",SectorFlows_input!X10,INDEX(SectorFlows_input!$B$57:$Z$81,MATCH(SectorFlows!$B13,SectorFlows_input!$A$57:$A$81,0),MATCH(SectorFlows!Y$5,SectorFlows_input!$B$56:$Z$56,0)))</f>
        <v>270</v>
      </c>
      <c r="Z13" s="225">
        <f>IF($D$3="HIS",SectorFlows_input!Y10,INDEX(SectorFlows_input!$B$57:$Z$81,MATCH(SectorFlows!$B13,SectorFlows_input!$A$57:$A$81,0),MATCH(SectorFlows!Z$5,SectorFlows_input!$B$56:$Z$56,0)))</f>
        <v>315</v>
      </c>
      <c r="AA13" s="225">
        <f>IF($D$3="HIS",SectorFlows_input!Z10,INDEX(SectorFlows_input!$B$57:$Z$81,MATCH(SectorFlows!$B13,SectorFlows_input!$A$57:$A$81,0),MATCH(SectorFlows!AA$5,SectorFlows_input!$B$56:$Z$56,0)))</f>
        <v>2884</v>
      </c>
      <c r="AB13" s="226">
        <f t="shared" si="1"/>
        <v>298402</v>
      </c>
      <c r="AD13" s="223" t="s">
        <v>49</v>
      </c>
      <c r="AE13" s="234">
        <f t="shared" si="2"/>
        <v>0.29800068364153054</v>
      </c>
      <c r="AF13" s="234">
        <f t="shared" si="3"/>
        <v>7.7961943954799232E-2</v>
      </c>
      <c r="AG13" s="234">
        <f t="shared" si="4"/>
        <v>3.9031239736999082E-2</v>
      </c>
      <c r="AH13" s="234">
        <f t="shared" si="5"/>
        <v>1.4755263034430064E-2</v>
      </c>
      <c r="AI13" s="234">
        <f t="shared" si="6"/>
        <v>3.0314810222451593E-2</v>
      </c>
      <c r="AJ13" s="234">
        <f t="shared" si="7"/>
        <v>2.334099637401894E-2</v>
      </c>
      <c r="AK13" s="234">
        <f t="shared" si="8"/>
        <v>7.1058504969805827E-2</v>
      </c>
      <c r="AL13" s="233">
        <f t="shared" si="9"/>
        <v>0.29109054228859055</v>
      </c>
      <c r="AM13" s="234">
        <f t="shared" si="10"/>
        <v>5.4021085649559987E-3</v>
      </c>
      <c r="AN13" s="234">
        <f t="shared" si="11"/>
        <v>1.4788774874163042E-2</v>
      </c>
      <c r="AO13" s="234">
        <f t="shared" si="12"/>
        <v>8.6929712267344045E-3</v>
      </c>
      <c r="AP13" s="234">
        <f t="shared" si="13"/>
        <v>7.1413730470975397E-3</v>
      </c>
      <c r="AQ13" s="234">
        <f t="shared" si="14"/>
        <v>1.234576175762897E-2</v>
      </c>
      <c r="AR13" s="234">
        <f t="shared" si="15"/>
        <v>3.9292632086916308E-2</v>
      </c>
      <c r="AS13" s="234">
        <f t="shared" si="16"/>
        <v>3.2995757401089808E-2</v>
      </c>
      <c r="AT13" s="234">
        <f t="shared" si="17"/>
        <v>1.5080327879839949E-4</v>
      </c>
      <c r="AU13" s="234">
        <f t="shared" si="18"/>
        <v>8.7465901703071697E-4</v>
      </c>
      <c r="AV13" s="234">
        <f t="shared" si="19"/>
        <v>1.2868546457463421E-2</v>
      </c>
      <c r="AW13" s="234">
        <f t="shared" si="20"/>
        <v>1.5683540995033544E-3</v>
      </c>
      <c r="AX13" s="234">
        <f t="shared" si="21"/>
        <v>3.7332189462537116E-3</v>
      </c>
      <c r="AY13" s="234">
        <f t="shared" si="22"/>
        <v>2.1514601108571659E-3</v>
      </c>
      <c r="AZ13" s="234">
        <f t="shared" si="23"/>
        <v>8.1433770551135717E-4</v>
      </c>
      <c r="BA13" s="234">
        <f t="shared" si="24"/>
        <v>9.0481967279039681E-4</v>
      </c>
      <c r="BB13" s="234">
        <f t="shared" si="25"/>
        <v>1.0556229515887962E-3</v>
      </c>
      <c r="BC13" s="234">
        <f t="shared" si="26"/>
        <v>9.6648145789907571E-3</v>
      </c>
      <c r="BD13" s="237">
        <f t="shared" si="27"/>
        <v>1</v>
      </c>
    </row>
    <row r="14" spans="1:56" x14ac:dyDescent="0.25">
      <c r="B14" s="223" t="s">
        <v>461</v>
      </c>
      <c r="C14" s="225">
        <f>IF($D$3="HIS",SectorFlows_input!B11,INDEX(SectorFlows_input!$B$57:$Z$81,MATCH(SectorFlows!$B14,SectorFlows_input!$A$57:$A$81,0),MATCH(SectorFlows!C$5,SectorFlows_input!$B$56:$Z$56,0)))</f>
        <v>13535</v>
      </c>
      <c r="D14" s="225">
        <f>IF($D$3="HIS",SectorFlows_input!C11,INDEX(SectorFlows_input!$B$57:$Z$81,MATCH(SectorFlows!$B14,SectorFlows_input!$A$57:$A$81,0),MATCH(SectorFlows!D$5,SectorFlows_input!$B$56:$Z$56,0)))</f>
        <v>7801</v>
      </c>
      <c r="E14" s="225">
        <f>IF($D$3="HIS",SectorFlows_input!D11,INDEX(SectorFlows_input!$B$57:$Z$81,MATCH(SectorFlows!$B14,SectorFlows_input!$A$57:$A$81,0),MATCH(SectorFlows!E$5,SectorFlows_input!$B$56:$Z$56,0)))</f>
        <v>4046</v>
      </c>
      <c r="F14" s="225">
        <f>IF($D$3="HIS",SectorFlows_input!E11,INDEX(SectorFlows_input!$B$57:$Z$81,MATCH(SectorFlows!$B14,SectorFlows_input!$A$57:$A$81,0),MATCH(SectorFlows!F$5,SectorFlows_input!$B$56:$Z$56,0)))</f>
        <v>461</v>
      </c>
      <c r="G14" s="225">
        <f>IF($D$3="HIS",SectorFlows_input!F11,INDEX(SectorFlows_input!$B$57:$Z$81,MATCH(SectorFlows!$B14,SectorFlows_input!$A$57:$A$81,0),MATCH(SectorFlows!G$5,SectorFlows_input!$B$56:$Z$56,0)))</f>
        <v>611</v>
      </c>
      <c r="H14" s="225">
        <f>IF($D$3="HIS",SectorFlows_input!G11,INDEX(SectorFlows_input!$B$57:$Z$81,MATCH(SectorFlows!$B14,SectorFlows_input!$A$57:$A$81,0),MATCH(SectorFlows!H$5,SectorFlows_input!$B$56:$Z$56,0)))</f>
        <v>232</v>
      </c>
      <c r="I14" s="225">
        <f>IF($D$3="HIS",SectorFlows_input!H11,INDEX(SectorFlows_input!$B$57:$Z$81,MATCH(SectorFlows!$B14,SectorFlows_input!$A$57:$A$81,0),MATCH(SectorFlows!I$5,SectorFlows_input!$B$56:$Z$56,0)))</f>
        <v>233</v>
      </c>
      <c r="J14" s="225">
        <f>IF($D$3="HIS",SectorFlows_input!I11,INDEX(SectorFlows_input!$B$57:$Z$81,MATCH(SectorFlows!$B14,SectorFlows_input!$A$57:$A$81,0),MATCH(SectorFlows!J$5,SectorFlows_input!$B$56:$Z$56,0)))</f>
        <v>525</v>
      </c>
      <c r="K14" s="224">
        <f>IF($D$3="HIS",SectorFlows_input!J11,INDEX(SectorFlows_input!$B$57:$Z$81,MATCH(SectorFlows!$B14,SectorFlows_input!$A$57:$A$81,0),MATCH(SectorFlows!K$5,SectorFlows_input!$B$56:$Z$56,0)))</f>
        <v>14449</v>
      </c>
      <c r="L14" s="225">
        <f>IF($D$3="HIS",SectorFlows_input!K11,INDEX(SectorFlows_input!$B$57:$Z$81,MATCH(SectorFlows!$B14,SectorFlows_input!$A$57:$A$81,0),MATCH(SectorFlows!L$5,SectorFlows_input!$B$56:$Z$56,0)))</f>
        <v>2803</v>
      </c>
      <c r="M14" s="225">
        <f>IF($D$3="HIS",SectorFlows_input!L11,INDEX(SectorFlows_input!$B$57:$Z$81,MATCH(SectorFlows!$B14,SectorFlows_input!$A$57:$A$81,0),MATCH(SectorFlows!M$5,SectorFlows_input!$B$56:$Z$56,0)))</f>
        <v>906</v>
      </c>
      <c r="N14" s="225">
        <f>IF($D$3="HIS",SectorFlows_input!M11,INDEX(SectorFlows_input!$B$57:$Z$81,MATCH(SectorFlows!$B14,SectorFlows_input!$A$57:$A$81,0),MATCH(SectorFlows!N$5,SectorFlows_input!$B$56:$Z$56,0)))</f>
        <v>301</v>
      </c>
      <c r="O14" s="225">
        <f>IF($D$3="HIS",SectorFlows_input!N11,INDEX(SectorFlows_input!$B$57:$Z$81,MATCH(SectorFlows!$B14,SectorFlows_input!$A$57:$A$81,0),MATCH(SectorFlows!O$5,SectorFlows_input!$B$56:$Z$56,0)))</f>
        <v>610</v>
      </c>
      <c r="P14" s="225">
        <f>IF($D$3="HIS",SectorFlows_input!O11,INDEX(SectorFlows_input!$B$57:$Z$81,MATCH(SectorFlows!$B14,SectorFlows_input!$A$57:$A$81,0),MATCH(SectorFlows!P$5,SectorFlows_input!$B$56:$Z$56,0)))</f>
        <v>304</v>
      </c>
      <c r="Q14" s="225">
        <f>IF($D$3="HIS",SectorFlows_input!P11,INDEX(SectorFlows_input!$B$57:$Z$81,MATCH(SectorFlows!$B14,SectorFlows_input!$A$57:$A$81,0),MATCH(SectorFlows!Q$5,SectorFlows_input!$B$56:$Z$56,0)))</f>
        <v>155</v>
      </c>
      <c r="R14" s="225">
        <f>IF($D$3="HIS",SectorFlows_input!Q11,INDEX(SectorFlows_input!$B$57:$Z$81,MATCH(SectorFlows!$B14,SectorFlows_input!$A$57:$A$81,0),MATCH(SectorFlows!R$5,SectorFlows_input!$B$56:$Z$56,0)))</f>
        <v>90</v>
      </c>
      <c r="S14" s="225">
        <f>IF($D$3="HIS",SectorFlows_input!R11,INDEX(SectorFlows_input!$B$57:$Z$81,MATCH(SectorFlows!$B14,SectorFlows_input!$A$57:$A$81,0),MATCH(SectorFlows!S$5,SectorFlows_input!$B$56:$Z$56,0)))</f>
        <v>10</v>
      </c>
      <c r="T14" s="225">
        <f>IF($D$3="HIS",SectorFlows_input!S11,INDEX(SectorFlows_input!$B$57:$Z$81,MATCH(SectorFlows!$B14,SectorFlows_input!$A$57:$A$81,0),MATCH(SectorFlows!T$5,SectorFlows_input!$B$56:$Z$56,0)))</f>
        <v>35</v>
      </c>
      <c r="U14" s="225">
        <f>IF($D$3="HIS",SectorFlows_input!T11,INDEX(SectorFlows_input!$B$57:$Z$81,MATCH(SectorFlows!$B14,SectorFlows_input!$A$57:$A$81,0),MATCH(SectorFlows!U$5,SectorFlows_input!$B$56:$Z$56,0)))</f>
        <v>0</v>
      </c>
      <c r="V14" s="225">
        <f>IF($D$3="HIS",SectorFlows_input!U11,INDEX(SectorFlows_input!$B$57:$Z$81,MATCH(SectorFlows!$B14,SectorFlows_input!$A$57:$A$81,0),MATCH(SectorFlows!V$5,SectorFlows_input!$B$56:$Z$56,0)))</f>
        <v>2738</v>
      </c>
      <c r="W14" s="225">
        <f>IF($D$3="HIS",SectorFlows_input!V11,INDEX(SectorFlows_input!$B$57:$Z$81,MATCH(SectorFlows!$B14,SectorFlows_input!$A$57:$A$81,0),MATCH(SectorFlows!W$5,SectorFlows_input!$B$56:$Z$56,0)))</f>
        <v>2387</v>
      </c>
      <c r="X14" s="225">
        <f>IF($D$3="HIS",SectorFlows_input!W11,INDEX(SectorFlows_input!$B$57:$Z$81,MATCH(SectorFlows!$B14,SectorFlows_input!$A$57:$A$81,0),MATCH(SectorFlows!X$5,SectorFlows_input!$B$56:$Z$56,0)))</f>
        <v>60</v>
      </c>
      <c r="Y14" s="225">
        <f>IF($D$3="HIS",SectorFlows_input!X11,INDEX(SectorFlows_input!$B$57:$Z$81,MATCH(SectorFlows!$B14,SectorFlows_input!$A$57:$A$81,0),MATCH(SectorFlows!Y$5,SectorFlows_input!$B$56:$Z$56,0)))</f>
        <v>85</v>
      </c>
      <c r="Z14" s="225">
        <f>IF($D$3="HIS",SectorFlows_input!Y11,INDEX(SectorFlows_input!$B$57:$Z$81,MATCH(SectorFlows!$B14,SectorFlows_input!$A$57:$A$81,0),MATCH(SectorFlows!Z$5,SectorFlows_input!$B$56:$Z$56,0)))</f>
        <v>35</v>
      </c>
      <c r="AA14" s="225">
        <f>IF($D$3="HIS",SectorFlows_input!Z11,INDEX(SectorFlows_input!$B$57:$Z$81,MATCH(SectorFlows!$B14,SectorFlows_input!$A$57:$A$81,0),MATCH(SectorFlows!AA$5,SectorFlows_input!$B$56:$Z$56,0)))</f>
        <v>25</v>
      </c>
      <c r="AB14" s="226">
        <f t="shared" si="1"/>
        <v>52437</v>
      </c>
      <c r="AD14" s="223" t="s">
        <v>461</v>
      </c>
      <c r="AE14" s="234">
        <f t="shared" si="2"/>
        <v>0.25811926692983961</v>
      </c>
      <c r="AF14" s="234">
        <f t="shared" si="3"/>
        <v>0.1487689989892633</v>
      </c>
      <c r="AG14" s="234">
        <f t="shared" si="4"/>
        <v>7.7159257775997858E-2</v>
      </c>
      <c r="AH14" s="234">
        <f t="shared" si="5"/>
        <v>8.7915021835726689E-3</v>
      </c>
      <c r="AI14" s="234">
        <f t="shared" si="6"/>
        <v>1.1652077731372886E-2</v>
      </c>
      <c r="AJ14" s="234">
        <f t="shared" si="7"/>
        <v>4.4243568472643359E-3</v>
      </c>
      <c r="AK14" s="234">
        <f t="shared" si="8"/>
        <v>4.4434273509163374E-3</v>
      </c>
      <c r="AL14" s="234">
        <f t="shared" si="9"/>
        <v>1.0012014417300761E-2</v>
      </c>
      <c r="AM14" s="233">
        <f t="shared" si="10"/>
        <v>0.27554970726776895</v>
      </c>
      <c r="AN14" s="234">
        <f t="shared" si="11"/>
        <v>5.3454621736560064E-2</v>
      </c>
      <c r="AO14" s="234">
        <f t="shared" si="12"/>
        <v>1.7277876308713313E-2</v>
      </c>
      <c r="AP14" s="234">
        <f t="shared" si="13"/>
        <v>5.7402215992524361E-3</v>
      </c>
      <c r="AQ14" s="234">
        <f t="shared" si="14"/>
        <v>1.1633007227720885E-2</v>
      </c>
      <c r="AR14" s="234">
        <f t="shared" si="15"/>
        <v>5.7974331102084407E-3</v>
      </c>
      <c r="AS14" s="234">
        <f t="shared" si="16"/>
        <v>2.9559280660602246E-3</v>
      </c>
      <c r="AT14" s="234">
        <f t="shared" si="17"/>
        <v>1.7163453286801304E-3</v>
      </c>
      <c r="AU14" s="234">
        <f t="shared" si="18"/>
        <v>1.907050365200145E-4</v>
      </c>
      <c r="AV14" s="234">
        <f t="shared" si="19"/>
        <v>6.6746762782005076E-4</v>
      </c>
      <c r="AW14" s="234">
        <f t="shared" si="20"/>
        <v>0</v>
      </c>
      <c r="AX14" s="234">
        <f t="shared" si="21"/>
        <v>5.2215038999179966E-2</v>
      </c>
      <c r="AY14" s="234">
        <f t="shared" si="22"/>
        <v>4.552129221732746E-2</v>
      </c>
      <c r="AZ14" s="234">
        <f t="shared" si="23"/>
        <v>1.1442302191200869E-3</v>
      </c>
      <c r="BA14" s="234">
        <f t="shared" si="24"/>
        <v>1.6209928104201233E-3</v>
      </c>
      <c r="BB14" s="234">
        <f t="shared" si="25"/>
        <v>6.6746762782005076E-4</v>
      </c>
      <c r="BC14" s="234">
        <f t="shared" si="26"/>
        <v>4.7676259130003621E-4</v>
      </c>
      <c r="BD14" s="237">
        <f t="shared" si="27"/>
        <v>0.99999999999999989</v>
      </c>
    </row>
    <row r="15" spans="1:56" x14ac:dyDescent="0.25">
      <c r="B15" s="223" t="s">
        <v>462</v>
      </c>
      <c r="C15" s="225">
        <f>IF($D$3="HIS",SectorFlows_input!B12,INDEX(SectorFlows_input!$B$57:$Z$81,MATCH(SectorFlows!$B15,SectorFlows_input!$A$57:$A$81,0),MATCH(SectorFlows!C$5,SectorFlows_input!$B$56:$Z$56,0)))</f>
        <v>14155</v>
      </c>
      <c r="D15" s="225">
        <f>IF($D$3="HIS",SectorFlows_input!C12,INDEX(SectorFlows_input!$B$57:$Z$81,MATCH(SectorFlows!$B15,SectorFlows_input!$A$57:$A$81,0),MATCH(SectorFlows!D$5,SectorFlows_input!$B$56:$Z$56,0)))</f>
        <v>8899</v>
      </c>
      <c r="E15" s="225">
        <f>IF($D$3="HIS",SectorFlows_input!D12,INDEX(SectorFlows_input!$B$57:$Z$81,MATCH(SectorFlows!$B15,SectorFlows_input!$A$57:$A$81,0),MATCH(SectorFlows!E$5,SectorFlows_input!$B$56:$Z$56,0)))</f>
        <v>15990</v>
      </c>
      <c r="F15" s="225">
        <f>IF($D$3="HIS",SectorFlows_input!E12,INDEX(SectorFlows_input!$B$57:$Z$81,MATCH(SectorFlows!$B15,SectorFlows_input!$A$57:$A$81,0),MATCH(SectorFlows!F$5,SectorFlows_input!$B$56:$Z$56,0)))</f>
        <v>1580</v>
      </c>
      <c r="G15" s="225">
        <f>IF($D$3="HIS",SectorFlows_input!F12,INDEX(SectorFlows_input!$B$57:$Z$81,MATCH(SectorFlows!$B15,SectorFlows_input!$A$57:$A$81,0),MATCH(SectorFlows!G$5,SectorFlows_input!$B$56:$Z$56,0)))</f>
        <v>2463</v>
      </c>
      <c r="H15" s="225">
        <f>IF($D$3="HIS",SectorFlows_input!G12,INDEX(SectorFlows_input!$B$57:$Z$81,MATCH(SectorFlows!$B15,SectorFlows_input!$A$57:$A$81,0),MATCH(SectorFlows!H$5,SectorFlows_input!$B$56:$Z$56,0)))</f>
        <v>876</v>
      </c>
      <c r="I15" s="225">
        <f>IF($D$3="HIS",SectorFlows_input!H12,INDEX(SectorFlows_input!$B$57:$Z$81,MATCH(SectorFlows!$B15,SectorFlows_input!$A$57:$A$81,0),MATCH(SectorFlows!I$5,SectorFlows_input!$B$56:$Z$56,0)))</f>
        <v>1244</v>
      </c>
      <c r="J15" s="225">
        <f>IF($D$3="HIS",SectorFlows_input!I12,INDEX(SectorFlows_input!$B$57:$Z$81,MATCH(SectorFlows!$B15,SectorFlows_input!$A$57:$A$81,0),MATCH(SectorFlows!J$5,SectorFlows_input!$B$56:$Z$56,0)))</f>
        <v>1021</v>
      </c>
      <c r="K15" s="225">
        <f>IF($D$3="HIS",SectorFlows_input!J12,INDEX(SectorFlows_input!$B$57:$Z$81,MATCH(SectorFlows!$B15,SectorFlows_input!$A$57:$A$81,0),MATCH(SectorFlows!K$5,SectorFlows_input!$B$56:$Z$56,0)))</f>
        <v>11302</v>
      </c>
      <c r="L15" s="224">
        <f>IF($D$3="HIS",SectorFlows_input!K12,INDEX(SectorFlows_input!$B$57:$Z$81,MATCH(SectorFlows!$B15,SectorFlows_input!$A$57:$A$81,0),MATCH(SectorFlows!L$5,SectorFlows_input!$B$56:$Z$56,0)))</f>
        <v>63559</v>
      </c>
      <c r="M15" s="225">
        <f>IF($D$3="HIS",SectorFlows_input!L12,INDEX(SectorFlows_input!$B$57:$Z$81,MATCH(SectorFlows!$B15,SectorFlows_input!$A$57:$A$81,0),MATCH(SectorFlows!M$5,SectorFlows_input!$B$56:$Z$56,0)))</f>
        <v>17233</v>
      </c>
      <c r="N15" s="225">
        <f>IF($D$3="HIS",SectorFlows_input!M12,INDEX(SectorFlows_input!$B$57:$Z$81,MATCH(SectorFlows!$B15,SectorFlows_input!$A$57:$A$81,0),MATCH(SectorFlows!N$5,SectorFlows_input!$B$56:$Z$56,0)))</f>
        <v>4226</v>
      </c>
      <c r="O15" s="225">
        <f>IF($D$3="HIS",SectorFlows_input!N12,INDEX(SectorFlows_input!$B$57:$Z$81,MATCH(SectorFlows!$B15,SectorFlows_input!$A$57:$A$81,0),MATCH(SectorFlows!O$5,SectorFlows_input!$B$56:$Z$56,0)))</f>
        <v>3377</v>
      </c>
      <c r="P15" s="225">
        <f>IF($D$3="HIS",SectorFlows_input!O12,INDEX(SectorFlows_input!$B$57:$Z$81,MATCH(SectorFlows!$B15,SectorFlows_input!$A$57:$A$81,0),MATCH(SectorFlows!P$5,SectorFlows_input!$B$56:$Z$56,0)))</f>
        <v>942</v>
      </c>
      <c r="Q15" s="225">
        <f>IF($D$3="HIS",SectorFlows_input!P12,INDEX(SectorFlows_input!$B$57:$Z$81,MATCH(SectorFlows!$B15,SectorFlows_input!$A$57:$A$81,0),MATCH(SectorFlows!Q$5,SectorFlows_input!$B$56:$Z$56,0)))</f>
        <v>593</v>
      </c>
      <c r="R15" s="225">
        <f>IF($D$3="HIS",SectorFlows_input!Q12,INDEX(SectorFlows_input!$B$57:$Z$81,MATCH(SectorFlows!$B15,SectorFlows_input!$A$57:$A$81,0),MATCH(SectorFlows!R$5,SectorFlows_input!$B$56:$Z$56,0)))</f>
        <v>225</v>
      </c>
      <c r="S15" s="225">
        <f>IF($D$3="HIS",SectorFlows_input!R12,INDEX(SectorFlows_input!$B$57:$Z$81,MATCH(SectorFlows!$B15,SectorFlows_input!$A$57:$A$81,0),MATCH(SectorFlows!S$5,SectorFlows_input!$B$56:$Z$56,0)))</f>
        <v>220</v>
      </c>
      <c r="T15" s="225">
        <f>IF($D$3="HIS",SectorFlows_input!S12,INDEX(SectorFlows_input!$B$57:$Z$81,MATCH(SectorFlows!$B15,SectorFlows_input!$A$57:$A$81,0),MATCH(SectorFlows!T$5,SectorFlows_input!$B$56:$Z$56,0)))</f>
        <v>40</v>
      </c>
      <c r="U15" s="225">
        <f>IF($D$3="HIS",SectorFlows_input!T12,INDEX(SectorFlows_input!$B$57:$Z$81,MATCH(SectorFlows!$B15,SectorFlows_input!$A$57:$A$81,0),MATCH(SectorFlows!U$5,SectorFlows_input!$B$56:$Z$56,0)))</f>
        <v>40</v>
      </c>
      <c r="V15" s="225">
        <f>IF($D$3="HIS",SectorFlows_input!U12,INDEX(SectorFlows_input!$B$57:$Z$81,MATCH(SectorFlows!$B15,SectorFlows_input!$A$57:$A$81,0),MATCH(SectorFlows!V$5,SectorFlows_input!$B$56:$Z$56,0)))</f>
        <v>18242</v>
      </c>
      <c r="W15" s="225">
        <f>IF($D$3="HIS",SectorFlows_input!V12,INDEX(SectorFlows_input!$B$57:$Z$81,MATCH(SectorFlows!$B15,SectorFlows_input!$A$57:$A$81,0),MATCH(SectorFlows!W$5,SectorFlows_input!$B$56:$Z$56,0)))</f>
        <v>4936</v>
      </c>
      <c r="X15" s="225">
        <f>IF($D$3="HIS",SectorFlows_input!W12,INDEX(SectorFlows_input!$B$57:$Z$81,MATCH(SectorFlows!$B15,SectorFlows_input!$A$57:$A$81,0),MATCH(SectorFlows!X$5,SectorFlows_input!$B$56:$Z$56,0)))</f>
        <v>2132</v>
      </c>
      <c r="Y15" s="225">
        <f>IF($D$3="HIS",SectorFlows_input!X12,INDEX(SectorFlows_input!$B$57:$Z$81,MATCH(SectorFlows!$B15,SectorFlows_input!$A$57:$A$81,0),MATCH(SectorFlows!Y$5,SectorFlows_input!$B$56:$Z$56,0)))</f>
        <v>414</v>
      </c>
      <c r="Z15" s="225">
        <f>IF($D$3="HIS",SectorFlows_input!Y12,INDEX(SectorFlows_input!$B$57:$Z$81,MATCH(SectorFlows!$B15,SectorFlows_input!$A$57:$A$81,0),MATCH(SectorFlows!Z$5,SectorFlows_input!$B$56:$Z$56,0)))</f>
        <v>357</v>
      </c>
      <c r="AA15" s="225">
        <f>IF($D$3="HIS",SectorFlows_input!Z12,INDEX(SectorFlows_input!$B$57:$Z$81,MATCH(SectorFlows!$B15,SectorFlows_input!$A$57:$A$81,0),MATCH(SectorFlows!AA$5,SectorFlows_input!$B$56:$Z$56,0)))</f>
        <v>154</v>
      </c>
      <c r="AB15" s="226">
        <f t="shared" si="1"/>
        <v>174220</v>
      </c>
      <c r="AD15" s="223" t="s">
        <v>462</v>
      </c>
      <c r="AE15" s="234">
        <f t="shared" si="2"/>
        <v>8.124784754907588E-2</v>
      </c>
      <c r="AF15" s="234">
        <f t="shared" si="3"/>
        <v>5.107909539662496E-2</v>
      </c>
      <c r="AG15" s="234">
        <f t="shared" si="4"/>
        <v>9.178050740443118E-2</v>
      </c>
      <c r="AH15" s="234">
        <f t="shared" si="5"/>
        <v>9.0689932269544249E-3</v>
      </c>
      <c r="AI15" s="234">
        <f t="shared" si="6"/>
        <v>1.4137297669613132E-2</v>
      </c>
      <c r="AJ15" s="234">
        <f t="shared" si="7"/>
        <v>5.0281253587418206E-3</v>
      </c>
      <c r="AK15" s="234">
        <f t="shared" si="8"/>
        <v>7.1403971989438637E-3</v>
      </c>
      <c r="AL15" s="234">
        <f t="shared" si="9"/>
        <v>5.8604063827344738E-3</v>
      </c>
      <c r="AM15" s="234">
        <f t="shared" si="10"/>
        <v>6.4872000918379066E-2</v>
      </c>
      <c r="AN15" s="233">
        <f t="shared" si="11"/>
        <v>0.36482034209620023</v>
      </c>
      <c r="AO15" s="234">
        <f t="shared" si="12"/>
        <v>9.8915164734244054E-2</v>
      </c>
      <c r="AP15" s="234">
        <f t="shared" si="13"/>
        <v>2.4256686947537597E-2</v>
      </c>
      <c r="AQ15" s="234">
        <f t="shared" si="14"/>
        <v>1.9383538055332338E-2</v>
      </c>
      <c r="AR15" s="234">
        <f t="shared" si="15"/>
        <v>5.4069567213867525E-3</v>
      </c>
      <c r="AS15" s="234">
        <f t="shared" si="16"/>
        <v>3.4037423946734016E-3</v>
      </c>
      <c r="AT15" s="234">
        <f t="shared" si="17"/>
        <v>1.291470554471358E-3</v>
      </c>
      <c r="AU15" s="234">
        <f t="shared" si="18"/>
        <v>1.262771208816439E-3</v>
      </c>
      <c r="AV15" s="234">
        <f t="shared" si="19"/>
        <v>2.2959476523935255E-4</v>
      </c>
      <c r="AW15" s="234">
        <f t="shared" si="20"/>
        <v>2.2959476523935255E-4</v>
      </c>
      <c r="AX15" s="234">
        <f t="shared" si="21"/>
        <v>0.10470669268740673</v>
      </c>
      <c r="AY15" s="234">
        <f t="shared" si="22"/>
        <v>2.8331994030536104E-2</v>
      </c>
      <c r="AZ15" s="234">
        <f t="shared" si="23"/>
        <v>1.223740098725749E-2</v>
      </c>
      <c r="BA15" s="234">
        <f t="shared" si="24"/>
        <v>2.3763058202272988E-3</v>
      </c>
      <c r="BB15" s="234">
        <f t="shared" si="25"/>
        <v>2.0491332797612214E-3</v>
      </c>
      <c r="BC15" s="234">
        <f t="shared" si="26"/>
        <v>8.8393984617150725E-4</v>
      </c>
      <c r="BD15" s="237">
        <f t="shared" si="27"/>
        <v>1</v>
      </c>
    </row>
    <row r="16" spans="1:56" x14ac:dyDescent="0.25">
      <c r="B16" s="223" t="s">
        <v>463</v>
      </c>
      <c r="C16" s="225">
        <f>IF($D$3="HIS",SectorFlows_input!B13,INDEX(SectorFlows_input!$B$57:$Z$81,MATCH(SectorFlows!$B16,SectorFlows_input!$A$57:$A$81,0),MATCH(SectorFlows!C$5,SectorFlows_input!$B$56:$Z$56,0)))</f>
        <v>10669</v>
      </c>
      <c r="D16" s="225">
        <f>IF($D$3="HIS",SectorFlows_input!C13,INDEX(SectorFlows_input!$B$57:$Z$81,MATCH(SectorFlows!$B16,SectorFlows_input!$A$57:$A$81,0),MATCH(SectorFlows!D$5,SectorFlows_input!$B$56:$Z$56,0)))</f>
        <v>5044</v>
      </c>
      <c r="E16" s="225">
        <f>IF($D$3="HIS",SectorFlows_input!D13,INDEX(SectorFlows_input!$B$57:$Z$81,MATCH(SectorFlows!$B16,SectorFlows_input!$A$57:$A$81,0),MATCH(SectorFlows!E$5,SectorFlows_input!$B$56:$Z$56,0)))</f>
        <v>12520</v>
      </c>
      <c r="F16" s="225">
        <f>IF($D$3="HIS",SectorFlows_input!E13,INDEX(SectorFlows_input!$B$57:$Z$81,MATCH(SectorFlows!$B16,SectorFlows_input!$A$57:$A$81,0),MATCH(SectorFlows!F$5,SectorFlows_input!$B$56:$Z$56,0)))</f>
        <v>2850</v>
      </c>
      <c r="G16" s="225">
        <f>IF($D$3="HIS",SectorFlows_input!F13,INDEX(SectorFlows_input!$B$57:$Z$81,MATCH(SectorFlows!$B16,SectorFlows_input!$A$57:$A$81,0),MATCH(SectorFlows!G$5,SectorFlows_input!$B$56:$Z$56,0)))</f>
        <v>4631</v>
      </c>
      <c r="H16" s="225">
        <f>IF($D$3="HIS",SectorFlows_input!G13,INDEX(SectorFlows_input!$B$57:$Z$81,MATCH(SectorFlows!$B16,SectorFlows_input!$A$57:$A$81,0),MATCH(SectorFlows!H$5,SectorFlows_input!$B$56:$Z$56,0)))</f>
        <v>1301</v>
      </c>
      <c r="I16" s="225">
        <f>IF($D$3="HIS",SectorFlows_input!H13,INDEX(SectorFlows_input!$B$57:$Z$81,MATCH(SectorFlows!$B16,SectorFlows_input!$A$57:$A$81,0),MATCH(SectorFlows!I$5,SectorFlows_input!$B$56:$Z$56,0)))</f>
        <v>1647</v>
      </c>
      <c r="J16" s="225">
        <f>IF($D$3="HIS",SectorFlows_input!I13,INDEX(SectorFlows_input!$B$57:$Z$81,MATCH(SectorFlows!$B16,SectorFlows_input!$A$57:$A$81,0),MATCH(SectorFlows!J$5,SectorFlows_input!$B$56:$Z$56,0)))</f>
        <v>1226</v>
      </c>
      <c r="K16" s="225">
        <f>IF($D$3="HIS",SectorFlows_input!J13,INDEX(SectorFlows_input!$B$57:$Z$81,MATCH(SectorFlows!$B16,SectorFlows_input!$A$57:$A$81,0),MATCH(SectorFlows!K$5,SectorFlows_input!$B$56:$Z$56,0)))</f>
        <v>2337</v>
      </c>
      <c r="L16" s="225">
        <f>IF($D$3="HIS",SectorFlows_input!K13,INDEX(SectorFlows_input!$B$57:$Z$81,MATCH(SectorFlows!$B16,SectorFlows_input!$A$57:$A$81,0),MATCH(SectorFlows!L$5,SectorFlows_input!$B$56:$Z$56,0)))</f>
        <v>34781</v>
      </c>
      <c r="M16" s="224">
        <f>IF($D$3="HIS",SectorFlows_input!L13,INDEX(SectorFlows_input!$B$57:$Z$81,MATCH(SectorFlows!$B16,SectorFlows_input!$A$57:$A$81,0),MATCH(SectorFlows!M$5,SectorFlows_input!$B$56:$Z$56,0)))</f>
        <v>62132</v>
      </c>
      <c r="N16" s="225">
        <f>IF($D$3="HIS",SectorFlows_input!M13,INDEX(SectorFlows_input!$B$57:$Z$81,MATCH(SectorFlows!$B16,SectorFlows_input!$A$57:$A$81,0),MATCH(SectorFlows!N$5,SectorFlows_input!$B$56:$Z$56,0)))</f>
        <v>19085</v>
      </c>
      <c r="O16" s="225">
        <f>IF($D$3="HIS",SectorFlows_input!N13,INDEX(SectorFlows_input!$B$57:$Z$81,MATCH(SectorFlows!$B16,SectorFlows_input!$A$57:$A$81,0),MATCH(SectorFlows!O$5,SectorFlows_input!$B$56:$Z$56,0)))</f>
        <v>11048</v>
      </c>
      <c r="P16" s="225">
        <f>IF($D$3="HIS",SectorFlows_input!O13,INDEX(SectorFlows_input!$B$57:$Z$81,MATCH(SectorFlows!$B16,SectorFlows_input!$A$57:$A$81,0),MATCH(SectorFlows!P$5,SectorFlows_input!$B$56:$Z$56,0)))</f>
        <v>1458</v>
      </c>
      <c r="Q16" s="225">
        <f>IF($D$3="HIS",SectorFlows_input!P13,INDEX(SectorFlows_input!$B$57:$Z$81,MATCH(SectorFlows!$B16,SectorFlows_input!$A$57:$A$81,0),MATCH(SectorFlows!Q$5,SectorFlows_input!$B$56:$Z$56,0)))</f>
        <v>629</v>
      </c>
      <c r="R16" s="225">
        <f>IF($D$3="HIS",SectorFlows_input!Q13,INDEX(SectorFlows_input!$B$57:$Z$81,MATCH(SectorFlows!$B16,SectorFlows_input!$A$57:$A$81,0),MATCH(SectorFlows!R$5,SectorFlows_input!$B$56:$Z$56,0)))</f>
        <v>40</v>
      </c>
      <c r="S16" s="225">
        <f>IF($D$3="HIS",SectorFlows_input!R13,INDEX(SectorFlows_input!$B$57:$Z$81,MATCH(SectorFlows!$B16,SectorFlows_input!$A$57:$A$81,0),MATCH(SectorFlows!S$5,SectorFlows_input!$B$56:$Z$56,0)))</f>
        <v>379</v>
      </c>
      <c r="T16" s="225">
        <f>IF($D$3="HIS",SectorFlows_input!S13,INDEX(SectorFlows_input!$B$57:$Z$81,MATCH(SectorFlows!$B16,SectorFlows_input!$A$57:$A$81,0),MATCH(SectorFlows!T$5,SectorFlows_input!$B$56:$Z$56,0)))</f>
        <v>135</v>
      </c>
      <c r="U16" s="225">
        <f>IF($D$3="HIS",SectorFlows_input!T13,INDEX(SectorFlows_input!$B$57:$Z$81,MATCH(SectorFlows!$B16,SectorFlows_input!$A$57:$A$81,0),MATCH(SectorFlows!U$5,SectorFlows_input!$B$56:$Z$56,0)))</f>
        <v>15</v>
      </c>
      <c r="V16" s="225">
        <f>IF($D$3="HIS",SectorFlows_input!U13,INDEX(SectorFlows_input!$B$57:$Z$81,MATCH(SectorFlows!$B16,SectorFlows_input!$A$57:$A$81,0),MATCH(SectorFlows!V$5,SectorFlows_input!$B$56:$Z$56,0)))</f>
        <v>7005</v>
      </c>
      <c r="W16" s="225">
        <f>IF($D$3="HIS",SectorFlows_input!V13,INDEX(SectorFlows_input!$B$57:$Z$81,MATCH(SectorFlows!$B16,SectorFlows_input!$A$57:$A$81,0),MATCH(SectorFlows!W$5,SectorFlows_input!$B$56:$Z$56,0)))</f>
        <v>1288</v>
      </c>
      <c r="X16" s="225">
        <f>IF($D$3="HIS",SectorFlows_input!W13,INDEX(SectorFlows_input!$B$57:$Z$81,MATCH(SectorFlows!$B16,SectorFlows_input!$A$57:$A$81,0),MATCH(SectorFlows!X$5,SectorFlows_input!$B$56:$Z$56,0)))</f>
        <v>7250</v>
      </c>
      <c r="Y16" s="225">
        <f>IF($D$3="HIS",SectorFlows_input!X13,INDEX(SectorFlows_input!$B$57:$Z$81,MATCH(SectorFlows!$B16,SectorFlows_input!$A$57:$A$81,0),MATCH(SectorFlows!Y$5,SectorFlows_input!$B$56:$Z$56,0)))</f>
        <v>2700</v>
      </c>
      <c r="Z16" s="225">
        <f>IF($D$3="HIS",SectorFlows_input!Y13,INDEX(SectorFlows_input!$B$57:$Z$81,MATCH(SectorFlows!$B16,SectorFlows_input!$A$57:$A$81,0),MATCH(SectorFlows!Z$5,SectorFlows_input!$B$56:$Z$56,0)))</f>
        <v>1124</v>
      </c>
      <c r="AA16" s="225">
        <f>IF($D$3="HIS",SectorFlows_input!Z13,INDEX(SectorFlows_input!$B$57:$Z$81,MATCH(SectorFlows!$B16,SectorFlows_input!$A$57:$A$81,0),MATCH(SectorFlows!AA$5,SectorFlows_input!$B$56:$Z$56,0)))</f>
        <v>706</v>
      </c>
      <c r="AB16" s="226">
        <f t="shared" si="1"/>
        <v>192000</v>
      </c>
      <c r="AD16" s="223" t="s">
        <v>463</v>
      </c>
      <c r="AE16" s="234">
        <f t="shared" si="2"/>
        <v>5.5567708333333334E-2</v>
      </c>
      <c r="AF16" s="234">
        <f t="shared" si="3"/>
        <v>2.6270833333333334E-2</v>
      </c>
      <c r="AG16" s="234">
        <f t="shared" si="4"/>
        <v>6.5208333333333326E-2</v>
      </c>
      <c r="AH16" s="234">
        <f t="shared" si="5"/>
        <v>1.4843749999999999E-2</v>
      </c>
      <c r="AI16" s="234">
        <f t="shared" si="6"/>
        <v>2.4119791666666668E-2</v>
      </c>
      <c r="AJ16" s="234">
        <f t="shared" si="7"/>
        <v>6.7760416666666663E-3</v>
      </c>
      <c r="AK16" s="234">
        <f t="shared" si="8"/>
        <v>8.5781250000000007E-3</v>
      </c>
      <c r="AL16" s="234">
        <f t="shared" si="9"/>
        <v>6.3854166666666668E-3</v>
      </c>
      <c r="AM16" s="234">
        <f t="shared" si="10"/>
        <v>1.2171875E-2</v>
      </c>
      <c r="AN16" s="234">
        <f t="shared" si="11"/>
        <v>0.18115104166666668</v>
      </c>
      <c r="AO16" s="233">
        <f t="shared" si="12"/>
        <v>0.32360416666666669</v>
      </c>
      <c r="AP16" s="234">
        <f t="shared" si="13"/>
        <v>9.9401041666666662E-2</v>
      </c>
      <c r="AQ16" s="234">
        <f t="shared" si="14"/>
        <v>5.7541666666666665E-2</v>
      </c>
      <c r="AR16" s="234">
        <f t="shared" si="15"/>
        <v>7.5937499999999998E-3</v>
      </c>
      <c r="AS16" s="234">
        <f t="shared" si="16"/>
        <v>3.2760416666666667E-3</v>
      </c>
      <c r="AT16" s="234">
        <f t="shared" si="17"/>
        <v>2.0833333333333335E-4</v>
      </c>
      <c r="AU16" s="234">
        <f t="shared" si="18"/>
        <v>1.9739583333333332E-3</v>
      </c>
      <c r="AV16" s="234">
        <f t="shared" si="19"/>
        <v>7.0312499999999997E-4</v>
      </c>
      <c r="AW16" s="234">
        <f t="shared" si="20"/>
        <v>7.8125000000000002E-5</v>
      </c>
      <c r="AX16" s="234">
        <f t="shared" si="21"/>
        <v>3.6484374999999999E-2</v>
      </c>
      <c r="AY16" s="234">
        <f t="shared" si="22"/>
        <v>6.7083333333333335E-3</v>
      </c>
      <c r="AZ16" s="234">
        <f t="shared" si="23"/>
        <v>3.7760416666666664E-2</v>
      </c>
      <c r="BA16" s="234">
        <f t="shared" si="24"/>
        <v>1.40625E-2</v>
      </c>
      <c r="BB16" s="234">
        <f t="shared" si="25"/>
        <v>5.8541666666666664E-3</v>
      </c>
      <c r="BC16" s="234">
        <f t="shared" si="26"/>
        <v>3.6770833333333334E-3</v>
      </c>
      <c r="BD16" s="237">
        <f t="shared" si="27"/>
        <v>1</v>
      </c>
    </row>
    <row r="17" spans="2:56" x14ac:dyDescent="0.25">
      <c r="B17" s="223" t="s">
        <v>464</v>
      </c>
      <c r="C17" s="225">
        <f>IF($D$3="HIS",SectorFlows_input!B14,INDEX(SectorFlows_input!$B$57:$Z$81,MATCH(SectorFlows!$B17,SectorFlows_input!$A$57:$A$81,0),MATCH(SectorFlows!C$5,SectorFlows_input!$B$56:$Z$56,0)))</f>
        <v>12839</v>
      </c>
      <c r="D17" s="225">
        <f>IF($D$3="HIS",SectorFlows_input!C14,INDEX(SectorFlows_input!$B$57:$Z$81,MATCH(SectorFlows!$B17,SectorFlows_input!$A$57:$A$81,0),MATCH(SectorFlows!D$5,SectorFlows_input!$B$56:$Z$56,0)))</f>
        <v>2149</v>
      </c>
      <c r="E17" s="225">
        <f>IF($D$3="HIS",SectorFlows_input!D14,INDEX(SectorFlows_input!$B$57:$Z$81,MATCH(SectorFlows!$B17,SectorFlows_input!$A$57:$A$81,0),MATCH(SectorFlows!E$5,SectorFlows_input!$B$56:$Z$56,0)))</f>
        <v>4743</v>
      </c>
      <c r="F17" s="225">
        <f>IF($D$3="HIS",SectorFlows_input!E14,INDEX(SectorFlows_input!$B$57:$Z$81,MATCH(SectorFlows!$B17,SectorFlows_input!$A$57:$A$81,0),MATCH(SectorFlows!F$5,SectorFlows_input!$B$56:$Z$56,0)))</f>
        <v>1595</v>
      </c>
      <c r="G17" s="225">
        <f>IF($D$3="HIS",SectorFlows_input!F14,INDEX(SectorFlows_input!$B$57:$Z$81,MATCH(SectorFlows!$B17,SectorFlows_input!$A$57:$A$81,0),MATCH(SectorFlows!G$5,SectorFlows_input!$B$56:$Z$56,0)))</f>
        <v>6296</v>
      </c>
      <c r="H17" s="225">
        <f>IF($D$3="HIS",SectorFlows_input!G14,INDEX(SectorFlows_input!$B$57:$Z$81,MATCH(SectorFlows!$B17,SectorFlows_input!$A$57:$A$81,0),MATCH(SectorFlows!H$5,SectorFlows_input!$B$56:$Z$56,0)))</f>
        <v>2282</v>
      </c>
      <c r="I17" s="225">
        <f>IF($D$3="HIS",SectorFlows_input!H14,INDEX(SectorFlows_input!$B$57:$Z$81,MATCH(SectorFlows!$B17,SectorFlows_input!$A$57:$A$81,0),MATCH(SectorFlows!I$5,SectorFlows_input!$B$56:$Z$56,0)))</f>
        <v>1164</v>
      </c>
      <c r="J17" s="225">
        <f>IF($D$3="HIS",SectorFlows_input!I14,INDEX(SectorFlows_input!$B$57:$Z$81,MATCH(SectorFlows!$B17,SectorFlows_input!$A$57:$A$81,0),MATCH(SectorFlows!J$5,SectorFlows_input!$B$56:$Z$56,0)))</f>
        <v>998</v>
      </c>
      <c r="K17" s="225">
        <f>IF($D$3="HIS",SectorFlows_input!J14,INDEX(SectorFlows_input!$B$57:$Z$81,MATCH(SectorFlows!$B17,SectorFlows_input!$A$57:$A$81,0),MATCH(SectorFlows!K$5,SectorFlows_input!$B$56:$Z$56,0)))</f>
        <v>925</v>
      </c>
      <c r="L17" s="225">
        <f>IF($D$3="HIS",SectorFlows_input!K14,INDEX(SectorFlows_input!$B$57:$Z$81,MATCH(SectorFlows!$B17,SectorFlows_input!$A$57:$A$81,0),MATCH(SectorFlows!L$5,SectorFlows_input!$B$56:$Z$56,0)))</f>
        <v>7696</v>
      </c>
      <c r="M17" s="225">
        <f>IF($D$3="HIS",SectorFlows_input!L14,INDEX(SectorFlows_input!$B$57:$Z$81,MATCH(SectorFlows!$B17,SectorFlows_input!$A$57:$A$81,0),MATCH(SectorFlows!M$5,SectorFlows_input!$B$56:$Z$56,0)))</f>
        <v>18715</v>
      </c>
      <c r="N17" s="224">
        <f>IF($D$3="HIS",SectorFlows_input!M14,INDEX(SectorFlows_input!$B$57:$Z$81,MATCH(SectorFlows!$B17,SectorFlows_input!$A$57:$A$81,0),MATCH(SectorFlows!N$5,SectorFlows_input!$B$56:$Z$56,0)))</f>
        <v>60972</v>
      </c>
      <c r="O17" s="225">
        <f>IF($D$3="HIS",SectorFlows_input!N14,INDEX(SectorFlows_input!$B$57:$Z$81,MATCH(SectorFlows!$B17,SectorFlows_input!$A$57:$A$81,0),MATCH(SectorFlows!O$5,SectorFlows_input!$B$56:$Z$56,0)))</f>
        <v>25876</v>
      </c>
      <c r="P17" s="225">
        <f>IF($D$3="HIS",SectorFlows_input!O14,INDEX(SectorFlows_input!$B$57:$Z$81,MATCH(SectorFlows!$B17,SectorFlows_input!$A$57:$A$81,0),MATCH(SectorFlows!P$5,SectorFlows_input!$B$56:$Z$56,0)))</f>
        <v>1707</v>
      </c>
      <c r="Q17" s="225">
        <f>IF($D$3="HIS",SectorFlows_input!P14,INDEX(SectorFlows_input!$B$57:$Z$81,MATCH(SectorFlows!$B17,SectorFlows_input!$A$57:$A$81,0),MATCH(SectorFlows!Q$5,SectorFlows_input!$B$56:$Z$56,0)))</f>
        <v>164</v>
      </c>
      <c r="R17" s="225">
        <f>IF($D$3="HIS",SectorFlows_input!Q14,INDEX(SectorFlows_input!$B$57:$Z$81,MATCH(SectorFlows!$B17,SectorFlows_input!$A$57:$A$81,0),MATCH(SectorFlows!R$5,SectorFlows_input!$B$56:$Z$56,0)))</f>
        <v>20</v>
      </c>
      <c r="S17" s="225">
        <f>IF($D$3="HIS",SectorFlows_input!R14,INDEX(SectorFlows_input!$B$57:$Z$81,MATCH(SectorFlows!$B17,SectorFlows_input!$A$57:$A$81,0),MATCH(SectorFlows!S$5,SectorFlows_input!$B$56:$Z$56,0)))</f>
        <v>442</v>
      </c>
      <c r="T17" s="225">
        <f>IF($D$3="HIS",SectorFlows_input!S14,INDEX(SectorFlows_input!$B$57:$Z$81,MATCH(SectorFlows!$B17,SectorFlows_input!$A$57:$A$81,0),MATCH(SectorFlows!T$5,SectorFlows_input!$B$56:$Z$56,0)))</f>
        <v>58</v>
      </c>
      <c r="U17" s="225">
        <f>IF($D$3="HIS",SectorFlows_input!T14,INDEX(SectorFlows_input!$B$57:$Z$81,MATCH(SectorFlows!$B17,SectorFlows_input!$A$57:$A$81,0),MATCH(SectorFlows!U$5,SectorFlows_input!$B$56:$Z$56,0)))</f>
        <v>54</v>
      </c>
      <c r="V17" s="225">
        <f>IF($D$3="HIS",SectorFlows_input!U14,INDEX(SectorFlows_input!$B$57:$Z$81,MATCH(SectorFlows!$B17,SectorFlows_input!$A$57:$A$81,0),MATCH(SectorFlows!V$5,SectorFlows_input!$B$56:$Z$56,0)))</f>
        <v>2682</v>
      </c>
      <c r="W17" s="225">
        <f>IF($D$3="HIS",SectorFlows_input!V14,INDEX(SectorFlows_input!$B$57:$Z$81,MATCH(SectorFlows!$B17,SectorFlows_input!$A$57:$A$81,0),MATCH(SectorFlows!W$5,SectorFlows_input!$B$56:$Z$56,0)))</f>
        <v>805</v>
      </c>
      <c r="X17" s="225">
        <f>IF($D$3="HIS",SectorFlows_input!W14,INDEX(SectorFlows_input!$B$57:$Z$81,MATCH(SectorFlows!$B17,SectorFlows_input!$A$57:$A$81,0),MATCH(SectorFlows!X$5,SectorFlows_input!$B$56:$Z$56,0)))</f>
        <v>2179</v>
      </c>
      <c r="Y17" s="225">
        <f>IF($D$3="HIS",SectorFlows_input!X14,INDEX(SectorFlows_input!$B$57:$Z$81,MATCH(SectorFlows!$B17,SectorFlows_input!$A$57:$A$81,0),MATCH(SectorFlows!Y$5,SectorFlows_input!$B$56:$Z$56,0)))</f>
        <v>3974</v>
      </c>
      <c r="Z17" s="225">
        <f>IF($D$3="HIS",SectorFlows_input!Y14,INDEX(SectorFlows_input!$B$57:$Z$81,MATCH(SectorFlows!$B17,SectorFlows_input!$A$57:$A$81,0),MATCH(SectorFlows!Z$5,SectorFlows_input!$B$56:$Z$56,0)))</f>
        <v>1864</v>
      </c>
      <c r="AA17" s="225">
        <f>IF($D$3="HIS",SectorFlows_input!Z14,INDEX(SectorFlows_input!$B$57:$Z$81,MATCH(SectorFlows!$B17,SectorFlows_input!$A$57:$A$81,0),MATCH(SectorFlows!AA$5,SectorFlows_input!$B$56:$Z$56,0)))</f>
        <v>669</v>
      </c>
      <c r="AB17" s="226">
        <f t="shared" si="1"/>
        <v>160868</v>
      </c>
      <c r="AD17" s="223" t="s">
        <v>464</v>
      </c>
      <c r="AE17" s="234">
        <f t="shared" si="2"/>
        <v>7.981077653728523E-2</v>
      </c>
      <c r="AF17" s="234">
        <f t="shared" si="3"/>
        <v>1.3358778625954198E-2</v>
      </c>
      <c r="AG17" s="234">
        <f t="shared" si="4"/>
        <v>2.9483800382922646E-2</v>
      </c>
      <c r="AH17" s="234">
        <f t="shared" si="5"/>
        <v>9.9149613347589323E-3</v>
      </c>
      <c r="AI17" s="234">
        <f t="shared" si="6"/>
        <v>3.913767809632742E-2</v>
      </c>
      <c r="AJ17" s="234">
        <f t="shared" si="7"/>
        <v>1.4185543426909019E-2</v>
      </c>
      <c r="AK17" s="234">
        <f t="shared" si="8"/>
        <v>7.2357460775294034E-3</v>
      </c>
      <c r="AL17" s="234">
        <f t="shared" si="9"/>
        <v>6.2038441455106053E-3</v>
      </c>
      <c r="AM17" s="234">
        <f t="shared" si="10"/>
        <v>5.7500559464902902E-3</v>
      </c>
      <c r="AN17" s="234">
        <f t="shared" si="11"/>
        <v>4.7840465474799213E-2</v>
      </c>
      <c r="AO17" s="234">
        <f t="shared" si="12"/>
        <v>0.11633761842007112</v>
      </c>
      <c r="AP17" s="233">
        <f t="shared" si="13"/>
        <v>0.37901882288584432</v>
      </c>
      <c r="AQ17" s="234">
        <f t="shared" si="14"/>
        <v>0.16085237586095433</v>
      </c>
      <c r="AR17" s="234">
        <f t="shared" si="15"/>
        <v>1.0611184325036676E-2</v>
      </c>
      <c r="AS17" s="234">
        <f t="shared" si="16"/>
        <v>1.0194693786209812E-3</v>
      </c>
      <c r="AT17" s="234">
        <f t="shared" si="17"/>
        <v>1.2432553397816843E-4</v>
      </c>
      <c r="AU17" s="234">
        <f t="shared" si="18"/>
        <v>2.7475943009175226E-3</v>
      </c>
      <c r="AV17" s="234">
        <f t="shared" si="19"/>
        <v>3.6054404853668847E-4</v>
      </c>
      <c r="AW17" s="234">
        <f t="shared" si="20"/>
        <v>3.3567894174105477E-4</v>
      </c>
      <c r="AX17" s="234">
        <f t="shared" si="21"/>
        <v>1.6672054106472389E-2</v>
      </c>
      <c r="AY17" s="234">
        <f t="shared" si="22"/>
        <v>5.0041027426212794E-3</v>
      </c>
      <c r="AZ17" s="234">
        <f t="shared" si="23"/>
        <v>1.3545266926921451E-2</v>
      </c>
      <c r="BA17" s="234">
        <f t="shared" si="24"/>
        <v>2.4703483601462069E-2</v>
      </c>
      <c r="BB17" s="234">
        <f t="shared" si="25"/>
        <v>1.1587139766765299E-2</v>
      </c>
      <c r="BC17" s="234">
        <f t="shared" si="26"/>
        <v>4.1586891115697345E-3</v>
      </c>
      <c r="BD17" s="237">
        <f t="shared" si="27"/>
        <v>1.0000000000000002</v>
      </c>
    </row>
    <row r="18" spans="2:56" x14ac:dyDescent="0.25">
      <c r="B18" s="223" t="s">
        <v>465</v>
      </c>
      <c r="C18" s="225">
        <f>IF($D$3="HIS",SectorFlows_input!B15,INDEX(SectorFlows_input!$B$57:$Z$81,MATCH(SectorFlows!$B18,SectorFlows_input!$A$57:$A$81,0),MATCH(SectorFlows!C$5,SectorFlows_input!$B$56:$Z$56,0)))</f>
        <v>29728</v>
      </c>
      <c r="D18" s="225">
        <f>IF($D$3="HIS",SectorFlows_input!C15,INDEX(SectorFlows_input!$B$57:$Z$81,MATCH(SectorFlows!$B18,SectorFlows_input!$A$57:$A$81,0),MATCH(SectorFlows!D$5,SectorFlows_input!$B$56:$Z$56,0)))</f>
        <v>3646</v>
      </c>
      <c r="E18" s="225">
        <f>IF($D$3="HIS",SectorFlows_input!D15,INDEX(SectorFlows_input!$B$57:$Z$81,MATCH(SectorFlows!$B18,SectorFlows_input!$A$57:$A$81,0),MATCH(SectorFlows!E$5,SectorFlows_input!$B$56:$Z$56,0)))</f>
        <v>5515</v>
      </c>
      <c r="F18" s="225">
        <f>IF($D$3="HIS",SectorFlows_input!E15,INDEX(SectorFlows_input!$B$57:$Z$81,MATCH(SectorFlows!$B18,SectorFlows_input!$A$57:$A$81,0),MATCH(SectorFlows!F$5,SectorFlows_input!$B$56:$Z$56,0)))</f>
        <v>1331</v>
      </c>
      <c r="G18" s="225">
        <f>IF($D$3="HIS",SectorFlows_input!F15,INDEX(SectorFlows_input!$B$57:$Z$81,MATCH(SectorFlows!$B18,SectorFlows_input!$A$57:$A$81,0),MATCH(SectorFlows!G$5,SectorFlows_input!$B$56:$Z$56,0)))</f>
        <v>8046</v>
      </c>
      <c r="H18" s="225">
        <f>IF($D$3="HIS",SectorFlows_input!G15,INDEX(SectorFlows_input!$B$57:$Z$81,MATCH(SectorFlows!$B18,SectorFlows_input!$A$57:$A$81,0),MATCH(SectorFlows!H$5,SectorFlows_input!$B$56:$Z$56,0)))</f>
        <v>6325</v>
      </c>
      <c r="I18" s="225">
        <f>IF($D$3="HIS",SectorFlows_input!H15,INDEX(SectorFlows_input!$B$57:$Z$81,MATCH(SectorFlows!$B18,SectorFlows_input!$A$57:$A$81,0),MATCH(SectorFlows!I$5,SectorFlows_input!$B$56:$Z$56,0)))</f>
        <v>4785</v>
      </c>
      <c r="J18" s="225">
        <f>IF($D$3="HIS",SectorFlows_input!I15,INDEX(SectorFlows_input!$B$57:$Z$81,MATCH(SectorFlows!$B18,SectorFlows_input!$A$57:$A$81,0),MATCH(SectorFlows!J$5,SectorFlows_input!$B$56:$Z$56,0)))</f>
        <v>2985</v>
      </c>
      <c r="K18" s="225">
        <f>IF($D$3="HIS",SectorFlows_input!J15,INDEX(SectorFlows_input!$B$57:$Z$81,MATCH(SectorFlows!$B18,SectorFlows_input!$A$57:$A$81,0),MATCH(SectorFlows!K$5,SectorFlows_input!$B$56:$Z$56,0)))</f>
        <v>1121</v>
      </c>
      <c r="L18" s="225">
        <f>IF($D$3="HIS",SectorFlows_input!K15,INDEX(SectorFlows_input!$B$57:$Z$81,MATCH(SectorFlows!$B18,SectorFlows_input!$A$57:$A$81,0),MATCH(SectorFlows!L$5,SectorFlows_input!$B$56:$Z$56,0)))</f>
        <v>6170</v>
      </c>
      <c r="M18" s="225">
        <f>IF($D$3="HIS",SectorFlows_input!L15,INDEX(SectorFlows_input!$B$57:$Z$81,MATCH(SectorFlows!$B18,SectorFlows_input!$A$57:$A$81,0),MATCH(SectorFlows!M$5,SectorFlows_input!$B$56:$Z$56,0)))</f>
        <v>9355</v>
      </c>
      <c r="N18" s="225">
        <f>IF($D$3="HIS",SectorFlows_input!M15,INDEX(SectorFlows_input!$B$57:$Z$81,MATCH(SectorFlows!$B18,SectorFlows_input!$A$57:$A$81,0),MATCH(SectorFlows!N$5,SectorFlows_input!$B$56:$Z$56,0)))</f>
        <v>26775</v>
      </c>
      <c r="O18" s="224">
        <f>IF($D$3="HIS",SectorFlows_input!N15,INDEX(SectorFlows_input!$B$57:$Z$81,MATCH(SectorFlows!$B18,SectorFlows_input!$A$57:$A$81,0),MATCH(SectorFlows!O$5,SectorFlows_input!$B$56:$Z$56,0)))</f>
        <v>122139</v>
      </c>
      <c r="P18" s="225">
        <f>IF($D$3="HIS",SectorFlows_input!O15,INDEX(SectorFlows_input!$B$57:$Z$81,MATCH(SectorFlows!$B18,SectorFlows_input!$A$57:$A$81,0),MATCH(SectorFlows!P$5,SectorFlows_input!$B$56:$Z$56,0)))</f>
        <v>9768</v>
      </c>
      <c r="Q18" s="225">
        <f>IF($D$3="HIS",SectorFlows_input!P15,INDEX(SectorFlows_input!$B$57:$Z$81,MATCH(SectorFlows!$B18,SectorFlows_input!$A$57:$A$81,0),MATCH(SectorFlows!Q$5,SectorFlows_input!$B$56:$Z$56,0)))</f>
        <v>726</v>
      </c>
      <c r="R18" s="225">
        <f>IF($D$3="HIS",SectorFlows_input!Q15,INDEX(SectorFlows_input!$B$57:$Z$81,MATCH(SectorFlows!$B18,SectorFlows_input!$A$57:$A$81,0),MATCH(SectorFlows!R$5,SectorFlows_input!$B$56:$Z$56,0)))</f>
        <v>55</v>
      </c>
      <c r="S18" s="225">
        <f>IF($D$3="HIS",SectorFlows_input!R15,INDEX(SectorFlows_input!$B$57:$Z$81,MATCH(SectorFlows!$B18,SectorFlows_input!$A$57:$A$81,0),MATCH(SectorFlows!S$5,SectorFlows_input!$B$56:$Z$56,0)))</f>
        <v>1112</v>
      </c>
      <c r="T18" s="225">
        <f>IF($D$3="HIS",SectorFlows_input!S15,INDEX(SectorFlows_input!$B$57:$Z$81,MATCH(SectorFlows!$B18,SectorFlows_input!$A$57:$A$81,0),MATCH(SectorFlows!T$5,SectorFlows_input!$B$56:$Z$56,0)))</f>
        <v>278</v>
      </c>
      <c r="U18" s="225">
        <f>IF($D$3="HIS",SectorFlows_input!T15,INDEX(SectorFlows_input!$B$57:$Z$81,MATCH(SectorFlows!$B18,SectorFlows_input!$A$57:$A$81,0),MATCH(SectorFlows!U$5,SectorFlows_input!$B$56:$Z$56,0)))</f>
        <v>25</v>
      </c>
      <c r="V18" s="225">
        <f>IF($D$3="HIS",SectorFlows_input!U15,INDEX(SectorFlows_input!$B$57:$Z$81,MATCH(SectorFlows!$B18,SectorFlows_input!$A$57:$A$81,0),MATCH(SectorFlows!V$5,SectorFlows_input!$B$56:$Z$56,0)))</f>
        <v>2218</v>
      </c>
      <c r="W18" s="225">
        <f>IF($D$3="HIS",SectorFlows_input!V15,INDEX(SectorFlows_input!$B$57:$Z$81,MATCH(SectorFlows!$B18,SectorFlows_input!$A$57:$A$81,0),MATCH(SectorFlows!W$5,SectorFlows_input!$B$56:$Z$56,0)))</f>
        <v>563</v>
      </c>
      <c r="X18" s="225">
        <f>IF($D$3="HIS",SectorFlows_input!W15,INDEX(SectorFlows_input!$B$57:$Z$81,MATCH(SectorFlows!$B18,SectorFlows_input!$A$57:$A$81,0),MATCH(SectorFlows!X$5,SectorFlows_input!$B$56:$Z$56,0)))</f>
        <v>1819</v>
      </c>
      <c r="Y18" s="225">
        <f>IF($D$3="HIS",SectorFlows_input!X15,INDEX(SectorFlows_input!$B$57:$Z$81,MATCH(SectorFlows!$B18,SectorFlows_input!$A$57:$A$81,0),MATCH(SectorFlows!Y$5,SectorFlows_input!$B$56:$Z$56,0)))</f>
        <v>2798</v>
      </c>
      <c r="Z18" s="225">
        <f>IF($D$3="HIS",SectorFlows_input!Y15,INDEX(SectorFlows_input!$B$57:$Z$81,MATCH(SectorFlows!$B18,SectorFlows_input!$A$57:$A$81,0),MATCH(SectorFlows!Z$5,SectorFlows_input!$B$56:$Z$56,0)))</f>
        <v>7187</v>
      </c>
      <c r="AA18" s="225">
        <f>IF($D$3="HIS",SectorFlows_input!Z15,INDEX(SectorFlows_input!$B$57:$Z$81,MATCH(SectorFlows!$B18,SectorFlows_input!$A$57:$A$81,0),MATCH(SectorFlows!AA$5,SectorFlows_input!$B$56:$Z$56,0)))</f>
        <v>7955</v>
      </c>
      <c r="AB18" s="226">
        <f t="shared" si="1"/>
        <v>262425</v>
      </c>
      <c r="AD18" s="223" t="s">
        <v>465</v>
      </c>
      <c r="AE18" s="234">
        <f t="shared" si="2"/>
        <v>0.11328189006382776</v>
      </c>
      <c r="AF18" s="234">
        <f t="shared" si="3"/>
        <v>1.3893493379060684E-2</v>
      </c>
      <c r="AG18" s="234">
        <f t="shared" si="4"/>
        <v>2.1015528246165573E-2</v>
      </c>
      <c r="AH18" s="234">
        <f t="shared" si="5"/>
        <v>5.0719253119939026E-3</v>
      </c>
      <c r="AI18" s="234">
        <f t="shared" si="6"/>
        <v>3.0660188625321522E-2</v>
      </c>
      <c r="AJ18" s="234">
        <f t="shared" si="7"/>
        <v>2.4102124416499952E-2</v>
      </c>
      <c r="AK18" s="234">
        <f t="shared" si="8"/>
        <v>1.823378108030866E-2</v>
      </c>
      <c r="AL18" s="234">
        <f t="shared" si="9"/>
        <v>1.137467847956559E-2</v>
      </c>
      <c r="AM18" s="234">
        <f t="shared" si="10"/>
        <v>4.2716966752405451E-3</v>
      </c>
      <c r="AN18" s="234">
        <f t="shared" si="11"/>
        <v>2.3511479470324854E-2</v>
      </c>
      <c r="AO18" s="234">
        <f t="shared" si="12"/>
        <v>3.564828046108412E-2</v>
      </c>
      <c r="AP18" s="234">
        <f t="shared" si="13"/>
        <v>0.10202915118605316</v>
      </c>
      <c r="AQ18" s="233">
        <f t="shared" si="14"/>
        <v>0.46542440697342097</v>
      </c>
      <c r="AR18" s="234">
        <f t="shared" si="15"/>
        <v>3.7222063446699059E-2</v>
      </c>
      <c r="AS18" s="234">
        <f t="shared" si="16"/>
        <v>2.766504715633038E-3</v>
      </c>
      <c r="AT18" s="234">
        <f t="shared" si="17"/>
        <v>2.0958369057826046E-4</v>
      </c>
      <c r="AU18" s="234">
        <f t="shared" si="18"/>
        <v>4.2374011622368299E-3</v>
      </c>
      <c r="AV18" s="234">
        <f t="shared" si="19"/>
        <v>1.0593502905592075E-3</v>
      </c>
      <c r="AW18" s="234">
        <f t="shared" si="20"/>
        <v>9.5265313899209296E-5</v>
      </c>
      <c r="AX18" s="234">
        <f t="shared" si="21"/>
        <v>8.4519386491378485E-3</v>
      </c>
      <c r="AY18" s="234">
        <f t="shared" si="22"/>
        <v>2.1453748690101935E-3</v>
      </c>
      <c r="AZ18" s="234">
        <f t="shared" si="23"/>
        <v>6.9315042393064685E-3</v>
      </c>
      <c r="BA18" s="234">
        <f t="shared" si="24"/>
        <v>1.0662093931599505E-2</v>
      </c>
      <c r="BB18" s="234">
        <f t="shared" si="25"/>
        <v>2.7386872439744688E-2</v>
      </c>
      <c r="BC18" s="234">
        <f t="shared" si="26"/>
        <v>3.0313422882728397E-2</v>
      </c>
      <c r="BD18" s="237">
        <f t="shared" si="27"/>
        <v>1</v>
      </c>
    </row>
    <row r="19" spans="2:56" x14ac:dyDescent="0.25">
      <c r="B19" s="223" t="s">
        <v>466</v>
      </c>
      <c r="C19" s="225">
        <f>IF($D$3="HIS",SectorFlows_input!B16,INDEX(SectorFlows_input!$B$57:$Z$81,MATCH(SectorFlows!$B19,SectorFlows_input!$A$57:$A$81,0),MATCH(SectorFlows!C$5,SectorFlows_input!$B$56:$Z$56,0)))</f>
        <v>22483</v>
      </c>
      <c r="D19" s="225">
        <f>IF($D$3="HIS",SectorFlows_input!C16,INDEX(SectorFlows_input!$B$57:$Z$81,MATCH(SectorFlows!$B19,SectorFlows_input!$A$57:$A$81,0),MATCH(SectorFlows!D$5,SectorFlows_input!$B$56:$Z$56,0)))</f>
        <v>5264</v>
      </c>
      <c r="E19" s="225">
        <f>IF($D$3="HIS",SectorFlows_input!D16,INDEX(SectorFlows_input!$B$57:$Z$81,MATCH(SectorFlows!$B19,SectorFlows_input!$A$57:$A$81,0),MATCH(SectorFlows!E$5,SectorFlows_input!$B$56:$Z$56,0)))</f>
        <v>4405</v>
      </c>
      <c r="F19" s="225">
        <f>IF($D$3="HIS",SectorFlows_input!E16,INDEX(SectorFlows_input!$B$57:$Z$81,MATCH(SectorFlows!$B19,SectorFlows_input!$A$57:$A$81,0),MATCH(SectorFlows!F$5,SectorFlows_input!$B$56:$Z$56,0)))</f>
        <v>1609</v>
      </c>
      <c r="G19" s="225">
        <f>IF($D$3="HIS",SectorFlows_input!F16,INDEX(SectorFlows_input!$B$57:$Z$81,MATCH(SectorFlows!$B19,SectorFlows_input!$A$57:$A$81,0),MATCH(SectorFlows!G$5,SectorFlows_input!$B$56:$Z$56,0)))</f>
        <v>4331</v>
      </c>
      <c r="H19" s="225">
        <f>IF($D$3="HIS",SectorFlows_input!G16,INDEX(SectorFlows_input!$B$57:$Z$81,MATCH(SectorFlows!$B19,SectorFlows_input!$A$57:$A$81,0),MATCH(SectorFlows!H$5,SectorFlows_input!$B$56:$Z$56,0)))</f>
        <v>7281</v>
      </c>
      <c r="I19" s="225">
        <f>IF($D$3="HIS",SectorFlows_input!H16,INDEX(SectorFlows_input!$B$57:$Z$81,MATCH(SectorFlows!$B19,SectorFlows_input!$A$57:$A$81,0),MATCH(SectorFlows!I$5,SectorFlows_input!$B$56:$Z$56,0)))</f>
        <v>18265</v>
      </c>
      <c r="J19" s="225">
        <f>IF($D$3="HIS",SectorFlows_input!I16,INDEX(SectorFlows_input!$B$57:$Z$81,MATCH(SectorFlows!$B19,SectorFlows_input!$A$57:$A$81,0),MATCH(SectorFlows!J$5,SectorFlows_input!$B$56:$Z$56,0)))</f>
        <v>11477</v>
      </c>
      <c r="K19" s="225">
        <f>IF($D$3="HIS",SectorFlows_input!J16,INDEX(SectorFlows_input!$B$57:$Z$81,MATCH(SectorFlows!$B19,SectorFlows_input!$A$57:$A$81,0),MATCH(SectorFlows!K$5,SectorFlows_input!$B$56:$Z$56,0)))</f>
        <v>914</v>
      </c>
      <c r="L19" s="225">
        <f>IF($D$3="HIS",SectorFlows_input!K16,INDEX(SectorFlows_input!$B$57:$Z$81,MATCH(SectorFlows!$B19,SectorFlows_input!$A$57:$A$81,0),MATCH(SectorFlows!L$5,SectorFlows_input!$B$56:$Z$56,0)))</f>
        <v>2687</v>
      </c>
      <c r="M19" s="225">
        <f>IF($D$3="HIS",SectorFlows_input!L16,INDEX(SectorFlows_input!$B$57:$Z$81,MATCH(SectorFlows!$B19,SectorFlows_input!$A$57:$A$81,0),MATCH(SectorFlows!M$5,SectorFlows_input!$B$56:$Z$56,0)))</f>
        <v>3469</v>
      </c>
      <c r="N19" s="225">
        <f>IF($D$3="HIS",SectorFlows_input!M16,INDEX(SectorFlows_input!$B$57:$Z$81,MATCH(SectorFlows!$B19,SectorFlows_input!$A$57:$A$81,0),MATCH(SectorFlows!N$5,SectorFlows_input!$B$56:$Z$56,0)))</f>
        <v>3997</v>
      </c>
      <c r="O19" s="225">
        <f>IF($D$3="HIS",SectorFlows_input!N16,INDEX(SectorFlows_input!$B$57:$Z$81,MATCH(SectorFlows!$B19,SectorFlows_input!$A$57:$A$81,0),MATCH(SectorFlows!O$5,SectorFlows_input!$B$56:$Z$56,0)))</f>
        <v>12854</v>
      </c>
      <c r="P19" s="224">
        <f>IF($D$3="HIS",SectorFlows_input!O16,INDEX(SectorFlows_input!$B$57:$Z$81,MATCH(SectorFlows!$B19,SectorFlows_input!$A$57:$A$81,0),MATCH(SectorFlows!P$5,SectorFlows_input!$B$56:$Z$56,0)))</f>
        <v>48918</v>
      </c>
      <c r="Q19" s="225">
        <f>IF($D$3="HIS",SectorFlows_input!P16,INDEX(SectorFlows_input!$B$57:$Z$81,MATCH(SectorFlows!$B19,SectorFlows_input!$A$57:$A$81,0),MATCH(SectorFlows!Q$5,SectorFlows_input!$B$56:$Z$56,0)))</f>
        <v>7026</v>
      </c>
      <c r="R19" s="225">
        <f>IF($D$3="HIS",SectorFlows_input!Q16,INDEX(SectorFlows_input!$B$57:$Z$81,MATCH(SectorFlows!$B19,SectorFlows_input!$A$57:$A$81,0),MATCH(SectorFlows!R$5,SectorFlows_input!$B$56:$Z$56,0)))</f>
        <v>0</v>
      </c>
      <c r="S19" s="225">
        <f>IF($D$3="HIS",SectorFlows_input!R16,INDEX(SectorFlows_input!$B$57:$Z$81,MATCH(SectorFlows!$B19,SectorFlows_input!$A$57:$A$81,0),MATCH(SectorFlows!S$5,SectorFlows_input!$B$56:$Z$56,0)))</f>
        <v>535</v>
      </c>
      <c r="T19" s="225">
        <f>IF($D$3="HIS",SectorFlows_input!S16,INDEX(SectorFlows_input!$B$57:$Z$81,MATCH(SectorFlows!$B19,SectorFlows_input!$A$57:$A$81,0),MATCH(SectorFlows!T$5,SectorFlows_input!$B$56:$Z$56,0)))</f>
        <v>1309</v>
      </c>
      <c r="U19" s="225">
        <f>IF($D$3="HIS",SectorFlows_input!T16,INDEX(SectorFlows_input!$B$57:$Z$81,MATCH(SectorFlows!$B19,SectorFlows_input!$A$57:$A$81,0),MATCH(SectorFlows!U$5,SectorFlows_input!$B$56:$Z$56,0)))</f>
        <v>120</v>
      </c>
      <c r="V19" s="225">
        <f>IF($D$3="HIS",SectorFlows_input!U16,INDEX(SectorFlows_input!$B$57:$Z$81,MATCH(SectorFlows!$B19,SectorFlows_input!$A$57:$A$81,0),MATCH(SectorFlows!V$5,SectorFlows_input!$B$56:$Z$56,0)))</f>
        <v>692</v>
      </c>
      <c r="W19" s="225">
        <f>IF($D$3="HIS",SectorFlows_input!V16,INDEX(SectorFlows_input!$B$57:$Z$81,MATCH(SectorFlows!$B19,SectorFlows_input!$A$57:$A$81,0),MATCH(SectorFlows!W$5,SectorFlows_input!$B$56:$Z$56,0)))</f>
        <v>254</v>
      </c>
      <c r="X19" s="225">
        <f>IF($D$3="HIS",SectorFlows_input!W16,INDEX(SectorFlows_input!$B$57:$Z$81,MATCH(SectorFlows!$B19,SectorFlows_input!$A$57:$A$81,0),MATCH(SectorFlows!X$5,SectorFlows_input!$B$56:$Z$56,0)))</f>
        <v>265</v>
      </c>
      <c r="Y19" s="225">
        <f>IF($D$3="HIS",SectorFlows_input!X16,INDEX(SectorFlows_input!$B$57:$Z$81,MATCH(SectorFlows!$B19,SectorFlows_input!$A$57:$A$81,0),MATCH(SectorFlows!Y$5,SectorFlows_input!$B$56:$Z$56,0)))</f>
        <v>200</v>
      </c>
      <c r="Z19" s="225">
        <f>IF($D$3="HIS",SectorFlows_input!Y16,INDEX(SectorFlows_input!$B$57:$Z$81,MATCH(SectorFlows!$B19,SectorFlows_input!$A$57:$A$81,0),MATCH(SectorFlows!Z$5,SectorFlows_input!$B$56:$Z$56,0)))</f>
        <v>480</v>
      </c>
      <c r="AA19" s="225">
        <f>IF($D$3="HIS",SectorFlows_input!Z16,INDEX(SectorFlows_input!$B$57:$Z$81,MATCH(SectorFlows!$B19,SectorFlows_input!$A$57:$A$81,0),MATCH(SectorFlows!AA$5,SectorFlows_input!$B$56:$Z$56,0)))</f>
        <v>10259</v>
      </c>
      <c r="AB19" s="226">
        <f t="shared" si="1"/>
        <v>169094</v>
      </c>
      <c r="AD19" s="223" t="s">
        <v>466</v>
      </c>
      <c r="AE19" s="234">
        <f t="shared" si="2"/>
        <v>0.13296154801471372</v>
      </c>
      <c r="AF19" s="234">
        <f t="shared" si="3"/>
        <v>3.1130613741469242E-2</v>
      </c>
      <c r="AG19" s="234">
        <f t="shared" si="4"/>
        <v>2.6050599075070669E-2</v>
      </c>
      <c r="AH19" s="234">
        <f t="shared" si="5"/>
        <v>9.5154174601109441E-3</v>
      </c>
      <c r="AI19" s="234">
        <f t="shared" si="6"/>
        <v>2.5612972666091052E-2</v>
      </c>
      <c r="AJ19" s="234">
        <f t="shared" si="7"/>
        <v>4.3058890321359719E-2</v>
      </c>
      <c r="AK19" s="234">
        <f t="shared" si="8"/>
        <v>0.10801684270287533</v>
      </c>
      <c r="AL19" s="234">
        <f t="shared" si="9"/>
        <v>6.7873490484582535E-2</v>
      </c>
      <c r="AM19" s="234">
        <f t="shared" si="10"/>
        <v>5.4052775379374784E-3</v>
      </c>
      <c r="AN19" s="234">
        <f t="shared" si="11"/>
        <v>1.5890569742273528E-2</v>
      </c>
      <c r="AO19" s="234">
        <f t="shared" si="12"/>
        <v>2.0515216388517631E-2</v>
      </c>
      <c r="AP19" s="234">
        <f t="shared" si="13"/>
        <v>2.3637739955291139E-2</v>
      </c>
      <c r="AQ19" s="234">
        <f t="shared" si="14"/>
        <v>7.6016890013838462E-2</v>
      </c>
      <c r="AR19" s="233">
        <f t="shared" si="15"/>
        <v>0.28929471181709582</v>
      </c>
      <c r="AS19" s="234">
        <f t="shared" si="16"/>
        <v>4.1550853371497512E-2</v>
      </c>
      <c r="AT19" s="234">
        <f t="shared" si="17"/>
        <v>0</v>
      </c>
      <c r="AU19" s="234">
        <f t="shared" si="18"/>
        <v>3.1639206595148262E-3</v>
      </c>
      <c r="AV19" s="234">
        <f t="shared" si="19"/>
        <v>7.7412563426259946E-3</v>
      </c>
      <c r="AW19" s="234">
        <f t="shared" si="20"/>
        <v>7.0966444699397963E-4</v>
      </c>
      <c r="AX19" s="234">
        <f t="shared" si="21"/>
        <v>4.0923983109986163E-3</v>
      </c>
      <c r="AY19" s="234">
        <f t="shared" si="22"/>
        <v>1.5021230794705902E-3</v>
      </c>
      <c r="AZ19" s="234">
        <f t="shared" si="23"/>
        <v>1.5671756537783718E-3</v>
      </c>
      <c r="BA19" s="234">
        <f t="shared" si="24"/>
        <v>1.1827740783232994E-3</v>
      </c>
      <c r="BB19" s="234">
        <f t="shared" si="25"/>
        <v>2.8386577879759185E-3</v>
      </c>
      <c r="BC19" s="234">
        <f t="shared" si="26"/>
        <v>6.0670396347593643E-2</v>
      </c>
      <c r="BD19" s="237">
        <f t="shared" si="27"/>
        <v>1.0000000000000002</v>
      </c>
    </row>
    <row r="20" spans="2:56" x14ac:dyDescent="0.25">
      <c r="B20" s="223" t="s">
        <v>467</v>
      </c>
      <c r="C20" s="225">
        <f>IF($D$3="HIS",SectorFlows_input!B17,INDEX(SectorFlows_input!$B$57:$Z$81,MATCH(SectorFlows!$B20,SectorFlows_input!$A$57:$A$81,0),MATCH(SectorFlows!C$5,SectorFlows_input!$B$56:$Z$56,0)))</f>
        <v>15061</v>
      </c>
      <c r="D20" s="225">
        <f>IF($D$3="HIS",SectorFlows_input!C17,INDEX(SectorFlows_input!$B$57:$Z$81,MATCH(SectorFlows!$B20,SectorFlows_input!$A$57:$A$81,0),MATCH(SectorFlows!D$5,SectorFlows_input!$B$56:$Z$56,0)))</f>
        <v>3063</v>
      </c>
      <c r="E20" s="225">
        <f>IF($D$3="HIS",SectorFlows_input!D17,INDEX(SectorFlows_input!$B$57:$Z$81,MATCH(SectorFlows!$B20,SectorFlows_input!$A$57:$A$81,0),MATCH(SectorFlows!E$5,SectorFlows_input!$B$56:$Z$56,0)))</f>
        <v>2113</v>
      </c>
      <c r="F20" s="225">
        <f>IF($D$3="HIS",SectorFlows_input!E17,INDEX(SectorFlows_input!$B$57:$Z$81,MATCH(SectorFlows!$B20,SectorFlows_input!$A$57:$A$81,0),MATCH(SectorFlows!F$5,SectorFlows_input!$B$56:$Z$56,0)))</f>
        <v>478</v>
      </c>
      <c r="G20" s="225">
        <f>IF($D$3="HIS",SectorFlows_input!F17,INDEX(SectorFlows_input!$B$57:$Z$81,MATCH(SectorFlows!$B20,SectorFlows_input!$A$57:$A$81,0),MATCH(SectorFlows!G$5,SectorFlows_input!$B$56:$Z$56,0)))</f>
        <v>1904</v>
      </c>
      <c r="H20" s="225">
        <f>IF($D$3="HIS",SectorFlows_input!G17,INDEX(SectorFlows_input!$B$57:$Z$81,MATCH(SectorFlows!$B20,SectorFlows_input!$A$57:$A$81,0),MATCH(SectorFlows!H$5,SectorFlows_input!$B$56:$Z$56,0)))</f>
        <v>1371</v>
      </c>
      <c r="I20" s="225">
        <f>IF($D$3="HIS",SectorFlows_input!H17,INDEX(SectorFlows_input!$B$57:$Z$81,MATCH(SectorFlows!$B20,SectorFlows_input!$A$57:$A$81,0),MATCH(SectorFlows!I$5,SectorFlows_input!$B$56:$Z$56,0)))</f>
        <v>3544</v>
      </c>
      <c r="J20" s="225">
        <f>IF($D$3="HIS",SectorFlows_input!I17,INDEX(SectorFlows_input!$B$57:$Z$81,MATCH(SectorFlows!$B20,SectorFlows_input!$A$57:$A$81,0),MATCH(SectorFlows!J$5,SectorFlows_input!$B$56:$Z$56,0)))</f>
        <v>14548</v>
      </c>
      <c r="K20" s="225">
        <f>IF($D$3="HIS",SectorFlows_input!J17,INDEX(SectorFlows_input!$B$57:$Z$81,MATCH(SectorFlows!$B20,SectorFlows_input!$A$57:$A$81,0),MATCH(SectorFlows!K$5,SectorFlows_input!$B$56:$Z$56,0)))</f>
        <v>799</v>
      </c>
      <c r="L20" s="225">
        <f>IF($D$3="HIS",SectorFlows_input!K17,INDEX(SectorFlows_input!$B$57:$Z$81,MATCH(SectorFlows!$B20,SectorFlows_input!$A$57:$A$81,0),MATCH(SectorFlows!L$5,SectorFlows_input!$B$56:$Z$56,0)))</f>
        <v>1648</v>
      </c>
      <c r="M20" s="225">
        <f>IF($D$3="HIS",SectorFlows_input!L17,INDEX(SectorFlows_input!$B$57:$Z$81,MATCH(SectorFlows!$B20,SectorFlows_input!$A$57:$A$81,0),MATCH(SectorFlows!M$5,SectorFlows_input!$B$56:$Z$56,0)))</f>
        <v>1015</v>
      </c>
      <c r="N20" s="225">
        <f>IF($D$3="HIS",SectorFlows_input!M17,INDEX(SectorFlows_input!$B$57:$Z$81,MATCH(SectorFlows!$B20,SectorFlows_input!$A$57:$A$81,0),MATCH(SectorFlows!N$5,SectorFlows_input!$B$56:$Z$56,0)))</f>
        <v>802</v>
      </c>
      <c r="O20" s="225">
        <f>IF($D$3="HIS",SectorFlows_input!N17,INDEX(SectorFlows_input!$B$57:$Z$81,MATCH(SectorFlows!$B20,SectorFlows_input!$A$57:$A$81,0),MATCH(SectorFlows!O$5,SectorFlows_input!$B$56:$Z$56,0)))</f>
        <v>2667</v>
      </c>
      <c r="P20" s="225">
        <f>IF($D$3="HIS",SectorFlows_input!O17,INDEX(SectorFlows_input!$B$57:$Z$81,MATCH(SectorFlows!$B20,SectorFlows_input!$A$57:$A$81,0),MATCH(SectorFlows!P$5,SectorFlows_input!$B$56:$Z$56,0)))</f>
        <v>7907</v>
      </c>
      <c r="Q20" s="224">
        <f>IF($D$3="HIS",SectorFlows_input!P17,INDEX(SectorFlows_input!$B$57:$Z$81,MATCH(SectorFlows!$B20,SectorFlows_input!$A$57:$A$81,0),MATCH(SectorFlows!Q$5,SectorFlows_input!$B$56:$Z$56,0)))</f>
        <v>33223</v>
      </c>
      <c r="R20" s="225">
        <f>IF($D$3="HIS",SectorFlows_input!Q17,INDEX(SectorFlows_input!$B$57:$Z$81,MATCH(SectorFlows!$B20,SectorFlows_input!$A$57:$A$81,0),MATCH(SectorFlows!R$5,SectorFlows_input!$B$56:$Z$56,0)))</f>
        <v>0</v>
      </c>
      <c r="S20" s="225">
        <f>IF($D$3="HIS",SectorFlows_input!R17,INDEX(SectorFlows_input!$B$57:$Z$81,MATCH(SectorFlows!$B20,SectorFlows_input!$A$57:$A$81,0),MATCH(SectorFlows!S$5,SectorFlows_input!$B$56:$Z$56,0)))</f>
        <v>798</v>
      </c>
      <c r="T20" s="225">
        <f>IF($D$3="HIS",SectorFlows_input!S17,INDEX(SectorFlows_input!$B$57:$Z$81,MATCH(SectorFlows!$B20,SectorFlows_input!$A$57:$A$81,0),MATCH(SectorFlows!T$5,SectorFlows_input!$B$56:$Z$56,0)))</f>
        <v>4680</v>
      </c>
      <c r="U20" s="225">
        <f>IF($D$3="HIS",SectorFlows_input!T17,INDEX(SectorFlows_input!$B$57:$Z$81,MATCH(SectorFlows!$B20,SectorFlows_input!$A$57:$A$81,0),MATCH(SectorFlows!U$5,SectorFlows_input!$B$56:$Z$56,0)))</f>
        <v>568</v>
      </c>
      <c r="V20" s="225">
        <f>IF($D$3="HIS",SectorFlows_input!U17,INDEX(SectorFlows_input!$B$57:$Z$81,MATCH(SectorFlows!$B20,SectorFlows_input!$A$57:$A$81,0),MATCH(SectorFlows!V$5,SectorFlows_input!$B$56:$Z$56,0)))</f>
        <v>273</v>
      </c>
      <c r="W20" s="225">
        <f>IF($D$3="HIS",SectorFlows_input!V17,INDEX(SectorFlows_input!$B$57:$Z$81,MATCH(SectorFlows!$B20,SectorFlows_input!$A$57:$A$81,0),MATCH(SectorFlows!W$5,SectorFlows_input!$B$56:$Z$56,0)))</f>
        <v>123</v>
      </c>
      <c r="X20" s="225">
        <f>IF($D$3="HIS",SectorFlows_input!W17,INDEX(SectorFlows_input!$B$57:$Z$81,MATCH(SectorFlows!$B20,SectorFlows_input!$A$57:$A$81,0),MATCH(SectorFlows!X$5,SectorFlows_input!$B$56:$Z$56,0)))</f>
        <v>90</v>
      </c>
      <c r="Y20" s="225">
        <f>IF($D$3="HIS",SectorFlows_input!X17,INDEX(SectorFlows_input!$B$57:$Z$81,MATCH(SectorFlows!$B20,SectorFlows_input!$A$57:$A$81,0),MATCH(SectorFlows!Y$5,SectorFlows_input!$B$56:$Z$56,0)))</f>
        <v>20</v>
      </c>
      <c r="Z20" s="225">
        <f>IF($D$3="HIS",SectorFlows_input!Y17,INDEX(SectorFlows_input!$B$57:$Z$81,MATCH(SectorFlows!$B20,SectorFlows_input!$A$57:$A$81,0),MATCH(SectorFlows!Z$5,SectorFlows_input!$B$56:$Z$56,0)))</f>
        <v>184</v>
      </c>
      <c r="AA20" s="225">
        <f>IF($D$3="HIS",SectorFlows_input!Z17,INDEX(SectorFlows_input!$B$57:$Z$81,MATCH(SectorFlows!$B20,SectorFlows_input!$A$57:$A$81,0),MATCH(SectorFlows!AA$5,SectorFlows_input!$B$56:$Z$56,0)))</f>
        <v>5751</v>
      </c>
      <c r="AB20" s="226">
        <f t="shared" si="1"/>
        <v>102630</v>
      </c>
      <c r="AD20" s="223" t="s">
        <v>467</v>
      </c>
      <c r="AE20" s="234">
        <f t="shared" si="2"/>
        <v>0.14675046282763324</v>
      </c>
      <c r="AF20" s="234">
        <f t="shared" si="3"/>
        <v>2.9845074539608302E-2</v>
      </c>
      <c r="AG20" s="234">
        <f t="shared" si="4"/>
        <v>2.0588521874695509E-2</v>
      </c>
      <c r="AH20" s="234">
        <f t="shared" si="5"/>
        <v>4.6575075513982265E-3</v>
      </c>
      <c r="AI20" s="234">
        <f t="shared" si="6"/>
        <v>1.8552080288414693E-2</v>
      </c>
      <c r="AJ20" s="234">
        <f t="shared" si="7"/>
        <v>1.3358667056416253E-2</v>
      </c>
      <c r="AK20" s="234">
        <f t="shared" si="8"/>
        <v>3.453181330994836E-2</v>
      </c>
      <c r="AL20" s="234">
        <f t="shared" si="9"/>
        <v>0.14175192438858034</v>
      </c>
      <c r="AM20" s="234">
        <f t="shared" si="10"/>
        <v>7.785247978174023E-3</v>
      </c>
      <c r="AN20" s="234">
        <f t="shared" si="11"/>
        <v>1.6057682938711879E-2</v>
      </c>
      <c r="AO20" s="234">
        <f t="shared" si="12"/>
        <v>9.8898957419857741E-3</v>
      </c>
      <c r="AP20" s="234">
        <f t="shared" si="13"/>
        <v>7.8144791971158523E-3</v>
      </c>
      <c r="AQ20" s="234">
        <f t="shared" si="14"/>
        <v>2.5986553639286758E-2</v>
      </c>
      <c r="AR20" s="234">
        <f t="shared" si="15"/>
        <v>7.704374939101627E-2</v>
      </c>
      <c r="AS20" s="233">
        <f t="shared" si="16"/>
        <v>0.32371626230147132</v>
      </c>
      <c r="AT20" s="234">
        <f t="shared" si="17"/>
        <v>0</v>
      </c>
      <c r="AU20" s="234">
        <f t="shared" si="18"/>
        <v>7.7755042385267469E-3</v>
      </c>
      <c r="AV20" s="234">
        <f t="shared" si="19"/>
        <v>4.5600701549254601E-2</v>
      </c>
      <c r="AW20" s="234">
        <f t="shared" si="20"/>
        <v>5.5344441196531228E-3</v>
      </c>
      <c r="AX20" s="234">
        <f t="shared" si="21"/>
        <v>2.6600409237065186E-3</v>
      </c>
      <c r="AY20" s="234">
        <f t="shared" si="22"/>
        <v>1.1984799766150249E-3</v>
      </c>
      <c r="AZ20" s="234">
        <f t="shared" si="23"/>
        <v>8.7693656825489619E-4</v>
      </c>
      <c r="BA20" s="234">
        <f t="shared" si="24"/>
        <v>1.948747929455325E-4</v>
      </c>
      <c r="BB20" s="234">
        <f t="shared" si="25"/>
        <v>1.7928480950988989E-3</v>
      </c>
      <c r="BC20" s="234">
        <f t="shared" si="26"/>
        <v>5.6036246711487867E-2</v>
      </c>
      <c r="BD20" s="237">
        <f t="shared" si="27"/>
        <v>1</v>
      </c>
    </row>
    <row r="21" spans="2:56" x14ac:dyDescent="0.25">
      <c r="B21" s="223" t="s">
        <v>468</v>
      </c>
      <c r="C21" s="225">
        <f>IF($D$3="HIS",SectorFlows_input!B18,INDEX(SectorFlows_input!$B$57:$Z$81,MATCH(SectorFlows!$B21,SectorFlows_input!$A$57:$A$81,0),MATCH(SectorFlows!C$5,SectorFlows_input!$B$56:$Z$56,0)))</f>
        <v>991</v>
      </c>
      <c r="D21" s="225">
        <f>IF($D$3="HIS",SectorFlows_input!C18,INDEX(SectorFlows_input!$B$57:$Z$81,MATCH(SectorFlows!$B21,SectorFlows_input!$A$57:$A$81,0),MATCH(SectorFlows!D$5,SectorFlows_input!$B$56:$Z$56,0)))</f>
        <v>601</v>
      </c>
      <c r="E21" s="225">
        <f>IF($D$3="HIS",SectorFlows_input!D18,INDEX(SectorFlows_input!$B$57:$Z$81,MATCH(SectorFlows!$B21,SectorFlows_input!$A$57:$A$81,0),MATCH(SectorFlows!E$5,SectorFlows_input!$B$56:$Z$56,0)))</f>
        <v>830</v>
      </c>
      <c r="F21" s="225">
        <f>IF($D$3="HIS",SectorFlows_input!E18,INDEX(SectorFlows_input!$B$57:$Z$81,MATCH(SectorFlows!$B21,SectorFlows_input!$A$57:$A$81,0),MATCH(SectorFlows!F$5,SectorFlows_input!$B$56:$Z$56,0)))</f>
        <v>110</v>
      </c>
      <c r="G21" s="225">
        <f>IF($D$3="HIS",SectorFlows_input!F18,INDEX(SectorFlows_input!$B$57:$Z$81,MATCH(SectorFlows!$B21,SectorFlows_input!$A$57:$A$81,0),MATCH(SectorFlows!G$5,SectorFlows_input!$B$56:$Z$56,0)))</f>
        <v>165</v>
      </c>
      <c r="H21" s="225">
        <f>IF($D$3="HIS",SectorFlows_input!G18,INDEX(SectorFlows_input!$B$57:$Z$81,MATCH(SectorFlows!$B21,SectorFlows_input!$A$57:$A$81,0),MATCH(SectorFlows!H$5,SectorFlows_input!$B$56:$Z$56,0)))</f>
        <v>63</v>
      </c>
      <c r="I21" s="225">
        <f>IF($D$3="HIS",SectorFlows_input!H18,INDEX(SectorFlows_input!$B$57:$Z$81,MATCH(SectorFlows!$B21,SectorFlows_input!$A$57:$A$81,0),MATCH(SectorFlows!I$5,SectorFlows_input!$B$56:$Z$56,0)))</f>
        <v>87</v>
      </c>
      <c r="J21" s="225">
        <f>IF($D$3="HIS",SectorFlows_input!I18,INDEX(SectorFlows_input!$B$57:$Z$81,MATCH(SectorFlows!$B21,SectorFlows_input!$A$57:$A$81,0),MATCH(SectorFlows!J$5,SectorFlows_input!$B$56:$Z$56,0)))</f>
        <v>47</v>
      </c>
      <c r="K21" s="225">
        <f>IF($D$3="HIS",SectorFlows_input!J18,INDEX(SectorFlows_input!$B$57:$Z$81,MATCH(SectorFlows!$B21,SectorFlows_input!$A$57:$A$81,0),MATCH(SectorFlows!K$5,SectorFlows_input!$B$56:$Z$56,0)))</f>
        <v>789</v>
      </c>
      <c r="L21" s="225">
        <f>IF($D$3="HIS",SectorFlows_input!K18,INDEX(SectorFlows_input!$B$57:$Z$81,MATCH(SectorFlows!$B21,SectorFlows_input!$A$57:$A$81,0),MATCH(SectorFlows!L$5,SectorFlows_input!$B$56:$Z$56,0)))</f>
        <v>940</v>
      </c>
      <c r="M21" s="225">
        <f>IF($D$3="HIS",SectorFlows_input!L18,INDEX(SectorFlows_input!$B$57:$Z$81,MATCH(SectorFlows!$B21,SectorFlows_input!$A$57:$A$81,0),MATCH(SectorFlows!M$5,SectorFlows_input!$B$56:$Z$56,0)))</f>
        <v>297</v>
      </c>
      <c r="N21" s="225">
        <f>IF($D$3="HIS",SectorFlows_input!M18,INDEX(SectorFlows_input!$B$57:$Z$81,MATCH(SectorFlows!$B21,SectorFlows_input!$A$57:$A$81,0),MATCH(SectorFlows!N$5,SectorFlows_input!$B$56:$Z$56,0)))</f>
        <v>213</v>
      </c>
      <c r="O21" s="225">
        <f>IF($D$3="HIS",SectorFlows_input!N18,INDEX(SectorFlows_input!$B$57:$Z$81,MATCH(SectorFlows!$B21,SectorFlows_input!$A$57:$A$81,0),MATCH(SectorFlows!O$5,SectorFlows_input!$B$56:$Z$56,0)))</f>
        <v>176</v>
      </c>
      <c r="P21" s="225">
        <f>IF($D$3="HIS",SectorFlows_input!O18,INDEX(SectorFlows_input!$B$57:$Z$81,MATCH(SectorFlows!$B21,SectorFlows_input!$A$57:$A$81,0),MATCH(SectorFlows!P$5,SectorFlows_input!$B$56:$Z$56,0)))</f>
        <v>87</v>
      </c>
      <c r="Q21" s="225">
        <f>IF($D$3="HIS",SectorFlows_input!P18,INDEX(SectorFlows_input!$B$57:$Z$81,MATCH(SectorFlows!$B21,SectorFlows_input!$A$57:$A$81,0),MATCH(SectorFlows!Q$5,SectorFlows_input!$B$56:$Z$56,0)))</f>
        <v>32</v>
      </c>
      <c r="R21" s="224">
        <f>IF($D$3="HIS",SectorFlows_input!Q18,INDEX(SectorFlows_input!$B$57:$Z$81,MATCH(SectorFlows!$B21,SectorFlows_input!$A$57:$A$81,0),MATCH(SectorFlows!R$5,SectorFlows_input!$B$56:$Z$56,0)))</f>
        <v>146809</v>
      </c>
      <c r="S21" s="225">
        <f>IF($D$3="HIS",SectorFlows_input!R18,INDEX(SectorFlows_input!$B$57:$Z$81,MATCH(SectorFlows!$B21,SectorFlows_input!$A$57:$A$81,0),MATCH(SectorFlows!S$5,SectorFlows_input!$B$56:$Z$56,0)))</f>
        <v>468</v>
      </c>
      <c r="T21" s="225">
        <f>IF($D$3="HIS",SectorFlows_input!S18,INDEX(SectorFlows_input!$B$57:$Z$81,MATCH(SectorFlows!$B21,SectorFlows_input!$A$57:$A$81,0),MATCH(SectorFlows!T$5,SectorFlows_input!$B$56:$Z$56,0)))</f>
        <v>14</v>
      </c>
      <c r="U21" s="225">
        <f>IF($D$3="HIS",SectorFlows_input!T18,INDEX(SectorFlows_input!$B$57:$Z$81,MATCH(SectorFlows!$B21,SectorFlows_input!$A$57:$A$81,0),MATCH(SectorFlows!U$5,SectorFlows_input!$B$56:$Z$56,0)))</f>
        <v>30</v>
      </c>
      <c r="V21" s="225">
        <f>IF($D$3="HIS",SectorFlows_input!U18,INDEX(SectorFlows_input!$B$57:$Z$81,MATCH(SectorFlows!$B21,SectorFlows_input!$A$57:$A$81,0),MATCH(SectorFlows!V$5,SectorFlows_input!$B$56:$Z$56,0)))</f>
        <v>16781</v>
      </c>
      <c r="W21" s="225">
        <f>IF($D$3="HIS",SectorFlows_input!V18,INDEX(SectorFlows_input!$B$57:$Z$81,MATCH(SectorFlows!$B21,SectorFlows_input!$A$57:$A$81,0),MATCH(SectorFlows!W$5,SectorFlows_input!$B$56:$Z$56,0)))</f>
        <v>6858</v>
      </c>
      <c r="X21" s="225">
        <f>IF($D$3="HIS",SectorFlows_input!W18,INDEX(SectorFlows_input!$B$57:$Z$81,MATCH(SectorFlows!$B21,SectorFlows_input!$A$57:$A$81,0),MATCH(SectorFlows!X$5,SectorFlows_input!$B$56:$Z$56,0)))</f>
        <v>160</v>
      </c>
      <c r="Y21" s="225">
        <f>IF($D$3="HIS",SectorFlows_input!X18,INDEX(SectorFlows_input!$B$57:$Z$81,MATCH(SectorFlows!$B21,SectorFlows_input!$A$57:$A$81,0),MATCH(SectorFlows!Y$5,SectorFlows_input!$B$56:$Z$56,0)))</f>
        <v>61</v>
      </c>
      <c r="Z21" s="225">
        <f>IF($D$3="HIS",SectorFlows_input!Y18,INDEX(SectorFlows_input!$B$57:$Z$81,MATCH(SectorFlows!$B21,SectorFlows_input!$A$57:$A$81,0),MATCH(SectorFlows!Z$5,SectorFlows_input!$B$56:$Z$56,0)))</f>
        <v>47</v>
      </c>
      <c r="AA21" s="225">
        <f>IF($D$3="HIS",SectorFlows_input!Z18,INDEX(SectorFlows_input!$B$57:$Z$81,MATCH(SectorFlows!$B21,SectorFlows_input!$A$57:$A$81,0),MATCH(SectorFlows!AA$5,SectorFlows_input!$B$56:$Z$56,0)))</f>
        <v>89</v>
      </c>
      <c r="AB21" s="226">
        <f t="shared" si="1"/>
        <v>176745</v>
      </c>
      <c r="AD21" s="223" t="s">
        <v>468</v>
      </c>
      <c r="AE21" s="234">
        <f t="shared" si="2"/>
        <v>5.6069478627401061E-3</v>
      </c>
      <c r="AF21" s="234">
        <f t="shared" si="3"/>
        <v>3.4003790772016182E-3</v>
      </c>
      <c r="AG21" s="234">
        <f t="shared" si="4"/>
        <v>4.696031005120371E-3</v>
      </c>
      <c r="AH21" s="234">
        <f t="shared" si="5"/>
        <v>6.2236555489547088E-4</v>
      </c>
      <c r="AI21" s="234">
        <f t="shared" si="6"/>
        <v>9.3354833234320631E-4</v>
      </c>
      <c r="AJ21" s="234">
        <f t="shared" si="7"/>
        <v>3.5644572689467877E-4</v>
      </c>
      <c r="AK21" s="234">
        <f t="shared" si="8"/>
        <v>4.9223457523550878E-4</v>
      </c>
      <c r="AL21" s="234">
        <f t="shared" si="9"/>
        <v>2.659198280007921E-4</v>
      </c>
      <c r="AM21" s="234">
        <f t="shared" si="10"/>
        <v>4.4640583892047864E-3</v>
      </c>
      <c r="AN21" s="234">
        <f t="shared" si="11"/>
        <v>5.3183965600158423E-3</v>
      </c>
      <c r="AO21" s="234">
        <f t="shared" si="12"/>
        <v>1.6803869982177713E-3</v>
      </c>
      <c r="AP21" s="234">
        <f t="shared" si="13"/>
        <v>1.2051260290248664E-3</v>
      </c>
      <c r="AQ21" s="234">
        <f t="shared" si="14"/>
        <v>9.9578488783275349E-4</v>
      </c>
      <c r="AR21" s="234">
        <f t="shared" si="15"/>
        <v>4.9223457523550878E-4</v>
      </c>
      <c r="AS21" s="234">
        <f t="shared" si="16"/>
        <v>1.8105179778777334E-4</v>
      </c>
      <c r="AT21" s="233">
        <f t="shared" si="17"/>
        <v>0.83062604316953803</v>
      </c>
      <c r="AU21" s="234">
        <f t="shared" si="18"/>
        <v>2.6478825426461852E-3</v>
      </c>
      <c r="AV21" s="234">
        <f t="shared" si="19"/>
        <v>7.9210161532150837E-5</v>
      </c>
      <c r="AW21" s="234">
        <f t="shared" si="20"/>
        <v>1.6973606042603752E-4</v>
      </c>
      <c r="AX21" s="234">
        <f t="shared" si="21"/>
        <v>9.4944694333644511E-2</v>
      </c>
      <c r="AY21" s="234">
        <f t="shared" si="22"/>
        <v>3.8801663413392175E-2</v>
      </c>
      <c r="AZ21" s="234">
        <f t="shared" si="23"/>
        <v>9.0525898893886671E-4</v>
      </c>
      <c r="BA21" s="234">
        <f t="shared" si="24"/>
        <v>3.4512998953294295E-4</v>
      </c>
      <c r="BB21" s="234">
        <f t="shared" si="25"/>
        <v>2.659198280007921E-4</v>
      </c>
      <c r="BC21" s="234">
        <f t="shared" si="26"/>
        <v>5.035503125972446E-4</v>
      </c>
      <c r="BD21" s="237">
        <f t="shared" si="27"/>
        <v>1</v>
      </c>
    </row>
    <row r="22" spans="2:56" x14ac:dyDescent="0.25">
      <c r="B22" s="223" t="s">
        <v>469</v>
      </c>
      <c r="C22" s="225">
        <f>IF($D$3="HIS",SectorFlows_input!B19,INDEX(SectorFlows_input!$B$57:$Z$81,MATCH(SectorFlows!$B22,SectorFlows_input!$A$57:$A$81,0),MATCH(SectorFlows!C$5,SectorFlows_input!$B$56:$Z$56,0)))</f>
        <v>2475</v>
      </c>
      <c r="D22" s="225">
        <f>IF($D$3="HIS",SectorFlows_input!C19,INDEX(SectorFlows_input!$B$57:$Z$81,MATCH(SectorFlows!$B22,SectorFlows_input!$A$57:$A$81,0),MATCH(SectorFlows!D$5,SectorFlows_input!$B$56:$Z$56,0)))</f>
        <v>527</v>
      </c>
      <c r="E22" s="225">
        <f>IF($D$3="HIS",SectorFlows_input!D19,INDEX(SectorFlows_input!$B$57:$Z$81,MATCH(SectorFlows!$B22,SectorFlows_input!$A$57:$A$81,0),MATCH(SectorFlows!E$5,SectorFlows_input!$B$56:$Z$56,0)))</f>
        <v>1204</v>
      </c>
      <c r="F22" s="225">
        <f>IF($D$3="HIS",SectorFlows_input!E19,INDEX(SectorFlows_input!$B$57:$Z$81,MATCH(SectorFlows!$B22,SectorFlows_input!$A$57:$A$81,0),MATCH(SectorFlows!F$5,SectorFlows_input!$B$56:$Z$56,0)))</f>
        <v>304</v>
      </c>
      <c r="G22" s="225">
        <f>IF($D$3="HIS",SectorFlows_input!F19,INDEX(SectorFlows_input!$B$57:$Z$81,MATCH(SectorFlows!$B22,SectorFlows_input!$A$57:$A$81,0),MATCH(SectorFlows!G$5,SectorFlows_input!$B$56:$Z$56,0)))</f>
        <v>705</v>
      </c>
      <c r="H22" s="225">
        <f>IF($D$3="HIS",SectorFlows_input!G19,INDEX(SectorFlows_input!$B$57:$Z$81,MATCH(SectorFlows!$B22,SectorFlows_input!$A$57:$A$81,0),MATCH(SectorFlows!H$5,SectorFlows_input!$B$56:$Z$56,0)))</f>
        <v>410</v>
      </c>
      <c r="I22" s="225">
        <f>IF($D$3="HIS",SectorFlows_input!H19,INDEX(SectorFlows_input!$B$57:$Z$81,MATCH(SectorFlows!$B22,SectorFlows_input!$A$57:$A$81,0),MATCH(SectorFlows!I$5,SectorFlows_input!$B$56:$Z$56,0)))</f>
        <v>930</v>
      </c>
      <c r="J22" s="225">
        <f>IF($D$3="HIS",SectorFlows_input!I19,INDEX(SectorFlows_input!$B$57:$Z$81,MATCH(SectorFlows!$B22,SectorFlows_input!$A$57:$A$81,0),MATCH(SectorFlows!J$5,SectorFlows_input!$B$56:$Z$56,0)))</f>
        <v>855</v>
      </c>
      <c r="K22" s="225">
        <f>IF($D$3="HIS",SectorFlows_input!J19,INDEX(SectorFlows_input!$B$57:$Z$81,MATCH(SectorFlows!$B22,SectorFlows_input!$A$57:$A$81,0),MATCH(SectorFlows!K$5,SectorFlows_input!$B$56:$Z$56,0)))</f>
        <v>172</v>
      </c>
      <c r="L22" s="225">
        <f>IF($D$3="HIS",SectorFlows_input!K19,INDEX(SectorFlows_input!$B$57:$Z$81,MATCH(SectorFlows!$B22,SectorFlows_input!$A$57:$A$81,0),MATCH(SectorFlows!L$5,SectorFlows_input!$B$56:$Z$56,0)))</f>
        <v>2570</v>
      </c>
      <c r="M22" s="225">
        <f>IF($D$3="HIS",SectorFlows_input!L19,INDEX(SectorFlows_input!$B$57:$Z$81,MATCH(SectorFlows!$B22,SectorFlows_input!$A$57:$A$81,0),MATCH(SectorFlows!M$5,SectorFlows_input!$B$56:$Z$56,0)))</f>
        <v>2675</v>
      </c>
      <c r="N22" s="225">
        <f>IF($D$3="HIS",SectorFlows_input!M19,INDEX(SectorFlows_input!$B$57:$Z$81,MATCH(SectorFlows!$B22,SectorFlows_input!$A$57:$A$81,0),MATCH(SectorFlows!N$5,SectorFlows_input!$B$56:$Z$56,0)))</f>
        <v>2553</v>
      </c>
      <c r="O22" s="225">
        <f>IF($D$3="HIS",SectorFlows_input!N19,INDEX(SectorFlows_input!$B$57:$Z$81,MATCH(SectorFlows!$B22,SectorFlows_input!$A$57:$A$81,0),MATCH(SectorFlows!O$5,SectorFlows_input!$B$56:$Z$56,0)))</f>
        <v>5804</v>
      </c>
      <c r="P22" s="225">
        <f>IF($D$3="HIS",SectorFlows_input!O19,INDEX(SectorFlows_input!$B$57:$Z$81,MATCH(SectorFlows!$B22,SectorFlows_input!$A$57:$A$81,0),MATCH(SectorFlows!P$5,SectorFlows_input!$B$56:$Z$56,0)))</f>
        <v>2253</v>
      </c>
      <c r="Q22" s="225">
        <f>IF($D$3="HIS",SectorFlows_input!P19,INDEX(SectorFlows_input!$B$57:$Z$81,MATCH(SectorFlows!$B22,SectorFlows_input!$A$57:$A$81,0),MATCH(SectorFlows!Q$5,SectorFlows_input!$B$56:$Z$56,0)))</f>
        <v>2834</v>
      </c>
      <c r="R22" s="225">
        <f>IF($D$3="HIS",SectorFlows_input!Q19,INDEX(SectorFlows_input!$B$57:$Z$81,MATCH(SectorFlows!$B22,SectorFlows_input!$A$57:$A$81,0),MATCH(SectorFlows!R$5,SectorFlows_input!$B$56:$Z$56,0)))</f>
        <v>562</v>
      </c>
      <c r="S22" s="224">
        <f>IF($D$3="HIS",SectorFlows_input!R19,INDEX(SectorFlows_input!$B$57:$Z$81,MATCH(SectorFlows!$B22,SectorFlows_input!$A$57:$A$81,0),MATCH(SectorFlows!S$5,SectorFlows_input!$B$56:$Z$56,0)))</f>
        <v>251516</v>
      </c>
      <c r="T22" s="225">
        <f>IF($D$3="HIS",SectorFlows_input!S19,INDEX(SectorFlows_input!$B$57:$Z$81,MATCH(SectorFlows!$B22,SectorFlows_input!$A$57:$A$81,0),MATCH(SectorFlows!T$5,SectorFlows_input!$B$56:$Z$56,0)))</f>
        <v>444</v>
      </c>
      <c r="U22" s="225">
        <f>IF($D$3="HIS",SectorFlows_input!T19,INDEX(SectorFlows_input!$B$57:$Z$81,MATCH(SectorFlows!$B22,SectorFlows_input!$A$57:$A$81,0),MATCH(SectorFlows!U$5,SectorFlows_input!$B$56:$Z$56,0)))</f>
        <v>77</v>
      </c>
      <c r="V22" s="225">
        <f>IF($D$3="HIS",SectorFlows_input!U19,INDEX(SectorFlows_input!$B$57:$Z$81,MATCH(SectorFlows!$B22,SectorFlows_input!$A$57:$A$81,0),MATCH(SectorFlows!V$5,SectorFlows_input!$B$56:$Z$56,0)))</f>
        <v>5697</v>
      </c>
      <c r="W22" s="225">
        <f>IF($D$3="HIS",SectorFlows_input!V19,INDEX(SectorFlows_input!$B$57:$Z$81,MATCH(SectorFlows!$B22,SectorFlows_input!$A$57:$A$81,0),MATCH(SectorFlows!W$5,SectorFlows_input!$B$56:$Z$56,0)))</f>
        <v>195</v>
      </c>
      <c r="X22" s="225">
        <f>IF($D$3="HIS",SectorFlows_input!W19,INDEX(SectorFlows_input!$B$57:$Z$81,MATCH(SectorFlows!$B22,SectorFlows_input!$A$57:$A$81,0),MATCH(SectorFlows!X$5,SectorFlows_input!$B$56:$Z$56,0)))</f>
        <v>4558</v>
      </c>
      <c r="Y22" s="225">
        <f>IF($D$3="HIS",SectorFlows_input!X19,INDEX(SectorFlows_input!$B$57:$Z$81,MATCH(SectorFlows!$B22,SectorFlows_input!$A$57:$A$81,0),MATCH(SectorFlows!Y$5,SectorFlows_input!$B$56:$Z$56,0)))</f>
        <v>4790</v>
      </c>
      <c r="Z22" s="225">
        <f>IF($D$3="HIS",SectorFlows_input!Y19,INDEX(SectorFlows_input!$B$57:$Z$81,MATCH(SectorFlows!$B22,SectorFlows_input!$A$57:$A$81,0),MATCH(SectorFlows!Z$5,SectorFlows_input!$B$56:$Z$56,0)))</f>
        <v>8712</v>
      </c>
      <c r="AA22" s="225">
        <f>IF($D$3="HIS",SectorFlows_input!Z19,INDEX(SectorFlows_input!$B$57:$Z$81,MATCH(SectorFlows!$B22,SectorFlows_input!$A$57:$A$81,0),MATCH(SectorFlows!AA$5,SectorFlows_input!$B$56:$Z$56,0)))</f>
        <v>10710</v>
      </c>
      <c r="AB22" s="226">
        <f t="shared" si="1"/>
        <v>313532</v>
      </c>
      <c r="AD22" s="223" t="s">
        <v>469</v>
      </c>
      <c r="AE22" s="234">
        <f t="shared" si="2"/>
        <v>7.8939310819948205E-3</v>
      </c>
      <c r="AF22" s="234">
        <f t="shared" si="3"/>
        <v>1.6808491637217253E-3</v>
      </c>
      <c r="AG22" s="234">
        <f t="shared" si="4"/>
        <v>3.8401183930188943E-3</v>
      </c>
      <c r="AH22" s="234">
        <f t="shared" si="5"/>
        <v>9.6959799956623251E-4</v>
      </c>
      <c r="AI22" s="234">
        <f t="shared" si="6"/>
        <v>2.2485743082045853E-3</v>
      </c>
      <c r="AJ22" s="234">
        <f t="shared" si="7"/>
        <v>1.3076815125728793E-3</v>
      </c>
      <c r="AK22" s="234">
        <f t="shared" si="8"/>
        <v>2.9662044065677504E-3</v>
      </c>
      <c r="AL22" s="234">
        <f t="shared" si="9"/>
        <v>2.726994373780029E-3</v>
      </c>
      <c r="AM22" s="234">
        <f t="shared" si="10"/>
        <v>5.4858834185984211E-4</v>
      </c>
      <c r="AN22" s="234">
        <f t="shared" si="11"/>
        <v>8.1969304568592673E-3</v>
      </c>
      <c r="AO22" s="234">
        <f t="shared" si="12"/>
        <v>8.5318245027620788E-3</v>
      </c>
      <c r="AP22" s="234">
        <f t="shared" si="13"/>
        <v>8.1427095160940509E-3</v>
      </c>
      <c r="AQ22" s="234">
        <f t="shared" si="14"/>
        <v>1.8511667070665833E-2</v>
      </c>
      <c r="AR22" s="234">
        <f t="shared" si="15"/>
        <v>7.1858693849431634E-3</v>
      </c>
      <c r="AS22" s="234">
        <f t="shared" si="16"/>
        <v>9.0389497722720494E-3</v>
      </c>
      <c r="AT22" s="234">
        <f t="shared" si="17"/>
        <v>1.7924805123559955E-3</v>
      </c>
      <c r="AU22" s="233">
        <f t="shared" si="18"/>
        <v>0.80220200808848863</v>
      </c>
      <c r="AV22" s="234">
        <f t="shared" si="19"/>
        <v>1.4161233941033132E-3</v>
      </c>
      <c r="AW22" s="234">
        <f t="shared" si="20"/>
        <v>2.4558896699539438E-4</v>
      </c>
      <c r="AX22" s="234">
        <f t="shared" si="21"/>
        <v>1.8170394090555351E-2</v>
      </c>
      <c r="AY22" s="234">
        <f t="shared" si="22"/>
        <v>6.2194608524807678E-4</v>
      </c>
      <c r="AZ22" s="234">
        <f t="shared" si="23"/>
        <v>1.4537591059285815E-2</v>
      </c>
      <c r="BA22" s="234">
        <f t="shared" si="24"/>
        <v>1.5277547427375833E-2</v>
      </c>
      <c r="BB22" s="234">
        <f t="shared" si="25"/>
        <v>2.7786637408621768E-2</v>
      </c>
      <c r="BC22" s="234">
        <f t="shared" si="26"/>
        <v>3.4159192682086677E-2</v>
      </c>
      <c r="BD22" s="237">
        <f t="shared" si="27"/>
        <v>1.0000000000000002</v>
      </c>
    </row>
    <row r="23" spans="2:56" x14ac:dyDescent="0.25">
      <c r="B23" s="223" t="s">
        <v>470</v>
      </c>
      <c r="C23" s="225">
        <f>IF($D$3="HIS",SectorFlows_input!B20,INDEX(SectorFlows_input!$B$57:$Z$81,MATCH(SectorFlows!$B23,SectorFlows_input!$A$57:$A$81,0),MATCH(SectorFlows!C$5,SectorFlows_input!$B$56:$Z$56,0)))</f>
        <v>9932</v>
      </c>
      <c r="D23" s="225">
        <f>IF($D$3="HIS",SectorFlows_input!C20,INDEX(SectorFlows_input!$B$57:$Z$81,MATCH(SectorFlows!$B23,SectorFlows_input!$A$57:$A$81,0),MATCH(SectorFlows!D$5,SectorFlows_input!$B$56:$Z$56,0)))</f>
        <v>1906</v>
      </c>
      <c r="E23" s="225">
        <f>IF($D$3="HIS",SectorFlows_input!D20,INDEX(SectorFlows_input!$B$57:$Z$81,MATCH(SectorFlows!$B23,SectorFlows_input!$A$57:$A$81,0),MATCH(SectorFlows!E$5,SectorFlows_input!$B$56:$Z$56,0)))</f>
        <v>1734</v>
      </c>
      <c r="F23" s="225">
        <f>IF($D$3="HIS",SectorFlows_input!E20,INDEX(SectorFlows_input!$B$57:$Z$81,MATCH(SectorFlows!$B23,SectorFlows_input!$A$57:$A$81,0),MATCH(SectorFlows!F$5,SectorFlows_input!$B$56:$Z$56,0)))</f>
        <v>412</v>
      </c>
      <c r="G23" s="225">
        <f>IF($D$3="HIS",SectorFlows_input!F20,INDEX(SectorFlows_input!$B$57:$Z$81,MATCH(SectorFlows!$B23,SectorFlows_input!$A$57:$A$81,0),MATCH(SectorFlows!G$5,SectorFlows_input!$B$56:$Z$56,0)))</f>
        <v>1005</v>
      </c>
      <c r="H23" s="225">
        <f>IF($D$3="HIS",SectorFlows_input!G20,INDEX(SectorFlows_input!$B$57:$Z$81,MATCH(SectorFlows!$B23,SectorFlows_input!$A$57:$A$81,0),MATCH(SectorFlows!H$5,SectorFlows_input!$B$56:$Z$56,0)))</f>
        <v>1087</v>
      </c>
      <c r="I23" s="225">
        <f>IF($D$3="HIS",SectorFlows_input!H20,INDEX(SectorFlows_input!$B$57:$Z$81,MATCH(SectorFlows!$B23,SectorFlows_input!$A$57:$A$81,0),MATCH(SectorFlows!I$5,SectorFlows_input!$B$56:$Z$56,0)))</f>
        <v>1973</v>
      </c>
      <c r="J23" s="225">
        <f>IF($D$3="HIS",SectorFlows_input!I20,INDEX(SectorFlows_input!$B$57:$Z$81,MATCH(SectorFlows!$B23,SectorFlows_input!$A$57:$A$81,0),MATCH(SectorFlows!J$5,SectorFlows_input!$B$56:$Z$56,0)))</f>
        <v>11244</v>
      </c>
      <c r="K23" s="225">
        <f>IF($D$3="HIS",SectorFlows_input!J20,INDEX(SectorFlows_input!$B$57:$Z$81,MATCH(SectorFlows!$B23,SectorFlows_input!$A$57:$A$81,0),MATCH(SectorFlows!K$5,SectorFlows_input!$B$56:$Z$56,0)))</f>
        <v>290</v>
      </c>
      <c r="L23" s="225">
        <f>IF($D$3="HIS",SectorFlows_input!K20,INDEX(SectorFlows_input!$B$57:$Z$81,MATCH(SectorFlows!$B23,SectorFlows_input!$A$57:$A$81,0),MATCH(SectorFlows!L$5,SectorFlows_input!$B$56:$Z$56,0)))</f>
        <v>569</v>
      </c>
      <c r="M23" s="225">
        <f>IF($D$3="HIS",SectorFlows_input!L20,INDEX(SectorFlows_input!$B$57:$Z$81,MATCH(SectorFlows!$B23,SectorFlows_input!$A$57:$A$81,0),MATCH(SectorFlows!M$5,SectorFlows_input!$B$56:$Z$56,0)))</f>
        <v>509</v>
      </c>
      <c r="N23" s="225">
        <f>IF($D$3="HIS",SectorFlows_input!M20,INDEX(SectorFlows_input!$B$57:$Z$81,MATCH(SectorFlows!$B23,SectorFlows_input!$A$57:$A$81,0),MATCH(SectorFlows!N$5,SectorFlows_input!$B$56:$Z$56,0)))</f>
        <v>472</v>
      </c>
      <c r="O23" s="225">
        <f>IF($D$3="HIS",SectorFlows_input!N20,INDEX(SectorFlows_input!$B$57:$Z$81,MATCH(SectorFlows!$B23,SectorFlows_input!$A$57:$A$81,0),MATCH(SectorFlows!O$5,SectorFlows_input!$B$56:$Z$56,0)))</f>
        <v>979</v>
      </c>
      <c r="P23" s="225">
        <f>IF($D$3="HIS",SectorFlows_input!O20,INDEX(SectorFlows_input!$B$57:$Z$81,MATCH(SectorFlows!$B23,SectorFlows_input!$A$57:$A$81,0),MATCH(SectorFlows!P$5,SectorFlows_input!$B$56:$Z$56,0)))</f>
        <v>2178</v>
      </c>
      <c r="Q23" s="225">
        <f>IF($D$3="HIS",SectorFlows_input!P20,INDEX(SectorFlows_input!$B$57:$Z$81,MATCH(SectorFlows!$B23,SectorFlows_input!$A$57:$A$81,0),MATCH(SectorFlows!Q$5,SectorFlows_input!$B$56:$Z$56,0)))</f>
        <v>8225</v>
      </c>
      <c r="R23" s="225">
        <f>IF($D$3="HIS",SectorFlows_input!Q20,INDEX(SectorFlows_input!$B$57:$Z$81,MATCH(SectorFlows!$B23,SectorFlows_input!$A$57:$A$81,0),MATCH(SectorFlows!R$5,SectorFlows_input!$B$56:$Z$56,0)))</f>
        <v>0</v>
      </c>
      <c r="S23" s="225">
        <f>IF($D$3="HIS",SectorFlows_input!R20,INDEX(SectorFlows_input!$B$57:$Z$81,MATCH(SectorFlows!$B23,SectorFlows_input!$A$57:$A$81,0),MATCH(SectorFlows!S$5,SectorFlows_input!$B$56:$Z$56,0)))</f>
        <v>164</v>
      </c>
      <c r="T23" s="224">
        <f>IF($D$3="HIS",SectorFlows_input!S20,INDEX(SectorFlows_input!$B$57:$Z$81,MATCH(SectorFlows!$B23,SectorFlows_input!$A$57:$A$81,0),MATCH(SectorFlows!T$5,SectorFlows_input!$B$56:$Z$56,0)))</f>
        <v>108004</v>
      </c>
      <c r="U23" s="225">
        <f>IF($D$3="HIS",SectorFlows_input!T20,INDEX(SectorFlows_input!$B$57:$Z$81,MATCH(SectorFlows!$B23,SectorFlows_input!$A$57:$A$81,0),MATCH(SectorFlows!U$5,SectorFlows_input!$B$56:$Z$56,0)))</f>
        <v>17226</v>
      </c>
      <c r="V23" s="225">
        <f>IF($D$3="HIS",SectorFlows_input!U20,INDEX(SectorFlows_input!$B$57:$Z$81,MATCH(SectorFlows!$B23,SectorFlows_input!$A$57:$A$81,0),MATCH(SectorFlows!V$5,SectorFlows_input!$B$56:$Z$56,0)))</f>
        <v>219</v>
      </c>
      <c r="W23" s="225">
        <f>IF($D$3="HIS",SectorFlows_input!V20,INDEX(SectorFlows_input!$B$57:$Z$81,MATCH(SectorFlows!$B23,SectorFlows_input!$A$57:$A$81,0),MATCH(SectorFlows!W$5,SectorFlows_input!$B$56:$Z$56,0)))</f>
        <v>134</v>
      </c>
      <c r="X23" s="225">
        <f>IF($D$3="HIS",SectorFlows_input!W20,INDEX(SectorFlows_input!$B$57:$Z$81,MATCH(SectorFlows!$B23,SectorFlows_input!$A$57:$A$81,0),MATCH(SectorFlows!X$5,SectorFlows_input!$B$56:$Z$56,0)))</f>
        <v>90</v>
      </c>
      <c r="Y23" s="225">
        <f>IF($D$3="HIS",SectorFlows_input!X20,INDEX(SectorFlows_input!$B$57:$Z$81,MATCH(SectorFlows!$B23,SectorFlows_input!$A$57:$A$81,0),MATCH(SectorFlows!Y$5,SectorFlows_input!$B$56:$Z$56,0)))</f>
        <v>60</v>
      </c>
      <c r="Z23" s="225">
        <f>IF($D$3="HIS",SectorFlows_input!Y20,INDEX(SectorFlows_input!$B$57:$Z$81,MATCH(SectorFlows!$B23,SectorFlows_input!$A$57:$A$81,0),MATCH(SectorFlows!Z$5,SectorFlows_input!$B$56:$Z$56,0)))</f>
        <v>69</v>
      </c>
      <c r="AA23" s="225">
        <f>IF($D$3="HIS",SectorFlows_input!Z20,INDEX(SectorFlows_input!$B$57:$Z$81,MATCH(SectorFlows!$B23,SectorFlows_input!$A$57:$A$81,0),MATCH(SectorFlows!AA$5,SectorFlows_input!$B$56:$Z$56,0)))</f>
        <v>1682</v>
      </c>
      <c r="AB23" s="226">
        <f t="shared" si="1"/>
        <v>170163</v>
      </c>
      <c r="AD23" s="223" t="s">
        <v>470</v>
      </c>
      <c r="AE23" s="234">
        <f t="shared" si="2"/>
        <v>5.8367565216880288E-2</v>
      </c>
      <c r="AF23" s="234">
        <f t="shared" si="3"/>
        <v>1.1201024899655037E-2</v>
      </c>
      <c r="AG23" s="234">
        <f t="shared" si="4"/>
        <v>1.019022936831156E-2</v>
      </c>
      <c r="AH23" s="234">
        <f t="shared" si="5"/>
        <v>2.4212079006599553E-3</v>
      </c>
      <c r="AI23" s="234">
        <f t="shared" si="6"/>
        <v>5.9061017965127555E-3</v>
      </c>
      <c r="AJ23" s="234">
        <f t="shared" si="7"/>
        <v>6.3879926893625526E-3</v>
      </c>
      <c r="AK23" s="234">
        <f t="shared" si="8"/>
        <v>1.1594765019422554E-2</v>
      </c>
      <c r="AL23" s="234">
        <f t="shared" si="9"/>
        <v>6.6077819502477042E-2</v>
      </c>
      <c r="AM23" s="234">
        <f t="shared" si="10"/>
        <v>1.7042482795907453E-3</v>
      </c>
      <c r="AN23" s="234">
        <f t="shared" si="11"/>
        <v>3.343852658921152E-3</v>
      </c>
      <c r="AO23" s="234">
        <f t="shared" si="12"/>
        <v>2.9912495665920325E-3</v>
      </c>
      <c r="AP23" s="234">
        <f t="shared" si="13"/>
        <v>2.7738109929890753E-3</v>
      </c>
      <c r="AQ23" s="234">
        <f t="shared" si="14"/>
        <v>5.7533071231701365E-3</v>
      </c>
      <c r="AR23" s="234">
        <f t="shared" si="15"/>
        <v>1.2799492251547046E-2</v>
      </c>
      <c r="AS23" s="234">
        <f t="shared" si="16"/>
        <v>4.8336007240116829E-2</v>
      </c>
      <c r="AT23" s="234">
        <f t="shared" si="17"/>
        <v>0</v>
      </c>
      <c r="AU23" s="234">
        <f t="shared" si="18"/>
        <v>9.6378178569959396E-4</v>
      </c>
      <c r="AV23" s="233">
        <f t="shared" si="19"/>
        <v>0.63470907306523749</v>
      </c>
      <c r="AW23" s="234">
        <f t="shared" si="20"/>
        <v>0.10123234780769028</v>
      </c>
      <c r="AX23" s="234">
        <f t="shared" si="21"/>
        <v>1.287001287001287E-3</v>
      </c>
      <c r="AY23" s="234">
        <f t="shared" si="22"/>
        <v>7.8748023953503408E-4</v>
      </c>
      <c r="AZ23" s="234">
        <f t="shared" si="23"/>
        <v>5.2890463849367955E-4</v>
      </c>
      <c r="BA23" s="234">
        <f t="shared" si="24"/>
        <v>3.5260309232911972E-4</v>
      </c>
      <c r="BB23" s="234">
        <f t="shared" si="25"/>
        <v>4.0549355617848769E-4</v>
      </c>
      <c r="BC23" s="234">
        <f t="shared" si="26"/>
        <v>9.8846400216263224E-3</v>
      </c>
      <c r="BD23" s="237">
        <f t="shared" si="27"/>
        <v>1</v>
      </c>
    </row>
    <row r="24" spans="2:56" x14ac:dyDescent="0.25">
      <c r="B24" s="223" t="s">
        <v>471</v>
      </c>
      <c r="C24" s="225">
        <f>IF($D$3="HIS",SectorFlows_input!B21,INDEX(SectorFlows_input!$B$57:$Z$81,MATCH(SectorFlows!$B24,SectorFlows_input!$A$57:$A$81,0),MATCH(SectorFlows!C$5,SectorFlows_input!$B$56:$Z$56,0)))</f>
        <v>4193</v>
      </c>
      <c r="D24" s="225">
        <f>IF($D$3="HIS",SectorFlows_input!C21,INDEX(SectorFlows_input!$B$57:$Z$81,MATCH(SectorFlows!$B24,SectorFlows_input!$A$57:$A$81,0),MATCH(SectorFlows!D$5,SectorFlows_input!$B$56:$Z$56,0)))</f>
        <v>531</v>
      </c>
      <c r="E24" s="225">
        <f>IF($D$3="HIS",SectorFlows_input!D21,INDEX(SectorFlows_input!$B$57:$Z$81,MATCH(SectorFlows!$B24,SectorFlows_input!$A$57:$A$81,0),MATCH(SectorFlows!E$5,SectorFlows_input!$B$56:$Z$56,0)))</f>
        <v>478</v>
      </c>
      <c r="F24" s="225">
        <f>IF($D$3="HIS",SectorFlows_input!E21,INDEX(SectorFlows_input!$B$57:$Z$81,MATCH(SectorFlows!$B24,SectorFlows_input!$A$57:$A$81,0),MATCH(SectorFlows!F$5,SectorFlows_input!$B$56:$Z$56,0)))</f>
        <v>100</v>
      </c>
      <c r="G24" s="225">
        <f>IF($D$3="HIS",SectorFlows_input!F21,INDEX(SectorFlows_input!$B$57:$Z$81,MATCH(SectorFlows!$B24,SectorFlows_input!$A$57:$A$81,0),MATCH(SectorFlows!G$5,SectorFlows_input!$B$56:$Z$56,0)))</f>
        <v>298</v>
      </c>
      <c r="H24" s="225">
        <f>IF($D$3="HIS",SectorFlows_input!G21,INDEX(SectorFlows_input!$B$57:$Z$81,MATCH(SectorFlows!$B24,SectorFlows_input!$A$57:$A$81,0),MATCH(SectorFlows!H$5,SectorFlows_input!$B$56:$Z$56,0)))</f>
        <v>286</v>
      </c>
      <c r="I24" s="225">
        <f>IF($D$3="HIS",SectorFlows_input!H21,INDEX(SectorFlows_input!$B$57:$Z$81,MATCH(SectorFlows!$B24,SectorFlows_input!$A$57:$A$81,0),MATCH(SectorFlows!I$5,SectorFlows_input!$B$56:$Z$56,0)))</f>
        <v>809</v>
      </c>
      <c r="J24" s="225">
        <f>IF($D$3="HIS",SectorFlows_input!I21,INDEX(SectorFlows_input!$B$57:$Z$81,MATCH(SectorFlows!$B24,SectorFlows_input!$A$57:$A$81,0),MATCH(SectorFlows!J$5,SectorFlows_input!$B$56:$Z$56,0)))</f>
        <v>2669</v>
      </c>
      <c r="K24" s="225">
        <f>IF($D$3="HIS",SectorFlows_input!J21,INDEX(SectorFlows_input!$B$57:$Z$81,MATCH(SectorFlows!$B24,SectorFlows_input!$A$57:$A$81,0),MATCH(SectorFlows!K$5,SectorFlows_input!$B$56:$Z$56,0)))</f>
        <v>20</v>
      </c>
      <c r="L24" s="225">
        <f>IF($D$3="HIS",SectorFlows_input!K21,INDEX(SectorFlows_input!$B$57:$Z$81,MATCH(SectorFlows!$B24,SectorFlows_input!$A$57:$A$81,0),MATCH(SectorFlows!L$5,SectorFlows_input!$B$56:$Z$56,0)))</f>
        <v>205</v>
      </c>
      <c r="M24" s="225">
        <f>IF($D$3="HIS",SectorFlows_input!L21,INDEX(SectorFlows_input!$B$57:$Z$81,MATCH(SectorFlows!$B24,SectorFlows_input!$A$57:$A$81,0),MATCH(SectorFlows!M$5,SectorFlows_input!$B$56:$Z$56,0)))</f>
        <v>222</v>
      </c>
      <c r="N24" s="225">
        <f>IF($D$3="HIS",SectorFlows_input!M21,INDEX(SectorFlows_input!$B$57:$Z$81,MATCH(SectorFlows!$B24,SectorFlows_input!$A$57:$A$81,0),MATCH(SectorFlows!N$5,SectorFlows_input!$B$56:$Z$56,0)))</f>
        <v>94</v>
      </c>
      <c r="O24" s="225">
        <f>IF($D$3="HIS",SectorFlows_input!N21,INDEX(SectorFlows_input!$B$57:$Z$81,MATCH(SectorFlows!$B24,SectorFlows_input!$A$57:$A$81,0),MATCH(SectorFlows!O$5,SectorFlows_input!$B$56:$Z$56,0)))</f>
        <v>558</v>
      </c>
      <c r="P24" s="225">
        <f>IF($D$3="HIS",SectorFlows_input!O21,INDEX(SectorFlows_input!$B$57:$Z$81,MATCH(SectorFlows!$B24,SectorFlows_input!$A$57:$A$81,0),MATCH(SectorFlows!P$5,SectorFlows_input!$B$56:$Z$56,0)))</f>
        <v>793</v>
      </c>
      <c r="Q24" s="225">
        <f>IF($D$3="HIS",SectorFlows_input!P21,INDEX(SectorFlows_input!$B$57:$Z$81,MATCH(SectorFlows!$B24,SectorFlows_input!$A$57:$A$81,0),MATCH(SectorFlows!Q$5,SectorFlows_input!$B$56:$Z$56,0)))</f>
        <v>2593</v>
      </c>
      <c r="R24" s="225">
        <f>IF($D$3="HIS",SectorFlows_input!Q21,INDEX(SectorFlows_input!$B$57:$Z$81,MATCH(SectorFlows!$B24,SectorFlows_input!$A$57:$A$81,0),MATCH(SectorFlows!R$5,SectorFlows_input!$B$56:$Z$56,0)))</f>
        <v>0</v>
      </c>
      <c r="S24" s="225">
        <f>IF($D$3="HIS",SectorFlows_input!R21,INDEX(SectorFlows_input!$B$57:$Z$81,MATCH(SectorFlows!$B24,SectorFlows_input!$A$57:$A$81,0),MATCH(SectorFlows!S$5,SectorFlows_input!$B$56:$Z$56,0)))</f>
        <v>235</v>
      </c>
      <c r="T24" s="225">
        <f>IF($D$3="HIS",SectorFlows_input!S21,INDEX(SectorFlows_input!$B$57:$Z$81,MATCH(SectorFlows!$B24,SectorFlows_input!$A$57:$A$81,0),MATCH(SectorFlows!T$5,SectorFlows_input!$B$56:$Z$56,0)))</f>
        <v>38708</v>
      </c>
      <c r="U24" s="224">
        <f>IF($D$3="HIS",SectorFlows_input!T21,INDEX(SectorFlows_input!$B$57:$Z$81,MATCH(SectorFlows!$B24,SectorFlows_input!$A$57:$A$81,0),MATCH(SectorFlows!U$5,SectorFlows_input!$B$56:$Z$56,0)))</f>
        <v>92947</v>
      </c>
      <c r="V24" s="225">
        <f>IF($D$3="HIS",SectorFlows_input!U21,INDEX(SectorFlows_input!$B$57:$Z$81,MATCH(SectorFlows!$B24,SectorFlows_input!$A$57:$A$81,0),MATCH(SectorFlows!V$5,SectorFlows_input!$B$56:$Z$56,0)))</f>
        <v>79</v>
      </c>
      <c r="W24" s="225">
        <f>IF($D$3="HIS",SectorFlows_input!V21,INDEX(SectorFlows_input!$B$57:$Z$81,MATCH(SectorFlows!$B24,SectorFlows_input!$A$57:$A$81,0),MATCH(SectorFlows!W$5,SectorFlows_input!$B$56:$Z$56,0)))</f>
        <v>25</v>
      </c>
      <c r="X24" s="225">
        <f>IF($D$3="HIS",SectorFlows_input!W21,INDEX(SectorFlows_input!$B$57:$Z$81,MATCH(SectorFlows!$B24,SectorFlows_input!$A$57:$A$81,0),MATCH(SectorFlows!X$5,SectorFlows_input!$B$56:$Z$56,0)))</f>
        <v>22</v>
      </c>
      <c r="Y24" s="225">
        <f>IF($D$3="HIS",SectorFlows_input!X21,INDEX(SectorFlows_input!$B$57:$Z$81,MATCH(SectorFlows!$B24,SectorFlows_input!$A$57:$A$81,0),MATCH(SectorFlows!Y$5,SectorFlows_input!$B$56:$Z$56,0)))</f>
        <v>4</v>
      </c>
      <c r="Z24" s="225">
        <f>IF($D$3="HIS",SectorFlows_input!Y21,INDEX(SectorFlows_input!$B$57:$Z$81,MATCH(SectorFlows!$B24,SectorFlows_input!$A$57:$A$81,0),MATCH(SectorFlows!Z$5,SectorFlows_input!$B$56:$Z$56,0)))</f>
        <v>23</v>
      </c>
      <c r="AA24" s="225">
        <f>IF($D$3="HIS",SectorFlows_input!Z21,INDEX(SectorFlows_input!$B$57:$Z$81,MATCH(SectorFlows!$B24,SectorFlows_input!$A$57:$A$81,0),MATCH(SectorFlows!AA$5,SectorFlows_input!$B$56:$Z$56,0)))</f>
        <v>678</v>
      </c>
      <c r="AB24" s="226">
        <f t="shared" si="1"/>
        <v>146570</v>
      </c>
      <c r="AD24" s="223" t="s">
        <v>471</v>
      </c>
      <c r="AE24" s="234">
        <f t="shared" si="2"/>
        <v>2.8607491301084805E-2</v>
      </c>
      <c r="AF24" s="234">
        <f t="shared" si="3"/>
        <v>3.6228423278979326E-3</v>
      </c>
      <c r="AG24" s="234">
        <f t="shared" si="4"/>
        <v>3.2612403629665005E-3</v>
      </c>
      <c r="AH24" s="234">
        <f t="shared" si="5"/>
        <v>6.8226785836119264E-4</v>
      </c>
      <c r="AI24" s="234">
        <f t="shared" si="6"/>
        <v>2.033158217916354E-3</v>
      </c>
      <c r="AJ24" s="234">
        <f t="shared" si="7"/>
        <v>1.9512860749130109E-3</v>
      </c>
      <c r="AK24" s="234">
        <f t="shared" si="8"/>
        <v>5.5195469741420485E-3</v>
      </c>
      <c r="AL24" s="234">
        <f t="shared" si="9"/>
        <v>1.8209729139660232E-2</v>
      </c>
      <c r="AM24" s="234">
        <f t="shared" si="10"/>
        <v>1.3645357167223852E-4</v>
      </c>
      <c r="AN24" s="234">
        <f t="shared" si="11"/>
        <v>1.3986491096404448E-3</v>
      </c>
      <c r="AO24" s="234">
        <f t="shared" si="12"/>
        <v>1.5146346455618476E-3</v>
      </c>
      <c r="AP24" s="234">
        <f t="shared" si="13"/>
        <v>6.4133178685952109E-4</v>
      </c>
      <c r="AQ24" s="234">
        <f t="shared" si="14"/>
        <v>3.8070546496554547E-3</v>
      </c>
      <c r="AR24" s="234">
        <f t="shared" si="15"/>
        <v>5.4103841168042571E-3</v>
      </c>
      <c r="AS24" s="234">
        <f t="shared" si="16"/>
        <v>1.7691205567305725E-2</v>
      </c>
      <c r="AT24" s="234">
        <f t="shared" si="17"/>
        <v>0</v>
      </c>
      <c r="AU24" s="234">
        <f t="shared" si="18"/>
        <v>1.6033294671488026E-3</v>
      </c>
      <c r="AV24" s="234">
        <f t="shared" si="19"/>
        <v>0.26409224261445041</v>
      </c>
      <c r="AW24" s="233">
        <f t="shared" si="20"/>
        <v>0.63414750631097772</v>
      </c>
      <c r="AX24" s="234">
        <f t="shared" si="21"/>
        <v>5.3899160810534218E-4</v>
      </c>
      <c r="AY24" s="234">
        <f t="shared" si="22"/>
        <v>1.7056696459029816E-4</v>
      </c>
      <c r="AZ24" s="234">
        <f t="shared" si="23"/>
        <v>1.5009892883946236E-4</v>
      </c>
      <c r="BA24" s="234">
        <f t="shared" si="24"/>
        <v>2.7290714334447704E-5</v>
      </c>
      <c r="BB24" s="234">
        <f t="shared" si="25"/>
        <v>1.5692160742307429E-4</v>
      </c>
      <c r="BC24" s="234">
        <f t="shared" si="26"/>
        <v>4.6257760796888855E-3</v>
      </c>
      <c r="BD24" s="237">
        <f t="shared" si="27"/>
        <v>1</v>
      </c>
    </row>
    <row r="25" spans="2:56" x14ac:dyDescent="0.25">
      <c r="B25" s="223" t="s">
        <v>472</v>
      </c>
      <c r="C25" s="225">
        <f>IF($D$3="HIS",SectorFlows_input!B22,INDEX(SectorFlows_input!$B$57:$Z$81,MATCH(SectorFlows!$B25,SectorFlows_input!$A$57:$A$81,0),MATCH(SectorFlows!C$5,SectorFlows_input!$B$56:$Z$56,0)))</f>
        <v>14193</v>
      </c>
      <c r="D25" s="225">
        <f>IF($D$3="HIS",SectorFlows_input!C22,INDEX(SectorFlows_input!$B$57:$Z$81,MATCH(SectorFlows!$B25,SectorFlows_input!$A$57:$A$81,0),MATCH(SectorFlows!D$5,SectorFlows_input!$B$56:$Z$56,0)))</f>
        <v>7915</v>
      </c>
      <c r="E25" s="225">
        <f>IF($D$3="HIS",SectorFlows_input!D22,INDEX(SectorFlows_input!$B$57:$Z$81,MATCH(SectorFlows!$B25,SectorFlows_input!$A$57:$A$81,0),MATCH(SectorFlows!E$5,SectorFlows_input!$B$56:$Z$56,0)))</f>
        <v>10499</v>
      </c>
      <c r="F25" s="225">
        <f>IF($D$3="HIS",SectorFlows_input!E22,INDEX(SectorFlows_input!$B$57:$Z$81,MATCH(SectorFlows!$B25,SectorFlows_input!$A$57:$A$81,0),MATCH(SectorFlows!F$5,SectorFlows_input!$B$56:$Z$56,0)))</f>
        <v>1451</v>
      </c>
      <c r="G25" s="225">
        <f>IF($D$3="HIS",SectorFlows_input!F22,INDEX(SectorFlows_input!$B$57:$Z$81,MATCH(SectorFlows!$B25,SectorFlows_input!$A$57:$A$81,0),MATCH(SectorFlows!G$5,SectorFlows_input!$B$56:$Z$56,0)))</f>
        <v>1776</v>
      </c>
      <c r="H25" s="225">
        <f>IF($D$3="HIS",SectorFlows_input!G22,INDEX(SectorFlows_input!$B$57:$Z$81,MATCH(SectorFlows!$B25,SectorFlows_input!$A$57:$A$81,0),MATCH(SectorFlows!H$5,SectorFlows_input!$B$56:$Z$56,0)))</f>
        <v>591</v>
      </c>
      <c r="I25" s="225">
        <f>IF($D$3="HIS",SectorFlows_input!H22,INDEX(SectorFlows_input!$B$57:$Z$81,MATCH(SectorFlows!$B25,SectorFlows_input!$A$57:$A$81,0),MATCH(SectorFlows!I$5,SectorFlows_input!$B$56:$Z$56,0)))</f>
        <v>1141</v>
      </c>
      <c r="J25" s="225">
        <f>IF($D$3="HIS",SectorFlows_input!I22,INDEX(SectorFlows_input!$B$57:$Z$81,MATCH(SectorFlows!$B25,SectorFlows_input!$A$57:$A$81,0),MATCH(SectorFlows!J$5,SectorFlows_input!$B$56:$Z$56,0)))</f>
        <v>962</v>
      </c>
      <c r="K25" s="225">
        <f>IF($D$3="HIS",SectorFlows_input!J22,INDEX(SectorFlows_input!$B$57:$Z$81,MATCH(SectorFlows!$B25,SectorFlows_input!$A$57:$A$81,0),MATCH(SectorFlows!K$5,SectorFlows_input!$B$56:$Z$56,0)))</f>
        <v>12230</v>
      </c>
      <c r="L25" s="225">
        <f>IF($D$3="HIS",SectorFlows_input!K22,INDEX(SectorFlows_input!$B$57:$Z$81,MATCH(SectorFlows!$B25,SectorFlows_input!$A$57:$A$81,0),MATCH(SectorFlows!L$5,SectorFlows_input!$B$56:$Z$56,0)))</f>
        <v>32066</v>
      </c>
      <c r="M25" s="225">
        <f>IF($D$3="HIS",SectorFlows_input!L22,INDEX(SectorFlows_input!$B$57:$Z$81,MATCH(SectorFlows!$B25,SectorFlows_input!$A$57:$A$81,0),MATCH(SectorFlows!M$5,SectorFlows_input!$B$56:$Z$56,0)))</f>
        <v>12142</v>
      </c>
      <c r="N25" s="225">
        <f>IF($D$3="HIS",SectorFlows_input!M22,INDEX(SectorFlows_input!$B$57:$Z$81,MATCH(SectorFlows!$B25,SectorFlows_input!$A$57:$A$81,0),MATCH(SectorFlows!N$5,SectorFlows_input!$B$56:$Z$56,0)))</f>
        <v>3932</v>
      </c>
      <c r="O25" s="225">
        <f>IF($D$3="HIS",SectorFlows_input!N22,INDEX(SectorFlows_input!$B$57:$Z$81,MATCH(SectorFlows!$B25,SectorFlows_input!$A$57:$A$81,0),MATCH(SectorFlows!O$5,SectorFlows_input!$B$56:$Z$56,0)))</f>
        <v>3712</v>
      </c>
      <c r="P25" s="225">
        <f>IF($D$3="HIS",SectorFlows_input!O22,INDEX(SectorFlows_input!$B$57:$Z$81,MATCH(SectorFlows!$B25,SectorFlows_input!$A$57:$A$81,0),MATCH(SectorFlows!P$5,SectorFlows_input!$B$56:$Z$56,0)))</f>
        <v>879</v>
      </c>
      <c r="Q25" s="225">
        <f>IF($D$3="HIS",SectorFlows_input!P22,INDEX(SectorFlows_input!$B$57:$Z$81,MATCH(SectorFlows!$B25,SectorFlows_input!$A$57:$A$81,0),MATCH(SectorFlows!Q$5,SectorFlows_input!$B$56:$Z$56,0)))</f>
        <v>441</v>
      </c>
      <c r="R25" s="225">
        <f>IF($D$3="HIS",SectorFlows_input!Q22,INDEX(SectorFlows_input!$B$57:$Z$81,MATCH(SectorFlows!$B25,SectorFlows_input!$A$57:$A$81,0),MATCH(SectorFlows!R$5,SectorFlows_input!$B$56:$Z$56,0)))</f>
        <v>4085</v>
      </c>
      <c r="S25" s="225">
        <f>IF($D$3="HIS",SectorFlows_input!R22,INDEX(SectorFlows_input!$B$57:$Z$81,MATCH(SectorFlows!$B25,SectorFlows_input!$A$57:$A$81,0),MATCH(SectorFlows!S$5,SectorFlows_input!$B$56:$Z$56,0)))</f>
        <v>1779</v>
      </c>
      <c r="T25" s="225">
        <f>IF($D$3="HIS",SectorFlows_input!S22,INDEX(SectorFlows_input!$B$57:$Z$81,MATCH(SectorFlows!$B25,SectorFlows_input!$A$57:$A$81,0),MATCH(SectorFlows!T$5,SectorFlows_input!$B$56:$Z$56,0)))</f>
        <v>130</v>
      </c>
      <c r="U25" s="225">
        <f>IF($D$3="HIS",SectorFlows_input!T22,INDEX(SectorFlows_input!$B$57:$Z$81,MATCH(SectorFlows!$B25,SectorFlows_input!$A$57:$A$81,0),MATCH(SectorFlows!U$5,SectorFlows_input!$B$56:$Z$56,0)))</f>
        <v>35</v>
      </c>
      <c r="V25" s="224">
        <f>IF($D$3="HIS",SectorFlows_input!U22,INDEX(SectorFlows_input!$B$57:$Z$81,MATCH(SectorFlows!$B25,SectorFlows_input!$A$57:$A$81,0),MATCH(SectorFlows!V$5,SectorFlows_input!$B$56:$Z$56,0)))</f>
        <v>200728</v>
      </c>
      <c r="W25" s="225">
        <f>IF($D$3="HIS",SectorFlows_input!V22,INDEX(SectorFlows_input!$B$57:$Z$81,MATCH(SectorFlows!$B25,SectorFlows_input!$A$57:$A$81,0),MATCH(SectorFlows!W$5,SectorFlows_input!$B$56:$Z$56,0)))</f>
        <v>29703</v>
      </c>
      <c r="X25" s="225">
        <f>IF($D$3="HIS",SectorFlows_input!W22,INDEX(SectorFlows_input!$B$57:$Z$81,MATCH(SectorFlows!$B25,SectorFlows_input!$A$57:$A$81,0),MATCH(SectorFlows!X$5,SectorFlows_input!$B$56:$Z$56,0)))</f>
        <v>9270</v>
      </c>
      <c r="Y25" s="225">
        <f>IF($D$3="HIS",SectorFlows_input!X22,INDEX(SectorFlows_input!$B$57:$Z$81,MATCH(SectorFlows!$B25,SectorFlows_input!$A$57:$A$81,0),MATCH(SectorFlows!Y$5,SectorFlows_input!$B$56:$Z$56,0)))</f>
        <v>1539</v>
      </c>
      <c r="Z25" s="225">
        <f>IF($D$3="HIS",SectorFlows_input!Y22,INDEX(SectorFlows_input!$B$57:$Z$81,MATCH(SectorFlows!$B25,SectorFlows_input!$A$57:$A$81,0),MATCH(SectorFlows!Z$5,SectorFlows_input!$B$56:$Z$56,0)))</f>
        <v>567</v>
      </c>
      <c r="AA25" s="225">
        <f>IF($D$3="HIS",SectorFlows_input!Z22,INDEX(SectorFlows_input!$B$57:$Z$81,MATCH(SectorFlows!$B25,SectorFlows_input!$A$57:$A$81,0),MATCH(SectorFlows!AA$5,SectorFlows_input!$B$56:$Z$56,0)))</f>
        <v>271</v>
      </c>
      <c r="AB25" s="226">
        <f t="shared" si="1"/>
        <v>352037</v>
      </c>
      <c r="AD25" s="223" t="s">
        <v>472</v>
      </c>
      <c r="AE25" s="234">
        <f t="shared" si="2"/>
        <v>4.031678488340714E-2</v>
      </c>
      <c r="AF25" s="234">
        <f t="shared" si="3"/>
        <v>2.2483432139235364E-2</v>
      </c>
      <c r="AG25" s="234">
        <f t="shared" si="4"/>
        <v>2.9823569681595968E-2</v>
      </c>
      <c r="AH25" s="234">
        <f t="shared" si="5"/>
        <v>4.1217258413178163E-3</v>
      </c>
      <c r="AI25" s="234">
        <f t="shared" si="6"/>
        <v>5.0449242551209106E-3</v>
      </c>
      <c r="AJ25" s="234">
        <f t="shared" si="7"/>
        <v>1.6788008078696274E-3</v>
      </c>
      <c r="AK25" s="234">
        <f t="shared" si="8"/>
        <v>3.2411365850748644E-3</v>
      </c>
      <c r="AL25" s="234">
        <f t="shared" si="9"/>
        <v>2.7326673048571597E-3</v>
      </c>
      <c r="AM25" s="234">
        <f t="shared" si="10"/>
        <v>3.4740666464036452E-2</v>
      </c>
      <c r="AN25" s="234">
        <f t="shared" si="11"/>
        <v>9.1087016421569328E-2</v>
      </c>
      <c r="AO25" s="234">
        <f t="shared" si="12"/>
        <v>3.4490692739683609E-2</v>
      </c>
      <c r="AP25" s="234">
        <f t="shared" si="13"/>
        <v>1.116928050176544E-2</v>
      </c>
      <c r="AQ25" s="234">
        <f t="shared" si="14"/>
        <v>1.0544346190883345E-2</v>
      </c>
      <c r="AR25" s="234">
        <f t="shared" si="15"/>
        <v>2.4968966330243697E-3</v>
      </c>
      <c r="AS25" s="234">
        <f t="shared" si="16"/>
        <v>1.2527092322681991E-3</v>
      </c>
      <c r="AT25" s="234">
        <f t="shared" si="17"/>
        <v>1.1603893908878896E-2</v>
      </c>
      <c r="AU25" s="234">
        <f t="shared" si="18"/>
        <v>5.0534460866329392E-3</v>
      </c>
      <c r="AV25" s="234">
        <f t="shared" si="19"/>
        <v>3.6927936552123782E-4</v>
      </c>
      <c r="AW25" s="234">
        <f t="shared" si="20"/>
        <v>9.9421367640333265E-5</v>
      </c>
      <c r="AX25" s="233">
        <f t="shared" si="21"/>
        <v>0.57019006524882332</v>
      </c>
      <c r="AY25" s="234">
        <f t="shared" si="22"/>
        <v>8.437465380059482E-2</v>
      </c>
      <c r="AZ25" s="234">
        <f t="shared" si="23"/>
        <v>2.6332459372168267E-2</v>
      </c>
      <c r="BA25" s="234">
        <f t="shared" si="24"/>
        <v>4.3716995656706541E-3</v>
      </c>
      <c r="BB25" s="234">
        <f t="shared" si="25"/>
        <v>1.6106261557733987E-3</v>
      </c>
      <c r="BC25" s="234">
        <f t="shared" si="26"/>
        <v>7.6980544658658036E-4</v>
      </c>
      <c r="BD25" s="237">
        <f t="shared" si="27"/>
        <v>1.0000000000000002</v>
      </c>
    </row>
    <row r="26" spans="2:56" x14ac:dyDescent="0.25">
      <c r="B26" s="223" t="s">
        <v>473</v>
      </c>
      <c r="C26" s="225">
        <f>IF($D$3="HIS",SectorFlows_input!B23,INDEX(SectorFlows_input!$B$57:$Z$81,MATCH(SectorFlows!$B26,SectorFlows_input!$A$57:$A$81,0),MATCH(SectorFlows!C$5,SectorFlows_input!$B$56:$Z$56,0)))</f>
        <v>6673</v>
      </c>
      <c r="D26" s="225">
        <f>IF($D$3="HIS",SectorFlows_input!C23,INDEX(SectorFlows_input!$B$57:$Z$81,MATCH(SectorFlows!$B26,SectorFlows_input!$A$57:$A$81,0),MATCH(SectorFlows!D$5,SectorFlows_input!$B$56:$Z$56,0)))</f>
        <v>3424</v>
      </c>
      <c r="E26" s="225">
        <f>IF($D$3="HIS",SectorFlows_input!D23,INDEX(SectorFlows_input!$B$57:$Z$81,MATCH(SectorFlows!$B26,SectorFlows_input!$A$57:$A$81,0),MATCH(SectorFlows!E$5,SectorFlows_input!$B$56:$Z$56,0)))</f>
        <v>2177</v>
      </c>
      <c r="F26" s="225">
        <f>IF($D$3="HIS",SectorFlows_input!E23,INDEX(SectorFlows_input!$B$57:$Z$81,MATCH(SectorFlows!$B26,SectorFlows_input!$A$57:$A$81,0),MATCH(SectorFlows!F$5,SectorFlows_input!$B$56:$Z$56,0)))</f>
        <v>258</v>
      </c>
      <c r="G26" s="225">
        <f>IF($D$3="HIS",SectorFlows_input!F23,INDEX(SectorFlows_input!$B$57:$Z$81,MATCH(SectorFlows!$B26,SectorFlows_input!$A$57:$A$81,0),MATCH(SectorFlows!G$5,SectorFlows_input!$B$56:$Z$56,0)))</f>
        <v>415</v>
      </c>
      <c r="H26" s="225">
        <f>IF($D$3="HIS",SectorFlows_input!G23,INDEX(SectorFlows_input!$B$57:$Z$81,MATCH(SectorFlows!$B26,SectorFlows_input!$A$57:$A$81,0),MATCH(SectorFlows!H$5,SectorFlows_input!$B$56:$Z$56,0)))</f>
        <v>200</v>
      </c>
      <c r="I26" s="225">
        <f>IF($D$3="HIS",SectorFlows_input!H23,INDEX(SectorFlows_input!$B$57:$Z$81,MATCH(SectorFlows!$B26,SectorFlows_input!$A$57:$A$81,0),MATCH(SectorFlows!I$5,SectorFlows_input!$B$56:$Z$56,0)))</f>
        <v>174</v>
      </c>
      <c r="J26" s="225">
        <f>IF($D$3="HIS",SectorFlows_input!I23,INDEX(SectorFlows_input!$B$57:$Z$81,MATCH(SectorFlows!$B26,SectorFlows_input!$A$57:$A$81,0),MATCH(SectorFlows!J$5,SectorFlows_input!$B$56:$Z$56,0)))</f>
        <v>506</v>
      </c>
      <c r="K26" s="225">
        <f>IF($D$3="HIS",SectorFlows_input!J23,INDEX(SectorFlows_input!$B$57:$Z$81,MATCH(SectorFlows!$B26,SectorFlows_input!$A$57:$A$81,0),MATCH(SectorFlows!K$5,SectorFlows_input!$B$56:$Z$56,0)))</f>
        <v>5249</v>
      </c>
      <c r="L26" s="225">
        <f>IF($D$3="HIS",SectorFlows_input!K23,INDEX(SectorFlows_input!$B$57:$Z$81,MATCH(SectorFlows!$B26,SectorFlows_input!$A$57:$A$81,0),MATCH(SectorFlows!L$5,SectorFlows_input!$B$56:$Z$56,0)))</f>
        <v>2320</v>
      </c>
      <c r="M26" s="225">
        <f>IF($D$3="HIS",SectorFlows_input!L23,INDEX(SectorFlows_input!$B$57:$Z$81,MATCH(SectorFlows!$B26,SectorFlows_input!$A$57:$A$81,0),MATCH(SectorFlows!M$5,SectorFlows_input!$B$56:$Z$56,0)))</f>
        <v>769</v>
      </c>
      <c r="N26" s="225">
        <f>IF($D$3="HIS",SectorFlows_input!M23,INDEX(SectorFlows_input!$B$57:$Z$81,MATCH(SectorFlows!$B26,SectorFlows_input!$A$57:$A$81,0),MATCH(SectorFlows!N$5,SectorFlows_input!$B$56:$Z$56,0)))</f>
        <v>283</v>
      </c>
      <c r="O26" s="225">
        <f>IF($D$3="HIS",SectorFlows_input!N23,INDEX(SectorFlows_input!$B$57:$Z$81,MATCH(SectorFlows!$B26,SectorFlows_input!$A$57:$A$81,0),MATCH(SectorFlows!O$5,SectorFlows_input!$B$56:$Z$56,0)))</f>
        <v>561</v>
      </c>
      <c r="P26" s="225">
        <f>IF($D$3="HIS",SectorFlows_input!O23,INDEX(SectorFlows_input!$B$57:$Z$81,MATCH(SectorFlows!$B26,SectorFlows_input!$A$57:$A$81,0),MATCH(SectorFlows!P$5,SectorFlows_input!$B$56:$Z$56,0)))</f>
        <v>198</v>
      </c>
      <c r="Q26" s="225">
        <f>IF($D$3="HIS",SectorFlows_input!P23,INDEX(SectorFlows_input!$B$57:$Z$81,MATCH(SectorFlows!$B26,SectorFlows_input!$A$57:$A$81,0),MATCH(SectorFlows!Q$5,SectorFlows_input!$B$56:$Z$56,0)))</f>
        <v>60</v>
      </c>
      <c r="R26" s="225">
        <f>IF($D$3="HIS",SectorFlows_input!Q23,INDEX(SectorFlows_input!$B$57:$Z$81,MATCH(SectorFlows!$B26,SectorFlows_input!$A$57:$A$81,0),MATCH(SectorFlows!R$5,SectorFlows_input!$B$56:$Z$56,0)))</f>
        <v>2576</v>
      </c>
      <c r="S26" s="225">
        <f>IF($D$3="HIS",SectorFlows_input!R23,INDEX(SectorFlows_input!$B$57:$Z$81,MATCH(SectorFlows!$B26,SectorFlows_input!$A$57:$A$81,0),MATCH(SectorFlows!S$5,SectorFlows_input!$B$56:$Z$56,0)))</f>
        <v>80</v>
      </c>
      <c r="T26" s="225">
        <f>IF($D$3="HIS",SectorFlows_input!S23,INDEX(SectorFlows_input!$B$57:$Z$81,MATCH(SectorFlows!$B26,SectorFlows_input!$A$57:$A$81,0),MATCH(SectorFlows!T$5,SectorFlows_input!$B$56:$Z$56,0)))</f>
        <v>10</v>
      </c>
      <c r="U26" s="225">
        <f>IF($D$3="HIS",SectorFlows_input!T23,INDEX(SectorFlows_input!$B$57:$Z$81,MATCH(SectorFlows!$B26,SectorFlows_input!$A$57:$A$81,0),MATCH(SectorFlows!U$5,SectorFlows_input!$B$56:$Z$56,0)))</f>
        <v>0</v>
      </c>
      <c r="V26" s="225">
        <f>IF($D$3="HIS",SectorFlows_input!U23,INDEX(SectorFlows_input!$B$57:$Z$81,MATCH(SectorFlows!$B26,SectorFlows_input!$A$57:$A$81,0),MATCH(SectorFlows!V$5,SectorFlows_input!$B$56:$Z$56,0)))</f>
        <v>28506</v>
      </c>
      <c r="W26" s="224">
        <f>IF($D$3="HIS",SectorFlows_input!V23,INDEX(SectorFlows_input!$B$57:$Z$81,MATCH(SectorFlows!$B26,SectorFlows_input!$A$57:$A$81,0),MATCH(SectorFlows!W$5,SectorFlows_input!$B$56:$Z$56,0)))</f>
        <v>47244</v>
      </c>
      <c r="X26" s="225">
        <f>IF($D$3="HIS",SectorFlows_input!W23,INDEX(SectorFlows_input!$B$57:$Z$81,MATCH(SectorFlows!$B26,SectorFlows_input!$A$57:$A$81,0),MATCH(SectorFlows!X$5,SectorFlows_input!$B$56:$Z$56,0)))</f>
        <v>95</v>
      </c>
      <c r="Y26" s="225">
        <f>IF($D$3="HIS",SectorFlows_input!X23,INDEX(SectorFlows_input!$B$57:$Z$81,MATCH(SectorFlows!$B26,SectorFlows_input!$A$57:$A$81,0),MATCH(SectorFlows!Y$5,SectorFlows_input!$B$56:$Z$56,0)))</f>
        <v>10</v>
      </c>
      <c r="Z26" s="225">
        <f>IF($D$3="HIS",SectorFlows_input!Y23,INDEX(SectorFlows_input!$B$57:$Z$81,MATCH(SectorFlows!$B26,SectorFlows_input!$A$57:$A$81,0),MATCH(SectorFlows!Z$5,SectorFlows_input!$B$56:$Z$56,0)))</f>
        <v>34</v>
      </c>
      <c r="AA26" s="225">
        <f>IF($D$3="HIS",SectorFlows_input!Z23,INDEX(SectorFlows_input!$B$57:$Z$81,MATCH(SectorFlows!$B26,SectorFlows_input!$A$57:$A$81,0),MATCH(SectorFlows!AA$5,SectorFlows_input!$B$56:$Z$56,0)))</f>
        <v>119</v>
      </c>
      <c r="AB26" s="226">
        <f t="shared" si="1"/>
        <v>101941</v>
      </c>
      <c r="AD26" s="223" t="s">
        <v>473</v>
      </c>
      <c r="AE26" s="234">
        <f t="shared" si="2"/>
        <v>6.54594324167901E-2</v>
      </c>
      <c r="AF26" s="234">
        <f t="shared" si="3"/>
        <v>3.3588055836218988E-2</v>
      </c>
      <c r="AG26" s="234">
        <f t="shared" si="4"/>
        <v>2.1355489940259563E-2</v>
      </c>
      <c r="AH26" s="234">
        <f t="shared" si="5"/>
        <v>2.5308757026122953E-3</v>
      </c>
      <c r="AI26" s="234">
        <f t="shared" si="6"/>
        <v>4.0709822348221026E-3</v>
      </c>
      <c r="AJ26" s="234">
        <f t="shared" si="7"/>
        <v>1.9619191493118571E-3</v>
      </c>
      <c r="AK26" s="234">
        <f t="shared" si="8"/>
        <v>1.7068696599013154E-3</v>
      </c>
      <c r="AL26" s="234">
        <f t="shared" si="9"/>
        <v>4.9636554477589983E-3</v>
      </c>
      <c r="AM26" s="234">
        <f t="shared" si="10"/>
        <v>5.149056807368968E-2</v>
      </c>
      <c r="AN26" s="234">
        <f t="shared" si="11"/>
        <v>2.2758262132017541E-2</v>
      </c>
      <c r="AO26" s="234">
        <f t="shared" si="12"/>
        <v>7.5435791291040893E-3</v>
      </c>
      <c r="AP26" s="234">
        <f t="shared" si="13"/>
        <v>2.7761155962762775E-3</v>
      </c>
      <c r="AQ26" s="234">
        <f t="shared" si="14"/>
        <v>5.5031832138197588E-3</v>
      </c>
      <c r="AR26" s="234">
        <f t="shared" si="15"/>
        <v>1.9422999578187384E-3</v>
      </c>
      <c r="AS26" s="234">
        <f t="shared" si="16"/>
        <v>5.8857574479355705E-4</v>
      </c>
      <c r="AT26" s="234">
        <f t="shared" si="17"/>
        <v>2.5269518643136715E-2</v>
      </c>
      <c r="AU26" s="234">
        <f t="shared" si="18"/>
        <v>7.8476765972474273E-4</v>
      </c>
      <c r="AV26" s="234">
        <f t="shared" si="19"/>
        <v>9.8095957465592842E-5</v>
      </c>
      <c r="AW26" s="234">
        <f t="shared" si="20"/>
        <v>0</v>
      </c>
      <c r="AX26" s="234">
        <f t="shared" si="21"/>
        <v>0.27963233635141893</v>
      </c>
      <c r="AY26" s="233">
        <f t="shared" si="22"/>
        <v>0.46344454145044683</v>
      </c>
      <c r="AZ26" s="234">
        <f t="shared" si="23"/>
        <v>9.3191159592313202E-4</v>
      </c>
      <c r="BA26" s="234">
        <f t="shared" si="24"/>
        <v>9.8095957465592842E-5</v>
      </c>
      <c r="BB26" s="234">
        <f t="shared" si="25"/>
        <v>3.3352625538301568E-4</v>
      </c>
      <c r="BC26" s="234">
        <f t="shared" si="26"/>
        <v>1.1673418938405549E-3</v>
      </c>
      <c r="BD26" s="237">
        <f t="shared" si="27"/>
        <v>0.99999999999999989</v>
      </c>
    </row>
    <row r="27" spans="2:56" x14ac:dyDescent="0.25">
      <c r="B27" s="223" t="s">
        <v>474</v>
      </c>
      <c r="C27" s="225">
        <f>IF($D$3="HIS",SectorFlows_input!B24,INDEX(SectorFlows_input!$B$57:$Z$81,MATCH(SectorFlows!$B27,SectorFlows_input!$A$57:$A$81,0),MATCH(SectorFlows!C$5,SectorFlows_input!$B$56:$Z$56,0)))</f>
        <v>2681</v>
      </c>
      <c r="D27" s="225">
        <f>IF($D$3="HIS",SectorFlows_input!C24,INDEX(SectorFlows_input!$B$57:$Z$81,MATCH(SectorFlows!$B27,SectorFlows_input!$A$57:$A$81,0),MATCH(SectorFlows!D$5,SectorFlows_input!$B$56:$Z$56,0)))</f>
        <v>1430</v>
      </c>
      <c r="E27" s="225">
        <f>IF($D$3="HIS",SectorFlows_input!D24,INDEX(SectorFlows_input!$B$57:$Z$81,MATCH(SectorFlows!$B27,SectorFlows_input!$A$57:$A$81,0),MATCH(SectorFlows!E$5,SectorFlows_input!$B$56:$Z$56,0)))</f>
        <v>2508</v>
      </c>
      <c r="F27" s="225">
        <f>IF($D$3="HIS",SectorFlows_input!E24,INDEX(SectorFlows_input!$B$57:$Z$81,MATCH(SectorFlows!$B27,SectorFlows_input!$A$57:$A$81,0),MATCH(SectorFlows!F$5,SectorFlows_input!$B$56:$Z$56,0)))</f>
        <v>383</v>
      </c>
      <c r="G27" s="225">
        <f>IF($D$3="HIS",SectorFlows_input!F24,INDEX(SectorFlows_input!$B$57:$Z$81,MATCH(SectorFlows!$B27,SectorFlows_input!$A$57:$A$81,0),MATCH(SectorFlows!G$5,SectorFlows_input!$B$56:$Z$56,0)))</f>
        <v>1056</v>
      </c>
      <c r="H27" s="225">
        <f>IF($D$3="HIS",SectorFlows_input!G24,INDEX(SectorFlows_input!$B$57:$Z$81,MATCH(SectorFlows!$B27,SectorFlows_input!$A$57:$A$81,0),MATCH(SectorFlows!H$5,SectorFlows_input!$B$56:$Z$56,0)))</f>
        <v>200</v>
      </c>
      <c r="I27" s="225">
        <f>IF($D$3="HIS",SectorFlows_input!H24,INDEX(SectorFlows_input!$B$57:$Z$81,MATCH(SectorFlows!$B27,SectorFlows_input!$A$57:$A$81,0),MATCH(SectorFlows!I$5,SectorFlows_input!$B$56:$Z$56,0)))</f>
        <v>317</v>
      </c>
      <c r="J27" s="225">
        <f>IF($D$3="HIS",SectorFlows_input!I24,INDEX(SectorFlows_input!$B$57:$Z$81,MATCH(SectorFlows!$B27,SectorFlows_input!$A$57:$A$81,0),MATCH(SectorFlows!J$5,SectorFlows_input!$B$56:$Z$56,0)))</f>
        <v>207</v>
      </c>
      <c r="K27" s="225">
        <f>IF($D$3="HIS",SectorFlows_input!J24,INDEX(SectorFlows_input!$B$57:$Z$81,MATCH(SectorFlows!$B27,SectorFlows_input!$A$57:$A$81,0),MATCH(SectorFlows!K$5,SectorFlows_input!$B$56:$Z$56,0)))</f>
        <v>621</v>
      </c>
      <c r="L27" s="225">
        <f>IF($D$3="HIS",SectorFlows_input!K24,INDEX(SectorFlows_input!$B$57:$Z$81,MATCH(SectorFlows!$B27,SectorFlows_input!$A$57:$A$81,0),MATCH(SectorFlows!L$5,SectorFlows_input!$B$56:$Z$56,0)))</f>
        <v>9666</v>
      </c>
      <c r="M27" s="225">
        <f>IF($D$3="HIS",SectorFlows_input!L24,INDEX(SectorFlows_input!$B$57:$Z$81,MATCH(SectorFlows!$B27,SectorFlows_input!$A$57:$A$81,0),MATCH(SectorFlows!M$5,SectorFlows_input!$B$56:$Z$56,0)))</f>
        <v>11080</v>
      </c>
      <c r="N27" s="225">
        <f>IF($D$3="HIS",SectorFlows_input!M24,INDEX(SectorFlows_input!$B$57:$Z$81,MATCH(SectorFlows!$B27,SectorFlows_input!$A$57:$A$81,0),MATCH(SectorFlows!N$5,SectorFlows_input!$B$56:$Z$56,0)))</f>
        <v>3738</v>
      </c>
      <c r="O27" s="225">
        <f>IF($D$3="HIS",SectorFlows_input!N24,INDEX(SectorFlows_input!$B$57:$Z$81,MATCH(SectorFlows!$B27,SectorFlows_input!$A$57:$A$81,0),MATCH(SectorFlows!O$5,SectorFlows_input!$B$56:$Z$56,0)))</f>
        <v>2335</v>
      </c>
      <c r="P27" s="225">
        <f>IF($D$3="HIS",SectorFlows_input!O24,INDEX(SectorFlows_input!$B$57:$Z$81,MATCH(SectorFlows!$B27,SectorFlows_input!$A$57:$A$81,0),MATCH(SectorFlows!P$5,SectorFlows_input!$B$56:$Z$56,0)))</f>
        <v>424</v>
      </c>
      <c r="Q27" s="225">
        <f>IF($D$3="HIS",SectorFlows_input!P24,INDEX(SectorFlows_input!$B$57:$Z$81,MATCH(SectorFlows!$B27,SectorFlows_input!$A$57:$A$81,0),MATCH(SectorFlows!Q$5,SectorFlows_input!$B$56:$Z$56,0)))</f>
        <v>84</v>
      </c>
      <c r="R27" s="225">
        <f>IF($D$3="HIS",SectorFlows_input!Q24,INDEX(SectorFlows_input!$B$57:$Z$81,MATCH(SectorFlows!$B27,SectorFlows_input!$A$57:$A$81,0),MATCH(SectorFlows!R$5,SectorFlows_input!$B$56:$Z$56,0)))</f>
        <v>60</v>
      </c>
      <c r="S27" s="225">
        <f>IF($D$3="HIS",SectorFlows_input!R24,INDEX(SectorFlows_input!$B$57:$Z$81,MATCH(SectorFlows!$B27,SectorFlows_input!$A$57:$A$81,0),MATCH(SectorFlows!S$5,SectorFlows_input!$B$56:$Z$56,0)))</f>
        <v>884</v>
      </c>
      <c r="T27" s="225">
        <f>IF($D$3="HIS",SectorFlows_input!S24,INDEX(SectorFlows_input!$B$57:$Z$81,MATCH(SectorFlows!$B27,SectorFlows_input!$A$57:$A$81,0),MATCH(SectorFlows!T$5,SectorFlows_input!$B$56:$Z$56,0)))</f>
        <v>10</v>
      </c>
      <c r="U27" s="225">
        <f>IF($D$3="HIS",SectorFlows_input!T24,INDEX(SectorFlows_input!$B$57:$Z$81,MATCH(SectorFlows!$B27,SectorFlows_input!$A$57:$A$81,0),MATCH(SectorFlows!U$5,SectorFlows_input!$B$56:$Z$56,0)))</f>
        <v>0</v>
      </c>
      <c r="V27" s="225">
        <f>IF($D$3="HIS",SectorFlows_input!U24,INDEX(SectorFlows_input!$B$57:$Z$81,MATCH(SectorFlows!$B27,SectorFlows_input!$A$57:$A$81,0),MATCH(SectorFlows!V$5,SectorFlows_input!$B$56:$Z$56,0)))</f>
        <v>8376</v>
      </c>
      <c r="W27" s="225">
        <f>IF($D$3="HIS",SectorFlows_input!V24,INDEX(SectorFlows_input!$B$57:$Z$81,MATCH(SectorFlows!$B27,SectorFlows_input!$A$57:$A$81,0),MATCH(SectorFlows!W$5,SectorFlows_input!$B$56:$Z$56,0)))</f>
        <v>325</v>
      </c>
      <c r="X27" s="224">
        <f>IF($D$3="HIS",SectorFlows_input!W24,INDEX(SectorFlows_input!$B$57:$Z$81,MATCH(SectorFlows!$B27,SectorFlows_input!$A$57:$A$81,0),MATCH(SectorFlows!X$5,SectorFlows_input!$B$56:$Z$56,0)))</f>
        <v>33466</v>
      </c>
      <c r="Y27" s="225">
        <f>IF($D$3="HIS",SectorFlows_input!X24,INDEX(SectorFlows_input!$B$57:$Z$81,MATCH(SectorFlows!$B27,SectorFlows_input!$A$57:$A$81,0),MATCH(SectorFlows!Y$5,SectorFlows_input!$B$56:$Z$56,0)))</f>
        <v>6134</v>
      </c>
      <c r="Z27" s="225">
        <f>IF($D$3="HIS",SectorFlows_input!Y24,INDEX(SectorFlows_input!$B$57:$Z$81,MATCH(SectorFlows!$B27,SectorFlows_input!$A$57:$A$81,0),MATCH(SectorFlows!Z$5,SectorFlows_input!$B$56:$Z$56,0)))</f>
        <v>2382</v>
      </c>
      <c r="AA27" s="225">
        <f>IF($D$3="HIS",SectorFlows_input!Z24,INDEX(SectorFlows_input!$B$57:$Z$81,MATCH(SectorFlows!$B27,SectorFlows_input!$A$57:$A$81,0),MATCH(SectorFlows!AA$5,SectorFlows_input!$B$56:$Z$56,0)))</f>
        <v>155</v>
      </c>
      <c r="AB27" s="226">
        <f t="shared" si="1"/>
        <v>88522</v>
      </c>
      <c r="AD27" s="223" t="s">
        <v>474</v>
      </c>
      <c r="AE27" s="234">
        <f t="shared" si="2"/>
        <v>3.0286256523801992E-2</v>
      </c>
      <c r="AF27" s="234">
        <f t="shared" si="3"/>
        <v>1.6154176362938026E-2</v>
      </c>
      <c r="AG27" s="234">
        <f t="shared" si="4"/>
        <v>2.8331940082691309E-2</v>
      </c>
      <c r="AH27" s="234">
        <f t="shared" si="5"/>
        <v>4.3266080748288558E-3</v>
      </c>
      <c r="AI27" s="234">
        <f t="shared" si="6"/>
        <v>1.1929237929554234E-2</v>
      </c>
      <c r="AJ27" s="234">
        <f t="shared" si="7"/>
        <v>2.2593253654458779E-3</v>
      </c>
      <c r="AK27" s="234">
        <f t="shared" si="8"/>
        <v>3.5810307042317166E-3</v>
      </c>
      <c r="AL27" s="234">
        <f t="shared" si="9"/>
        <v>2.3384017532364835E-3</v>
      </c>
      <c r="AM27" s="234">
        <f t="shared" si="10"/>
        <v>7.015205259709451E-3</v>
      </c>
      <c r="AN27" s="234">
        <f t="shared" si="11"/>
        <v>0.10919319491199928</v>
      </c>
      <c r="AO27" s="234">
        <f t="shared" si="12"/>
        <v>0.12516662524570163</v>
      </c>
      <c r="AP27" s="234">
        <f t="shared" si="13"/>
        <v>4.2226791080183457E-2</v>
      </c>
      <c r="AQ27" s="234">
        <f t="shared" si="14"/>
        <v>2.6377623641580625E-2</v>
      </c>
      <c r="AR27" s="234">
        <f t="shared" si="15"/>
        <v>4.7897697747452611E-3</v>
      </c>
      <c r="AS27" s="234">
        <f t="shared" si="16"/>
        <v>9.489166534872687E-4</v>
      </c>
      <c r="AT27" s="234">
        <f t="shared" si="17"/>
        <v>6.7779760963376334E-4</v>
      </c>
      <c r="AU27" s="234">
        <f t="shared" si="18"/>
        <v>9.9862181152707806E-3</v>
      </c>
      <c r="AV27" s="234">
        <f t="shared" si="19"/>
        <v>1.1296626827229389E-4</v>
      </c>
      <c r="AW27" s="234">
        <f t="shared" si="20"/>
        <v>0</v>
      </c>
      <c r="AX27" s="234">
        <f t="shared" si="21"/>
        <v>9.4620546304873362E-2</v>
      </c>
      <c r="AY27" s="234">
        <f t="shared" si="22"/>
        <v>3.6714037188495517E-3</v>
      </c>
      <c r="AZ27" s="233">
        <f t="shared" si="23"/>
        <v>0.37805291340005875</v>
      </c>
      <c r="BA27" s="234">
        <f t="shared" si="24"/>
        <v>6.9293508958225072E-2</v>
      </c>
      <c r="BB27" s="234">
        <f t="shared" si="25"/>
        <v>2.6908565102460404E-2</v>
      </c>
      <c r="BC27" s="234">
        <f t="shared" si="26"/>
        <v>1.7509771582205553E-3</v>
      </c>
      <c r="BD27" s="237">
        <f t="shared" si="27"/>
        <v>1</v>
      </c>
    </row>
    <row r="28" spans="2:56" x14ac:dyDescent="0.25">
      <c r="B28" s="223" t="s">
        <v>475</v>
      </c>
      <c r="C28" s="225">
        <f>IF($D$3="HIS",SectorFlows_input!B25,INDEX(SectorFlows_input!$B$57:$Z$81,MATCH(SectorFlows!$B28,SectorFlows_input!$A$57:$A$81,0),MATCH(SectorFlows!C$5,SectorFlows_input!$B$56:$Z$56,0)))</f>
        <v>2509</v>
      </c>
      <c r="D28" s="225">
        <f>IF($D$3="HIS",SectorFlows_input!C25,INDEX(SectorFlows_input!$B$57:$Z$81,MATCH(SectorFlows!$B28,SectorFlows_input!$A$57:$A$81,0),MATCH(SectorFlows!D$5,SectorFlows_input!$B$56:$Z$56,0)))</f>
        <v>533</v>
      </c>
      <c r="E28" s="225">
        <f>IF($D$3="HIS",SectorFlows_input!D25,INDEX(SectorFlows_input!$B$57:$Z$81,MATCH(SectorFlows!$B28,SectorFlows_input!$A$57:$A$81,0),MATCH(SectorFlows!E$5,SectorFlows_input!$B$56:$Z$56,0)))</f>
        <v>1099</v>
      </c>
      <c r="F28" s="225">
        <f>IF($D$3="HIS",SectorFlows_input!E25,INDEX(SectorFlows_input!$B$57:$Z$81,MATCH(SectorFlows!$B28,SectorFlows_input!$A$57:$A$81,0),MATCH(SectorFlows!F$5,SectorFlows_input!$B$56:$Z$56,0)))</f>
        <v>146</v>
      </c>
      <c r="G28" s="225">
        <f>IF($D$3="HIS",SectorFlows_input!F25,INDEX(SectorFlows_input!$B$57:$Z$81,MATCH(SectorFlows!$B28,SectorFlows_input!$A$57:$A$81,0),MATCH(SectorFlows!G$5,SectorFlows_input!$B$56:$Z$56,0)))</f>
        <v>571</v>
      </c>
      <c r="H28" s="225">
        <f>IF($D$3="HIS",SectorFlows_input!G25,INDEX(SectorFlows_input!$B$57:$Z$81,MATCH(SectorFlows!$B28,SectorFlows_input!$A$57:$A$81,0),MATCH(SectorFlows!H$5,SectorFlows_input!$B$56:$Z$56,0)))</f>
        <v>229</v>
      </c>
      <c r="I28" s="225">
        <f>IF($D$3="HIS",SectorFlows_input!H25,INDEX(SectorFlows_input!$B$57:$Z$81,MATCH(SectorFlows!$B28,SectorFlows_input!$A$57:$A$81,0),MATCH(SectorFlows!I$5,SectorFlows_input!$B$56:$Z$56,0)))</f>
        <v>318</v>
      </c>
      <c r="J28" s="225">
        <f>IF($D$3="HIS",SectorFlows_input!I25,INDEX(SectorFlows_input!$B$57:$Z$81,MATCH(SectorFlows!$B28,SectorFlows_input!$A$57:$A$81,0),MATCH(SectorFlows!J$5,SectorFlows_input!$B$56:$Z$56,0)))</f>
        <v>99</v>
      </c>
      <c r="K28" s="225">
        <f>IF($D$3="HIS",SectorFlows_input!J25,INDEX(SectorFlows_input!$B$57:$Z$81,MATCH(SectorFlows!$B28,SectorFlows_input!$A$57:$A$81,0),MATCH(SectorFlows!K$5,SectorFlows_input!$B$56:$Z$56,0)))</f>
        <v>123</v>
      </c>
      <c r="L28" s="225">
        <f>IF($D$3="HIS",SectorFlows_input!K25,INDEX(SectorFlows_input!$B$57:$Z$81,MATCH(SectorFlows!$B28,SectorFlows_input!$A$57:$A$81,0),MATCH(SectorFlows!L$5,SectorFlows_input!$B$56:$Z$56,0)))</f>
        <v>2303</v>
      </c>
      <c r="M28" s="225">
        <f>IF($D$3="HIS",SectorFlows_input!L25,INDEX(SectorFlows_input!$B$57:$Z$81,MATCH(SectorFlows!$B28,SectorFlows_input!$A$57:$A$81,0),MATCH(SectorFlows!M$5,SectorFlows_input!$B$56:$Z$56,0)))</f>
        <v>3408</v>
      </c>
      <c r="N28" s="225">
        <f>IF($D$3="HIS",SectorFlows_input!M25,INDEX(SectorFlows_input!$B$57:$Z$81,MATCH(SectorFlows!$B28,SectorFlows_input!$A$57:$A$81,0),MATCH(SectorFlows!N$5,SectorFlows_input!$B$56:$Z$56,0)))</f>
        <v>5844</v>
      </c>
      <c r="O28" s="225">
        <f>IF($D$3="HIS",SectorFlows_input!N25,INDEX(SectorFlows_input!$B$57:$Z$81,MATCH(SectorFlows!$B28,SectorFlows_input!$A$57:$A$81,0),MATCH(SectorFlows!O$5,SectorFlows_input!$B$56:$Z$56,0)))</f>
        <v>5211</v>
      </c>
      <c r="P28" s="225">
        <f>IF($D$3="HIS",SectorFlows_input!O25,INDEX(SectorFlows_input!$B$57:$Z$81,MATCH(SectorFlows!$B28,SectorFlows_input!$A$57:$A$81,0),MATCH(SectorFlows!P$5,SectorFlows_input!$B$56:$Z$56,0)))</f>
        <v>189</v>
      </c>
      <c r="Q28" s="225">
        <f>IF($D$3="HIS",SectorFlows_input!P25,INDEX(SectorFlows_input!$B$57:$Z$81,MATCH(SectorFlows!$B28,SectorFlows_input!$A$57:$A$81,0),MATCH(SectorFlows!Q$5,SectorFlows_input!$B$56:$Z$56,0)))</f>
        <v>79</v>
      </c>
      <c r="R28" s="225">
        <f>IF($D$3="HIS",SectorFlows_input!Q25,INDEX(SectorFlows_input!$B$57:$Z$81,MATCH(SectorFlows!$B28,SectorFlows_input!$A$57:$A$81,0),MATCH(SectorFlows!R$5,SectorFlows_input!$B$56:$Z$56,0)))</f>
        <v>0</v>
      </c>
      <c r="S28" s="225">
        <f>IF($D$3="HIS",SectorFlows_input!R25,INDEX(SectorFlows_input!$B$57:$Z$81,MATCH(SectorFlows!$B28,SectorFlows_input!$A$57:$A$81,0),MATCH(SectorFlows!S$5,SectorFlows_input!$B$56:$Z$56,0)))</f>
        <v>1191</v>
      </c>
      <c r="T28" s="225">
        <f>IF($D$3="HIS",SectorFlows_input!S25,INDEX(SectorFlows_input!$B$57:$Z$81,MATCH(SectorFlows!$B28,SectorFlows_input!$A$57:$A$81,0),MATCH(SectorFlows!T$5,SectorFlows_input!$B$56:$Z$56,0)))</f>
        <v>30</v>
      </c>
      <c r="U28" s="225">
        <f>IF($D$3="HIS",SectorFlows_input!T25,INDEX(SectorFlows_input!$B$57:$Z$81,MATCH(SectorFlows!$B28,SectorFlows_input!$A$57:$A$81,0),MATCH(SectorFlows!U$5,SectorFlows_input!$B$56:$Z$56,0)))</f>
        <v>0</v>
      </c>
      <c r="V28" s="225">
        <f>IF($D$3="HIS",SectorFlows_input!U25,INDEX(SectorFlows_input!$B$57:$Z$81,MATCH(SectorFlows!$B28,SectorFlows_input!$A$57:$A$81,0),MATCH(SectorFlows!V$5,SectorFlows_input!$B$56:$Z$56,0)))</f>
        <v>950</v>
      </c>
      <c r="W28" s="225">
        <f>IF($D$3="HIS",SectorFlows_input!V25,INDEX(SectorFlows_input!$B$57:$Z$81,MATCH(SectorFlows!$B28,SectorFlows_input!$A$57:$A$81,0),MATCH(SectorFlows!W$5,SectorFlows_input!$B$56:$Z$56,0)))</f>
        <v>59</v>
      </c>
      <c r="X28" s="225">
        <f>IF($D$3="HIS",SectorFlows_input!W25,INDEX(SectorFlows_input!$B$57:$Z$81,MATCH(SectorFlows!$B28,SectorFlows_input!$A$57:$A$81,0),MATCH(SectorFlows!X$5,SectorFlows_input!$B$56:$Z$56,0)))</f>
        <v>4318</v>
      </c>
      <c r="Y28" s="224">
        <f>IF($D$3="HIS",SectorFlows_input!X25,INDEX(SectorFlows_input!$B$57:$Z$81,MATCH(SectorFlows!$B28,SectorFlows_input!$A$57:$A$81,0),MATCH(SectorFlows!Y$5,SectorFlows_input!$B$56:$Z$56,0)))</f>
        <v>21259</v>
      </c>
      <c r="Z28" s="225">
        <f>IF($D$3="HIS",SectorFlows_input!Y25,INDEX(SectorFlows_input!$B$57:$Z$81,MATCH(SectorFlows!$B28,SectorFlows_input!$A$57:$A$81,0),MATCH(SectorFlows!Z$5,SectorFlows_input!$B$56:$Z$56,0)))</f>
        <v>4567</v>
      </c>
      <c r="AA28" s="225">
        <f>IF($D$3="HIS",SectorFlows_input!Z25,INDEX(SectorFlows_input!$B$57:$Z$81,MATCH(SectorFlows!$B28,SectorFlows_input!$A$57:$A$81,0),MATCH(SectorFlows!AA$5,SectorFlows_input!$B$56:$Z$56,0)))</f>
        <v>262</v>
      </c>
      <c r="AB28" s="226">
        <f t="shared" si="1"/>
        <v>55297</v>
      </c>
      <c r="AD28" s="223" t="s">
        <v>475</v>
      </c>
      <c r="AE28" s="234">
        <f t="shared" si="2"/>
        <v>4.5373166717905131E-2</v>
      </c>
      <c r="AF28" s="234">
        <f t="shared" si="3"/>
        <v>9.6388592509539395E-3</v>
      </c>
      <c r="AG28" s="234">
        <f t="shared" si="4"/>
        <v>1.9874495903936921E-2</v>
      </c>
      <c r="AH28" s="234">
        <f t="shared" si="5"/>
        <v>2.6402878998860696E-3</v>
      </c>
      <c r="AI28" s="234">
        <f t="shared" si="6"/>
        <v>1.0326057471472232E-2</v>
      </c>
      <c r="AJ28" s="234">
        <f t="shared" si="7"/>
        <v>4.1412734868076029E-3</v>
      </c>
      <c r="AK28" s="234">
        <f t="shared" si="8"/>
        <v>5.7507640559162345E-3</v>
      </c>
      <c r="AL28" s="234">
        <f t="shared" si="9"/>
        <v>1.7903322060871295E-3</v>
      </c>
      <c r="AM28" s="234">
        <f t="shared" si="10"/>
        <v>2.2243521348355244E-3</v>
      </c>
      <c r="AN28" s="234">
        <f t="shared" si="11"/>
        <v>4.1647828996148072E-2</v>
      </c>
      <c r="AO28" s="234">
        <f t="shared" si="12"/>
        <v>6.1630829882272094E-2</v>
      </c>
      <c r="AP28" s="234">
        <f t="shared" si="13"/>
        <v>0.10568385265023419</v>
      </c>
      <c r="AQ28" s="234">
        <f t="shared" si="14"/>
        <v>9.4236577029495269E-2</v>
      </c>
      <c r="AR28" s="234">
        <f t="shared" si="15"/>
        <v>3.4179069388936109E-3</v>
      </c>
      <c r="AS28" s="234">
        <f t="shared" si="16"/>
        <v>1.4286489321301337E-3</v>
      </c>
      <c r="AT28" s="234">
        <f t="shared" si="17"/>
        <v>0</v>
      </c>
      <c r="AU28" s="234">
        <f t="shared" si="18"/>
        <v>2.1538238964139103E-2</v>
      </c>
      <c r="AV28" s="234">
        <f t="shared" si="19"/>
        <v>5.4252491093549377E-4</v>
      </c>
      <c r="AW28" s="234">
        <f t="shared" si="20"/>
        <v>0</v>
      </c>
      <c r="AX28" s="234">
        <f t="shared" si="21"/>
        <v>1.7179955512957302E-2</v>
      </c>
      <c r="AY28" s="234">
        <f t="shared" si="22"/>
        <v>1.0669656581731377E-3</v>
      </c>
      <c r="AZ28" s="234">
        <f t="shared" si="23"/>
        <v>7.8087418847315404E-2</v>
      </c>
      <c r="BA28" s="233">
        <f t="shared" si="24"/>
        <v>0.38445123605258874</v>
      </c>
      <c r="BB28" s="234">
        <f t="shared" si="25"/>
        <v>8.2590375608080011E-2</v>
      </c>
      <c r="BC28" s="234">
        <f t="shared" si="26"/>
        <v>4.7380508888366455E-3</v>
      </c>
      <c r="BD28" s="237">
        <f t="shared" si="27"/>
        <v>0.99999999999999989</v>
      </c>
    </row>
    <row r="29" spans="2:56" x14ac:dyDescent="0.25">
      <c r="B29" s="223" t="s">
        <v>476</v>
      </c>
      <c r="C29" s="225">
        <f>IF($D$3="HIS",SectorFlows_input!B26,INDEX(SectorFlows_input!$B$57:$Z$81,MATCH(SectorFlows!$B29,SectorFlows_input!$A$57:$A$81,0),MATCH(SectorFlows!C$5,SectorFlows_input!$B$56:$Z$56,0)))</f>
        <v>4522</v>
      </c>
      <c r="D29" s="225">
        <f>IF($D$3="HIS",SectorFlows_input!C26,INDEX(SectorFlows_input!$B$57:$Z$81,MATCH(SectorFlows!$B29,SectorFlows_input!$A$57:$A$81,0),MATCH(SectorFlows!D$5,SectorFlows_input!$B$56:$Z$56,0)))</f>
        <v>795</v>
      </c>
      <c r="E29" s="225">
        <f>IF($D$3="HIS",SectorFlows_input!D26,INDEX(SectorFlows_input!$B$57:$Z$81,MATCH(SectorFlows!$B29,SectorFlows_input!$A$57:$A$81,0),MATCH(SectorFlows!E$5,SectorFlows_input!$B$56:$Z$56,0)))</f>
        <v>1053</v>
      </c>
      <c r="F29" s="225">
        <f>IF($D$3="HIS",SectorFlows_input!E26,INDEX(SectorFlows_input!$B$57:$Z$81,MATCH(SectorFlows!$B29,SectorFlows_input!$A$57:$A$81,0),MATCH(SectorFlows!F$5,SectorFlows_input!$B$56:$Z$56,0)))</f>
        <v>424</v>
      </c>
      <c r="G29" s="225">
        <f>IF($D$3="HIS",SectorFlows_input!F26,INDEX(SectorFlows_input!$B$57:$Z$81,MATCH(SectorFlows!$B29,SectorFlows_input!$A$57:$A$81,0),MATCH(SectorFlows!G$5,SectorFlows_input!$B$56:$Z$56,0)))</f>
        <v>1211</v>
      </c>
      <c r="H29" s="225">
        <f>IF($D$3="HIS",SectorFlows_input!G26,INDEX(SectorFlows_input!$B$57:$Z$81,MATCH(SectorFlows!$B29,SectorFlows_input!$A$57:$A$81,0),MATCH(SectorFlows!H$5,SectorFlows_input!$B$56:$Z$56,0)))</f>
        <v>965</v>
      </c>
      <c r="I29" s="225">
        <f>IF($D$3="HIS",SectorFlows_input!H26,INDEX(SectorFlows_input!$B$57:$Z$81,MATCH(SectorFlows!$B29,SectorFlows_input!$A$57:$A$81,0),MATCH(SectorFlows!I$5,SectorFlows_input!$B$56:$Z$56,0)))</f>
        <v>801</v>
      </c>
      <c r="J29" s="225">
        <f>IF($D$3="HIS",SectorFlows_input!I26,INDEX(SectorFlows_input!$B$57:$Z$81,MATCH(SectorFlows!$B29,SectorFlows_input!$A$57:$A$81,0),MATCH(SectorFlows!J$5,SectorFlows_input!$B$56:$Z$56,0)))</f>
        <v>562</v>
      </c>
      <c r="K29" s="225">
        <f>IF($D$3="HIS",SectorFlows_input!J26,INDEX(SectorFlows_input!$B$57:$Z$81,MATCH(SectorFlows!$B29,SectorFlows_input!$A$57:$A$81,0),MATCH(SectorFlows!K$5,SectorFlows_input!$B$56:$Z$56,0)))</f>
        <v>167</v>
      </c>
      <c r="L29" s="225">
        <f>IF($D$3="HIS",SectorFlows_input!K26,INDEX(SectorFlows_input!$B$57:$Z$81,MATCH(SectorFlows!$B29,SectorFlows_input!$A$57:$A$81,0),MATCH(SectorFlows!L$5,SectorFlows_input!$B$56:$Z$56,0)))</f>
        <v>1457</v>
      </c>
      <c r="M29" s="225">
        <f>IF($D$3="HIS",SectorFlows_input!L26,INDEX(SectorFlows_input!$B$57:$Z$81,MATCH(SectorFlows!$B29,SectorFlows_input!$A$57:$A$81,0),MATCH(SectorFlows!M$5,SectorFlows_input!$B$56:$Z$56,0)))</f>
        <v>2547</v>
      </c>
      <c r="N29" s="225">
        <f>IF($D$3="HIS",SectorFlows_input!M26,INDEX(SectorFlows_input!$B$57:$Z$81,MATCH(SectorFlows!$B29,SectorFlows_input!$A$57:$A$81,0),MATCH(SectorFlows!N$5,SectorFlows_input!$B$56:$Z$56,0)))</f>
        <v>8544</v>
      </c>
      <c r="O29" s="225">
        <f>IF($D$3="HIS",SectorFlows_input!N26,INDEX(SectorFlows_input!$B$57:$Z$81,MATCH(SectorFlows!$B29,SectorFlows_input!$A$57:$A$81,0),MATCH(SectorFlows!O$5,SectorFlows_input!$B$56:$Z$56,0)))</f>
        <v>27188</v>
      </c>
      <c r="P29" s="225">
        <f>IF($D$3="HIS",SectorFlows_input!O26,INDEX(SectorFlows_input!$B$57:$Z$81,MATCH(SectorFlows!$B29,SectorFlows_input!$A$57:$A$81,0),MATCH(SectorFlows!P$5,SectorFlows_input!$B$56:$Z$56,0)))</f>
        <v>1568</v>
      </c>
      <c r="Q29" s="225">
        <f>IF($D$3="HIS",SectorFlows_input!P26,INDEX(SectorFlows_input!$B$57:$Z$81,MATCH(SectorFlows!$B29,SectorFlows_input!$A$57:$A$81,0),MATCH(SectorFlows!Q$5,SectorFlows_input!$B$56:$Z$56,0)))</f>
        <v>332</v>
      </c>
      <c r="R29" s="225">
        <f>IF($D$3="HIS",SectorFlows_input!Q26,INDEX(SectorFlows_input!$B$57:$Z$81,MATCH(SectorFlows!$B29,SectorFlows_input!$A$57:$A$81,0),MATCH(SectorFlows!R$5,SectorFlows_input!$B$56:$Z$56,0)))</f>
        <v>20</v>
      </c>
      <c r="S29" s="225">
        <f>IF($D$3="HIS",SectorFlows_input!R26,INDEX(SectorFlows_input!$B$57:$Z$81,MATCH(SectorFlows!$B29,SectorFlows_input!$A$57:$A$81,0),MATCH(SectorFlows!S$5,SectorFlows_input!$B$56:$Z$56,0)))</f>
        <v>2609</v>
      </c>
      <c r="T29" s="225">
        <f>IF($D$3="HIS",SectorFlows_input!S26,INDEX(SectorFlows_input!$B$57:$Z$81,MATCH(SectorFlows!$B29,SectorFlows_input!$A$57:$A$81,0),MATCH(SectorFlows!T$5,SectorFlows_input!$B$56:$Z$56,0)))</f>
        <v>50</v>
      </c>
      <c r="U29" s="225">
        <f>IF($D$3="HIS",SectorFlows_input!T26,INDEX(SectorFlows_input!$B$57:$Z$81,MATCH(SectorFlows!$B29,SectorFlows_input!$A$57:$A$81,0),MATCH(SectorFlows!U$5,SectorFlows_input!$B$56:$Z$56,0)))</f>
        <v>15</v>
      </c>
      <c r="V29" s="225">
        <f>IF($D$3="HIS",SectorFlows_input!U26,INDEX(SectorFlows_input!$B$57:$Z$81,MATCH(SectorFlows!$B29,SectorFlows_input!$A$57:$A$81,0),MATCH(SectorFlows!V$5,SectorFlows_input!$B$56:$Z$56,0)))</f>
        <v>1079</v>
      </c>
      <c r="W29" s="225">
        <f>IF($D$3="HIS",SectorFlows_input!V26,INDEX(SectorFlows_input!$B$57:$Z$81,MATCH(SectorFlows!$B29,SectorFlows_input!$A$57:$A$81,0),MATCH(SectorFlows!W$5,SectorFlows_input!$B$56:$Z$56,0)))</f>
        <v>228</v>
      </c>
      <c r="X29" s="225">
        <f>IF($D$3="HIS",SectorFlows_input!W26,INDEX(SectorFlows_input!$B$57:$Z$81,MATCH(SectorFlows!$B29,SectorFlows_input!$A$57:$A$81,0),MATCH(SectorFlows!X$5,SectorFlows_input!$B$56:$Z$56,0)))</f>
        <v>3047</v>
      </c>
      <c r="Y29" s="225">
        <f>IF($D$3="HIS",SectorFlows_input!X26,INDEX(SectorFlows_input!$B$57:$Z$81,MATCH(SectorFlows!$B29,SectorFlows_input!$A$57:$A$81,0),MATCH(SectorFlows!Y$5,SectorFlows_input!$B$56:$Z$56,0)))</f>
        <v>12856</v>
      </c>
      <c r="Z29" s="227">
        <f>IF($D$3="HIS",SectorFlows_input!Y26,INDEX(SectorFlows_input!$B$57:$Z$81,MATCH(SectorFlows!$B29,SectorFlows_input!$A$57:$A$81,0),MATCH(SectorFlows!Z$5,SectorFlows_input!$B$56:$Z$56,0)))</f>
        <v>54070</v>
      </c>
      <c r="AA29" s="228">
        <f>IF($D$3="HIS",SectorFlows_input!Z26,INDEX(SectorFlows_input!$B$57:$Z$81,MATCH(SectorFlows!$B29,SectorFlows_input!$A$57:$A$81,0),MATCH(SectorFlows!AA$5,SectorFlows_input!$B$56:$Z$56,0)))</f>
        <v>3499</v>
      </c>
      <c r="AB29" s="226">
        <f t="shared" si="1"/>
        <v>129609</v>
      </c>
      <c r="AD29" s="223" t="s">
        <v>476</v>
      </c>
      <c r="AE29" s="234">
        <f t="shared" si="2"/>
        <v>3.4889552423057038E-2</v>
      </c>
      <c r="AF29" s="234">
        <f t="shared" si="3"/>
        <v>6.1338332986135219E-3</v>
      </c>
      <c r="AG29" s="234">
        <f t="shared" si="4"/>
        <v>8.1244358030692319E-3</v>
      </c>
      <c r="AH29" s="234">
        <f t="shared" si="5"/>
        <v>3.2713777592605453E-3</v>
      </c>
      <c r="AI29" s="234">
        <f t="shared" si="6"/>
        <v>9.3434869492087739E-3</v>
      </c>
      <c r="AJ29" s="234">
        <f t="shared" si="7"/>
        <v>7.4454706077510049E-3</v>
      </c>
      <c r="AK29" s="234">
        <f t="shared" si="8"/>
        <v>6.180126380112492E-3</v>
      </c>
      <c r="AL29" s="234">
        <f t="shared" si="9"/>
        <v>4.3361186337368546E-3</v>
      </c>
      <c r="AM29" s="234">
        <f t="shared" si="10"/>
        <v>1.2884907683879978E-3</v>
      </c>
      <c r="AN29" s="234">
        <f t="shared" si="11"/>
        <v>1.1241503290666543E-2</v>
      </c>
      <c r="AO29" s="234">
        <f t="shared" si="12"/>
        <v>1.9651413096312756E-2</v>
      </c>
      <c r="AP29" s="234">
        <f t="shared" si="13"/>
        <v>6.5921348054533244E-2</v>
      </c>
      <c r="AQ29" s="234">
        <f t="shared" si="14"/>
        <v>0.2097693832989993</v>
      </c>
      <c r="AR29" s="234">
        <f t="shared" si="15"/>
        <v>1.2097925298397488E-2</v>
      </c>
      <c r="AS29" s="234">
        <f t="shared" si="16"/>
        <v>2.5615505096096723E-3</v>
      </c>
      <c r="AT29" s="234">
        <f t="shared" si="17"/>
        <v>1.5431027166323325E-4</v>
      </c>
      <c r="AU29" s="234">
        <f t="shared" si="18"/>
        <v>2.0129774938468778E-2</v>
      </c>
      <c r="AV29" s="234">
        <f t="shared" si="19"/>
        <v>3.8577567915808316E-4</v>
      </c>
      <c r="AW29" s="234">
        <f t="shared" si="20"/>
        <v>1.1573270374742494E-4</v>
      </c>
      <c r="AX29" s="234">
        <f t="shared" si="21"/>
        <v>8.3250391562314351E-3</v>
      </c>
      <c r="AY29" s="234">
        <f t="shared" si="22"/>
        <v>1.7591370969608593E-3</v>
      </c>
      <c r="AZ29" s="234">
        <f t="shared" si="23"/>
        <v>2.3509169887893588E-2</v>
      </c>
      <c r="BA29" s="234">
        <f t="shared" si="24"/>
        <v>9.9190642625126335E-2</v>
      </c>
      <c r="BB29" s="235">
        <f t="shared" si="25"/>
        <v>0.41717781944155113</v>
      </c>
      <c r="BC29" s="236">
        <f t="shared" si="26"/>
        <v>2.699658202748266E-2</v>
      </c>
      <c r="BD29" s="237">
        <f t="shared" si="27"/>
        <v>1</v>
      </c>
    </row>
    <row r="30" spans="2:56" x14ac:dyDescent="0.25">
      <c r="B30" s="223" t="s">
        <v>477</v>
      </c>
      <c r="C30" s="225">
        <f>IF($D$3="HIS",SectorFlows_input!B27,INDEX(SectorFlows_input!$B$57:$Z$81,MATCH(SectorFlows!$B30,SectorFlows_input!$A$57:$A$81,0),MATCH(SectorFlows!C$5,SectorFlows_input!$B$56:$Z$56,0)))</f>
        <v>13044</v>
      </c>
      <c r="D30" s="225">
        <f>IF($D$3="HIS",SectorFlows_input!C27,INDEX(SectorFlows_input!$B$57:$Z$81,MATCH(SectorFlows!$B30,SectorFlows_input!$A$57:$A$81,0),MATCH(SectorFlows!D$5,SectorFlows_input!$B$56:$Z$56,0)))</f>
        <v>2286</v>
      </c>
      <c r="E30" s="225">
        <f>IF($D$3="HIS",SectorFlows_input!D27,INDEX(SectorFlows_input!$B$57:$Z$81,MATCH(SectorFlows!$B30,SectorFlows_input!$A$57:$A$81,0),MATCH(SectorFlows!E$5,SectorFlows_input!$B$56:$Z$56,0)))</f>
        <v>2777</v>
      </c>
      <c r="F30" s="225">
        <f>IF($D$3="HIS",SectorFlows_input!E27,INDEX(SectorFlows_input!$B$57:$Z$81,MATCH(SectorFlows!$B30,SectorFlows_input!$A$57:$A$81,0),MATCH(SectorFlows!F$5,SectorFlows_input!$B$56:$Z$56,0)))</f>
        <v>975</v>
      </c>
      <c r="G30" s="225">
        <f>IF($D$3="HIS",SectorFlows_input!F27,INDEX(SectorFlows_input!$B$57:$Z$81,MATCH(SectorFlows!$B30,SectorFlows_input!$A$57:$A$81,0),MATCH(SectorFlows!G$5,SectorFlows_input!$B$56:$Z$56,0)))</f>
        <v>2952</v>
      </c>
      <c r="H30" s="225">
        <f>IF($D$3="HIS",SectorFlows_input!G27,INDEX(SectorFlows_input!$B$57:$Z$81,MATCH(SectorFlows!$B30,SectorFlows_input!$A$57:$A$81,0),MATCH(SectorFlows!H$5,SectorFlows_input!$B$56:$Z$56,0)))</f>
        <v>4141</v>
      </c>
      <c r="I30" s="225">
        <f>IF($D$3="HIS",SectorFlows_input!H27,INDEX(SectorFlows_input!$B$57:$Z$81,MATCH(SectorFlows!$B30,SectorFlows_input!$A$57:$A$81,0),MATCH(SectorFlows!I$5,SectorFlows_input!$B$56:$Z$56,0)))</f>
        <v>6282</v>
      </c>
      <c r="J30" s="225">
        <f>IF($D$3="HIS",SectorFlows_input!I27,INDEX(SectorFlows_input!$B$57:$Z$81,MATCH(SectorFlows!$B30,SectorFlows_input!$A$57:$A$81,0),MATCH(SectorFlows!J$5,SectorFlows_input!$B$56:$Z$56,0)))</f>
        <v>4717</v>
      </c>
      <c r="K30" s="225">
        <f>IF($D$3="HIS",SectorFlows_input!J27,INDEX(SectorFlows_input!$B$57:$Z$81,MATCH(SectorFlows!$B30,SectorFlows_input!$A$57:$A$81,0),MATCH(SectorFlows!K$5,SectorFlows_input!$B$56:$Z$56,0)))</f>
        <v>322</v>
      </c>
      <c r="L30" s="225">
        <f>IF($D$3="HIS",SectorFlows_input!K27,INDEX(SectorFlows_input!$B$57:$Z$81,MATCH(SectorFlows!$B30,SectorFlows_input!$A$57:$A$81,0),MATCH(SectorFlows!L$5,SectorFlows_input!$B$56:$Z$56,0)))</f>
        <v>2119</v>
      </c>
      <c r="M30" s="225">
        <f>IF($D$3="HIS",SectorFlows_input!L27,INDEX(SectorFlows_input!$B$57:$Z$81,MATCH(SectorFlows!$B30,SectorFlows_input!$A$57:$A$81,0),MATCH(SectorFlows!M$5,SectorFlows_input!$B$56:$Z$56,0)))</f>
        <v>2943</v>
      </c>
      <c r="N30" s="225">
        <f>IF($D$3="HIS",SectorFlows_input!M27,INDEX(SectorFlows_input!$B$57:$Z$81,MATCH(SectorFlows!$B30,SectorFlows_input!$A$57:$A$81,0),MATCH(SectorFlows!N$5,SectorFlows_input!$B$56:$Z$56,0)))</f>
        <v>4949</v>
      </c>
      <c r="O30" s="225">
        <f>IF($D$3="HIS",SectorFlows_input!N27,INDEX(SectorFlows_input!$B$57:$Z$81,MATCH(SectorFlows!$B30,SectorFlows_input!$A$57:$A$81,0),MATCH(SectorFlows!O$5,SectorFlows_input!$B$56:$Z$56,0)))</f>
        <v>30180</v>
      </c>
      <c r="P30" s="225">
        <f>IF($D$3="HIS",SectorFlows_input!O27,INDEX(SectorFlows_input!$B$57:$Z$81,MATCH(SectorFlows!$B30,SectorFlows_input!$A$57:$A$81,0),MATCH(SectorFlows!P$5,SectorFlows_input!$B$56:$Z$56,0)))</f>
        <v>21024</v>
      </c>
      <c r="Q30" s="225">
        <f>IF($D$3="HIS",SectorFlows_input!P27,INDEX(SectorFlows_input!$B$57:$Z$81,MATCH(SectorFlows!$B30,SectorFlows_input!$A$57:$A$81,0),MATCH(SectorFlows!Q$5,SectorFlows_input!$B$56:$Z$56,0)))</f>
        <v>5816</v>
      </c>
      <c r="R30" s="225">
        <f>IF($D$3="HIS",SectorFlows_input!Q27,INDEX(SectorFlows_input!$B$57:$Z$81,MATCH(SectorFlows!$B30,SectorFlows_input!$A$57:$A$81,0),MATCH(SectorFlows!R$5,SectorFlows_input!$B$56:$Z$56,0)))</f>
        <v>15</v>
      </c>
      <c r="S30" s="225">
        <f>IF($D$3="HIS",SectorFlows_input!R27,INDEX(SectorFlows_input!$B$57:$Z$81,MATCH(SectorFlows!$B30,SectorFlows_input!$A$57:$A$81,0),MATCH(SectorFlows!S$5,SectorFlows_input!$B$56:$Z$56,0)))</f>
        <v>4852</v>
      </c>
      <c r="T30" s="225">
        <f>IF($D$3="HIS",SectorFlows_input!S27,INDEX(SectorFlows_input!$B$57:$Z$81,MATCH(SectorFlows!$B30,SectorFlows_input!$A$57:$A$81,0),MATCH(SectorFlows!T$5,SectorFlows_input!$B$56:$Z$56,0)))</f>
        <v>1101</v>
      </c>
      <c r="U30" s="225">
        <f>IF($D$3="HIS",SectorFlows_input!T27,INDEX(SectorFlows_input!$B$57:$Z$81,MATCH(SectorFlows!$B30,SectorFlows_input!$A$57:$A$81,0),MATCH(SectorFlows!U$5,SectorFlows_input!$B$56:$Z$56,0)))</f>
        <v>175</v>
      </c>
      <c r="V30" s="225">
        <f>IF($D$3="HIS",SectorFlows_input!U27,INDEX(SectorFlows_input!$B$57:$Z$81,MATCH(SectorFlows!$B30,SectorFlows_input!$A$57:$A$81,0),MATCH(SectorFlows!V$5,SectorFlows_input!$B$56:$Z$56,0)))</f>
        <v>576</v>
      </c>
      <c r="W30" s="225">
        <f>IF($D$3="HIS",SectorFlows_input!V27,INDEX(SectorFlows_input!$B$57:$Z$81,MATCH(SectorFlows!$B30,SectorFlows_input!$A$57:$A$81,0),MATCH(SectorFlows!W$5,SectorFlows_input!$B$56:$Z$56,0)))</f>
        <v>205</v>
      </c>
      <c r="X30" s="225">
        <f>IF($D$3="HIS",SectorFlows_input!W27,INDEX(SectorFlows_input!$B$57:$Z$81,MATCH(SectorFlows!$B30,SectorFlows_input!$A$57:$A$81,0),MATCH(SectorFlows!X$5,SectorFlows_input!$B$56:$Z$56,0)))</f>
        <v>403</v>
      </c>
      <c r="Y30" s="225">
        <f>IF($D$3="HIS",SectorFlows_input!X27,INDEX(SectorFlows_input!$B$57:$Z$81,MATCH(SectorFlows!$B30,SectorFlows_input!$A$57:$A$81,0),MATCH(SectorFlows!Y$5,SectorFlows_input!$B$56:$Z$56,0)))</f>
        <v>647</v>
      </c>
      <c r="Z30" s="228">
        <f>IF($D$3="HIS",SectorFlows_input!Y27,INDEX(SectorFlows_input!$B$57:$Z$81,MATCH(SectorFlows!$B30,SectorFlows_input!$A$57:$A$81,0),MATCH(SectorFlows!Z$5,SectorFlows_input!$B$56:$Z$56,0)))</f>
        <v>3127</v>
      </c>
      <c r="AA30" s="227">
        <f>IF($D$3="HIS",SectorFlows_input!Z27,INDEX(SectorFlows_input!$B$57:$Z$81,MATCH(SectorFlows!$B30,SectorFlows_input!$A$57:$A$81,0),MATCH(SectorFlows!AA$5,SectorFlows_input!$B$56:$Z$56,0)))</f>
        <v>86453</v>
      </c>
      <c r="AB30" s="226">
        <f t="shared" si="1"/>
        <v>202081</v>
      </c>
      <c r="AD30" s="223" t="s">
        <v>477</v>
      </c>
      <c r="AE30" s="234">
        <f t="shared" si="2"/>
        <v>6.45483741667945E-2</v>
      </c>
      <c r="AF30" s="234">
        <f t="shared" si="3"/>
        <v>1.1312295564649818E-2</v>
      </c>
      <c r="AG30" s="234">
        <f t="shared" si="4"/>
        <v>1.3742014340784141E-2</v>
      </c>
      <c r="AH30" s="234">
        <f t="shared" si="5"/>
        <v>4.8247979770488069E-3</v>
      </c>
      <c r="AI30" s="234">
        <f t="shared" si="6"/>
        <v>1.460800372128008E-2</v>
      </c>
      <c r="AJ30" s="234">
        <f t="shared" si="7"/>
        <v>2.0491782997906782E-2</v>
      </c>
      <c r="AK30" s="234">
        <f t="shared" si="8"/>
        <v>3.108654450443139E-2</v>
      </c>
      <c r="AL30" s="234">
        <f t="shared" si="9"/>
        <v>2.3342125187424845E-2</v>
      </c>
      <c r="AM30" s="234">
        <f t="shared" si="10"/>
        <v>1.5934204601125291E-3</v>
      </c>
      <c r="AN30" s="234">
        <f t="shared" si="11"/>
        <v>1.0485894270119407E-2</v>
      </c>
      <c r="AO30" s="234">
        <f t="shared" si="12"/>
        <v>1.4563467124568861E-2</v>
      </c>
      <c r="AP30" s="234">
        <f t="shared" si="13"/>
        <v>2.4490179680425175E-2</v>
      </c>
      <c r="AQ30" s="234">
        <f t="shared" si="14"/>
        <v>0.14934605430495693</v>
      </c>
      <c r="AR30" s="234">
        <f t="shared" si="15"/>
        <v>0.10403748991740935</v>
      </c>
      <c r="AS30" s="234">
        <f t="shared" si="16"/>
        <v>2.8780538496939345E-2</v>
      </c>
      <c r="AT30" s="234">
        <f t="shared" si="17"/>
        <v>7.422766118536627E-5</v>
      </c>
      <c r="AU30" s="234">
        <f t="shared" si="18"/>
        <v>2.401017413809314E-2</v>
      </c>
      <c r="AV30" s="234">
        <f t="shared" si="19"/>
        <v>5.4483103310058838E-3</v>
      </c>
      <c r="AW30" s="234">
        <f t="shared" si="20"/>
        <v>8.6598938049593972E-4</v>
      </c>
      <c r="AX30" s="234">
        <f t="shared" si="21"/>
        <v>2.8503421895180645E-3</v>
      </c>
      <c r="AY30" s="234">
        <f t="shared" si="22"/>
        <v>1.0144447028666722E-3</v>
      </c>
      <c r="AZ30" s="234">
        <f t="shared" si="23"/>
        <v>1.9942498305135069E-3</v>
      </c>
      <c r="BA30" s="234">
        <f t="shared" si="24"/>
        <v>3.2016864524621316E-3</v>
      </c>
      <c r="BB30" s="236">
        <f t="shared" si="25"/>
        <v>1.547399310177602E-2</v>
      </c>
      <c r="BC30" s="235">
        <f t="shared" si="26"/>
        <v>0.4278135994972313</v>
      </c>
      <c r="BD30" s="237">
        <f t="shared" si="27"/>
        <v>1</v>
      </c>
    </row>
    <row r="31" spans="2:56" ht="15.75" thickBot="1" x14ac:dyDescent="0.3">
      <c r="B31" s="229" t="s">
        <v>29</v>
      </c>
      <c r="C31" s="230">
        <f>SUM(C6:C30)</f>
        <v>694115</v>
      </c>
      <c r="D31" s="230">
        <f t="shared" ref="D31:AA31" si="28">SUM(D6:D30)</f>
        <v>299541</v>
      </c>
      <c r="E31" s="230">
        <f t="shared" si="28"/>
        <v>232695</v>
      </c>
      <c r="F31" s="230">
        <f t="shared" si="28"/>
        <v>66146</v>
      </c>
      <c r="G31" s="230">
        <f t="shared" si="28"/>
        <v>132608</v>
      </c>
      <c r="H31" s="230">
        <f t="shared" si="28"/>
        <v>95716</v>
      </c>
      <c r="I31" s="230">
        <f t="shared" si="28"/>
        <v>144131</v>
      </c>
      <c r="J31" s="230">
        <f t="shared" si="28"/>
        <v>189583</v>
      </c>
      <c r="K31" s="230">
        <f t="shared" si="28"/>
        <v>87486</v>
      </c>
      <c r="L31" s="230">
        <f t="shared" si="28"/>
        <v>219619</v>
      </c>
      <c r="M31" s="230">
        <f t="shared" si="28"/>
        <v>188843</v>
      </c>
      <c r="N31" s="230">
        <f t="shared" si="28"/>
        <v>176396</v>
      </c>
      <c r="O31" s="230">
        <f t="shared" si="28"/>
        <v>295008</v>
      </c>
      <c r="P31" s="230">
        <f t="shared" si="28"/>
        <v>138516</v>
      </c>
      <c r="Q31" s="230">
        <f t="shared" si="28"/>
        <v>79657</v>
      </c>
      <c r="R31" s="230">
        <f t="shared" si="28"/>
        <v>155019</v>
      </c>
      <c r="S31" s="230">
        <f t="shared" si="28"/>
        <v>269097</v>
      </c>
      <c r="T31" s="230">
        <f t="shared" si="28"/>
        <v>161439</v>
      </c>
      <c r="U31" s="230">
        <f t="shared" si="28"/>
        <v>112268</v>
      </c>
      <c r="V31" s="230">
        <f t="shared" si="28"/>
        <v>316696</v>
      </c>
      <c r="W31" s="230">
        <f t="shared" si="28"/>
        <v>107970</v>
      </c>
      <c r="X31" s="230">
        <f t="shared" si="28"/>
        <v>71471</v>
      </c>
      <c r="Y31" s="230">
        <f t="shared" si="28"/>
        <v>59397</v>
      </c>
      <c r="Z31" s="230">
        <f t="shared" si="28"/>
        <v>87854</v>
      </c>
      <c r="AA31" s="230">
        <f t="shared" si="28"/>
        <v>138854</v>
      </c>
      <c r="AB31" s="231">
        <f>SUM(AB6:AB30)</f>
        <v>4520125</v>
      </c>
      <c r="AD31" s="229" t="s">
        <v>29</v>
      </c>
      <c r="AE31" s="238">
        <f t="shared" ref="AE31:BC31" si="29">IF($AB31&gt;0,C31/$AB31,"")</f>
        <v>0.1535610187771356</v>
      </c>
      <c r="AF31" s="238">
        <f t="shared" si="29"/>
        <v>6.6268300102320182E-2</v>
      </c>
      <c r="AG31" s="238">
        <f t="shared" si="29"/>
        <v>5.1479771024031416E-2</v>
      </c>
      <c r="AH31" s="238">
        <f t="shared" si="29"/>
        <v>1.4633666104366583E-2</v>
      </c>
      <c r="AI31" s="238">
        <f t="shared" si="29"/>
        <v>2.9337241779818037E-2</v>
      </c>
      <c r="AJ31" s="238">
        <f t="shared" si="29"/>
        <v>2.11755205884793E-2</v>
      </c>
      <c r="AK31" s="238">
        <f t="shared" si="29"/>
        <v>3.1886507563397032E-2</v>
      </c>
      <c r="AL31" s="238">
        <f t="shared" si="29"/>
        <v>4.1941981692984152E-2</v>
      </c>
      <c r="AM31" s="238">
        <f t="shared" si="29"/>
        <v>1.9354774480794226E-2</v>
      </c>
      <c r="AN31" s="238">
        <f t="shared" si="29"/>
        <v>4.8586930671165068E-2</v>
      </c>
      <c r="AO31" s="238">
        <f t="shared" si="29"/>
        <v>4.1778269406266416E-2</v>
      </c>
      <c r="AP31" s="238">
        <f t="shared" si="29"/>
        <v>3.9024584497110146E-2</v>
      </c>
      <c r="AQ31" s="238">
        <f t="shared" si="29"/>
        <v>6.5265451729764112E-2</v>
      </c>
      <c r="AR31" s="238">
        <f t="shared" si="29"/>
        <v>3.0644285279721246E-2</v>
      </c>
      <c r="AS31" s="238">
        <f t="shared" si="29"/>
        <v>1.7622742733884571E-2</v>
      </c>
      <c r="AT31" s="238">
        <f t="shared" si="29"/>
        <v>3.4295290506346617E-2</v>
      </c>
      <c r="AU31" s="238">
        <f t="shared" si="29"/>
        <v>5.9533088133624623E-2</v>
      </c>
      <c r="AV31" s="238">
        <f t="shared" si="29"/>
        <v>3.5715605210032905E-2</v>
      </c>
      <c r="AW31" s="238">
        <f t="shared" si="29"/>
        <v>2.4837366223279225E-2</v>
      </c>
      <c r="AX31" s="238">
        <f t="shared" si="29"/>
        <v>7.0063549127513072E-2</v>
      </c>
      <c r="AY31" s="238">
        <f t="shared" si="29"/>
        <v>2.3886507563397032E-2</v>
      </c>
      <c r="AZ31" s="238">
        <f t="shared" si="29"/>
        <v>1.5811730870274605E-2</v>
      </c>
      <c r="BA31" s="238">
        <f t="shared" si="29"/>
        <v>1.3140565802936866E-2</v>
      </c>
      <c r="BB31" s="238">
        <f t="shared" si="29"/>
        <v>1.9436188158513317E-2</v>
      </c>
      <c r="BC31" s="238">
        <f t="shared" si="29"/>
        <v>3.0719061972843673E-2</v>
      </c>
      <c r="BD31" s="239">
        <f>SUM(AE31:BC31)</f>
        <v>1.0000000000000002</v>
      </c>
    </row>
    <row r="32" spans="2:56" ht="16.5" thickTop="1" thickBot="1" x14ac:dyDescent="0.3">
      <c r="B32" s="261" t="s">
        <v>514</v>
      </c>
      <c r="C32" s="264">
        <v>685897</v>
      </c>
      <c r="D32" s="264">
        <v>253036</v>
      </c>
      <c r="E32" s="264">
        <v>226689</v>
      </c>
      <c r="F32" s="264">
        <v>66989</v>
      </c>
      <c r="G32" s="264">
        <v>122022</v>
      </c>
      <c r="H32" s="264">
        <v>98594</v>
      </c>
      <c r="I32" s="264">
        <v>143392</v>
      </c>
      <c r="J32" s="264">
        <v>167258</v>
      </c>
      <c r="K32" s="264">
        <v>102501</v>
      </c>
      <c r="L32" s="264">
        <v>189990</v>
      </c>
      <c r="M32" s="264">
        <v>225603</v>
      </c>
      <c r="N32" s="264">
        <v>232995</v>
      </c>
      <c r="O32" s="264">
        <v>311983</v>
      </c>
      <c r="P32" s="264">
        <v>143628</v>
      </c>
      <c r="Q32" s="264">
        <v>83563</v>
      </c>
      <c r="R32" s="264">
        <v>154462</v>
      </c>
      <c r="S32" s="264">
        <v>269611</v>
      </c>
      <c r="T32" s="264">
        <v>162115</v>
      </c>
      <c r="U32" s="264">
        <v>125560</v>
      </c>
      <c r="V32" s="264">
        <v>290820</v>
      </c>
      <c r="W32" s="264">
        <v>112844</v>
      </c>
      <c r="X32" s="264">
        <v>71206</v>
      </c>
      <c r="Y32" s="264">
        <v>59411</v>
      </c>
      <c r="Z32" s="264">
        <v>77906</v>
      </c>
      <c r="AA32" s="264">
        <v>136657</v>
      </c>
      <c r="AB32" s="262">
        <f>SUM(C32:AA32)</f>
        <v>4514732</v>
      </c>
      <c r="AD32" s="258"/>
      <c r="AE32" s="259"/>
      <c r="AF32" s="259"/>
      <c r="AG32" s="259"/>
      <c r="AH32" s="259"/>
      <c r="AI32" s="259"/>
      <c r="AJ32" s="259"/>
      <c r="AK32" s="259"/>
      <c r="AL32" s="259"/>
      <c r="AM32" s="259"/>
      <c r="AN32" s="259"/>
      <c r="AO32" s="259"/>
      <c r="AP32" s="259"/>
      <c r="AQ32" s="259"/>
      <c r="AR32" s="259"/>
      <c r="AS32" s="259"/>
      <c r="AT32" s="259"/>
      <c r="AU32" s="259"/>
      <c r="AV32" s="259"/>
      <c r="AW32" s="259"/>
      <c r="AX32" s="259"/>
      <c r="AY32" s="259"/>
      <c r="AZ32" s="259"/>
      <c r="BA32" s="259"/>
      <c r="BB32" s="259"/>
      <c r="BC32" s="259"/>
      <c r="BD32" s="260"/>
    </row>
    <row r="33" spans="2:56" ht="16.5" thickTop="1" thickBot="1" x14ac:dyDescent="0.3">
      <c r="B33" s="261" t="s">
        <v>517</v>
      </c>
      <c r="C33" s="277">
        <f>C32-C31</f>
        <v>-8218</v>
      </c>
      <c r="D33" s="277">
        <f t="shared" ref="D33:AB33" si="30">D32-D31</f>
        <v>-46505</v>
      </c>
      <c r="E33" s="277">
        <f t="shared" si="30"/>
        <v>-6006</v>
      </c>
      <c r="F33" s="277">
        <f t="shared" si="30"/>
        <v>843</v>
      </c>
      <c r="G33" s="277">
        <f t="shared" si="30"/>
        <v>-10586</v>
      </c>
      <c r="H33" s="277">
        <f t="shared" si="30"/>
        <v>2878</v>
      </c>
      <c r="I33" s="277">
        <f t="shared" si="30"/>
        <v>-739</v>
      </c>
      <c r="J33" s="277">
        <f t="shared" si="30"/>
        <v>-22325</v>
      </c>
      <c r="K33" s="277">
        <f t="shared" si="30"/>
        <v>15015</v>
      </c>
      <c r="L33" s="277">
        <f t="shared" si="30"/>
        <v>-29629</v>
      </c>
      <c r="M33" s="277">
        <f t="shared" si="30"/>
        <v>36760</v>
      </c>
      <c r="N33" s="277">
        <f t="shared" si="30"/>
        <v>56599</v>
      </c>
      <c r="O33" s="277">
        <f t="shared" si="30"/>
        <v>16975</v>
      </c>
      <c r="P33" s="277">
        <f t="shared" si="30"/>
        <v>5112</v>
      </c>
      <c r="Q33" s="277">
        <f t="shared" si="30"/>
        <v>3906</v>
      </c>
      <c r="R33" s="277">
        <f t="shared" si="30"/>
        <v>-557</v>
      </c>
      <c r="S33" s="277">
        <f t="shared" si="30"/>
        <v>514</v>
      </c>
      <c r="T33" s="277">
        <f t="shared" si="30"/>
        <v>676</v>
      </c>
      <c r="U33" s="277">
        <f t="shared" si="30"/>
        <v>13292</v>
      </c>
      <c r="V33" s="277">
        <f t="shared" si="30"/>
        <v>-25876</v>
      </c>
      <c r="W33" s="277">
        <f t="shared" si="30"/>
        <v>4874</v>
      </c>
      <c r="X33" s="277">
        <f t="shared" si="30"/>
        <v>-265</v>
      </c>
      <c r="Y33" s="277">
        <f t="shared" si="30"/>
        <v>14</v>
      </c>
      <c r="Z33" s="277">
        <f t="shared" si="30"/>
        <v>-9948</v>
      </c>
      <c r="AA33" s="277">
        <f t="shared" si="30"/>
        <v>-2197</v>
      </c>
      <c r="AB33" s="277">
        <f t="shared" si="30"/>
        <v>-5393</v>
      </c>
      <c r="AD33" s="258"/>
      <c r="AE33" s="259"/>
      <c r="AF33" s="259"/>
      <c r="AG33" s="259"/>
      <c r="AH33" s="259"/>
      <c r="AI33" s="259"/>
      <c r="AJ33" s="259"/>
      <c r="AK33" s="259"/>
      <c r="AL33" s="259"/>
      <c r="AM33" s="259"/>
      <c r="AN33" s="259"/>
      <c r="AO33" s="259"/>
      <c r="AP33" s="259"/>
      <c r="AQ33" s="259"/>
      <c r="AR33" s="259"/>
      <c r="AS33" s="259"/>
      <c r="AT33" s="259"/>
      <c r="AU33" s="259"/>
      <c r="AV33" s="259"/>
      <c r="AW33" s="259"/>
      <c r="AX33" s="259"/>
      <c r="AY33" s="259"/>
      <c r="AZ33" s="259"/>
      <c r="BA33" s="259"/>
      <c r="BB33" s="259"/>
      <c r="BC33" s="259"/>
      <c r="BD33" s="260"/>
    </row>
    <row r="34" spans="2:56" ht="24" thickTop="1" x14ac:dyDescent="0.35">
      <c r="B34" s="232" t="s">
        <v>200</v>
      </c>
    </row>
    <row r="35" spans="2:56" ht="18.75" x14ac:dyDescent="0.3">
      <c r="B35" s="373" t="s">
        <v>454</v>
      </c>
      <c r="C35" s="375" t="s">
        <v>455</v>
      </c>
      <c r="D35" s="375"/>
      <c r="E35" s="375"/>
      <c r="F35" s="375"/>
      <c r="G35" s="375"/>
      <c r="H35" s="375"/>
      <c r="I35" s="375"/>
      <c r="J35" s="375"/>
      <c r="K35" s="375"/>
      <c r="L35" s="375"/>
      <c r="M35" s="375"/>
      <c r="N35" s="375"/>
      <c r="O35" s="375"/>
      <c r="P35" s="375"/>
      <c r="Q35" s="375"/>
      <c r="R35" s="375"/>
      <c r="S35" s="375"/>
      <c r="T35" s="375"/>
      <c r="U35" s="375"/>
      <c r="V35" s="376"/>
      <c r="W35" s="376"/>
      <c r="X35" s="376"/>
      <c r="Y35" s="376"/>
      <c r="Z35" s="379"/>
      <c r="AA35" s="219"/>
      <c r="AB35" s="377" t="s">
        <v>29</v>
      </c>
      <c r="AD35" s="373" t="s">
        <v>454</v>
      </c>
      <c r="AE35" s="375" t="s">
        <v>455</v>
      </c>
      <c r="AF35" s="375"/>
      <c r="AG35" s="375"/>
      <c r="AH35" s="375"/>
      <c r="AI35" s="375"/>
      <c r="AJ35" s="375"/>
      <c r="AK35" s="375"/>
      <c r="AL35" s="375"/>
      <c r="AM35" s="375"/>
      <c r="AN35" s="375"/>
      <c r="AO35" s="375"/>
      <c r="AP35" s="375"/>
      <c r="AQ35" s="375"/>
      <c r="AR35" s="375"/>
      <c r="AS35" s="375"/>
      <c r="AT35" s="375"/>
      <c r="AU35" s="375"/>
      <c r="AV35" s="375"/>
      <c r="AW35" s="375"/>
      <c r="AX35" s="376"/>
      <c r="AY35" s="376"/>
      <c r="AZ35" s="376"/>
      <c r="BA35" s="376"/>
      <c r="BB35" s="379"/>
      <c r="BC35" s="219"/>
      <c r="BD35" s="377" t="s">
        <v>29</v>
      </c>
    </row>
    <row r="36" spans="2:56" x14ac:dyDescent="0.25">
      <c r="B36" s="374"/>
      <c r="C36" s="220">
        <v>1</v>
      </c>
      <c r="D36" s="220" t="s">
        <v>456</v>
      </c>
      <c r="E36" s="220" t="s">
        <v>457</v>
      </c>
      <c r="F36" s="220" t="s">
        <v>458</v>
      </c>
      <c r="G36" s="220" t="s">
        <v>47</v>
      </c>
      <c r="H36" s="220" t="s">
        <v>459</v>
      </c>
      <c r="I36" s="220" t="s">
        <v>460</v>
      </c>
      <c r="J36" s="220" t="s">
        <v>49</v>
      </c>
      <c r="K36" s="220" t="s">
        <v>461</v>
      </c>
      <c r="L36" s="220" t="s">
        <v>462</v>
      </c>
      <c r="M36" s="220" t="s">
        <v>463</v>
      </c>
      <c r="N36" s="220" t="s">
        <v>464</v>
      </c>
      <c r="O36" s="220" t="s">
        <v>465</v>
      </c>
      <c r="P36" s="220" t="s">
        <v>466</v>
      </c>
      <c r="Q36" s="220" t="s">
        <v>467</v>
      </c>
      <c r="R36" s="220" t="s">
        <v>468</v>
      </c>
      <c r="S36" s="220" t="s">
        <v>469</v>
      </c>
      <c r="T36" s="220" t="s">
        <v>470</v>
      </c>
      <c r="U36" s="220" t="s">
        <v>471</v>
      </c>
      <c r="V36" s="221" t="s">
        <v>472</v>
      </c>
      <c r="W36" s="220" t="s">
        <v>473</v>
      </c>
      <c r="X36" s="220" t="s">
        <v>474</v>
      </c>
      <c r="Y36" s="220" t="s">
        <v>475</v>
      </c>
      <c r="Z36" s="222" t="s">
        <v>476</v>
      </c>
      <c r="AA36" s="222" t="s">
        <v>477</v>
      </c>
      <c r="AB36" s="378"/>
      <c r="AD36" s="374"/>
      <c r="AE36" s="220">
        <v>1</v>
      </c>
      <c r="AF36" s="220" t="s">
        <v>456</v>
      </c>
      <c r="AG36" s="220" t="s">
        <v>457</v>
      </c>
      <c r="AH36" s="220" t="s">
        <v>458</v>
      </c>
      <c r="AI36" s="220" t="s">
        <v>47</v>
      </c>
      <c r="AJ36" s="220" t="s">
        <v>459</v>
      </c>
      <c r="AK36" s="220" t="s">
        <v>460</v>
      </c>
      <c r="AL36" s="220" t="s">
        <v>49</v>
      </c>
      <c r="AM36" s="220" t="s">
        <v>461</v>
      </c>
      <c r="AN36" s="220" t="s">
        <v>462</v>
      </c>
      <c r="AO36" s="220" t="s">
        <v>463</v>
      </c>
      <c r="AP36" s="220" t="s">
        <v>464</v>
      </c>
      <c r="AQ36" s="220" t="s">
        <v>465</v>
      </c>
      <c r="AR36" s="220" t="s">
        <v>466</v>
      </c>
      <c r="AS36" s="220" t="s">
        <v>467</v>
      </c>
      <c r="AT36" s="220" t="s">
        <v>468</v>
      </c>
      <c r="AU36" s="220" t="s">
        <v>469</v>
      </c>
      <c r="AV36" s="220" t="s">
        <v>470</v>
      </c>
      <c r="AW36" s="220" t="s">
        <v>471</v>
      </c>
      <c r="AX36" s="221" t="s">
        <v>472</v>
      </c>
      <c r="AY36" s="220" t="s">
        <v>473</v>
      </c>
      <c r="AZ36" s="220" t="s">
        <v>474</v>
      </c>
      <c r="BA36" s="220" t="s">
        <v>475</v>
      </c>
      <c r="BB36" s="222" t="s">
        <v>476</v>
      </c>
      <c r="BC36" s="222" t="s">
        <v>477</v>
      </c>
      <c r="BD36" s="378"/>
    </row>
    <row r="37" spans="2:56" x14ac:dyDescent="0.25">
      <c r="B37" s="223">
        <v>1</v>
      </c>
      <c r="C37" s="224">
        <f>SectorFlows_input!B30*Index!$B$2</f>
        <v>174645</v>
      </c>
      <c r="D37" s="225">
        <f>SectorFlows_input!C30*Index!$B$2</f>
        <v>6245</v>
      </c>
      <c r="E37" s="225">
        <f>SectorFlows_input!D30*Index!$B$2</f>
        <v>4005</v>
      </c>
      <c r="F37" s="225">
        <f>SectorFlows_input!E30*Index!$B$2</f>
        <v>2045</v>
      </c>
      <c r="G37" s="225">
        <f>SectorFlows_input!F30*Index!$B$2</f>
        <v>2030</v>
      </c>
      <c r="H37" s="225">
        <f>SectorFlows_input!G30*Index!$B$2</f>
        <v>2830</v>
      </c>
      <c r="I37" s="225">
        <f>SectorFlows_input!H30*Index!$B$2</f>
        <v>3290</v>
      </c>
      <c r="J37" s="225">
        <f>SectorFlows_input!I30*Index!$B$2</f>
        <v>2125</v>
      </c>
      <c r="K37" s="225">
        <f>SectorFlows_input!J30*Index!$B$2</f>
        <v>330</v>
      </c>
      <c r="L37" s="225">
        <f>SectorFlows_input!K30*Index!$B$2</f>
        <v>150</v>
      </c>
      <c r="M37" s="225">
        <f>SectorFlows_input!L30*Index!$B$2</f>
        <v>420</v>
      </c>
      <c r="N37" s="225">
        <f>SectorFlows_input!M30*Index!$B$2</f>
        <v>645</v>
      </c>
      <c r="O37" s="225">
        <f>SectorFlows_input!N30*Index!$B$2</f>
        <v>225</v>
      </c>
      <c r="P37" s="225">
        <f>SectorFlows_input!O30*Index!$B$2</f>
        <v>110</v>
      </c>
      <c r="Q37" s="225">
        <f>SectorFlows_input!P30*Index!$B$2</f>
        <v>10</v>
      </c>
      <c r="R37" s="225">
        <f>SectorFlows_input!Q30*Index!$B$2</f>
        <v>0</v>
      </c>
      <c r="S37" s="225">
        <f>SectorFlows_input!R30*Index!$B$2</f>
        <v>0</v>
      </c>
      <c r="T37" s="225">
        <f>SectorFlows_input!S30*Index!$B$2</f>
        <v>30</v>
      </c>
      <c r="U37" s="225">
        <f>SectorFlows_input!T30*Index!$B$2</f>
        <v>0</v>
      </c>
      <c r="V37" s="225">
        <f>SectorFlows_input!U30*Index!$B$2</f>
        <v>35</v>
      </c>
      <c r="W37" s="225">
        <f>SectorFlows_input!V30*Index!$B$2</f>
        <v>125</v>
      </c>
      <c r="X37" s="225">
        <f>SectorFlows_input!W30*Index!$B$2</f>
        <v>0</v>
      </c>
      <c r="Y37" s="225">
        <f>SectorFlows_input!X30*Index!$B$2</f>
        <v>0</v>
      </c>
      <c r="Z37" s="225">
        <f>SectorFlows_input!Y30*Index!$B$2</f>
        <v>0</v>
      </c>
      <c r="AA37" s="225">
        <f>SectorFlows_input!Z30*Index!$B$2</f>
        <v>10</v>
      </c>
      <c r="AB37" s="226">
        <f>SUM(C37:AA37)</f>
        <v>199305</v>
      </c>
      <c r="AD37" s="223">
        <v>1</v>
      </c>
      <c r="AE37" s="233">
        <f>IF($AB37&gt;0,C37/$AB37,"")</f>
        <v>0.87627003838338224</v>
      </c>
      <c r="AF37" s="234">
        <f t="shared" ref="AF37:AF62" si="31">IF($AB37&gt;0,D37/$AB37,"")</f>
        <v>3.1333885251248084E-2</v>
      </c>
      <c r="AG37" s="234">
        <f t="shared" ref="AG37:AG62" si="32">IF($AB37&gt;0,E37/$AB37,"")</f>
        <v>2.0094829532625876E-2</v>
      </c>
      <c r="AH37" s="234">
        <f t="shared" ref="AH37:AH62" si="33">IF($AB37&gt;0,F37/$AB37,"")</f>
        <v>1.0260655778831439E-2</v>
      </c>
      <c r="AI37" s="234">
        <f t="shared" ref="AI37:AI62" si="34">IF($AB37&gt;0,G37/$AB37,"")</f>
        <v>1.0185394245001379E-2</v>
      </c>
      <c r="AJ37" s="234">
        <f t="shared" ref="AJ37:AJ62" si="35">IF($AB37&gt;0,H37/$AB37,"")</f>
        <v>1.4199342715937884E-2</v>
      </c>
      <c r="AK37" s="234">
        <f t="shared" ref="AK37:AK62" si="36">IF($AB37&gt;0,I37/$AB37,"")</f>
        <v>1.6507363086726373E-2</v>
      </c>
      <c r="AL37" s="234">
        <f t="shared" ref="AL37:AL62" si="37">IF($AB37&gt;0,J37/$AB37,"")</f>
        <v>1.0662050625925089E-2</v>
      </c>
      <c r="AM37" s="234">
        <f t="shared" ref="AM37:AM62" si="38">IF($AB37&gt;0,K37/$AB37,"")</f>
        <v>1.655753744261308E-3</v>
      </c>
      <c r="AN37" s="234">
        <f t="shared" ref="AN37:AN62" si="39">IF($AB37&gt;0,L37/$AB37,"")</f>
        <v>7.5261533830059456E-4</v>
      </c>
      <c r="AO37" s="234">
        <f t="shared" ref="AO37:AO62" si="40">IF($AB37&gt;0,M37/$AB37,"")</f>
        <v>2.1073229472416649E-3</v>
      </c>
      <c r="AP37" s="234">
        <f t="shared" ref="AP37:AP62" si="41">IF($AB37&gt;0,N37/$AB37,"")</f>
        <v>3.2362459546925568E-3</v>
      </c>
      <c r="AQ37" s="234">
        <f t="shared" ref="AQ37:AQ62" si="42">IF($AB37&gt;0,O37/$AB37,"")</f>
        <v>1.1289230074508919E-3</v>
      </c>
      <c r="AR37" s="234">
        <f t="shared" ref="AR37:AR62" si="43">IF($AB37&gt;0,P37/$AB37,"")</f>
        <v>5.5191791475376934E-4</v>
      </c>
      <c r="AS37" s="234">
        <f t="shared" ref="AS37:AS62" si="44">IF($AB37&gt;0,Q37/$AB37,"")</f>
        <v>5.0174355886706306E-5</v>
      </c>
      <c r="AT37" s="234">
        <f t="shared" ref="AT37:AT62" si="45">IF($AB37&gt;0,R37/$AB37,"")</f>
        <v>0</v>
      </c>
      <c r="AU37" s="234">
        <f t="shared" ref="AU37:AU62" si="46">IF($AB37&gt;0,S37/$AB37,"")</f>
        <v>0</v>
      </c>
      <c r="AV37" s="234">
        <f t="shared" ref="AV37:AV62" si="47">IF($AB37&gt;0,T37/$AB37,"")</f>
        <v>1.5052306766011892E-4</v>
      </c>
      <c r="AW37" s="234">
        <f t="shared" ref="AW37:AW62" si="48">IF($AB37&gt;0,U37/$AB37,"")</f>
        <v>0</v>
      </c>
      <c r="AX37" s="234">
        <f t="shared" ref="AX37:AX62" si="49">IF($AB37&gt;0,V37/$AB37,"")</f>
        <v>1.7561024560347206E-4</v>
      </c>
      <c r="AY37" s="234">
        <f t="shared" ref="AY37:AY62" si="50">IF($AB37&gt;0,W37/$AB37,"")</f>
        <v>6.2717944858382878E-4</v>
      </c>
      <c r="AZ37" s="234">
        <f t="shared" ref="AZ37:AZ62" si="51">IF($AB37&gt;0,X37/$AB37,"")</f>
        <v>0</v>
      </c>
      <c r="BA37" s="234">
        <f t="shared" ref="BA37:BA62" si="52">IF($AB37&gt;0,Y37/$AB37,"")</f>
        <v>0</v>
      </c>
      <c r="BB37" s="234">
        <f t="shared" ref="BB37:BB62" si="53">IF($AB37&gt;0,Z37/$AB37,"")</f>
        <v>0</v>
      </c>
      <c r="BC37" s="234">
        <f t="shared" ref="BC37:BC62" si="54">IF($AB37&gt;0,AA37/$AB37,"")</f>
        <v>5.0174355886706306E-5</v>
      </c>
      <c r="BD37" s="237">
        <f>SUM(AE37:BC37)</f>
        <v>1</v>
      </c>
    </row>
    <row r="38" spans="2:56" x14ac:dyDescent="0.25">
      <c r="B38" s="223" t="s">
        <v>456</v>
      </c>
      <c r="C38" s="225">
        <f>SectorFlows_input!B31*Index!$B$2</f>
        <v>125675</v>
      </c>
      <c r="D38" s="224">
        <f>SectorFlows_input!C31*Index!$B$2</f>
        <v>181190</v>
      </c>
      <c r="E38" s="225">
        <f>SectorFlows_input!D31*Index!$B$2</f>
        <v>35385</v>
      </c>
      <c r="F38" s="225">
        <f>SectorFlows_input!E31*Index!$B$2</f>
        <v>5235</v>
      </c>
      <c r="G38" s="225">
        <f>SectorFlows_input!F31*Index!$B$2</f>
        <v>3350</v>
      </c>
      <c r="H38" s="225">
        <f>SectorFlows_input!G31*Index!$B$2</f>
        <v>1425</v>
      </c>
      <c r="I38" s="225">
        <f>SectorFlows_input!H31*Index!$B$2</f>
        <v>1240</v>
      </c>
      <c r="J38" s="225">
        <f>SectorFlows_input!I31*Index!$B$2</f>
        <v>1800</v>
      </c>
      <c r="K38" s="225">
        <f>SectorFlows_input!J31*Index!$B$2</f>
        <v>13535</v>
      </c>
      <c r="L38" s="225">
        <f>SectorFlows_input!K31*Index!$B$2</f>
        <v>3120</v>
      </c>
      <c r="M38" s="225">
        <f>SectorFlows_input!L31*Index!$B$2</f>
        <v>3605</v>
      </c>
      <c r="N38" s="225">
        <f>SectorFlows_input!M31*Index!$B$2</f>
        <v>1270</v>
      </c>
      <c r="O38" s="225">
        <f>SectorFlows_input!N31*Index!$B$2</f>
        <v>245</v>
      </c>
      <c r="P38" s="225">
        <f>SectorFlows_input!O31*Index!$B$2</f>
        <v>100</v>
      </c>
      <c r="Q38" s="225">
        <f>SectorFlows_input!P31*Index!$B$2</f>
        <v>10</v>
      </c>
      <c r="R38" s="225">
        <f>SectorFlows_input!Q31*Index!$B$2</f>
        <v>0</v>
      </c>
      <c r="S38" s="225">
        <f>SectorFlows_input!R31*Index!$B$2</f>
        <v>0</v>
      </c>
      <c r="T38" s="225">
        <f>SectorFlows_input!S31*Index!$B$2</f>
        <v>35</v>
      </c>
      <c r="U38" s="225">
        <f>SectorFlows_input!T31*Index!$B$2</f>
        <v>0</v>
      </c>
      <c r="V38" s="225">
        <f>SectorFlows_input!U31*Index!$B$2</f>
        <v>1025</v>
      </c>
      <c r="W38" s="225">
        <f>SectorFlows_input!V31*Index!$B$2</f>
        <v>1880</v>
      </c>
      <c r="X38" s="225">
        <f>SectorFlows_input!W31*Index!$B$2</f>
        <v>20</v>
      </c>
      <c r="Y38" s="225">
        <f>SectorFlows_input!X31*Index!$B$2</f>
        <v>10</v>
      </c>
      <c r="Z38" s="225">
        <f>SectorFlows_input!Y31*Index!$B$2</f>
        <v>0</v>
      </c>
      <c r="AA38" s="225">
        <f>SectorFlows_input!Z31*Index!$B$2</f>
        <v>10</v>
      </c>
      <c r="AB38" s="226">
        <f t="shared" ref="AB38:AB61" si="55">SUM(C38:AA38)</f>
        <v>380165</v>
      </c>
      <c r="AD38" s="223" t="s">
        <v>456</v>
      </c>
      <c r="AE38" s="234">
        <f t="shared" ref="AE38:AE62" si="56">IF($AB38&gt;0,C38/$AB38,"")</f>
        <v>0.33058014283271736</v>
      </c>
      <c r="AF38" s="233">
        <f t="shared" si="31"/>
        <v>0.47660884089803113</v>
      </c>
      <c r="AG38" s="234">
        <f t="shared" si="32"/>
        <v>9.3078005602830347E-2</v>
      </c>
      <c r="AH38" s="234">
        <f t="shared" si="33"/>
        <v>1.3770336564386516E-2</v>
      </c>
      <c r="AI38" s="234">
        <f t="shared" si="34"/>
        <v>8.8119632264937586E-3</v>
      </c>
      <c r="AJ38" s="234">
        <f t="shared" si="35"/>
        <v>3.7483724172398827E-3</v>
      </c>
      <c r="AK38" s="234">
        <f t="shared" si="36"/>
        <v>3.2617416121947049E-3</v>
      </c>
      <c r="AL38" s="234">
        <f t="shared" si="37"/>
        <v>4.7347862112503778E-3</v>
      </c>
      <c r="AM38" s="234">
        <f t="shared" si="38"/>
        <v>3.5602961871818814E-2</v>
      </c>
      <c r="AN38" s="234">
        <f t="shared" si="39"/>
        <v>8.2069627661673222E-3</v>
      </c>
      <c r="AO38" s="234">
        <f t="shared" si="40"/>
        <v>9.4827246064208958E-3</v>
      </c>
      <c r="AP38" s="234">
        <f t="shared" si="41"/>
        <v>3.3406547157155447E-3</v>
      </c>
      <c r="AQ38" s="234">
        <f t="shared" si="42"/>
        <v>6.4445701208685699E-4</v>
      </c>
      <c r="AR38" s="234">
        <f t="shared" si="43"/>
        <v>2.630436784027988E-4</v>
      </c>
      <c r="AS38" s="234">
        <f t="shared" si="44"/>
        <v>2.6304367840279877E-5</v>
      </c>
      <c r="AT38" s="234">
        <f t="shared" si="45"/>
        <v>0</v>
      </c>
      <c r="AU38" s="234">
        <f t="shared" si="46"/>
        <v>0</v>
      </c>
      <c r="AV38" s="234">
        <f t="shared" si="47"/>
        <v>9.2065287440979581E-5</v>
      </c>
      <c r="AW38" s="234">
        <f t="shared" si="48"/>
        <v>0</v>
      </c>
      <c r="AX38" s="234">
        <f t="shared" si="49"/>
        <v>2.6961977036286874E-3</v>
      </c>
      <c r="AY38" s="234">
        <f t="shared" si="50"/>
        <v>4.9452211539726173E-3</v>
      </c>
      <c r="AZ38" s="234">
        <f t="shared" si="51"/>
        <v>5.2608735680559754E-5</v>
      </c>
      <c r="BA38" s="234">
        <f t="shared" si="52"/>
        <v>2.6304367840279877E-5</v>
      </c>
      <c r="BB38" s="234">
        <f t="shared" si="53"/>
        <v>0</v>
      </c>
      <c r="BC38" s="234">
        <f t="shared" si="54"/>
        <v>2.6304367840279877E-5</v>
      </c>
      <c r="BD38" s="237">
        <f t="shared" ref="BD38:BD62" si="57">SUM(AE38:BC38)</f>
        <v>0.99999999999999978</v>
      </c>
    </row>
    <row r="39" spans="2:56" x14ac:dyDescent="0.25">
      <c r="B39" s="223" t="s">
        <v>457</v>
      </c>
      <c r="C39" s="225">
        <f>SectorFlows_input!B32*Index!$B$2</f>
        <v>54580</v>
      </c>
      <c r="D39" s="225">
        <f>SectorFlows_input!C32*Index!$B$2</f>
        <v>27180</v>
      </c>
      <c r="E39" s="224">
        <f>SectorFlows_input!D32*Index!$B$2</f>
        <v>97690</v>
      </c>
      <c r="F39" s="225">
        <f>SectorFlows_input!E32*Index!$B$2</f>
        <v>13605</v>
      </c>
      <c r="G39" s="225">
        <f>SectorFlows_input!F32*Index!$B$2</f>
        <v>7695</v>
      </c>
      <c r="H39" s="225">
        <f>SectorFlows_input!G32*Index!$B$2</f>
        <v>2085</v>
      </c>
      <c r="I39" s="225">
        <f>SectorFlows_input!H32*Index!$B$2</f>
        <v>855</v>
      </c>
      <c r="J39" s="225">
        <f>SectorFlows_input!I32*Index!$B$2</f>
        <v>755</v>
      </c>
      <c r="K39" s="225">
        <f>SectorFlows_input!J32*Index!$B$2</f>
        <v>7470</v>
      </c>
      <c r="L39" s="225">
        <f>SectorFlows_input!K32*Index!$B$2</f>
        <v>10620</v>
      </c>
      <c r="M39" s="225">
        <f>SectorFlows_input!L32*Index!$B$2</f>
        <v>9005</v>
      </c>
      <c r="N39" s="225">
        <f>SectorFlows_input!M32*Index!$B$2</f>
        <v>3625</v>
      </c>
      <c r="O39" s="225">
        <f>SectorFlows_input!N32*Index!$B$2</f>
        <v>760</v>
      </c>
      <c r="P39" s="225">
        <f>SectorFlows_input!O32*Index!$B$2</f>
        <v>145</v>
      </c>
      <c r="Q39" s="225">
        <f>SectorFlows_input!P32*Index!$B$2</f>
        <v>0</v>
      </c>
      <c r="R39" s="225">
        <f>SectorFlows_input!Q32*Index!$B$2</f>
        <v>0</v>
      </c>
      <c r="S39" s="225">
        <f>SectorFlows_input!R32*Index!$B$2</f>
        <v>0</v>
      </c>
      <c r="T39" s="225">
        <f>SectorFlows_input!S32*Index!$B$2</f>
        <v>5</v>
      </c>
      <c r="U39" s="225">
        <f>SectorFlows_input!T32*Index!$B$2</f>
        <v>0</v>
      </c>
      <c r="V39" s="225">
        <f>SectorFlows_input!U32*Index!$B$2</f>
        <v>1730</v>
      </c>
      <c r="W39" s="225">
        <f>SectorFlows_input!V32*Index!$B$2</f>
        <v>1770</v>
      </c>
      <c r="X39" s="225">
        <f>SectorFlows_input!W32*Index!$B$2</f>
        <v>60</v>
      </c>
      <c r="Y39" s="225">
        <f>SectorFlows_input!X32*Index!$B$2</f>
        <v>10</v>
      </c>
      <c r="Z39" s="225">
        <f>SectorFlows_input!Y32*Index!$B$2</f>
        <v>0</v>
      </c>
      <c r="AA39" s="225">
        <f>SectorFlows_input!Z32*Index!$B$2</f>
        <v>0</v>
      </c>
      <c r="AB39" s="226">
        <f t="shared" si="55"/>
        <v>239645</v>
      </c>
      <c r="AD39" s="223" t="s">
        <v>457</v>
      </c>
      <c r="AE39" s="234">
        <f t="shared" si="56"/>
        <v>0.2277535521291911</v>
      </c>
      <c r="AF39" s="234">
        <f t="shared" si="31"/>
        <v>0.11341776377558471</v>
      </c>
      <c r="AG39" s="233">
        <f t="shared" si="32"/>
        <v>0.40764464103152581</v>
      </c>
      <c r="AH39" s="234">
        <f t="shared" si="33"/>
        <v>5.6771474472657471E-2</v>
      </c>
      <c r="AI39" s="234">
        <f t="shared" si="34"/>
        <v>3.210999603580296E-2</v>
      </c>
      <c r="AJ39" s="234">
        <f t="shared" si="35"/>
        <v>8.700369296250704E-3</v>
      </c>
      <c r="AK39" s="234">
        <f t="shared" si="36"/>
        <v>3.5677773373114399E-3</v>
      </c>
      <c r="AL39" s="234">
        <f t="shared" si="37"/>
        <v>3.1504934382106868E-3</v>
      </c>
      <c r="AM39" s="234">
        <f t="shared" si="38"/>
        <v>3.1171107262826264E-2</v>
      </c>
      <c r="AN39" s="234">
        <f t="shared" si="39"/>
        <v>4.4315550084499993E-2</v>
      </c>
      <c r="AO39" s="234">
        <f t="shared" si="40"/>
        <v>3.7576415114022828E-2</v>
      </c>
      <c r="AP39" s="234">
        <f t="shared" si="41"/>
        <v>1.5126541342402303E-2</v>
      </c>
      <c r="AQ39" s="234">
        <f t="shared" si="42"/>
        <v>3.1713576331657244E-3</v>
      </c>
      <c r="AR39" s="234">
        <f t="shared" si="43"/>
        <v>6.050616536960921E-4</v>
      </c>
      <c r="AS39" s="234">
        <f t="shared" si="44"/>
        <v>0</v>
      </c>
      <c r="AT39" s="234">
        <f t="shared" si="45"/>
        <v>0</v>
      </c>
      <c r="AU39" s="234">
        <f t="shared" si="46"/>
        <v>0</v>
      </c>
      <c r="AV39" s="234">
        <f t="shared" si="47"/>
        <v>2.086419495503766E-5</v>
      </c>
      <c r="AW39" s="234">
        <f t="shared" si="48"/>
        <v>0</v>
      </c>
      <c r="AX39" s="234">
        <f t="shared" si="49"/>
        <v>7.2190114544430301E-3</v>
      </c>
      <c r="AY39" s="234">
        <f t="shared" si="50"/>
        <v>7.3859250140833315E-3</v>
      </c>
      <c r="AZ39" s="234">
        <f t="shared" si="51"/>
        <v>2.5037033946045191E-4</v>
      </c>
      <c r="BA39" s="234">
        <f t="shared" si="52"/>
        <v>4.1728389910075321E-5</v>
      </c>
      <c r="BB39" s="234">
        <f t="shared" si="53"/>
        <v>0</v>
      </c>
      <c r="BC39" s="234">
        <f t="shared" si="54"/>
        <v>0</v>
      </c>
      <c r="BD39" s="237">
        <f t="shared" si="57"/>
        <v>1</v>
      </c>
    </row>
    <row r="40" spans="2:56" x14ac:dyDescent="0.25">
      <c r="B40" s="223" t="s">
        <v>458</v>
      </c>
      <c r="C40" s="225">
        <f>SectorFlows_input!B33*Index!$B$2</f>
        <v>25445</v>
      </c>
      <c r="D40" s="225">
        <f>SectorFlows_input!C33*Index!$B$2</f>
        <v>6355</v>
      </c>
      <c r="E40" s="225">
        <f>SectorFlows_input!D33*Index!$B$2</f>
        <v>22140</v>
      </c>
      <c r="F40" s="224">
        <f>SectorFlows_input!E33*Index!$B$2</f>
        <v>29120</v>
      </c>
      <c r="G40" s="225">
        <f>SectorFlows_input!F33*Index!$B$2</f>
        <v>13260</v>
      </c>
      <c r="H40" s="225">
        <f>SectorFlows_input!G33*Index!$B$2</f>
        <v>3400</v>
      </c>
      <c r="I40" s="225">
        <f>SectorFlows_input!H33*Index!$B$2</f>
        <v>1130</v>
      </c>
      <c r="J40" s="225">
        <f>SectorFlows_input!I33*Index!$B$2</f>
        <v>430</v>
      </c>
      <c r="K40" s="225">
        <f>SectorFlows_input!J33*Index!$B$2</f>
        <v>1330</v>
      </c>
      <c r="L40" s="225">
        <f>SectorFlows_input!K33*Index!$B$2</f>
        <v>1220</v>
      </c>
      <c r="M40" s="225">
        <f>SectorFlows_input!L33*Index!$B$2</f>
        <v>3010</v>
      </c>
      <c r="N40" s="225">
        <f>SectorFlows_input!M33*Index!$B$2</f>
        <v>4580</v>
      </c>
      <c r="O40" s="225">
        <f>SectorFlows_input!N33*Index!$B$2</f>
        <v>910</v>
      </c>
      <c r="P40" s="225">
        <f>SectorFlows_input!O33*Index!$B$2</f>
        <v>255</v>
      </c>
      <c r="Q40" s="225">
        <f>SectorFlows_input!P33*Index!$B$2</f>
        <v>0</v>
      </c>
      <c r="R40" s="225">
        <f>SectorFlows_input!Q33*Index!$B$2</f>
        <v>0</v>
      </c>
      <c r="S40" s="225">
        <f>SectorFlows_input!R33*Index!$B$2</f>
        <v>0</v>
      </c>
      <c r="T40" s="225">
        <f>SectorFlows_input!S33*Index!$B$2</f>
        <v>0</v>
      </c>
      <c r="U40" s="225">
        <f>SectorFlows_input!T33*Index!$B$2</f>
        <v>0</v>
      </c>
      <c r="V40" s="225">
        <f>SectorFlows_input!U33*Index!$B$2</f>
        <v>200</v>
      </c>
      <c r="W40" s="225">
        <f>SectorFlows_input!V33*Index!$B$2</f>
        <v>305</v>
      </c>
      <c r="X40" s="225">
        <f>SectorFlows_input!W33*Index!$B$2</f>
        <v>10</v>
      </c>
      <c r="Y40" s="225">
        <f>SectorFlows_input!X33*Index!$B$2</f>
        <v>10</v>
      </c>
      <c r="Z40" s="225">
        <f>SectorFlows_input!Y33*Index!$B$2</f>
        <v>0</v>
      </c>
      <c r="AA40" s="225">
        <f>SectorFlows_input!Z33*Index!$B$2</f>
        <v>0</v>
      </c>
      <c r="AB40" s="226">
        <f t="shared" si="55"/>
        <v>113110</v>
      </c>
      <c r="AD40" s="223" t="s">
        <v>458</v>
      </c>
      <c r="AE40" s="234">
        <f t="shared" si="56"/>
        <v>0.22495800548138981</v>
      </c>
      <c r="AF40" s="234">
        <f t="shared" si="31"/>
        <v>5.6184245424807711E-2</v>
      </c>
      <c r="AG40" s="234">
        <f t="shared" si="32"/>
        <v>0.19573866147997523</v>
      </c>
      <c r="AH40" s="233">
        <f t="shared" si="33"/>
        <v>0.25744850145875697</v>
      </c>
      <c r="AI40" s="234">
        <f t="shared" si="34"/>
        <v>0.11723101405711255</v>
      </c>
      <c r="AJ40" s="234">
        <f t="shared" si="35"/>
        <v>3.0059234373618602E-2</v>
      </c>
      <c r="AK40" s="234">
        <f t="shared" si="36"/>
        <v>9.9902749535850065E-3</v>
      </c>
      <c r="AL40" s="234">
        <f t="shared" si="37"/>
        <v>3.8016090531341174E-3</v>
      </c>
      <c r="AM40" s="234">
        <f t="shared" si="38"/>
        <v>1.1758465210856689E-2</v>
      </c>
      <c r="AN40" s="234">
        <f t="shared" si="39"/>
        <v>1.0785960569357263E-2</v>
      </c>
      <c r="AO40" s="234">
        <f t="shared" si="40"/>
        <v>2.661126337193882E-2</v>
      </c>
      <c r="AP40" s="234">
        <f t="shared" si="41"/>
        <v>4.0491556891521528E-2</v>
      </c>
      <c r="AQ40" s="234">
        <f t="shared" si="42"/>
        <v>8.0452656705861554E-3</v>
      </c>
      <c r="AR40" s="234">
        <f t="shared" si="43"/>
        <v>2.2544425780213952E-3</v>
      </c>
      <c r="AS40" s="234">
        <f t="shared" si="44"/>
        <v>0</v>
      </c>
      <c r="AT40" s="234">
        <f t="shared" si="45"/>
        <v>0</v>
      </c>
      <c r="AU40" s="234">
        <f t="shared" si="46"/>
        <v>0</v>
      </c>
      <c r="AV40" s="234">
        <f t="shared" si="47"/>
        <v>0</v>
      </c>
      <c r="AW40" s="234">
        <f t="shared" si="48"/>
        <v>0</v>
      </c>
      <c r="AX40" s="234">
        <f t="shared" si="49"/>
        <v>1.7681902572716825E-3</v>
      </c>
      <c r="AY40" s="234">
        <f t="shared" si="50"/>
        <v>2.6964901423393159E-3</v>
      </c>
      <c r="AZ40" s="234">
        <f t="shared" si="51"/>
        <v>8.8409512863584121E-5</v>
      </c>
      <c r="BA40" s="234">
        <f t="shared" si="52"/>
        <v>8.8409512863584121E-5</v>
      </c>
      <c r="BB40" s="234">
        <f t="shared" si="53"/>
        <v>0</v>
      </c>
      <c r="BC40" s="234">
        <f t="shared" si="54"/>
        <v>0</v>
      </c>
      <c r="BD40" s="237">
        <f t="shared" si="57"/>
        <v>0.99999999999999989</v>
      </c>
    </row>
    <row r="41" spans="2:56" x14ac:dyDescent="0.25">
      <c r="B41" s="223" t="s">
        <v>47</v>
      </c>
      <c r="C41" s="225">
        <f>SectorFlows_input!B34*Index!$B$2</f>
        <v>32865</v>
      </c>
      <c r="D41" s="225">
        <f>SectorFlows_input!C34*Index!$B$2</f>
        <v>2185</v>
      </c>
      <c r="E41" s="225">
        <f>SectorFlows_input!D34*Index!$B$2</f>
        <v>12165</v>
      </c>
      <c r="F41" s="225">
        <f>SectorFlows_input!E34*Index!$B$2</f>
        <v>9470</v>
      </c>
      <c r="G41" s="224">
        <f>SectorFlows_input!F34*Index!$B$2</f>
        <v>47815</v>
      </c>
      <c r="H41" s="225">
        <f>SectorFlows_input!G34*Index!$B$2</f>
        <v>10215</v>
      </c>
      <c r="I41" s="225">
        <f>SectorFlows_input!H34*Index!$B$2</f>
        <v>2805</v>
      </c>
      <c r="J41" s="225">
        <f>SectorFlows_input!I34*Index!$B$2</f>
        <v>585</v>
      </c>
      <c r="K41" s="225">
        <f>SectorFlows_input!J34*Index!$B$2</f>
        <v>670</v>
      </c>
      <c r="L41" s="225">
        <f>SectorFlows_input!K34*Index!$B$2</f>
        <v>705</v>
      </c>
      <c r="M41" s="225">
        <f>SectorFlows_input!L34*Index!$B$2</f>
        <v>2785</v>
      </c>
      <c r="N41" s="225">
        <f>SectorFlows_input!M34*Index!$B$2</f>
        <v>10020</v>
      </c>
      <c r="O41" s="225">
        <f>SectorFlows_input!N34*Index!$B$2</f>
        <v>3530</v>
      </c>
      <c r="P41" s="225">
        <f>SectorFlows_input!O34*Index!$B$2</f>
        <v>610</v>
      </c>
      <c r="Q41" s="225">
        <f>SectorFlows_input!P34*Index!$B$2</f>
        <v>10</v>
      </c>
      <c r="R41" s="225">
        <f>SectorFlows_input!Q34*Index!$B$2</f>
        <v>0</v>
      </c>
      <c r="S41" s="225">
        <f>SectorFlows_input!R34*Index!$B$2</f>
        <v>0</v>
      </c>
      <c r="T41" s="225">
        <f>SectorFlows_input!S34*Index!$B$2</f>
        <v>5</v>
      </c>
      <c r="U41" s="225">
        <f>SectorFlows_input!T34*Index!$B$2</f>
        <v>0</v>
      </c>
      <c r="V41" s="225">
        <f>SectorFlows_input!U34*Index!$B$2</f>
        <v>80</v>
      </c>
      <c r="W41" s="225">
        <f>SectorFlows_input!V34*Index!$B$2</f>
        <v>150</v>
      </c>
      <c r="X41" s="225">
        <f>SectorFlows_input!W34*Index!$B$2</f>
        <v>0</v>
      </c>
      <c r="Y41" s="225">
        <f>SectorFlows_input!X34*Index!$B$2</f>
        <v>15</v>
      </c>
      <c r="Z41" s="225">
        <f>SectorFlows_input!Y34*Index!$B$2</f>
        <v>0</v>
      </c>
      <c r="AA41" s="225">
        <f>SectorFlows_input!Z34*Index!$B$2</f>
        <v>25</v>
      </c>
      <c r="AB41" s="226">
        <f t="shared" si="55"/>
        <v>136710</v>
      </c>
      <c r="AD41" s="223" t="s">
        <v>47</v>
      </c>
      <c r="AE41" s="234">
        <f t="shared" si="56"/>
        <v>0.24039938556067589</v>
      </c>
      <c r="AF41" s="234">
        <f t="shared" si="31"/>
        <v>1.5982737180893863E-2</v>
      </c>
      <c r="AG41" s="234">
        <f t="shared" si="32"/>
        <v>8.8983980689049808E-2</v>
      </c>
      <c r="AH41" s="234">
        <f t="shared" si="33"/>
        <v>6.9270719040304296E-2</v>
      </c>
      <c r="AI41" s="233">
        <f t="shared" si="34"/>
        <v>0.34975495574573917</v>
      </c>
      <c r="AJ41" s="234">
        <f t="shared" si="35"/>
        <v>7.4720210664911121E-2</v>
      </c>
      <c r="AK41" s="234">
        <f t="shared" si="36"/>
        <v>2.0517884573184111E-2</v>
      </c>
      <c r="AL41" s="234">
        <f t="shared" si="37"/>
        <v>4.279131007241606E-3</v>
      </c>
      <c r="AM41" s="234">
        <f t="shared" si="38"/>
        <v>4.9008850852168828E-3</v>
      </c>
      <c r="AN41" s="234">
        <f t="shared" si="39"/>
        <v>5.1569014702655255E-3</v>
      </c>
      <c r="AO41" s="234">
        <f t="shared" si="40"/>
        <v>2.0371589496013458E-2</v>
      </c>
      <c r="AP41" s="234">
        <f t="shared" si="41"/>
        <v>7.3293833662497254E-2</v>
      </c>
      <c r="AQ41" s="234">
        <f t="shared" si="42"/>
        <v>2.5821081120620291E-2</v>
      </c>
      <c r="AR41" s="234">
        <f t="shared" si="43"/>
        <v>4.4619998537049231E-3</v>
      </c>
      <c r="AS41" s="234">
        <f t="shared" si="44"/>
        <v>7.3147538585326602E-5</v>
      </c>
      <c r="AT41" s="234">
        <f t="shared" si="45"/>
        <v>0</v>
      </c>
      <c r="AU41" s="234">
        <f t="shared" si="46"/>
        <v>0</v>
      </c>
      <c r="AV41" s="234">
        <f t="shared" si="47"/>
        <v>3.6573769292663301E-5</v>
      </c>
      <c r="AW41" s="234">
        <f t="shared" si="48"/>
        <v>0</v>
      </c>
      <c r="AX41" s="234">
        <f t="shared" si="49"/>
        <v>5.8518030868261281E-4</v>
      </c>
      <c r="AY41" s="234">
        <f t="shared" si="50"/>
        <v>1.0972130787798991E-3</v>
      </c>
      <c r="AZ41" s="234">
        <f t="shared" si="51"/>
        <v>0</v>
      </c>
      <c r="BA41" s="234">
        <f t="shared" si="52"/>
        <v>1.0972130787798991E-4</v>
      </c>
      <c r="BB41" s="234">
        <f t="shared" si="53"/>
        <v>0</v>
      </c>
      <c r="BC41" s="234">
        <f t="shared" si="54"/>
        <v>1.828688464633165E-4</v>
      </c>
      <c r="BD41" s="237">
        <f t="shared" si="57"/>
        <v>1</v>
      </c>
    </row>
    <row r="42" spans="2:56" x14ac:dyDescent="0.25">
      <c r="B42" s="223" t="s">
        <v>459</v>
      </c>
      <c r="C42" s="225">
        <f>SectorFlows_input!B35*Index!$B$2</f>
        <v>31780</v>
      </c>
      <c r="D42" s="225">
        <f>SectorFlows_input!C35*Index!$B$2</f>
        <v>960</v>
      </c>
      <c r="E42" s="225">
        <f>SectorFlows_input!D35*Index!$B$2</f>
        <v>4335</v>
      </c>
      <c r="F42" s="225">
        <f>SectorFlows_input!E35*Index!$B$2</f>
        <v>3315</v>
      </c>
      <c r="G42" s="225">
        <f>SectorFlows_input!F35*Index!$B$2</f>
        <v>15490</v>
      </c>
      <c r="H42" s="224">
        <f>SectorFlows_input!G35*Index!$B$2</f>
        <v>44815</v>
      </c>
      <c r="I42" s="225">
        <f>SectorFlows_input!H35*Index!$B$2</f>
        <v>8915</v>
      </c>
      <c r="J42" s="225">
        <f>SectorFlows_input!I35*Index!$B$2</f>
        <v>1020</v>
      </c>
      <c r="K42" s="225">
        <f>SectorFlows_input!J35*Index!$B$2</f>
        <v>145</v>
      </c>
      <c r="L42" s="225">
        <f>SectorFlows_input!K35*Index!$B$2</f>
        <v>385</v>
      </c>
      <c r="M42" s="225">
        <f>SectorFlows_input!L35*Index!$B$2</f>
        <v>1855</v>
      </c>
      <c r="N42" s="225">
        <f>SectorFlows_input!M35*Index!$B$2</f>
        <v>9440</v>
      </c>
      <c r="O42" s="225">
        <f>SectorFlows_input!N35*Index!$B$2</f>
        <v>6535</v>
      </c>
      <c r="P42" s="225">
        <f>SectorFlows_input!O35*Index!$B$2</f>
        <v>2835</v>
      </c>
      <c r="Q42" s="225">
        <f>SectorFlows_input!P35*Index!$B$2</f>
        <v>40</v>
      </c>
      <c r="R42" s="225">
        <f>SectorFlows_input!Q35*Index!$B$2</f>
        <v>0</v>
      </c>
      <c r="S42" s="225">
        <f>SectorFlows_input!R35*Index!$B$2</f>
        <v>0</v>
      </c>
      <c r="T42" s="225">
        <f>SectorFlows_input!S35*Index!$B$2</f>
        <v>5</v>
      </c>
      <c r="U42" s="225">
        <f>SectorFlows_input!T35*Index!$B$2</f>
        <v>0</v>
      </c>
      <c r="V42" s="225">
        <f>SectorFlows_input!U35*Index!$B$2</f>
        <v>25</v>
      </c>
      <c r="W42" s="225">
        <f>SectorFlows_input!V35*Index!$B$2</f>
        <v>20</v>
      </c>
      <c r="X42" s="225">
        <f>SectorFlows_input!W35*Index!$B$2</f>
        <v>15</v>
      </c>
      <c r="Y42" s="225">
        <f>SectorFlows_input!X35*Index!$B$2</f>
        <v>5</v>
      </c>
      <c r="Z42" s="225">
        <f>SectorFlows_input!Y35*Index!$B$2</f>
        <v>25</v>
      </c>
      <c r="AA42" s="225">
        <f>SectorFlows_input!Z35*Index!$B$2</f>
        <v>50</v>
      </c>
      <c r="AB42" s="226">
        <f t="shared" si="55"/>
        <v>132010</v>
      </c>
      <c r="AD42" s="223" t="s">
        <v>459</v>
      </c>
      <c r="AE42" s="234">
        <f t="shared" si="56"/>
        <v>0.24073933792894478</v>
      </c>
      <c r="AF42" s="234">
        <f t="shared" si="31"/>
        <v>7.2721763502764944E-3</v>
      </c>
      <c r="AG42" s="234">
        <f t="shared" si="32"/>
        <v>3.2838421331717292E-2</v>
      </c>
      <c r="AH42" s="234">
        <f t="shared" si="33"/>
        <v>2.5111733959548518E-2</v>
      </c>
      <c r="AI42" s="234">
        <f t="shared" si="34"/>
        <v>0.11733959548519052</v>
      </c>
      <c r="AJ42" s="233">
        <f t="shared" si="35"/>
        <v>0.33948185743504278</v>
      </c>
      <c r="AK42" s="234">
        <f t="shared" si="36"/>
        <v>6.7532762669494734E-2</v>
      </c>
      <c r="AL42" s="234">
        <f t="shared" si="37"/>
        <v>7.7266873721687753E-3</v>
      </c>
      <c r="AM42" s="234">
        <f t="shared" si="38"/>
        <v>1.0984016362396787E-3</v>
      </c>
      <c r="AN42" s="234">
        <f t="shared" si="39"/>
        <v>2.9164457238088025E-3</v>
      </c>
      <c r="AO42" s="234">
        <f t="shared" si="40"/>
        <v>1.4051965760169684E-2</v>
      </c>
      <c r="AP42" s="234">
        <f t="shared" si="41"/>
        <v>7.1509734111052187E-2</v>
      </c>
      <c r="AQ42" s="234">
        <f t="shared" si="42"/>
        <v>4.9503825467767597E-2</v>
      </c>
      <c r="AR42" s="234">
        <f t="shared" si="43"/>
        <v>2.1475645784410271E-2</v>
      </c>
      <c r="AS42" s="234">
        <f t="shared" si="44"/>
        <v>3.0300734792818723E-4</v>
      </c>
      <c r="AT42" s="234">
        <f t="shared" si="45"/>
        <v>0</v>
      </c>
      <c r="AU42" s="234">
        <f t="shared" si="46"/>
        <v>0</v>
      </c>
      <c r="AV42" s="234">
        <f t="shared" si="47"/>
        <v>3.7875918491023404E-5</v>
      </c>
      <c r="AW42" s="234">
        <f t="shared" si="48"/>
        <v>0</v>
      </c>
      <c r="AX42" s="234">
        <f t="shared" si="49"/>
        <v>1.8937959245511705E-4</v>
      </c>
      <c r="AY42" s="234">
        <f t="shared" si="50"/>
        <v>1.5150367396409362E-4</v>
      </c>
      <c r="AZ42" s="234">
        <f t="shared" si="51"/>
        <v>1.1362775547307023E-4</v>
      </c>
      <c r="BA42" s="234">
        <f t="shared" si="52"/>
        <v>3.7875918491023404E-5</v>
      </c>
      <c r="BB42" s="234">
        <f t="shared" si="53"/>
        <v>1.8937959245511705E-4</v>
      </c>
      <c r="BC42" s="234">
        <f t="shared" si="54"/>
        <v>3.7875918491023409E-4</v>
      </c>
      <c r="BD42" s="237">
        <f t="shared" si="57"/>
        <v>1</v>
      </c>
    </row>
    <row r="43" spans="2:56" x14ac:dyDescent="0.25">
      <c r="B43" s="223" t="s">
        <v>460</v>
      </c>
      <c r="C43" s="225">
        <f>SectorFlows_input!B36*Index!$B$2</f>
        <v>45605</v>
      </c>
      <c r="D43" s="225">
        <f>SectorFlows_input!C36*Index!$B$2</f>
        <v>1370</v>
      </c>
      <c r="E43" s="225">
        <f>SectorFlows_input!D36*Index!$B$2</f>
        <v>2205</v>
      </c>
      <c r="F43" s="225">
        <f>SectorFlows_input!E36*Index!$B$2</f>
        <v>1700</v>
      </c>
      <c r="G43" s="225">
        <f>SectorFlows_input!F36*Index!$B$2</f>
        <v>6625</v>
      </c>
      <c r="H43" s="225">
        <f>SectorFlows_input!G36*Index!$B$2</f>
        <v>13795</v>
      </c>
      <c r="I43" s="224">
        <f>SectorFlows_input!H36*Index!$B$2</f>
        <v>84380</v>
      </c>
      <c r="J43" s="225">
        <f>SectorFlows_input!I36*Index!$B$2</f>
        <v>12505</v>
      </c>
      <c r="K43" s="225">
        <f>SectorFlows_input!J36*Index!$B$2</f>
        <v>240</v>
      </c>
      <c r="L43" s="225">
        <f>SectorFlows_input!K36*Index!$B$2</f>
        <v>155</v>
      </c>
      <c r="M43" s="225">
        <f>SectorFlows_input!L36*Index!$B$2</f>
        <v>725</v>
      </c>
      <c r="N43" s="225">
        <f>SectorFlows_input!M36*Index!$B$2</f>
        <v>3015</v>
      </c>
      <c r="O43" s="225">
        <f>SectorFlows_input!N36*Index!$B$2</f>
        <v>2800</v>
      </c>
      <c r="P43" s="225">
        <f>SectorFlows_input!O36*Index!$B$2</f>
        <v>13255</v>
      </c>
      <c r="Q43" s="225">
        <f>SectorFlows_input!P36*Index!$B$2</f>
        <v>415</v>
      </c>
      <c r="R43" s="225">
        <f>SectorFlows_input!Q36*Index!$B$2</f>
        <v>0</v>
      </c>
      <c r="S43" s="225">
        <f>SectorFlows_input!R36*Index!$B$2</f>
        <v>5</v>
      </c>
      <c r="T43" s="225">
        <f>SectorFlows_input!S36*Index!$B$2</f>
        <v>395</v>
      </c>
      <c r="U43" s="225">
        <f>SectorFlows_input!T36*Index!$B$2</f>
        <v>0</v>
      </c>
      <c r="V43" s="225">
        <f>SectorFlows_input!U36*Index!$B$2</f>
        <v>5</v>
      </c>
      <c r="W43" s="225">
        <f>SectorFlows_input!V36*Index!$B$2</f>
        <v>45</v>
      </c>
      <c r="X43" s="225">
        <f>SectorFlows_input!W36*Index!$B$2</f>
        <v>5</v>
      </c>
      <c r="Y43" s="225">
        <f>SectorFlows_input!X36*Index!$B$2</f>
        <v>0</v>
      </c>
      <c r="Z43" s="225">
        <f>SectorFlows_input!Y36*Index!$B$2</f>
        <v>5</v>
      </c>
      <c r="AA43" s="225">
        <f>SectorFlows_input!Z36*Index!$B$2</f>
        <v>245</v>
      </c>
      <c r="AB43" s="226">
        <f t="shared" si="55"/>
        <v>189495</v>
      </c>
      <c r="AD43" s="223" t="s">
        <v>460</v>
      </c>
      <c r="AE43" s="234">
        <f t="shared" si="56"/>
        <v>0.24066598063273437</v>
      </c>
      <c r="AF43" s="234">
        <f t="shared" si="31"/>
        <v>7.2297422095569802E-3</v>
      </c>
      <c r="AG43" s="234">
        <f t="shared" si="32"/>
        <v>1.1636190928520541E-2</v>
      </c>
      <c r="AH43" s="234">
        <f t="shared" si="33"/>
        <v>8.9712129607641359E-3</v>
      </c>
      <c r="AI43" s="234">
        <f t="shared" si="34"/>
        <v>3.4961344626507296E-2</v>
      </c>
      <c r="AJ43" s="234">
        <f t="shared" si="35"/>
        <v>7.2798754584553677E-2</v>
      </c>
      <c r="AK43" s="233">
        <f t="shared" si="36"/>
        <v>0.44528879389957521</v>
      </c>
      <c r="AL43" s="234">
        <f t="shared" si="37"/>
        <v>6.5991187102562077E-2</v>
      </c>
      <c r="AM43" s="234">
        <f t="shared" si="38"/>
        <v>1.2665241826961134E-3</v>
      </c>
      <c r="AN43" s="234">
        <f t="shared" si="39"/>
        <v>8.1796353465790649E-4</v>
      </c>
      <c r="AO43" s="234">
        <f t="shared" si="40"/>
        <v>3.8259584685611759E-3</v>
      </c>
      <c r="AP43" s="234">
        <f t="shared" si="41"/>
        <v>1.5910710045119923E-2</v>
      </c>
      <c r="AQ43" s="234">
        <f t="shared" si="42"/>
        <v>1.4776115464787989E-2</v>
      </c>
      <c r="AR43" s="234">
        <f t="shared" si="43"/>
        <v>6.9949075173487432E-2</v>
      </c>
      <c r="AS43" s="234">
        <f t="shared" si="44"/>
        <v>2.1900313992453627E-3</v>
      </c>
      <c r="AT43" s="234">
        <f t="shared" si="45"/>
        <v>0</v>
      </c>
      <c r="AU43" s="234">
        <f t="shared" si="46"/>
        <v>2.6385920472835694E-5</v>
      </c>
      <c r="AV43" s="234">
        <f t="shared" si="47"/>
        <v>2.0844877173540198E-3</v>
      </c>
      <c r="AW43" s="234">
        <f t="shared" si="48"/>
        <v>0</v>
      </c>
      <c r="AX43" s="234">
        <f t="shared" si="49"/>
        <v>2.6385920472835694E-5</v>
      </c>
      <c r="AY43" s="234">
        <f t="shared" si="50"/>
        <v>2.3747328425552126E-4</v>
      </c>
      <c r="AZ43" s="234">
        <f t="shared" si="51"/>
        <v>2.6385920472835694E-5</v>
      </c>
      <c r="BA43" s="234">
        <f t="shared" si="52"/>
        <v>0</v>
      </c>
      <c r="BB43" s="234">
        <f t="shared" si="53"/>
        <v>2.6385920472835694E-5</v>
      </c>
      <c r="BC43" s="234">
        <f t="shared" si="54"/>
        <v>1.2929101031689491E-3</v>
      </c>
      <c r="BD43" s="237">
        <f t="shared" si="57"/>
        <v>1</v>
      </c>
    </row>
    <row r="44" spans="2:56" x14ac:dyDescent="0.25">
      <c r="B44" s="223" t="s">
        <v>49</v>
      </c>
      <c r="C44" s="225">
        <f>SectorFlows_input!B37*Index!$B$2</f>
        <v>102185</v>
      </c>
      <c r="D44" s="225">
        <f>SectorFlows_input!C37*Index!$B$2</f>
        <v>2485</v>
      </c>
      <c r="E44" s="225">
        <f>SectorFlows_input!D37*Index!$B$2</f>
        <v>4830</v>
      </c>
      <c r="F44" s="225">
        <f>SectorFlows_input!E37*Index!$B$2</f>
        <v>935</v>
      </c>
      <c r="G44" s="225">
        <f>SectorFlows_input!F37*Index!$B$2</f>
        <v>2765</v>
      </c>
      <c r="H44" s="225">
        <f>SectorFlows_input!G37*Index!$B$2</f>
        <v>4750</v>
      </c>
      <c r="I44" s="225">
        <f>SectorFlows_input!H37*Index!$B$2</f>
        <v>33375</v>
      </c>
      <c r="J44" s="224">
        <f>SectorFlows_input!I37*Index!$B$2</f>
        <v>107265</v>
      </c>
      <c r="K44" s="225">
        <f>SectorFlows_input!J37*Index!$B$2</f>
        <v>260</v>
      </c>
      <c r="L44" s="225">
        <f>SectorFlows_input!K37*Index!$B$2</f>
        <v>140</v>
      </c>
      <c r="M44" s="225">
        <f>SectorFlows_input!L37*Index!$B$2</f>
        <v>395</v>
      </c>
      <c r="N44" s="225">
        <f>SectorFlows_input!M37*Index!$B$2</f>
        <v>1005</v>
      </c>
      <c r="O44" s="225">
        <f>SectorFlows_input!N37*Index!$B$2</f>
        <v>1240</v>
      </c>
      <c r="P44" s="225">
        <f>SectorFlows_input!O37*Index!$B$2</f>
        <v>13050</v>
      </c>
      <c r="Q44" s="225">
        <f>SectorFlows_input!P37*Index!$B$2</f>
        <v>7165</v>
      </c>
      <c r="R44" s="225">
        <f>SectorFlows_input!Q37*Index!$B$2</f>
        <v>0</v>
      </c>
      <c r="S44" s="225">
        <f>SectorFlows_input!R37*Index!$B$2</f>
        <v>35</v>
      </c>
      <c r="T44" s="225">
        <f>SectorFlows_input!S37*Index!$B$2</f>
        <v>9395</v>
      </c>
      <c r="U44" s="225">
        <f>SectorFlows_input!T37*Index!$B$2</f>
        <v>100</v>
      </c>
      <c r="V44" s="225">
        <f>SectorFlows_input!U37*Index!$B$2</f>
        <v>15</v>
      </c>
      <c r="W44" s="225">
        <f>SectorFlows_input!V37*Index!$B$2</f>
        <v>55</v>
      </c>
      <c r="X44" s="225">
        <f>SectorFlows_input!W37*Index!$B$2</f>
        <v>0</v>
      </c>
      <c r="Y44" s="225">
        <f>SectorFlows_input!X37*Index!$B$2</f>
        <v>0</v>
      </c>
      <c r="Z44" s="225">
        <f>SectorFlows_input!Y37*Index!$B$2</f>
        <v>0</v>
      </c>
      <c r="AA44" s="225">
        <f>SectorFlows_input!Z37*Index!$B$2</f>
        <v>595</v>
      </c>
      <c r="AB44" s="226">
        <f t="shared" si="55"/>
        <v>292040</v>
      </c>
      <c r="AD44" s="223" t="s">
        <v>49</v>
      </c>
      <c r="AE44" s="234">
        <f t="shared" si="56"/>
        <v>0.34990069853444733</v>
      </c>
      <c r="AF44" s="234">
        <f t="shared" si="31"/>
        <v>8.5091083413231065E-3</v>
      </c>
      <c r="AG44" s="234">
        <f t="shared" si="32"/>
        <v>1.6538830297219559E-2</v>
      </c>
      <c r="AH44" s="234">
        <f t="shared" si="33"/>
        <v>3.2016162169565812E-3</v>
      </c>
      <c r="AI44" s="234">
        <f t="shared" si="34"/>
        <v>9.4678811121764149E-3</v>
      </c>
      <c r="AJ44" s="234">
        <f t="shared" si="35"/>
        <v>1.62648952198329E-2</v>
      </c>
      <c r="AK44" s="234">
        <f t="shared" si="36"/>
        <v>0.11428229009724696</v>
      </c>
      <c r="AL44" s="233">
        <f t="shared" si="37"/>
        <v>0.36729557594850021</v>
      </c>
      <c r="AM44" s="234">
        <f t="shared" si="38"/>
        <v>8.9028900150664296E-4</v>
      </c>
      <c r="AN44" s="234">
        <f t="shared" si="39"/>
        <v>4.7938638542665386E-4</v>
      </c>
      <c r="AO44" s="234">
        <f t="shared" si="40"/>
        <v>1.3525544445966305E-3</v>
      </c>
      <c r="AP44" s="234">
        <f t="shared" si="41"/>
        <v>3.4413094096699083E-3</v>
      </c>
      <c r="AQ44" s="234">
        <f t="shared" si="42"/>
        <v>4.2459936994932203E-3</v>
      </c>
      <c r="AR44" s="234">
        <f t="shared" si="43"/>
        <v>4.4685659498698807E-2</v>
      </c>
      <c r="AS44" s="234">
        <f t="shared" si="44"/>
        <v>2.4534310368442679E-2</v>
      </c>
      <c r="AT44" s="234">
        <f t="shared" si="45"/>
        <v>0</v>
      </c>
      <c r="AU44" s="234">
        <f t="shared" si="46"/>
        <v>1.1984659635666346E-4</v>
      </c>
      <c r="AV44" s="234">
        <f t="shared" si="47"/>
        <v>3.2170250650595811E-2</v>
      </c>
      <c r="AW44" s="234">
        <f t="shared" si="48"/>
        <v>3.4241884673332418E-4</v>
      </c>
      <c r="AX44" s="234">
        <f t="shared" si="49"/>
        <v>5.136282700999863E-5</v>
      </c>
      <c r="AY44" s="234">
        <f t="shared" si="50"/>
        <v>1.883303657033283E-4</v>
      </c>
      <c r="AZ44" s="234">
        <f t="shared" si="51"/>
        <v>0</v>
      </c>
      <c r="BA44" s="234">
        <f t="shared" si="52"/>
        <v>0</v>
      </c>
      <c r="BB44" s="234">
        <f t="shared" si="53"/>
        <v>0</v>
      </c>
      <c r="BC44" s="234">
        <f t="shared" si="54"/>
        <v>2.037392138063279E-3</v>
      </c>
      <c r="BD44" s="237">
        <f t="shared" si="57"/>
        <v>1</v>
      </c>
    </row>
    <row r="45" spans="2:56" x14ac:dyDescent="0.25">
      <c r="B45" s="223" t="s">
        <v>461</v>
      </c>
      <c r="C45" s="225">
        <f>SectorFlows_input!B38*Index!$B$2</f>
        <v>4645</v>
      </c>
      <c r="D45" s="225">
        <f>SectorFlows_input!C38*Index!$B$2</f>
        <v>9700</v>
      </c>
      <c r="E45" s="225">
        <f>SectorFlows_input!D38*Index!$B$2</f>
        <v>6255</v>
      </c>
      <c r="F45" s="225">
        <f>SectorFlows_input!E38*Index!$B$2</f>
        <v>350</v>
      </c>
      <c r="G45" s="225">
        <f>SectorFlows_input!F38*Index!$B$2</f>
        <v>220</v>
      </c>
      <c r="H45" s="225">
        <f>SectorFlows_input!G38*Index!$B$2</f>
        <v>40</v>
      </c>
      <c r="I45" s="225">
        <f>SectorFlows_input!H38*Index!$B$2</f>
        <v>25</v>
      </c>
      <c r="J45" s="225">
        <f>SectorFlows_input!I38*Index!$B$2</f>
        <v>70</v>
      </c>
      <c r="K45" s="224">
        <f>SectorFlows_input!J38*Index!$B$2</f>
        <v>29060</v>
      </c>
      <c r="L45" s="225">
        <f>SectorFlows_input!K38*Index!$B$2</f>
        <v>4080</v>
      </c>
      <c r="M45" s="225">
        <f>SectorFlows_input!L38*Index!$B$2</f>
        <v>1120</v>
      </c>
      <c r="N45" s="225">
        <f>SectorFlows_input!M38*Index!$B$2</f>
        <v>185</v>
      </c>
      <c r="O45" s="225">
        <f>SectorFlows_input!N38*Index!$B$2</f>
        <v>40</v>
      </c>
      <c r="P45" s="225">
        <f>SectorFlows_input!O38*Index!$B$2</f>
        <v>0</v>
      </c>
      <c r="Q45" s="225">
        <f>SectorFlows_input!P38*Index!$B$2</f>
        <v>5</v>
      </c>
      <c r="R45" s="225">
        <f>SectorFlows_input!Q38*Index!$B$2</f>
        <v>0</v>
      </c>
      <c r="S45" s="225">
        <f>SectorFlows_input!R38*Index!$B$2</f>
        <v>0</v>
      </c>
      <c r="T45" s="225">
        <f>SectorFlows_input!S38*Index!$B$2</f>
        <v>5</v>
      </c>
      <c r="U45" s="225">
        <f>SectorFlows_input!T38*Index!$B$2</f>
        <v>0</v>
      </c>
      <c r="V45" s="225">
        <f>SectorFlows_input!U38*Index!$B$2</f>
        <v>2265</v>
      </c>
      <c r="W45" s="225">
        <f>SectorFlows_input!V38*Index!$B$2</f>
        <v>4395</v>
      </c>
      <c r="X45" s="225">
        <f>SectorFlows_input!W38*Index!$B$2</f>
        <v>10</v>
      </c>
      <c r="Y45" s="225">
        <f>SectorFlows_input!X38*Index!$B$2</f>
        <v>0</v>
      </c>
      <c r="Z45" s="225">
        <f>SectorFlows_input!Y38*Index!$B$2</f>
        <v>0</v>
      </c>
      <c r="AA45" s="225">
        <f>SectorFlows_input!Z38*Index!$B$2</f>
        <v>0</v>
      </c>
      <c r="AB45" s="226">
        <f t="shared" si="55"/>
        <v>62470</v>
      </c>
      <c r="AD45" s="223" t="s">
        <v>461</v>
      </c>
      <c r="AE45" s="234">
        <f t="shared" si="56"/>
        <v>7.4355690731551141E-2</v>
      </c>
      <c r="AF45" s="234">
        <f t="shared" si="31"/>
        <v>0.15527453177525213</v>
      </c>
      <c r="AG45" s="234">
        <f t="shared" si="32"/>
        <v>0.10012806146950537</v>
      </c>
      <c r="AH45" s="234">
        <f t="shared" si="33"/>
        <v>5.6026892908596125E-3</v>
      </c>
      <c r="AI45" s="234">
        <f t="shared" si="34"/>
        <v>3.5216904113974708E-3</v>
      </c>
      <c r="AJ45" s="234">
        <f t="shared" si="35"/>
        <v>6.4030734752681289E-4</v>
      </c>
      <c r="AK45" s="234">
        <f t="shared" si="36"/>
        <v>4.0019209220425807E-4</v>
      </c>
      <c r="AL45" s="234">
        <f t="shared" si="37"/>
        <v>1.1205378581719224E-3</v>
      </c>
      <c r="AM45" s="233">
        <f t="shared" si="38"/>
        <v>0.46518328797822955</v>
      </c>
      <c r="AN45" s="234">
        <f t="shared" si="39"/>
        <v>6.5311349447734909E-2</v>
      </c>
      <c r="AO45" s="234">
        <f t="shared" si="40"/>
        <v>1.7928605730750759E-2</v>
      </c>
      <c r="AP45" s="234">
        <f t="shared" si="41"/>
        <v>2.9614214823115094E-3</v>
      </c>
      <c r="AQ45" s="234">
        <f t="shared" si="42"/>
        <v>6.4030734752681289E-4</v>
      </c>
      <c r="AR45" s="234">
        <f t="shared" si="43"/>
        <v>0</v>
      </c>
      <c r="AS45" s="234">
        <f t="shared" si="44"/>
        <v>8.0038418440851611E-5</v>
      </c>
      <c r="AT45" s="234">
        <f t="shared" si="45"/>
        <v>0</v>
      </c>
      <c r="AU45" s="234">
        <f t="shared" si="46"/>
        <v>0</v>
      </c>
      <c r="AV45" s="234">
        <f t="shared" si="47"/>
        <v>8.0038418440851611E-5</v>
      </c>
      <c r="AW45" s="234">
        <f t="shared" si="48"/>
        <v>0</v>
      </c>
      <c r="AX45" s="234">
        <f t="shared" si="49"/>
        <v>3.6257403553705776E-2</v>
      </c>
      <c r="AY45" s="234">
        <f t="shared" si="50"/>
        <v>7.0353769809508568E-2</v>
      </c>
      <c r="AZ45" s="234">
        <f t="shared" si="51"/>
        <v>1.6007683688170322E-4</v>
      </c>
      <c r="BA45" s="234">
        <f t="shared" si="52"/>
        <v>0</v>
      </c>
      <c r="BB45" s="234">
        <f t="shared" si="53"/>
        <v>0</v>
      </c>
      <c r="BC45" s="234">
        <f t="shared" si="54"/>
        <v>0</v>
      </c>
      <c r="BD45" s="237">
        <f t="shared" si="57"/>
        <v>0.99999999999999989</v>
      </c>
    </row>
    <row r="46" spans="2:56" x14ac:dyDescent="0.25">
      <c r="B46" s="223" t="s">
        <v>462</v>
      </c>
      <c r="C46" s="225">
        <f>SectorFlows_input!B39*Index!$B$2</f>
        <v>3085</v>
      </c>
      <c r="D46" s="225">
        <f>SectorFlows_input!C39*Index!$B$2</f>
        <v>3895</v>
      </c>
      <c r="E46" s="225">
        <f>SectorFlows_input!D39*Index!$B$2</f>
        <v>20400</v>
      </c>
      <c r="F46" s="225">
        <f>SectorFlows_input!E39*Index!$B$2</f>
        <v>1205</v>
      </c>
      <c r="G46" s="225">
        <f>SectorFlows_input!F39*Index!$B$2</f>
        <v>1235</v>
      </c>
      <c r="H46" s="225">
        <f>SectorFlows_input!G39*Index!$B$2</f>
        <v>225</v>
      </c>
      <c r="I46" s="225">
        <f>SectorFlows_input!H39*Index!$B$2</f>
        <v>30</v>
      </c>
      <c r="J46" s="225">
        <f>SectorFlows_input!I39*Index!$B$2</f>
        <v>30</v>
      </c>
      <c r="K46" s="225">
        <f>SectorFlows_input!J39*Index!$B$2</f>
        <v>13120</v>
      </c>
      <c r="L46" s="224">
        <f>SectorFlows_input!K39*Index!$B$2</f>
        <v>84580</v>
      </c>
      <c r="M46" s="225">
        <f>SectorFlows_input!L39*Index!$B$2</f>
        <v>22615</v>
      </c>
      <c r="N46" s="225">
        <f>SectorFlows_input!M39*Index!$B$2</f>
        <v>3810</v>
      </c>
      <c r="O46" s="225">
        <f>SectorFlows_input!N39*Index!$B$2</f>
        <v>880</v>
      </c>
      <c r="P46" s="225">
        <f>SectorFlows_input!O39*Index!$B$2</f>
        <v>60</v>
      </c>
      <c r="Q46" s="225">
        <f>SectorFlows_input!P39*Index!$B$2</f>
        <v>0</v>
      </c>
      <c r="R46" s="225">
        <f>SectorFlows_input!Q39*Index!$B$2</f>
        <v>5</v>
      </c>
      <c r="S46" s="225">
        <f>SectorFlows_input!R39*Index!$B$2</f>
        <v>0</v>
      </c>
      <c r="T46" s="225">
        <f>SectorFlows_input!S39*Index!$B$2</f>
        <v>0</v>
      </c>
      <c r="U46" s="225">
        <f>SectorFlows_input!T39*Index!$B$2</f>
        <v>0</v>
      </c>
      <c r="V46" s="225">
        <f>SectorFlows_input!U39*Index!$B$2</f>
        <v>12330</v>
      </c>
      <c r="W46" s="225">
        <f>SectorFlows_input!V39*Index!$B$2</f>
        <v>5760</v>
      </c>
      <c r="X46" s="225">
        <f>SectorFlows_input!W39*Index!$B$2</f>
        <v>710</v>
      </c>
      <c r="Y46" s="225">
        <f>SectorFlows_input!X39*Index!$B$2</f>
        <v>70</v>
      </c>
      <c r="Z46" s="225">
        <f>SectorFlows_input!Y39*Index!$B$2</f>
        <v>5</v>
      </c>
      <c r="AA46" s="225">
        <f>SectorFlows_input!Z39*Index!$B$2</f>
        <v>5</v>
      </c>
      <c r="AB46" s="226">
        <f t="shared" si="55"/>
        <v>174055</v>
      </c>
      <c r="AD46" s="223" t="s">
        <v>462</v>
      </c>
      <c r="AE46" s="234">
        <f t="shared" si="56"/>
        <v>1.7724282554364999E-2</v>
      </c>
      <c r="AF46" s="234">
        <f t="shared" si="31"/>
        <v>2.237798397058401E-2</v>
      </c>
      <c r="AG46" s="234">
        <f t="shared" si="32"/>
        <v>0.11720433196403436</v>
      </c>
      <c r="AH46" s="234">
        <f t="shared" si="33"/>
        <v>6.9230990204245781E-3</v>
      </c>
      <c r="AI46" s="234">
        <f t="shared" si="34"/>
        <v>7.0954583321363937E-3</v>
      </c>
      <c r="AJ46" s="234">
        <f t="shared" si="35"/>
        <v>1.2926948378386143E-3</v>
      </c>
      <c r="AK46" s="234">
        <f t="shared" si="36"/>
        <v>1.7235931171181524E-4</v>
      </c>
      <c r="AL46" s="234">
        <f t="shared" si="37"/>
        <v>1.7235931171181524E-4</v>
      </c>
      <c r="AM46" s="234">
        <f t="shared" si="38"/>
        <v>7.5378472321967191E-2</v>
      </c>
      <c r="AN46" s="233">
        <f t="shared" si="39"/>
        <v>0.48593835281951109</v>
      </c>
      <c r="AO46" s="234">
        <f t="shared" si="40"/>
        <v>0.12993019447875673</v>
      </c>
      <c r="AP46" s="234">
        <f t="shared" si="41"/>
        <v>2.1889632587400534E-2</v>
      </c>
      <c r="AQ46" s="234">
        <f t="shared" si="42"/>
        <v>5.0558731435465798E-3</v>
      </c>
      <c r="AR46" s="234">
        <f t="shared" si="43"/>
        <v>3.4471862342363047E-4</v>
      </c>
      <c r="AS46" s="234">
        <f t="shared" si="44"/>
        <v>0</v>
      </c>
      <c r="AT46" s="234">
        <f t="shared" si="45"/>
        <v>2.8726551951969206E-5</v>
      </c>
      <c r="AU46" s="234">
        <f t="shared" si="46"/>
        <v>0</v>
      </c>
      <c r="AV46" s="234">
        <f t="shared" si="47"/>
        <v>0</v>
      </c>
      <c r="AW46" s="234">
        <f t="shared" si="48"/>
        <v>0</v>
      </c>
      <c r="AX46" s="234">
        <f t="shared" si="49"/>
        <v>7.0839677113556057E-2</v>
      </c>
      <c r="AY46" s="234">
        <f t="shared" si="50"/>
        <v>3.3092987848668522E-2</v>
      </c>
      <c r="AZ46" s="234">
        <f t="shared" si="51"/>
        <v>4.079170377179627E-3</v>
      </c>
      <c r="BA46" s="234">
        <f t="shared" si="52"/>
        <v>4.0217172732756888E-4</v>
      </c>
      <c r="BB46" s="234">
        <f t="shared" si="53"/>
        <v>2.8726551951969206E-5</v>
      </c>
      <c r="BC46" s="234">
        <f t="shared" si="54"/>
        <v>2.8726551951969206E-5</v>
      </c>
      <c r="BD46" s="237">
        <f t="shared" si="57"/>
        <v>1.0000000000000002</v>
      </c>
    </row>
    <row r="47" spans="2:56" x14ac:dyDescent="0.25">
      <c r="B47" s="223" t="s">
        <v>463</v>
      </c>
      <c r="C47" s="225">
        <f>SectorFlows_input!B40*Index!$B$2</f>
        <v>4810</v>
      </c>
      <c r="D47" s="225">
        <f>SectorFlows_input!C40*Index!$B$2</f>
        <v>1855</v>
      </c>
      <c r="E47" s="225">
        <f>SectorFlows_input!D40*Index!$B$2</f>
        <v>14160</v>
      </c>
      <c r="F47" s="225">
        <f>SectorFlows_input!E40*Index!$B$2</f>
        <v>3205</v>
      </c>
      <c r="G47" s="225">
        <f>SectorFlows_input!F40*Index!$B$2</f>
        <v>3135</v>
      </c>
      <c r="H47" s="225">
        <f>SectorFlows_input!G40*Index!$B$2</f>
        <v>935</v>
      </c>
      <c r="I47" s="225">
        <f>SectorFlows_input!H40*Index!$B$2</f>
        <v>190</v>
      </c>
      <c r="J47" s="225">
        <f>SectorFlows_input!I40*Index!$B$2</f>
        <v>75</v>
      </c>
      <c r="K47" s="225">
        <f>SectorFlows_input!J40*Index!$B$2</f>
        <v>1825</v>
      </c>
      <c r="L47" s="225">
        <f>SectorFlows_input!K40*Index!$B$2</f>
        <v>22410</v>
      </c>
      <c r="M47" s="224">
        <f>SectorFlows_input!L40*Index!$B$2</f>
        <v>99890</v>
      </c>
      <c r="N47" s="225">
        <f>SectorFlows_input!M40*Index!$B$2</f>
        <v>27860</v>
      </c>
      <c r="O47" s="225">
        <f>SectorFlows_input!N40*Index!$B$2</f>
        <v>5845</v>
      </c>
      <c r="P47" s="225">
        <f>SectorFlows_input!O40*Index!$B$2</f>
        <v>210</v>
      </c>
      <c r="Q47" s="225">
        <f>SectorFlows_input!P40*Index!$B$2</f>
        <v>0</v>
      </c>
      <c r="R47" s="225">
        <f>SectorFlows_input!Q40*Index!$B$2</f>
        <v>0</v>
      </c>
      <c r="S47" s="225">
        <f>SectorFlows_input!R40*Index!$B$2</f>
        <v>10</v>
      </c>
      <c r="T47" s="225">
        <f>SectorFlows_input!S40*Index!$B$2</f>
        <v>0</v>
      </c>
      <c r="U47" s="225">
        <f>SectorFlows_input!T40*Index!$B$2</f>
        <v>0</v>
      </c>
      <c r="V47" s="225">
        <f>SectorFlows_input!U40*Index!$B$2</f>
        <v>2275</v>
      </c>
      <c r="W47" s="225">
        <f>SectorFlows_input!V40*Index!$B$2</f>
        <v>615</v>
      </c>
      <c r="X47" s="225">
        <f>SectorFlows_input!W40*Index!$B$2</f>
        <v>5810</v>
      </c>
      <c r="Y47" s="225">
        <f>SectorFlows_input!X40*Index!$B$2</f>
        <v>1750</v>
      </c>
      <c r="Z47" s="225">
        <f>SectorFlows_input!Y40*Index!$B$2</f>
        <v>175</v>
      </c>
      <c r="AA47" s="225">
        <f>SectorFlows_input!Z40*Index!$B$2</f>
        <v>10</v>
      </c>
      <c r="AB47" s="226">
        <f t="shared" si="55"/>
        <v>197050</v>
      </c>
      <c r="AD47" s="223" t="s">
        <v>463</v>
      </c>
      <c r="AE47" s="234">
        <f t="shared" si="56"/>
        <v>2.4410048211113932E-2</v>
      </c>
      <c r="AF47" s="234">
        <f t="shared" si="31"/>
        <v>9.4138543516873886E-3</v>
      </c>
      <c r="AG47" s="234">
        <f t="shared" si="32"/>
        <v>7.1859934026896721E-2</v>
      </c>
      <c r="AH47" s="234">
        <f t="shared" si="33"/>
        <v>1.6264907383912713E-2</v>
      </c>
      <c r="AI47" s="234">
        <f t="shared" si="34"/>
        <v>1.5909667597056584E-2</v>
      </c>
      <c r="AJ47" s="234">
        <f t="shared" si="35"/>
        <v>4.7449885815782798E-3</v>
      </c>
      <c r="AK47" s="234">
        <f t="shared" si="36"/>
        <v>9.6422227860949001E-4</v>
      </c>
      <c r="AL47" s="234">
        <f t="shared" si="37"/>
        <v>3.8061405734585131E-4</v>
      </c>
      <c r="AM47" s="234">
        <f t="shared" si="38"/>
        <v>9.2616087287490483E-3</v>
      </c>
      <c r="AN47" s="234">
        <f t="shared" si="39"/>
        <v>0.11372748033494037</v>
      </c>
      <c r="AO47" s="233">
        <f t="shared" si="40"/>
        <v>0.50692717584369451</v>
      </c>
      <c r="AP47" s="234">
        <f t="shared" si="41"/>
        <v>0.14138543516873889</v>
      </c>
      <c r="AQ47" s="234">
        <f t="shared" si="42"/>
        <v>2.9662522202486677E-2</v>
      </c>
      <c r="AR47" s="234">
        <f t="shared" si="43"/>
        <v>1.0657193605683837E-3</v>
      </c>
      <c r="AS47" s="234">
        <f t="shared" si="44"/>
        <v>0</v>
      </c>
      <c r="AT47" s="234">
        <f t="shared" si="45"/>
        <v>0</v>
      </c>
      <c r="AU47" s="234">
        <f t="shared" si="46"/>
        <v>5.0748540979446843E-5</v>
      </c>
      <c r="AV47" s="234">
        <f t="shared" si="47"/>
        <v>0</v>
      </c>
      <c r="AW47" s="234">
        <f t="shared" si="48"/>
        <v>0</v>
      </c>
      <c r="AX47" s="234">
        <f t="shared" si="49"/>
        <v>1.1545293072824156E-2</v>
      </c>
      <c r="AY47" s="234">
        <f t="shared" si="50"/>
        <v>3.1210352702359806E-3</v>
      </c>
      <c r="AZ47" s="234">
        <f t="shared" si="51"/>
        <v>2.9484902309058616E-2</v>
      </c>
      <c r="BA47" s="234">
        <f t="shared" si="52"/>
        <v>8.8809946714031966E-3</v>
      </c>
      <c r="BB47" s="234">
        <f t="shared" si="53"/>
        <v>8.8809946714031975E-4</v>
      </c>
      <c r="BC47" s="234">
        <f t="shared" si="54"/>
        <v>5.0748540979446843E-5</v>
      </c>
      <c r="BD47" s="237">
        <f t="shared" si="57"/>
        <v>1.0000000000000002</v>
      </c>
    </row>
    <row r="48" spans="2:56" x14ac:dyDescent="0.25">
      <c r="B48" s="223" t="s">
        <v>464</v>
      </c>
      <c r="C48" s="225">
        <f>SectorFlows_input!B41*Index!$B$2</f>
        <v>8160</v>
      </c>
      <c r="D48" s="225">
        <f>SectorFlows_input!C41*Index!$B$2</f>
        <v>390</v>
      </c>
      <c r="E48" s="225">
        <f>SectorFlows_input!D41*Index!$B$2</f>
        <v>5140</v>
      </c>
      <c r="F48" s="225">
        <f>SectorFlows_input!E41*Index!$B$2</f>
        <v>2690</v>
      </c>
      <c r="G48" s="225">
        <f>SectorFlows_input!F41*Index!$B$2</f>
        <v>6350</v>
      </c>
      <c r="H48" s="225">
        <f>SectorFlows_input!G41*Index!$B$2</f>
        <v>2305</v>
      </c>
      <c r="I48" s="225">
        <f>SectorFlows_input!H41*Index!$B$2</f>
        <v>280</v>
      </c>
      <c r="J48" s="225">
        <f>SectorFlows_input!I41*Index!$B$2</f>
        <v>150</v>
      </c>
      <c r="K48" s="225">
        <f>SectorFlows_input!J41*Index!$B$2</f>
        <v>275</v>
      </c>
      <c r="L48" s="225">
        <f>SectorFlows_input!K41*Index!$B$2</f>
        <v>3250</v>
      </c>
      <c r="M48" s="225">
        <f>SectorFlows_input!L41*Index!$B$2</f>
        <v>19985</v>
      </c>
      <c r="N48" s="224">
        <f>SectorFlows_input!M41*Index!$B$2</f>
        <v>88760</v>
      </c>
      <c r="O48" s="225">
        <f>SectorFlows_input!N41*Index!$B$2</f>
        <v>25375</v>
      </c>
      <c r="P48" s="225">
        <f>SectorFlows_input!O41*Index!$B$2</f>
        <v>765</v>
      </c>
      <c r="Q48" s="225">
        <f>SectorFlows_input!P41*Index!$B$2</f>
        <v>0</v>
      </c>
      <c r="R48" s="225">
        <f>SectorFlows_input!Q41*Index!$B$2</f>
        <v>0</v>
      </c>
      <c r="S48" s="225">
        <f>SectorFlows_input!R41*Index!$B$2</f>
        <v>5</v>
      </c>
      <c r="T48" s="225">
        <f>SectorFlows_input!S41*Index!$B$2</f>
        <v>0</v>
      </c>
      <c r="U48" s="225">
        <f>SectorFlows_input!T41*Index!$B$2</f>
        <v>0</v>
      </c>
      <c r="V48" s="225">
        <f>SectorFlows_input!U41*Index!$B$2</f>
        <v>330</v>
      </c>
      <c r="W48" s="225">
        <f>SectorFlows_input!V41*Index!$B$2</f>
        <v>70</v>
      </c>
      <c r="X48" s="225">
        <f>SectorFlows_input!W41*Index!$B$2</f>
        <v>580</v>
      </c>
      <c r="Y48" s="225">
        <f>SectorFlows_input!X41*Index!$B$2</f>
        <v>2520</v>
      </c>
      <c r="Z48" s="225">
        <f>SectorFlows_input!Y41*Index!$B$2</f>
        <v>375</v>
      </c>
      <c r="AA48" s="225">
        <f>SectorFlows_input!Z41*Index!$B$2</f>
        <v>100</v>
      </c>
      <c r="AB48" s="226">
        <f t="shared" si="55"/>
        <v>167855</v>
      </c>
      <c r="AD48" s="223" t="s">
        <v>464</v>
      </c>
      <c r="AE48" s="234">
        <f t="shared" si="56"/>
        <v>4.8613386553870902E-2</v>
      </c>
      <c r="AF48" s="234">
        <f t="shared" si="31"/>
        <v>2.3234339161776535E-3</v>
      </c>
      <c r="AG48" s="234">
        <f t="shared" si="32"/>
        <v>3.0621667510649073E-2</v>
      </c>
      <c r="AH48" s="234">
        <f t="shared" si="33"/>
        <v>1.6025736498763814E-2</v>
      </c>
      <c r="AI48" s="234">
        <f t="shared" si="34"/>
        <v>3.7830270173661792E-2</v>
      </c>
      <c r="AJ48" s="234">
        <f t="shared" si="35"/>
        <v>1.373209019689613E-2</v>
      </c>
      <c r="AK48" s="234">
        <f t="shared" si="36"/>
        <v>1.6681064013583152E-3</v>
      </c>
      <c r="AL48" s="234">
        <f t="shared" si="37"/>
        <v>8.936284292990974E-4</v>
      </c>
      <c r="AM48" s="234">
        <f t="shared" si="38"/>
        <v>1.6383187870483453E-3</v>
      </c>
      <c r="AN48" s="234">
        <f t="shared" si="39"/>
        <v>1.9361949301480445E-2</v>
      </c>
      <c r="AO48" s="234">
        <f t="shared" si="40"/>
        <v>0.11906109439694974</v>
      </c>
      <c r="AP48" s="233">
        <f t="shared" si="41"/>
        <v>0.52878972923058587</v>
      </c>
      <c r="AQ48" s="234">
        <f t="shared" si="42"/>
        <v>0.15117214262309731</v>
      </c>
      <c r="AR48" s="234">
        <f t="shared" si="43"/>
        <v>4.5575049894253971E-3</v>
      </c>
      <c r="AS48" s="234">
        <f t="shared" si="44"/>
        <v>0</v>
      </c>
      <c r="AT48" s="234">
        <f t="shared" si="45"/>
        <v>0</v>
      </c>
      <c r="AU48" s="234">
        <f t="shared" si="46"/>
        <v>2.9787614309969916E-5</v>
      </c>
      <c r="AV48" s="234">
        <f t="shared" si="47"/>
        <v>0</v>
      </c>
      <c r="AW48" s="234">
        <f t="shared" si="48"/>
        <v>0</v>
      </c>
      <c r="AX48" s="234">
        <f t="shared" si="49"/>
        <v>1.9659825444580145E-3</v>
      </c>
      <c r="AY48" s="234">
        <f t="shared" si="50"/>
        <v>4.170266003395788E-4</v>
      </c>
      <c r="AZ48" s="234">
        <f t="shared" si="51"/>
        <v>3.4553632599565102E-3</v>
      </c>
      <c r="BA48" s="234">
        <f t="shared" si="52"/>
        <v>1.5012957612224837E-2</v>
      </c>
      <c r="BB48" s="234">
        <f t="shared" si="53"/>
        <v>2.2340710732477436E-3</v>
      </c>
      <c r="BC48" s="234">
        <f t="shared" si="54"/>
        <v>5.9575228619939834E-4</v>
      </c>
      <c r="BD48" s="237">
        <f t="shared" si="57"/>
        <v>0.99999999999999989</v>
      </c>
    </row>
    <row r="49" spans="2:56" x14ac:dyDescent="0.25">
      <c r="B49" s="223" t="s">
        <v>465</v>
      </c>
      <c r="C49" s="225">
        <f>SectorFlows_input!B42*Index!$B$2</f>
        <v>13885</v>
      </c>
      <c r="D49" s="225">
        <f>SectorFlows_input!C42*Index!$B$2</f>
        <v>200</v>
      </c>
      <c r="E49" s="225">
        <f>SectorFlows_input!D42*Index!$B$2</f>
        <v>3345</v>
      </c>
      <c r="F49" s="225">
        <f>SectorFlows_input!E42*Index!$B$2</f>
        <v>1510</v>
      </c>
      <c r="G49" s="225">
        <f>SectorFlows_input!F42*Index!$B$2</f>
        <v>5695</v>
      </c>
      <c r="H49" s="225">
        <f>SectorFlows_input!G42*Index!$B$2</f>
        <v>8715</v>
      </c>
      <c r="I49" s="225">
        <f>SectorFlows_input!H42*Index!$B$2</f>
        <v>2530</v>
      </c>
      <c r="J49" s="225">
        <f>SectorFlows_input!I42*Index!$B$2</f>
        <v>530</v>
      </c>
      <c r="K49" s="225">
        <f>SectorFlows_input!J42*Index!$B$2</f>
        <v>105</v>
      </c>
      <c r="L49" s="225">
        <f>SectorFlows_input!K42*Index!$B$2</f>
        <v>1505</v>
      </c>
      <c r="M49" s="225">
        <f>SectorFlows_input!L42*Index!$B$2</f>
        <v>7495</v>
      </c>
      <c r="N49" s="225">
        <f>SectorFlows_input!M42*Index!$B$2</f>
        <v>43270</v>
      </c>
      <c r="O49" s="224">
        <f>SectorFlows_input!N42*Index!$B$2</f>
        <v>167800</v>
      </c>
      <c r="P49" s="225">
        <f>SectorFlows_input!O42*Index!$B$2</f>
        <v>11860</v>
      </c>
      <c r="Q49" s="225">
        <f>SectorFlows_input!P42*Index!$B$2</f>
        <v>15</v>
      </c>
      <c r="R49" s="225">
        <f>SectorFlows_input!Q42*Index!$B$2</f>
        <v>0</v>
      </c>
      <c r="S49" s="225">
        <f>SectorFlows_input!R42*Index!$B$2</f>
        <v>35</v>
      </c>
      <c r="T49" s="225">
        <f>SectorFlows_input!S42*Index!$B$2</f>
        <v>0</v>
      </c>
      <c r="U49" s="225">
        <f>SectorFlows_input!T42*Index!$B$2</f>
        <v>0</v>
      </c>
      <c r="V49" s="225">
        <f>SectorFlows_input!U42*Index!$B$2</f>
        <v>110</v>
      </c>
      <c r="W49" s="225">
        <f>SectorFlows_input!V42*Index!$B$2</f>
        <v>55</v>
      </c>
      <c r="X49" s="225">
        <f>SectorFlows_input!W42*Index!$B$2</f>
        <v>240</v>
      </c>
      <c r="Y49" s="225">
        <f>SectorFlows_input!X42*Index!$B$2</f>
        <v>2655</v>
      </c>
      <c r="Z49" s="225">
        <f>SectorFlows_input!Y42*Index!$B$2</f>
        <v>6375</v>
      </c>
      <c r="AA49" s="225">
        <f>SectorFlows_input!Z42*Index!$B$2</f>
        <v>3480</v>
      </c>
      <c r="AB49" s="226">
        <f t="shared" si="55"/>
        <v>281410</v>
      </c>
      <c r="AD49" s="223" t="s">
        <v>465</v>
      </c>
      <c r="AE49" s="234">
        <f t="shared" si="56"/>
        <v>4.934081944493799E-2</v>
      </c>
      <c r="AF49" s="234">
        <f t="shared" si="31"/>
        <v>7.1070679791052202E-4</v>
      </c>
      <c r="AG49" s="234">
        <f t="shared" si="32"/>
        <v>1.1886571195053481E-2</v>
      </c>
      <c r="AH49" s="234">
        <f t="shared" si="33"/>
        <v>5.3658363242244413E-3</v>
      </c>
      <c r="AI49" s="234">
        <f t="shared" si="34"/>
        <v>2.0237376070502116E-2</v>
      </c>
      <c r="AJ49" s="234">
        <f t="shared" si="35"/>
        <v>3.0969048718950998E-2</v>
      </c>
      <c r="AK49" s="234">
        <f t="shared" si="36"/>
        <v>8.9904409935681034E-3</v>
      </c>
      <c r="AL49" s="234">
        <f t="shared" si="37"/>
        <v>1.8833730144628834E-3</v>
      </c>
      <c r="AM49" s="234">
        <f t="shared" si="38"/>
        <v>3.7312106890302404E-4</v>
      </c>
      <c r="AN49" s="234">
        <f t="shared" si="39"/>
        <v>5.3480686542766781E-3</v>
      </c>
      <c r="AO49" s="234">
        <f t="shared" si="40"/>
        <v>2.6633737251696814E-2</v>
      </c>
      <c r="AP49" s="234">
        <f t="shared" si="41"/>
        <v>0.15376141572794144</v>
      </c>
      <c r="AQ49" s="233">
        <f t="shared" si="42"/>
        <v>0.59628300344692797</v>
      </c>
      <c r="AR49" s="234">
        <f t="shared" si="43"/>
        <v>4.2144913116093953E-2</v>
      </c>
      <c r="AS49" s="234">
        <f t="shared" si="44"/>
        <v>5.3303009843289149E-5</v>
      </c>
      <c r="AT49" s="234">
        <f t="shared" si="45"/>
        <v>0</v>
      </c>
      <c r="AU49" s="234">
        <f t="shared" si="46"/>
        <v>1.2437368963434136E-4</v>
      </c>
      <c r="AV49" s="234">
        <f t="shared" si="47"/>
        <v>0</v>
      </c>
      <c r="AW49" s="234">
        <f t="shared" si="48"/>
        <v>0</v>
      </c>
      <c r="AX49" s="234">
        <f t="shared" si="49"/>
        <v>3.9088873885078713E-4</v>
      </c>
      <c r="AY49" s="234">
        <f t="shared" si="50"/>
        <v>1.9544436942539356E-4</v>
      </c>
      <c r="AZ49" s="234">
        <f t="shared" si="51"/>
        <v>8.5284815749262638E-4</v>
      </c>
      <c r="BA49" s="234">
        <f t="shared" si="52"/>
        <v>9.4346327422621789E-3</v>
      </c>
      <c r="BB49" s="234">
        <f t="shared" si="53"/>
        <v>2.265377918339789E-2</v>
      </c>
      <c r="BC49" s="234">
        <f t="shared" si="54"/>
        <v>1.2366298283643083E-2</v>
      </c>
      <c r="BD49" s="237">
        <f t="shared" si="57"/>
        <v>1</v>
      </c>
    </row>
    <row r="50" spans="2:56" x14ac:dyDescent="0.25">
      <c r="B50" s="223" t="s">
        <v>466</v>
      </c>
      <c r="C50" s="225">
        <f>SectorFlows_input!B43*Index!$B$2</f>
        <v>12755</v>
      </c>
      <c r="D50" s="225">
        <f>SectorFlows_input!C43*Index!$B$2</f>
        <v>205</v>
      </c>
      <c r="E50" s="225">
        <f>SectorFlows_input!D43*Index!$B$2</f>
        <v>930</v>
      </c>
      <c r="F50" s="225">
        <f>SectorFlows_input!E43*Index!$B$2</f>
        <v>940</v>
      </c>
      <c r="G50" s="225">
        <f>SectorFlows_input!F43*Index!$B$2</f>
        <v>4580</v>
      </c>
      <c r="H50" s="225">
        <f>SectorFlows_input!G43*Index!$B$2</f>
        <v>8875</v>
      </c>
      <c r="I50" s="225">
        <f>SectorFlows_input!H43*Index!$B$2</f>
        <v>22715</v>
      </c>
      <c r="J50" s="225">
        <f>SectorFlows_input!I43*Index!$B$2</f>
        <v>7895</v>
      </c>
      <c r="K50" s="225">
        <f>SectorFlows_input!J43*Index!$B$2</f>
        <v>35</v>
      </c>
      <c r="L50" s="225">
        <f>SectorFlows_input!K43*Index!$B$2</f>
        <v>165</v>
      </c>
      <c r="M50" s="225">
        <f>SectorFlows_input!L43*Index!$B$2</f>
        <v>1045</v>
      </c>
      <c r="N50" s="225">
        <f>SectorFlows_input!M43*Index!$B$2</f>
        <v>6455</v>
      </c>
      <c r="O50" s="225">
        <f>SectorFlows_input!N43*Index!$B$2</f>
        <v>11950</v>
      </c>
      <c r="P50" s="224">
        <f>SectorFlows_input!O43*Index!$B$2</f>
        <v>70025</v>
      </c>
      <c r="Q50" s="225">
        <f>SectorFlows_input!P43*Index!$B$2</f>
        <v>6090</v>
      </c>
      <c r="R50" s="225">
        <f>SectorFlows_input!Q43*Index!$B$2</f>
        <v>0</v>
      </c>
      <c r="S50" s="225">
        <f>SectorFlows_input!R43*Index!$B$2</f>
        <v>75</v>
      </c>
      <c r="T50" s="225">
        <f>SectorFlows_input!S43*Index!$B$2</f>
        <v>845</v>
      </c>
      <c r="U50" s="225">
        <f>SectorFlows_input!T43*Index!$B$2</f>
        <v>25</v>
      </c>
      <c r="V50" s="225">
        <f>SectorFlows_input!U43*Index!$B$2</f>
        <v>15</v>
      </c>
      <c r="W50" s="225">
        <f>SectorFlows_input!V43*Index!$B$2</f>
        <v>15</v>
      </c>
      <c r="X50" s="225">
        <f>SectorFlows_input!W43*Index!$B$2</f>
        <v>0</v>
      </c>
      <c r="Y50" s="225">
        <f>SectorFlows_input!X43*Index!$B$2</f>
        <v>10</v>
      </c>
      <c r="Z50" s="225">
        <f>SectorFlows_input!Y43*Index!$B$2</f>
        <v>55</v>
      </c>
      <c r="AA50" s="225">
        <f>SectorFlows_input!Z43*Index!$B$2</f>
        <v>9715</v>
      </c>
      <c r="AB50" s="226">
        <f t="shared" si="55"/>
        <v>165415</v>
      </c>
      <c r="AD50" s="223" t="s">
        <v>466</v>
      </c>
      <c r="AE50" s="234">
        <f t="shared" si="56"/>
        <v>7.7109089260345196E-2</v>
      </c>
      <c r="AF50" s="234">
        <f t="shared" si="31"/>
        <v>1.2393071970498444E-3</v>
      </c>
      <c r="AG50" s="234">
        <f t="shared" si="32"/>
        <v>5.6222228939334399E-3</v>
      </c>
      <c r="AH50" s="234">
        <f t="shared" si="33"/>
        <v>5.6826769035456274E-3</v>
      </c>
      <c r="AI50" s="234">
        <f t="shared" si="34"/>
        <v>2.7687936402381888E-2</v>
      </c>
      <c r="AJ50" s="234">
        <f t="shared" si="35"/>
        <v>5.3652933530816432E-2</v>
      </c>
      <c r="AK50" s="234">
        <f t="shared" si="36"/>
        <v>0.13732128283408396</v>
      </c>
      <c r="AL50" s="234">
        <f t="shared" si="37"/>
        <v>4.7728440588822051E-2</v>
      </c>
      <c r="AM50" s="234">
        <f t="shared" si="38"/>
        <v>2.1158903364265635E-4</v>
      </c>
      <c r="AN50" s="234">
        <f t="shared" si="39"/>
        <v>9.9749115860109415E-4</v>
      </c>
      <c r="AO50" s="234">
        <f t="shared" si="40"/>
        <v>6.317444004473597E-3</v>
      </c>
      <c r="AP50" s="234">
        <f t="shared" si="41"/>
        <v>3.9023063204667051E-2</v>
      </c>
      <c r="AQ50" s="234">
        <f t="shared" si="42"/>
        <v>7.2242541486564102E-2</v>
      </c>
      <c r="AR50" s="233">
        <f t="shared" si="43"/>
        <v>0.42332920230934318</v>
      </c>
      <c r="AS50" s="234">
        <f t="shared" si="44"/>
        <v>3.6816491853822207E-2</v>
      </c>
      <c r="AT50" s="234">
        <f t="shared" si="45"/>
        <v>0</v>
      </c>
      <c r="AU50" s="234">
        <f t="shared" si="46"/>
        <v>4.5340507209140645E-4</v>
      </c>
      <c r="AV50" s="234">
        <f t="shared" si="47"/>
        <v>5.1083638122298462E-3</v>
      </c>
      <c r="AW50" s="234">
        <f t="shared" si="48"/>
        <v>1.5113502403046883E-4</v>
      </c>
      <c r="AX50" s="234">
        <f t="shared" si="49"/>
        <v>9.0681014418281288E-5</v>
      </c>
      <c r="AY50" s="234">
        <f t="shared" si="50"/>
        <v>9.0681014418281288E-5</v>
      </c>
      <c r="AZ50" s="234">
        <f t="shared" si="51"/>
        <v>0</v>
      </c>
      <c r="BA50" s="234">
        <f t="shared" si="52"/>
        <v>6.0454009612187525E-5</v>
      </c>
      <c r="BB50" s="234">
        <f t="shared" si="53"/>
        <v>3.324970528670314E-4</v>
      </c>
      <c r="BC50" s="234">
        <f t="shared" si="54"/>
        <v>5.8731070338240182E-2</v>
      </c>
      <c r="BD50" s="237">
        <f t="shared" si="57"/>
        <v>1.0000000000000002</v>
      </c>
    </row>
    <row r="51" spans="2:56" x14ac:dyDescent="0.25">
      <c r="B51" s="223" t="s">
        <v>467</v>
      </c>
      <c r="C51" s="225">
        <f>SectorFlows_input!B44*Index!$B$2</f>
        <v>11305</v>
      </c>
      <c r="D51" s="225">
        <f>SectorFlows_input!C44*Index!$B$2</f>
        <v>275</v>
      </c>
      <c r="E51" s="225">
        <f>SectorFlows_input!D44*Index!$B$2</f>
        <v>285</v>
      </c>
      <c r="F51" s="225">
        <f>SectorFlows_input!E44*Index!$B$2</f>
        <v>45</v>
      </c>
      <c r="G51" s="225">
        <f>SectorFlows_input!F44*Index!$B$2</f>
        <v>225</v>
      </c>
      <c r="H51" s="225">
        <f>SectorFlows_input!G44*Index!$B$2</f>
        <v>480</v>
      </c>
      <c r="I51" s="225">
        <f>SectorFlows_input!H44*Index!$B$2</f>
        <v>5350</v>
      </c>
      <c r="J51" s="225">
        <f>SectorFlows_input!I44*Index!$B$2</f>
        <v>14315</v>
      </c>
      <c r="K51" s="225">
        <f>SectorFlows_input!J44*Index!$B$2</f>
        <v>10</v>
      </c>
      <c r="L51" s="225">
        <f>SectorFlows_input!K44*Index!$B$2</f>
        <v>0</v>
      </c>
      <c r="M51" s="225">
        <f>SectorFlows_input!L44*Index!$B$2</f>
        <v>5</v>
      </c>
      <c r="N51" s="225">
        <f>SectorFlows_input!M44*Index!$B$2</f>
        <v>245</v>
      </c>
      <c r="O51" s="225">
        <f>SectorFlows_input!N44*Index!$B$2</f>
        <v>310</v>
      </c>
      <c r="P51" s="225">
        <f>SectorFlows_input!O44*Index!$B$2</f>
        <v>10100</v>
      </c>
      <c r="Q51" s="224">
        <f>SectorFlows_input!P44*Index!$B$2</f>
        <v>53645</v>
      </c>
      <c r="R51" s="225">
        <f>SectorFlows_input!Q44*Index!$B$2</f>
        <v>0</v>
      </c>
      <c r="S51" s="225">
        <f>SectorFlows_input!R44*Index!$B$2</f>
        <v>1005</v>
      </c>
      <c r="T51" s="225">
        <f>SectorFlows_input!S44*Index!$B$2</f>
        <v>10140</v>
      </c>
      <c r="U51" s="225">
        <f>SectorFlows_input!T44*Index!$B$2</f>
        <v>885</v>
      </c>
      <c r="V51" s="225">
        <f>SectorFlows_input!U44*Index!$B$2</f>
        <v>0</v>
      </c>
      <c r="W51" s="225">
        <f>SectorFlows_input!V44*Index!$B$2</f>
        <v>0</v>
      </c>
      <c r="X51" s="225">
        <f>SectorFlows_input!W44*Index!$B$2</f>
        <v>0</v>
      </c>
      <c r="Y51" s="225">
        <f>SectorFlows_input!X44*Index!$B$2</f>
        <v>0</v>
      </c>
      <c r="Z51" s="225">
        <f>SectorFlows_input!Y44*Index!$B$2</f>
        <v>0</v>
      </c>
      <c r="AA51" s="225">
        <f>SectorFlows_input!Z44*Index!$B$2</f>
        <v>5015</v>
      </c>
      <c r="AB51" s="226">
        <f t="shared" si="55"/>
        <v>113640</v>
      </c>
      <c r="AD51" s="223" t="s">
        <v>467</v>
      </c>
      <c r="AE51" s="234">
        <f t="shared" si="56"/>
        <v>9.9480816613868359E-2</v>
      </c>
      <c r="AF51" s="234">
        <f t="shared" si="31"/>
        <v>2.4199225624780005E-3</v>
      </c>
      <c r="AG51" s="234">
        <f t="shared" si="32"/>
        <v>2.5079197465681098E-3</v>
      </c>
      <c r="AH51" s="234">
        <f t="shared" si="33"/>
        <v>3.9598732840549105E-4</v>
      </c>
      <c r="AI51" s="234">
        <f t="shared" si="34"/>
        <v>1.9799366420274549E-3</v>
      </c>
      <c r="AJ51" s="234">
        <f t="shared" si="35"/>
        <v>4.2238648363252373E-3</v>
      </c>
      <c r="AK51" s="234">
        <f t="shared" si="36"/>
        <v>4.7078493488208376E-2</v>
      </c>
      <c r="AL51" s="234">
        <f t="shared" si="37"/>
        <v>0.12596796902499119</v>
      </c>
      <c r="AM51" s="234">
        <f t="shared" si="38"/>
        <v>8.7997184090109114E-5</v>
      </c>
      <c r="AN51" s="234">
        <f t="shared" si="39"/>
        <v>0</v>
      </c>
      <c r="AO51" s="234">
        <f t="shared" si="40"/>
        <v>4.3998592045054557E-5</v>
      </c>
      <c r="AP51" s="234">
        <f t="shared" si="41"/>
        <v>2.1559310102076735E-3</v>
      </c>
      <c r="AQ51" s="234">
        <f t="shared" si="42"/>
        <v>2.7279127067933828E-3</v>
      </c>
      <c r="AR51" s="234">
        <f t="shared" si="43"/>
        <v>8.8877155931010213E-2</v>
      </c>
      <c r="AS51" s="233">
        <f t="shared" si="44"/>
        <v>0.47206089405139035</v>
      </c>
      <c r="AT51" s="234">
        <f t="shared" si="45"/>
        <v>0</v>
      </c>
      <c r="AU51" s="234">
        <f t="shared" si="46"/>
        <v>8.843717001055967E-3</v>
      </c>
      <c r="AV51" s="234">
        <f t="shared" si="47"/>
        <v>8.9229144667370641E-2</v>
      </c>
      <c r="AW51" s="234">
        <f t="shared" si="48"/>
        <v>7.7877507919746564E-3</v>
      </c>
      <c r="AX51" s="234">
        <f t="shared" si="49"/>
        <v>0</v>
      </c>
      <c r="AY51" s="234">
        <f t="shared" si="50"/>
        <v>0</v>
      </c>
      <c r="AZ51" s="234">
        <f t="shared" si="51"/>
        <v>0</v>
      </c>
      <c r="BA51" s="234">
        <f t="shared" si="52"/>
        <v>0</v>
      </c>
      <c r="BB51" s="234">
        <f t="shared" si="53"/>
        <v>0</v>
      </c>
      <c r="BC51" s="234">
        <f t="shared" si="54"/>
        <v>4.4130587821189719E-2</v>
      </c>
      <c r="BD51" s="237">
        <f t="shared" si="57"/>
        <v>1</v>
      </c>
    </row>
    <row r="52" spans="2:56" x14ac:dyDescent="0.25">
      <c r="B52" s="223" t="s">
        <v>468</v>
      </c>
      <c r="C52" s="225">
        <f>SectorFlows_input!B45*Index!$B$2</f>
        <v>150</v>
      </c>
      <c r="D52" s="225">
        <f>SectorFlows_input!C45*Index!$B$2</f>
        <v>215</v>
      </c>
      <c r="E52" s="225">
        <f>SectorFlows_input!D45*Index!$B$2</f>
        <v>255</v>
      </c>
      <c r="F52" s="225">
        <f>SectorFlows_input!E45*Index!$B$2</f>
        <v>10</v>
      </c>
      <c r="G52" s="225">
        <f>SectorFlows_input!F45*Index!$B$2</f>
        <v>0</v>
      </c>
      <c r="H52" s="225">
        <f>SectorFlows_input!G45*Index!$B$2</f>
        <v>0</v>
      </c>
      <c r="I52" s="225">
        <f>SectorFlows_input!H45*Index!$B$2</f>
        <v>0</v>
      </c>
      <c r="J52" s="225">
        <f>SectorFlows_input!I45*Index!$B$2</f>
        <v>0</v>
      </c>
      <c r="K52" s="225">
        <f>SectorFlows_input!J45*Index!$B$2</f>
        <v>1000</v>
      </c>
      <c r="L52" s="225">
        <f>SectorFlows_input!K45*Index!$B$2</f>
        <v>1505</v>
      </c>
      <c r="M52" s="225">
        <f>SectorFlows_input!L45*Index!$B$2</f>
        <v>455</v>
      </c>
      <c r="N52" s="225">
        <f>SectorFlows_input!M45*Index!$B$2</f>
        <v>25</v>
      </c>
      <c r="O52" s="225">
        <f>SectorFlows_input!N45*Index!$B$2</f>
        <v>0</v>
      </c>
      <c r="P52" s="225">
        <f>SectorFlows_input!O45*Index!$B$2</f>
        <v>0</v>
      </c>
      <c r="Q52" s="225">
        <f>SectorFlows_input!P45*Index!$B$2</f>
        <v>0</v>
      </c>
      <c r="R52" s="224">
        <f>SectorFlows_input!Q45*Index!$B$2</f>
        <v>170400</v>
      </c>
      <c r="S52" s="225">
        <f>SectorFlows_input!R45*Index!$B$2</f>
        <v>1500</v>
      </c>
      <c r="T52" s="225">
        <f>SectorFlows_input!S45*Index!$B$2</f>
        <v>0</v>
      </c>
      <c r="U52" s="225">
        <f>SectorFlows_input!T45*Index!$B$2</f>
        <v>0</v>
      </c>
      <c r="V52" s="225">
        <f>SectorFlows_input!U45*Index!$B$2</f>
        <v>26255</v>
      </c>
      <c r="W52" s="225">
        <f>SectorFlows_input!V45*Index!$B$2</f>
        <v>13665</v>
      </c>
      <c r="X52" s="225">
        <f>SectorFlows_input!W45*Index!$B$2</f>
        <v>440</v>
      </c>
      <c r="Y52" s="225">
        <f>SectorFlows_input!X45*Index!$B$2</f>
        <v>5</v>
      </c>
      <c r="Z52" s="225">
        <f>SectorFlows_input!Y45*Index!$B$2</f>
        <v>0</v>
      </c>
      <c r="AA52" s="225">
        <f>SectorFlows_input!Z45*Index!$B$2</f>
        <v>0</v>
      </c>
      <c r="AB52" s="226">
        <f t="shared" si="55"/>
        <v>215880</v>
      </c>
      <c r="AD52" s="223" t="s">
        <v>468</v>
      </c>
      <c r="AE52" s="234">
        <f t="shared" si="56"/>
        <v>6.9483046136742637E-4</v>
      </c>
      <c r="AF52" s="234">
        <f t="shared" si="31"/>
        <v>9.9592366129331103E-4</v>
      </c>
      <c r="AG52" s="234">
        <f t="shared" si="32"/>
        <v>1.1812117843246247E-3</v>
      </c>
      <c r="AH52" s="234">
        <f t="shared" si="33"/>
        <v>4.6322030757828421E-5</v>
      </c>
      <c r="AI52" s="234">
        <f t="shared" si="34"/>
        <v>0</v>
      </c>
      <c r="AJ52" s="234">
        <f t="shared" si="35"/>
        <v>0</v>
      </c>
      <c r="AK52" s="234">
        <f t="shared" si="36"/>
        <v>0</v>
      </c>
      <c r="AL52" s="234">
        <f t="shared" si="37"/>
        <v>0</v>
      </c>
      <c r="AM52" s="234">
        <f t="shared" si="38"/>
        <v>4.6322030757828423E-3</v>
      </c>
      <c r="AN52" s="234">
        <f t="shared" si="39"/>
        <v>6.9714656290531781E-3</v>
      </c>
      <c r="AO52" s="234">
        <f t="shared" si="40"/>
        <v>2.1076523994811931E-3</v>
      </c>
      <c r="AP52" s="234">
        <f t="shared" si="41"/>
        <v>1.1580507689457105E-4</v>
      </c>
      <c r="AQ52" s="234">
        <f t="shared" si="42"/>
        <v>0</v>
      </c>
      <c r="AR52" s="234">
        <f t="shared" si="43"/>
        <v>0</v>
      </c>
      <c r="AS52" s="234">
        <f t="shared" si="44"/>
        <v>0</v>
      </c>
      <c r="AT52" s="233">
        <f t="shared" si="45"/>
        <v>0.7893274041133963</v>
      </c>
      <c r="AU52" s="234">
        <f t="shared" si="46"/>
        <v>6.9483046136742631E-3</v>
      </c>
      <c r="AV52" s="234">
        <f t="shared" si="47"/>
        <v>0</v>
      </c>
      <c r="AW52" s="234">
        <f t="shared" si="48"/>
        <v>0</v>
      </c>
      <c r="AX52" s="234">
        <f t="shared" si="49"/>
        <v>0.12161849175467852</v>
      </c>
      <c r="AY52" s="234">
        <f t="shared" si="50"/>
        <v>6.3299055030572537E-2</v>
      </c>
      <c r="AZ52" s="234">
        <f t="shared" si="51"/>
        <v>2.0381693533444508E-3</v>
      </c>
      <c r="BA52" s="234">
        <f t="shared" si="52"/>
        <v>2.3161015378914211E-5</v>
      </c>
      <c r="BB52" s="234">
        <f t="shared" si="53"/>
        <v>0</v>
      </c>
      <c r="BC52" s="234">
        <f t="shared" si="54"/>
        <v>0</v>
      </c>
      <c r="BD52" s="237">
        <f t="shared" si="57"/>
        <v>1</v>
      </c>
    </row>
    <row r="53" spans="2:56" x14ac:dyDescent="0.25">
      <c r="B53" s="223" t="s">
        <v>469</v>
      </c>
      <c r="C53" s="225">
        <f>SectorFlows_input!B46*Index!$B$2</f>
        <v>300</v>
      </c>
      <c r="D53" s="225">
        <f>SectorFlows_input!C46*Index!$B$2</f>
        <v>10</v>
      </c>
      <c r="E53" s="225">
        <f>SectorFlows_input!D46*Index!$B$2</f>
        <v>90</v>
      </c>
      <c r="F53" s="225">
        <f>SectorFlows_input!E46*Index!$B$2</f>
        <v>35</v>
      </c>
      <c r="G53" s="225">
        <f>SectorFlows_input!F46*Index!$B$2</f>
        <v>115</v>
      </c>
      <c r="H53" s="225">
        <f>SectorFlows_input!G46*Index!$B$2</f>
        <v>100</v>
      </c>
      <c r="I53" s="225">
        <f>SectorFlows_input!H46*Index!$B$2</f>
        <v>220</v>
      </c>
      <c r="J53" s="225">
        <f>SectorFlows_input!I46*Index!$B$2</f>
        <v>350</v>
      </c>
      <c r="K53" s="225">
        <f>SectorFlows_input!J46*Index!$B$2</f>
        <v>0</v>
      </c>
      <c r="L53" s="225">
        <f>SectorFlows_input!K46*Index!$B$2</f>
        <v>500</v>
      </c>
      <c r="M53" s="225">
        <f>SectorFlows_input!L46*Index!$B$2</f>
        <v>1555</v>
      </c>
      <c r="N53" s="225">
        <f>SectorFlows_input!M46*Index!$B$2</f>
        <v>2375</v>
      </c>
      <c r="O53" s="225">
        <f>SectorFlows_input!N46*Index!$B$2</f>
        <v>4360</v>
      </c>
      <c r="P53" s="225">
        <f>SectorFlows_input!O46*Index!$B$2</f>
        <v>1410</v>
      </c>
      <c r="Q53" s="225">
        <f>SectorFlows_input!P46*Index!$B$2</f>
        <v>2665</v>
      </c>
      <c r="R53" s="225">
        <f>SectorFlows_input!Q46*Index!$B$2</f>
        <v>325</v>
      </c>
      <c r="S53" s="224">
        <f>SectorFlows_input!R46*Index!$B$2</f>
        <v>273880</v>
      </c>
      <c r="T53" s="225">
        <f>SectorFlows_input!S46*Index!$B$2</f>
        <v>360</v>
      </c>
      <c r="U53" s="225">
        <f>SectorFlows_input!T46*Index!$B$2</f>
        <v>745</v>
      </c>
      <c r="V53" s="225">
        <f>SectorFlows_input!U46*Index!$B$2</f>
        <v>7925</v>
      </c>
      <c r="W53" s="225">
        <f>SectorFlows_input!V46*Index!$B$2</f>
        <v>25</v>
      </c>
      <c r="X53" s="225">
        <f>SectorFlows_input!W46*Index!$B$2</f>
        <v>5585</v>
      </c>
      <c r="Y53" s="225">
        <f>SectorFlows_input!X46*Index!$B$2</f>
        <v>6915</v>
      </c>
      <c r="Z53" s="225">
        <f>SectorFlows_input!Y46*Index!$B$2</f>
        <v>8845</v>
      </c>
      <c r="AA53" s="225">
        <f>SectorFlows_input!Z46*Index!$B$2</f>
        <v>10805</v>
      </c>
      <c r="AB53" s="226">
        <f t="shared" si="55"/>
        <v>329495</v>
      </c>
      <c r="AD53" s="223" t="s">
        <v>469</v>
      </c>
      <c r="AE53" s="234">
        <f t="shared" si="56"/>
        <v>9.1048422586078692E-4</v>
      </c>
      <c r="AF53" s="234">
        <f t="shared" si="31"/>
        <v>3.0349474195359564E-5</v>
      </c>
      <c r="AG53" s="234">
        <f t="shared" si="32"/>
        <v>2.7314526775823608E-4</v>
      </c>
      <c r="AH53" s="234">
        <f t="shared" si="33"/>
        <v>1.0622315968375847E-4</v>
      </c>
      <c r="AI53" s="234">
        <f t="shared" si="34"/>
        <v>3.4901895324663499E-4</v>
      </c>
      <c r="AJ53" s="234">
        <f t="shared" si="35"/>
        <v>3.0349474195359564E-4</v>
      </c>
      <c r="AK53" s="234">
        <f t="shared" si="36"/>
        <v>6.6768843229791041E-4</v>
      </c>
      <c r="AL53" s="234">
        <f t="shared" si="37"/>
        <v>1.0622315968375848E-3</v>
      </c>
      <c r="AM53" s="234">
        <f t="shared" si="38"/>
        <v>0</v>
      </c>
      <c r="AN53" s="234">
        <f t="shared" si="39"/>
        <v>1.5174737097679782E-3</v>
      </c>
      <c r="AO53" s="234">
        <f t="shared" si="40"/>
        <v>4.719343237378412E-3</v>
      </c>
      <c r="AP53" s="234">
        <f t="shared" si="41"/>
        <v>7.2080001213978969E-3</v>
      </c>
      <c r="AQ53" s="234">
        <f t="shared" si="42"/>
        <v>1.3232370749176771E-2</v>
      </c>
      <c r="AR53" s="234">
        <f t="shared" si="43"/>
        <v>4.2792758615456984E-3</v>
      </c>
      <c r="AS53" s="234">
        <f t="shared" si="44"/>
        <v>8.0881348730633233E-3</v>
      </c>
      <c r="AT53" s="234">
        <f t="shared" si="45"/>
        <v>9.8635791134918578E-4</v>
      </c>
      <c r="AU53" s="233">
        <f t="shared" si="46"/>
        <v>0.83121139926250776</v>
      </c>
      <c r="AV53" s="234">
        <f t="shared" si="47"/>
        <v>1.0925810710329443E-3</v>
      </c>
      <c r="AW53" s="234">
        <f t="shared" si="48"/>
        <v>2.2610358275542875E-3</v>
      </c>
      <c r="AX53" s="234">
        <f t="shared" si="49"/>
        <v>2.4051958299822457E-2</v>
      </c>
      <c r="AY53" s="234">
        <f t="shared" si="50"/>
        <v>7.587368548839891E-5</v>
      </c>
      <c r="AZ53" s="234">
        <f t="shared" si="51"/>
        <v>1.6950181338108317E-2</v>
      </c>
      <c r="BA53" s="234">
        <f t="shared" si="52"/>
        <v>2.098666140609114E-2</v>
      </c>
      <c r="BB53" s="234">
        <f t="shared" si="53"/>
        <v>2.6844109925795535E-2</v>
      </c>
      <c r="BC53" s="234">
        <f t="shared" si="54"/>
        <v>3.2792606868086008E-2</v>
      </c>
      <c r="BD53" s="237">
        <f t="shared" si="57"/>
        <v>1</v>
      </c>
    </row>
    <row r="54" spans="2:56" x14ac:dyDescent="0.25">
      <c r="B54" s="223" t="s">
        <v>470</v>
      </c>
      <c r="C54" s="225">
        <f>SectorFlows_input!B47*Index!$B$2</f>
        <v>9265</v>
      </c>
      <c r="D54" s="225">
        <f>SectorFlows_input!C47*Index!$B$2</f>
        <v>185</v>
      </c>
      <c r="E54" s="225">
        <f>SectorFlows_input!D47*Index!$B$2</f>
        <v>330</v>
      </c>
      <c r="F54" s="225">
        <f>SectorFlows_input!E47*Index!$B$2</f>
        <v>100</v>
      </c>
      <c r="G54" s="225">
        <f>SectorFlows_input!F47*Index!$B$2</f>
        <v>205</v>
      </c>
      <c r="H54" s="225">
        <f>SectorFlows_input!G47*Index!$B$2</f>
        <v>290</v>
      </c>
      <c r="I54" s="225">
        <f>SectorFlows_input!H47*Index!$B$2</f>
        <v>2905</v>
      </c>
      <c r="J54" s="225">
        <f>SectorFlows_input!I47*Index!$B$2</f>
        <v>16740</v>
      </c>
      <c r="K54" s="225">
        <f>SectorFlows_input!J47*Index!$B$2</f>
        <v>15</v>
      </c>
      <c r="L54" s="225">
        <f>SectorFlows_input!K47*Index!$B$2</f>
        <v>5</v>
      </c>
      <c r="M54" s="225">
        <f>SectorFlows_input!L47*Index!$B$2</f>
        <v>40</v>
      </c>
      <c r="N54" s="225">
        <f>SectorFlows_input!M47*Index!$B$2</f>
        <v>35</v>
      </c>
      <c r="O54" s="225">
        <f>SectorFlows_input!N47*Index!$B$2</f>
        <v>30</v>
      </c>
      <c r="P54" s="225">
        <f>SectorFlows_input!O47*Index!$B$2</f>
        <v>2400</v>
      </c>
      <c r="Q54" s="225">
        <f>SectorFlows_input!P47*Index!$B$2</f>
        <v>12075</v>
      </c>
      <c r="R54" s="225">
        <f>SectorFlows_input!Q47*Index!$B$2</f>
        <v>0</v>
      </c>
      <c r="S54" s="225">
        <f>SectorFlows_input!R47*Index!$B$2</f>
        <v>55</v>
      </c>
      <c r="T54" s="224">
        <f>SectorFlows_input!S47*Index!$B$2</f>
        <v>113775</v>
      </c>
      <c r="U54" s="225">
        <f>SectorFlows_input!T47*Index!$B$2</f>
        <v>14095</v>
      </c>
      <c r="V54" s="225">
        <f>SectorFlows_input!U47*Index!$B$2</f>
        <v>0</v>
      </c>
      <c r="W54" s="225">
        <f>SectorFlows_input!V47*Index!$B$2</f>
        <v>5</v>
      </c>
      <c r="X54" s="225">
        <f>SectorFlows_input!W47*Index!$B$2</f>
        <v>0</v>
      </c>
      <c r="Y54" s="225">
        <f>SectorFlows_input!X47*Index!$B$2</f>
        <v>0</v>
      </c>
      <c r="Z54" s="225">
        <f>SectorFlows_input!Y47*Index!$B$2</f>
        <v>0</v>
      </c>
      <c r="AA54" s="225">
        <f>SectorFlows_input!Z47*Index!$B$2</f>
        <v>730</v>
      </c>
      <c r="AB54" s="226">
        <f t="shared" si="55"/>
        <v>173280</v>
      </c>
      <c r="AD54" s="223" t="s">
        <v>470</v>
      </c>
      <c r="AE54" s="234">
        <f t="shared" si="56"/>
        <v>5.3468374884579874E-2</v>
      </c>
      <c r="AF54" s="234">
        <f t="shared" si="31"/>
        <v>1.0676361957525392E-3</v>
      </c>
      <c r="AG54" s="234">
        <f t="shared" si="32"/>
        <v>1.904432132963989E-3</v>
      </c>
      <c r="AH54" s="234">
        <f t="shared" si="33"/>
        <v>5.7710064635272393E-4</v>
      </c>
      <c r="AI54" s="234">
        <f t="shared" si="34"/>
        <v>1.183056325023084E-3</v>
      </c>
      <c r="AJ54" s="234">
        <f t="shared" si="35"/>
        <v>1.6735918744228994E-3</v>
      </c>
      <c r="AK54" s="234">
        <f t="shared" si="36"/>
        <v>1.6764773776546629E-2</v>
      </c>
      <c r="AL54" s="234">
        <f t="shared" si="37"/>
        <v>9.6606648199445977E-2</v>
      </c>
      <c r="AM54" s="234">
        <f t="shared" si="38"/>
        <v>8.6565096952908587E-5</v>
      </c>
      <c r="AN54" s="234">
        <f t="shared" si="39"/>
        <v>2.8855032317636195E-5</v>
      </c>
      <c r="AO54" s="234">
        <f t="shared" si="40"/>
        <v>2.3084025854108956E-4</v>
      </c>
      <c r="AP54" s="234">
        <f t="shared" si="41"/>
        <v>2.0198522622345337E-4</v>
      </c>
      <c r="AQ54" s="234">
        <f t="shared" si="42"/>
        <v>1.7313019390581717E-4</v>
      </c>
      <c r="AR54" s="234">
        <f t="shared" si="43"/>
        <v>1.3850415512465374E-2</v>
      </c>
      <c r="AS54" s="234">
        <f t="shared" si="44"/>
        <v>6.9684903047091407E-2</v>
      </c>
      <c r="AT54" s="234">
        <f t="shared" si="45"/>
        <v>0</v>
      </c>
      <c r="AU54" s="234">
        <f t="shared" si="46"/>
        <v>3.1740535549399816E-4</v>
      </c>
      <c r="AV54" s="233">
        <f t="shared" si="47"/>
        <v>0.6565962603878116</v>
      </c>
      <c r="AW54" s="234">
        <f t="shared" si="48"/>
        <v>8.1342336103416429E-2</v>
      </c>
      <c r="AX54" s="234">
        <f t="shared" si="49"/>
        <v>0</v>
      </c>
      <c r="AY54" s="234">
        <f t="shared" si="50"/>
        <v>2.8855032317636195E-5</v>
      </c>
      <c r="AZ54" s="234">
        <f t="shared" si="51"/>
        <v>0</v>
      </c>
      <c r="BA54" s="234">
        <f t="shared" si="52"/>
        <v>0</v>
      </c>
      <c r="BB54" s="234">
        <f t="shared" si="53"/>
        <v>0</v>
      </c>
      <c r="BC54" s="234">
        <f t="shared" si="54"/>
        <v>4.2128347183748843E-3</v>
      </c>
      <c r="BD54" s="237">
        <f t="shared" si="57"/>
        <v>1</v>
      </c>
    </row>
    <row r="55" spans="2:56" x14ac:dyDescent="0.25">
      <c r="B55" s="223" t="s">
        <v>471</v>
      </c>
      <c r="C55" s="225">
        <f>SectorFlows_input!B48*Index!$B$2</f>
        <v>875</v>
      </c>
      <c r="D55" s="225">
        <f>SectorFlows_input!C48*Index!$B$2</f>
        <v>15</v>
      </c>
      <c r="E55" s="225">
        <f>SectorFlows_input!D48*Index!$B$2</f>
        <v>5</v>
      </c>
      <c r="F55" s="225">
        <f>SectorFlows_input!E48*Index!$B$2</f>
        <v>0</v>
      </c>
      <c r="G55" s="225">
        <f>SectorFlows_input!F48*Index!$B$2</f>
        <v>10</v>
      </c>
      <c r="H55" s="225">
        <f>SectorFlows_input!G48*Index!$B$2</f>
        <v>5</v>
      </c>
      <c r="I55" s="225">
        <f>SectorFlows_input!H48*Index!$B$2</f>
        <v>230</v>
      </c>
      <c r="J55" s="225">
        <f>SectorFlows_input!I48*Index!$B$2</f>
        <v>1715</v>
      </c>
      <c r="K55" s="225">
        <f>SectorFlows_input!J48*Index!$B$2</f>
        <v>0</v>
      </c>
      <c r="L55" s="225">
        <f>SectorFlows_input!K48*Index!$B$2</f>
        <v>0</v>
      </c>
      <c r="M55" s="225">
        <f>SectorFlows_input!L48*Index!$B$2</f>
        <v>0</v>
      </c>
      <c r="N55" s="225">
        <f>SectorFlows_input!M48*Index!$B$2</f>
        <v>0</v>
      </c>
      <c r="O55" s="225">
        <f>SectorFlows_input!N48*Index!$B$2</f>
        <v>5</v>
      </c>
      <c r="P55" s="225">
        <f>SectorFlows_input!O48*Index!$B$2</f>
        <v>215</v>
      </c>
      <c r="Q55" s="225">
        <f>SectorFlows_input!P48*Index!$B$2</f>
        <v>2830</v>
      </c>
      <c r="R55" s="225">
        <f>SectorFlows_input!Q48*Index!$B$2</f>
        <v>0</v>
      </c>
      <c r="S55" s="225">
        <f>SectorFlows_input!R48*Index!$B$2</f>
        <v>1035</v>
      </c>
      <c r="T55" s="225">
        <f>SectorFlows_input!S48*Index!$B$2</f>
        <v>33150</v>
      </c>
      <c r="U55" s="224">
        <f>SectorFlows_input!T48*Index!$B$2</f>
        <v>122505</v>
      </c>
      <c r="V55" s="225">
        <f>SectorFlows_input!U48*Index!$B$2</f>
        <v>0</v>
      </c>
      <c r="W55" s="225">
        <f>SectorFlows_input!V48*Index!$B$2</f>
        <v>0</v>
      </c>
      <c r="X55" s="225">
        <f>SectorFlows_input!W48*Index!$B$2</f>
        <v>0</v>
      </c>
      <c r="Y55" s="225">
        <f>SectorFlows_input!X48*Index!$B$2</f>
        <v>0</v>
      </c>
      <c r="Z55" s="225">
        <f>SectorFlows_input!Y48*Index!$B$2</f>
        <v>0</v>
      </c>
      <c r="AA55" s="225">
        <f>SectorFlows_input!Z48*Index!$B$2</f>
        <v>290</v>
      </c>
      <c r="AB55" s="226">
        <f t="shared" si="55"/>
        <v>162885</v>
      </c>
      <c r="AD55" s="223" t="s">
        <v>471</v>
      </c>
      <c r="AE55" s="234">
        <f t="shared" si="56"/>
        <v>5.3718881419406329E-3</v>
      </c>
      <c r="AF55" s="234">
        <f t="shared" si="31"/>
        <v>9.2089511004696571E-5</v>
      </c>
      <c r="AG55" s="234">
        <f t="shared" si="32"/>
        <v>3.0696503668232188E-5</v>
      </c>
      <c r="AH55" s="234">
        <f t="shared" si="33"/>
        <v>0</v>
      </c>
      <c r="AI55" s="234">
        <f t="shared" si="34"/>
        <v>6.1393007336464376E-5</v>
      </c>
      <c r="AJ55" s="234">
        <f t="shared" si="35"/>
        <v>3.0696503668232188E-5</v>
      </c>
      <c r="AK55" s="234">
        <f t="shared" si="36"/>
        <v>1.4120391687386807E-3</v>
      </c>
      <c r="AL55" s="234">
        <f t="shared" si="37"/>
        <v>1.0528900758203641E-2</v>
      </c>
      <c r="AM55" s="234">
        <f t="shared" si="38"/>
        <v>0</v>
      </c>
      <c r="AN55" s="234">
        <f t="shared" si="39"/>
        <v>0</v>
      </c>
      <c r="AO55" s="234">
        <f t="shared" si="40"/>
        <v>0</v>
      </c>
      <c r="AP55" s="234">
        <f t="shared" si="41"/>
        <v>0</v>
      </c>
      <c r="AQ55" s="234">
        <f t="shared" si="42"/>
        <v>3.0696503668232188E-5</v>
      </c>
      <c r="AR55" s="234">
        <f t="shared" si="43"/>
        <v>1.3199496577339842E-3</v>
      </c>
      <c r="AS55" s="234">
        <f t="shared" si="44"/>
        <v>1.7374221076219418E-2</v>
      </c>
      <c r="AT55" s="234">
        <f t="shared" si="45"/>
        <v>0</v>
      </c>
      <c r="AU55" s="234">
        <f t="shared" si="46"/>
        <v>6.3541762593240627E-3</v>
      </c>
      <c r="AV55" s="234">
        <f t="shared" si="47"/>
        <v>0.20351781932037941</v>
      </c>
      <c r="AW55" s="233">
        <f t="shared" si="48"/>
        <v>0.7520950363753568</v>
      </c>
      <c r="AX55" s="234">
        <f t="shared" si="49"/>
        <v>0</v>
      </c>
      <c r="AY55" s="234">
        <f t="shared" si="50"/>
        <v>0</v>
      </c>
      <c r="AZ55" s="234">
        <f t="shared" si="51"/>
        <v>0</v>
      </c>
      <c r="BA55" s="234">
        <f t="shared" si="52"/>
        <v>0</v>
      </c>
      <c r="BB55" s="234">
        <f t="shared" si="53"/>
        <v>0</v>
      </c>
      <c r="BC55" s="234">
        <f t="shared" si="54"/>
        <v>1.780397212757467E-3</v>
      </c>
      <c r="BD55" s="237">
        <f t="shared" si="57"/>
        <v>1</v>
      </c>
    </row>
    <row r="56" spans="2:56" x14ac:dyDescent="0.25">
      <c r="B56" s="223" t="s">
        <v>472</v>
      </c>
      <c r="C56" s="225">
        <f>SectorFlows_input!B49*Index!$B$2</f>
        <v>2945</v>
      </c>
      <c r="D56" s="225">
        <f>SectorFlows_input!C49*Index!$B$2</f>
        <v>2875</v>
      </c>
      <c r="E56" s="225">
        <f>SectorFlows_input!D49*Index!$B$2</f>
        <v>11100</v>
      </c>
      <c r="F56" s="225">
        <f>SectorFlows_input!E49*Index!$B$2</f>
        <v>465</v>
      </c>
      <c r="G56" s="225">
        <f>SectorFlows_input!F49*Index!$B$2</f>
        <v>475</v>
      </c>
      <c r="H56" s="225">
        <f>SectorFlows_input!G49*Index!$B$2</f>
        <v>95</v>
      </c>
      <c r="I56" s="225">
        <f>SectorFlows_input!H49*Index!$B$2</f>
        <v>20</v>
      </c>
      <c r="J56" s="225">
        <f>SectorFlows_input!I49*Index!$B$2</f>
        <v>15</v>
      </c>
      <c r="K56" s="225">
        <f>SectorFlows_input!J49*Index!$B$2</f>
        <v>15260</v>
      </c>
      <c r="L56" s="225">
        <f>SectorFlows_input!K49*Index!$B$2</f>
        <v>43205</v>
      </c>
      <c r="M56" s="225">
        <f>SectorFlows_input!L49*Index!$B$2</f>
        <v>17480</v>
      </c>
      <c r="N56" s="225">
        <f>SectorFlows_input!M49*Index!$B$2</f>
        <v>3360</v>
      </c>
      <c r="O56" s="225">
        <f>SectorFlows_input!N49*Index!$B$2</f>
        <v>570</v>
      </c>
      <c r="P56" s="225">
        <f>SectorFlows_input!O49*Index!$B$2</f>
        <v>5</v>
      </c>
      <c r="Q56" s="225">
        <f>SectorFlows_input!P49*Index!$B$2</f>
        <v>0</v>
      </c>
      <c r="R56" s="225">
        <f>SectorFlows_input!Q49*Index!$B$2</f>
        <v>4685</v>
      </c>
      <c r="S56" s="225">
        <f>SectorFlows_input!R49*Index!$B$2</f>
        <v>3580</v>
      </c>
      <c r="T56" s="225">
        <f>SectorFlows_input!S49*Index!$B$2</f>
        <v>0</v>
      </c>
      <c r="U56" s="225">
        <f>SectorFlows_input!T49*Index!$B$2</f>
        <v>0</v>
      </c>
      <c r="V56" s="224">
        <f>SectorFlows_input!U49*Index!$B$2</f>
        <v>224950</v>
      </c>
      <c r="W56" s="225">
        <f>SectorFlows_input!V49*Index!$B$2</f>
        <v>32360</v>
      </c>
      <c r="X56" s="225">
        <f>SectorFlows_input!W49*Index!$B$2</f>
        <v>14750</v>
      </c>
      <c r="Y56" s="225">
        <f>SectorFlows_input!X49*Index!$B$2</f>
        <v>1250</v>
      </c>
      <c r="Z56" s="225">
        <f>SectorFlows_input!Y49*Index!$B$2</f>
        <v>95</v>
      </c>
      <c r="AA56" s="225">
        <f>SectorFlows_input!Z49*Index!$B$2</f>
        <v>0</v>
      </c>
      <c r="AB56" s="226">
        <f t="shared" si="55"/>
        <v>379540</v>
      </c>
      <c r="AD56" s="223" t="s">
        <v>472</v>
      </c>
      <c r="AE56" s="234">
        <f t="shared" si="56"/>
        <v>7.7593929493597509E-3</v>
      </c>
      <c r="AF56" s="234">
        <f t="shared" si="31"/>
        <v>7.5749591610897405E-3</v>
      </c>
      <c r="AG56" s="234">
        <f t="shared" si="32"/>
        <v>2.9245929282816042E-2</v>
      </c>
      <c r="AH56" s="234">
        <f t="shared" si="33"/>
        <v>1.2251673077936448E-3</v>
      </c>
      <c r="AI56" s="234">
        <f t="shared" si="34"/>
        <v>1.2515149918322179E-3</v>
      </c>
      <c r="AJ56" s="234">
        <f t="shared" si="35"/>
        <v>2.503029983664436E-4</v>
      </c>
      <c r="AK56" s="234">
        <f t="shared" si="36"/>
        <v>5.2695368077146022E-5</v>
      </c>
      <c r="AL56" s="234">
        <f t="shared" si="37"/>
        <v>3.9521526057859515E-5</v>
      </c>
      <c r="AM56" s="234">
        <f t="shared" si="38"/>
        <v>4.0206565842862411E-2</v>
      </c>
      <c r="AN56" s="234">
        <f t="shared" si="39"/>
        <v>0.11383516888865469</v>
      </c>
      <c r="AO56" s="234">
        <f t="shared" si="40"/>
        <v>4.6055751699425621E-2</v>
      </c>
      <c r="AP56" s="234">
        <f t="shared" si="41"/>
        <v>8.8528218369605307E-3</v>
      </c>
      <c r="AQ56" s="234">
        <f t="shared" si="42"/>
        <v>1.5018179901986615E-3</v>
      </c>
      <c r="AR56" s="234">
        <f t="shared" si="43"/>
        <v>1.3173842019286506E-5</v>
      </c>
      <c r="AS56" s="234">
        <f t="shared" si="44"/>
        <v>0</v>
      </c>
      <c r="AT56" s="234">
        <f t="shared" si="45"/>
        <v>1.2343889972071455E-2</v>
      </c>
      <c r="AU56" s="234">
        <f t="shared" si="46"/>
        <v>9.4324708858091379E-3</v>
      </c>
      <c r="AV56" s="234">
        <f t="shared" si="47"/>
        <v>0</v>
      </c>
      <c r="AW56" s="234">
        <f t="shared" si="48"/>
        <v>0</v>
      </c>
      <c r="AX56" s="233">
        <f t="shared" si="49"/>
        <v>0.59269115244769988</v>
      </c>
      <c r="AY56" s="234">
        <f t="shared" si="50"/>
        <v>8.5261105548822255E-2</v>
      </c>
      <c r="AZ56" s="234">
        <f t="shared" si="51"/>
        <v>3.8862833956895187E-2</v>
      </c>
      <c r="BA56" s="234">
        <f t="shared" si="52"/>
        <v>3.2934605048216261E-3</v>
      </c>
      <c r="BB56" s="234">
        <f t="shared" si="53"/>
        <v>2.503029983664436E-4</v>
      </c>
      <c r="BC56" s="234">
        <f t="shared" si="54"/>
        <v>0</v>
      </c>
      <c r="BD56" s="237">
        <f t="shared" si="57"/>
        <v>1</v>
      </c>
    </row>
    <row r="57" spans="2:56" x14ac:dyDescent="0.25">
      <c r="B57" s="223" t="s">
        <v>473</v>
      </c>
      <c r="C57" s="225">
        <f>SectorFlows_input!B50*Index!$B$2</f>
        <v>2830</v>
      </c>
      <c r="D57" s="225">
        <f>SectorFlows_input!C50*Index!$B$2</f>
        <v>2480</v>
      </c>
      <c r="E57" s="225">
        <f>SectorFlows_input!D50*Index!$B$2</f>
        <v>1890</v>
      </c>
      <c r="F57" s="225">
        <f>SectorFlows_input!E50*Index!$B$2</f>
        <v>110</v>
      </c>
      <c r="G57" s="225">
        <f>SectorFlows_input!F50*Index!$B$2</f>
        <v>45</v>
      </c>
      <c r="H57" s="225">
        <f>SectorFlows_input!G50*Index!$B$2</f>
        <v>15</v>
      </c>
      <c r="I57" s="225">
        <f>SectorFlows_input!H50*Index!$B$2</f>
        <v>5</v>
      </c>
      <c r="J57" s="225">
        <f>SectorFlows_input!I50*Index!$B$2</f>
        <v>25</v>
      </c>
      <c r="K57" s="225">
        <f>SectorFlows_input!J50*Index!$B$2</f>
        <v>9445</v>
      </c>
      <c r="L57" s="225">
        <f>SectorFlows_input!K50*Index!$B$2</f>
        <v>2905</v>
      </c>
      <c r="M57" s="225">
        <f>SectorFlows_input!L50*Index!$B$2</f>
        <v>415</v>
      </c>
      <c r="N57" s="225">
        <f>SectorFlows_input!M50*Index!$B$2</f>
        <v>65</v>
      </c>
      <c r="O57" s="225">
        <f>SectorFlows_input!N50*Index!$B$2</f>
        <v>35</v>
      </c>
      <c r="P57" s="225">
        <f>SectorFlows_input!O50*Index!$B$2</f>
        <v>5</v>
      </c>
      <c r="Q57" s="225">
        <f>SectorFlows_input!P50*Index!$B$2</f>
        <v>0</v>
      </c>
      <c r="R57" s="225">
        <f>SectorFlows_input!Q50*Index!$B$2</f>
        <v>2445</v>
      </c>
      <c r="S57" s="225">
        <f>SectorFlows_input!R50*Index!$B$2</f>
        <v>0</v>
      </c>
      <c r="T57" s="225">
        <f>SectorFlows_input!S50*Index!$B$2</f>
        <v>0</v>
      </c>
      <c r="U57" s="225">
        <f>SectorFlows_input!T50*Index!$B$2</f>
        <v>0</v>
      </c>
      <c r="V57" s="225">
        <f>SectorFlows_input!U50*Index!$B$2</f>
        <v>20135</v>
      </c>
      <c r="W57" s="224">
        <f>SectorFlows_input!V50*Index!$B$2</f>
        <v>53000</v>
      </c>
      <c r="X57" s="225">
        <f>SectorFlows_input!W50*Index!$B$2</f>
        <v>15</v>
      </c>
      <c r="Y57" s="225">
        <f>SectorFlows_input!X50*Index!$B$2</f>
        <v>5</v>
      </c>
      <c r="Z57" s="225">
        <f>SectorFlows_input!Y50*Index!$B$2</f>
        <v>0</v>
      </c>
      <c r="AA57" s="225">
        <f>SectorFlows_input!Z50*Index!$B$2</f>
        <v>0</v>
      </c>
      <c r="AB57" s="226">
        <f t="shared" si="55"/>
        <v>95870</v>
      </c>
      <c r="AD57" s="223" t="s">
        <v>473</v>
      </c>
      <c r="AE57" s="234">
        <f t="shared" si="56"/>
        <v>2.9519140502764159E-2</v>
      </c>
      <c r="AF57" s="234">
        <f t="shared" si="31"/>
        <v>2.5868363408782728E-2</v>
      </c>
      <c r="AG57" s="234">
        <f t="shared" si="32"/>
        <v>1.9714196307499741E-2</v>
      </c>
      <c r="AH57" s="234">
        <f t="shared" si="33"/>
        <v>1.1473870866798789E-3</v>
      </c>
      <c r="AI57" s="234">
        <f t="shared" si="34"/>
        <v>4.6938562636904138E-4</v>
      </c>
      <c r="AJ57" s="234">
        <f t="shared" si="35"/>
        <v>1.5646187545634714E-4</v>
      </c>
      <c r="AK57" s="234">
        <f t="shared" si="36"/>
        <v>5.2153958485449043E-5</v>
      </c>
      <c r="AL57" s="234">
        <f t="shared" si="37"/>
        <v>2.6076979242724524E-4</v>
      </c>
      <c r="AM57" s="234">
        <f t="shared" si="38"/>
        <v>9.8518827579013243E-2</v>
      </c>
      <c r="AN57" s="234">
        <f t="shared" si="39"/>
        <v>3.0301449880045895E-2</v>
      </c>
      <c r="AO57" s="234">
        <f t="shared" si="40"/>
        <v>4.3287785542922711E-3</v>
      </c>
      <c r="AP57" s="234">
        <f t="shared" si="41"/>
        <v>6.7800146031083764E-4</v>
      </c>
      <c r="AQ57" s="234">
        <f t="shared" si="42"/>
        <v>3.6507770939814331E-4</v>
      </c>
      <c r="AR57" s="234">
        <f t="shared" si="43"/>
        <v>5.2153958485449043E-5</v>
      </c>
      <c r="AS57" s="234">
        <f t="shared" si="44"/>
        <v>0</v>
      </c>
      <c r="AT57" s="234">
        <f t="shared" si="45"/>
        <v>2.5503285699384582E-2</v>
      </c>
      <c r="AU57" s="234">
        <f t="shared" si="46"/>
        <v>0</v>
      </c>
      <c r="AV57" s="234">
        <f t="shared" si="47"/>
        <v>0</v>
      </c>
      <c r="AW57" s="234">
        <f t="shared" si="48"/>
        <v>0</v>
      </c>
      <c r="AX57" s="234">
        <f t="shared" si="49"/>
        <v>0.21002399082090331</v>
      </c>
      <c r="AY57" s="233">
        <f t="shared" si="50"/>
        <v>0.55283195994575984</v>
      </c>
      <c r="AZ57" s="234">
        <f t="shared" si="51"/>
        <v>1.5646187545634714E-4</v>
      </c>
      <c r="BA57" s="234">
        <f t="shared" si="52"/>
        <v>5.2153958485449043E-5</v>
      </c>
      <c r="BB57" s="234">
        <f t="shared" si="53"/>
        <v>0</v>
      </c>
      <c r="BC57" s="234">
        <f t="shared" si="54"/>
        <v>0</v>
      </c>
      <c r="BD57" s="237">
        <f t="shared" si="57"/>
        <v>1</v>
      </c>
    </row>
    <row r="58" spans="2:56" x14ac:dyDescent="0.25">
      <c r="B58" s="223" t="s">
        <v>474</v>
      </c>
      <c r="C58" s="225">
        <f>SectorFlows_input!B51*Index!$B$2</f>
        <v>645</v>
      </c>
      <c r="D58" s="225">
        <f>SectorFlows_input!C51*Index!$B$2</f>
        <v>345</v>
      </c>
      <c r="E58" s="225">
        <f>SectorFlows_input!D51*Index!$B$2</f>
        <v>2965</v>
      </c>
      <c r="F58" s="225">
        <f>SectorFlows_input!E51*Index!$B$2</f>
        <v>300</v>
      </c>
      <c r="G58" s="225">
        <f>SectorFlows_input!F51*Index!$B$2</f>
        <v>500</v>
      </c>
      <c r="H58" s="225">
        <f>SectorFlows_input!G51*Index!$B$2</f>
        <v>70</v>
      </c>
      <c r="I58" s="225">
        <f>SectorFlows_input!H51*Index!$B$2</f>
        <v>5</v>
      </c>
      <c r="J58" s="225">
        <f>SectorFlows_input!I51*Index!$B$2</f>
        <v>5</v>
      </c>
      <c r="K58" s="225">
        <f>SectorFlows_input!J51*Index!$B$2</f>
        <v>745</v>
      </c>
      <c r="L58" s="225">
        <f>SectorFlows_input!K51*Index!$B$2</f>
        <v>9945</v>
      </c>
      <c r="M58" s="225">
        <f>SectorFlows_input!L51*Index!$B$2</f>
        <v>17355</v>
      </c>
      <c r="N58" s="225">
        <f>SectorFlows_input!M51*Index!$B$2</f>
        <v>5245</v>
      </c>
      <c r="O58" s="225">
        <f>SectorFlows_input!N51*Index!$B$2</f>
        <v>1370</v>
      </c>
      <c r="P58" s="225">
        <f>SectorFlows_input!O51*Index!$B$2</f>
        <v>10</v>
      </c>
      <c r="Q58" s="225">
        <f>SectorFlows_input!P51*Index!$B$2</f>
        <v>0</v>
      </c>
      <c r="R58" s="225">
        <f>SectorFlows_input!Q51*Index!$B$2</f>
        <v>5</v>
      </c>
      <c r="S58" s="225">
        <f>SectorFlows_input!R51*Index!$B$2</f>
        <v>520</v>
      </c>
      <c r="T58" s="225">
        <f>SectorFlows_input!S51*Index!$B$2</f>
        <v>0</v>
      </c>
      <c r="U58" s="225">
        <f>SectorFlows_input!T51*Index!$B$2</f>
        <v>0</v>
      </c>
      <c r="V58" s="225">
        <f>SectorFlows_input!U51*Index!$B$2</f>
        <v>6255</v>
      </c>
      <c r="W58" s="225">
        <f>SectorFlows_input!V51*Index!$B$2</f>
        <v>485</v>
      </c>
      <c r="X58" s="224">
        <f>SectorFlows_input!W51*Index!$B$2</f>
        <v>41015</v>
      </c>
      <c r="Y58" s="225">
        <f>SectorFlows_input!X51*Index!$B$2</f>
        <v>4700</v>
      </c>
      <c r="Z58" s="225">
        <f>SectorFlows_input!Y51*Index!$B$2</f>
        <v>440</v>
      </c>
      <c r="AA58" s="225">
        <f>SectorFlows_input!Z51*Index!$B$2</f>
        <v>5</v>
      </c>
      <c r="AB58" s="226">
        <f t="shared" si="55"/>
        <v>92930</v>
      </c>
      <c r="AD58" s="223" t="s">
        <v>474</v>
      </c>
      <c r="AE58" s="234">
        <f t="shared" si="56"/>
        <v>6.9407080598299798E-3</v>
      </c>
      <c r="AF58" s="234">
        <f t="shared" si="31"/>
        <v>3.7124717529323148E-3</v>
      </c>
      <c r="AG58" s="234">
        <f t="shared" si="32"/>
        <v>3.1905735499838585E-2</v>
      </c>
      <c r="AH58" s="234">
        <f t="shared" si="33"/>
        <v>3.228236306897665E-3</v>
      </c>
      <c r="AI58" s="234">
        <f t="shared" si="34"/>
        <v>5.3803938448294415E-3</v>
      </c>
      <c r="AJ58" s="234">
        <f t="shared" si="35"/>
        <v>7.5325513827612176E-4</v>
      </c>
      <c r="AK58" s="234">
        <f t="shared" si="36"/>
        <v>5.3803938448294416E-5</v>
      </c>
      <c r="AL58" s="234">
        <f t="shared" si="37"/>
        <v>5.3803938448294416E-5</v>
      </c>
      <c r="AM58" s="234">
        <f t="shared" si="38"/>
        <v>8.0167868287958684E-3</v>
      </c>
      <c r="AN58" s="234">
        <f t="shared" si="39"/>
        <v>0.10701603357365759</v>
      </c>
      <c r="AO58" s="234">
        <f t="shared" si="40"/>
        <v>0.18675347035402992</v>
      </c>
      <c r="AP58" s="234">
        <f t="shared" si="41"/>
        <v>5.6440331432260842E-2</v>
      </c>
      <c r="AQ58" s="234">
        <f t="shared" si="42"/>
        <v>1.474227913483267E-2</v>
      </c>
      <c r="AR58" s="234">
        <f t="shared" si="43"/>
        <v>1.0760787689658883E-4</v>
      </c>
      <c r="AS58" s="234">
        <f t="shared" si="44"/>
        <v>0</v>
      </c>
      <c r="AT58" s="234">
        <f t="shared" si="45"/>
        <v>5.3803938448294416E-5</v>
      </c>
      <c r="AU58" s="234">
        <f t="shared" si="46"/>
        <v>5.595609598622619E-3</v>
      </c>
      <c r="AV58" s="234">
        <f t="shared" si="47"/>
        <v>0</v>
      </c>
      <c r="AW58" s="234">
        <f t="shared" si="48"/>
        <v>0</v>
      </c>
      <c r="AX58" s="234">
        <f t="shared" si="49"/>
        <v>6.7308726998816307E-2</v>
      </c>
      <c r="AY58" s="234">
        <f t="shared" si="50"/>
        <v>5.2189820294845585E-3</v>
      </c>
      <c r="AZ58" s="233">
        <f t="shared" si="51"/>
        <v>0.44135370709135907</v>
      </c>
      <c r="BA58" s="234">
        <f t="shared" si="52"/>
        <v>5.0575702141396749E-2</v>
      </c>
      <c r="BB58" s="234">
        <f t="shared" si="53"/>
        <v>4.7347465834499088E-3</v>
      </c>
      <c r="BC58" s="234">
        <f t="shared" si="54"/>
        <v>5.3803938448294416E-5</v>
      </c>
      <c r="BD58" s="237">
        <f t="shared" si="57"/>
        <v>0.99999999999999978</v>
      </c>
    </row>
    <row r="59" spans="2:56" x14ac:dyDescent="0.25">
      <c r="B59" s="223" t="s">
        <v>475</v>
      </c>
      <c r="C59" s="225">
        <f>SectorFlows_input!B52*Index!$B$2</f>
        <v>1015</v>
      </c>
      <c r="D59" s="225">
        <f>SectorFlows_input!C52*Index!$B$2</f>
        <v>45</v>
      </c>
      <c r="E59" s="225">
        <f>SectorFlows_input!D52*Index!$B$2</f>
        <v>715</v>
      </c>
      <c r="F59" s="225">
        <f>SectorFlows_input!E52*Index!$B$2</f>
        <v>275</v>
      </c>
      <c r="G59" s="225">
        <f>SectorFlows_input!F52*Index!$B$2</f>
        <v>480</v>
      </c>
      <c r="H59" s="225">
        <f>SectorFlows_input!G52*Index!$B$2</f>
        <v>100</v>
      </c>
      <c r="I59" s="225">
        <f>SectorFlows_input!H52*Index!$B$2</f>
        <v>25</v>
      </c>
      <c r="J59" s="225">
        <f>SectorFlows_input!I52*Index!$B$2</f>
        <v>15</v>
      </c>
      <c r="K59" s="225">
        <f>SectorFlows_input!J52*Index!$B$2</f>
        <v>60</v>
      </c>
      <c r="L59" s="225">
        <f>SectorFlows_input!K52*Index!$B$2</f>
        <v>1160</v>
      </c>
      <c r="M59" s="225">
        <f>SectorFlows_input!L52*Index!$B$2</f>
        <v>5175</v>
      </c>
      <c r="N59" s="225">
        <f>SectorFlows_input!M52*Index!$B$2</f>
        <v>11125</v>
      </c>
      <c r="O59" s="225">
        <f>SectorFlows_input!N52*Index!$B$2</f>
        <v>6270</v>
      </c>
      <c r="P59" s="225">
        <f>SectorFlows_input!O52*Index!$B$2</f>
        <v>150</v>
      </c>
      <c r="Q59" s="225">
        <f>SectorFlows_input!P52*Index!$B$2</f>
        <v>0</v>
      </c>
      <c r="R59" s="225">
        <f>SectorFlows_input!Q52*Index!$B$2</f>
        <v>0</v>
      </c>
      <c r="S59" s="225">
        <f>SectorFlows_input!R52*Index!$B$2</f>
        <v>525</v>
      </c>
      <c r="T59" s="225">
        <f>SectorFlows_input!S52*Index!$B$2</f>
        <v>0</v>
      </c>
      <c r="U59" s="225">
        <f>SectorFlows_input!T52*Index!$B$2</f>
        <v>0</v>
      </c>
      <c r="V59" s="225">
        <f>SectorFlows_input!U52*Index!$B$2</f>
        <v>295</v>
      </c>
      <c r="W59" s="225">
        <f>SectorFlows_input!V52*Index!$B$2</f>
        <v>0</v>
      </c>
      <c r="X59" s="225">
        <f>SectorFlows_input!W52*Index!$B$2</f>
        <v>4645</v>
      </c>
      <c r="Y59" s="224">
        <f>SectorFlows_input!X52*Index!$B$2</f>
        <v>28130</v>
      </c>
      <c r="Z59" s="225">
        <f>SectorFlows_input!Y52*Index!$B$2</f>
        <v>3460</v>
      </c>
      <c r="AA59" s="225">
        <f>SectorFlows_input!Z52*Index!$B$2</f>
        <v>25</v>
      </c>
      <c r="AB59" s="226">
        <f t="shared" si="55"/>
        <v>63690</v>
      </c>
      <c r="AD59" s="223" t="s">
        <v>475</v>
      </c>
      <c r="AE59" s="234">
        <f t="shared" si="56"/>
        <v>1.5936567750039252E-2</v>
      </c>
      <c r="AF59" s="234">
        <f t="shared" si="31"/>
        <v>7.0654733867169103E-4</v>
      </c>
      <c r="AG59" s="234">
        <f t="shared" si="32"/>
        <v>1.1226252158894647E-2</v>
      </c>
      <c r="AH59" s="234">
        <f t="shared" si="33"/>
        <v>4.3177892918825561E-3</v>
      </c>
      <c r="AI59" s="234">
        <f t="shared" si="34"/>
        <v>7.536504945831371E-3</v>
      </c>
      <c r="AJ59" s="234">
        <f t="shared" si="35"/>
        <v>1.5701051970482022E-3</v>
      </c>
      <c r="AK59" s="234">
        <f t="shared" si="36"/>
        <v>3.9252629926205055E-4</v>
      </c>
      <c r="AL59" s="234">
        <f t="shared" si="37"/>
        <v>2.3551577955723034E-4</v>
      </c>
      <c r="AM59" s="234">
        <f t="shared" si="38"/>
        <v>9.4206311822892137E-4</v>
      </c>
      <c r="AN59" s="234">
        <f t="shared" si="39"/>
        <v>1.8213220285759144E-2</v>
      </c>
      <c r="AO59" s="234">
        <f t="shared" si="40"/>
        <v>8.1252943947244471E-2</v>
      </c>
      <c r="AP59" s="234">
        <f t="shared" si="41"/>
        <v>0.1746742031716125</v>
      </c>
      <c r="AQ59" s="234">
        <f t="shared" si="42"/>
        <v>9.8445595854922283E-2</v>
      </c>
      <c r="AR59" s="234">
        <f t="shared" si="43"/>
        <v>2.3551577955723034E-3</v>
      </c>
      <c r="AS59" s="234">
        <f t="shared" si="44"/>
        <v>0</v>
      </c>
      <c r="AT59" s="234">
        <f t="shared" si="45"/>
        <v>0</v>
      </c>
      <c r="AU59" s="234">
        <f t="shared" si="46"/>
        <v>8.2430522845030624E-3</v>
      </c>
      <c r="AV59" s="234">
        <f t="shared" si="47"/>
        <v>0</v>
      </c>
      <c r="AW59" s="234">
        <f t="shared" si="48"/>
        <v>0</v>
      </c>
      <c r="AX59" s="234">
        <f t="shared" si="49"/>
        <v>4.6318103312921969E-3</v>
      </c>
      <c r="AY59" s="234">
        <f t="shared" si="50"/>
        <v>0</v>
      </c>
      <c r="AZ59" s="234">
        <f t="shared" si="51"/>
        <v>7.2931386402888987E-2</v>
      </c>
      <c r="BA59" s="233">
        <f t="shared" si="52"/>
        <v>0.4416705919296593</v>
      </c>
      <c r="BB59" s="234">
        <f t="shared" si="53"/>
        <v>5.4325639817867796E-2</v>
      </c>
      <c r="BC59" s="234">
        <f t="shared" si="54"/>
        <v>3.9252629926205055E-4</v>
      </c>
      <c r="BD59" s="237">
        <f t="shared" si="57"/>
        <v>0.99999999999999989</v>
      </c>
    </row>
    <row r="60" spans="2:56" x14ac:dyDescent="0.25">
      <c r="B60" s="223" t="s">
        <v>476</v>
      </c>
      <c r="C60" s="225">
        <f>SectorFlows_input!B53*Index!$B$2</f>
        <v>1635</v>
      </c>
      <c r="D60" s="225">
        <f>SectorFlows_input!C53*Index!$B$2</f>
        <v>15</v>
      </c>
      <c r="E60" s="225">
        <f>SectorFlows_input!D53*Index!$B$2</f>
        <v>410</v>
      </c>
      <c r="F60" s="225">
        <f>SectorFlows_input!E53*Index!$B$2</f>
        <v>225</v>
      </c>
      <c r="G60" s="225">
        <f>SectorFlows_input!F53*Index!$B$2</f>
        <v>845</v>
      </c>
      <c r="H60" s="225">
        <f>SectorFlows_input!G53*Index!$B$2</f>
        <v>765</v>
      </c>
      <c r="I60" s="225">
        <f>SectorFlows_input!H53*Index!$B$2</f>
        <v>225</v>
      </c>
      <c r="J60" s="225">
        <f>SectorFlows_input!I53*Index!$B$2</f>
        <v>30</v>
      </c>
      <c r="K60" s="225">
        <f>SectorFlows_input!J53*Index!$B$2</f>
        <v>5</v>
      </c>
      <c r="L60" s="225">
        <f>SectorFlows_input!K53*Index!$B$2</f>
        <v>265</v>
      </c>
      <c r="M60" s="225">
        <f>SectorFlows_input!L53*Index!$B$2</f>
        <v>1990</v>
      </c>
      <c r="N60" s="225">
        <f>SectorFlows_input!M53*Index!$B$2</f>
        <v>12025</v>
      </c>
      <c r="O60" s="225">
        <f>SectorFlows_input!N53*Index!$B$2</f>
        <v>40745</v>
      </c>
      <c r="P60" s="225">
        <f>SectorFlows_input!O53*Index!$B$2</f>
        <v>1815</v>
      </c>
      <c r="Q60" s="225">
        <f>SectorFlows_input!P53*Index!$B$2</f>
        <v>5</v>
      </c>
      <c r="R60" s="225">
        <f>SectorFlows_input!Q53*Index!$B$2</f>
        <v>0</v>
      </c>
      <c r="S60" s="225">
        <f>SectorFlows_input!R53*Index!$B$2</f>
        <v>1335</v>
      </c>
      <c r="T60" s="225">
        <f>SectorFlows_input!S53*Index!$B$2</f>
        <v>0</v>
      </c>
      <c r="U60" s="225">
        <f>SectorFlows_input!T53*Index!$B$2</f>
        <v>0</v>
      </c>
      <c r="V60" s="225">
        <f>SectorFlows_input!U53*Index!$B$2</f>
        <v>65</v>
      </c>
      <c r="W60" s="225">
        <f>SectorFlows_input!V53*Index!$B$2</f>
        <v>10</v>
      </c>
      <c r="X60" s="225">
        <f>SectorFlows_input!W53*Index!$B$2</f>
        <v>920</v>
      </c>
      <c r="Y60" s="225">
        <f>SectorFlows_input!X53*Index!$B$2</f>
        <v>11050</v>
      </c>
      <c r="Z60" s="227">
        <f>SectorFlows_input!Y53*Index!$B$2</f>
        <v>55370</v>
      </c>
      <c r="AA60" s="228">
        <f>SectorFlows_input!Z53*Index!$B$2</f>
        <v>2355</v>
      </c>
      <c r="AB60" s="226">
        <f t="shared" si="55"/>
        <v>132105</v>
      </c>
      <c r="AD60" s="223" t="s">
        <v>476</v>
      </c>
      <c r="AE60" s="234">
        <f t="shared" si="56"/>
        <v>1.237651867832406E-2</v>
      </c>
      <c r="AF60" s="234">
        <f t="shared" si="31"/>
        <v>1.1354604292040422E-4</v>
      </c>
      <c r="AG60" s="234">
        <f t="shared" si="32"/>
        <v>3.1035918398243821E-3</v>
      </c>
      <c r="AH60" s="234">
        <f t="shared" si="33"/>
        <v>1.7031906438060634E-3</v>
      </c>
      <c r="AI60" s="234">
        <f t="shared" si="34"/>
        <v>6.3964270845161047E-3</v>
      </c>
      <c r="AJ60" s="234">
        <f t="shared" si="35"/>
        <v>5.7908481889406152E-3</v>
      </c>
      <c r="AK60" s="234">
        <f t="shared" si="36"/>
        <v>1.7031906438060634E-3</v>
      </c>
      <c r="AL60" s="234">
        <f t="shared" si="37"/>
        <v>2.2709208584080845E-4</v>
      </c>
      <c r="AM60" s="234">
        <f t="shared" si="38"/>
        <v>3.7848680973468072E-5</v>
      </c>
      <c r="AN60" s="234">
        <f t="shared" si="39"/>
        <v>2.0059800915938081E-3</v>
      </c>
      <c r="AO60" s="234">
        <f t="shared" si="40"/>
        <v>1.5063775027440295E-2</v>
      </c>
      <c r="AP60" s="234">
        <f t="shared" si="41"/>
        <v>9.1026077741190717E-2</v>
      </c>
      <c r="AQ60" s="234">
        <f t="shared" si="42"/>
        <v>0.30842890125279132</v>
      </c>
      <c r="AR60" s="234">
        <f t="shared" si="43"/>
        <v>1.3739071193368911E-2</v>
      </c>
      <c r="AS60" s="234">
        <f t="shared" si="44"/>
        <v>3.7848680973468072E-5</v>
      </c>
      <c r="AT60" s="234">
        <f t="shared" si="45"/>
        <v>0</v>
      </c>
      <c r="AU60" s="234">
        <f t="shared" si="46"/>
        <v>1.0105597819915976E-2</v>
      </c>
      <c r="AV60" s="234">
        <f t="shared" si="47"/>
        <v>0</v>
      </c>
      <c r="AW60" s="234">
        <f t="shared" si="48"/>
        <v>0</v>
      </c>
      <c r="AX60" s="234">
        <f t="shared" si="49"/>
        <v>4.9203285265508499E-4</v>
      </c>
      <c r="AY60" s="234">
        <f t="shared" si="50"/>
        <v>7.5697361946936145E-5</v>
      </c>
      <c r="AZ60" s="234">
        <f t="shared" si="51"/>
        <v>6.9641572991181256E-3</v>
      </c>
      <c r="BA60" s="234">
        <f t="shared" si="52"/>
        <v>8.3645584951364441E-2</v>
      </c>
      <c r="BB60" s="235">
        <f t="shared" si="53"/>
        <v>0.41913629310018546</v>
      </c>
      <c r="BC60" s="236">
        <f t="shared" si="54"/>
        <v>1.7826728738503463E-2</v>
      </c>
      <c r="BD60" s="237">
        <f t="shared" si="57"/>
        <v>1</v>
      </c>
    </row>
    <row r="61" spans="2:56" x14ac:dyDescent="0.25">
      <c r="B61" s="223" t="s">
        <v>477</v>
      </c>
      <c r="C61" s="225">
        <f>SectorFlows_input!B54*Index!$B$2</f>
        <v>6070</v>
      </c>
      <c r="D61" s="225">
        <f>SectorFlows_input!C54*Index!$B$2</f>
        <v>85</v>
      </c>
      <c r="E61" s="225">
        <f>SectorFlows_input!D54*Index!$B$2</f>
        <v>720</v>
      </c>
      <c r="F61" s="225">
        <f>SectorFlows_input!E54*Index!$B$2</f>
        <v>400</v>
      </c>
      <c r="G61" s="225">
        <f>SectorFlows_input!F54*Index!$B$2</f>
        <v>2405</v>
      </c>
      <c r="H61" s="225">
        <f>SectorFlows_input!G54*Index!$B$2</f>
        <v>4675</v>
      </c>
      <c r="I61" s="225">
        <f>SectorFlows_input!H54*Index!$B$2</f>
        <v>5025</v>
      </c>
      <c r="J61" s="225">
        <f>SectorFlows_input!I54*Index!$B$2</f>
        <v>2105</v>
      </c>
      <c r="K61" s="225">
        <f>SectorFlows_input!J54*Index!$B$2</f>
        <v>5</v>
      </c>
      <c r="L61" s="225">
        <f>SectorFlows_input!K54*Index!$B$2</f>
        <v>180</v>
      </c>
      <c r="M61" s="225">
        <f>SectorFlows_input!L54*Index!$B$2</f>
        <v>1130</v>
      </c>
      <c r="N61" s="225">
        <f>SectorFlows_input!M54*Index!$B$2</f>
        <v>8530</v>
      </c>
      <c r="O61" s="225">
        <f>SectorFlows_input!N54*Index!$B$2</f>
        <v>37330</v>
      </c>
      <c r="P61" s="225">
        <f>SectorFlows_input!O54*Index!$B$2</f>
        <v>27700</v>
      </c>
      <c r="Q61" s="225">
        <f>SectorFlows_input!P54*Index!$B$2</f>
        <v>4955</v>
      </c>
      <c r="R61" s="225">
        <f>SectorFlows_input!Q54*Index!$B$2</f>
        <v>0</v>
      </c>
      <c r="S61" s="225">
        <f>SectorFlows_input!R54*Index!$B$2</f>
        <v>5195</v>
      </c>
      <c r="T61" s="225">
        <f>SectorFlows_input!S54*Index!$B$2</f>
        <v>535</v>
      </c>
      <c r="U61" s="225">
        <f>SectorFlows_input!T54*Index!$B$2</f>
        <v>45</v>
      </c>
      <c r="V61" s="225">
        <f>SectorFlows_input!U54*Index!$B$2</f>
        <v>10</v>
      </c>
      <c r="W61" s="225">
        <f>SectorFlows_input!V54*Index!$B$2</f>
        <v>5</v>
      </c>
      <c r="X61" s="225">
        <f>SectorFlows_input!W54*Index!$B$2</f>
        <v>25</v>
      </c>
      <c r="Y61" s="225">
        <f>SectorFlows_input!X54*Index!$B$2</f>
        <v>635</v>
      </c>
      <c r="Z61" s="228">
        <f>SectorFlows_input!Y54*Index!$B$2</f>
        <v>2930</v>
      </c>
      <c r="AA61" s="227">
        <f>SectorFlows_input!Z54*Index!$B$2</f>
        <v>99860</v>
      </c>
      <c r="AB61" s="226">
        <f t="shared" si="55"/>
        <v>210555</v>
      </c>
      <c r="AD61" s="223" t="s">
        <v>477</v>
      </c>
      <c r="AE61" s="234">
        <f t="shared" si="56"/>
        <v>2.8828572107050414E-2</v>
      </c>
      <c r="AF61" s="234">
        <f t="shared" si="31"/>
        <v>4.0369499655671916E-4</v>
      </c>
      <c r="AG61" s="234">
        <f t="shared" si="32"/>
        <v>3.4195340884804444E-3</v>
      </c>
      <c r="AH61" s="234">
        <f t="shared" si="33"/>
        <v>1.8997411602669136E-3</v>
      </c>
      <c r="AI61" s="234">
        <f t="shared" si="34"/>
        <v>1.1422193726104818E-2</v>
      </c>
      <c r="AJ61" s="234">
        <f t="shared" si="35"/>
        <v>2.2203224810619555E-2</v>
      </c>
      <c r="AK61" s="234">
        <f t="shared" si="36"/>
        <v>2.3865498325853104E-2</v>
      </c>
      <c r="AL61" s="234">
        <f t="shared" si="37"/>
        <v>9.9973878559046336E-3</v>
      </c>
      <c r="AM61" s="234">
        <f t="shared" si="38"/>
        <v>2.3746764503336419E-5</v>
      </c>
      <c r="AN61" s="234">
        <f t="shared" si="39"/>
        <v>8.5488352212011111E-4</v>
      </c>
      <c r="AO61" s="234">
        <f t="shared" si="40"/>
        <v>5.3667687777540314E-3</v>
      </c>
      <c r="AP61" s="234">
        <f t="shared" si="41"/>
        <v>4.0511980242691932E-2</v>
      </c>
      <c r="AQ61" s="234">
        <f t="shared" si="42"/>
        <v>0.17729334378190972</v>
      </c>
      <c r="AR61" s="234">
        <f t="shared" si="43"/>
        <v>0.13155707534848377</v>
      </c>
      <c r="AS61" s="234">
        <f t="shared" si="44"/>
        <v>2.3533043622806393E-2</v>
      </c>
      <c r="AT61" s="234">
        <f t="shared" si="45"/>
        <v>0</v>
      </c>
      <c r="AU61" s="234">
        <f t="shared" si="46"/>
        <v>2.4672888318966541E-2</v>
      </c>
      <c r="AV61" s="234">
        <f t="shared" si="47"/>
        <v>2.5409038018569968E-3</v>
      </c>
      <c r="AW61" s="234">
        <f t="shared" si="48"/>
        <v>2.1372088053002778E-4</v>
      </c>
      <c r="AX61" s="234">
        <f t="shared" si="49"/>
        <v>4.7493529006672839E-5</v>
      </c>
      <c r="AY61" s="234">
        <f t="shared" si="50"/>
        <v>2.3746764503336419E-5</v>
      </c>
      <c r="AZ61" s="234">
        <f t="shared" si="51"/>
        <v>1.187338225166821E-4</v>
      </c>
      <c r="BA61" s="234">
        <f t="shared" si="52"/>
        <v>3.0158390919237253E-3</v>
      </c>
      <c r="BB61" s="236">
        <f t="shared" si="53"/>
        <v>1.3915603998955143E-2</v>
      </c>
      <c r="BC61" s="235">
        <f t="shared" si="54"/>
        <v>0.47427038066063498</v>
      </c>
      <c r="BD61" s="237">
        <f t="shared" si="57"/>
        <v>1</v>
      </c>
    </row>
    <row r="62" spans="2:56" ht="15.75" thickBot="1" x14ac:dyDescent="0.3">
      <c r="B62" s="229" t="s">
        <v>29</v>
      </c>
      <c r="C62" s="230">
        <f>SUM(C37:C61)</f>
        <v>677155</v>
      </c>
      <c r="D62" s="230">
        <f t="shared" ref="D62:AA62" si="58">SUM(D37:D61)</f>
        <v>250760</v>
      </c>
      <c r="E62" s="230">
        <f t="shared" si="58"/>
        <v>251750</v>
      </c>
      <c r="F62" s="230">
        <f t="shared" si="58"/>
        <v>77290</v>
      </c>
      <c r="G62" s="230">
        <f t="shared" si="58"/>
        <v>125550</v>
      </c>
      <c r="H62" s="230">
        <f t="shared" si="58"/>
        <v>111005</v>
      </c>
      <c r="I62" s="230">
        <f t="shared" si="58"/>
        <v>175770</v>
      </c>
      <c r="J62" s="230">
        <f t="shared" si="58"/>
        <v>170550</v>
      </c>
      <c r="K62" s="230">
        <f t="shared" si="58"/>
        <v>94945</v>
      </c>
      <c r="L62" s="230">
        <f t="shared" si="58"/>
        <v>192155</v>
      </c>
      <c r="M62" s="230">
        <f t="shared" si="58"/>
        <v>219550</v>
      </c>
      <c r="N62" s="230">
        <f t="shared" si="58"/>
        <v>246970</v>
      </c>
      <c r="O62" s="230">
        <f t="shared" si="58"/>
        <v>319160</v>
      </c>
      <c r="P62" s="230">
        <f t="shared" si="58"/>
        <v>157090</v>
      </c>
      <c r="Q62" s="230">
        <f t="shared" si="58"/>
        <v>89935</v>
      </c>
      <c r="R62" s="230">
        <f t="shared" si="58"/>
        <v>177865</v>
      </c>
      <c r="S62" s="230">
        <f t="shared" si="58"/>
        <v>288795</v>
      </c>
      <c r="T62" s="230">
        <f t="shared" si="58"/>
        <v>168680</v>
      </c>
      <c r="U62" s="230">
        <f t="shared" si="58"/>
        <v>138400</v>
      </c>
      <c r="V62" s="230">
        <f t="shared" si="58"/>
        <v>306330</v>
      </c>
      <c r="W62" s="230">
        <f t="shared" si="58"/>
        <v>114815</v>
      </c>
      <c r="X62" s="230">
        <f t="shared" si="58"/>
        <v>74855</v>
      </c>
      <c r="Y62" s="230">
        <f t="shared" si="58"/>
        <v>59745</v>
      </c>
      <c r="Z62" s="230">
        <f t="shared" si="58"/>
        <v>78155</v>
      </c>
      <c r="AA62" s="230">
        <f t="shared" si="58"/>
        <v>133330</v>
      </c>
      <c r="AB62" s="231">
        <f>SUM(AB37:AB61)</f>
        <v>4700605</v>
      </c>
      <c r="AD62" s="229" t="s">
        <v>29</v>
      </c>
      <c r="AE62" s="238">
        <f t="shared" si="56"/>
        <v>0.14405698840893885</v>
      </c>
      <c r="AF62" s="238">
        <f t="shared" si="31"/>
        <v>5.334632456885869E-2</v>
      </c>
      <c r="AG62" s="238">
        <f t="shared" si="32"/>
        <v>5.3556935756142031E-2</v>
      </c>
      <c r="AH62" s="238">
        <f t="shared" si="33"/>
        <v>1.644256430821139E-2</v>
      </c>
      <c r="AI62" s="238">
        <f t="shared" si="34"/>
        <v>2.6709327841841636E-2</v>
      </c>
      <c r="AJ62" s="238">
        <f t="shared" si="35"/>
        <v>2.3615045297360658E-2</v>
      </c>
      <c r="AK62" s="238">
        <f t="shared" si="36"/>
        <v>3.7393058978578288E-2</v>
      </c>
      <c r="AL62" s="238">
        <f t="shared" si="37"/>
        <v>3.6282563627447958E-2</v>
      </c>
      <c r="AM62" s="238">
        <f t="shared" si="38"/>
        <v>2.019846381476427E-2</v>
      </c>
      <c r="AN62" s="238">
        <f t="shared" si="39"/>
        <v>4.0878780497404059E-2</v>
      </c>
      <c r="AO62" s="238">
        <f t="shared" si="40"/>
        <v>4.670675370510817E-2</v>
      </c>
      <c r="AP62" s="238">
        <f t="shared" si="41"/>
        <v>5.2540045377137627E-2</v>
      </c>
      <c r="AQ62" s="238">
        <f t="shared" si="42"/>
        <v>6.7897642962980301E-2</v>
      </c>
      <c r="AR62" s="238">
        <f t="shared" si="43"/>
        <v>3.3419102434686598E-2</v>
      </c>
      <c r="AS62" s="238">
        <f t="shared" si="44"/>
        <v>1.9132643563966767E-2</v>
      </c>
      <c r="AT62" s="238">
        <f t="shared" si="45"/>
        <v>3.7838746289041519E-2</v>
      </c>
      <c r="AU62" s="238">
        <f t="shared" si="46"/>
        <v>6.1437836193426167E-2</v>
      </c>
      <c r="AV62" s="238">
        <f t="shared" si="47"/>
        <v>3.5884742495912759E-2</v>
      </c>
      <c r="AW62" s="238">
        <f t="shared" si="48"/>
        <v>2.9443018505064773E-2</v>
      </c>
      <c r="AX62" s="238">
        <f t="shared" si="49"/>
        <v>6.5168207071217427E-2</v>
      </c>
      <c r="AY62" s="238">
        <f t="shared" si="50"/>
        <v>2.4425579260541994E-2</v>
      </c>
      <c r="AZ62" s="238">
        <f t="shared" si="51"/>
        <v>1.592454588292358E-2</v>
      </c>
      <c r="BA62" s="238">
        <f t="shared" si="52"/>
        <v>1.2710066044689992E-2</v>
      </c>
      <c r="BB62" s="238">
        <f t="shared" si="53"/>
        <v>1.6626583173868045E-2</v>
      </c>
      <c r="BC62" s="238">
        <f t="shared" si="54"/>
        <v>2.8364433939886462E-2</v>
      </c>
      <c r="BD62" s="239">
        <f t="shared" si="57"/>
        <v>0.99999999999999989</v>
      </c>
    </row>
    <row r="63" spans="2:56" ht="16.5" thickTop="1" thickBot="1" x14ac:dyDescent="0.3">
      <c r="B63" s="261" t="s">
        <v>514</v>
      </c>
      <c r="C63" s="264">
        <v>685897</v>
      </c>
      <c r="D63" s="264">
        <v>253036</v>
      </c>
      <c r="E63" s="264">
        <v>226689</v>
      </c>
      <c r="F63" s="264">
        <v>66989</v>
      </c>
      <c r="G63" s="264">
        <v>122022</v>
      </c>
      <c r="H63" s="264">
        <v>98594</v>
      </c>
      <c r="I63" s="264">
        <v>143392</v>
      </c>
      <c r="J63" s="264">
        <v>167258</v>
      </c>
      <c r="K63" s="264">
        <v>102501</v>
      </c>
      <c r="L63" s="264">
        <v>189990</v>
      </c>
      <c r="M63" s="264">
        <v>225603</v>
      </c>
      <c r="N63" s="264">
        <v>232995</v>
      </c>
      <c r="O63" s="264">
        <v>311983</v>
      </c>
      <c r="P63" s="264">
        <v>143628</v>
      </c>
      <c r="Q63" s="264">
        <v>83563</v>
      </c>
      <c r="R63" s="264">
        <v>154462</v>
      </c>
      <c r="S63" s="264">
        <v>269611</v>
      </c>
      <c r="T63" s="264">
        <v>162115</v>
      </c>
      <c r="U63" s="264">
        <v>125560</v>
      </c>
      <c r="V63" s="264">
        <v>290820</v>
      </c>
      <c r="W63" s="264">
        <v>112844</v>
      </c>
      <c r="X63" s="264">
        <v>71206</v>
      </c>
      <c r="Y63" s="264">
        <v>59411</v>
      </c>
      <c r="Z63" s="264">
        <v>77906</v>
      </c>
      <c r="AA63" s="264">
        <v>136657</v>
      </c>
      <c r="AB63" s="262">
        <f>SUM(C63:AA63)</f>
        <v>4514732</v>
      </c>
      <c r="AD63" s="258"/>
      <c r="AE63" s="259"/>
      <c r="AF63" s="259"/>
      <c r="AG63" s="259"/>
      <c r="AH63" s="259"/>
      <c r="AI63" s="259"/>
      <c r="AJ63" s="259"/>
      <c r="AK63" s="259"/>
      <c r="AL63" s="259"/>
      <c r="AM63" s="259"/>
      <c r="AN63" s="259"/>
      <c r="AO63" s="259"/>
      <c r="AP63" s="259"/>
      <c r="AQ63" s="259"/>
      <c r="AR63" s="259"/>
      <c r="AS63" s="259"/>
      <c r="AT63" s="259"/>
      <c r="AU63" s="259"/>
      <c r="AV63" s="259"/>
      <c r="AW63" s="259"/>
      <c r="AX63" s="259"/>
      <c r="AY63" s="259"/>
      <c r="AZ63" s="259"/>
      <c r="BA63" s="259"/>
      <c r="BB63" s="259"/>
      <c r="BC63" s="259"/>
      <c r="BD63" s="260"/>
    </row>
    <row r="64" spans="2:56" ht="24" thickTop="1" x14ac:dyDescent="0.35">
      <c r="B64" s="232" t="s">
        <v>480</v>
      </c>
      <c r="E64" s="274" t="s">
        <v>516</v>
      </c>
      <c r="F64" s="276">
        <v>1000</v>
      </c>
      <c r="AD64" s="240" t="s">
        <v>140</v>
      </c>
    </row>
    <row r="65" spans="2:56" ht="18.75" x14ac:dyDescent="0.3">
      <c r="B65" s="373" t="s">
        <v>454</v>
      </c>
      <c r="C65" s="375" t="s">
        <v>455</v>
      </c>
      <c r="D65" s="375"/>
      <c r="E65" s="375"/>
      <c r="F65" s="375"/>
      <c r="G65" s="375"/>
      <c r="H65" s="375"/>
      <c r="I65" s="375"/>
      <c r="J65" s="375"/>
      <c r="K65" s="375"/>
      <c r="L65" s="375"/>
      <c r="M65" s="375"/>
      <c r="N65" s="375"/>
      <c r="O65" s="375"/>
      <c r="P65" s="375"/>
      <c r="Q65" s="375"/>
      <c r="R65" s="375"/>
      <c r="S65" s="375"/>
      <c r="T65" s="375"/>
      <c r="U65" s="375"/>
      <c r="V65" s="376"/>
      <c r="W65" s="376"/>
      <c r="X65" s="376"/>
      <c r="Y65" s="376"/>
      <c r="Z65" s="379"/>
      <c r="AA65" s="219"/>
      <c r="AB65" s="377" t="s">
        <v>29</v>
      </c>
      <c r="AD65" s="373" t="s">
        <v>454</v>
      </c>
      <c r="AE65" s="375" t="s">
        <v>455</v>
      </c>
      <c r="AF65" s="375"/>
      <c r="AG65" s="375"/>
      <c r="AH65" s="375"/>
      <c r="AI65" s="375"/>
      <c r="AJ65" s="375"/>
      <c r="AK65" s="375"/>
      <c r="AL65" s="375"/>
      <c r="AM65" s="375"/>
      <c r="AN65" s="375"/>
      <c r="AO65" s="375"/>
      <c r="AP65" s="375"/>
      <c r="AQ65" s="375"/>
      <c r="AR65" s="375"/>
      <c r="AS65" s="375"/>
      <c r="AT65" s="375"/>
      <c r="AU65" s="375"/>
      <c r="AV65" s="375"/>
      <c r="AW65" s="375"/>
      <c r="AX65" s="376"/>
      <c r="AY65" s="376"/>
      <c r="AZ65" s="376"/>
      <c r="BA65" s="376"/>
      <c r="BB65" s="379"/>
      <c r="BC65" s="219"/>
      <c r="BD65" s="377" t="s">
        <v>29</v>
      </c>
    </row>
    <row r="66" spans="2:56" x14ac:dyDescent="0.25">
      <c r="B66" s="374"/>
      <c r="C66" s="220">
        <v>1</v>
      </c>
      <c r="D66" s="220" t="s">
        <v>456</v>
      </c>
      <c r="E66" s="220" t="s">
        <v>457</v>
      </c>
      <c r="F66" s="220" t="s">
        <v>458</v>
      </c>
      <c r="G66" s="220" t="s">
        <v>47</v>
      </c>
      <c r="H66" s="220" t="s">
        <v>459</v>
      </c>
      <c r="I66" s="220" t="s">
        <v>460</v>
      </c>
      <c r="J66" s="220" t="s">
        <v>49</v>
      </c>
      <c r="K66" s="220" t="s">
        <v>461</v>
      </c>
      <c r="L66" s="220" t="s">
        <v>462</v>
      </c>
      <c r="M66" s="220" t="s">
        <v>463</v>
      </c>
      <c r="N66" s="220" t="s">
        <v>464</v>
      </c>
      <c r="O66" s="220" t="s">
        <v>465</v>
      </c>
      <c r="P66" s="220" t="s">
        <v>466</v>
      </c>
      <c r="Q66" s="220" t="s">
        <v>467</v>
      </c>
      <c r="R66" s="220" t="s">
        <v>468</v>
      </c>
      <c r="S66" s="220" t="s">
        <v>469</v>
      </c>
      <c r="T66" s="220" t="s">
        <v>470</v>
      </c>
      <c r="U66" s="220" t="s">
        <v>471</v>
      </c>
      <c r="V66" s="221" t="s">
        <v>472</v>
      </c>
      <c r="W66" s="220" t="s">
        <v>473</v>
      </c>
      <c r="X66" s="220" t="s">
        <v>474</v>
      </c>
      <c r="Y66" s="220" t="s">
        <v>475</v>
      </c>
      <c r="Z66" s="222" t="s">
        <v>476</v>
      </c>
      <c r="AA66" s="222" t="s">
        <v>477</v>
      </c>
      <c r="AB66" s="378"/>
      <c r="AD66" s="374"/>
      <c r="AE66" s="220">
        <v>1</v>
      </c>
      <c r="AF66" s="220" t="s">
        <v>456</v>
      </c>
      <c r="AG66" s="220" t="s">
        <v>457</v>
      </c>
      <c r="AH66" s="220" t="s">
        <v>458</v>
      </c>
      <c r="AI66" s="220" t="s">
        <v>47</v>
      </c>
      <c r="AJ66" s="220" t="s">
        <v>459</v>
      </c>
      <c r="AK66" s="220" t="s">
        <v>460</v>
      </c>
      <c r="AL66" s="220" t="s">
        <v>49</v>
      </c>
      <c r="AM66" s="220" t="s">
        <v>461</v>
      </c>
      <c r="AN66" s="220" t="s">
        <v>462</v>
      </c>
      <c r="AO66" s="220" t="s">
        <v>463</v>
      </c>
      <c r="AP66" s="220" t="s">
        <v>464</v>
      </c>
      <c r="AQ66" s="220" t="s">
        <v>465</v>
      </c>
      <c r="AR66" s="220" t="s">
        <v>466</v>
      </c>
      <c r="AS66" s="220" t="s">
        <v>467</v>
      </c>
      <c r="AT66" s="220" t="s">
        <v>468</v>
      </c>
      <c r="AU66" s="220" t="s">
        <v>469</v>
      </c>
      <c r="AV66" s="220" t="s">
        <v>470</v>
      </c>
      <c r="AW66" s="220" t="s">
        <v>471</v>
      </c>
      <c r="AX66" s="221" t="s">
        <v>472</v>
      </c>
      <c r="AY66" s="220" t="s">
        <v>473</v>
      </c>
      <c r="AZ66" s="220" t="s">
        <v>474</v>
      </c>
      <c r="BA66" s="220" t="s">
        <v>475</v>
      </c>
      <c r="BB66" s="222" t="s">
        <v>476</v>
      </c>
      <c r="BC66" s="222" t="s">
        <v>477</v>
      </c>
      <c r="BD66" s="378"/>
    </row>
    <row r="67" spans="2:56" x14ac:dyDescent="0.25">
      <c r="B67" s="223">
        <v>1</v>
      </c>
      <c r="C67" s="224">
        <f>IF(ABS(C37-C6)&gt;$F$64,C37-C6,0)</f>
        <v>64492</v>
      </c>
      <c r="D67" s="225">
        <f t="shared" ref="D67:AA67" si="59">IF(ABS(D37-D6)&gt;$F$64,D37-D6,0)</f>
        <v>-11328</v>
      </c>
      <c r="E67" s="225">
        <f t="shared" si="59"/>
        <v>-4040</v>
      </c>
      <c r="F67" s="225">
        <f t="shared" si="59"/>
        <v>0</v>
      </c>
      <c r="G67" s="225">
        <f t="shared" si="59"/>
        <v>-2269</v>
      </c>
      <c r="H67" s="225">
        <f t="shared" si="59"/>
        <v>0</v>
      </c>
      <c r="I67" s="225">
        <f t="shared" si="59"/>
        <v>-1223</v>
      </c>
      <c r="J67" s="225">
        <f t="shared" si="59"/>
        <v>-5168</v>
      </c>
      <c r="K67" s="225">
        <f t="shared" si="59"/>
        <v>-2698</v>
      </c>
      <c r="L67" s="225">
        <f t="shared" si="59"/>
        <v>-3548</v>
      </c>
      <c r="M67" s="225">
        <f t="shared" si="59"/>
        <v>-1558</v>
      </c>
      <c r="N67" s="225">
        <f t="shared" si="59"/>
        <v>-1495</v>
      </c>
      <c r="O67" s="225">
        <f t="shared" si="59"/>
        <v>-3905</v>
      </c>
      <c r="P67" s="225">
        <f t="shared" si="59"/>
        <v>-1605</v>
      </c>
      <c r="Q67" s="225">
        <f t="shared" si="59"/>
        <v>0</v>
      </c>
      <c r="R67" s="225">
        <f t="shared" si="59"/>
        <v>0</v>
      </c>
      <c r="S67" s="225">
        <f t="shared" si="59"/>
        <v>0</v>
      </c>
      <c r="T67" s="225">
        <f t="shared" si="59"/>
        <v>0</v>
      </c>
      <c r="U67" s="225">
        <f t="shared" si="59"/>
        <v>0</v>
      </c>
      <c r="V67" s="225">
        <f t="shared" si="59"/>
        <v>-2236</v>
      </c>
      <c r="W67" s="225">
        <f t="shared" si="59"/>
        <v>-1422</v>
      </c>
      <c r="X67" s="225">
        <f t="shared" si="59"/>
        <v>0</v>
      </c>
      <c r="Y67" s="225">
        <f t="shared" si="59"/>
        <v>0</v>
      </c>
      <c r="Z67" s="225">
        <f t="shared" si="59"/>
        <v>0</v>
      </c>
      <c r="AA67" s="225">
        <f t="shared" si="59"/>
        <v>0</v>
      </c>
      <c r="AB67" s="226">
        <f>SUM(C67:AA67)</f>
        <v>21997</v>
      </c>
      <c r="AD67" s="223">
        <v>1</v>
      </c>
      <c r="AE67" s="233">
        <f>AE37-AE6</f>
        <v>0.26993103723293832</v>
      </c>
      <c r="AF67" s="234">
        <f t="shared" ref="AF67:BC67" si="60">AF37-AF6</f>
        <v>-6.539698242568083E-2</v>
      </c>
      <c r="AG67" s="234">
        <f t="shared" si="60"/>
        <v>-2.4189005353898521E-2</v>
      </c>
      <c r="AH67" s="234">
        <f t="shared" si="60"/>
        <v>-1.9098301048361098E-3</v>
      </c>
      <c r="AI67" s="234">
        <f t="shared" si="60"/>
        <v>-1.3478521998276231E-2</v>
      </c>
      <c r="AJ67" s="234">
        <f t="shared" si="60"/>
        <v>-5.4793036133753189E-3</v>
      </c>
      <c r="AK67" s="234">
        <f t="shared" si="60"/>
        <v>-8.3345196780821515E-3</v>
      </c>
      <c r="AL67" s="234">
        <f t="shared" si="60"/>
        <v>-2.9482387885873845E-2</v>
      </c>
      <c r="AM67" s="234">
        <f t="shared" si="60"/>
        <v>-1.5011922083755579E-2</v>
      </c>
      <c r="AN67" s="234">
        <f t="shared" si="60"/>
        <v>-1.9603086515070096E-2</v>
      </c>
      <c r="AO67" s="234">
        <f t="shared" si="60"/>
        <v>-8.7806106022356809E-3</v>
      </c>
      <c r="AP67" s="234">
        <f t="shared" si="60"/>
        <v>-8.5434192606166047E-3</v>
      </c>
      <c r="AQ67" s="234">
        <f t="shared" si="60"/>
        <v>-2.1604729954804641E-2</v>
      </c>
      <c r="AR67" s="234">
        <f t="shared" si="60"/>
        <v>-8.888327806860814E-3</v>
      </c>
      <c r="AS67" s="234">
        <f t="shared" si="60"/>
        <v>-3.2415264846529564E-3</v>
      </c>
      <c r="AT67" s="234">
        <f t="shared" si="60"/>
        <v>-1.376129113937986E-4</v>
      </c>
      <c r="AU67" s="234">
        <f t="shared" si="60"/>
        <v>-1.8330039797653974E-3</v>
      </c>
      <c r="AV67" s="234">
        <f t="shared" si="60"/>
        <v>-4.5118023703617774E-3</v>
      </c>
      <c r="AW67" s="234">
        <f t="shared" si="60"/>
        <v>-5.1742454684068281E-4</v>
      </c>
      <c r="AX67" s="234">
        <f t="shared" si="60"/>
        <v>-1.2325146625409195E-2</v>
      </c>
      <c r="AY67" s="234">
        <f t="shared" si="60"/>
        <v>-7.8883075084644292E-3</v>
      </c>
      <c r="AZ67" s="234">
        <f t="shared" si="60"/>
        <v>-8.7521811646455922E-4</v>
      </c>
      <c r="BA67" s="234">
        <f t="shared" si="60"/>
        <v>-1.1504439392521564E-3</v>
      </c>
      <c r="BB67" s="234">
        <f t="shared" si="60"/>
        <v>-1.8109859139423896E-3</v>
      </c>
      <c r="BC67" s="234">
        <f t="shared" si="60"/>
        <v>-4.9369175530245548E-3</v>
      </c>
      <c r="BD67" s="237">
        <f>SUM(AE67:BC67)</f>
        <v>0</v>
      </c>
    </row>
    <row r="68" spans="2:56" x14ac:dyDescent="0.25">
      <c r="B68" s="223" t="s">
        <v>456</v>
      </c>
      <c r="C68" s="225">
        <f t="shared" ref="C68:AA68" si="61">IF(ABS(C38-C7)&gt;$F$64,C38-C7,0)</f>
        <v>-10875</v>
      </c>
      <c r="D68" s="224">
        <f t="shared" si="61"/>
        <v>65628</v>
      </c>
      <c r="E68" s="225">
        <f t="shared" si="61"/>
        <v>5983</v>
      </c>
      <c r="F68" s="225">
        <f t="shared" si="61"/>
        <v>0</v>
      </c>
      <c r="G68" s="225">
        <f t="shared" si="61"/>
        <v>-3114</v>
      </c>
      <c r="H68" s="225">
        <f t="shared" si="61"/>
        <v>-2191</v>
      </c>
      <c r="I68" s="225">
        <f t="shared" si="61"/>
        <v>-3993</v>
      </c>
      <c r="J68" s="225">
        <f t="shared" si="61"/>
        <v>-6569</v>
      </c>
      <c r="K68" s="225">
        <f t="shared" si="61"/>
        <v>-2538</v>
      </c>
      <c r="L68" s="225">
        <f t="shared" si="61"/>
        <v>-6749</v>
      </c>
      <c r="M68" s="225">
        <f t="shared" si="61"/>
        <v>-1813</v>
      </c>
      <c r="N68" s="225">
        <f t="shared" si="61"/>
        <v>0</v>
      </c>
      <c r="O68" s="225">
        <f t="shared" si="61"/>
        <v>-3606</v>
      </c>
      <c r="P68" s="225">
        <f t="shared" si="61"/>
        <v>-1695</v>
      </c>
      <c r="Q68" s="225">
        <f t="shared" si="61"/>
        <v>0</v>
      </c>
      <c r="R68" s="225">
        <f t="shared" si="61"/>
        <v>0</v>
      </c>
      <c r="S68" s="225">
        <f t="shared" si="61"/>
        <v>0</v>
      </c>
      <c r="T68" s="225">
        <f t="shared" si="61"/>
        <v>0</v>
      </c>
      <c r="U68" s="225">
        <f t="shared" si="61"/>
        <v>0</v>
      </c>
      <c r="V68" s="225">
        <f t="shared" si="61"/>
        <v>-5505</v>
      </c>
      <c r="W68" s="225">
        <f t="shared" si="61"/>
        <v>-3708</v>
      </c>
      <c r="X68" s="225">
        <f t="shared" si="61"/>
        <v>0</v>
      </c>
      <c r="Y68" s="225">
        <f t="shared" si="61"/>
        <v>0</v>
      </c>
      <c r="Z68" s="225">
        <f t="shared" si="61"/>
        <v>0</v>
      </c>
      <c r="AA68" s="225">
        <f t="shared" si="61"/>
        <v>0</v>
      </c>
      <c r="AB68" s="226">
        <f t="shared" ref="AB68:AB91" si="62">SUM(C68:AA68)</f>
        <v>19255</v>
      </c>
      <c r="AD68" s="223" t="s">
        <v>456</v>
      </c>
      <c r="AE68" s="234">
        <f t="shared" ref="AE68:BC68" si="63">AE38-AE7</f>
        <v>-4.457371008389438E-2</v>
      </c>
      <c r="AF68" s="233">
        <f t="shared" si="63"/>
        <v>0.15911686322868301</v>
      </c>
      <c r="AG68" s="234">
        <f t="shared" si="63"/>
        <v>1.229972963465592E-2</v>
      </c>
      <c r="AH68" s="234">
        <f t="shared" si="63"/>
        <v>3.3018534894847448E-4</v>
      </c>
      <c r="AI68" s="234">
        <f t="shared" si="63"/>
        <v>-8.9470591481161151E-3</v>
      </c>
      <c r="AJ68" s="234">
        <f t="shared" si="63"/>
        <v>-6.1861301982597001E-3</v>
      </c>
      <c r="AK68" s="234">
        <f t="shared" si="63"/>
        <v>-1.1115263970468268E-2</v>
      </c>
      <c r="AL68" s="234">
        <f t="shared" si="63"/>
        <v>-1.8257982701668875E-2</v>
      </c>
      <c r="AM68" s="234">
        <f t="shared" si="63"/>
        <v>-8.5555725692555221E-3</v>
      </c>
      <c r="AN68" s="234">
        <f t="shared" si="63"/>
        <v>-1.8906866413137262E-2</v>
      </c>
      <c r="AO68" s="234">
        <f t="shared" si="63"/>
        <v>-5.4025450757629358E-3</v>
      </c>
      <c r="AP68" s="234">
        <f t="shared" si="63"/>
        <v>-2.6733458996961216E-3</v>
      </c>
      <c r="AQ68" s="234">
        <f t="shared" si="63"/>
        <v>-9.9356783784797613E-3</v>
      </c>
      <c r="AR68" s="234">
        <f t="shared" si="63"/>
        <v>-4.6684917737049867E-3</v>
      </c>
      <c r="AS68" s="234">
        <f t="shared" si="63"/>
        <v>-1.8006990169238855E-3</v>
      </c>
      <c r="AT68" s="234">
        <f t="shared" si="63"/>
        <v>-2.5825311002681438E-4</v>
      </c>
      <c r="AU68" s="234">
        <f t="shared" si="63"/>
        <v>-5.4947470218471141E-4</v>
      </c>
      <c r="AV68" s="234">
        <f t="shared" si="63"/>
        <v>-7.9258898307640587E-4</v>
      </c>
      <c r="AW68" s="234">
        <f t="shared" si="63"/>
        <v>-2.307793749175788E-4</v>
      </c>
      <c r="AX68" s="234">
        <f t="shared" si="63"/>
        <v>-1.524415132270214E-2</v>
      </c>
      <c r="AY68" s="234">
        <f t="shared" si="63"/>
        <v>-1.040710202506822E-2</v>
      </c>
      <c r="AZ68" s="234">
        <f t="shared" si="63"/>
        <v>-5.0510808703692236E-4</v>
      </c>
      <c r="BA68" s="234">
        <f t="shared" si="63"/>
        <v>-5.7537043105197923E-4</v>
      </c>
      <c r="BB68" s="234">
        <f t="shared" si="63"/>
        <v>-1.0000439579761747E-3</v>
      </c>
      <c r="BC68" s="234">
        <f t="shared" si="63"/>
        <v>-1.1605609888786967E-3</v>
      </c>
      <c r="BD68" s="237">
        <f t="shared" ref="BD68:BD92" si="64">SUM(AE68:BC68)</f>
        <v>-4.5102810375396984E-17</v>
      </c>
    </row>
    <row r="69" spans="2:56" x14ac:dyDescent="0.25">
      <c r="B69" s="223" t="s">
        <v>457</v>
      </c>
      <c r="C69" s="225">
        <f t="shared" ref="C69:AA69" si="65">IF(ABS(C39-C8)&gt;$F$64,C39-C8,0)</f>
        <v>2471</v>
      </c>
      <c r="D69" s="225">
        <f t="shared" si="65"/>
        <v>-11208</v>
      </c>
      <c r="E69" s="224">
        <f t="shared" si="65"/>
        <v>33519</v>
      </c>
      <c r="F69" s="225">
        <f t="shared" si="65"/>
        <v>3789</v>
      </c>
      <c r="G69" s="225">
        <f t="shared" si="65"/>
        <v>0</v>
      </c>
      <c r="H69" s="225">
        <f t="shared" si="65"/>
        <v>-1095</v>
      </c>
      <c r="I69" s="225">
        <f t="shared" si="65"/>
        <v>-3587</v>
      </c>
      <c r="J69" s="225">
        <f t="shared" si="65"/>
        <v>-4062</v>
      </c>
      <c r="K69" s="225">
        <f t="shared" si="65"/>
        <v>-1244</v>
      </c>
      <c r="L69" s="225">
        <f t="shared" si="65"/>
        <v>-3761</v>
      </c>
      <c r="M69" s="225">
        <f t="shared" si="65"/>
        <v>-1355</v>
      </c>
      <c r="N69" s="225">
        <f t="shared" si="65"/>
        <v>0</v>
      </c>
      <c r="O69" s="225">
        <f t="shared" si="65"/>
        <v>-2705</v>
      </c>
      <c r="P69" s="225">
        <f t="shared" si="65"/>
        <v>-1246</v>
      </c>
      <c r="Q69" s="225">
        <f t="shared" si="65"/>
        <v>0</v>
      </c>
      <c r="R69" s="225">
        <f t="shared" si="65"/>
        <v>0</v>
      </c>
      <c r="S69" s="225">
        <f t="shared" si="65"/>
        <v>0</v>
      </c>
      <c r="T69" s="225">
        <f t="shared" si="65"/>
        <v>0</v>
      </c>
      <c r="U69" s="225">
        <f t="shared" si="65"/>
        <v>0</v>
      </c>
      <c r="V69" s="225">
        <f t="shared" si="65"/>
        <v>-3253</v>
      </c>
      <c r="W69" s="225">
        <f t="shared" si="65"/>
        <v>-1057</v>
      </c>
      <c r="X69" s="225">
        <f t="shared" si="65"/>
        <v>0</v>
      </c>
      <c r="Y69" s="225">
        <f t="shared" si="65"/>
        <v>0</v>
      </c>
      <c r="Z69" s="225">
        <f t="shared" si="65"/>
        <v>0</v>
      </c>
      <c r="AA69" s="225">
        <f t="shared" si="65"/>
        <v>0</v>
      </c>
      <c r="AB69" s="226">
        <f t="shared" si="62"/>
        <v>5206</v>
      </c>
      <c r="AD69" s="223" t="s">
        <v>457</v>
      </c>
      <c r="AE69" s="234">
        <f t="shared" ref="AE69:BC69" si="66">AE39-AE8</f>
        <v>9.2461069667645335E-3</v>
      </c>
      <c r="AF69" s="234">
        <f t="shared" si="66"/>
        <v>-4.7553734524041658E-2</v>
      </c>
      <c r="AG69" s="233">
        <f t="shared" si="66"/>
        <v>0.13855789472056079</v>
      </c>
      <c r="AH69" s="234">
        <f t="shared" si="66"/>
        <v>1.5610272344150321E-2</v>
      </c>
      <c r="AI69" s="234">
        <f t="shared" si="66"/>
        <v>-2.8116106600209537E-3</v>
      </c>
      <c r="AJ69" s="234">
        <f t="shared" si="66"/>
        <v>-4.6342499752094375E-3</v>
      </c>
      <c r="AK69" s="234">
        <f t="shared" si="66"/>
        <v>-1.5058756877728164E-2</v>
      </c>
      <c r="AL69" s="234">
        <f t="shared" si="66"/>
        <v>-1.7048519464501106E-2</v>
      </c>
      <c r="AM69" s="234">
        <f t="shared" si="66"/>
        <v>-5.3691041621748911E-3</v>
      </c>
      <c r="AN69" s="234">
        <f t="shared" si="66"/>
        <v>-1.598795926860324E-2</v>
      </c>
      <c r="AO69" s="234">
        <f t="shared" si="66"/>
        <v>-5.865929430734107E-3</v>
      </c>
      <c r="AP69" s="234">
        <f t="shared" si="66"/>
        <v>-2.1665309454912875E-3</v>
      </c>
      <c r="AQ69" s="234">
        <f t="shared" si="66"/>
        <v>-1.1358345440925278E-2</v>
      </c>
      <c r="AR69" s="234">
        <f t="shared" si="66"/>
        <v>-5.2277859584426052E-3</v>
      </c>
      <c r="AS69" s="234">
        <f t="shared" si="66"/>
        <v>-3.8284614449192165E-3</v>
      </c>
      <c r="AT69" s="234">
        <f t="shared" si="66"/>
        <v>-4.8222679755280384E-4</v>
      </c>
      <c r="AU69" s="234">
        <f t="shared" si="66"/>
        <v>-1.0608989546161685E-3</v>
      </c>
      <c r="AV69" s="234">
        <f t="shared" si="66"/>
        <v>-6.416734921175102E-4</v>
      </c>
      <c r="AW69" s="234">
        <f t="shared" si="66"/>
        <v>-3.3546212003673312E-4</v>
      </c>
      <c r="AX69" s="234">
        <f t="shared" si="66"/>
        <v>-1.3676085347344984E-2</v>
      </c>
      <c r="AY69" s="234">
        <f t="shared" si="66"/>
        <v>-4.4684676527147246E-3</v>
      </c>
      <c r="AZ69" s="234">
        <f t="shared" si="66"/>
        <v>-2.1901165838067813E-3</v>
      </c>
      <c r="BA69" s="234">
        <f t="shared" si="66"/>
        <v>-7.2564120967395166E-4</v>
      </c>
      <c r="BB69" s="234">
        <f t="shared" si="66"/>
        <v>-8.8058806509642442E-4</v>
      </c>
      <c r="BC69" s="234">
        <f t="shared" si="66"/>
        <v>-2.0421256557236127E-3</v>
      </c>
      <c r="BD69" s="237">
        <f t="shared" si="64"/>
        <v>4.2934406030425976E-17</v>
      </c>
    </row>
    <row r="70" spans="2:56" x14ac:dyDescent="0.25">
      <c r="B70" s="223" t="s">
        <v>458</v>
      </c>
      <c r="C70" s="225">
        <f t="shared" ref="C70:AA70" si="67">IF(ABS(C40-C9)&gt;$F$64,C40-C9,0)</f>
        <v>2378</v>
      </c>
      <c r="D70" s="225">
        <f t="shared" si="67"/>
        <v>-10279</v>
      </c>
      <c r="E70" s="225">
        <f t="shared" si="67"/>
        <v>2841</v>
      </c>
      <c r="F70" s="224">
        <f t="shared" si="67"/>
        <v>12762</v>
      </c>
      <c r="G70" s="225">
        <f t="shared" si="67"/>
        <v>3752</v>
      </c>
      <c r="H70" s="225">
        <f t="shared" si="67"/>
        <v>0</v>
      </c>
      <c r="I70" s="225">
        <f t="shared" si="67"/>
        <v>-2700</v>
      </c>
      <c r="J70" s="225">
        <f t="shared" si="67"/>
        <v>-2851</v>
      </c>
      <c r="K70" s="225">
        <f t="shared" si="67"/>
        <v>0</v>
      </c>
      <c r="L70" s="225">
        <f t="shared" si="67"/>
        <v>-2150</v>
      </c>
      <c r="M70" s="225">
        <f t="shared" si="67"/>
        <v>-2384</v>
      </c>
      <c r="N70" s="225">
        <f t="shared" si="67"/>
        <v>1466</v>
      </c>
      <c r="O70" s="225">
        <f t="shared" si="67"/>
        <v>-1512</v>
      </c>
      <c r="P70" s="225">
        <f t="shared" si="67"/>
        <v>0</v>
      </c>
      <c r="Q70" s="225">
        <f t="shared" si="67"/>
        <v>0</v>
      </c>
      <c r="R70" s="225">
        <f t="shared" si="67"/>
        <v>0</v>
      </c>
      <c r="S70" s="225">
        <f t="shared" si="67"/>
        <v>0</v>
      </c>
      <c r="T70" s="225">
        <f t="shared" si="67"/>
        <v>0</v>
      </c>
      <c r="U70" s="225">
        <f t="shared" si="67"/>
        <v>0</v>
      </c>
      <c r="V70" s="225">
        <f t="shared" si="67"/>
        <v>-1465</v>
      </c>
      <c r="W70" s="225">
        <f t="shared" si="67"/>
        <v>0</v>
      </c>
      <c r="X70" s="225">
        <f t="shared" si="67"/>
        <v>0</v>
      </c>
      <c r="Y70" s="225">
        <f t="shared" si="67"/>
        <v>0</v>
      </c>
      <c r="Z70" s="225">
        <f t="shared" si="67"/>
        <v>0</v>
      </c>
      <c r="AA70" s="225">
        <f t="shared" si="67"/>
        <v>0</v>
      </c>
      <c r="AB70" s="226">
        <f t="shared" si="62"/>
        <v>-142</v>
      </c>
      <c r="AD70" s="223" t="s">
        <v>458</v>
      </c>
      <c r="AE70" s="234">
        <f t="shared" ref="AE70:BC70" si="68">AE40-AE9</f>
        <v>2.6724890144040309E-2</v>
      </c>
      <c r="AF70" s="234">
        <f t="shared" si="68"/>
        <v>-8.6764973828735076E-2</v>
      </c>
      <c r="AG70" s="234">
        <f t="shared" si="68"/>
        <v>2.9886973228555103E-2</v>
      </c>
      <c r="AH70" s="233">
        <f t="shared" si="68"/>
        <v>0.11687117017647652</v>
      </c>
      <c r="AI70" s="234">
        <f t="shared" si="68"/>
        <v>3.5521192206524305E-2</v>
      </c>
      <c r="AJ70" s="234">
        <f t="shared" si="68"/>
        <v>7.4833296616397087E-3</v>
      </c>
      <c r="AK70" s="234">
        <f t="shared" si="68"/>
        <v>-2.2923967546178665E-2</v>
      </c>
      <c r="AL70" s="234">
        <f t="shared" si="68"/>
        <v>-2.4394638895096851E-2</v>
      </c>
      <c r="AM70" s="234">
        <f t="shared" si="68"/>
        <v>-5.1885024678728041E-3</v>
      </c>
      <c r="AN70" s="234">
        <f t="shared" si="68"/>
        <v>-1.8175135311635837E-2</v>
      </c>
      <c r="AO70" s="234">
        <f t="shared" si="68"/>
        <v>-1.9743677631644797E-2</v>
      </c>
      <c r="AP70" s="234">
        <f t="shared" si="68"/>
        <v>1.3730473041844226E-2</v>
      </c>
      <c r="AQ70" s="234">
        <f t="shared" si="68"/>
        <v>-1.2768910656940635E-2</v>
      </c>
      <c r="AR70" s="234">
        <f t="shared" si="68"/>
        <v>-8.410459495661821E-3</v>
      </c>
      <c r="AS70" s="234">
        <f t="shared" si="68"/>
        <v>-5.8094067701932742E-3</v>
      </c>
      <c r="AT70" s="234">
        <f t="shared" si="68"/>
        <v>-3.4375187989309317E-4</v>
      </c>
      <c r="AU70" s="234">
        <f t="shared" si="68"/>
        <v>-8.5937969973273287E-4</v>
      </c>
      <c r="AV70" s="234">
        <f t="shared" si="68"/>
        <v>-7.3047274477282297E-4</v>
      </c>
      <c r="AW70" s="234">
        <f t="shared" si="68"/>
        <v>0</v>
      </c>
      <c r="AX70" s="234">
        <f t="shared" si="68"/>
        <v>-1.254048174327832E-2</v>
      </c>
      <c r="AY70" s="234">
        <f t="shared" si="68"/>
        <v>-3.3105739587924871E-3</v>
      </c>
      <c r="AZ70" s="234">
        <f t="shared" si="68"/>
        <v>-2.7733248872464163E-3</v>
      </c>
      <c r="BA70" s="234">
        <f t="shared" si="68"/>
        <v>-1.1576910517488786E-3</v>
      </c>
      <c r="BB70" s="234">
        <f t="shared" si="68"/>
        <v>-2.0109484973745949E-3</v>
      </c>
      <c r="BC70" s="234">
        <f t="shared" si="68"/>
        <v>-2.3117313922810514E-3</v>
      </c>
      <c r="BD70" s="237">
        <f t="shared" si="64"/>
        <v>1.474514954580286E-17</v>
      </c>
    </row>
    <row r="71" spans="2:56" x14ac:dyDescent="0.25">
      <c r="B71" s="223" t="s">
        <v>47</v>
      </c>
      <c r="C71" s="225">
        <f t="shared" ref="C71:AA71" si="69">IF(ABS(C41-C10)&gt;$F$64,C41-C10,0)</f>
        <v>1516</v>
      </c>
      <c r="D71" s="225">
        <f t="shared" si="69"/>
        <v>-8008</v>
      </c>
      <c r="E71" s="225">
        <f t="shared" si="69"/>
        <v>2506</v>
      </c>
      <c r="F71" s="225">
        <f t="shared" si="69"/>
        <v>3261</v>
      </c>
      <c r="G71" s="224">
        <f t="shared" si="69"/>
        <v>12547</v>
      </c>
      <c r="H71" s="225">
        <f t="shared" si="69"/>
        <v>2870</v>
      </c>
      <c r="I71" s="225">
        <f t="shared" si="69"/>
        <v>0</v>
      </c>
      <c r="J71" s="225">
        <f t="shared" si="69"/>
        <v>-3523</v>
      </c>
      <c r="K71" s="225">
        <f t="shared" si="69"/>
        <v>0</v>
      </c>
      <c r="L71" s="225">
        <f t="shared" si="69"/>
        <v>-3861</v>
      </c>
      <c r="M71" s="225">
        <f t="shared" si="69"/>
        <v>-3667</v>
      </c>
      <c r="N71" s="225">
        <f t="shared" si="69"/>
        <v>2183</v>
      </c>
      <c r="O71" s="225">
        <f t="shared" si="69"/>
        <v>-2962</v>
      </c>
      <c r="P71" s="225">
        <f t="shared" si="69"/>
        <v>0</v>
      </c>
      <c r="Q71" s="225">
        <f t="shared" si="69"/>
        <v>0</v>
      </c>
      <c r="R71" s="225">
        <f t="shared" si="69"/>
        <v>0</v>
      </c>
      <c r="S71" s="225">
        <f t="shared" si="69"/>
        <v>0</v>
      </c>
      <c r="T71" s="225">
        <f t="shared" si="69"/>
        <v>0</v>
      </c>
      <c r="U71" s="225">
        <f t="shared" si="69"/>
        <v>0</v>
      </c>
      <c r="V71" s="225">
        <f t="shared" si="69"/>
        <v>-1321</v>
      </c>
      <c r="W71" s="225">
        <f t="shared" si="69"/>
        <v>0</v>
      </c>
      <c r="X71" s="225">
        <f t="shared" si="69"/>
        <v>0</v>
      </c>
      <c r="Y71" s="225">
        <f t="shared" si="69"/>
        <v>0</v>
      </c>
      <c r="Z71" s="225">
        <f t="shared" si="69"/>
        <v>0</v>
      </c>
      <c r="AA71" s="225">
        <f t="shared" si="69"/>
        <v>0</v>
      </c>
      <c r="AB71" s="226">
        <f t="shared" si="62"/>
        <v>1541</v>
      </c>
      <c r="AD71" s="223" t="s">
        <v>47</v>
      </c>
      <c r="AE71" s="234">
        <f t="shared" ref="AE71:BC71" si="70">AE41-AE10</f>
        <v>1.8259833538680881E-2</v>
      </c>
      <c r="AF71" s="234">
        <f t="shared" si="70"/>
        <v>-5.6245035754772188E-2</v>
      </c>
      <c r="AG71" s="234">
        <f t="shared" si="70"/>
        <v>2.0540140918069882E-2</v>
      </c>
      <c r="AH71" s="234">
        <f t="shared" si="70"/>
        <v>2.5273638479375179E-2</v>
      </c>
      <c r="AI71" s="233">
        <f t="shared" si="70"/>
        <v>9.9845302464558916E-2</v>
      </c>
      <c r="AJ71" s="234">
        <f t="shared" si="70"/>
        <v>2.2673414607571073E-2</v>
      </c>
      <c r="AK71" s="234">
        <f t="shared" si="70"/>
        <v>-6.2885183519237747E-3</v>
      </c>
      <c r="AL71" s="234">
        <f t="shared" si="70"/>
        <v>-2.483022749562469E-2</v>
      </c>
      <c r="AM71" s="234">
        <f t="shared" si="70"/>
        <v>-4.941592753264442E-3</v>
      </c>
      <c r="AN71" s="234">
        <f t="shared" si="70"/>
        <v>-2.7197852892949542E-2</v>
      </c>
      <c r="AO71" s="234">
        <f t="shared" si="70"/>
        <v>-2.5347393235362715E-2</v>
      </c>
      <c r="AP71" s="234">
        <f t="shared" si="70"/>
        <v>1.7760717161289089E-2</v>
      </c>
      <c r="AQ71" s="234">
        <f t="shared" si="70"/>
        <v>-2.0181342297249227E-2</v>
      </c>
      <c r="AR71" s="234">
        <f t="shared" si="70"/>
        <v>-6.3796064046654352E-3</v>
      </c>
      <c r="AS71" s="234">
        <f t="shared" si="70"/>
        <v>-6.7648590230665658E-3</v>
      </c>
      <c r="AT71" s="234">
        <f t="shared" si="70"/>
        <v>-9.9204240272669945E-5</v>
      </c>
      <c r="AU71" s="234">
        <f t="shared" si="70"/>
        <v>-1.6793860674730555E-3</v>
      </c>
      <c r="AV71" s="234">
        <f t="shared" si="70"/>
        <v>-6.7202794694069335E-4</v>
      </c>
      <c r="AW71" s="234">
        <f t="shared" si="70"/>
        <v>-2.4801060068167487E-4</v>
      </c>
      <c r="AX71" s="234">
        <f t="shared" si="70"/>
        <v>-9.3423297357467135E-3</v>
      </c>
      <c r="AY71" s="234">
        <f t="shared" si="70"/>
        <v>-3.2890315447045787E-3</v>
      </c>
      <c r="AZ71" s="234">
        <f t="shared" si="70"/>
        <v>-1.6510419988237212E-3</v>
      </c>
      <c r="BA71" s="234">
        <f t="shared" si="70"/>
        <v>-2.2357503728544208E-3</v>
      </c>
      <c r="BB71" s="234">
        <f t="shared" si="70"/>
        <v>-3.4863204438681152E-3</v>
      </c>
      <c r="BC71" s="234">
        <f t="shared" si="70"/>
        <v>-3.4735160093008039E-3</v>
      </c>
      <c r="BD71" s="237">
        <f t="shared" si="64"/>
        <v>-1.8648277366750676E-17</v>
      </c>
    </row>
    <row r="72" spans="2:56" x14ac:dyDescent="0.25">
      <c r="B72" s="223" t="s">
        <v>459</v>
      </c>
      <c r="C72" s="225">
        <f t="shared" ref="C72:AA72" si="71">IF(ABS(C42-C11)&gt;$F$64,C42-C11,0)</f>
        <v>8323</v>
      </c>
      <c r="D72" s="225">
        <f t="shared" si="71"/>
        <v>-7042</v>
      </c>
      <c r="E72" s="225">
        <f t="shared" si="71"/>
        <v>-2241</v>
      </c>
      <c r="F72" s="225">
        <f t="shared" si="71"/>
        <v>0</v>
      </c>
      <c r="G72" s="225">
        <f t="shared" si="71"/>
        <v>2619</v>
      </c>
      <c r="H72" s="224">
        <f t="shared" si="71"/>
        <v>16634</v>
      </c>
      <c r="I72" s="225">
        <f t="shared" si="71"/>
        <v>0</v>
      </c>
      <c r="J72" s="225">
        <f t="shared" si="71"/>
        <v>-2708</v>
      </c>
      <c r="K72" s="225">
        <f t="shared" si="71"/>
        <v>-1125</v>
      </c>
      <c r="L72" s="225">
        <f t="shared" si="71"/>
        <v>-2233</v>
      </c>
      <c r="M72" s="225">
        <f t="shared" si="71"/>
        <v>-2143</v>
      </c>
      <c r="N72" s="225">
        <f t="shared" si="71"/>
        <v>4545</v>
      </c>
      <c r="O72" s="225">
        <f t="shared" si="71"/>
        <v>-3119</v>
      </c>
      <c r="P72" s="225">
        <f t="shared" si="71"/>
        <v>-1035</v>
      </c>
      <c r="Q72" s="225">
        <f t="shared" si="71"/>
        <v>0</v>
      </c>
      <c r="R72" s="225">
        <f t="shared" si="71"/>
        <v>0</v>
      </c>
      <c r="S72" s="225">
        <f t="shared" si="71"/>
        <v>0</v>
      </c>
      <c r="T72" s="225">
        <f t="shared" si="71"/>
        <v>0</v>
      </c>
      <c r="U72" s="225">
        <f t="shared" si="71"/>
        <v>0</v>
      </c>
      <c r="V72" s="225">
        <f t="shared" si="71"/>
        <v>0</v>
      </c>
      <c r="W72" s="225">
        <f t="shared" si="71"/>
        <v>0</v>
      </c>
      <c r="X72" s="225">
        <f t="shared" si="71"/>
        <v>0</v>
      </c>
      <c r="Y72" s="225">
        <f t="shared" si="71"/>
        <v>0</v>
      </c>
      <c r="Z72" s="225">
        <f t="shared" si="71"/>
        <v>0</v>
      </c>
      <c r="AA72" s="225">
        <f t="shared" si="71"/>
        <v>-1191</v>
      </c>
      <c r="AB72" s="226">
        <f t="shared" si="62"/>
        <v>9284</v>
      </c>
      <c r="AD72" s="223" t="s">
        <v>459</v>
      </c>
      <c r="AE72" s="234">
        <f t="shared" ref="AE72:BC72" si="72">AE42-AE11</f>
        <v>5.3646114345483831E-2</v>
      </c>
      <c r="AF72" s="234">
        <f t="shared" si="72"/>
        <v>-5.6551841005517273E-2</v>
      </c>
      <c r="AG72" s="234">
        <f t="shared" si="72"/>
        <v>-1.9611808377317928E-2</v>
      </c>
      <c r="AH72" s="234">
        <f t="shared" si="72"/>
        <v>-3.1313109613294796E-3</v>
      </c>
      <c r="AI72" s="234">
        <f t="shared" si="72"/>
        <v>1.4680394362168572E-2</v>
      </c>
      <c r="AJ72" s="233">
        <f t="shared" si="72"/>
        <v>0.11470997126863133</v>
      </c>
      <c r="AK72" s="234">
        <f t="shared" si="72"/>
        <v>2.7915043744462381E-3</v>
      </c>
      <c r="AL72" s="234">
        <f t="shared" si="72"/>
        <v>-2.2007871076019078E-2</v>
      </c>
      <c r="AM72" s="234">
        <f t="shared" si="72"/>
        <v>-9.0311287363994235E-3</v>
      </c>
      <c r="AN72" s="234">
        <f t="shared" si="72"/>
        <v>-1.7964743658529125E-2</v>
      </c>
      <c r="AO72" s="234">
        <f t="shared" si="72"/>
        <v>-1.7836114893224904E-2</v>
      </c>
      <c r="AP72" s="234">
        <f t="shared" si="72"/>
        <v>3.2467174131470766E-2</v>
      </c>
      <c r="AQ72" s="234">
        <f t="shared" si="72"/>
        <v>-2.7496557380624446E-2</v>
      </c>
      <c r="AR72" s="234">
        <f t="shared" si="72"/>
        <v>-9.3915058235529772E-3</v>
      </c>
      <c r="AS72" s="234">
        <f t="shared" si="72"/>
        <v>-4.68199775671704E-3</v>
      </c>
      <c r="AT72" s="234">
        <f t="shared" si="72"/>
        <v>-7.1784073506891272E-4</v>
      </c>
      <c r="AU72" s="234">
        <f t="shared" si="72"/>
        <v>-8.2950484941296575E-4</v>
      </c>
      <c r="AV72" s="234">
        <f t="shared" si="72"/>
        <v>-2.4267106052455771E-3</v>
      </c>
      <c r="AW72" s="234">
        <f t="shared" si="72"/>
        <v>-3.1904032669729452E-4</v>
      </c>
      <c r="AX72" s="234">
        <f t="shared" si="72"/>
        <v>-6.3668991211742855E-3</v>
      </c>
      <c r="AY72" s="234">
        <f t="shared" si="72"/>
        <v>-2.5364110784606127E-3</v>
      </c>
      <c r="AZ72" s="234">
        <f t="shared" si="72"/>
        <v>-1.7368061393712381E-3</v>
      </c>
      <c r="BA72" s="234">
        <f t="shared" si="72"/>
        <v>-2.2990944745666592E-3</v>
      </c>
      <c r="BB72" s="234">
        <f t="shared" si="72"/>
        <v>-3.8385045320982261E-3</v>
      </c>
      <c r="BC72" s="234">
        <f t="shared" si="72"/>
        <v>-9.5194669508733287E-3</v>
      </c>
      <c r="BD72" s="237">
        <f t="shared" si="64"/>
        <v>-4.163336342344337E-17</v>
      </c>
    </row>
    <row r="73" spans="2:56" x14ac:dyDescent="0.25">
      <c r="B73" s="223" t="s">
        <v>460</v>
      </c>
      <c r="C73" s="225">
        <f t="shared" ref="C73:AA73" si="73">IF(ABS(C43-C12)&gt;$F$64,C43-C12,0)</f>
        <v>-3218</v>
      </c>
      <c r="D73" s="225">
        <f t="shared" si="73"/>
        <v>-12741</v>
      </c>
      <c r="E73" s="225">
        <f t="shared" si="73"/>
        <v>-8000</v>
      </c>
      <c r="F73" s="225">
        <f t="shared" si="73"/>
        <v>-2549</v>
      </c>
      <c r="G73" s="225">
        <f t="shared" si="73"/>
        <v>-1763</v>
      </c>
      <c r="H73" s="225">
        <f t="shared" si="73"/>
        <v>1408</v>
      </c>
      <c r="I73" s="224">
        <f t="shared" si="73"/>
        <v>35085</v>
      </c>
      <c r="J73" s="225">
        <f t="shared" si="73"/>
        <v>-3972</v>
      </c>
      <c r="K73" s="225">
        <f t="shared" si="73"/>
        <v>-1358</v>
      </c>
      <c r="L73" s="225">
        <f t="shared" si="73"/>
        <v>-2990</v>
      </c>
      <c r="M73" s="225">
        <f t="shared" si="73"/>
        <v>-2507</v>
      </c>
      <c r="N73" s="225">
        <f t="shared" si="73"/>
        <v>0</v>
      </c>
      <c r="O73" s="225">
        <f t="shared" si="73"/>
        <v>-3235</v>
      </c>
      <c r="P73" s="225">
        <f t="shared" si="73"/>
        <v>-1397</v>
      </c>
      <c r="Q73" s="225">
        <f t="shared" si="73"/>
        <v>-1942</v>
      </c>
      <c r="R73" s="225">
        <f t="shared" si="73"/>
        <v>0</v>
      </c>
      <c r="S73" s="225">
        <f t="shared" si="73"/>
        <v>0</v>
      </c>
      <c r="T73" s="225">
        <f t="shared" si="73"/>
        <v>0</v>
      </c>
      <c r="U73" s="225">
        <f t="shared" si="73"/>
        <v>0</v>
      </c>
      <c r="V73" s="225">
        <f t="shared" si="73"/>
        <v>-1064</v>
      </c>
      <c r="W73" s="225">
        <f t="shared" si="73"/>
        <v>0</v>
      </c>
      <c r="X73" s="225">
        <f t="shared" si="73"/>
        <v>0</v>
      </c>
      <c r="Y73" s="225">
        <f t="shared" si="73"/>
        <v>0</v>
      </c>
      <c r="Z73" s="225">
        <f t="shared" si="73"/>
        <v>0</v>
      </c>
      <c r="AA73" s="225">
        <f t="shared" si="73"/>
        <v>-2437</v>
      </c>
      <c r="AB73" s="226">
        <f t="shared" si="62"/>
        <v>-12680</v>
      </c>
      <c r="AD73" s="223" t="s">
        <v>460</v>
      </c>
      <c r="AE73" s="234">
        <f t="shared" ref="AE73:BC73" si="74">AE43-AE12</f>
        <v>1.9927307305051822E-3</v>
      </c>
      <c r="AF73" s="234">
        <f t="shared" si="74"/>
        <v>-6.1752463500259216E-2</v>
      </c>
      <c r="AG73" s="234">
        <f t="shared" si="74"/>
        <v>-3.8251372622515829E-2</v>
      </c>
      <c r="AH73" s="234">
        <f t="shared" si="74"/>
        <v>-1.1800198849951546E-2</v>
      </c>
      <c r="AI73" s="234">
        <f t="shared" si="74"/>
        <v>-6.0437394564023666E-3</v>
      </c>
      <c r="AJ73" s="234">
        <f t="shared" si="74"/>
        <v>1.2244394005750392E-2</v>
      </c>
      <c r="AK73" s="233">
        <f t="shared" si="74"/>
        <v>0.204308152522962</v>
      </c>
      <c r="AL73" s="234">
        <f t="shared" si="74"/>
        <v>-1.4557307226730057E-2</v>
      </c>
      <c r="AM73" s="234">
        <f t="shared" si="74"/>
        <v>-6.5453647496464757E-3</v>
      </c>
      <c r="AN73" s="234">
        <f t="shared" si="74"/>
        <v>-1.4556498725803573E-2</v>
      </c>
      <c r="AO73" s="234">
        <f t="shared" si="74"/>
        <v>-1.1973806881458379E-2</v>
      </c>
      <c r="AP73" s="234">
        <f t="shared" si="74"/>
        <v>3.3581759302762741E-4</v>
      </c>
      <c r="AQ73" s="234">
        <f t="shared" si="74"/>
        <v>-1.4726231035016468E-2</v>
      </c>
      <c r="AR73" s="234">
        <f t="shared" si="74"/>
        <v>-1.6778313576036874E-3</v>
      </c>
      <c r="AS73" s="234">
        <f t="shared" si="74"/>
        <v>-9.3322603488969914E-3</v>
      </c>
      <c r="AT73" s="234">
        <f t="shared" si="74"/>
        <v>-1.9065310911224091E-4</v>
      </c>
      <c r="AU73" s="234">
        <f t="shared" si="74"/>
        <v>-1.611275401388721E-3</v>
      </c>
      <c r="AV73" s="234">
        <f t="shared" si="74"/>
        <v>-1.5428098970378455E-3</v>
      </c>
      <c r="AW73" s="234">
        <f t="shared" si="74"/>
        <v>-6.8439577630035199E-4</v>
      </c>
      <c r="AX73" s="234">
        <f t="shared" si="74"/>
        <v>-5.1994646857062808E-3</v>
      </c>
      <c r="AY73" s="234">
        <f t="shared" si="74"/>
        <v>-1.6152838530147174E-3</v>
      </c>
      <c r="AZ73" s="234">
        <f t="shared" si="74"/>
        <v>-1.2544118894606802E-3</v>
      </c>
      <c r="BA73" s="234">
        <f t="shared" si="74"/>
        <v>-9.5815408682049276E-4</v>
      </c>
      <c r="BB73" s="234">
        <f t="shared" si="74"/>
        <v>-2.7894138448771835E-3</v>
      </c>
      <c r="BC73" s="234">
        <f t="shared" si="74"/>
        <v>-1.181815755424208E-2</v>
      </c>
      <c r="BD73" s="237">
        <f t="shared" si="64"/>
        <v>0</v>
      </c>
    </row>
    <row r="74" spans="2:56" x14ac:dyDescent="0.25">
      <c r="B74" s="223" t="s">
        <v>49</v>
      </c>
      <c r="C74" s="225">
        <f t="shared" ref="C74:AA74" si="75">IF(ABS(C44-C13)&gt;$F$64,C44-C13,0)</f>
        <v>13261</v>
      </c>
      <c r="D74" s="225">
        <f t="shared" si="75"/>
        <v>-20779</v>
      </c>
      <c r="E74" s="225">
        <f t="shared" si="75"/>
        <v>-6817</v>
      </c>
      <c r="F74" s="225">
        <f t="shared" si="75"/>
        <v>-3468</v>
      </c>
      <c r="G74" s="225">
        <f t="shared" si="75"/>
        <v>-6281</v>
      </c>
      <c r="H74" s="225">
        <f t="shared" si="75"/>
        <v>-2215</v>
      </c>
      <c r="I74" s="225">
        <f t="shared" si="75"/>
        <v>12171</v>
      </c>
      <c r="J74" s="224">
        <f t="shared" si="75"/>
        <v>20403</v>
      </c>
      <c r="K74" s="225">
        <f t="shared" si="75"/>
        <v>-1352</v>
      </c>
      <c r="L74" s="225">
        <f t="shared" si="75"/>
        <v>-4273</v>
      </c>
      <c r="M74" s="225">
        <f t="shared" si="75"/>
        <v>-2199</v>
      </c>
      <c r="N74" s="225">
        <f t="shared" si="75"/>
        <v>-1126</v>
      </c>
      <c r="O74" s="225">
        <f t="shared" si="75"/>
        <v>-2444</v>
      </c>
      <c r="P74" s="225">
        <f t="shared" si="75"/>
        <v>1325</v>
      </c>
      <c r="Q74" s="225">
        <f t="shared" si="75"/>
        <v>-2681</v>
      </c>
      <c r="R74" s="225">
        <f t="shared" si="75"/>
        <v>0</v>
      </c>
      <c r="S74" s="225">
        <f t="shared" si="75"/>
        <v>0</v>
      </c>
      <c r="T74" s="225">
        <f t="shared" si="75"/>
        <v>5555</v>
      </c>
      <c r="U74" s="225">
        <f t="shared" si="75"/>
        <v>0</v>
      </c>
      <c r="V74" s="225">
        <f t="shared" si="75"/>
        <v>-1099</v>
      </c>
      <c r="W74" s="225">
        <f t="shared" si="75"/>
        <v>0</v>
      </c>
      <c r="X74" s="225">
        <f t="shared" si="75"/>
        <v>0</v>
      </c>
      <c r="Y74" s="225">
        <f t="shared" si="75"/>
        <v>0</v>
      </c>
      <c r="Z74" s="225">
        <f t="shared" si="75"/>
        <v>0</v>
      </c>
      <c r="AA74" s="225">
        <f t="shared" si="75"/>
        <v>-2289</v>
      </c>
      <c r="AB74" s="226">
        <f t="shared" si="62"/>
        <v>-4308</v>
      </c>
      <c r="AD74" s="223" t="s">
        <v>49</v>
      </c>
      <c r="AE74" s="234">
        <f t="shared" ref="AE74:BC74" si="76">AE44-AE13</f>
        <v>5.190001489291679E-2</v>
      </c>
      <c r="AF74" s="234">
        <f t="shared" si="76"/>
        <v>-6.9452835613476122E-2</v>
      </c>
      <c r="AG74" s="234">
        <f t="shared" si="76"/>
        <v>-2.2492409439779523E-2</v>
      </c>
      <c r="AH74" s="234">
        <f t="shared" si="76"/>
        <v>-1.1553646817473482E-2</v>
      </c>
      <c r="AI74" s="234">
        <f t="shared" si="76"/>
        <v>-2.0846929110275178E-2</v>
      </c>
      <c r="AJ74" s="234">
        <f t="shared" si="76"/>
        <v>-7.0761011541860402E-3</v>
      </c>
      <c r="AK74" s="234">
        <f t="shared" si="76"/>
        <v>4.3223785127441128E-2</v>
      </c>
      <c r="AL74" s="233">
        <f t="shared" si="76"/>
        <v>7.620503365990966E-2</v>
      </c>
      <c r="AM74" s="234">
        <f t="shared" si="76"/>
        <v>-4.511819563449356E-3</v>
      </c>
      <c r="AN74" s="234">
        <f t="shared" si="76"/>
        <v>-1.4309388488736387E-2</v>
      </c>
      <c r="AO74" s="234">
        <f t="shared" si="76"/>
        <v>-7.3404167821377736E-3</v>
      </c>
      <c r="AP74" s="234">
        <f t="shared" si="76"/>
        <v>-3.7000636374276315E-3</v>
      </c>
      <c r="AQ74" s="234">
        <f t="shared" si="76"/>
        <v>-8.0997680581357499E-3</v>
      </c>
      <c r="AR74" s="234">
        <f t="shared" si="76"/>
        <v>5.3930274117824986E-3</v>
      </c>
      <c r="AS74" s="234">
        <f t="shared" si="76"/>
        <v>-8.4614470326471285E-3</v>
      </c>
      <c r="AT74" s="234">
        <f t="shared" si="76"/>
        <v>-1.5080327879839949E-4</v>
      </c>
      <c r="AU74" s="234">
        <f t="shared" si="76"/>
        <v>-7.5481242067405353E-4</v>
      </c>
      <c r="AV74" s="234">
        <f t="shared" si="76"/>
        <v>1.9301704193132388E-2</v>
      </c>
      <c r="AW74" s="234">
        <f t="shared" si="76"/>
        <v>-1.2259352527700302E-3</v>
      </c>
      <c r="AX74" s="234">
        <f t="shared" si="76"/>
        <v>-3.6818561192437128E-3</v>
      </c>
      <c r="AY74" s="234">
        <f t="shared" si="76"/>
        <v>-1.9631297451538376E-3</v>
      </c>
      <c r="AZ74" s="234">
        <f t="shared" si="76"/>
        <v>-8.1433770551135717E-4</v>
      </c>
      <c r="BA74" s="234">
        <f t="shared" si="76"/>
        <v>-9.0481967279039681E-4</v>
      </c>
      <c r="BB74" s="234">
        <f t="shared" si="76"/>
        <v>-1.0556229515887962E-3</v>
      </c>
      <c r="BC74" s="234">
        <f t="shared" si="76"/>
        <v>-7.6274224409274786E-3</v>
      </c>
      <c r="BD74" s="237">
        <f t="shared" si="64"/>
        <v>2.9490299091605721E-17</v>
      </c>
    </row>
    <row r="75" spans="2:56" x14ac:dyDescent="0.25">
      <c r="B75" s="223" t="s">
        <v>461</v>
      </c>
      <c r="C75" s="225">
        <f t="shared" ref="C75:AA75" si="77">IF(ABS(C45-C14)&gt;$F$64,C45-C14,0)</f>
        <v>-8890</v>
      </c>
      <c r="D75" s="225">
        <f t="shared" si="77"/>
        <v>1899</v>
      </c>
      <c r="E75" s="225">
        <f t="shared" si="77"/>
        <v>2209</v>
      </c>
      <c r="F75" s="225">
        <f t="shared" si="77"/>
        <v>0</v>
      </c>
      <c r="G75" s="225">
        <f t="shared" si="77"/>
        <v>0</v>
      </c>
      <c r="H75" s="225">
        <f t="shared" si="77"/>
        <v>0</v>
      </c>
      <c r="I75" s="225">
        <f t="shared" si="77"/>
        <v>0</v>
      </c>
      <c r="J75" s="225">
        <f t="shared" si="77"/>
        <v>0</v>
      </c>
      <c r="K75" s="224">
        <f t="shared" si="77"/>
        <v>14611</v>
      </c>
      <c r="L75" s="225">
        <f t="shared" si="77"/>
        <v>1277</v>
      </c>
      <c r="M75" s="225">
        <f t="shared" si="77"/>
        <v>0</v>
      </c>
      <c r="N75" s="225">
        <f t="shared" si="77"/>
        <v>0</v>
      </c>
      <c r="O75" s="225">
        <f t="shared" si="77"/>
        <v>0</v>
      </c>
      <c r="P75" s="225">
        <f t="shared" si="77"/>
        <v>0</v>
      </c>
      <c r="Q75" s="225">
        <f t="shared" si="77"/>
        <v>0</v>
      </c>
      <c r="R75" s="225">
        <f t="shared" si="77"/>
        <v>0</v>
      </c>
      <c r="S75" s="225">
        <f t="shared" si="77"/>
        <v>0</v>
      </c>
      <c r="T75" s="225">
        <f t="shared" si="77"/>
        <v>0</v>
      </c>
      <c r="U75" s="225">
        <f t="shared" si="77"/>
        <v>0</v>
      </c>
      <c r="V75" s="225">
        <f t="shared" si="77"/>
        <v>0</v>
      </c>
      <c r="W75" s="225">
        <f t="shared" si="77"/>
        <v>2008</v>
      </c>
      <c r="X75" s="225">
        <f t="shared" si="77"/>
        <v>0</v>
      </c>
      <c r="Y75" s="225">
        <f t="shared" si="77"/>
        <v>0</v>
      </c>
      <c r="Z75" s="225">
        <f t="shared" si="77"/>
        <v>0</v>
      </c>
      <c r="AA75" s="225">
        <f t="shared" si="77"/>
        <v>0</v>
      </c>
      <c r="AB75" s="226">
        <f t="shared" si="62"/>
        <v>13114</v>
      </c>
      <c r="AD75" s="223" t="s">
        <v>461</v>
      </c>
      <c r="AE75" s="234">
        <f t="shared" ref="AE75:BC75" si="78">AE45-AE14</f>
        <v>-0.18376357619828848</v>
      </c>
      <c r="AF75" s="234">
        <f t="shared" si="78"/>
        <v>6.5055327859888379E-3</v>
      </c>
      <c r="AG75" s="234">
        <f t="shared" si="78"/>
        <v>2.2968803693507511E-2</v>
      </c>
      <c r="AH75" s="234">
        <f t="shared" si="78"/>
        <v>-3.1888128927130563E-3</v>
      </c>
      <c r="AI75" s="234">
        <f t="shared" si="78"/>
        <v>-8.1303873199754153E-3</v>
      </c>
      <c r="AJ75" s="234">
        <f t="shared" si="78"/>
        <v>-3.7840494997375229E-3</v>
      </c>
      <c r="AK75" s="234">
        <f t="shared" si="78"/>
        <v>-4.0432352587120796E-3</v>
      </c>
      <c r="AL75" s="234">
        <f t="shared" si="78"/>
        <v>-8.8914765591288393E-3</v>
      </c>
      <c r="AM75" s="233">
        <f t="shared" si="78"/>
        <v>0.1896335807104606</v>
      </c>
      <c r="AN75" s="234">
        <f t="shared" si="78"/>
        <v>1.1856727711174846E-2</v>
      </c>
      <c r="AO75" s="234">
        <f t="shared" si="78"/>
        <v>6.5072942203744585E-4</v>
      </c>
      <c r="AP75" s="234">
        <f t="shared" si="78"/>
        <v>-2.7788001169409267E-3</v>
      </c>
      <c r="AQ75" s="234">
        <f t="shared" si="78"/>
        <v>-1.0992699880194072E-2</v>
      </c>
      <c r="AR75" s="234">
        <f t="shared" si="78"/>
        <v>-5.7974331102084407E-3</v>
      </c>
      <c r="AS75" s="234">
        <f t="shared" si="78"/>
        <v>-2.875889647619373E-3</v>
      </c>
      <c r="AT75" s="234">
        <f t="shared" si="78"/>
        <v>-1.7163453286801304E-3</v>
      </c>
      <c r="AU75" s="234">
        <f t="shared" si="78"/>
        <v>-1.907050365200145E-4</v>
      </c>
      <c r="AV75" s="234">
        <f t="shared" si="78"/>
        <v>-5.8742920937919919E-4</v>
      </c>
      <c r="AW75" s="234">
        <f t="shared" si="78"/>
        <v>0</v>
      </c>
      <c r="AX75" s="234">
        <f t="shared" si="78"/>
        <v>-1.595763544547419E-2</v>
      </c>
      <c r="AY75" s="234">
        <f t="shared" si="78"/>
        <v>2.4832477592181108E-2</v>
      </c>
      <c r="AZ75" s="234">
        <f t="shared" si="78"/>
        <v>-9.8415338223838372E-4</v>
      </c>
      <c r="BA75" s="234">
        <f t="shared" si="78"/>
        <v>-1.6209928104201233E-3</v>
      </c>
      <c r="BB75" s="234">
        <f t="shared" si="78"/>
        <v>-6.6746762782005076E-4</v>
      </c>
      <c r="BC75" s="234">
        <f t="shared" si="78"/>
        <v>-4.7676259130003621E-4</v>
      </c>
      <c r="BD75" s="237">
        <f t="shared" si="64"/>
        <v>1.5720931501039814E-17</v>
      </c>
    </row>
    <row r="76" spans="2:56" x14ac:dyDescent="0.25">
      <c r="B76" s="223" t="s">
        <v>462</v>
      </c>
      <c r="C76" s="225">
        <f t="shared" ref="C76:AA76" si="79">IF(ABS(C46-C15)&gt;$F$64,C46-C15,0)</f>
        <v>-11070</v>
      </c>
      <c r="D76" s="225">
        <f t="shared" si="79"/>
        <v>-5004</v>
      </c>
      <c r="E76" s="225">
        <f t="shared" si="79"/>
        <v>4410</v>
      </c>
      <c r="F76" s="225">
        <f t="shared" si="79"/>
        <v>0</v>
      </c>
      <c r="G76" s="225">
        <f t="shared" si="79"/>
        <v>-1228</v>
      </c>
      <c r="H76" s="225">
        <f t="shared" si="79"/>
        <v>0</v>
      </c>
      <c r="I76" s="225">
        <f t="shared" si="79"/>
        <v>-1214</v>
      </c>
      <c r="J76" s="225">
        <f t="shared" si="79"/>
        <v>0</v>
      </c>
      <c r="K76" s="225">
        <f t="shared" si="79"/>
        <v>1818</v>
      </c>
      <c r="L76" s="224">
        <f t="shared" si="79"/>
        <v>21021</v>
      </c>
      <c r="M76" s="225">
        <f t="shared" si="79"/>
        <v>5382</v>
      </c>
      <c r="N76" s="225">
        <f t="shared" si="79"/>
        <v>0</v>
      </c>
      <c r="O76" s="225">
        <f t="shared" si="79"/>
        <v>-2497</v>
      </c>
      <c r="P76" s="225">
        <f t="shared" si="79"/>
        <v>0</v>
      </c>
      <c r="Q76" s="225">
        <f t="shared" si="79"/>
        <v>0</v>
      </c>
      <c r="R76" s="225">
        <f t="shared" si="79"/>
        <v>0</v>
      </c>
      <c r="S76" s="225">
        <f t="shared" si="79"/>
        <v>0</v>
      </c>
      <c r="T76" s="225">
        <f t="shared" si="79"/>
        <v>0</v>
      </c>
      <c r="U76" s="225">
        <f t="shared" si="79"/>
        <v>0</v>
      </c>
      <c r="V76" s="225">
        <f t="shared" si="79"/>
        <v>-5912</v>
      </c>
      <c r="W76" s="225">
        <f t="shared" si="79"/>
        <v>0</v>
      </c>
      <c r="X76" s="225">
        <f t="shared" si="79"/>
        <v>-1422</v>
      </c>
      <c r="Y76" s="225">
        <f t="shared" si="79"/>
        <v>0</v>
      </c>
      <c r="Z76" s="225">
        <f t="shared" si="79"/>
        <v>0</v>
      </c>
      <c r="AA76" s="225">
        <f t="shared" si="79"/>
        <v>0</v>
      </c>
      <c r="AB76" s="226">
        <f t="shared" si="62"/>
        <v>4284</v>
      </c>
      <c r="AD76" s="223" t="s">
        <v>462</v>
      </c>
      <c r="AE76" s="234">
        <f t="shared" ref="AE76:BC76" si="80">AE46-AE15</f>
        <v>-6.3523564994710874E-2</v>
      </c>
      <c r="AF76" s="234">
        <f t="shared" si="80"/>
        <v>-2.870111142604095E-2</v>
      </c>
      <c r="AG76" s="234">
        <f t="shared" si="80"/>
        <v>2.5423824559603181E-2</v>
      </c>
      <c r="AH76" s="234">
        <f t="shared" si="80"/>
        <v>-2.1458942065298468E-3</v>
      </c>
      <c r="AI76" s="234">
        <f t="shared" si="80"/>
        <v>-7.0418393374767387E-3</v>
      </c>
      <c r="AJ76" s="234">
        <f t="shared" si="80"/>
        <v>-3.7354305209032065E-3</v>
      </c>
      <c r="AK76" s="234">
        <f t="shared" si="80"/>
        <v>-6.9680378872320481E-3</v>
      </c>
      <c r="AL76" s="234">
        <f t="shared" si="80"/>
        <v>-5.6880470710226581E-3</v>
      </c>
      <c r="AM76" s="234">
        <f t="shared" si="80"/>
        <v>1.0506471403588125E-2</v>
      </c>
      <c r="AN76" s="233">
        <f t="shared" si="80"/>
        <v>0.12111801072331085</v>
      </c>
      <c r="AO76" s="234">
        <f t="shared" si="80"/>
        <v>3.1015029744512673E-2</v>
      </c>
      <c r="AP76" s="234">
        <f t="shared" si="80"/>
        <v>-2.3670543601370629E-3</v>
      </c>
      <c r="AQ76" s="234">
        <f t="shared" si="80"/>
        <v>-1.4327664911785758E-2</v>
      </c>
      <c r="AR76" s="234">
        <f t="shared" si="80"/>
        <v>-5.0622380979631221E-3</v>
      </c>
      <c r="AS76" s="234">
        <f t="shared" si="80"/>
        <v>-3.4037423946734016E-3</v>
      </c>
      <c r="AT76" s="234">
        <f t="shared" si="80"/>
        <v>-1.2627440025193889E-3</v>
      </c>
      <c r="AU76" s="234">
        <f t="shared" si="80"/>
        <v>-1.262771208816439E-3</v>
      </c>
      <c r="AV76" s="234">
        <f t="shared" si="80"/>
        <v>-2.2959476523935255E-4</v>
      </c>
      <c r="AW76" s="234">
        <f t="shared" si="80"/>
        <v>-2.2959476523935255E-4</v>
      </c>
      <c r="AX76" s="234">
        <f t="shared" si="80"/>
        <v>-3.3867015573850676E-2</v>
      </c>
      <c r="AY76" s="234">
        <f t="shared" si="80"/>
        <v>4.7609938181324175E-3</v>
      </c>
      <c r="AZ76" s="234">
        <f t="shared" si="80"/>
        <v>-8.1582306100778622E-3</v>
      </c>
      <c r="BA76" s="234">
        <f t="shared" si="80"/>
        <v>-1.9741340928997298E-3</v>
      </c>
      <c r="BB76" s="234">
        <f t="shared" si="80"/>
        <v>-2.0204067278092523E-3</v>
      </c>
      <c r="BC76" s="234">
        <f t="shared" si="80"/>
        <v>-8.5521329421953801E-4</v>
      </c>
      <c r="BD76" s="237">
        <f t="shared" si="64"/>
        <v>-1.1167282376600696E-17</v>
      </c>
    </row>
    <row r="77" spans="2:56" x14ac:dyDescent="0.25">
      <c r="B77" s="223" t="s">
        <v>463</v>
      </c>
      <c r="C77" s="225">
        <f t="shared" ref="C77:AA77" si="81">IF(ABS(C47-C16)&gt;$F$64,C47-C16,0)</f>
        <v>-5859</v>
      </c>
      <c r="D77" s="225">
        <f t="shared" si="81"/>
        <v>-3189</v>
      </c>
      <c r="E77" s="225">
        <f t="shared" si="81"/>
        <v>1640</v>
      </c>
      <c r="F77" s="225">
        <f t="shared" si="81"/>
        <v>0</v>
      </c>
      <c r="G77" s="225">
        <f t="shared" si="81"/>
        <v>-1496</v>
      </c>
      <c r="H77" s="225">
        <f t="shared" si="81"/>
        <v>0</v>
      </c>
      <c r="I77" s="225">
        <f t="shared" si="81"/>
        <v>-1457</v>
      </c>
      <c r="J77" s="225">
        <f t="shared" si="81"/>
        <v>-1151</v>
      </c>
      <c r="K77" s="225">
        <f t="shared" si="81"/>
        <v>0</v>
      </c>
      <c r="L77" s="225">
        <f t="shared" si="81"/>
        <v>-12371</v>
      </c>
      <c r="M77" s="224">
        <f t="shared" si="81"/>
        <v>37758</v>
      </c>
      <c r="N77" s="225">
        <f t="shared" si="81"/>
        <v>8775</v>
      </c>
      <c r="O77" s="225">
        <f t="shared" si="81"/>
        <v>-5203</v>
      </c>
      <c r="P77" s="225">
        <f t="shared" si="81"/>
        <v>-1248</v>
      </c>
      <c r="Q77" s="225">
        <f t="shared" si="81"/>
        <v>0</v>
      </c>
      <c r="R77" s="225">
        <f t="shared" si="81"/>
        <v>0</v>
      </c>
      <c r="S77" s="225">
        <f t="shared" si="81"/>
        <v>0</v>
      </c>
      <c r="T77" s="225">
        <f t="shared" si="81"/>
        <v>0</v>
      </c>
      <c r="U77" s="225">
        <f t="shared" si="81"/>
        <v>0</v>
      </c>
      <c r="V77" s="225">
        <f t="shared" si="81"/>
        <v>-4730</v>
      </c>
      <c r="W77" s="225">
        <f t="shared" si="81"/>
        <v>0</v>
      </c>
      <c r="X77" s="225">
        <f t="shared" si="81"/>
        <v>-1440</v>
      </c>
      <c r="Y77" s="225">
        <f t="shared" si="81"/>
        <v>0</v>
      </c>
      <c r="Z77" s="225">
        <f t="shared" si="81"/>
        <v>0</v>
      </c>
      <c r="AA77" s="225">
        <f t="shared" si="81"/>
        <v>0</v>
      </c>
      <c r="AB77" s="226">
        <f t="shared" si="62"/>
        <v>10029</v>
      </c>
      <c r="AD77" s="223" t="s">
        <v>463</v>
      </c>
      <c r="AE77" s="234">
        <f t="shared" ref="AE77:BC77" si="82">AE47-AE16</f>
        <v>-3.1157660122219401E-2</v>
      </c>
      <c r="AF77" s="234">
        <f t="shared" si="82"/>
        <v>-1.6856978981645947E-2</v>
      </c>
      <c r="AG77" s="234">
        <f t="shared" si="82"/>
        <v>6.6516006935633948E-3</v>
      </c>
      <c r="AH77" s="234">
        <f t="shared" si="82"/>
        <v>1.4211573839127134E-3</v>
      </c>
      <c r="AI77" s="234">
        <f t="shared" si="82"/>
        <v>-8.2101240696100843E-3</v>
      </c>
      <c r="AJ77" s="234">
        <f t="shared" si="82"/>
        <v>-2.0310530850883865E-3</v>
      </c>
      <c r="AK77" s="234">
        <f t="shared" si="82"/>
        <v>-7.6139027213905103E-3</v>
      </c>
      <c r="AL77" s="234">
        <f t="shared" si="82"/>
        <v>-6.0048026093208152E-3</v>
      </c>
      <c r="AM77" s="234">
        <f t="shared" si="82"/>
        <v>-2.9102662712509521E-3</v>
      </c>
      <c r="AN77" s="234">
        <f t="shared" si="82"/>
        <v>-6.7423561331726306E-2</v>
      </c>
      <c r="AO77" s="233">
        <f t="shared" si="82"/>
        <v>0.18332300917702782</v>
      </c>
      <c r="AP77" s="234">
        <f t="shared" si="82"/>
        <v>4.1984393502072226E-2</v>
      </c>
      <c r="AQ77" s="234">
        <f t="shared" si="82"/>
        <v>-2.7879144464179988E-2</v>
      </c>
      <c r="AR77" s="234">
        <f t="shared" si="82"/>
        <v>-6.5280306394316159E-3</v>
      </c>
      <c r="AS77" s="234">
        <f t="shared" si="82"/>
        <v>-3.2760416666666667E-3</v>
      </c>
      <c r="AT77" s="234">
        <f t="shared" si="82"/>
        <v>-2.0833333333333335E-4</v>
      </c>
      <c r="AU77" s="234">
        <f t="shared" si="82"/>
        <v>-1.9232097923538864E-3</v>
      </c>
      <c r="AV77" s="234">
        <f t="shared" si="82"/>
        <v>-7.0312499999999997E-4</v>
      </c>
      <c r="AW77" s="234">
        <f t="shared" si="82"/>
        <v>-7.8125000000000002E-5</v>
      </c>
      <c r="AX77" s="234">
        <f t="shared" si="82"/>
        <v>-2.4939081927175845E-2</v>
      </c>
      <c r="AY77" s="234">
        <f t="shared" si="82"/>
        <v>-3.5872980630973529E-3</v>
      </c>
      <c r="AZ77" s="234">
        <f t="shared" si="82"/>
        <v>-8.2755143576080485E-3</v>
      </c>
      <c r="BA77" s="234">
        <f t="shared" si="82"/>
        <v>-5.1815053285968037E-3</v>
      </c>
      <c r="BB77" s="234">
        <f t="shared" si="82"/>
        <v>-4.9660671995263462E-3</v>
      </c>
      <c r="BC77" s="234">
        <f t="shared" si="82"/>
        <v>-3.6263347923538867E-3</v>
      </c>
      <c r="BD77" s="237">
        <f t="shared" si="64"/>
        <v>-2.8622937353617317E-17</v>
      </c>
    </row>
    <row r="78" spans="2:56" x14ac:dyDescent="0.25">
      <c r="B78" s="223" t="s">
        <v>464</v>
      </c>
      <c r="C78" s="225">
        <f t="shared" ref="C78:AA78" si="83">IF(ABS(C48-C17)&gt;$F$64,C48-C17,0)</f>
        <v>-4679</v>
      </c>
      <c r="D78" s="225">
        <f t="shared" si="83"/>
        <v>-1759</v>
      </c>
      <c r="E78" s="225">
        <f t="shared" si="83"/>
        <v>0</v>
      </c>
      <c r="F78" s="225">
        <f t="shared" si="83"/>
        <v>1095</v>
      </c>
      <c r="G78" s="225">
        <f t="shared" si="83"/>
        <v>0</v>
      </c>
      <c r="H78" s="225">
        <f t="shared" si="83"/>
        <v>0</v>
      </c>
      <c r="I78" s="225">
        <f t="shared" si="83"/>
        <v>0</v>
      </c>
      <c r="J78" s="225">
        <f t="shared" si="83"/>
        <v>0</v>
      </c>
      <c r="K78" s="225">
        <f t="shared" si="83"/>
        <v>0</v>
      </c>
      <c r="L78" s="225">
        <f t="shared" si="83"/>
        <v>-4446</v>
      </c>
      <c r="M78" s="225">
        <f t="shared" si="83"/>
        <v>1270</v>
      </c>
      <c r="N78" s="224">
        <f t="shared" si="83"/>
        <v>27788</v>
      </c>
      <c r="O78" s="225">
        <f t="shared" si="83"/>
        <v>0</v>
      </c>
      <c r="P78" s="225">
        <f t="shared" si="83"/>
        <v>0</v>
      </c>
      <c r="Q78" s="225">
        <f t="shared" si="83"/>
        <v>0</v>
      </c>
      <c r="R78" s="225">
        <f t="shared" si="83"/>
        <v>0</v>
      </c>
      <c r="S78" s="225">
        <f t="shared" si="83"/>
        <v>0</v>
      </c>
      <c r="T78" s="225">
        <f t="shared" si="83"/>
        <v>0</v>
      </c>
      <c r="U78" s="225">
        <f t="shared" si="83"/>
        <v>0</v>
      </c>
      <c r="V78" s="225">
        <f t="shared" si="83"/>
        <v>-2352</v>
      </c>
      <c r="W78" s="225">
        <f t="shared" si="83"/>
        <v>0</v>
      </c>
      <c r="X78" s="225">
        <f t="shared" si="83"/>
        <v>-1599</v>
      </c>
      <c r="Y78" s="225">
        <f t="shared" si="83"/>
        <v>-1454</v>
      </c>
      <c r="Z78" s="225">
        <f t="shared" si="83"/>
        <v>-1489</v>
      </c>
      <c r="AA78" s="225">
        <f t="shared" si="83"/>
        <v>0</v>
      </c>
      <c r="AB78" s="226">
        <f t="shared" si="62"/>
        <v>12375</v>
      </c>
      <c r="AD78" s="223" t="s">
        <v>464</v>
      </c>
      <c r="AE78" s="234">
        <f t="shared" ref="AE78:BC78" si="84">AE48-AE17</f>
        <v>-3.1197389983414328E-2</v>
      </c>
      <c r="AF78" s="234">
        <f t="shared" si="84"/>
        <v>-1.1035344709776546E-2</v>
      </c>
      <c r="AG78" s="234">
        <f t="shared" si="84"/>
        <v>1.1378671277264274E-3</v>
      </c>
      <c r="AH78" s="234">
        <f t="shared" si="84"/>
        <v>6.1107751640048814E-3</v>
      </c>
      <c r="AI78" s="234">
        <f t="shared" si="84"/>
        <v>-1.3074079226656279E-3</v>
      </c>
      <c r="AJ78" s="234">
        <f t="shared" si="84"/>
        <v>-4.5345323001288844E-4</v>
      </c>
      <c r="AK78" s="234">
        <f t="shared" si="84"/>
        <v>-5.567639676171088E-3</v>
      </c>
      <c r="AL78" s="234">
        <f t="shared" si="84"/>
        <v>-5.3102157162115077E-3</v>
      </c>
      <c r="AM78" s="234">
        <f t="shared" si="84"/>
        <v>-4.1117371594419447E-3</v>
      </c>
      <c r="AN78" s="234">
        <f t="shared" si="84"/>
        <v>-2.8478516173318768E-2</v>
      </c>
      <c r="AO78" s="234">
        <f t="shared" si="84"/>
        <v>2.7234759768786226E-3</v>
      </c>
      <c r="AP78" s="233">
        <f t="shared" si="84"/>
        <v>0.14977090634474155</v>
      </c>
      <c r="AQ78" s="234">
        <f t="shared" si="84"/>
        <v>-9.6802332378570222E-3</v>
      </c>
      <c r="AR78" s="234">
        <f t="shared" si="84"/>
        <v>-6.0536793356112785E-3</v>
      </c>
      <c r="AS78" s="234">
        <f t="shared" si="84"/>
        <v>-1.0194693786209812E-3</v>
      </c>
      <c r="AT78" s="234">
        <f t="shared" si="84"/>
        <v>-1.2432553397816843E-4</v>
      </c>
      <c r="AU78" s="234">
        <f t="shared" si="84"/>
        <v>-2.7178066866075526E-3</v>
      </c>
      <c r="AV78" s="234">
        <f t="shared" si="84"/>
        <v>-3.6054404853668847E-4</v>
      </c>
      <c r="AW78" s="234">
        <f t="shared" si="84"/>
        <v>-3.3567894174105477E-4</v>
      </c>
      <c r="AX78" s="234">
        <f t="shared" si="84"/>
        <v>-1.4706071562014374E-2</v>
      </c>
      <c r="AY78" s="234">
        <f t="shared" si="84"/>
        <v>-4.587076142281701E-3</v>
      </c>
      <c r="AZ78" s="234">
        <f t="shared" si="84"/>
        <v>-1.0089903666964941E-2</v>
      </c>
      <c r="BA78" s="234">
        <f t="shared" si="84"/>
        <v>-9.6905259892372322E-3</v>
      </c>
      <c r="BB78" s="234">
        <f t="shared" si="84"/>
        <v>-9.353068693517555E-3</v>
      </c>
      <c r="BC78" s="234">
        <f t="shared" si="84"/>
        <v>-3.5629368253703364E-3</v>
      </c>
      <c r="BD78" s="237">
        <f t="shared" si="64"/>
        <v>-1.0321604682062002E-16</v>
      </c>
    </row>
    <row r="79" spans="2:56" x14ac:dyDescent="0.25">
      <c r="B79" s="223" t="s">
        <v>465</v>
      </c>
      <c r="C79" s="225">
        <f t="shared" ref="C79:AA79" si="85">IF(ABS(C49-C18)&gt;$F$64,C49-C18,0)</f>
        <v>-15843</v>
      </c>
      <c r="D79" s="225">
        <f t="shared" si="85"/>
        <v>-3446</v>
      </c>
      <c r="E79" s="225">
        <f t="shared" si="85"/>
        <v>-2170</v>
      </c>
      <c r="F79" s="225">
        <f t="shared" si="85"/>
        <v>0</v>
      </c>
      <c r="G79" s="225">
        <f t="shared" si="85"/>
        <v>-2351</v>
      </c>
      <c r="H79" s="225">
        <f t="shared" si="85"/>
        <v>2390</v>
      </c>
      <c r="I79" s="225">
        <f t="shared" si="85"/>
        <v>-2255</v>
      </c>
      <c r="J79" s="225">
        <f t="shared" si="85"/>
        <v>-2455</v>
      </c>
      <c r="K79" s="225">
        <f t="shared" si="85"/>
        <v>-1016</v>
      </c>
      <c r="L79" s="225">
        <f t="shared" si="85"/>
        <v>-4665</v>
      </c>
      <c r="M79" s="225">
        <f t="shared" si="85"/>
        <v>-1860</v>
      </c>
      <c r="N79" s="225">
        <f t="shared" si="85"/>
        <v>16495</v>
      </c>
      <c r="O79" s="224">
        <f t="shared" si="85"/>
        <v>45661</v>
      </c>
      <c r="P79" s="225">
        <f t="shared" si="85"/>
        <v>2092</v>
      </c>
      <c r="Q79" s="225">
        <f t="shared" si="85"/>
        <v>0</v>
      </c>
      <c r="R79" s="225">
        <f t="shared" si="85"/>
        <v>0</v>
      </c>
      <c r="S79" s="225">
        <f t="shared" si="85"/>
        <v>-1077</v>
      </c>
      <c r="T79" s="225">
        <f t="shared" si="85"/>
        <v>0</v>
      </c>
      <c r="U79" s="225">
        <f t="shared" si="85"/>
        <v>0</v>
      </c>
      <c r="V79" s="225">
        <f t="shared" si="85"/>
        <v>-2108</v>
      </c>
      <c r="W79" s="225">
        <f t="shared" si="85"/>
        <v>0</v>
      </c>
      <c r="X79" s="225">
        <f t="shared" si="85"/>
        <v>-1579</v>
      </c>
      <c r="Y79" s="225">
        <f t="shared" si="85"/>
        <v>0</v>
      </c>
      <c r="Z79" s="225">
        <f t="shared" si="85"/>
        <v>0</v>
      </c>
      <c r="AA79" s="225">
        <f t="shared" si="85"/>
        <v>-4475</v>
      </c>
      <c r="AB79" s="226">
        <f t="shared" si="62"/>
        <v>21338</v>
      </c>
      <c r="AD79" s="223" t="s">
        <v>465</v>
      </c>
      <c r="AE79" s="234">
        <f t="shared" ref="AE79:BC79" si="86">AE49-AE18</f>
        <v>-6.3941070618889762E-2</v>
      </c>
      <c r="AF79" s="234">
        <f t="shared" si="86"/>
        <v>-1.3182786581150161E-2</v>
      </c>
      <c r="AG79" s="234">
        <f t="shared" si="86"/>
        <v>-9.128957051112092E-3</v>
      </c>
      <c r="AH79" s="234">
        <f t="shared" si="86"/>
        <v>2.9391101223053863E-4</v>
      </c>
      <c r="AI79" s="234">
        <f t="shared" si="86"/>
        <v>-1.0422812554819406E-2</v>
      </c>
      <c r="AJ79" s="234">
        <f t="shared" si="86"/>
        <v>6.8669243024510468E-3</v>
      </c>
      <c r="AK79" s="234">
        <f t="shared" si="86"/>
        <v>-9.2433400867405566E-3</v>
      </c>
      <c r="AL79" s="234">
        <f t="shared" si="86"/>
        <v>-9.4913054651027066E-3</v>
      </c>
      <c r="AM79" s="234">
        <f t="shared" si="86"/>
        <v>-3.898575606337521E-3</v>
      </c>
      <c r="AN79" s="234">
        <f t="shared" si="86"/>
        <v>-1.8163410816048175E-2</v>
      </c>
      <c r="AO79" s="234">
        <f t="shared" si="86"/>
        <v>-9.014543209387306E-3</v>
      </c>
      <c r="AP79" s="234">
        <f t="shared" si="86"/>
        <v>5.1732264541888284E-2</v>
      </c>
      <c r="AQ79" s="233">
        <f t="shared" si="86"/>
        <v>0.13085859647350701</v>
      </c>
      <c r="AR79" s="234">
        <f t="shared" si="86"/>
        <v>4.9228496693948937E-3</v>
      </c>
      <c r="AS79" s="234">
        <f t="shared" si="86"/>
        <v>-2.7132017057897488E-3</v>
      </c>
      <c r="AT79" s="234">
        <f t="shared" si="86"/>
        <v>-2.0958369057826046E-4</v>
      </c>
      <c r="AU79" s="234">
        <f t="shared" si="86"/>
        <v>-4.1130274726024884E-3</v>
      </c>
      <c r="AV79" s="234">
        <f t="shared" si="86"/>
        <v>-1.0593502905592075E-3</v>
      </c>
      <c r="AW79" s="234">
        <f t="shared" si="86"/>
        <v>-9.5265313899209296E-5</v>
      </c>
      <c r="AX79" s="234">
        <f t="shared" si="86"/>
        <v>-8.0610499102870617E-3</v>
      </c>
      <c r="AY79" s="234">
        <f t="shared" si="86"/>
        <v>-1.9499304995847999E-3</v>
      </c>
      <c r="AZ79" s="234">
        <f t="shared" si="86"/>
        <v>-6.0786560818138421E-3</v>
      </c>
      <c r="BA79" s="234">
        <f t="shared" si="86"/>
        <v>-1.2274611893373262E-3</v>
      </c>
      <c r="BB79" s="234">
        <f t="shared" si="86"/>
        <v>-4.7330932563467987E-3</v>
      </c>
      <c r="BC79" s="234">
        <f t="shared" si="86"/>
        <v>-1.7947124599085314E-2</v>
      </c>
      <c r="BD79" s="237">
        <f t="shared" si="64"/>
        <v>0</v>
      </c>
    </row>
    <row r="80" spans="2:56" x14ac:dyDescent="0.25">
      <c r="B80" s="223" t="s">
        <v>466</v>
      </c>
      <c r="C80" s="225">
        <f t="shared" ref="C80:AA80" si="87">IF(ABS(C50-C19)&gt;$F$64,C50-C19,0)</f>
        <v>-9728</v>
      </c>
      <c r="D80" s="225">
        <f t="shared" si="87"/>
        <v>-5059</v>
      </c>
      <c r="E80" s="225">
        <f t="shared" si="87"/>
        <v>-3475</v>
      </c>
      <c r="F80" s="225">
        <f t="shared" si="87"/>
        <v>0</v>
      </c>
      <c r="G80" s="225">
        <f t="shared" si="87"/>
        <v>0</v>
      </c>
      <c r="H80" s="225">
        <f t="shared" si="87"/>
        <v>1594</v>
      </c>
      <c r="I80" s="225">
        <f t="shared" si="87"/>
        <v>4450</v>
      </c>
      <c r="J80" s="225">
        <f t="shared" si="87"/>
        <v>-3582</v>
      </c>
      <c r="K80" s="225">
        <f t="shared" si="87"/>
        <v>0</v>
      </c>
      <c r="L80" s="225">
        <f t="shared" si="87"/>
        <v>-2522</v>
      </c>
      <c r="M80" s="225">
        <f t="shared" si="87"/>
        <v>-2424</v>
      </c>
      <c r="N80" s="225">
        <f t="shared" si="87"/>
        <v>2458</v>
      </c>
      <c r="O80" s="225">
        <f t="shared" si="87"/>
        <v>0</v>
      </c>
      <c r="P80" s="224">
        <f t="shared" si="87"/>
        <v>21107</v>
      </c>
      <c r="Q80" s="225">
        <f t="shared" si="87"/>
        <v>0</v>
      </c>
      <c r="R80" s="225">
        <f t="shared" si="87"/>
        <v>0</v>
      </c>
      <c r="S80" s="225">
        <f t="shared" si="87"/>
        <v>0</v>
      </c>
      <c r="T80" s="225">
        <f t="shared" si="87"/>
        <v>0</v>
      </c>
      <c r="U80" s="225">
        <f t="shared" si="87"/>
        <v>0</v>
      </c>
      <c r="V80" s="225">
        <f t="shared" si="87"/>
        <v>0</v>
      </c>
      <c r="W80" s="225">
        <f t="shared" si="87"/>
        <v>0</v>
      </c>
      <c r="X80" s="225">
        <f t="shared" si="87"/>
        <v>0</v>
      </c>
      <c r="Y80" s="225">
        <f t="shared" si="87"/>
        <v>0</v>
      </c>
      <c r="Z80" s="225">
        <f t="shared" si="87"/>
        <v>0</v>
      </c>
      <c r="AA80" s="225">
        <f t="shared" si="87"/>
        <v>0</v>
      </c>
      <c r="AB80" s="226">
        <f t="shared" si="62"/>
        <v>2819</v>
      </c>
      <c r="AD80" s="223" t="s">
        <v>466</v>
      </c>
      <c r="AE80" s="234">
        <f t="shared" ref="AE80:BC80" si="88">AE50-AE19</f>
        <v>-5.585245875436852E-2</v>
      </c>
      <c r="AF80" s="234">
        <f t="shared" si="88"/>
        <v>-2.9891306544419398E-2</v>
      </c>
      <c r="AG80" s="234">
        <f t="shared" si="88"/>
        <v>-2.0428376181137228E-2</v>
      </c>
      <c r="AH80" s="234">
        <f t="shared" si="88"/>
        <v>-3.8327405565653167E-3</v>
      </c>
      <c r="AI80" s="234">
        <f t="shared" si="88"/>
        <v>2.0749637362908364E-3</v>
      </c>
      <c r="AJ80" s="234">
        <f t="shared" si="88"/>
        <v>1.0594043209456713E-2</v>
      </c>
      <c r="AK80" s="234">
        <f t="shared" si="88"/>
        <v>2.9304440131208628E-2</v>
      </c>
      <c r="AL80" s="234">
        <f t="shared" si="88"/>
        <v>-2.0145049895760485E-2</v>
      </c>
      <c r="AM80" s="234">
        <f t="shared" si="88"/>
        <v>-5.1936885042948222E-3</v>
      </c>
      <c r="AN80" s="234">
        <f t="shared" si="88"/>
        <v>-1.4893078583672434E-2</v>
      </c>
      <c r="AO80" s="234">
        <f t="shared" si="88"/>
        <v>-1.4197772384044034E-2</v>
      </c>
      <c r="AP80" s="234">
        <f t="shared" si="88"/>
        <v>1.5385323249375912E-2</v>
      </c>
      <c r="AQ80" s="234">
        <f t="shared" si="88"/>
        <v>-3.7743485272743599E-3</v>
      </c>
      <c r="AR80" s="233">
        <f t="shared" si="88"/>
        <v>0.13403449049224736</v>
      </c>
      <c r="AS80" s="234">
        <f t="shared" si="88"/>
        <v>-4.7343615176753048E-3</v>
      </c>
      <c r="AT80" s="234">
        <f t="shared" si="88"/>
        <v>0</v>
      </c>
      <c r="AU80" s="234">
        <f t="shared" si="88"/>
        <v>-2.7105155874234199E-3</v>
      </c>
      <c r="AV80" s="234">
        <f t="shared" si="88"/>
        <v>-2.6328925303961484E-3</v>
      </c>
      <c r="AW80" s="234">
        <f t="shared" si="88"/>
        <v>-5.5852942296351078E-4</v>
      </c>
      <c r="AX80" s="234">
        <f t="shared" si="88"/>
        <v>-4.0017172965803351E-3</v>
      </c>
      <c r="AY80" s="234">
        <f t="shared" si="88"/>
        <v>-1.411442065052309E-3</v>
      </c>
      <c r="AZ80" s="234">
        <f t="shared" si="88"/>
        <v>-1.5671756537783718E-3</v>
      </c>
      <c r="BA80" s="234">
        <f t="shared" si="88"/>
        <v>-1.1223200687111119E-3</v>
      </c>
      <c r="BB80" s="234">
        <f t="shared" si="88"/>
        <v>-2.5061607351088873E-3</v>
      </c>
      <c r="BC80" s="234">
        <f t="shared" si="88"/>
        <v>-1.9393260093534606E-3</v>
      </c>
      <c r="BD80" s="237">
        <f t="shared" si="64"/>
        <v>0</v>
      </c>
    </row>
    <row r="81" spans="2:56" x14ac:dyDescent="0.25">
      <c r="B81" s="223" t="s">
        <v>467</v>
      </c>
      <c r="C81" s="225">
        <f t="shared" ref="C81:AA81" si="89">IF(ABS(C51-C20)&gt;$F$64,C51-C20,0)</f>
        <v>-3756</v>
      </c>
      <c r="D81" s="225">
        <f t="shared" si="89"/>
        <v>-2788</v>
      </c>
      <c r="E81" s="225">
        <f t="shared" si="89"/>
        <v>-1828</v>
      </c>
      <c r="F81" s="225">
        <f t="shared" si="89"/>
        <v>0</v>
      </c>
      <c r="G81" s="225">
        <f t="shared" si="89"/>
        <v>-1679</v>
      </c>
      <c r="H81" s="225">
        <f t="shared" si="89"/>
        <v>0</v>
      </c>
      <c r="I81" s="225">
        <f t="shared" si="89"/>
        <v>1806</v>
      </c>
      <c r="J81" s="225">
        <f t="shared" si="89"/>
        <v>0</v>
      </c>
      <c r="K81" s="225">
        <f t="shared" si="89"/>
        <v>0</v>
      </c>
      <c r="L81" s="225">
        <f t="shared" si="89"/>
        <v>-1648</v>
      </c>
      <c r="M81" s="225">
        <f t="shared" si="89"/>
        <v>-1010</v>
      </c>
      <c r="N81" s="225">
        <f t="shared" si="89"/>
        <v>0</v>
      </c>
      <c r="O81" s="225">
        <f t="shared" si="89"/>
        <v>-2357</v>
      </c>
      <c r="P81" s="225">
        <f t="shared" si="89"/>
        <v>2193</v>
      </c>
      <c r="Q81" s="224">
        <f t="shared" si="89"/>
        <v>20422</v>
      </c>
      <c r="R81" s="225">
        <f t="shared" si="89"/>
        <v>0</v>
      </c>
      <c r="S81" s="225">
        <f t="shared" si="89"/>
        <v>0</v>
      </c>
      <c r="T81" s="225">
        <f t="shared" si="89"/>
        <v>5460</v>
      </c>
      <c r="U81" s="225">
        <f t="shared" si="89"/>
        <v>0</v>
      </c>
      <c r="V81" s="225">
        <f t="shared" si="89"/>
        <v>0</v>
      </c>
      <c r="W81" s="225">
        <f t="shared" si="89"/>
        <v>0</v>
      </c>
      <c r="X81" s="225">
        <f t="shared" si="89"/>
        <v>0</v>
      </c>
      <c r="Y81" s="225">
        <f t="shared" si="89"/>
        <v>0</v>
      </c>
      <c r="Z81" s="225">
        <f t="shared" si="89"/>
        <v>0</v>
      </c>
      <c r="AA81" s="225">
        <f t="shared" si="89"/>
        <v>0</v>
      </c>
      <c r="AB81" s="226">
        <f t="shared" si="62"/>
        <v>14815</v>
      </c>
      <c r="AD81" s="223" t="s">
        <v>467</v>
      </c>
      <c r="AE81" s="234">
        <f t="shared" ref="AE81:BC81" si="90">AE51-AE20</f>
        <v>-4.7269646213764879E-2</v>
      </c>
      <c r="AF81" s="234">
        <f t="shared" si="90"/>
        <v>-2.7425151977130302E-2</v>
      </c>
      <c r="AG81" s="234">
        <f t="shared" si="90"/>
        <v>-1.8080602128127399E-2</v>
      </c>
      <c r="AH81" s="234">
        <f t="shared" si="90"/>
        <v>-4.2615202229927358E-3</v>
      </c>
      <c r="AI81" s="234">
        <f t="shared" si="90"/>
        <v>-1.657214364638724E-2</v>
      </c>
      <c r="AJ81" s="234">
        <f t="shared" si="90"/>
        <v>-9.1348022200910158E-3</v>
      </c>
      <c r="AK81" s="234">
        <f t="shared" si="90"/>
        <v>1.2546680178260015E-2</v>
      </c>
      <c r="AL81" s="234">
        <f t="shared" si="90"/>
        <v>-1.5783955363589147E-2</v>
      </c>
      <c r="AM81" s="234">
        <f t="shared" si="90"/>
        <v>-7.6972507940839142E-3</v>
      </c>
      <c r="AN81" s="234">
        <f t="shared" si="90"/>
        <v>-1.6057682938711879E-2</v>
      </c>
      <c r="AO81" s="234">
        <f t="shared" si="90"/>
        <v>-9.8458971499407189E-3</v>
      </c>
      <c r="AP81" s="234">
        <f t="shared" si="90"/>
        <v>-5.6585481869081793E-3</v>
      </c>
      <c r="AQ81" s="234">
        <f t="shared" si="90"/>
        <v>-2.3258640932493375E-2</v>
      </c>
      <c r="AR81" s="234">
        <f t="shared" si="90"/>
        <v>1.1833406539993943E-2</v>
      </c>
      <c r="AS81" s="233">
        <f t="shared" si="90"/>
        <v>0.14834463174991902</v>
      </c>
      <c r="AT81" s="234">
        <f t="shared" si="90"/>
        <v>0</v>
      </c>
      <c r="AU81" s="234">
        <f t="shared" si="90"/>
        <v>1.0682127625292201E-3</v>
      </c>
      <c r="AV81" s="234">
        <f t="shared" si="90"/>
        <v>4.3628443118116041E-2</v>
      </c>
      <c r="AW81" s="234">
        <f t="shared" si="90"/>
        <v>2.2533066723215336E-3</v>
      </c>
      <c r="AX81" s="234">
        <f t="shared" si="90"/>
        <v>-2.6600409237065186E-3</v>
      </c>
      <c r="AY81" s="234">
        <f t="shared" si="90"/>
        <v>-1.1984799766150249E-3</v>
      </c>
      <c r="AZ81" s="234">
        <f t="shared" si="90"/>
        <v>-8.7693656825489619E-4</v>
      </c>
      <c r="BA81" s="234">
        <f t="shared" si="90"/>
        <v>-1.948747929455325E-4</v>
      </c>
      <c r="BB81" s="234">
        <f t="shared" si="90"/>
        <v>-1.7928480950988989E-3</v>
      </c>
      <c r="BC81" s="234">
        <f t="shared" si="90"/>
        <v>-1.1905658890298147E-2</v>
      </c>
      <c r="BD81" s="237">
        <f t="shared" si="64"/>
        <v>-2.7755575615628914E-17</v>
      </c>
    </row>
    <row r="82" spans="2:56" x14ac:dyDescent="0.25">
      <c r="B82" s="223" t="s">
        <v>468</v>
      </c>
      <c r="C82" s="225">
        <f t="shared" ref="C82:AA82" si="91">IF(ABS(C52-C21)&gt;$F$64,C52-C21,0)</f>
        <v>0</v>
      </c>
      <c r="D82" s="225">
        <f t="shared" si="91"/>
        <v>0</v>
      </c>
      <c r="E82" s="225">
        <f t="shared" si="91"/>
        <v>0</v>
      </c>
      <c r="F82" s="225">
        <f t="shared" si="91"/>
        <v>0</v>
      </c>
      <c r="G82" s="225">
        <f t="shared" si="91"/>
        <v>0</v>
      </c>
      <c r="H82" s="225">
        <f t="shared" si="91"/>
        <v>0</v>
      </c>
      <c r="I82" s="225">
        <f t="shared" si="91"/>
        <v>0</v>
      </c>
      <c r="J82" s="225">
        <f t="shared" si="91"/>
        <v>0</v>
      </c>
      <c r="K82" s="225">
        <f t="shared" si="91"/>
        <v>0</v>
      </c>
      <c r="L82" s="225">
        <f t="shared" si="91"/>
        <v>0</v>
      </c>
      <c r="M82" s="225">
        <f t="shared" si="91"/>
        <v>0</v>
      </c>
      <c r="N82" s="225">
        <f t="shared" si="91"/>
        <v>0</v>
      </c>
      <c r="O82" s="225">
        <f t="shared" si="91"/>
        <v>0</v>
      </c>
      <c r="P82" s="225">
        <f t="shared" si="91"/>
        <v>0</v>
      </c>
      <c r="Q82" s="225">
        <f t="shared" si="91"/>
        <v>0</v>
      </c>
      <c r="R82" s="224">
        <f t="shared" si="91"/>
        <v>23591</v>
      </c>
      <c r="S82" s="225">
        <f t="shared" si="91"/>
        <v>1032</v>
      </c>
      <c r="T82" s="225">
        <f t="shared" si="91"/>
        <v>0</v>
      </c>
      <c r="U82" s="225">
        <f t="shared" si="91"/>
        <v>0</v>
      </c>
      <c r="V82" s="225">
        <f t="shared" si="91"/>
        <v>9474</v>
      </c>
      <c r="W82" s="225">
        <f t="shared" si="91"/>
        <v>6807</v>
      </c>
      <c r="X82" s="225">
        <f t="shared" si="91"/>
        <v>0</v>
      </c>
      <c r="Y82" s="225">
        <f t="shared" si="91"/>
        <v>0</v>
      </c>
      <c r="Z82" s="225">
        <f t="shared" si="91"/>
        <v>0</v>
      </c>
      <c r="AA82" s="225">
        <f t="shared" si="91"/>
        <v>0</v>
      </c>
      <c r="AB82" s="226">
        <f t="shared" si="62"/>
        <v>40904</v>
      </c>
      <c r="AD82" s="223" t="s">
        <v>468</v>
      </c>
      <c r="AE82" s="234">
        <f t="shared" ref="AE82:BC82" si="92">AE52-AE21</f>
        <v>-4.9121174013726796E-3</v>
      </c>
      <c r="AF82" s="234">
        <f t="shared" si="92"/>
        <v>-2.4044554159083071E-3</v>
      </c>
      <c r="AG82" s="234">
        <f t="shared" si="92"/>
        <v>-3.514819220795746E-3</v>
      </c>
      <c r="AH82" s="234">
        <f t="shared" si="92"/>
        <v>-5.760435241376424E-4</v>
      </c>
      <c r="AI82" s="234">
        <f t="shared" si="92"/>
        <v>-9.3354833234320631E-4</v>
      </c>
      <c r="AJ82" s="234">
        <f t="shared" si="92"/>
        <v>-3.5644572689467877E-4</v>
      </c>
      <c r="AK82" s="234">
        <f t="shared" si="92"/>
        <v>-4.9223457523550878E-4</v>
      </c>
      <c r="AL82" s="234">
        <f t="shared" si="92"/>
        <v>-2.659198280007921E-4</v>
      </c>
      <c r="AM82" s="234">
        <f t="shared" si="92"/>
        <v>1.6814468657805597E-4</v>
      </c>
      <c r="AN82" s="234">
        <f t="shared" si="92"/>
        <v>1.6530690690373358E-3</v>
      </c>
      <c r="AO82" s="234">
        <f t="shared" si="92"/>
        <v>4.2726540126342182E-4</v>
      </c>
      <c r="AP82" s="234">
        <f t="shared" si="92"/>
        <v>-1.0893209521302954E-3</v>
      </c>
      <c r="AQ82" s="234">
        <f t="shared" si="92"/>
        <v>-9.9578488783275349E-4</v>
      </c>
      <c r="AR82" s="234">
        <f t="shared" si="92"/>
        <v>-4.9223457523550878E-4</v>
      </c>
      <c r="AS82" s="234">
        <f t="shared" si="92"/>
        <v>-1.8105179778777334E-4</v>
      </c>
      <c r="AT82" s="233">
        <f t="shared" si="92"/>
        <v>-4.1298639056141728E-2</v>
      </c>
      <c r="AU82" s="234">
        <f t="shared" si="92"/>
        <v>4.3004220710280774E-3</v>
      </c>
      <c r="AV82" s="234">
        <f t="shared" si="92"/>
        <v>-7.9210161532150837E-5</v>
      </c>
      <c r="AW82" s="234">
        <f t="shared" si="92"/>
        <v>-1.6973606042603752E-4</v>
      </c>
      <c r="AX82" s="234">
        <f t="shared" si="92"/>
        <v>2.6673797421034012E-2</v>
      </c>
      <c r="AY82" s="234">
        <f t="shared" si="92"/>
        <v>2.4497391617180363E-2</v>
      </c>
      <c r="AZ82" s="234">
        <f t="shared" si="92"/>
        <v>1.132910364405584E-3</v>
      </c>
      <c r="BA82" s="234">
        <f t="shared" si="92"/>
        <v>-3.2196897415402877E-4</v>
      </c>
      <c r="BB82" s="234">
        <f t="shared" si="92"/>
        <v>-2.659198280007921E-4</v>
      </c>
      <c r="BC82" s="234">
        <f t="shared" si="92"/>
        <v>-5.035503125972446E-4</v>
      </c>
      <c r="BD82" s="237">
        <f t="shared" si="64"/>
        <v>-2.3527187142935446E-17</v>
      </c>
    </row>
    <row r="83" spans="2:56" x14ac:dyDescent="0.25">
      <c r="B83" s="223" t="s">
        <v>469</v>
      </c>
      <c r="C83" s="225">
        <f t="shared" ref="C83:AA83" si="93">IF(ABS(C53-C22)&gt;$F$64,C53-C22,0)</f>
        <v>-2175</v>
      </c>
      <c r="D83" s="225">
        <f t="shared" si="93"/>
        <v>0</v>
      </c>
      <c r="E83" s="225">
        <f t="shared" si="93"/>
        <v>-1114</v>
      </c>
      <c r="F83" s="225">
        <f t="shared" si="93"/>
        <v>0</v>
      </c>
      <c r="G83" s="225">
        <f t="shared" si="93"/>
        <v>0</v>
      </c>
      <c r="H83" s="225">
        <f t="shared" si="93"/>
        <v>0</v>
      </c>
      <c r="I83" s="225">
        <f t="shared" si="93"/>
        <v>0</v>
      </c>
      <c r="J83" s="225">
        <f t="shared" si="93"/>
        <v>0</v>
      </c>
      <c r="K83" s="225">
        <f t="shared" si="93"/>
        <v>0</v>
      </c>
      <c r="L83" s="225">
        <f t="shared" si="93"/>
        <v>-2070</v>
      </c>
      <c r="M83" s="225">
        <f t="shared" si="93"/>
        <v>-1120</v>
      </c>
      <c r="N83" s="225">
        <f t="shared" si="93"/>
        <v>0</v>
      </c>
      <c r="O83" s="225">
        <f t="shared" si="93"/>
        <v>-1444</v>
      </c>
      <c r="P83" s="225">
        <f t="shared" si="93"/>
        <v>0</v>
      </c>
      <c r="Q83" s="225">
        <f t="shared" si="93"/>
        <v>0</v>
      </c>
      <c r="R83" s="225">
        <f t="shared" si="93"/>
        <v>0</v>
      </c>
      <c r="S83" s="224">
        <f t="shared" si="93"/>
        <v>22364</v>
      </c>
      <c r="T83" s="225">
        <f t="shared" si="93"/>
        <v>0</v>
      </c>
      <c r="U83" s="225">
        <f t="shared" si="93"/>
        <v>0</v>
      </c>
      <c r="V83" s="225">
        <f t="shared" si="93"/>
        <v>2228</v>
      </c>
      <c r="W83" s="225">
        <f t="shared" si="93"/>
        <v>0</v>
      </c>
      <c r="X83" s="225">
        <f t="shared" si="93"/>
        <v>1027</v>
      </c>
      <c r="Y83" s="225">
        <f t="shared" si="93"/>
        <v>2125</v>
      </c>
      <c r="Z83" s="225">
        <f t="shared" si="93"/>
        <v>0</v>
      </c>
      <c r="AA83" s="225">
        <f t="shared" si="93"/>
        <v>0</v>
      </c>
      <c r="AB83" s="226">
        <f t="shared" si="62"/>
        <v>19821</v>
      </c>
      <c r="AD83" s="223" t="s">
        <v>469</v>
      </c>
      <c r="AE83" s="234">
        <f t="shared" ref="AE83:BC83" si="94">AE53-AE22</f>
        <v>-6.9834468561340334E-3</v>
      </c>
      <c r="AF83" s="234">
        <f t="shared" si="94"/>
        <v>-1.6504996895263658E-3</v>
      </c>
      <c r="AG83" s="234">
        <f t="shared" si="94"/>
        <v>-3.5669731252606584E-3</v>
      </c>
      <c r="AH83" s="234">
        <f t="shared" si="94"/>
        <v>-8.6337483988247398E-4</v>
      </c>
      <c r="AI83" s="234">
        <f t="shared" si="94"/>
        <v>-1.8995553549579502E-3</v>
      </c>
      <c r="AJ83" s="234">
        <f t="shared" si="94"/>
        <v>-1.0041867706192837E-3</v>
      </c>
      <c r="AK83" s="234">
        <f t="shared" si="94"/>
        <v>-2.2985159742698403E-3</v>
      </c>
      <c r="AL83" s="234">
        <f t="shared" si="94"/>
        <v>-1.6647627769424442E-3</v>
      </c>
      <c r="AM83" s="234">
        <f t="shared" si="94"/>
        <v>-5.4858834185984211E-4</v>
      </c>
      <c r="AN83" s="234">
        <f t="shared" si="94"/>
        <v>-6.6794567470912893E-3</v>
      </c>
      <c r="AO83" s="234">
        <f t="shared" si="94"/>
        <v>-3.8124812653836668E-3</v>
      </c>
      <c r="AP83" s="234">
        <f t="shared" si="94"/>
        <v>-9.3470939469615395E-4</v>
      </c>
      <c r="AQ83" s="234">
        <f t="shared" si="94"/>
        <v>-5.2792963214890621E-3</v>
      </c>
      <c r="AR83" s="234">
        <f t="shared" si="94"/>
        <v>-2.906593523397465E-3</v>
      </c>
      <c r="AS83" s="234">
        <f t="shared" si="94"/>
        <v>-9.5081489920872606E-4</v>
      </c>
      <c r="AT83" s="234">
        <f t="shared" si="94"/>
        <v>-8.0612260100680969E-4</v>
      </c>
      <c r="AU83" s="233">
        <f t="shared" si="94"/>
        <v>2.9009391174019128E-2</v>
      </c>
      <c r="AV83" s="234">
        <f t="shared" si="94"/>
        <v>-3.2354232307036886E-4</v>
      </c>
      <c r="AW83" s="234">
        <f t="shared" si="94"/>
        <v>2.015446860558893E-3</v>
      </c>
      <c r="AX83" s="234">
        <f t="shared" si="94"/>
        <v>5.881564209267106E-3</v>
      </c>
      <c r="AY83" s="234">
        <f t="shared" si="94"/>
        <v>-5.4607239975967793E-4</v>
      </c>
      <c r="AZ83" s="234">
        <f t="shared" si="94"/>
        <v>2.4125902788225025E-3</v>
      </c>
      <c r="BA83" s="234">
        <f t="shared" si="94"/>
        <v>5.7091139787153068E-3</v>
      </c>
      <c r="BB83" s="234">
        <f t="shared" si="94"/>
        <v>-9.4252748282623242E-4</v>
      </c>
      <c r="BC83" s="234">
        <f t="shared" si="94"/>
        <v>-1.366585814000669E-3</v>
      </c>
      <c r="BD83" s="237">
        <f t="shared" si="64"/>
        <v>-6.7654215563095477E-17</v>
      </c>
    </row>
    <row r="84" spans="2:56" x14ac:dyDescent="0.25">
      <c r="B84" s="223" t="s">
        <v>470</v>
      </c>
      <c r="C84" s="225">
        <f t="shared" ref="C84:AA84" si="95">IF(ABS(C54-C23)&gt;$F$64,C54-C23,0)</f>
        <v>0</v>
      </c>
      <c r="D84" s="225">
        <f t="shared" si="95"/>
        <v>-1721</v>
      </c>
      <c r="E84" s="225">
        <f t="shared" si="95"/>
        <v>-1404</v>
      </c>
      <c r="F84" s="225">
        <f t="shared" si="95"/>
        <v>0</v>
      </c>
      <c r="G84" s="225">
        <f t="shared" si="95"/>
        <v>0</v>
      </c>
      <c r="H84" s="225">
        <f t="shared" si="95"/>
        <v>0</v>
      </c>
      <c r="I84" s="225">
        <f t="shared" si="95"/>
        <v>0</v>
      </c>
      <c r="J84" s="225">
        <f t="shared" si="95"/>
        <v>5496</v>
      </c>
      <c r="K84" s="225">
        <f t="shared" si="95"/>
        <v>0</v>
      </c>
      <c r="L84" s="225">
        <f t="shared" si="95"/>
        <v>0</v>
      </c>
      <c r="M84" s="225">
        <f t="shared" si="95"/>
        <v>0</v>
      </c>
      <c r="N84" s="225">
        <f t="shared" si="95"/>
        <v>0</v>
      </c>
      <c r="O84" s="225">
        <f t="shared" si="95"/>
        <v>0</v>
      </c>
      <c r="P84" s="225">
        <f t="shared" si="95"/>
        <v>0</v>
      </c>
      <c r="Q84" s="225">
        <f t="shared" si="95"/>
        <v>3850</v>
      </c>
      <c r="R84" s="225">
        <f t="shared" si="95"/>
        <v>0</v>
      </c>
      <c r="S84" s="225">
        <f t="shared" si="95"/>
        <v>0</v>
      </c>
      <c r="T84" s="224">
        <f t="shared" si="95"/>
        <v>5771</v>
      </c>
      <c r="U84" s="225">
        <f t="shared" si="95"/>
        <v>-3131</v>
      </c>
      <c r="V84" s="225">
        <f t="shared" si="95"/>
        <v>0</v>
      </c>
      <c r="W84" s="225">
        <f t="shared" si="95"/>
        <v>0</v>
      </c>
      <c r="X84" s="225">
        <f t="shared" si="95"/>
        <v>0</v>
      </c>
      <c r="Y84" s="225">
        <f t="shared" si="95"/>
        <v>0</v>
      </c>
      <c r="Z84" s="225">
        <f t="shared" si="95"/>
        <v>0</v>
      </c>
      <c r="AA84" s="225">
        <f t="shared" si="95"/>
        <v>0</v>
      </c>
      <c r="AB84" s="226">
        <f t="shared" si="62"/>
        <v>8861</v>
      </c>
      <c r="AD84" s="223" t="s">
        <v>470</v>
      </c>
      <c r="AE84" s="234">
        <f t="shared" ref="AE84:BC84" si="96">AE54-AE23</f>
        <v>-4.8991903323004141E-3</v>
      </c>
      <c r="AF84" s="234">
        <f t="shared" si="96"/>
        <v>-1.0133388703902497E-2</v>
      </c>
      <c r="AG84" s="234">
        <f t="shared" si="96"/>
        <v>-8.2857972353475723E-3</v>
      </c>
      <c r="AH84" s="234">
        <f t="shared" si="96"/>
        <v>-1.8441072543072313E-3</v>
      </c>
      <c r="AI84" s="234">
        <f t="shared" si="96"/>
        <v>-4.7230454714896715E-3</v>
      </c>
      <c r="AJ84" s="234">
        <f t="shared" si="96"/>
        <v>-4.7144008149396528E-3</v>
      </c>
      <c r="AK84" s="234">
        <f t="shared" si="96"/>
        <v>5.1700087571240755E-3</v>
      </c>
      <c r="AL84" s="234">
        <f t="shared" si="96"/>
        <v>3.0528828696968935E-2</v>
      </c>
      <c r="AM84" s="234">
        <f t="shared" si="96"/>
        <v>-1.6176831826378367E-3</v>
      </c>
      <c r="AN84" s="234">
        <f t="shared" si="96"/>
        <v>-3.3149976266035157E-3</v>
      </c>
      <c r="AO84" s="234">
        <f t="shared" si="96"/>
        <v>-2.760409308050943E-3</v>
      </c>
      <c r="AP84" s="234">
        <f t="shared" si="96"/>
        <v>-2.5718257667656222E-3</v>
      </c>
      <c r="AQ84" s="234">
        <f t="shared" si="96"/>
        <v>-5.5801769292643192E-3</v>
      </c>
      <c r="AR84" s="234">
        <f t="shared" si="96"/>
        <v>1.0509232609183274E-3</v>
      </c>
      <c r="AS84" s="234">
        <f t="shared" si="96"/>
        <v>2.1348895806974577E-2</v>
      </c>
      <c r="AT84" s="234">
        <f t="shared" si="96"/>
        <v>0</v>
      </c>
      <c r="AU84" s="234">
        <f t="shared" si="96"/>
        <v>-6.463764302055958E-4</v>
      </c>
      <c r="AV84" s="233">
        <f t="shared" si="96"/>
        <v>2.1887187322574109E-2</v>
      </c>
      <c r="AW84" s="234">
        <f t="shared" si="96"/>
        <v>-1.9890011704273847E-2</v>
      </c>
      <c r="AX84" s="234">
        <f t="shared" si="96"/>
        <v>-1.287001287001287E-3</v>
      </c>
      <c r="AY84" s="234">
        <f t="shared" si="96"/>
        <v>-7.5862520721739783E-4</v>
      </c>
      <c r="AZ84" s="234">
        <f t="shared" si="96"/>
        <v>-5.2890463849367955E-4</v>
      </c>
      <c r="BA84" s="234">
        <f t="shared" si="96"/>
        <v>-3.5260309232911972E-4</v>
      </c>
      <c r="BB84" s="234">
        <f t="shared" si="96"/>
        <v>-4.0549355617848769E-4</v>
      </c>
      <c r="BC84" s="234">
        <f t="shared" si="96"/>
        <v>-5.6718053032514381E-3</v>
      </c>
      <c r="BD84" s="237">
        <f t="shared" si="64"/>
        <v>-1.0842021724855044E-16</v>
      </c>
    </row>
    <row r="85" spans="2:56" x14ac:dyDescent="0.25">
      <c r="B85" s="223" t="s">
        <v>471</v>
      </c>
      <c r="C85" s="225">
        <f t="shared" ref="C85:AA85" si="97">IF(ABS(C55-C24)&gt;$F$64,C55-C24,0)</f>
        <v>-3318</v>
      </c>
      <c r="D85" s="225">
        <f t="shared" si="97"/>
        <v>0</v>
      </c>
      <c r="E85" s="225">
        <f t="shared" si="97"/>
        <v>0</v>
      </c>
      <c r="F85" s="225">
        <f t="shared" si="97"/>
        <v>0</v>
      </c>
      <c r="G85" s="225">
        <f t="shared" si="97"/>
        <v>0</v>
      </c>
      <c r="H85" s="225">
        <f t="shared" si="97"/>
        <v>0</v>
      </c>
      <c r="I85" s="225">
        <f t="shared" si="97"/>
        <v>0</v>
      </c>
      <c r="J85" s="225">
        <f t="shared" si="97"/>
        <v>0</v>
      </c>
      <c r="K85" s="225">
        <f t="shared" si="97"/>
        <v>0</v>
      </c>
      <c r="L85" s="225">
        <f t="shared" si="97"/>
        <v>0</v>
      </c>
      <c r="M85" s="225">
        <f t="shared" si="97"/>
        <v>0</v>
      </c>
      <c r="N85" s="225">
        <f t="shared" si="97"/>
        <v>0</v>
      </c>
      <c r="O85" s="225">
        <f t="shared" si="97"/>
        <v>0</v>
      </c>
      <c r="P85" s="225">
        <f t="shared" si="97"/>
        <v>0</v>
      </c>
      <c r="Q85" s="225">
        <f t="shared" si="97"/>
        <v>0</v>
      </c>
      <c r="R85" s="225">
        <f t="shared" si="97"/>
        <v>0</v>
      </c>
      <c r="S85" s="225">
        <f t="shared" si="97"/>
        <v>0</v>
      </c>
      <c r="T85" s="225">
        <f t="shared" si="97"/>
        <v>-5558</v>
      </c>
      <c r="U85" s="224">
        <f t="shared" si="97"/>
        <v>29558</v>
      </c>
      <c r="V85" s="225">
        <f t="shared" si="97"/>
        <v>0</v>
      </c>
      <c r="W85" s="225">
        <f t="shared" si="97"/>
        <v>0</v>
      </c>
      <c r="X85" s="225">
        <f t="shared" si="97"/>
        <v>0</v>
      </c>
      <c r="Y85" s="225">
        <f t="shared" si="97"/>
        <v>0</v>
      </c>
      <c r="Z85" s="225">
        <f t="shared" si="97"/>
        <v>0</v>
      </c>
      <c r="AA85" s="225">
        <f t="shared" si="97"/>
        <v>0</v>
      </c>
      <c r="AB85" s="226">
        <f t="shared" si="62"/>
        <v>20682</v>
      </c>
      <c r="AD85" s="223" t="s">
        <v>471</v>
      </c>
      <c r="AE85" s="234">
        <f t="shared" ref="AE85:BC85" si="98">AE55-AE24</f>
        <v>-2.3235603159144171E-2</v>
      </c>
      <c r="AF85" s="234">
        <f t="shared" si="98"/>
        <v>-3.5307528168932361E-3</v>
      </c>
      <c r="AG85" s="234">
        <f t="shared" si="98"/>
        <v>-3.2305438592982682E-3</v>
      </c>
      <c r="AH85" s="234">
        <f t="shared" si="98"/>
        <v>-6.8226785836119264E-4</v>
      </c>
      <c r="AI85" s="234">
        <f t="shared" si="98"/>
        <v>-1.9717652105798898E-3</v>
      </c>
      <c r="AJ85" s="234">
        <f t="shared" si="98"/>
        <v>-1.9205895712447788E-3</v>
      </c>
      <c r="AK85" s="234">
        <f t="shared" si="98"/>
        <v>-4.107507805403368E-3</v>
      </c>
      <c r="AL85" s="234">
        <f t="shared" si="98"/>
        <v>-7.6808283814565909E-3</v>
      </c>
      <c r="AM85" s="234">
        <f t="shared" si="98"/>
        <v>-1.3645357167223852E-4</v>
      </c>
      <c r="AN85" s="234">
        <f t="shared" si="98"/>
        <v>-1.3986491096404448E-3</v>
      </c>
      <c r="AO85" s="234">
        <f t="shared" si="98"/>
        <v>-1.5146346455618476E-3</v>
      </c>
      <c r="AP85" s="234">
        <f t="shared" si="98"/>
        <v>-6.4133178685952109E-4</v>
      </c>
      <c r="AQ85" s="234">
        <f t="shared" si="98"/>
        <v>-3.7763581459872224E-3</v>
      </c>
      <c r="AR85" s="234">
        <f t="shared" si="98"/>
        <v>-4.0904344590702727E-3</v>
      </c>
      <c r="AS85" s="234">
        <f t="shared" si="98"/>
        <v>-3.1698449108630636E-4</v>
      </c>
      <c r="AT85" s="234">
        <f t="shared" si="98"/>
        <v>0</v>
      </c>
      <c r="AU85" s="234">
        <f t="shared" si="98"/>
        <v>4.7508467921752598E-3</v>
      </c>
      <c r="AV85" s="234">
        <f t="shared" si="98"/>
        <v>-6.0574423294071006E-2</v>
      </c>
      <c r="AW85" s="233">
        <f t="shared" si="98"/>
        <v>0.11794753006437908</v>
      </c>
      <c r="AX85" s="234">
        <f t="shared" si="98"/>
        <v>-5.3899160810534218E-4</v>
      </c>
      <c r="AY85" s="234">
        <f t="shared" si="98"/>
        <v>-1.7056696459029816E-4</v>
      </c>
      <c r="AZ85" s="234">
        <f t="shared" si="98"/>
        <v>-1.5009892883946236E-4</v>
      </c>
      <c r="BA85" s="234">
        <f t="shared" si="98"/>
        <v>-2.7290714334447704E-5</v>
      </c>
      <c r="BB85" s="234">
        <f t="shared" si="98"/>
        <v>-1.5692160742307429E-4</v>
      </c>
      <c r="BC85" s="234">
        <f t="shared" si="98"/>
        <v>-2.8453788669314185E-3</v>
      </c>
      <c r="BD85" s="237">
        <f t="shared" si="64"/>
        <v>-5.6378512969246231E-17</v>
      </c>
    </row>
    <row r="86" spans="2:56" x14ac:dyDescent="0.25">
      <c r="B86" s="223" t="s">
        <v>472</v>
      </c>
      <c r="C86" s="225">
        <f t="shared" ref="C86:AA86" si="99">IF(ABS(C56-C25)&gt;$F$64,C56-C25,0)</f>
        <v>-11248</v>
      </c>
      <c r="D86" s="225">
        <f t="shared" si="99"/>
        <v>-5040</v>
      </c>
      <c r="E86" s="225">
        <f t="shared" si="99"/>
        <v>0</v>
      </c>
      <c r="F86" s="225">
        <f t="shared" si="99"/>
        <v>0</v>
      </c>
      <c r="G86" s="225">
        <f t="shared" si="99"/>
        <v>-1301</v>
      </c>
      <c r="H86" s="225">
        <f t="shared" si="99"/>
        <v>0</v>
      </c>
      <c r="I86" s="225">
        <f t="shared" si="99"/>
        <v>-1121</v>
      </c>
      <c r="J86" s="225">
        <f t="shared" si="99"/>
        <v>0</v>
      </c>
      <c r="K86" s="225">
        <f t="shared" si="99"/>
        <v>3030</v>
      </c>
      <c r="L86" s="225">
        <f t="shared" si="99"/>
        <v>11139</v>
      </c>
      <c r="M86" s="225">
        <f t="shared" si="99"/>
        <v>5338</v>
      </c>
      <c r="N86" s="225">
        <f t="shared" si="99"/>
        <v>0</v>
      </c>
      <c r="O86" s="225">
        <f t="shared" si="99"/>
        <v>-3142</v>
      </c>
      <c r="P86" s="225">
        <f t="shared" si="99"/>
        <v>0</v>
      </c>
      <c r="Q86" s="225">
        <f t="shared" si="99"/>
        <v>0</v>
      </c>
      <c r="R86" s="225">
        <f t="shared" si="99"/>
        <v>0</v>
      </c>
      <c r="S86" s="225">
        <f t="shared" si="99"/>
        <v>1801</v>
      </c>
      <c r="T86" s="225">
        <f t="shared" si="99"/>
        <v>0</v>
      </c>
      <c r="U86" s="225">
        <f t="shared" si="99"/>
        <v>0</v>
      </c>
      <c r="V86" s="224">
        <f t="shared" si="99"/>
        <v>24222</v>
      </c>
      <c r="W86" s="225">
        <f t="shared" si="99"/>
        <v>2657</v>
      </c>
      <c r="X86" s="225">
        <f t="shared" si="99"/>
        <v>5480</v>
      </c>
      <c r="Y86" s="225">
        <f t="shared" si="99"/>
        <v>0</v>
      </c>
      <c r="Z86" s="225">
        <f t="shared" si="99"/>
        <v>0</v>
      </c>
      <c r="AA86" s="225">
        <f t="shared" si="99"/>
        <v>0</v>
      </c>
      <c r="AB86" s="226">
        <f t="shared" si="62"/>
        <v>31815</v>
      </c>
      <c r="AD86" s="223" t="s">
        <v>472</v>
      </c>
      <c r="AE86" s="234">
        <f t="shared" ref="AE86:BC86" si="100">AE56-AE25</f>
        <v>-3.2557391934047386E-2</v>
      </c>
      <c r="AF86" s="234">
        <f t="shared" si="100"/>
        <v>-1.4908472978145623E-2</v>
      </c>
      <c r="AG86" s="234">
        <f t="shared" si="100"/>
        <v>-5.7764039877992654E-4</v>
      </c>
      <c r="AH86" s="234">
        <f t="shared" si="100"/>
        <v>-2.8965585335241715E-3</v>
      </c>
      <c r="AI86" s="234">
        <f t="shared" si="100"/>
        <v>-3.7934092632886927E-3</v>
      </c>
      <c r="AJ86" s="234">
        <f t="shared" si="100"/>
        <v>-1.4284978095031838E-3</v>
      </c>
      <c r="AK86" s="234">
        <f t="shared" si="100"/>
        <v>-3.1884412169977182E-3</v>
      </c>
      <c r="AL86" s="234">
        <f t="shared" si="100"/>
        <v>-2.6931457787993003E-3</v>
      </c>
      <c r="AM86" s="234">
        <f t="shared" si="100"/>
        <v>5.4658993788259599E-3</v>
      </c>
      <c r="AN86" s="234">
        <f t="shared" si="100"/>
        <v>2.2748152467085364E-2</v>
      </c>
      <c r="AO86" s="234">
        <f t="shared" si="100"/>
        <v>1.1565058959742011E-2</v>
      </c>
      <c r="AP86" s="234">
        <f t="shared" si="100"/>
        <v>-2.3164586648049094E-3</v>
      </c>
      <c r="AQ86" s="234">
        <f t="shared" si="100"/>
        <v>-9.0425282006846835E-3</v>
      </c>
      <c r="AR86" s="234">
        <f t="shared" si="100"/>
        <v>-2.4837227910050833E-3</v>
      </c>
      <c r="AS86" s="234">
        <f t="shared" si="100"/>
        <v>-1.2527092322681991E-3</v>
      </c>
      <c r="AT86" s="234">
        <f t="shared" si="100"/>
        <v>7.3999606319255853E-4</v>
      </c>
      <c r="AU86" s="234">
        <f t="shared" si="100"/>
        <v>4.3790247991761988E-3</v>
      </c>
      <c r="AV86" s="234">
        <f t="shared" si="100"/>
        <v>-3.6927936552123782E-4</v>
      </c>
      <c r="AW86" s="234">
        <f t="shared" si="100"/>
        <v>-9.9421367640333265E-5</v>
      </c>
      <c r="AX86" s="233">
        <f t="shared" si="100"/>
        <v>2.2501087198876557E-2</v>
      </c>
      <c r="AY86" s="234">
        <f t="shared" si="100"/>
        <v>8.8645174822743478E-4</v>
      </c>
      <c r="AZ86" s="234">
        <f t="shared" si="100"/>
        <v>1.253037458472692E-2</v>
      </c>
      <c r="BA86" s="234">
        <f t="shared" si="100"/>
        <v>-1.078239060849028E-3</v>
      </c>
      <c r="BB86" s="234">
        <f t="shared" si="100"/>
        <v>-1.3603231574069552E-3</v>
      </c>
      <c r="BC86" s="234">
        <f t="shared" si="100"/>
        <v>-7.6980544658658036E-4</v>
      </c>
      <c r="BD86" s="237">
        <f t="shared" si="64"/>
        <v>-1.4311468676808659E-17</v>
      </c>
    </row>
    <row r="87" spans="2:56" x14ac:dyDescent="0.25">
      <c r="B87" s="223" t="s">
        <v>473</v>
      </c>
      <c r="C87" s="225">
        <f t="shared" ref="C87:AA87" si="101">IF(ABS(C57-C26)&gt;$F$64,C57-C26,0)</f>
        <v>-3843</v>
      </c>
      <c r="D87" s="225">
        <f t="shared" si="101"/>
        <v>0</v>
      </c>
      <c r="E87" s="225">
        <f t="shared" si="101"/>
        <v>0</v>
      </c>
      <c r="F87" s="225">
        <f t="shared" si="101"/>
        <v>0</v>
      </c>
      <c r="G87" s="225">
        <f t="shared" si="101"/>
        <v>0</v>
      </c>
      <c r="H87" s="225">
        <f t="shared" si="101"/>
        <v>0</v>
      </c>
      <c r="I87" s="225">
        <f t="shared" si="101"/>
        <v>0</v>
      </c>
      <c r="J87" s="225">
        <f t="shared" si="101"/>
        <v>0</v>
      </c>
      <c r="K87" s="225">
        <f t="shared" si="101"/>
        <v>4196</v>
      </c>
      <c r="L87" s="225">
        <f t="shared" si="101"/>
        <v>0</v>
      </c>
      <c r="M87" s="225">
        <f t="shared" si="101"/>
        <v>0</v>
      </c>
      <c r="N87" s="225">
        <f t="shared" si="101"/>
        <v>0</v>
      </c>
      <c r="O87" s="225">
        <f t="shared" si="101"/>
        <v>0</v>
      </c>
      <c r="P87" s="225">
        <f t="shared" si="101"/>
        <v>0</v>
      </c>
      <c r="Q87" s="225">
        <f t="shared" si="101"/>
        <v>0</v>
      </c>
      <c r="R87" s="225">
        <f t="shared" si="101"/>
        <v>0</v>
      </c>
      <c r="S87" s="225">
        <f t="shared" si="101"/>
        <v>0</v>
      </c>
      <c r="T87" s="225">
        <f t="shared" si="101"/>
        <v>0</v>
      </c>
      <c r="U87" s="225">
        <f t="shared" si="101"/>
        <v>0</v>
      </c>
      <c r="V87" s="225">
        <f t="shared" si="101"/>
        <v>-8371</v>
      </c>
      <c r="W87" s="224">
        <f t="shared" si="101"/>
        <v>5756</v>
      </c>
      <c r="X87" s="225">
        <f t="shared" si="101"/>
        <v>0</v>
      </c>
      <c r="Y87" s="225">
        <f t="shared" si="101"/>
        <v>0</v>
      </c>
      <c r="Z87" s="225">
        <f t="shared" si="101"/>
        <v>0</v>
      </c>
      <c r="AA87" s="225">
        <f t="shared" si="101"/>
        <v>0</v>
      </c>
      <c r="AB87" s="226">
        <f t="shared" si="62"/>
        <v>-2262</v>
      </c>
      <c r="AD87" s="223" t="s">
        <v>473</v>
      </c>
      <c r="AE87" s="234">
        <f t="shared" ref="AE87:BC87" si="102">AE57-AE26</f>
        <v>-3.5940291914025937E-2</v>
      </c>
      <c r="AF87" s="234">
        <f t="shared" si="102"/>
        <v>-7.7196924274362602E-3</v>
      </c>
      <c r="AG87" s="234">
        <f t="shared" si="102"/>
        <v>-1.6412936327598222E-3</v>
      </c>
      <c r="AH87" s="234">
        <f t="shared" si="102"/>
        <v>-1.3834886159324164E-3</v>
      </c>
      <c r="AI87" s="234">
        <f t="shared" si="102"/>
        <v>-3.6015966084530612E-3</v>
      </c>
      <c r="AJ87" s="234">
        <f t="shared" si="102"/>
        <v>-1.80545727385551E-3</v>
      </c>
      <c r="AK87" s="234">
        <f t="shared" si="102"/>
        <v>-1.6547157014158663E-3</v>
      </c>
      <c r="AL87" s="234">
        <f t="shared" si="102"/>
        <v>-4.7028856553317528E-3</v>
      </c>
      <c r="AM87" s="234">
        <f t="shared" si="102"/>
        <v>4.7028259505323564E-2</v>
      </c>
      <c r="AN87" s="234">
        <f t="shared" si="102"/>
        <v>7.5431877480283543E-3</v>
      </c>
      <c r="AO87" s="234">
        <f t="shared" si="102"/>
        <v>-3.2148005748118182E-3</v>
      </c>
      <c r="AP87" s="234">
        <f t="shared" si="102"/>
        <v>-2.0981141359654397E-3</v>
      </c>
      <c r="AQ87" s="234">
        <f t="shared" si="102"/>
        <v>-5.1381055044216152E-3</v>
      </c>
      <c r="AR87" s="234">
        <f t="shared" si="102"/>
        <v>-1.8901459993332893E-3</v>
      </c>
      <c r="AS87" s="234">
        <f t="shared" si="102"/>
        <v>-5.8857574479355705E-4</v>
      </c>
      <c r="AT87" s="234">
        <f t="shared" si="102"/>
        <v>2.3376705624786678E-4</v>
      </c>
      <c r="AU87" s="234">
        <f t="shared" si="102"/>
        <v>-7.8476765972474273E-4</v>
      </c>
      <c r="AV87" s="234">
        <f t="shared" si="102"/>
        <v>-9.8095957465592842E-5</v>
      </c>
      <c r="AW87" s="234">
        <f t="shared" si="102"/>
        <v>0</v>
      </c>
      <c r="AX87" s="234">
        <f t="shared" si="102"/>
        <v>-6.960834553051562E-2</v>
      </c>
      <c r="AY87" s="233">
        <f t="shared" si="102"/>
        <v>8.9387418495313009E-2</v>
      </c>
      <c r="AZ87" s="234">
        <f t="shared" si="102"/>
        <v>-7.7544972046678486E-4</v>
      </c>
      <c r="BA87" s="234">
        <f t="shared" si="102"/>
        <v>-4.5941998980143798E-5</v>
      </c>
      <c r="BB87" s="234">
        <f t="shared" si="102"/>
        <v>-3.3352625538301568E-4</v>
      </c>
      <c r="BC87" s="234">
        <f t="shared" si="102"/>
        <v>-1.1673418938405549E-3</v>
      </c>
      <c r="BD87" s="237">
        <f t="shared" si="64"/>
        <v>-9.3241386833753381E-18</v>
      </c>
    </row>
    <row r="88" spans="2:56" x14ac:dyDescent="0.25">
      <c r="B88" s="223" t="s">
        <v>474</v>
      </c>
      <c r="C88" s="225">
        <f t="shared" ref="C88:AA88" si="103">IF(ABS(C58-C27)&gt;$F$64,C58-C27,0)</f>
        <v>-2036</v>
      </c>
      <c r="D88" s="225">
        <f t="shared" si="103"/>
        <v>-1085</v>
      </c>
      <c r="E88" s="225">
        <f t="shared" si="103"/>
        <v>0</v>
      </c>
      <c r="F88" s="225">
        <f t="shared" si="103"/>
        <v>0</v>
      </c>
      <c r="G88" s="225">
        <f t="shared" si="103"/>
        <v>0</v>
      </c>
      <c r="H88" s="225">
        <f t="shared" si="103"/>
        <v>0</v>
      </c>
      <c r="I88" s="225">
        <f t="shared" si="103"/>
        <v>0</v>
      </c>
      <c r="J88" s="225">
        <f t="shared" si="103"/>
        <v>0</v>
      </c>
      <c r="K88" s="225">
        <f t="shared" si="103"/>
        <v>0</v>
      </c>
      <c r="L88" s="225">
        <f t="shared" si="103"/>
        <v>0</v>
      </c>
      <c r="M88" s="225">
        <f t="shared" si="103"/>
        <v>6275</v>
      </c>
      <c r="N88" s="225">
        <f t="shared" si="103"/>
        <v>1507</v>
      </c>
      <c r="O88" s="225">
        <f t="shared" si="103"/>
        <v>0</v>
      </c>
      <c r="P88" s="225">
        <f t="shared" si="103"/>
        <v>0</v>
      </c>
      <c r="Q88" s="225">
        <f t="shared" si="103"/>
        <v>0</v>
      </c>
      <c r="R88" s="225">
        <f t="shared" si="103"/>
        <v>0</v>
      </c>
      <c r="S88" s="225">
        <f t="shared" si="103"/>
        <v>0</v>
      </c>
      <c r="T88" s="225">
        <f t="shared" si="103"/>
        <v>0</v>
      </c>
      <c r="U88" s="225">
        <f t="shared" si="103"/>
        <v>0</v>
      </c>
      <c r="V88" s="225">
        <f t="shared" si="103"/>
        <v>-2121</v>
      </c>
      <c r="W88" s="225">
        <f t="shared" si="103"/>
        <v>0</v>
      </c>
      <c r="X88" s="224">
        <f t="shared" si="103"/>
        <v>7549</v>
      </c>
      <c r="Y88" s="225">
        <f t="shared" si="103"/>
        <v>-1434</v>
      </c>
      <c r="Z88" s="225">
        <f t="shared" si="103"/>
        <v>-1942</v>
      </c>
      <c r="AA88" s="225">
        <f t="shared" si="103"/>
        <v>0</v>
      </c>
      <c r="AB88" s="226">
        <f t="shared" si="62"/>
        <v>6713</v>
      </c>
      <c r="AD88" s="223" t="s">
        <v>474</v>
      </c>
      <c r="AE88" s="234">
        <f t="shared" ref="AE88:BC88" si="104">AE58-AE27</f>
        <v>-2.3345548463972014E-2</v>
      </c>
      <c r="AF88" s="234">
        <f t="shared" si="104"/>
        <v>-1.244170461000571E-2</v>
      </c>
      <c r="AG88" s="234">
        <f t="shared" si="104"/>
        <v>3.5737954171472762E-3</v>
      </c>
      <c r="AH88" s="234">
        <f t="shared" si="104"/>
        <v>-1.0983717679311908E-3</v>
      </c>
      <c r="AI88" s="234">
        <f t="shared" si="104"/>
        <v>-6.548844084724793E-3</v>
      </c>
      <c r="AJ88" s="234">
        <f t="shared" si="104"/>
        <v>-1.5060702271697561E-3</v>
      </c>
      <c r="AK88" s="234">
        <f t="shared" si="104"/>
        <v>-3.527226765783422E-3</v>
      </c>
      <c r="AL88" s="234">
        <f t="shared" si="104"/>
        <v>-2.2845978147881889E-3</v>
      </c>
      <c r="AM88" s="234">
        <f t="shared" si="104"/>
        <v>1.0015815690864174E-3</v>
      </c>
      <c r="AN88" s="234">
        <f t="shared" si="104"/>
        <v>-2.1771613383416849E-3</v>
      </c>
      <c r="AO88" s="234">
        <f t="shared" si="104"/>
        <v>6.1586845108328292E-2</v>
      </c>
      <c r="AP88" s="234">
        <f t="shared" si="104"/>
        <v>1.4213540352077385E-2</v>
      </c>
      <c r="AQ88" s="234">
        <f t="shared" si="104"/>
        <v>-1.1635344506747955E-2</v>
      </c>
      <c r="AR88" s="234">
        <f t="shared" si="104"/>
        <v>-4.6821618978486719E-3</v>
      </c>
      <c r="AS88" s="234">
        <f t="shared" si="104"/>
        <v>-9.489166534872687E-4</v>
      </c>
      <c r="AT88" s="234">
        <f t="shared" si="104"/>
        <v>-6.2399367118546895E-4</v>
      </c>
      <c r="AU88" s="234">
        <f t="shared" si="104"/>
        <v>-4.3906085166481616E-3</v>
      </c>
      <c r="AV88" s="234">
        <f t="shared" si="104"/>
        <v>-1.1296626827229389E-4</v>
      </c>
      <c r="AW88" s="234">
        <f t="shared" si="104"/>
        <v>0</v>
      </c>
      <c r="AX88" s="234">
        <f t="shared" si="104"/>
        <v>-2.7311819306057056E-2</v>
      </c>
      <c r="AY88" s="234">
        <f t="shared" si="104"/>
        <v>1.5475783106350068E-3</v>
      </c>
      <c r="AZ88" s="233">
        <f t="shared" si="104"/>
        <v>6.3300793691300317E-2</v>
      </c>
      <c r="BA88" s="234">
        <f t="shared" si="104"/>
        <v>-1.8717806816828324E-2</v>
      </c>
      <c r="BB88" s="234">
        <f t="shared" si="104"/>
        <v>-2.2173818519010496E-2</v>
      </c>
      <c r="BC88" s="234">
        <f t="shared" si="104"/>
        <v>-1.6971732197722609E-3</v>
      </c>
      <c r="BD88" s="237">
        <f t="shared" si="64"/>
        <v>-2.6020852139652106E-17</v>
      </c>
    </row>
    <row r="89" spans="2:56" x14ac:dyDescent="0.25">
      <c r="B89" s="223" t="s">
        <v>475</v>
      </c>
      <c r="C89" s="225">
        <f t="shared" ref="C89:AA89" si="105">IF(ABS(C59-C28)&gt;$F$64,C59-C28,0)</f>
        <v>-1494</v>
      </c>
      <c r="D89" s="225">
        <f t="shared" si="105"/>
        <v>0</v>
      </c>
      <c r="E89" s="225">
        <f t="shared" si="105"/>
        <v>0</v>
      </c>
      <c r="F89" s="225">
        <f t="shared" si="105"/>
        <v>0</v>
      </c>
      <c r="G89" s="225">
        <f t="shared" si="105"/>
        <v>0</v>
      </c>
      <c r="H89" s="225">
        <f t="shared" si="105"/>
        <v>0</v>
      </c>
      <c r="I89" s="225">
        <f t="shared" si="105"/>
        <v>0</v>
      </c>
      <c r="J89" s="225">
        <f t="shared" si="105"/>
        <v>0</v>
      </c>
      <c r="K89" s="225">
        <f t="shared" si="105"/>
        <v>0</v>
      </c>
      <c r="L89" s="225">
        <f t="shared" si="105"/>
        <v>-1143</v>
      </c>
      <c r="M89" s="225">
        <f t="shared" si="105"/>
        <v>1767</v>
      </c>
      <c r="N89" s="225">
        <f t="shared" si="105"/>
        <v>5281</v>
      </c>
      <c r="O89" s="225">
        <f t="shared" si="105"/>
        <v>1059</v>
      </c>
      <c r="P89" s="225">
        <f t="shared" si="105"/>
        <v>0</v>
      </c>
      <c r="Q89" s="225">
        <f t="shared" si="105"/>
        <v>0</v>
      </c>
      <c r="R89" s="225">
        <f t="shared" si="105"/>
        <v>0</v>
      </c>
      <c r="S89" s="225">
        <f t="shared" si="105"/>
        <v>0</v>
      </c>
      <c r="T89" s="225">
        <f t="shared" si="105"/>
        <v>0</v>
      </c>
      <c r="U89" s="225">
        <f t="shared" si="105"/>
        <v>0</v>
      </c>
      <c r="V89" s="225">
        <f t="shared" si="105"/>
        <v>0</v>
      </c>
      <c r="W89" s="225">
        <f t="shared" si="105"/>
        <v>0</v>
      </c>
      <c r="X89" s="225">
        <f t="shared" si="105"/>
        <v>0</v>
      </c>
      <c r="Y89" s="224">
        <f t="shared" si="105"/>
        <v>6871</v>
      </c>
      <c r="Z89" s="225">
        <f t="shared" si="105"/>
        <v>-1107</v>
      </c>
      <c r="AA89" s="225">
        <f t="shared" si="105"/>
        <v>0</v>
      </c>
      <c r="AB89" s="226">
        <f t="shared" si="62"/>
        <v>11234</v>
      </c>
      <c r="AD89" s="223" t="s">
        <v>475</v>
      </c>
      <c r="AE89" s="234">
        <f t="shared" ref="AE89:BC89" si="106">AE59-AE28</f>
        <v>-2.9436598967865879E-2</v>
      </c>
      <c r="AF89" s="234">
        <f t="shared" si="106"/>
        <v>-8.9323119122822481E-3</v>
      </c>
      <c r="AG89" s="234">
        <f t="shared" si="106"/>
        <v>-8.6482437450422743E-3</v>
      </c>
      <c r="AH89" s="234">
        <f t="shared" si="106"/>
        <v>1.6775013919964866E-3</v>
      </c>
      <c r="AI89" s="234">
        <f t="shared" si="106"/>
        <v>-2.7895525256408614E-3</v>
      </c>
      <c r="AJ89" s="234">
        <f t="shared" si="106"/>
        <v>-2.5711682897594009E-3</v>
      </c>
      <c r="AK89" s="234">
        <f t="shared" si="106"/>
        <v>-5.3582377566541838E-3</v>
      </c>
      <c r="AL89" s="234">
        <f t="shared" si="106"/>
        <v>-1.5548164265298992E-3</v>
      </c>
      <c r="AM89" s="234">
        <f t="shared" si="106"/>
        <v>-1.2822890166066031E-3</v>
      </c>
      <c r="AN89" s="234">
        <f t="shared" si="106"/>
        <v>-2.3434608710388927E-2</v>
      </c>
      <c r="AO89" s="234">
        <f t="shared" si="106"/>
        <v>1.9622114064972378E-2</v>
      </c>
      <c r="AP89" s="234">
        <f t="shared" si="106"/>
        <v>6.8990350521378307E-2</v>
      </c>
      <c r="AQ89" s="234">
        <f t="shared" si="106"/>
        <v>4.2090188254270133E-3</v>
      </c>
      <c r="AR89" s="234">
        <f t="shared" si="106"/>
        <v>-1.0627491433213075E-3</v>
      </c>
      <c r="AS89" s="234">
        <f t="shared" si="106"/>
        <v>-1.4286489321301337E-3</v>
      </c>
      <c r="AT89" s="234">
        <f t="shared" si="106"/>
        <v>0</v>
      </c>
      <c r="AU89" s="234">
        <f t="shared" si="106"/>
        <v>-1.3295186679636041E-2</v>
      </c>
      <c r="AV89" s="234">
        <f t="shared" si="106"/>
        <v>-5.4252491093549377E-4</v>
      </c>
      <c r="AW89" s="234">
        <f t="shared" si="106"/>
        <v>0</v>
      </c>
      <c r="AX89" s="234">
        <f t="shared" si="106"/>
        <v>-1.2548145181665105E-2</v>
      </c>
      <c r="AY89" s="234">
        <f t="shared" si="106"/>
        <v>-1.0669656581731377E-3</v>
      </c>
      <c r="AZ89" s="234">
        <f t="shared" si="106"/>
        <v>-5.1560324444264172E-3</v>
      </c>
      <c r="BA89" s="233">
        <f t="shared" si="106"/>
        <v>5.7219355877070555E-2</v>
      </c>
      <c r="BB89" s="234">
        <f t="shared" si="106"/>
        <v>-2.8264735790212214E-2</v>
      </c>
      <c r="BC89" s="234">
        <f t="shared" si="106"/>
        <v>-4.3455245895745948E-3</v>
      </c>
      <c r="BD89" s="237">
        <f t="shared" si="64"/>
        <v>-7.8062556418956319E-18</v>
      </c>
    </row>
    <row r="90" spans="2:56" x14ac:dyDescent="0.25">
      <c r="B90" s="223" t="s">
        <v>476</v>
      </c>
      <c r="C90" s="225">
        <f t="shared" ref="C90:AA90" si="107">IF(ABS(C60-C29)&gt;$F$64,C60-C29,0)</f>
        <v>-2887</v>
      </c>
      <c r="D90" s="225">
        <f t="shared" si="107"/>
        <v>0</v>
      </c>
      <c r="E90" s="225">
        <f t="shared" si="107"/>
        <v>0</v>
      </c>
      <c r="F90" s="225">
        <f t="shared" si="107"/>
        <v>0</v>
      </c>
      <c r="G90" s="225">
        <f t="shared" si="107"/>
        <v>0</v>
      </c>
      <c r="H90" s="225">
        <f t="shared" si="107"/>
        <v>0</v>
      </c>
      <c r="I90" s="225">
        <f t="shared" si="107"/>
        <v>0</v>
      </c>
      <c r="J90" s="225">
        <f t="shared" si="107"/>
        <v>0</v>
      </c>
      <c r="K90" s="225">
        <f t="shared" si="107"/>
        <v>0</v>
      </c>
      <c r="L90" s="225">
        <f t="shared" si="107"/>
        <v>-1192</v>
      </c>
      <c r="M90" s="225">
        <f t="shared" si="107"/>
        <v>0</v>
      </c>
      <c r="N90" s="225">
        <f t="shared" si="107"/>
        <v>3481</v>
      </c>
      <c r="O90" s="225">
        <f t="shared" si="107"/>
        <v>13557</v>
      </c>
      <c r="P90" s="225">
        <f t="shared" si="107"/>
        <v>0</v>
      </c>
      <c r="Q90" s="225">
        <f t="shared" si="107"/>
        <v>0</v>
      </c>
      <c r="R90" s="225">
        <f t="shared" si="107"/>
        <v>0</v>
      </c>
      <c r="S90" s="225">
        <f t="shared" si="107"/>
        <v>-1274</v>
      </c>
      <c r="T90" s="225">
        <f t="shared" si="107"/>
        <v>0</v>
      </c>
      <c r="U90" s="225">
        <f t="shared" si="107"/>
        <v>0</v>
      </c>
      <c r="V90" s="225">
        <f t="shared" si="107"/>
        <v>-1014</v>
      </c>
      <c r="W90" s="225">
        <f t="shared" si="107"/>
        <v>0</v>
      </c>
      <c r="X90" s="225">
        <f t="shared" si="107"/>
        <v>-2127</v>
      </c>
      <c r="Y90" s="225">
        <f t="shared" si="107"/>
        <v>-1806</v>
      </c>
      <c r="Z90" s="227">
        <f t="shared" si="107"/>
        <v>1300</v>
      </c>
      <c r="AA90" s="228">
        <f t="shared" si="107"/>
        <v>-1144</v>
      </c>
      <c r="AB90" s="226">
        <f t="shared" si="62"/>
        <v>6894</v>
      </c>
      <c r="AD90" s="223" t="s">
        <v>476</v>
      </c>
      <c r="AE90" s="234">
        <f t="shared" ref="AE90:BC90" si="108">AE60-AE29</f>
        <v>-2.2513033744732978E-2</v>
      </c>
      <c r="AF90" s="234">
        <f t="shared" si="108"/>
        <v>-6.0202872556931178E-3</v>
      </c>
      <c r="AG90" s="234">
        <f t="shared" si="108"/>
        <v>-5.0208439632448499E-3</v>
      </c>
      <c r="AH90" s="234">
        <f t="shared" si="108"/>
        <v>-1.5681871154544819E-3</v>
      </c>
      <c r="AI90" s="234">
        <f t="shared" si="108"/>
        <v>-2.9470598646926692E-3</v>
      </c>
      <c r="AJ90" s="234">
        <f t="shared" si="108"/>
        <v>-1.6546224188103897E-3</v>
      </c>
      <c r="AK90" s="234">
        <f t="shared" si="108"/>
        <v>-4.4769357363064286E-3</v>
      </c>
      <c r="AL90" s="234">
        <f t="shared" si="108"/>
        <v>-4.1090265478960462E-3</v>
      </c>
      <c r="AM90" s="234">
        <f t="shared" si="108"/>
        <v>-1.2506420874145298E-3</v>
      </c>
      <c r="AN90" s="234">
        <f t="shared" si="108"/>
        <v>-9.2355231990727347E-3</v>
      </c>
      <c r="AO90" s="234">
        <f t="shared" si="108"/>
        <v>-4.5876380688724613E-3</v>
      </c>
      <c r="AP90" s="234">
        <f t="shared" si="108"/>
        <v>2.5104729686657473E-2</v>
      </c>
      <c r="AQ90" s="234">
        <f t="shared" si="108"/>
        <v>9.865951795379202E-2</v>
      </c>
      <c r="AR90" s="234">
        <f t="shared" si="108"/>
        <v>1.6411458949714235E-3</v>
      </c>
      <c r="AS90" s="234">
        <f t="shared" si="108"/>
        <v>-2.5237018286362041E-3</v>
      </c>
      <c r="AT90" s="234">
        <f t="shared" si="108"/>
        <v>-1.5431027166323325E-4</v>
      </c>
      <c r="AU90" s="234">
        <f t="shared" si="108"/>
        <v>-1.0024177118552802E-2</v>
      </c>
      <c r="AV90" s="234">
        <f t="shared" si="108"/>
        <v>-3.8577567915808316E-4</v>
      </c>
      <c r="AW90" s="234">
        <f t="shared" si="108"/>
        <v>-1.1573270374742494E-4</v>
      </c>
      <c r="AX90" s="234">
        <f t="shared" si="108"/>
        <v>-7.8330063035763498E-3</v>
      </c>
      <c r="AY90" s="234">
        <f t="shared" si="108"/>
        <v>-1.6834397350139231E-3</v>
      </c>
      <c r="AZ90" s="234">
        <f t="shared" si="108"/>
        <v>-1.6545012588775464E-2</v>
      </c>
      <c r="BA90" s="234">
        <f t="shared" si="108"/>
        <v>-1.5545057673761895E-2</v>
      </c>
      <c r="BB90" s="235">
        <f t="shared" si="108"/>
        <v>1.9584736586343299E-3</v>
      </c>
      <c r="BC90" s="236">
        <f t="shared" si="108"/>
        <v>-9.1698532889791969E-3</v>
      </c>
      <c r="BD90" s="237">
        <f t="shared" si="64"/>
        <v>0</v>
      </c>
    </row>
    <row r="91" spans="2:56" x14ac:dyDescent="0.25">
      <c r="B91" s="223" t="s">
        <v>477</v>
      </c>
      <c r="C91" s="225">
        <f t="shared" ref="C91:AA91" si="109">IF(ABS(C61-C30)&gt;$F$64,C61-C30,0)</f>
        <v>-6974</v>
      </c>
      <c r="D91" s="225">
        <f t="shared" si="109"/>
        <v>-2201</v>
      </c>
      <c r="E91" s="225">
        <f t="shared" si="109"/>
        <v>-2057</v>
      </c>
      <c r="F91" s="225">
        <f t="shared" si="109"/>
        <v>0</v>
      </c>
      <c r="G91" s="225">
        <f t="shared" si="109"/>
        <v>0</v>
      </c>
      <c r="H91" s="225">
        <f t="shared" si="109"/>
        <v>0</v>
      </c>
      <c r="I91" s="225">
        <f t="shared" si="109"/>
        <v>-1257</v>
      </c>
      <c r="J91" s="225">
        <f t="shared" si="109"/>
        <v>-2612</v>
      </c>
      <c r="K91" s="225">
        <f t="shared" si="109"/>
        <v>0</v>
      </c>
      <c r="L91" s="225">
        <f t="shared" si="109"/>
        <v>-1939</v>
      </c>
      <c r="M91" s="225">
        <f t="shared" si="109"/>
        <v>-1813</v>
      </c>
      <c r="N91" s="225">
        <f t="shared" si="109"/>
        <v>3581</v>
      </c>
      <c r="O91" s="225">
        <f t="shared" si="109"/>
        <v>7150</v>
      </c>
      <c r="P91" s="225">
        <f t="shared" si="109"/>
        <v>6676</v>
      </c>
      <c r="Q91" s="225">
        <f t="shared" si="109"/>
        <v>0</v>
      </c>
      <c r="R91" s="225">
        <f t="shared" si="109"/>
        <v>0</v>
      </c>
      <c r="S91" s="225">
        <f t="shared" si="109"/>
        <v>0</v>
      </c>
      <c r="T91" s="225">
        <f t="shared" si="109"/>
        <v>0</v>
      </c>
      <c r="U91" s="225">
        <f t="shared" si="109"/>
        <v>0</v>
      </c>
      <c r="V91" s="225">
        <f t="shared" si="109"/>
        <v>0</v>
      </c>
      <c r="W91" s="225">
        <f t="shared" si="109"/>
        <v>0</v>
      </c>
      <c r="X91" s="225">
        <f t="shared" si="109"/>
        <v>0</v>
      </c>
      <c r="Y91" s="225">
        <f t="shared" si="109"/>
        <v>0</v>
      </c>
      <c r="Z91" s="228">
        <f t="shared" si="109"/>
        <v>0</v>
      </c>
      <c r="AA91" s="227">
        <f t="shared" si="109"/>
        <v>13407</v>
      </c>
      <c r="AB91" s="226">
        <f t="shared" si="62"/>
        <v>11961</v>
      </c>
      <c r="AD91" s="223" t="s">
        <v>477</v>
      </c>
      <c r="AE91" s="234">
        <f t="shared" ref="AE91:BC91" si="110">AE61-AE30</f>
        <v>-3.5719802059744087E-2</v>
      </c>
      <c r="AF91" s="234">
        <f t="shared" si="110"/>
        <v>-1.09086005680931E-2</v>
      </c>
      <c r="AG91" s="234">
        <f t="shared" si="110"/>
        <v>-1.0322480252303697E-2</v>
      </c>
      <c r="AH91" s="234">
        <f t="shared" si="110"/>
        <v>-2.9250568167818935E-3</v>
      </c>
      <c r="AI91" s="234">
        <f t="shared" si="110"/>
        <v>-3.1858099951752629E-3</v>
      </c>
      <c r="AJ91" s="234">
        <f t="shared" si="110"/>
        <v>1.7114418127127731E-3</v>
      </c>
      <c r="AK91" s="234">
        <f t="shared" si="110"/>
        <v>-7.2210461785782859E-3</v>
      </c>
      <c r="AL91" s="234">
        <f t="shared" si="110"/>
        <v>-1.3344737331520211E-2</v>
      </c>
      <c r="AM91" s="234">
        <f t="shared" si="110"/>
        <v>-1.5696736956091928E-3</v>
      </c>
      <c r="AN91" s="234">
        <f t="shared" si="110"/>
        <v>-9.6310107479992951E-3</v>
      </c>
      <c r="AO91" s="234">
        <f t="shared" si="110"/>
        <v>-9.19669834681483E-3</v>
      </c>
      <c r="AP91" s="234">
        <f t="shared" si="110"/>
        <v>1.6021800562266757E-2</v>
      </c>
      <c r="AQ91" s="234">
        <f t="shared" si="110"/>
        <v>2.7947289476952797E-2</v>
      </c>
      <c r="AR91" s="234">
        <f t="shared" si="110"/>
        <v>2.7519585431074411E-2</v>
      </c>
      <c r="AS91" s="234">
        <f t="shared" si="110"/>
        <v>-5.2474948741329519E-3</v>
      </c>
      <c r="AT91" s="234">
        <f t="shared" si="110"/>
        <v>-7.422766118536627E-5</v>
      </c>
      <c r="AU91" s="234">
        <f t="shared" si="110"/>
        <v>6.6271418087340134E-4</v>
      </c>
      <c r="AV91" s="234">
        <f t="shared" si="110"/>
        <v>-2.907406529148887E-3</v>
      </c>
      <c r="AW91" s="234">
        <f t="shared" si="110"/>
        <v>-6.5226849996591189E-4</v>
      </c>
      <c r="AX91" s="234">
        <f t="shared" si="110"/>
        <v>-2.8028486605113918E-3</v>
      </c>
      <c r="AY91" s="234">
        <f t="shared" si="110"/>
        <v>-9.9069793836333584E-4</v>
      </c>
      <c r="AZ91" s="234">
        <f t="shared" si="110"/>
        <v>-1.8755160079968248E-3</v>
      </c>
      <c r="BA91" s="234">
        <f t="shared" si="110"/>
        <v>-1.8584736053840626E-4</v>
      </c>
      <c r="BB91" s="236">
        <f t="shared" si="110"/>
        <v>-1.5583891028208771E-3</v>
      </c>
      <c r="BC91" s="235">
        <f t="shared" si="110"/>
        <v>4.6456781163403682E-2</v>
      </c>
      <c r="BD91" s="237">
        <f t="shared" si="64"/>
        <v>0</v>
      </c>
    </row>
    <row r="92" spans="2:56" x14ac:dyDescent="0.25">
      <c r="B92" s="229" t="s">
        <v>29</v>
      </c>
      <c r="C92" s="230">
        <f>SUM(C67:C91)</f>
        <v>-15452</v>
      </c>
      <c r="D92" s="230">
        <f t="shared" ref="D92:AA92" si="111">SUM(D67:D91)</f>
        <v>-45150</v>
      </c>
      <c r="E92" s="230">
        <f t="shared" si="111"/>
        <v>19962</v>
      </c>
      <c r="F92" s="230">
        <f t="shared" si="111"/>
        <v>14890</v>
      </c>
      <c r="G92" s="230">
        <f t="shared" si="111"/>
        <v>-2564</v>
      </c>
      <c r="H92" s="230">
        <f t="shared" si="111"/>
        <v>19395</v>
      </c>
      <c r="I92" s="230">
        <f t="shared" si="111"/>
        <v>34705</v>
      </c>
      <c r="J92" s="230">
        <f t="shared" si="111"/>
        <v>-12754</v>
      </c>
      <c r="K92" s="230">
        <f t="shared" si="111"/>
        <v>12324</v>
      </c>
      <c r="L92" s="230">
        <f t="shared" si="111"/>
        <v>-28124</v>
      </c>
      <c r="M92" s="230">
        <f t="shared" si="111"/>
        <v>31937</v>
      </c>
      <c r="N92" s="230">
        <f t="shared" si="111"/>
        <v>74939</v>
      </c>
      <c r="O92" s="230">
        <f t="shared" si="111"/>
        <v>29296</v>
      </c>
      <c r="P92" s="230">
        <f t="shared" si="111"/>
        <v>25167</v>
      </c>
      <c r="Q92" s="230">
        <f t="shared" si="111"/>
        <v>19649</v>
      </c>
      <c r="R92" s="230">
        <f t="shared" si="111"/>
        <v>23591</v>
      </c>
      <c r="S92" s="230">
        <f t="shared" si="111"/>
        <v>22846</v>
      </c>
      <c r="T92" s="230">
        <f t="shared" si="111"/>
        <v>11228</v>
      </c>
      <c r="U92" s="230">
        <f t="shared" si="111"/>
        <v>26427</v>
      </c>
      <c r="V92" s="230">
        <f t="shared" si="111"/>
        <v>-6627</v>
      </c>
      <c r="W92" s="230">
        <f t="shared" si="111"/>
        <v>11041</v>
      </c>
      <c r="X92" s="230">
        <f t="shared" si="111"/>
        <v>5889</v>
      </c>
      <c r="Y92" s="230">
        <f t="shared" si="111"/>
        <v>4302</v>
      </c>
      <c r="Z92" s="230">
        <f t="shared" si="111"/>
        <v>-3238</v>
      </c>
      <c r="AA92" s="230">
        <f t="shared" si="111"/>
        <v>1871</v>
      </c>
      <c r="AB92" s="231">
        <f>SUM(AB67:AB91)</f>
        <v>275550</v>
      </c>
      <c r="AD92" s="229" t="s">
        <v>29</v>
      </c>
      <c r="AE92" s="238">
        <f t="shared" ref="AE92:BC92" si="112">AE62-AE31</f>
        <v>-9.5040303681967475E-3</v>
      </c>
      <c r="AF92" s="238">
        <f t="shared" si="112"/>
        <v>-1.2921975533461492E-2</v>
      </c>
      <c r="AG92" s="238">
        <f t="shared" si="112"/>
        <v>2.0771647321106146E-3</v>
      </c>
      <c r="AH92" s="238">
        <f t="shared" si="112"/>
        <v>1.8088982038448071E-3</v>
      </c>
      <c r="AI92" s="238">
        <f t="shared" si="112"/>
        <v>-2.6279139379764005E-3</v>
      </c>
      <c r="AJ92" s="238">
        <f t="shared" si="112"/>
        <v>2.4395247088813583E-3</v>
      </c>
      <c r="AK92" s="238">
        <f t="shared" si="112"/>
        <v>5.5065514151812558E-3</v>
      </c>
      <c r="AL92" s="238">
        <f t="shared" si="112"/>
        <v>-5.6594180655361939E-3</v>
      </c>
      <c r="AM92" s="238">
        <f t="shared" si="112"/>
        <v>8.4368933397004423E-4</v>
      </c>
      <c r="AN92" s="238">
        <f t="shared" si="112"/>
        <v>-7.7081501737610095E-3</v>
      </c>
      <c r="AO92" s="238">
        <f t="shared" si="112"/>
        <v>4.9284842988417538E-3</v>
      </c>
      <c r="AP92" s="238">
        <f t="shared" si="112"/>
        <v>1.3515460880027481E-2</v>
      </c>
      <c r="AQ92" s="238">
        <f t="shared" si="112"/>
        <v>2.6321912332161884E-3</v>
      </c>
      <c r="AR92" s="238">
        <f t="shared" si="112"/>
        <v>2.7748171549653519E-3</v>
      </c>
      <c r="AS92" s="238">
        <f t="shared" si="112"/>
        <v>1.5099008300821955E-3</v>
      </c>
      <c r="AT92" s="238">
        <f t="shared" si="112"/>
        <v>3.5434557826949029E-3</v>
      </c>
      <c r="AU92" s="238">
        <f t="shared" si="112"/>
        <v>1.9047480598015434E-3</v>
      </c>
      <c r="AV92" s="238">
        <f t="shared" si="112"/>
        <v>1.6913728587985427E-4</v>
      </c>
      <c r="AW92" s="238">
        <f t="shared" si="112"/>
        <v>4.605652281785548E-3</v>
      </c>
      <c r="AX92" s="238">
        <f t="shared" si="112"/>
        <v>-4.8953420562956457E-3</v>
      </c>
      <c r="AY92" s="238">
        <f t="shared" si="112"/>
        <v>5.3907169714496189E-4</v>
      </c>
      <c r="AZ92" s="238">
        <f t="shared" si="112"/>
        <v>1.1281501264897437E-4</v>
      </c>
      <c r="BA92" s="238">
        <f t="shared" si="112"/>
        <v>-4.3049975824687413E-4</v>
      </c>
      <c r="BB92" s="238">
        <f t="shared" si="112"/>
        <v>-2.8096049846452718E-3</v>
      </c>
      <c r="BC92" s="238">
        <f t="shared" si="112"/>
        <v>-2.3546280329572108E-3</v>
      </c>
      <c r="BD92" s="239">
        <f t="shared" si="64"/>
        <v>-1.214306433183765E-17</v>
      </c>
    </row>
    <row r="93" spans="2:56" ht="23.25" x14ac:dyDescent="0.35">
      <c r="B93" s="232" t="s">
        <v>515</v>
      </c>
    </row>
    <row r="94" spans="2:56" ht="18.75" x14ac:dyDescent="0.3">
      <c r="B94" s="373" t="s">
        <v>454</v>
      </c>
      <c r="C94" s="375" t="s">
        <v>455</v>
      </c>
      <c r="D94" s="375"/>
      <c r="E94" s="375"/>
      <c r="F94" s="375"/>
      <c r="G94" s="375"/>
      <c r="H94" s="375"/>
      <c r="I94" s="375"/>
      <c r="J94" s="375"/>
      <c r="K94" s="375"/>
      <c r="L94" s="375"/>
      <c r="M94" s="375"/>
      <c r="N94" s="375"/>
      <c r="O94" s="375"/>
      <c r="P94" s="375"/>
      <c r="Q94" s="375"/>
      <c r="R94" s="375"/>
      <c r="S94" s="375"/>
      <c r="T94" s="375"/>
      <c r="U94" s="375"/>
      <c r="V94" s="376"/>
      <c r="W94" s="376"/>
      <c r="X94" s="376"/>
      <c r="Y94" s="376"/>
      <c r="Z94" s="379"/>
      <c r="AA94" s="257"/>
      <c r="AB94" s="377" t="s">
        <v>29</v>
      </c>
    </row>
    <row r="95" spans="2:56" x14ac:dyDescent="0.25">
      <c r="B95" s="374"/>
      <c r="C95" s="220">
        <v>1</v>
      </c>
      <c r="D95" s="220" t="s">
        <v>456</v>
      </c>
      <c r="E95" s="220" t="s">
        <v>457</v>
      </c>
      <c r="F95" s="220" t="s">
        <v>458</v>
      </c>
      <c r="G95" s="220" t="s">
        <v>47</v>
      </c>
      <c r="H95" s="220" t="s">
        <v>459</v>
      </c>
      <c r="I95" s="220" t="s">
        <v>460</v>
      </c>
      <c r="J95" s="220" t="s">
        <v>49</v>
      </c>
      <c r="K95" s="220" t="s">
        <v>461</v>
      </c>
      <c r="L95" s="220" t="s">
        <v>462</v>
      </c>
      <c r="M95" s="220" t="s">
        <v>463</v>
      </c>
      <c r="N95" s="220" t="s">
        <v>464</v>
      </c>
      <c r="O95" s="220" t="s">
        <v>465</v>
      </c>
      <c r="P95" s="220" t="s">
        <v>466</v>
      </c>
      <c r="Q95" s="220" t="s">
        <v>467</v>
      </c>
      <c r="R95" s="220" t="s">
        <v>468</v>
      </c>
      <c r="S95" s="220" t="s">
        <v>469</v>
      </c>
      <c r="T95" s="220" t="s">
        <v>470</v>
      </c>
      <c r="U95" s="220" t="s">
        <v>471</v>
      </c>
      <c r="V95" s="221" t="s">
        <v>472</v>
      </c>
      <c r="W95" s="220" t="s">
        <v>473</v>
      </c>
      <c r="X95" s="220" t="s">
        <v>474</v>
      </c>
      <c r="Y95" s="220" t="s">
        <v>475</v>
      </c>
      <c r="Z95" s="222" t="s">
        <v>476</v>
      </c>
      <c r="AA95" s="222" t="s">
        <v>477</v>
      </c>
      <c r="AB95" s="378"/>
    </row>
    <row r="96" spans="2:56" x14ac:dyDescent="0.25">
      <c r="B96" s="223">
        <v>1</v>
      </c>
      <c r="C96" s="267">
        <f>IF(C6&gt;0,C67/C6,"")</f>
        <v>0.58547656441495011</v>
      </c>
      <c r="D96" s="268">
        <f t="shared" ref="D96:AB96" si="113">IF(D6&gt;0,D67/D6,"")</f>
        <v>-0.64462527741421494</v>
      </c>
      <c r="E96" s="268">
        <f t="shared" si="113"/>
        <v>-0.50217526413921687</v>
      </c>
      <c r="F96" s="268">
        <f t="shared" si="113"/>
        <v>0</v>
      </c>
      <c r="G96" s="268">
        <f t="shared" si="113"/>
        <v>-0.52779716213072803</v>
      </c>
      <c r="H96" s="268">
        <f t="shared" si="113"/>
        <v>0</v>
      </c>
      <c r="I96" s="268">
        <f t="shared" si="113"/>
        <v>-0.27099490361178818</v>
      </c>
      <c r="J96" s="268">
        <f t="shared" si="113"/>
        <v>-0.70862470862470861</v>
      </c>
      <c r="K96" s="268">
        <f t="shared" si="113"/>
        <v>-0.89101717305151917</v>
      </c>
      <c r="L96" s="268">
        <f t="shared" si="113"/>
        <v>-0.95943753380205521</v>
      </c>
      <c r="M96" s="268">
        <f t="shared" si="113"/>
        <v>-0.78766430738119309</v>
      </c>
      <c r="N96" s="268">
        <f t="shared" si="113"/>
        <v>-0.69859813084112155</v>
      </c>
      <c r="O96" s="268">
        <f t="shared" si="113"/>
        <v>-0.94552058111380144</v>
      </c>
      <c r="P96" s="268">
        <f t="shared" si="113"/>
        <v>-0.93586005830903785</v>
      </c>
      <c r="Q96" s="268">
        <f t="shared" si="113"/>
        <v>0</v>
      </c>
      <c r="R96" s="268">
        <f t="shared" si="113"/>
        <v>0</v>
      </c>
      <c r="S96" s="268">
        <f t="shared" si="113"/>
        <v>0</v>
      </c>
      <c r="T96" s="268">
        <f t="shared" si="113"/>
        <v>0</v>
      </c>
      <c r="U96" s="268">
        <f t="shared" si="113"/>
        <v>0</v>
      </c>
      <c r="V96" s="268">
        <f t="shared" si="113"/>
        <v>-0.98458828709819468</v>
      </c>
      <c r="W96" s="268">
        <f t="shared" si="113"/>
        <v>-0.91919844861021327</v>
      </c>
      <c r="X96" s="268">
        <f t="shared" si="113"/>
        <v>0</v>
      </c>
      <c r="Y96" s="268">
        <f t="shared" si="113"/>
        <v>0</v>
      </c>
      <c r="Z96" s="268">
        <f t="shared" si="113"/>
        <v>0</v>
      </c>
      <c r="AA96" s="268">
        <f t="shared" si="113"/>
        <v>0</v>
      </c>
      <c r="AB96" s="269">
        <f t="shared" si="113"/>
        <v>0.12108284847717553</v>
      </c>
    </row>
    <row r="97" spans="2:28" x14ac:dyDescent="0.25">
      <c r="B97" s="223" t="s">
        <v>456</v>
      </c>
      <c r="C97" s="268">
        <f t="shared" ref="C97:AB97" si="114">IF(C7&gt;0,C68/C7,"")</f>
        <v>-7.964115708531673E-2</v>
      </c>
      <c r="D97" s="267">
        <f t="shared" si="114"/>
        <v>0.56790294387428397</v>
      </c>
      <c r="E97" s="268">
        <f t="shared" si="114"/>
        <v>0.20348955853343309</v>
      </c>
      <c r="F97" s="268">
        <f t="shared" si="114"/>
        <v>0</v>
      </c>
      <c r="G97" s="268">
        <f t="shared" si="114"/>
        <v>-0.48174504950495051</v>
      </c>
      <c r="H97" s="268">
        <f t="shared" si="114"/>
        <v>-0.60591814159292035</v>
      </c>
      <c r="I97" s="268">
        <f t="shared" si="114"/>
        <v>-0.76304223198929866</v>
      </c>
      <c r="J97" s="268">
        <f t="shared" si="114"/>
        <v>-0.7849205400884216</v>
      </c>
      <c r="K97" s="268">
        <f t="shared" si="114"/>
        <v>-0.1579045604429789</v>
      </c>
      <c r="L97" s="268">
        <f t="shared" si="114"/>
        <v>-0.68385854696524473</v>
      </c>
      <c r="M97" s="268">
        <f t="shared" si="114"/>
        <v>-0.33462532299741604</v>
      </c>
      <c r="N97" s="268">
        <f t="shared" si="114"/>
        <v>0</v>
      </c>
      <c r="O97" s="268">
        <f t="shared" si="114"/>
        <v>-0.93638016099714361</v>
      </c>
      <c r="P97" s="268">
        <f t="shared" si="114"/>
        <v>-0.94428969359331472</v>
      </c>
      <c r="Q97" s="268">
        <f t="shared" si="114"/>
        <v>0</v>
      </c>
      <c r="R97" s="268">
        <f t="shared" si="114"/>
        <v>0</v>
      </c>
      <c r="S97" s="268">
        <f t="shared" si="114"/>
        <v>0</v>
      </c>
      <c r="T97" s="268">
        <f t="shared" si="114"/>
        <v>0</v>
      </c>
      <c r="U97" s="268">
        <f t="shared" si="114"/>
        <v>0</v>
      </c>
      <c r="V97" s="268">
        <f t="shared" si="114"/>
        <v>-0.84303215926493114</v>
      </c>
      <c r="W97" s="268">
        <f t="shared" si="114"/>
        <v>-0.66356478167501787</v>
      </c>
      <c r="X97" s="268">
        <f t="shared" si="114"/>
        <v>0</v>
      </c>
      <c r="Y97" s="268">
        <f t="shared" si="114"/>
        <v>0</v>
      </c>
      <c r="Z97" s="268">
        <f t="shared" si="114"/>
        <v>0</v>
      </c>
      <c r="AA97" s="268">
        <f t="shared" si="114"/>
        <v>0</v>
      </c>
      <c r="AB97" s="269">
        <f t="shared" si="114"/>
        <v>5.2900676952833091E-2</v>
      </c>
    </row>
    <row r="98" spans="2:28" x14ac:dyDescent="0.25">
      <c r="B98" s="223" t="s">
        <v>457</v>
      </c>
      <c r="C98" s="268">
        <f t="shared" ref="C98:AB98" si="115">IF(C8&gt;0,C69/C8,"")</f>
        <v>4.7419831507033335E-2</v>
      </c>
      <c r="D98" s="268">
        <f t="shared" si="115"/>
        <v>-0.29196623944982808</v>
      </c>
      <c r="E98" s="267">
        <f t="shared" si="115"/>
        <v>0.52233875114927308</v>
      </c>
      <c r="F98" s="268">
        <f t="shared" si="115"/>
        <v>0.38600244498777508</v>
      </c>
      <c r="G98" s="268">
        <f t="shared" si="115"/>
        <v>0</v>
      </c>
      <c r="H98" s="268">
        <f t="shared" si="115"/>
        <v>-0.34433962264150941</v>
      </c>
      <c r="I98" s="268">
        <f t="shared" si="115"/>
        <v>-0.80751913552453847</v>
      </c>
      <c r="J98" s="268">
        <f t="shared" si="115"/>
        <v>-0.84326344197633385</v>
      </c>
      <c r="K98" s="268">
        <f t="shared" si="115"/>
        <v>-0.14275877897635988</v>
      </c>
      <c r="L98" s="268">
        <f t="shared" si="115"/>
        <v>-0.26152562408733748</v>
      </c>
      <c r="M98" s="268">
        <f t="shared" si="115"/>
        <v>-0.13079150579150578</v>
      </c>
      <c r="N98" s="268">
        <f t="shared" si="115"/>
        <v>0</v>
      </c>
      <c r="O98" s="268">
        <f t="shared" si="115"/>
        <v>-0.78066378066378062</v>
      </c>
      <c r="P98" s="268">
        <f t="shared" si="115"/>
        <v>-0.89575844716031627</v>
      </c>
      <c r="Q98" s="268">
        <f t="shared" si="115"/>
        <v>0</v>
      </c>
      <c r="R98" s="268">
        <f t="shared" si="115"/>
        <v>0</v>
      </c>
      <c r="S98" s="268">
        <f t="shared" si="115"/>
        <v>0</v>
      </c>
      <c r="T98" s="268">
        <f t="shared" si="115"/>
        <v>0</v>
      </c>
      <c r="U98" s="268">
        <f t="shared" si="115"/>
        <v>0</v>
      </c>
      <c r="V98" s="268">
        <f t="shared" si="115"/>
        <v>-0.65281958659442108</v>
      </c>
      <c r="W98" s="268">
        <f t="shared" si="115"/>
        <v>-0.37389458790237001</v>
      </c>
      <c r="X98" s="268">
        <f t="shared" si="115"/>
        <v>0</v>
      </c>
      <c r="Y98" s="268">
        <f t="shared" si="115"/>
        <v>0</v>
      </c>
      <c r="Z98" s="268">
        <f t="shared" si="115"/>
        <v>0</v>
      </c>
      <c r="AA98" s="268">
        <f t="shared" si="115"/>
        <v>0</v>
      </c>
      <c r="AB98" s="269">
        <f t="shared" si="115"/>
        <v>2.1830197461390408E-2</v>
      </c>
    </row>
    <row r="99" spans="2:28" x14ac:dyDescent="0.25">
      <c r="B99" s="223" t="s">
        <v>458</v>
      </c>
      <c r="C99" s="268">
        <f t="shared" ref="C99:AB99" si="116">IF(C9&gt;0,C70/C9,"")</f>
        <v>0.10309099579485846</v>
      </c>
      <c r="D99" s="268">
        <f t="shared" si="116"/>
        <v>-0.61795118432126972</v>
      </c>
      <c r="E99" s="268">
        <f t="shared" si="116"/>
        <v>0.14720969998445516</v>
      </c>
      <c r="F99" s="267">
        <f t="shared" si="116"/>
        <v>0.78016872478298083</v>
      </c>
      <c r="G99" s="268">
        <f t="shared" si="116"/>
        <v>0.39461506100126209</v>
      </c>
      <c r="H99" s="268">
        <f t="shared" si="116"/>
        <v>0</v>
      </c>
      <c r="I99" s="268">
        <f t="shared" si="116"/>
        <v>-0.70496083550913835</v>
      </c>
      <c r="J99" s="268">
        <f t="shared" si="116"/>
        <v>-0.86894239561109421</v>
      </c>
      <c r="K99" s="268">
        <f t="shared" si="116"/>
        <v>0</v>
      </c>
      <c r="L99" s="268">
        <f t="shared" si="116"/>
        <v>-0.63798219584569738</v>
      </c>
      <c r="M99" s="268">
        <f t="shared" si="116"/>
        <v>-0.44197256210604374</v>
      </c>
      <c r="N99" s="268">
        <f t="shared" si="116"/>
        <v>0.47077713551701988</v>
      </c>
      <c r="O99" s="268">
        <f t="shared" si="116"/>
        <v>-0.62427745664739887</v>
      </c>
      <c r="P99" s="268">
        <f t="shared" si="116"/>
        <v>0</v>
      </c>
      <c r="Q99" s="268">
        <f t="shared" si="116"/>
        <v>0</v>
      </c>
      <c r="R99" s="268">
        <f t="shared" si="116"/>
        <v>0</v>
      </c>
      <c r="S99" s="268">
        <f t="shared" si="116"/>
        <v>0</v>
      </c>
      <c r="T99" s="268">
        <f t="shared" si="116"/>
        <v>0</v>
      </c>
      <c r="U99" s="268" t="str">
        <f t="shared" si="116"/>
        <v/>
      </c>
      <c r="V99" s="268">
        <f t="shared" si="116"/>
        <v>-0.87987987987987992</v>
      </c>
      <c r="W99" s="268">
        <f t="shared" si="116"/>
        <v>0</v>
      </c>
      <c r="X99" s="268">
        <f t="shared" si="116"/>
        <v>0</v>
      </c>
      <c r="Y99" s="268">
        <f t="shared" si="116"/>
        <v>0</v>
      </c>
      <c r="Z99" s="268">
        <f t="shared" si="116"/>
        <v>0</v>
      </c>
      <c r="AA99" s="268">
        <f t="shared" si="116"/>
        <v>0</v>
      </c>
      <c r="AB99" s="269">
        <f t="shared" si="116"/>
        <v>-1.2203191736204807E-3</v>
      </c>
    </row>
    <row r="100" spans="2:28" x14ac:dyDescent="0.25">
      <c r="B100" s="223" t="s">
        <v>47</v>
      </c>
      <c r="C100" s="268">
        <f t="shared" ref="C100:AB100" si="117">IF(C10&gt;0,C71/C10,"")</f>
        <v>4.8358799323742381E-2</v>
      </c>
      <c r="D100" s="268">
        <f t="shared" si="117"/>
        <v>-0.78563720200137355</v>
      </c>
      <c r="E100" s="268">
        <f t="shared" si="117"/>
        <v>0.25944714773786104</v>
      </c>
      <c r="F100" s="268">
        <f t="shared" si="117"/>
        <v>0.52520534707682398</v>
      </c>
      <c r="G100" s="267">
        <f t="shared" si="117"/>
        <v>0.35576159691505049</v>
      </c>
      <c r="H100" s="268">
        <f t="shared" si="117"/>
        <v>0.39074200136147041</v>
      </c>
      <c r="I100" s="268">
        <f t="shared" si="117"/>
        <v>0</v>
      </c>
      <c r="J100" s="268">
        <f t="shared" si="117"/>
        <v>-0.85759493670886078</v>
      </c>
      <c r="K100" s="268">
        <f t="shared" si="117"/>
        <v>0</v>
      </c>
      <c r="L100" s="268">
        <f t="shared" si="117"/>
        <v>-0.84559789750328518</v>
      </c>
      <c r="M100" s="268">
        <f t="shared" si="117"/>
        <v>-0.56835089894606328</v>
      </c>
      <c r="N100" s="268">
        <f t="shared" si="117"/>
        <v>0.27855046573944109</v>
      </c>
      <c r="O100" s="268">
        <f t="shared" si="117"/>
        <v>-0.45625385089340725</v>
      </c>
      <c r="P100" s="268">
        <f t="shared" si="117"/>
        <v>0</v>
      </c>
      <c r="Q100" s="268">
        <f t="shared" si="117"/>
        <v>0</v>
      </c>
      <c r="R100" s="268">
        <f t="shared" si="117"/>
        <v>0</v>
      </c>
      <c r="S100" s="268">
        <f t="shared" si="117"/>
        <v>0</v>
      </c>
      <c r="T100" s="268">
        <f t="shared" si="117"/>
        <v>0</v>
      </c>
      <c r="U100" s="268">
        <f t="shared" si="117"/>
        <v>0</v>
      </c>
      <c r="V100" s="268">
        <f t="shared" si="117"/>
        <v>-0.94289793004996436</v>
      </c>
      <c r="W100" s="268">
        <f t="shared" si="117"/>
        <v>0</v>
      </c>
      <c r="X100" s="268">
        <f t="shared" si="117"/>
        <v>0</v>
      </c>
      <c r="Y100" s="268">
        <f t="shared" si="117"/>
        <v>0</v>
      </c>
      <c r="Z100" s="268">
        <f t="shared" si="117"/>
        <v>0</v>
      </c>
      <c r="AA100" s="268">
        <f t="shared" si="117"/>
        <v>0</v>
      </c>
      <c r="AB100" s="269">
        <f t="shared" si="117"/>
        <v>1.0919552447156027E-2</v>
      </c>
    </row>
    <row r="101" spans="2:28" x14ac:dyDescent="0.25">
      <c r="B101" s="223" t="s">
        <v>459</v>
      </c>
      <c r="C101" s="268">
        <f t="shared" ref="C101:AB101" si="118">IF(C11&gt;0,C72/C11,"")</f>
        <v>0.35481945687854372</v>
      </c>
      <c r="D101" s="268">
        <f t="shared" si="118"/>
        <v>-0.88002999250187453</v>
      </c>
      <c r="E101" s="268">
        <f t="shared" si="118"/>
        <v>-0.34078467153284669</v>
      </c>
      <c r="F101" s="268">
        <f t="shared" si="118"/>
        <v>0</v>
      </c>
      <c r="G101" s="268">
        <f t="shared" si="118"/>
        <v>0.20348069303084454</v>
      </c>
      <c r="H101" s="267">
        <f t="shared" si="118"/>
        <v>0.59025584613746851</v>
      </c>
      <c r="I101" s="268">
        <f t="shared" si="118"/>
        <v>0</v>
      </c>
      <c r="J101" s="268">
        <f t="shared" si="118"/>
        <v>-0.72639484978540769</v>
      </c>
      <c r="K101" s="268">
        <f t="shared" si="118"/>
        <v>-0.88582677165354329</v>
      </c>
      <c r="L101" s="268">
        <f t="shared" si="118"/>
        <v>-0.8529411764705882</v>
      </c>
      <c r="M101" s="268">
        <f t="shared" si="118"/>
        <v>-0.53601800900450225</v>
      </c>
      <c r="N101" s="268">
        <f t="shared" si="118"/>
        <v>0.92849846782431056</v>
      </c>
      <c r="O101" s="268">
        <f t="shared" si="118"/>
        <v>-0.32307851667702508</v>
      </c>
      <c r="P101" s="268">
        <f t="shared" si="118"/>
        <v>-0.26744186046511625</v>
      </c>
      <c r="Q101" s="268">
        <f t="shared" si="118"/>
        <v>0</v>
      </c>
      <c r="R101" s="268">
        <f t="shared" si="118"/>
        <v>0</v>
      </c>
      <c r="S101" s="268">
        <f t="shared" si="118"/>
        <v>0</v>
      </c>
      <c r="T101" s="268">
        <f t="shared" si="118"/>
        <v>0</v>
      </c>
      <c r="U101" s="268">
        <f t="shared" si="118"/>
        <v>0</v>
      </c>
      <c r="V101" s="268">
        <f t="shared" si="118"/>
        <v>0</v>
      </c>
      <c r="W101" s="268">
        <f t="shared" si="118"/>
        <v>0</v>
      </c>
      <c r="X101" s="268">
        <f t="shared" si="118"/>
        <v>0</v>
      </c>
      <c r="Y101" s="268">
        <f t="shared" si="118"/>
        <v>0</v>
      </c>
      <c r="Z101" s="268">
        <f t="shared" si="118"/>
        <v>0</v>
      </c>
      <c r="AA101" s="268">
        <f t="shared" si="118"/>
        <v>-0.95970991136180495</v>
      </c>
      <c r="AB101" s="269">
        <f t="shared" si="118"/>
        <v>7.404925982644206E-2</v>
      </c>
    </row>
    <row r="102" spans="2:28" x14ac:dyDescent="0.25">
      <c r="B102" s="223" t="s">
        <v>460</v>
      </c>
      <c r="C102" s="268">
        <f t="shared" ref="C102:AB102" si="119">IF(C12&gt;0,C73/C12,"")</f>
        <v>-6.5911558077135779E-2</v>
      </c>
      <c r="D102" s="268">
        <f t="shared" si="119"/>
        <v>-0.90291262135922334</v>
      </c>
      <c r="E102" s="268">
        <f t="shared" si="119"/>
        <v>-0.78392944634982853</v>
      </c>
      <c r="F102" s="268">
        <f t="shared" si="119"/>
        <v>-0.59990586020240055</v>
      </c>
      <c r="G102" s="268">
        <f t="shared" si="119"/>
        <v>-0.21018121125417263</v>
      </c>
      <c r="H102" s="268">
        <f t="shared" si="119"/>
        <v>0.11366755469443772</v>
      </c>
      <c r="I102" s="267">
        <f t="shared" si="119"/>
        <v>0.71173547012881633</v>
      </c>
      <c r="J102" s="268">
        <f t="shared" si="119"/>
        <v>-0.24106330035807488</v>
      </c>
      <c r="K102" s="268">
        <f t="shared" si="119"/>
        <v>-0.84981226533166454</v>
      </c>
      <c r="L102" s="268">
        <f t="shared" si="119"/>
        <v>-0.9507154213036566</v>
      </c>
      <c r="M102" s="268">
        <f t="shared" si="119"/>
        <v>-0.77568069306930698</v>
      </c>
      <c r="N102" s="268">
        <f t="shared" si="119"/>
        <v>0</v>
      </c>
      <c r="O102" s="268">
        <f t="shared" si="119"/>
        <v>-0.53603976801988396</v>
      </c>
      <c r="P102" s="268">
        <f t="shared" si="119"/>
        <v>-9.5345345345345348E-2</v>
      </c>
      <c r="Q102" s="268">
        <f t="shared" si="119"/>
        <v>-0.8239287229529062</v>
      </c>
      <c r="R102" s="268">
        <f t="shared" si="119"/>
        <v>0</v>
      </c>
      <c r="S102" s="268">
        <f t="shared" si="119"/>
        <v>0</v>
      </c>
      <c r="T102" s="268">
        <f t="shared" si="119"/>
        <v>0</v>
      </c>
      <c r="U102" s="268">
        <f t="shared" si="119"/>
        <v>0</v>
      </c>
      <c r="V102" s="268">
        <f t="shared" si="119"/>
        <v>-0.99532273152478956</v>
      </c>
      <c r="W102" s="268">
        <f t="shared" si="119"/>
        <v>0</v>
      </c>
      <c r="X102" s="268">
        <f t="shared" si="119"/>
        <v>0</v>
      </c>
      <c r="Y102" s="268">
        <f t="shared" si="119"/>
        <v>0</v>
      </c>
      <c r="Z102" s="268">
        <f t="shared" si="119"/>
        <v>0</v>
      </c>
      <c r="AA102" s="268">
        <f t="shared" si="119"/>
        <v>-0.90865026099925428</v>
      </c>
      <c r="AB102" s="269">
        <f t="shared" si="119"/>
        <v>-6.1986703167774736E-2</v>
      </c>
    </row>
    <row r="103" spans="2:28" x14ac:dyDescent="0.25">
      <c r="B103" s="223" t="s">
        <v>49</v>
      </c>
      <c r="C103" s="268">
        <f t="shared" ref="C103:AB103" si="120">IF(C13&gt;0,C74/C13,"")</f>
        <v>0.14912734469884395</v>
      </c>
      <c r="D103" s="268">
        <f t="shared" si="120"/>
        <v>-0.89318259972489689</v>
      </c>
      <c r="E103" s="268">
        <f t="shared" si="120"/>
        <v>-0.58530093586331244</v>
      </c>
      <c r="F103" s="268">
        <f t="shared" si="120"/>
        <v>-0.78764478764478763</v>
      </c>
      <c r="G103" s="268">
        <f t="shared" si="120"/>
        <v>-0.6943400397965952</v>
      </c>
      <c r="H103" s="268">
        <f t="shared" si="120"/>
        <v>-0.31801866475233309</v>
      </c>
      <c r="I103" s="268">
        <f t="shared" si="120"/>
        <v>0.57399547255234862</v>
      </c>
      <c r="J103" s="267">
        <f t="shared" si="120"/>
        <v>0.23488982524003593</v>
      </c>
      <c r="K103" s="268">
        <f t="shared" si="120"/>
        <v>-0.83870967741935487</v>
      </c>
      <c r="L103" s="268">
        <f t="shared" si="120"/>
        <v>-0.96827554951280304</v>
      </c>
      <c r="M103" s="268">
        <f t="shared" si="120"/>
        <v>-0.84772552043176563</v>
      </c>
      <c r="N103" s="268">
        <f t="shared" si="120"/>
        <v>-0.52839042702956363</v>
      </c>
      <c r="O103" s="268">
        <f t="shared" si="120"/>
        <v>-0.66340933767643862</v>
      </c>
      <c r="P103" s="268">
        <f t="shared" si="120"/>
        <v>0.11300639658848614</v>
      </c>
      <c r="Q103" s="268">
        <f t="shared" si="120"/>
        <v>-0.27229331708307941</v>
      </c>
      <c r="R103" s="268">
        <f t="shared" si="120"/>
        <v>0</v>
      </c>
      <c r="S103" s="268">
        <f t="shared" si="120"/>
        <v>0</v>
      </c>
      <c r="T103" s="268">
        <f t="shared" si="120"/>
        <v>1.4466145833333333</v>
      </c>
      <c r="U103" s="268">
        <f t="shared" si="120"/>
        <v>0</v>
      </c>
      <c r="V103" s="268">
        <f t="shared" si="120"/>
        <v>-0.98653500897666069</v>
      </c>
      <c r="W103" s="268">
        <f t="shared" si="120"/>
        <v>0</v>
      </c>
      <c r="X103" s="268">
        <f t="shared" si="120"/>
        <v>0</v>
      </c>
      <c r="Y103" s="268">
        <f t="shared" si="120"/>
        <v>0</v>
      </c>
      <c r="Z103" s="268">
        <f t="shared" si="120"/>
        <v>0</v>
      </c>
      <c r="AA103" s="268">
        <f t="shared" si="120"/>
        <v>-0.7936893203883495</v>
      </c>
      <c r="AB103" s="269">
        <f t="shared" si="120"/>
        <v>-1.4436900556966776E-2</v>
      </c>
    </row>
    <row r="104" spans="2:28" x14ac:dyDescent="0.25">
      <c r="B104" s="223" t="s">
        <v>461</v>
      </c>
      <c r="C104" s="268">
        <f t="shared" ref="C104:AB104" si="121">IF(C14&gt;0,C75/C14,"")</f>
        <v>-0.65681566309567785</v>
      </c>
      <c r="D104" s="268">
        <f t="shared" si="121"/>
        <v>0.24343032944494294</v>
      </c>
      <c r="E104" s="268">
        <f t="shared" si="121"/>
        <v>0.54597132970835394</v>
      </c>
      <c r="F104" s="268">
        <f t="shared" si="121"/>
        <v>0</v>
      </c>
      <c r="G104" s="268">
        <f t="shared" si="121"/>
        <v>0</v>
      </c>
      <c r="H104" s="268">
        <f t="shared" si="121"/>
        <v>0</v>
      </c>
      <c r="I104" s="268">
        <f t="shared" si="121"/>
        <v>0</v>
      </c>
      <c r="J104" s="268">
        <f t="shared" si="121"/>
        <v>0</v>
      </c>
      <c r="K104" s="267">
        <f t="shared" si="121"/>
        <v>1.0112118485708355</v>
      </c>
      <c r="L104" s="268">
        <f t="shared" si="121"/>
        <v>0.4555833036032822</v>
      </c>
      <c r="M104" s="268">
        <f t="shared" si="121"/>
        <v>0</v>
      </c>
      <c r="N104" s="268">
        <f t="shared" si="121"/>
        <v>0</v>
      </c>
      <c r="O104" s="268">
        <f t="shared" si="121"/>
        <v>0</v>
      </c>
      <c r="P104" s="268">
        <f t="shared" si="121"/>
        <v>0</v>
      </c>
      <c r="Q104" s="268">
        <f t="shared" si="121"/>
        <v>0</v>
      </c>
      <c r="R104" s="268">
        <f t="shared" si="121"/>
        <v>0</v>
      </c>
      <c r="S104" s="268">
        <f t="shared" si="121"/>
        <v>0</v>
      </c>
      <c r="T104" s="268">
        <f t="shared" si="121"/>
        <v>0</v>
      </c>
      <c r="U104" s="268" t="str">
        <f t="shared" si="121"/>
        <v/>
      </c>
      <c r="V104" s="268">
        <f t="shared" si="121"/>
        <v>0</v>
      </c>
      <c r="W104" s="268">
        <f t="shared" si="121"/>
        <v>0.84122329283619601</v>
      </c>
      <c r="X104" s="268">
        <f t="shared" si="121"/>
        <v>0</v>
      </c>
      <c r="Y104" s="268">
        <f t="shared" si="121"/>
        <v>0</v>
      </c>
      <c r="Z104" s="268">
        <f t="shared" si="121"/>
        <v>0</v>
      </c>
      <c r="AA104" s="268">
        <f t="shared" si="121"/>
        <v>0</v>
      </c>
      <c r="AB104" s="269">
        <f t="shared" si="121"/>
        <v>0.25009058489234703</v>
      </c>
    </row>
    <row r="105" spans="2:28" x14ac:dyDescent="0.25">
      <c r="B105" s="223" t="s">
        <v>462</v>
      </c>
      <c r="C105" s="268">
        <f t="shared" ref="C105:AB105" si="122">IF(C15&gt;0,C76/C15,"")</f>
        <v>-0.78205581066760865</v>
      </c>
      <c r="D105" s="268">
        <f t="shared" si="122"/>
        <v>-0.5623103719519047</v>
      </c>
      <c r="E105" s="268">
        <f t="shared" si="122"/>
        <v>0.27579737335834897</v>
      </c>
      <c r="F105" s="268">
        <f t="shared" si="122"/>
        <v>0</v>
      </c>
      <c r="G105" s="268">
        <f t="shared" si="122"/>
        <v>-0.49857896873731222</v>
      </c>
      <c r="H105" s="268">
        <f t="shared" si="122"/>
        <v>0</v>
      </c>
      <c r="I105" s="268">
        <f t="shared" si="122"/>
        <v>-0.97588424437299037</v>
      </c>
      <c r="J105" s="268">
        <f t="shared" si="122"/>
        <v>0</v>
      </c>
      <c r="K105" s="268">
        <f t="shared" si="122"/>
        <v>0.16085648557777385</v>
      </c>
      <c r="L105" s="267">
        <f t="shared" si="122"/>
        <v>0.33073207570918361</v>
      </c>
      <c r="M105" s="268">
        <f t="shared" si="122"/>
        <v>0.3123077815818488</v>
      </c>
      <c r="N105" s="268">
        <f t="shared" si="122"/>
        <v>0</v>
      </c>
      <c r="O105" s="268">
        <f t="shared" si="122"/>
        <v>-0.73941368078175895</v>
      </c>
      <c r="P105" s="268">
        <f t="shared" si="122"/>
        <v>0</v>
      </c>
      <c r="Q105" s="268">
        <f t="shared" si="122"/>
        <v>0</v>
      </c>
      <c r="R105" s="268">
        <f t="shared" si="122"/>
        <v>0</v>
      </c>
      <c r="S105" s="268">
        <f t="shared" si="122"/>
        <v>0</v>
      </c>
      <c r="T105" s="268">
        <f t="shared" si="122"/>
        <v>0</v>
      </c>
      <c r="U105" s="268">
        <f t="shared" si="122"/>
        <v>0</v>
      </c>
      <c r="V105" s="268">
        <f t="shared" si="122"/>
        <v>-0.32408727113255126</v>
      </c>
      <c r="W105" s="268">
        <f t="shared" si="122"/>
        <v>0</v>
      </c>
      <c r="X105" s="268">
        <f t="shared" si="122"/>
        <v>-0.66697936210131337</v>
      </c>
      <c r="Y105" s="268">
        <f t="shared" si="122"/>
        <v>0</v>
      </c>
      <c r="Z105" s="268">
        <f t="shared" si="122"/>
        <v>0</v>
      </c>
      <c r="AA105" s="268">
        <f t="shared" si="122"/>
        <v>0</v>
      </c>
      <c r="AB105" s="269">
        <f t="shared" si="122"/>
        <v>2.4589599357134659E-2</v>
      </c>
    </row>
    <row r="106" spans="2:28" x14ac:dyDescent="0.25">
      <c r="B106" s="223" t="s">
        <v>463</v>
      </c>
      <c r="C106" s="268">
        <f t="shared" ref="C106:AB106" si="123">IF(C16&gt;0,C77/C16,"")</f>
        <v>-0.54916112100478021</v>
      </c>
      <c r="D106" s="268">
        <f t="shared" si="123"/>
        <v>-0.63223632038065025</v>
      </c>
      <c r="E106" s="268">
        <f t="shared" si="123"/>
        <v>0.13099041533546327</v>
      </c>
      <c r="F106" s="268">
        <f t="shared" si="123"/>
        <v>0</v>
      </c>
      <c r="G106" s="268">
        <f t="shared" si="123"/>
        <v>-0.32304038004750596</v>
      </c>
      <c r="H106" s="268">
        <f t="shared" si="123"/>
        <v>0</v>
      </c>
      <c r="I106" s="268">
        <f t="shared" si="123"/>
        <v>-0.88463873709775354</v>
      </c>
      <c r="J106" s="268">
        <f t="shared" si="123"/>
        <v>-0.9388254486133768</v>
      </c>
      <c r="K106" s="268">
        <f t="shared" si="123"/>
        <v>0</v>
      </c>
      <c r="L106" s="268">
        <f t="shared" si="123"/>
        <v>-0.35568270032489002</v>
      </c>
      <c r="M106" s="267">
        <f t="shared" si="123"/>
        <v>0.6077061739522307</v>
      </c>
      <c r="N106" s="268">
        <f t="shared" si="123"/>
        <v>0.45978517160073357</v>
      </c>
      <c r="O106" s="268">
        <f t="shared" si="123"/>
        <v>-0.4709449674149167</v>
      </c>
      <c r="P106" s="268">
        <f t="shared" si="123"/>
        <v>-0.8559670781893004</v>
      </c>
      <c r="Q106" s="268">
        <f t="shared" si="123"/>
        <v>0</v>
      </c>
      <c r="R106" s="268">
        <f t="shared" si="123"/>
        <v>0</v>
      </c>
      <c r="S106" s="268">
        <f t="shared" si="123"/>
        <v>0</v>
      </c>
      <c r="T106" s="268">
        <f t="shared" si="123"/>
        <v>0</v>
      </c>
      <c r="U106" s="268">
        <f t="shared" si="123"/>
        <v>0</v>
      </c>
      <c r="V106" s="268">
        <f t="shared" si="123"/>
        <v>-0.67523197715917205</v>
      </c>
      <c r="W106" s="268">
        <f t="shared" si="123"/>
        <v>0</v>
      </c>
      <c r="X106" s="268">
        <f t="shared" si="123"/>
        <v>-0.19862068965517241</v>
      </c>
      <c r="Y106" s="268">
        <f t="shared" si="123"/>
        <v>0</v>
      </c>
      <c r="Z106" s="268">
        <f t="shared" si="123"/>
        <v>0</v>
      </c>
      <c r="AA106" s="268">
        <f t="shared" si="123"/>
        <v>0</v>
      </c>
      <c r="AB106" s="269">
        <f t="shared" si="123"/>
        <v>5.2234375E-2</v>
      </c>
    </row>
    <row r="107" spans="2:28" x14ac:dyDescent="0.25">
      <c r="B107" s="223" t="s">
        <v>464</v>
      </c>
      <c r="C107" s="268">
        <f t="shared" ref="C107:AB107" si="124">IF(C17&gt;0,C78/C17,"")</f>
        <v>-0.36443648259210221</v>
      </c>
      <c r="D107" s="268">
        <f t="shared" si="124"/>
        <v>-0.81852024197301065</v>
      </c>
      <c r="E107" s="268">
        <f t="shared" si="124"/>
        <v>0</v>
      </c>
      <c r="F107" s="268">
        <f t="shared" si="124"/>
        <v>0.68652037617554862</v>
      </c>
      <c r="G107" s="268">
        <f t="shared" si="124"/>
        <v>0</v>
      </c>
      <c r="H107" s="268">
        <f t="shared" si="124"/>
        <v>0</v>
      </c>
      <c r="I107" s="268">
        <f t="shared" si="124"/>
        <v>0</v>
      </c>
      <c r="J107" s="268">
        <f t="shared" si="124"/>
        <v>0</v>
      </c>
      <c r="K107" s="268">
        <f t="shared" si="124"/>
        <v>0</v>
      </c>
      <c r="L107" s="268">
        <f t="shared" si="124"/>
        <v>-0.57770270270270274</v>
      </c>
      <c r="M107" s="268">
        <f t="shared" si="124"/>
        <v>6.7860005343307508E-2</v>
      </c>
      <c r="N107" s="267">
        <f t="shared" si="124"/>
        <v>0.45575018041068033</v>
      </c>
      <c r="O107" s="268">
        <f t="shared" si="124"/>
        <v>0</v>
      </c>
      <c r="P107" s="268">
        <f t="shared" si="124"/>
        <v>0</v>
      </c>
      <c r="Q107" s="268">
        <f t="shared" si="124"/>
        <v>0</v>
      </c>
      <c r="R107" s="268">
        <f t="shared" si="124"/>
        <v>0</v>
      </c>
      <c r="S107" s="268">
        <f t="shared" si="124"/>
        <v>0</v>
      </c>
      <c r="T107" s="268">
        <f t="shared" si="124"/>
        <v>0</v>
      </c>
      <c r="U107" s="268">
        <f t="shared" si="124"/>
        <v>0</v>
      </c>
      <c r="V107" s="268">
        <f t="shared" si="124"/>
        <v>-0.87695749440715887</v>
      </c>
      <c r="W107" s="268">
        <f t="shared" si="124"/>
        <v>0</v>
      </c>
      <c r="X107" s="268">
        <f t="shared" si="124"/>
        <v>-0.73382285452042217</v>
      </c>
      <c r="Y107" s="268">
        <f t="shared" si="124"/>
        <v>-0.36587820835430296</v>
      </c>
      <c r="Z107" s="268">
        <f t="shared" si="124"/>
        <v>-0.79881974248927035</v>
      </c>
      <c r="AA107" s="268">
        <f t="shared" si="124"/>
        <v>0</v>
      </c>
      <c r="AB107" s="269">
        <f t="shared" si="124"/>
        <v>7.6926424148991715E-2</v>
      </c>
    </row>
    <row r="108" spans="2:28" x14ac:dyDescent="0.25">
      <c r="B108" s="223" t="s">
        <v>465</v>
      </c>
      <c r="C108" s="268">
        <f t="shared" ref="C108:AB108" si="125">IF(C18&gt;0,C79/C18,"")</f>
        <v>-0.53293191603875134</v>
      </c>
      <c r="D108" s="268">
        <f t="shared" si="125"/>
        <v>-0.94514536478332423</v>
      </c>
      <c r="E108" s="268">
        <f t="shared" si="125"/>
        <v>-0.39347234814143245</v>
      </c>
      <c r="F108" s="268">
        <f t="shared" si="125"/>
        <v>0</v>
      </c>
      <c r="G108" s="268">
        <f t="shared" si="125"/>
        <v>-0.2921948794432016</v>
      </c>
      <c r="H108" s="268">
        <f t="shared" si="125"/>
        <v>0.37786561264822133</v>
      </c>
      <c r="I108" s="268">
        <f t="shared" si="125"/>
        <v>-0.47126436781609193</v>
      </c>
      <c r="J108" s="268">
        <f t="shared" si="125"/>
        <v>-0.82244556113902845</v>
      </c>
      <c r="K108" s="268">
        <f t="shared" si="125"/>
        <v>-0.90633363068688666</v>
      </c>
      <c r="L108" s="268">
        <f t="shared" si="125"/>
        <v>-0.7560777957860616</v>
      </c>
      <c r="M108" s="268">
        <f t="shared" si="125"/>
        <v>-0.1988241582041689</v>
      </c>
      <c r="N108" s="268">
        <f t="shared" si="125"/>
        <v>0.61605975723622786</v>
      </c>
      <c r="O108" s="267">
        <f t="shared" si="125"/>
        <v>0.37384455415551132</v>
      </c>
      <c r="P108" s="268">
        <f t="shared" si="125"/>
        <v>0.21416871416871416</v>
      </c>
      <c r="Q108" s="268">
        <f t="shared" si="125"/>
        <v>0</v>
      </c>
      <c r="R108" s="268">
        <f t="shared" si="125"/>
        <v>0</v>
      </c>
      <c r="S108" s="268">
        <f t="shared" si="125"/>
        <v>-0.96852517985611508</v>
      </c>
      <c r="T108" s="268">
        <f t="shared" si="125"/>
        <v>0</v>
      </c>
      <c r="U108" s="268">
        <f t="shared" si="125"/>
        <v>0</v>
      </c>
      <c r="V108" s="268">
        <f t="shared" si="125"/>
        <v>-0.95040577096483314</v>
      </c>
      <c r="W108" s="268">
        <f t="shared" si="125"/>
        <v>0</v>
      </c>
      <c r="X108" s="268">
        <f t="shared" si="125"/>
        <v>-0.86805937328202309</v>
      </c>
      <c r="Y108" s="268">
        <f t="shared" si="125"/>
        <v>0</v>
      </c>
      <c r="Z108" s="268">
        <f t="shared" si="125"/>
        <v>0</v>
      </c>
      <c r="AA108" s="268">
        <f t="shared" si="125"/>
        <v>-0.56253928346951598</v>
      </c>
      <c r="AB108" s="269">
        <f t="shared" si="125"/>
        <v>8.1310850719253119E-2</v>
      </c>
    </row>
    <row r="109" spans="2:28" x14ac:dyDescent="0.25">
      <c r="B109" s="223" t="s">
        <v>466</v>
      </c>
      <c r="C109" s="268">
        <f t="shared" ref="C109:AB109" si="126">IF(C19&gt;0,C80/C19,"")</f>
        <v>-0.43268247120046255</v>
      </c>
      <c r="D109" s="268">
        <f t="shared" si="126"/>
        <v>-0.9610562310030395</v>
      </c>
      <c r="E109" s="268">
        <f t="shared" si="126"/>
        <v>-0.78887627695800222</v>
      </c>
      <c r="F109" s="268">
        <f t="shared" si="126"/>
        <v>0</v>
      </c>
      <c r="G109" s="268">
        <f t="shared" si="126"/>
        <v>0</v>
      </c>
      <c r="H109" s="268">
        <f t="shared" si="126"/>
        <v>0.21892597170718309</v>
      </c>
      <c r="I109" s="268">
        <f t="shared" si="126"/>
        <v>0.24363536819052833</v>
      </c>
      <c r="J109" s="268">
        <f t="shared" si="126"/>
        <v>-0.31210246580116757</v>
      </c>
      <c r="K109" s="268">
        <f t="shared" si="126"/>
        <v>0</v>
      </c>
      <c r="L109" s="268">
        <f t="shared" si="126"/>
        <v>-0.93859322664681799</v>
      </c>
      <c r="M109" s="268">
        <f t="shared" si="126"/>
        <v>-0.6987604496973191</v>
      </c>
      <c r="N109" s="268">
        <f t="shared" si="126"/>
        <v>0.61496122091568672</v>
      </c>
      <c r="O109" s="268">
        <f t="shared" si="126"/>
        <v>0</v>
      </c>
      <c r="P109" s="267">
        <f t="shared" si="126"/>
        <v>0.43147716586941415</v>
      </c>
      <c r="Q109" s="268">
        <f t="shared" si="126"/>
        <v>0</v>
      </c>
      <c r="R109" s="268" t="str">
        <f t="shared" si="126"/>
        <v/>
      </c>
      <c r="S109" s="268">
        <f t="shared" si="126"/>
        <v>0</v>
      </c>
      <c r="T109" s="268">
        <f t="shared" si="126"/>
        <v>0</v>
      </c>
      <c r="U109" s="268">
        <f t="shared" si="126"/>
        <v>0</v>
      </c>
      <c r="V109" s="268">
        <f t="shared" si="126"/>
        <v>0</v>
      </c>
      <c r="W109" s="268">
        <f t="shared" si="126"/>
        <v>0</v>
      </c>
      <c r="X109" s="268">
        <f t="shared" si="126"/>
        <v>0</v>
      </c>
      <c r="Y109" s="268">
        <f t="shared" si="126"/>
        <v>0</v>
      </c>
      <c r="Z109" s="268">
        <f t="shared" si="126"/>
        <v>0</v>
      </c>
      <c r="AA109" s="268">
        <f t="shared" si="126"/>
        <v>0</v>
      </c>
      <c r="AB109" s="269">
        <f t="shared" si="126"/>
        <v>1.6671200633966907E-2</v>
      </c>
    </row>
    <row r="110" spans="2:28" x14ac:dyDescent="0.25">
      <c r="B110" s="223" t="s">
        <v>467</v>
      </c>
      <c r="C110" s="268">
        <f t="shared" ref="C110:AB110" si="127">IF(C20&gt;0,C81/C20,"")</f>
        <v>-0.24938583095411992</v>
      </c>
      <c r="D110" s="268">
        <f t="shared" si="127"/>
        <v>-0.91021873979758405</v>
      </c>
      <c r="E110" s="268">
        <f t="shared" si="127"/>
        <v>-0.86512068149550403</v>
      </c>
      <c r="F110" s="268">
        <f t="shared" si="127"/>
        <v>0</v>
      </c>
      <c r="G110" s="268">
        <f t="shared" si="127"/>
        <v>-0.88182773109243695</v>
      </c>
      <c r="H110" s="268">
        <f t="shared" si="127"/>
        <v>0</v>
      </c>
      <c r="I110" s="268">
        <f t="shared" si="127"/>
        <v>0.5095936794582393</v>
      </c>
      <c r="J110" s="268">
        <f t="shared" si="127"/>
        <v>0</v>
      </c>
      <c r="K110" s="268">
        <f t="shared" si="127"/>
        <v>0</v>
      </c>
      <c r="L110" s="268">
        <f t="shared" si="127"/>
        <v>-1</v>
      </c>
      <c r="M110" s="268">
        <f t="shared" si="127"/>
        <v>-0.99507389162561577</v>
      </c>
      <c r="N110" s="268">
        <f t="shared" si="127"/>
        <v>0</v>
      </c>
      <c r="O110" s="268">
        <f t="shared" si="127"/>
        <v>-0.88376452943382078</v>
      </c>
      <c r="P110" s="268">
        <f t="shared" si="127"/>
        <v>0.27734918426710509</v>
      </c>
      <c r="Q110" s="267">
        <f t="shared" si="127"/>
        <v>0.61469463925593715</v>
      </c>
      <c r="R110" s="268" t="str">
        <f t="shared" si="127"/>
        <v/>
      </c>
      <c r="S110" s="268">
        <f t="shared" si="127"/>
        <v>0</v>
      </c>
      <c r="T110" s="268">
        <f t="shared" si="127"/>
        <v>1.1666666666666667</v>
      </c>
      <c r="U110" s="268">
        <f t="shared" si="127"/>
        <v>0</v>
      </c>
      <c r="V110" s="268">
        <f t="shared" si="127"/>
        <v>0</v>
      </c>
      <c r="W110" s="268">
        <f t="shared" si="127"/>
        <v>0</v>
      </c>
      <c r="X110" s="268">
        <f t="shared" si="127"/>
        <v>0</v>
      </c>
      <c r="Y110" s="268">
        <f t="shared" si="127"/>
        <v>0</v>
      </c>
      <c r="Z110" s="268">
        <f t="shared" si="127"/>
        <v>0</v>
      </c>
      <c r="AA110" s="268">
        <f t="shared" si="127"/>
        <v>0</v>
      </c>
      <c r="AB110" s="269">
        <f t="shared" si="127"/>
        <v>0.14435350287440318</v>
      </c>
    </row>
    <row r="111" spans="2:28" x14ac:dyDescent="0.25">
      <c r="B111" s="223" t="s">
        <v>468</v>
      </c>
      <c r="C111" s="268">
        <f t="shared" ref="C111:AB111" si="128">IF(C21&gt;0,C82/C21,"")</f>
        <v>0</v>
      </c>
      <c r="D111" s="268">
        <f t="shared" si="128"/>
        <v>0</v>
      </c>
      <c r="E111" s="268">
        <f t="shared" si="128"/>
        <v>0</v>
      </c>
      <c r="F111" s="268">
        <f t="shared" si="128"/>
        <v>0</v>
      </c>
      <c r="G111" s="268">
        <f t="shared" si="128"/>
        <v>0</v>
      </c>
      <c r="H111" s="268">
        <f t="shared" si="128"/>
        <v>0</v>
      </c>
      <c r="I111" s="268">
        <f t="shared" si="128"/>
        <v>0</v>
      </c>
      <c r="J111" s="268">
        <f t="shared" si="128"/>
        <v>0</v>
      </c>
      <c r="K111" s="268">
        <f t="shared" si="128"/>
        <v>0</v>
      </c>
      <c r="L111" s="268">
        <f t="shared" si="128"/>
        <v>0</v>
      </c>
      <c r="M111" s="268">
        <f t="shared" si="128"/>
        <v>0</v>
      </c>
      <c r="N111" s="268">
        <f t="shared" si="128"/>
        <v>0</v>
      </c>
      <c r="O111" s="268">
        <f t="shared" si="128"/>
        <v>0</v>
      </c>
      <c r="P111" s="268">
        <f t="shared" si="128"/>
        <v>0</v>
      </c>
      <c r="Q111" s="268">
        <f t="shared" si="128"/>
        <v>0</v>
      </c>
      <c r="R111" s="267">
        <f t="shared" si="128"/>
        <v>0.16069178320130237</v>
      </c>
      <c r="S111" s="268">
        <f t="shared" si="128"/>
        <v>2.2051282051282053</v>
      </c>
      <c r="T111" s="268">
        <f t="shared" si="128"/>
        <v>0</v>
      </c>
      <c r="U111" s="268">
        <f t="shared" si="128"/>
        <v>0</v>
      </c>
      <c r="V111" s="268">
        <f t="shared" si="128"/>
        <v>0.56456706990048267</v>
      </c>
      <c r="W111" s="268">
        <f t="shared" si="128"/>
        <v>0.99256342957130361</v>
      </c>
      <c r="X111" s="268">
        <f t="shared" si="128"/>
        <v>0</v>
      </c>
      <c r="Y111" s="268">
        <f t="shared" si="128"/>
        <v>0</v>
      </c>
      <c r="Z111" s="268">
        <f t="shared" si="128"/>
        <v>0</v>
      </c>
      <c r="AA111" s="268">
        <f t="shared" si="128"/>
        <v>0</v>
      </c>
      <c r="AB111" s="269">
        <f t="shared" si="128"/>
        <v>0.23142946052222127</v>
      </c>
    </row>
    <row r="112" spans="2:28" x14ac:dyDescent="0.25">
      <c r="B112" s="223" t="s">
        <v>469</v>
      </c>
      <c r="C112" s="268">
        <f t="shared" ref="C112:AB112" si="129">IF(C22&gt;0,C83/C22,"")</f>
        <v>-0.87878787878787878</v>
      </c>
      <c r="D112" s="268">
        <f t="shared" si="129"/>
        <v>0</v>
      </c>
      <c r="E112" s="268">
        <f t="shared" si="129"/>
        <v>-0.92524916943521596</v>
      </c>
      <c r="F112" s="268">
        <f t="shared" si="129"/>
        <v>0</v>
      </c>
      <c r="G112" s="268">
        <f t="shared" si="129"/>
        <v>0</v>
      </c>
      <c r="H112" s="268">
        <f t="shared" si="129"/>
        <v>0</v>
      </c>
      <c r="I112" s="268">
        <f t="shared" si="129"/>
        <v>0</v>
      </c>
      <c r="J112" s="268">
        <f t="shared" si="129"/>
        <v>0</v>
      </c>
      <c r="K112" s="268">
        <f t="shared" si="129"/>
        <v>0</v>
      </c>
      <c r="L112" s="268">
        <f t="shared" si="129"/>
        <v>-0.80544747081712065</v>
      </c>
      <c r="M112" s="268">
        <f t="shared" si="129"/>
        <v>-0.41869158878504675</v>
      </c>
      <c r="N112" s="268">
        <f t="shared" si="129"/>
        <v>0</v>
      </c>
      <c r="O112" s="268">
        <f t="shared" si="129"/>
        <v>-0.24879393521709167</v>
      </c>
      <c r="P112" s="268">
        <f t="shared" si="129"/>
        <v>0</v>
      </c>
      <c r="Q112" s="268">
        <f t="shared" si="129"/>
        <v>0</v>
      </c>
      <c r="R112" s="268">
        <f t="shared" si="129"/>
        <v>0</v>
      </c>
      <c r="S112" s="267">
        <f t="shared" si="129"/>
        <v>8.8916808473417194E-2</v>
      </c>
      <c r="T112" s="268">
        <f t="shared" si="129"/>
        <v>0</v>
      </c>
      <c r="U112" s="268">
        <f t="shared" si="129"/>
        <v>0</v>
      </c>
      <c r="V112" s="268">
        <f t="shared" si="129"/>
        <v>0.39108302615411622</v>
      </c>
      <c r="W112" s="268">
        <f t="shared" si="129"/>
        <v>0</v>
      </c>
      <c r="X112" s="268">
        <f t="shared" si="129"/>
        <v>0.22531812198332601</v>
      </c>
      <c r="Y112" s="268">
        <f t="shared" si="129"/>
        <v>0.44363256784968685</v>
      </c>
      <c r="Z112" s="268">
        <f t="shared" si="129"/>
        <v>0</v>
      </c>
      <c r="AA112" s="268">
        <f t="shared" si="129"/>
        <v>0</v>
      </c>
      <c r="AB112" s="269">
        <f t="shared" si="129"/>
        <v>6.3218427465139129E-2</v>
      </c>
    </row>
    <row r="113" spans="2:28" x14ac:dyDescent="0.25">
      <c r="B113" s="223" t="s">
        <v>470</v>
      </c>
      <c r="C113" s="268">
        <f t="shared" ref="C113:AB113" si="130">IF(C23&gt;0,C84/C23,"")</f>
        <v>0</v>
      </c>
      <c r="D113" s="268">
        <f t="shared" si="130"/>
        <v>-0.90293809024134308</v>
      </c>
      <c r="E113" s="268">
        <f t="shared" si="130"/>
        <v>-0.80968858131487886</v>
      </c>
      <c r="F113" s="268">
        <f t="shared" si="130"/>
        <v>0</v>
      </c>
      <c r="G113" s="268">
        <f t="shared" si="130"/>
        <v>0</v>
      </c>
      <c r="H113" s="268">
        <f t="shared" si="130"/>
        <v>0</v>
      </c>
      <c r="I113" s="268">
        <f t="shared" si="130"/>
        <v>0</v>
      </c>
      <c r="J113" s="268">
        <f t="shared" si="130"/>
        <v>0.48879402347918888</v>
      </c>
      <c r="K113" s="268">
        <f t="shared" si="130"/>
        <v>0</v>
      </c>
      <c r="L113" s="268">
        <f t="shared" si="130"/>
        <v>0</v>
      </c>
      <c r="M113" s="268">
        <f t="shared" si="130"/>
        <v>0</v>
      </c>
      <c r="N113" s="268">
        <f t="shared" si="130"/>
        <v>0</v>
      </c>
      <c r="O113" s="268">
        <f t="shared" si="130"/>
        <v>0</v>
      </c>
      <c r="P113" s="268">
        <f t="shared" si="130"/>
        <v>0</v>
      </c>
      <c r="Q113" s="268">
        <f t="shared" si="130"/>
        <v>0.46808510638297873</v>
      </c>
      <c r="R113" s="268" t="str">
        <f t="shared" si="130"/>
        <v/>
      </c>
      <c r="S113" s="268">
        <f t="shared" si="130"/>
        <v>0</v>
      </c>
      <c r="T113" s="267">
        <f t="shared" si="130"/>
        <v>5.3433206177548979E-2</v>
      </c>
      <c r="U113" s="268">
        <f t="shared" si="130"/>
        <v>-0.18176013003599212</v>
      </c>
      <c r="V113" s="268">
        <f t="shared" si="130"/>
        <v>0</v>
      </c>
      <c r="W113" s="268">
        <f t="shared" si="130"/>
        <v>0</v>
      </c>
      <c r="X113" s="268">
        <f t="shared" si="130"/>
        <v>0</v>
      </c>
      <c r="Y113" s="268">
        <f t="shared" si="130"/>
        <v>0</v>
      </c>
      <c r="Z113" s="268">
        <f t="shared" si="130"/>
        <v>0</v>
      </c>
      <c r="AA113" s="268">
        <f t="shared" si="130"/>
        <v>0</v>
      </c>
      <c r="AB113" s="269">
        <f t="shared" si="130"/>
        <v>5.2073600018805496E-2</v>
      </c>
    </row>
    <row r="114" spans="2:28" x14ac:dyDescent="0.25">
      <c r="B114" s="223" t="s">
        <v>471</v>
      </c>
      <c r="C114" s="268">
        <f t="shared" ref="C114:AB114" si="131">IF(C24&gt;0,C85/C24,"")</f>
        <v>-0.79131886477462432</v>
      </c>
      <c r="D114" s="268">
        <f t="shared" si="131"/>
        <v>0</v>
      </c>
      <c r="E114" s="268">
        <f t="shared" si="131"/>
        <v>0</v>
      </c>
      <c r="F114" s="268">
        <f t="shared" si="131"/>
        <v>0</v>
      </c>
      <c r="G114" s="268">
        <f t="shared" si="131"/>
        <v>0</v>
      </c>
      <c r="H114" s="268">
        <f t="shared" si="131"/>
        <v>0</v>
      </c>
      <c r="I114" s="268">
        <f t="shared" si="131"/>
        <v>0</v>
      </c>
      <c r="J114" s="268">
        <f t="shared" si="131"/>
        <v>0</v>
      </c>
      <c r="K114" s="268">
        <f t="shared" si="131"/>
        <v>0</v>
      </c>
      <c r="L114" s="268">
        <f t="shared" si="131"/>
        <v>0</v>
      </c>
      <c r="M114" s="268">
        <f t="shared" si="131"/>
        <v>0</v>
      </c>
      <c r="N114" s="268">
        <f t="shared" si="131"/>
        <v>0</v>
      </c>
      <c r="O114" s="268">
        <f t="shared" si="131"/>
        <v>0</v>
      </c>
      <c r="P114" s="268">
        <f t="shared" si="131"/>
        <v>0</v>
      </c>
      <c r="Q114" s="268">
        <f t="shared" si="131"/>
        <v>0</v>
      </c>
      <c r="R114" s="268" t="str">
        <f t="shared" si="131"/>
        <v/>
      </c>
      <c r="S114" s="268">
        <f t="shared" si="131"/>
        <v>0</v>
      </c>
      <c r="T114" s="268">
        <f t="shared" si="131"/>
        <v>-0.14358788880851503</v>
      </c>
      <c r="U114" s="267">
        <f t="shared" si="131"/>
        <v>0.31800918803188916</v>
      </c>
      <c r="V114" s="268">
        <f t="shared" si="131"/>
        <v>0</v>
      </c>
      <c r="W114" s="268">
        <f t="shared" si="131"/>
        <v>0</v>
      </c>
      <c r="X114" s="268">
        <f t="shared" si="131"/>
        <v>0</v>
      </c>
      <c r="Y114" s="268">
        <f t="shared" si="131"/>
        <v>0</v>
      </c>
      <c r="Z114" s="268">
        <f t="shared" si="131"/>
        <v>0</v>
      </c>
      <c r="AA114" s="268">
        <f t="shared" si="131"/>
        <v>0</v>
      </c>
      <c r="AB114" s="269">
        <f t="shared" si="131"/>
        <v>0.14110663846626184</v>
      </c>
    </row>
    <row r="115" spans="2:28" x14ac:dyDescent="0.25">
      <c r="B115" s="223" t="s">
        <v>472</v>
      </c>
      <c r="C115" s="268">
        <f t="shared" ref="C115:AB115" si="132">IF(C25&gt;0,C86/C25,"")</f>
        <v>-0.79250334672021416</v>
      </c>
      <c r="D115" s="268">
        <f t="shared" si="132"/>
        <v>-0.63676563487049909</v>
      </c>
      <c r="E115" s="268">
        <f t="shared" si="132"/>
        <v>0</v>
      </c>
      <c r="F115" s="268">
        <f t="shared" si="132"/>
        <v>0</v>
      </c>
      <c r="G115" s="268">
        <f t="shared" si="132"/>
        <v>-0.73254504504504503</v>
      </c>
      <c r="H115" s="268">
        <f t="shared" si="132"/>
        <v>0</v>
      </c>
      <c r="I115" s="268">
        <f t="shared" si="132"/>
        <v>-0.98247151621384754</v>
      </c>
      <c r="J115" s="268">
        <f t="shared" si="132"/>
        <v>0</v>
      </c>
      <c r="K115" s="268">
        <f t="shared" si="132"/>
        <v>0.24775143090760426</v>
      </c>
      <c r="L115" s="268">
        <f t="shared" si="132"/>
        <v>0.34737728435102599</v>
      </c>
      <c r="M115" s="268">
        <f t="shared" si="132"/>
        <v>0.4396310327787844</v>
      </c>
      <c r="N115" s="268">
        <f t="shared" si="132"/>
        <v>0</v>
      </c>
      <c r="O115" s="268">
        <f t="shared" si="132"/>
        <v>-0.84644396551724133</v>
      </c>
      <c r="P115" s="268">
        <f t="shared" si="132"/>
        <v>0</v>
      </c>
      <c r="Q115" s="268">
        <f t="shared" si="132"/>
        <v>0</v>
      </c>
      <c r="R115" s="268">
        <f t="shared" si="132"/>
        <v>0</v>
      </c>
      <c r="S115" s="268">
        <f t="shared" si="132"/>
        <v>1.0123664980326026</v>
      </c>
      <c r="T115" s="268">
        <f t="shared" si="132"/>
        <v>0</v>
      </c>
      <c r="U115" s="268">
        <f t="shared" si="132"/>
        <v>0</v>
      </c>
      <c r="V115" s="267">
        <f t="shared" si="132"/>
        <v>0.12067075843928102</v>
      </c>
      <c r="W115" s="268">
        <f t="shared" si="132"/>
        <v>8.9452243881089452E-2</v>
      </c>
      <c r="X115" s="268">
        <f t="shared" si="132"/>
        <v>0.59115426105717372</v>
      </c>
      <c r="Y115" s="268">
        <f t="shared" si="132"/>
        <v>0</v>
      </c>
      <c r="Z115" s="268">
        <f t="shared" si="132"/>
        <v>0</v>
      </c>
      <c r="AA115" s="268">
        <f t="shared" si="132"/>
        <v>0</v>
      </c>
      <c r="AB115" s="269">
        <f t="shared" si="132"/>
        <v>9.0374023185062935E-2</v>
      </c>
    </row>
    <row r="116" spans="2:28" x14ac:dyDescent="0.25">
      <c r="B116" s="223" t="s">
        <v>473</v>
      </c>
      <c r="C116" s="268">
        <f t="shared" ref="C116:AB116" si="133">IF(C26&gt;0,C87/C26,"")</f>
        <v>-0.57590289225236024</v>
      </c>
      <c r="D116" s="268">
        <f t="shared" si="133"/>
        <v>0</v>
      </c>
      <c r="E116" s="268">
        <f t="shared" si="133"/>
        <v>0</v>
      </c>
      <c r="F116" s="268">
        <f t="shared" si="133"/>
        <v>0</v>
      </c>
      <c r="G116" s="268">
        <f t="shared" si="133"/>
        <v>0</v>
      </c>
      <c r="H116" s="268">
        <f t="shared" si="133"/>
        <v>0</v>
      </c>
      <c r="I116" s="268">
        <f t="shared" si="133"/>
        <v>0</v>
      </c>
      <c r="J116" s="268">
        <f t="shared" si="133"/>
        <v>0</v>
      </c>
      <c r="K116" s="268">
        <f t="shared" si="133"/>
        <v>0.79939036006858444</v>
      </c>
      <c r="L116" s="268">
        <f t="shared" si="133"/>
        <v>0</v>
      </c>
      <c r="M116" s="268">
        <f t="shared" si="133"/>
        <v>0</v>
      </c>
      <c r="N116" s="268">
        <f t="shared" si="133"/>
        <v>0</v>
      </c>
      <c r="O116" s="268">
        <f t="shared" si="133"/>
        <v>0</v>
      </c>
      <c r="P116" s="268">
        <f t="shared" si="133"/>
        <v>0</v>
      </c>
      <c r="Q116" s="268">
        <f t="shared" si="133"/>
        <v>0</v>
      </c>
      <c r="R116" s="268">
        <f t="shared" si="133"/>
        <v>0</v>
      </c>
      <c r="S116" s="268">
        <f t="shared" si="133"/>
        <v>0</v>
      </c>
      <c r="T116" s="268">
        <f t="shared" si="133"/>
        <v>0</v>
      </c>
      <c r="U116" s="268" t="str">
        <f t="shared" si="133"/>
        <v/>
      </c>
      <c r="V116" s="268">
        <f t="shared" si="133"/>
        <v>-0.29365747561916788</v>
      </c>
      <c r="W116" s="267">
        <f t="shared" si="133"/>
        <v>0.12183557700448734</v>
      </c>
      <c r="X116" s="268">
        <f t="shared" si="133"/>
        <v>0</v>
      </c>
      <c r="Y116" s="268">
        <f t="shared" si="133"/>
        <v>0</v>
      </c>
      <c r="Z116" s="268">
        <f t="shared" si="133"/>
        <v>0</v>
      </c>
      <c r="AA116" s="268">
        <f t="shared" si="133"/>
        <v>0</v>
      </c>
      <c r="AB116" s="269">
        <f t="shared" si="133"/>
        <v>-2.2189305578717101E-2</v>
      </c>
    </row>
    <row r="117" spans="2:28" x14ac:dyDescent="0.25">
      <c r="B117" s="223" t="s">
        <v>474</v>
      </c>
      <c r="C117" s="268">
        <f t="shared" ref="C117:AB117" si="134">IF(C27&gt;0,C88/C27,"")</f>
        <v>-0.75941812756434168</v>
      </c>
      <c r="D117" s="268">
        <f t="shared" si="134"/>
        <v>-0.75874125874125875</v>
      </c>
      <c r="E117" s="268">
        <f t="shared" si="134"/>
        <v>0</v>
      </c>
      <c r="F117" s="268">
        <f t="shared" si="134"/>
        <v>0</v>
      </c>
      <c r="G117" s="268">
        <f t="shared" si="134"/>
        <v>0</v>
      </c>
      <c r="H117" s="268">
        <f t="shared" si="134"/>
        <v>0</v>
      </c>
      <c r="I117" s="268">
        <f t="shared" si="134"/>
        <v>0</v>
      </c>
      <c r="J117" s="268">
        <f t="shared" si="134"/>
        <v>0</v>
      </c>
      <c r="K117" s="268">
        <f t="shared" si="134"/>
        <v>0</v>
      </c>
      <c r="L117" s="268">
        <f t="shared" si="134"/>
        <v>0</v>
      </c>
      <c r="M117" s="268">
        <f t="shared" si="134"/>
        <v>0.56633574007220222</v>
      </c>
      <c r="N117" s="268">
        <f t="shared" si="134"/>
        <v>0.40315676832530767</v>
      </c>
      <c r="O117" s="268">
        <f t="shared" si="134"/>
        <v>0</v>
      </c>
      <c r="P117" s="268">
        <f t="shared" si="134"/>
        <v>0</v>
      </c>
      <c r="Q117" s="268">
        <f t="shared" si="134"/>
        <v>0</v>
      </c>
      <c r="R117" s="268">
        <f t="shared" si="134"/>
        <v>0</v>
      </c>
      <c r="S117" s="268">
        <f t="shared" si="134"/>
        <v>0</v>
      </c>
      <c r="T117" s="268">
        <f t="shared" si="134"/>
        <v>0</v>
      </c>
      <c r="U117" s="268" t="str">
        <f t="shared" si="134"/>
        <v/>
      </c>
      <c r="V117" s="268">
        <f t="shared" si="134"/>
        <v>-0.25322349570200575</v>
      </c>
      <c r="W117" s="268">
        <f t="shared" si="134"/>
        <v>0</v>
      </c>
      <c r="X117" s="267">
        <f t="shared" si="134"/>
        <v>0.22557222255423415</v>
      </c>
      <c r="Y117" s="268">
        <f t="shared" si="134"/>
        <v>-0.23377893707205738</v>
      </c>
      <c r="Z117" s="268">
        <f t="shared" si="134"/>
        <v>-0.81528127623845503</v>
      </c>
      <c r="AA117" s="268">
        <f t="shared" si="134"/>
        <v>0</v>
      </c>
      <c r="AB117" s="269">
        <f t="shared" si="134"/>
        <v>7.5834255891190888E-2</v>
      </c>
    </row>
    <row r="118" spans="2:28" x14ac:dyDescent="0.25">
      <c r="B118" s="223" t="s">
        <v>475</v>
      </c>
      <c r="C118" s="268">
        <f t="shared" ref="C118:AB118" si="135">IF(C28&gt;0,C89/C28,"")</f>
        <v>-0.59545635711438816</v>
      </c>
      <c r="D118" s="268">
        <f t="shared" si="135"/>
        <v>0</v>
      </c>
      <c r="E118" s="268">
        <f t="shared" si="135"/>
        <v>0</v>
      </c>
      <c r="F118" s="268">
        <f t="shared" si="135"/>
        <v>0</v>
      </c>
      <c r="G118" s="268">
        <f t="shared" si="135"/>
        <v>0</v>
      </c>
      <c r="H118" s="268">
        <f t="shared" si="135"/>
        <v>0</v>
      </c>
      <c r="I118" s="268">
        <f t="shared" si="135"/>
        <v>0</v>
      </c>
      <c r="J118" s="268">
        <f t="shared" si="135"/>
        <v>0</v>
      </c>
      <c r="K118" s="268">
        <f t="shared" si="135"/>
        <v>0</v>
      </c>
      <c r="L118" s="268">
        <f t="shared" si="135"/>
        <v>-0.4963091619626574</v>
      </c>
      <c r="M118" s="268">
        <f t="shared" si="135"/>
        <v>0.51848591549295775</v>
      </c>
      <c r="N118" s="268">
        <f t="shared" si="135"/>
        <v>0.9036618754277892</v>
      </c>
      <c r="O118" s="268">
        <f t="shared" si="135"/>
        <v>0.20322394933793897</v>
      </c>
      <c r="P118" s="268">
        <f t="shared" si="135"/>
        <v>0</v>
      </c>
      <c r="Q118" s="268">
        <f t="shared" si="135"/>
        <v>0</v>
      </c>
      <c r="R118" s="268" t="str">
        <f t="shared" si="135"/>
        <v/>
      </c>
      <c r="S118" s="268">
        <f t="shared" si="135"/>
        <v>0</v>
      </c>
      <c r="T118" s="268">
        <f t="shared" si="135"/>
        <v>0</v>
      </c>
      <c r="U118" s="268" t="str">
        <f t="shared" si="135"/>
        <v/>
      </c>
      <c r="V118" s="268">
        <f t="shared" si="135"/>
        <v>0</v>
      </c>
      <c r="W118" s="268">
        <f t="shared" si="135"/>
        <v>0</v>
      </c>
      <c r="X118" s="268">
        <f t="shared" si="135"/>
        <v>0</v>
      </c>
      <c r="Y118" s="267">
        <f t="shared" si="135"/>
        <v>0.32320428994778683</v>
      </c>
      <c r="Z118" s="268">
        <f t="shared" si="135"/>
        <v>-0.24239106634552224</v>
      </c>
      <c r="AA118" s="268">
        <f t="shared" si="135"/>
        <v>0</v>
      </c>
      <c r="AB118" s="269">
        <f t="shared" si="135"/>
        <v>0.20315749498164457</v>
      </c>
    </row>
    <row r="119" spans="2:28" x14ac:dyDescent="0.25">
      <c r="B119" s="223" t="s">
        <v>476</v>
      </c>
      <c r="C119" s="268">
        <f t="shared" ref="C119:AB119" si="136">IF(C29&gt;0,C90/C29,"")</f>
        <v>-0.63843432109685982</v>
      </c>
      <c r="D119" s="268">
        <f t="shared" si="136"/>
        <v>0</v>
      </c>
      <c r="E119" s="268">
        <f t="shared" si="136"/>
        <v>0</v>
      </c>
      <c r="F119" s="268">
        <f t="shared" si="136"/>
        <v>0</v>
      </c>
      <c r="G119" s="268">
        <f t="shared" si="136"/>
        <v>0</v>
      </c>
      <c r="H119" s="268">
        <f t="shared" si="136"/>
        <v>0</v>
      </c>
      <c r="I119" s="268">
        <f t="shared" si="136"/>
        <v>0</v>
      </c>
      <c r="J119" s="268">
        <f t="shared" si="136"/>
        <v>0</v>
      </c>
      <c r="K119" s="268">
        <f t="shared" si="136"/>
        <v>0</v>
      </c>
      <c r="L119" s="268">
        <f t="shared" si="136"/>
        <v>-0.81811942347288946</v>
      </c>
      <c r="M119" s="268">
        <f t="shared" si="136"/>
        <v>0</v>
      </c>
      <c r="N119" s="268">
        <f t="shared" si="136"/>
        <v>0.40742041198501872</v>
      </c>
      <c r="O119" s="268">
        <f t="shared" si="136"/>
        <v>0.49863910548771517</v>
      </c>
      <c r="P119" s="268">
        <f t="shared" si="136"/>
        <v>0</v>
      </c>
      <c r="Q119" s="268">
        <f t="shared" si="136"/>
        <v>0</v>
      </c>
      <c r="R119" s="268">
        <f t="shared" si="136"/>
        <v>0</v>
      </c>
      <c r="S119" s="268">
        <f t="shared" si="136"/>
        <v>-0.48830969720199308</v>
      </c>
      <c r="T119" s="268">
        <f t="shared" si="136"/>
        <v>0</v>
      </c>
      <c r="U119" s="268">
        <f t="shared" si="136"/>
        <v>0</v>
      </c>
      <c r="V119" s="268">
        <f t="shared" si="136"/>
        <v>-0.93975903614457834</v>
      </c>
      <c r="W119" s="268">
        <f t="shared" si="136"/>
        <v>0</v>
      </c>
      <c r="X119" s="268">
        <f t="shared" si="136"/>
        <v>-0.69806366918280272</v>
      </c>
      <c r="Y119" s="268">
        <f t="shared" si="136"/>
        <v>-0.14047915370255135</v>
      </c>
      <c r="Z119" s="272">
        <f t="shared" si="136"/>
        <v>2.4042907342334011E-2</v>
      </c>
      <c r="AA119" s="273">
        <f t="shared" si="136"/>
        <v>-0.32695055730208633</v>
      </c>
      <c r="AB119" s="269">
        <f t="shared" si="136"/>
        <v>5.3190750642316507E-2</v>
      </c>
    </row>
    <row r="120" spans="2:28" x14ac:dyDescent="0.25">
      <c r="B120" s="223" t="s">
        <v>477</v>
      </c>
      <c r="C120" s="268">
        <f t="shared" ref="C120:AB120" si="137">IF(C30&gt;0,C91/C30,"")</f>
        <v>-0.53465194725544307</v>
      </c>
      <c r="D120" s="268">
        <f t="shared" si="137"/>
        <v>-0.96281714785651795</v>
      </c>
      <c r="E120" s="268">
        <f t="shared" si="137"/>
        <v>-0.74072740367302847</v>
      </c>
      <c r="F120" s="268">
        <f t="shared" si="137"/>
        <v>0</v>
      </c>
      <c r="G120" s="268">
        <f t="shared" si="137"/>
        <v>0</v>
      </c>
      <c r="H120" s="268">
        <f t="shared" si="137"/>
        <v>0</v>
      </c>
      <c r="I120" s="268">
        <f t="shared" si="137"/>
        <v>-0.20009551098376313</v>
      </c>
      <c r="J120" s="268">
        <f t="shared" si="137"/>
        <v>-0.55374178503285987</v>
      </c>
      <c r="K120" s="268">
        <f t="shared" si="137"/>
        <v>0</v>
      </c>
      <c r="L120" s="268">
        <f t="shared" si="137"/>
        <v>-0.91505427088249169</v>
      </c>
      <c r="M120" s="268">
        <f t="shared" si="137"/>
        <v>-0.61603805640502884</v>
      </c>
      <c r="N120" s="268">
        <f t="shared" si="137"/>
        <v>0.72358052131743789</v>
      </c>
      <c r="O120" s="268">
        <f t="shared" si="137"/>
        <v>0.23691186216037111</v>
      </c>
      <c r="P120" s="268">
        <f t="shared" si="137"/>
        <v>0.31754185692541859</v>
      </c>
      <c r="Q120" s="268">
        <f t="shared" si="137"/>
        <v>0</v>
      </c>
      <c r="R120" s="268">
        <f t="shared" si="137"/>
        <v>0</v>
      </c>
      <c r="S120" s="268">
        <f t="shared" si="137"/>
        <v>0</v>
      </c>
      <c r="T120" s="268">
        <f t="shared" si="137"/>
        <v>0</v>
      </c>
      <c r="U120" s="268">
        <f t="shared" si="137"/>
        <v>0</v>
      </c>
      <c r="V120" s="268">
        <f t="shared" si="137"/>
        <v>0</v>
      </c>
      <c r="W120" s="268">
        <f t="shared" si="137"/>
        <v>0</v>
      </c>
      <c r="X120" s="268">
        <f t="shared" si="137"/>
        <v>0</v>
      </c>
      <c r="Y120" s="268">
        <f t="shared" si="137"/>
        <v>0</v>
      </c>
      <c r="Z120" s="273">
        <f t="shared" si="137"/>
        <v>0</v>
      </c>
      <c r="AA120" s="272">
        <f t="shared" si="137"/>
        <v>0.15507848194972992</v>
      </c>
      <c r="AB120" s="269">
        <f t="shared" si="137"/>
        <v>5.918913702921106E-2</v>
      </c>
    </row>
    <row r="121" spans="2:28" x14ac:dyDescent="0.25">
      <c r="B121" s="229" t="s">
        <v>29</v>
      </c>
      <c r="C121" s="270">
        <f t="shared" ref="C121:AB121" si="138">IF(C31&gt;0,C92/C31,"")</f>
        <v>-2.2261440827528581E-2</v>
      </c>
      <c r="D121" s="270">
        <f t="shared" si="138"/>
        <v>-0.15073061784530331</v>
      </c>
      <c r="E121" s="270">
        <f t="shared" si="138"/>
        <v>8.5786114871398186E-2</v>
      </c>
      <c r="F121" s="270">
        <f t="shared" si="138"/>
        <v>0.22510809421582559</v>
      </c>
      <c r="G121" s="270">
        <f t="shared" si="138"/>
        <v>-1.9335183397683399E-2</v>
      </c>
      <c r="H121" s="270">
        <f t="shared" si="138"/>
        <v>0.20263069915165699</v>
      </c>
      <c r="I121" s="270">
        <f t="shared" si="138"/>
        <v>0.24078789434611569</v>
      </c>
      <c r="J121" s="270">
        <f t="shared" si="138"/>
        <v>-6.7273964437739669E-2</v>
      </c>
      <c r="K121" s="270">
        <f t="shared" si="138"/>
        <v>0.14086825320622728</v>
      </c>
      <c r="L121" s="270">
        <f t="shared" si="138"/>
        <v>-0.1280581370464304</v>
      </c>
      <c r="M121" s="270">
        <f t="shared" si="138"/>
        <v>0.16911932134100813</v>
      </c>
      <c r="N121" s="270">
        <f t="shared" si="138"/>
        <v>0.42483389646023717</v>
      </c>
      <c r="O121" s="270">
        <f t="shared" si="138"/>
        <v>9.9305781538127774E-2</v>
      </c>
      <c r="P121" s="270">
        <f t="shared" si="138"/>
        <v>0.18169020185393744</v>
      </c>
      <c r="Q121" s="270">
        <f t="shared" si="138"/>
        <v>0.24667009804536952</v>
      </c>
      <c r="R121" s="270">
        <f t="shared" si="138"/>
        <v>0.15218134551248558</v>
      </c>
      <c r="S121" s="270">
        <f t="shared" si="138"/>
        <v>8.4898753980906516E-2</v>
      </c>
      <c r="T121" s="270">
        <f t="shared" si="138"/>
        <v>6.9549489280780974E-2</v>
      </c>
      <c r="U121" s="270">
        <f t="shared" si="138"/>
        <v>0.23539209748102755</v>
      </c>
      <c r="V121" s="270">
        <f t="shared" si="138"/>
        <v>-2.0925430065425518E-2</v>
      </c>
      <c r="W121" s="270">
        <f t="shared" si="138"/>
        <v>0.10225988700564972</v>
      </c>
      <c r="X121" s="270">
        <f t="shared" si="138"/>
        <v>8.2397056148647702E-2</v>
      </c>
      <c r="Y121" s="270">
        <f t="shared" si="138"/>
        <v>7.2427900399010051E-2</v>
      </c>
      <c r="Z121" s="270">
        <f t="shared" si="138"/>
        <v>-3.6856603000432538E-2</v>
      </c>
      <c r="AA121" s="270">
        <f t="shared" si="138"/>
        <v>1.3474584815705706E-2</v>
      </c>
      <c r="AB121" s="271">
        <f t="shared" si="138"/>
        <v>6.0960703520367247E-2</v>
      </c>
    </row>
  </sheetData>
  <mergeCells count="22">
    <mergeCell ref="AE65:BB65"/>
    <mergeCell ref="BD65:BD66"/>
    <mergeCell ref="B65:B66"/>
    <mergeCell ref="C65:Z65"/>
    <mergeCell ref="AB65:AB66"/>
    <mergeCell ref="AD65:AD66"/>
    <mergeCell ref="AD4:AD5"/>
    <mergeCell ref="AE4:BB4"/>
    <mergeCell ref="BD4:BD5"/>
    <mergeCell ref="AD35:AD36"/>
    <mergeCell ref="AE35:BB35"/>
    <mergeCell ref="BD35:BD36"/>
    <mergeCell ref="A1:B1"/>
    <mergeCell ref="B94:B95"/>
    <mergeCell ref="C94:Z94"/>
    <mergeCell ref="AB94:AB95"/>
    <mergeCell ref="B4:B5"/>
    <mergeCell ref="C4:Z4"/>
    <mergeCell ref="AB4:AB5"/>
    <mergeCell ref="B35:B36"/>
    <mergeCell ref="C35:Z35"/>
    <mergeCell ref="AB35:AB36"/>
  </mergeCells>
  <conditionalFormatting sqref="AE67:BC91">
    <cfRule type="colorScale" priority="3">
      <colorScale>
        <cfvo type="min"/>
        <cfvo type="percentile" val="50"/>
        <cfvo type="max"/>
        <color rgb="FFF8696B"/>
        <color rgb="FFFFEB84"/>
        <color rgb="FF63BE7B"/>
      </colorScale>
    </cfRule>
  </conditionalFormatting>
  <conditionalFormatting sqref="AE37:BC61">
    <cfRule type="colorScale" priority="2">
      <colorScale>
        <cfvo type="min"/>
        <cfvo type="max"/>
        <color rgb="FFFCFCFF"/>
        <color rgb="FF63BE7B"/>
      </colorScale>
    </cfRule>
  </conditionalFormatting>
  <conditionalFormatting sqref="AE6:BC30">
    <cfRule type="colorScale" priority="1">
      <colorScale>
        <cfvo type="min"/>
        <cfvo type="max"/>
        <color rgb="FFFCFCFF"/>
        <color rgb="FF63BE7B"/>
      </colorScale>
    </cfRule>
  </conditionalFormatting>
  <hyperlinks>
    <hyperlink ref="A1" location="Index!A1" display="Index"/>
  </hyperlinks>
  <pageMargins left="0.7" right="0.7" top="0.75" bottom="0.75" header="0.3" footer="0.3"/>
  <pageSetup orientation="portrait" r:id="rId1"/>
  <drawing r:id="rId2"/>
  <legacyDrawing r:id="rId3"/>
  <controls>
    <mc:AlternateContent xmlns:mc="http://schemas.openxmlformats.org/markup-compatibility/2006">
      <mc:Choice Requires="x14">
        <control shapeId="14337" r:id="rId4" name="ComboBox1">
          <controlPr defaultSize="0" autoLine="0" linkedCell="D3" listFillRange="source" r:id="rId5">
            <anchor moveWithCells="1">
              <from>
                <xdr:col>3</xdr:col>
                <xdr:colOff>9525</xdr:colOff>
                <xdr:row>1</xdr:row>
                <xdr:rowOff>228600</xdr:rowOff>
              </from>
              <to>
                <xdr:col>4</xdr:col>
                <xdr:colOff>47625</xdr:colOff>
                <xdr:row>2</xdr:row>
                <xdr:rowOff>276225</xdr:rowOff>
              </to>
            </anchor>
          </controlPr>
        </control>
      </mc:Choice>
      <mc:Fallback>
        <control shapeId="14337" r:id="rId4" name="ComboBox1"/>
      </mc:Fallback>
    </mc:AlternateContent>
  </control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B81"/>
  <sheetViews>
    <sheetView workbookViewId="0">
      <selection activeCell="B56" sqref="B56"/>
    </sheetView>
  </sheetViews>
  <sheetFormatPr defaultRowHeight="15" x14ac:dyDescent="0.25"/>
  <sheetData>
    <row r="1" spans="1:26" x14ac:dyDescent="0.25">
      <c r="A1" t="s">
        <v>478</v>
      </c>
    </row>
    <row r="2" spans="1:26" x14ac:dyDescent="0.25">
      <c r="B2" t="s">
        <v>429</v>
      </c>
      <c r="C2" t="s">
        <v>430</v>
      </c>
      <c r="D2" t="s">
        <v>431</v>
      </c>
      <c r="E2" t="s">
        <v>432</v>
      </c>
      <c r="F2" t="s">
        <v>433</v>
      </c>
      <c r="G2" t="s">
        <v>434</v>
      </c>
      <c r="H2" t="s">
        <v>435</v>
      </c>
      <c r="I2" t="s">
        <v>436</v>
      </c>
      <c r="J2" t="s">
        <v>437</v>
      </c>
      <c r="K2" t="s">
        <v>438</v>
      </c>
      <c r="L2" t="s">
        <v>439</v>
      </c>
      <c r="M2" t="s">
        <v>440</v>
      </c>
      <c r="N2" t="s">
        <v>441</v>
      </c>
      <c r="O2" t="s">
        <v>442</v>
      </c>
      <c r="P2" t="s">
        <v>443</v>
      </c>
      <c r="Q2" t="s">
        <v>444</v>
      </c>
      <c r="R2" t="s">
        <v>445</v>
      </c>
      <c r="S2" t="s">
        <v>446</v>
      </c>
      <c r="T2" t="s">
        <v>447</v>
      </c>
      <c r="U2" t="s">
        <v>448</v>
      </c>
      <c r="V2" t="s">
        <v>449</v>
      </c>
      <c r="W2" t="s">
        <v>450</v>
      </c>
      <c r="X2" t="s">
        <v>451</v>
      </c>
      <c r="Y2" t="s">
        <v>452</v>
      </c>
      <c r="Z2" t="s">
        <v>453</v>
      </c>
    </row>
    <row r="3" spans="1:26" x14ac:dyDescent="0.25">
      <c r="A3">
        <v>1</v>
      </c>
      <c r="B3">
        <v>141775.75143</v>
      </c>
      <c r="C3">
        <v>8665.8315500000008</v>
      </c>
      <c r="D3">
        <v>6564.2337600000001</v>
      </c>
      <c r="E3">
        <v>1623.8534500000001</v>
      </c>
      <c r="F3">
        <v>5071.4169700000002</v>
      </c>
      <c r="G3">
        <v>3372.8537200000001</v>
      </c>
      <c r="H3">
        <v>2637.6067499999999</v>
      </c>
      <c r="I3">
        <v>6862.4659300000003</v>
      </c>
      <c r="J3">
        <v>304.80705999999998</v>
      </c>
      <c r="K3">
        <v>1078.4147599999999</v>
      </c>
      <c r="L3">
        <v>2384.55348</v>
      </c>
      <c r="M3">
        <v>3891.4321399999999</v>
      </c>
      <c r="N3">
        <v>3489.2725300000002</v>
      </c>
      <c r="O3">
        <v>0</v>
      </c>
      <c r="P3">
        <v>1222.97694</v>
      </c>
      <c r="Q3">
        <v>0</v>
      </c>
      <c r="R3">
        <v>0</v>
      </c>
      <c r="S3">
        <v>561.24841000000004</v>
      </c>
      <c r="T3">
        <v>58.180639999999997</v>
      </c>
      <c r="U3">
        <v>57.149360000000001</v>
      </c>
      <c r="V3">
        <v>2197.6058800000001</v>
      </c>
      <c r="W3">
        <v>0</v>
      </c>
      <c r="X3">
        <v>0</v>
      </c>
      <c r="Y3">
        <v>0</v>
      </c>
      <c r="Z3">
        <v>0</v>
      </c>
    </row>
    <row r="4" spans="1:26" x14ac:dyDescent="0.25">
      <c r="A4">
        <v>2</v>
      </c>
      <c r="B4">
        <v>146290.32728</v>
      </c>
      <c r="C4">
        <v>171096.29831000001</v>
      </c>
      <c r="D4">
        <v>20420.614549999998</v>
      </c>
      <c r="E4">
        <v>4223.8536999999997</v>
      </c>
      <c r="F4">
        <v>2442.6974799999998</v>
      </c>
      <c r="G4">
        <v>2053.5897399999999</v>
      </c>
      <c r="H4">
        <v>2597.4354600000001</v>
      </c>
      <c r="I4">
        <v>12243.460429999999</v>
      </c>
      <c r="J4">
        <v>28118.93535</v>
      </c>
      <c r="K4">
        <v>3143.67094</v>
      </c>
      <c r="L4">
        <v>3284.08142</v>
      </c>
      <c r="M4">
        <v>4865.7033499999998</v>
      </c>
      <c r="N4">
        <v>2641.7361299999998</v>
      </c>
      <c r="O4">
        <v>2695.0778300000002</v>
      </c>
      <c r="P4">
        <v>278.49356</v>
      </c>
      <c r="Q4">
        <v>0</v>
      </c>
      <c r="R4">
        <v>0</v>
      </c>
      <c r="S4">
        <v>216.66977</v>
      </c>
      <c r="T4">
        <v>0</v>
      </c>
      <c r="U4">
        <v>5871.9014299999999</v>
      </c>
      <c r="V4">
        <v>6976.2120299999997</v>
      </c>
      <c r="W4">
        <v>52.289619999999999</v>
      </c>
      <c r="X4">
        <v>0</v>
      </c>
      <c r="Y4">
        <v>325.29937999999999</v>
      </c>
      <c r="Z4">
        <v>52.289619999999999</v>
      </c>
    </row>
    <row r="5" spans="1:26" x14ac:dyDescent="0.25">
      <c r="A5">
        <v>3</v>
      </c>
      <c r="B5">
        <v>62728.804799999998</v>
      </c>
      <c r="C5">
        <v>20921.248159999999</v>
      </c>
      <c r="D5">
        <v>78061.247669999997</v>
      </c>
      <c r="E5">
        <v>8172.0591400000003</v>
      </c>
      <c r="F5">
        <v>5367.2052700000004</v>
      </c>
      <c r="G5">
        <v>1685.25126</v>
      </c>
      <c r="H5">
        <v>2995.2418499999999</v>
      </c>
      <c r="I5">
        <v>2612.7740600000002</v>
      </c>
      <c r="J5">
        <v>7274.7333900000003</v>
      </c>
      <c r="K5">
        <v>16972.87239</v>
      </c>
      <c r="L5">
        <v>8064.2715799999996</v>
      </c>
      <c r="M5">
        <v>5140.4125199999999</v>
      </c>
      <c r="N5">
        <v>2252.154</v>
      </c>
      <c r="O5">
        <v>1494.24134</v>
      </c>
      <c r="P5">
        <v>168.20352</v>
      </c>
      <c r="Q5">
        <v>0</v>
      </c>
      <c r="R5">
        <v>0</v>
      </c>
      <c r="S5">
        <v>0</v>
      </c>
      <c r="T5">
        <v>0</v>
      </c>
      <c r="U5">
        <v>6185.7256699999998</v>
      </c>
      <c r="V5">
        <v>1728.9119900000001</v>
      </c>
      <c r="W5">
        <v>287.97487000000001</v>
      </c>
      <c r="X5">
        <v>928.16704000000004</v>
      </c>
      <c r="Y5">
        <v>182.81926000000001</v>
      </c>
      <c r="Z5">
        <v>182.81926000000001</v>
      </c>
    </row>
    <row r="6" spans="1:26" x14ac:dyDescent="0.25">
      <c r="A6">
        <v>4</v>
      </c>
      <c r="B6">
        <v>23028.084480000001</v>
      </c>
      <c r="C6">
        <v>5841.0793700000004</v>
      </c>
      <c r="D6">
        <v>10186.633760000001</v>
      </c>
      <c r="E6">
        <v>29203.59779</v>
      </c>
      <c r="F6">
        <v>9332.7150999999994</v>
      </c>
      <c r="G6">
        <v>1107.43379</v>
      </c>
      <c r="H6">
        <v>1736.23541</v>
      </c>
      <c r="I6">
        <v>1273.55313</v>
      </c>
      <c r="J6">
        <v>98.316800000000001</v>
      </c>
      <c r="K6">
        <v>1409.4248</v>
      </c>
      <c r="L6">
        <v>7160.0081</v>
      </c>
      <c r="M6">
        <v>1648.1849099999999</v>
      </c>
      <c r="N6">
        <v>1410.25342</v>
      </c>
      <c r="O6">
        <v>0</v>
      </c>
      <c r="P6">
        <v>0</v>
      </c>
      <c r="Q6">
        <v>0</v>
      </c>
      <c r="R6">
        <v>0</v>
      </c>
      <c r="S6">
        <v>0</v>
      </c>
      <c r="T6">
        <v>0</v>
      </c>
      <c r="U6">
        <v>2740.0340200000001</v>
      </c>
      <c r="V6">
        <v>0</v>
      </c>
      <c r="W6">
        <v>481.39607000000001</v>
      </c>
      <c r="X6">
        <v>0</v>
      </c>
      <c r="Y6">
        <v>9275.8083800000004</v>
      </c>
      <c r="Z6">
        <v>0</v>
      </c>
    </row>
    <row r="7" spans="1:26" x14ac:dyDescent="0.25">
      <c r="A7">
        <v>5</v>
      </c>
      <c r="B7">
        <v>47596.249210000002</v>
      </c>
      <c r="C7">
        <v>4862.5777600000001</v>
      </c>
      <c r="D7">
        <v>6407.0901899999999</v>
      </c>
      <c r="E7">
        <v>15739.32194</v>
      </c>
      <c r="F7">
        <v>68169.924849999996</v>
      </c>
      <c r="G7">
        <v>8353.5024699999994</v>
      </c>
      <c r="H7">
        <v>3456.0358999999999</v>
      </c>
      <c r="I7">
        <v>3007.0177100000001</v>
      </c>
      <c r="J7">
        <v>1062.94803</v>
      </c>
      <c r="K7">
        <v>821.90876000000003</v>
      </c>
      <c r="L7">
        <v>5072.9963900000002</v>
      </c>
      <c r="M7">
        <v>6025.08403</v>
      </c>
      <c r="N7">
        <v>8207.6421300000002</v>
      </c>
      <c r="O7">
        <v>1090.2156199999999</v>
      </c>
      <c r="P7">
        <v>0</v>
      </c>
      <c r="Q7">
        <v>0</v>
      </c>
      <c r="R7">
        <v>0</v>
      </c>
      <c r="S7">
        <v>0</v>
      </c>
      <c r="T7">
        <v>0</v>
      </c>
      <c r="U7">
        <v>442.50040000000001</v>
      </c>
      <c r="V7">
        <v>0</v>
      </c>
      <c r="W7">
        <v>177.0444</v>
      </c>
      <c r="X7">
        <v>64.845560000000006</v>
      </c>
      <c r="Y7">
        <v>0</v>
      </c>
      <c r="Z7">
        <v>64.845560000000006</v>
      </c>
    </row>
    <row r="8" spans="1:26" x14ac:dyDescent="0.25">
      <c r="A8">
        <v>6</v>
      </c>
      <c r="B8">
        <v>40986.392509999998</v>
      </c>
      <c r="C8">
        <v>14174.660529999999</v>
      </c>
      <c r="D8">
        <v>4327.55782</v>
      </c>
      <c r="E8">
        <v>4807.24179</v>
      </c>
      <c r="F8">
        <v>15755.19333</v>
      </c>
      <c r="G8">
        <v>47505.058360000003</v>
      </c>
      <c r="H8">
        <v>9892.4749100000008</v>
      </c>
      <c r="I8">
        <v>6753.1355800000001</v>
      </c>
      <c r="J8">
        <v>205.47314</v>
      </c>
      <c r="K8">
        <v>1367.9559400000001</v>
      </c>
      <c r="L8">
        <v>6040.3453900000004</v>
      </c>
      <c r="M8">
        <v>4049.3041600000001</v>
      </c>
      <c r="N8">
        <v>14086.22885</v>
      </c>
      <c r="O8">
        <v>6707.3399799999997</v>
      </c>
      <c r="P8">
        <v>0</v>
      </c>
      <c r="Q8">
        <v>0</v>
      </c>
      <c r="R8">
        <v>0</v>
      </c>
      <c r="S8">
        <v>0</v>
      </c>
      <c r="T8">
        <v>0</v>
      </c>
      <c r="U8">
        <v>786.16880000000003</v>
      </c>
      <c r="V8">
        <v>0</v>
      </c>
      <c r="W8">
        <v>194.23652999999999</v>
      </c>
      <c r="X8">
        <v>0</v>
      </c>
      <c r="Y8">
        <v>0</v>
      </c>
      <c r="Z8">
        <v>1179.2757099999999</v>
      </c>
    </row>
    <row r="9" spans="1:26" x14ac:dyDescent="0.25">
      <c r="A9">
        <v>7</v>
      </c>
      <c r="B9">
        <v>41172.970569999998</v>
      </c>
      <c r="C9">
        <v>3336.41563</v>
      </c>
      <c r="D9">
        <v>11611.1981</v>
      </c>
      <c r="E9">
        <v>725.95609999999999</v>
      </c>
      <c r="F9">
        <v>9310.3865000000005</v>
      </c>
      <c r="G9">
        <v>9223.2879900000007</v>
      </c>
      <c r="H9">
        <v>60716.15943</v>
      </c>
      <c r="I9">
        <v>16679.913779999999</v>
      </c>
      <c r="J9">
        <v>789.88940000000002</v>
      </c>
      <c r="K9">
        <v>853.53390000000002</v>
      </c>
      <c r="L9">
        <v>3321.3642599999998</v>
      </c>
      <c r="M9">
        <v>1583.9913200000001</v>
      </c>
      <c r="N9">
        <v>4739.59746</v>
      </c>
      <c r="O9">
        <v>12855.68303</v>
      </c>
      <c r="P9">
        <v>2260.30188</v>
      </c>
      <c r="Q9">
        <v>0</v>
      </c>
      <c r="R9">
        <v>0</v>
      </c>
      <c r="S9">
        <v>285.85570999999999</v>
      </c>
      <c r="T9">
        <v>0</v>
      </c>
      <c r="U9">
        <v>68.564959999999999</v>
      </c>
      <c r="V9">
        <v>0</v>
      </c>
      <c r="W9">
        <v>0</v>
      </c>
      <c r="X9">
        <v>0</v>
      </c>
      <c r="Y9">
        <v>0</v>
      </c>
      <c r="Z9">
        <v>2459.2177900000002</v>
      </c>
    </row>
    <row r="10" spans="1:26" x14ac:dyDescent="0.25">
      <c r="A10">
        <v>8</v>
      </c>
      <c r="B10">
        <v>108754.42074</v>
      </c>
      <c r="C10">
        <v>14853.178309999999</v>
      </c>
      <c r="D10">
        <v>3788.9563699999999</v>
      </c>
      <c r="E10">
        <v>1651.26845</v>
      </c>
      <c r="F10">
        <v>14379.846729999999</v>
      </c>
      <c r="G10">
        <v>7085.8641900000002</v>
      </c>
      <c r="H10">
        <v>27749.260610000001</v>
      </c>
      <c r="I10">
        <v>194651.66516999999</v>
      </c>
      <c r="J10">
        <v>1353.49396</v>
      </c>
      <c r="K10">
        <v>3198.83725</v>
      </c>
      <c r="L10">
        <v>3365.9747699999998</v>
      </c>
      <c r="M10">
        <v>1962.9582700000001</v>
      </c>
      <c r="N10">
        <v>5331.26062</v>
      </c>
      <c r="O10">
        <v>11203.14522</v>
      </c>
      <c r="P10">
        <v>7249.4938199999997</v>
      </c>
      <c r="Q10">
        <v>0</v>
      </c>
      <c r="R10">
        <v>0</v>
      </c>
      <c r="S10">
        <v>6900.0820800000001</v>
      </c>
      <c r="T10">
        <v>305.72534000000002</v>
      </c>
      <c r="U10">
        <v>1007.83156</v>
      </c>
      <c r="V10">
        <v>1158.54636</v>
      </c>
      <c r="W10">
        <v>0</v>
      </c>
      <c r="X10">
        <v>68.564959999999999</v>
      </c>
      <c r="Y10">
        <v>0</v>
      </c>
      <c r="Z10">
        <v>2677.2192500000001</v>
      </c>
    </row>
    <row r="11" spans="1:26" x14ac:dyDescent="0.25">
      <c r="A11">
        <v>9</v>
      </c>
      <c r="B11">
        <v>14605.429469999999</v>
      </c>
      <c r="C11">
        <v>11181.19659</v>
      </c>
      <c r="D11">
        <v>2802.4102600000001</v>
      </c>
      <c r="E11">
        <v>684.27919999999995</v>
      </c>
      <c r="F11">
        <v>205.65724</v>
      </c>
      <c r="G11">
        <v>494.53464000000002</v>
      </c>
      <c r="H11">
        <v>361.87961000000001</v>
      </c>
      <c r="I11">
        <v>3673.8701700000001</v>
      </c>
      <c r="J11">
        <v>30029.275809999999</v>
      </c>
      <c r="K11">
        <v>2326.4863099999998</v>
      </c>
      <c r="L11">
        <v>766.59373000000005</v>
      </c>
      <c r="M11">
        <v>744.63972000000001</v>
      </c>
      <c r="N11">
        <v>851.38847999999996</v>
      </c>
      <c r="O11">
        <v>0</v>
      </c>
      <c r="P11">
        <v>0</v>
      </c>
      <c r="Q11">
        <v>0</v>
      </c>
      <c r="R11">
        <v>0</v>
      </c>
      <c r="S11">
        <v>0</v>
      </c>
      <c r="T11">
        <v>0</v>
      </c>
      <c r="U11">
        <v>2856.53917</v>
      </c>
      <c r="V11">
        <v>4755.1088799999998</v>
      </c>
      <c r="W11">
        <v>0</v>
      </c>
      <c r="X11">
        <v>75.440439999999995</v>
      </c>
      <c r="Y11">
        <v>0</v>
      </c>
      <c r="Z11">
        <v>0</v>
      </c>
    </row>
    <row r="12" spans="1:26" x14ac:dyDescent="0.25">
      <c r="A12">
        <v>10</v>
      </c>
      <c r="B12">
        <v>13494.2495</v>
      </c>
      <c r="C12">
        <v>11859.301369999999</v>
      </c>
      <c r="D12">
        <v>12199.760060000001</v>
      </c>
      <c r="E12">
        <v>549.58552999999995</v>
      </c>
      <c r="F12">
        <v>2467.2003100000002</v>
      </c>
      <c r="G12">
        <v>546.40008999999998</v>
      </c>
      <c r="H12">
        <v>0</v>
      </c>
      <c r="I12">
        <v>522.05520999999999</v>
      </c>
      <c r="J12">
        <v>9397.4624399999993</v>
      </c>
      <c r="K12">
        <v>79981.869479999994</v>
      </c>
      <c r="L12">
        <v>21180.139739999999</v>
      </c>
      <c r="M12">
        <v>2667.9131000000002</v>
      </c>
      <c r="N12">
        <v>5734.8660099999997</v>
      </c>
      <c r="O12">
        <v>482.80747000000002</v>
      </c>
      <c r="P12">
        <v>0</v>
      </c>
      <c r="Q12">
        <v>0</v>
      </c>
      <c r="R12">
        <v>0</v>
      </c>
      <c r="S12">
        <v>0</v>
      </c>
      <c r="T12">
        <v>0</v>
      </c>
      <c r="U12">
        <v>19045.773580000001</v>
      </c>
      <c r="V12">
        <v>7365.4796100000003</v>
      </c>
      <c r="W12">
        <v>4721.6805700000004</v>
      </c>
      <c r="X12">
        <v>180.60498000000001</v>
      </c>
      <c r="Y12">
        <v>0</v>
      </c>
      <c r="Z12">
        <v>777.46573999999998</v>
      </c>
    </row>
    <row r="13" spans="1:26" x14ac:dyDescent="0.25">
      <c r="A13">
        <v>11</v>
      </c>
      <c r="B13">
        <v>14870.98408</v>
      </c>
      <c r="C13">
        <v>1780.86006</v>
      </c>
      <c r="D13">
        <v>12533.71161</v>
      </c>
      <c r="E13">
        <v>3933.0091000000002</v>
      </c>
      <c r="F13">
        <v>3095.8447000000001</v>
      </c>
      <c r="G13">
        <v>0</v>
      </c>
      <c r="H13">
        <v>1721.16329</v>
      </c>
      <c r="I13">
        <v>1495.9027000000001</v>
      </c>
      <c r="J13">
        <v>185.06073000000001</v>
      </c>
      <c r="K13">
        <v>24862.003939999999</v>
      </c>
      <c r="L13">
        <v>90133.618570000006</v>
      </c>
      <c r="M13">
        <v>15200.748</v>
      </c>
      <c r="N13">
        <v>6621.2478600000004</v>
      </c>
      <c r="O13">
        <v>2212.27495</v>
      </c>
      <c r="P13">
        <v>291.34730999999999</v>
      </c>
      <c r="Q13">
        <v>0</v>
      </c>
      <c r="R13">
        <v>0</v>
      </c>
      <c r="S13">
        <v>0</v>
      </c>
      <c r="T13">
        <v>0</v>
      </c>
      <c r="U13">
        <v>6902.9075599999996</v>
      </c>
      <c r="V13">
        <v>550.56203000000005</v>
      </c>
      <c r="W13">
        <v>20764.063719999998</v>
      </c>
      <c r="X13">
        <v>1068.55728</v>
      </c>
      <c r="Y13">
        <v>562.44266000000005</v>
      </c>
      <c r="Z13">
        <v>563.25436999999999</v>
      </c>
    </row>
    <row r="14" spans="1:26" x14ac:dyDescent="0.25">
      <c r="A14">
        <v>12</v>
      </c>
      <c r="B14">
        <v>15433.65179</v>
      </c>
      <c r="C14">
        <v>2981.37138</v>
      </c>
      <c r="D14">
        <v>8918.8605499999994</v>
      </c>
      <c r="E14">
        <v>1616.2724900000001</v>
      </c>
      <c r="F14">
        <v>4610.4079199999996</v>
      </c>
      <c r="G14">
        <v>5569.93552</v>
      </c>
      <c r="H14">
        <v>709.06838000000005</v>
      </c>
      <c r="I14">
        <v>285.40640999999999</v>
      </c>
      <c r="J14">
        <v>677.90282000000002</v>
      </c>
      <c r="K14">
        <v>1634.59997</v>
      </c>
      <c r="L14">
        <v>14863.700140000001</v>
      </c>
      <c r="M14">
        <v>79303.992629999993</v>
      </c>
      <c r="N14">
        <v>32308.04768</v>
      </c>
      <c r="O14">
        <v>1570.2086099999999</v>
      </c>
      <c r="P14">
        <v>0</v>
      </c>
      <c r="Q14">
        <v>0</v>
      </c>
      <c r="R14">
        <v>0</v>
      </c>
      <c r="S14">
        <v>0</v>
      </c>
      <c r="T14">
        <v>0</v>
      </c>
      <c r="U14">
        <v>1859.9375600000001</v>
      </c>
      <c r="V14">
        <v>1588.1266000000001</v>
      </c>
      <c r="W14">
        <v>142.28896</v>
      </c>
      <c r="X14">
        <v>1497.91084</v>
      </c>
      <c r="Y14">
        <v>1177.5151000000001</v>
      </c>
      <c r="Z14">
        <v>315.97507999999999</v>
      </c>
    </row>
    <row r="15" spans="1:26" x14ac:dyDescent="0.25">
      <c r="A15">
        <v>13</v>
      </c>
      <c r="B15">
        <v>42268.851900000001</v>
      </c>
      <c r="C15">
        <v>1618.3664000000001</v>
      </c>
      <c r="D15">
        <v>6753.6547</v>
      </c>
      <c r="E15">
        <v>1524.5756699999999</v>
      </c>
      <c r="F15">
        <v>10389.002780000001</v>
      </c>
      <c r="G15">
        <v>9001.1441300000006</v>
      </c>
      <c r="H15">
        <v>4347.3654500000002</v>
      </c>
      <c r="I15">
        <v>2549.8088600000001</v>
      </c>
      <c r="J15">
        <v>1436.0070800000001</v>
      </c>
      <c r="K15">
        <v>8566.9677699999993</v>
      </c>
      <c r="L15">
        <v>16467.99727</v>
      </c>
      <c r="M15">
        <v>32816.987079999999</v>
      </c>
      <c r="N15">
        <v>184234.90388</v>
      </c>
      <c r="O15">
        <v>16284.940570000001</v>
      </c>
      <c r="P15">
        <v>673.67903000000001</v>
      </c>
      <c r="Q15">
        <v>0</v>
      </c>
      <c r="R15">
        <v>0</v>
      </c>
      <c r="S15">
        <v>919.40067999999997</v>
      </c>
      <c r="T15">
        <v>96.208209999999994</v>
      </c>
      <c r="U15">
        <v>4454.5924000000005</v>
      </c>
      <c r="V15">
        <v>515.24000999999998</v>
      </c>
      <c r="W15">
        <v>1473.38608</v>
      </c>
      <c r="X15">
        <v>5523.6361200000001</v>
      </c>
      <c r="Y15">
        <v>14382.196970000001</v>
      </c>
      <c r="Z15">
        <v>14038.01132</v>
      </c>
    </row>
    <row r="16" spans="1:26" x14ac:dyDescent="0.25">
      <c r="A16">
        <v>14</v>
      </c>
      <c r="B16">
        <v>25745.497520000001</v>
      </c>
      <c r="C16">
        <v>4125.33698</v>
      </c>
      <c r="D16">
        <v>1863.09484</v>
      </c>
      <c r="E16">
        <v>1940.4149399999999</v>
      </c>
      <c r="F16">
        <v>5289.9660299999996</v>
      </c>
      <c r="G16">
        <v>6493.7477699999999</v>
      </c>
      <c r="H16">
        <v>19664.038710000001</v>
      </c>
      <c r="I16">
        <v>6678.3436000000002</v>
      </c>
      <c r="J16">
        <v>1130.48225</v>
      </c>
      <c r="K16">
        <v>1038.4793999999999</v>
      </c>
      <c r="L16">
        <v>4056.8877499999999</v>
      </c>
      <c r="M16">
        <v>3228.6939499999999</v>
      </c>
      <c r="N16">
        <v>7347.9674199999999</v>
      </c>
      <c r="O16">
        <v>73513.501600000003</v>
      </c>
      <c r="P16">
        <v>7898.1040199999998</v>
      </c>
      <c r="Q16">
        <v>0</v>
      </c>
      <c r="R16">
        <v>0</v>
      </c>
      <c r="S16">
        <v>570.69668000000001</v>
      </c>
      <c r="T16">
        <v>353.95841999999999</v>
      </c>
      <c r="U16">
        <v>965.95884999999998</v>
      </c>
      <c r="V16">
        <v>591.44054000000006</v>
      </c>
      <c r="W16">
        <v>0</v>
      </c>
      <c r="X16">
        <v>0</v>
      </c>
      <c r="Y16">
        <v>674.34402</v>
      </c>
      <c r="Z16">
        <v>7817.5962600000003</v>
      </c>
    </row>
    <row r="17" spans="1:28" x14ac:dyDescent="0.25">
      <c r="A17">
        <v>15</v>
      </c>
      <c r="B17">
        <v>11441.750819999999</v>
      </c>
      <c r="C17">
        <v>1420.13301</v>
      </c>
      <c r="D17">
        <v>353.95841000000001</v>
      </c>
      <c r="E17">
        <v>1265.22498</v>
      </c>
      <c r="F17">
        <v>829.51441999999997</v>
      </c>
      <c r="G17">
        <v>1885.3541600000001</v>
      </c>
      <c r="H17">
        <v>10698.21449</v>
      </c>
      <c r="I17">
        <v>10806.24134</v>
      </c>
      <c r="J17">
        <v>498.31531999999999</v>
      </c>
      <c r="K17">
        <v>0</v>
      </c>
      <c r="L17">
        <v>583.10325999999998</v>
      </c>
      <c r="M17">
        <v>935.18098999999995</v>
      </c>
      <c r="N17">
        <v>3924.2743599999999</v>
      </c>
      <c r="O17">
        <v>10339.97681</v>
      </c>
      <c r="P17">
        <v>62362.850559999999</v>
      </c>
      <c r="Q17">
        <v>0</v>
      </c>
      <c r="R17">
        <v>0</v>
      </c>
      <c r="S17">
        <v>2641.6876999999999</v>
      </c>
      <c r="T17">
        <v>0</v>
      </c>
      <c r="U17">
        <v>0</v>
      </c>
      <c r="V17">
        <v>0</v>
      </c>
      <c r="W17">
        <v>0</v>
      </c>
      <c r="X17">
        <v>0</v>
      </c>
      <c r="Y17">
        <v>709.69785999999999</v>
      </c>
      <c r="Z17">
        <v>2815.43307</v>
      </c>
    </row>
    <row r="18" spans="1:28" x14ac:dyDescent="0.25">
      <c r="A18">
        <v>16</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row>
    <row r="19" spans="1:28" x14ac:dyDescent="0.25">
      <c r="A19">
        <v>17</v>
      </c>
      <c r="B19">
        <v>0</v>
      </c>
      <c r="C19">
        <v>0</v>
      </c>
      <c r="D19">
        <v>0</v>
      </c>
      <c r="E19">
        <v>0</v>
      </c>
      <c r="F19">
        <v>0</v>
      </c>
      <c r="G19">
        <v>1.3415999999999999</v>
      </c>
      <c r="H19">
        <v>0</v>
      </c>
      <c r="I19">
        <v>0</v>
      </c>
      <c r="J19">
        <v>0</v>
      </c>
      <c r="K19">
        <v>0</v>
      </c>
      <c r="L19">
        <v>0</v>
      </c>
      <c r="M19">
        <v>0</v>
      </c>
      <c r="N19">
        <v>3817.4179399999998</v>
      </c>
      <c r="O19">
        <v>0</v>
      </c>
      <c r="P19">
        <v>0.16836000000000001</v>
      </c>
      <c r="Q19">
        <v>0</v>
      </c>
      <c r="R19">
        <v>308056.73177000001</v>
      </c>
      <c r="S19">
        <v>0</v>
      </c>
      <c r="T19">
        <v>0</v>
      </c>
      <c r="U19">
        <v>0</v>
      </c>
      <c r="V19">
        <v>0</v>
      </c>
      <c r="W19">
        <v>0</v>
      </c>
      <c r="X19">
        <v>912.44434999999999</v>
      </c>
      <c r="Y19">
        <v>0</v>
      </c>
      <c r="Z19">
        <v>41724.674919999998</v>
      </c>
    </row>
    <row r="20" spans="1:28" x14ac:dyDescent="0.25">
      <c r="A20">
        <v>18</v>
      </c>
      <c r="B20">
        <v>12546.4419</v>
      </c>
      <c r="C20">
        <v>954.85693000000003</v>
      </c>
      <c r="D20">
        <v>454.04700000000003</v>
      </c>
      <c r="E20">
        <v>277.55538000000001</v>
      </c>
      <c r="F20">
        <v>541.31167000000005</v>
      </c>
      <c r="G20">
        <v>595.39440999999999</v>
      </c>
      <c r="H20">
        <v>2266.5280200000002</v>
      </c>
      <c r="I20">
        <v>12336.38904</v>
      </c>
      <c r="J20">
        <v>0</v>
      </c>
      <c r="K20">
        <v>573.13153999999997</v>
      </c>
      <c r="L20">
        <v>368.18153999999998</v>
      </c>
      <c r="M20">
        <v>368.70863000000003</v>
      </c>
      <c r="N20">
        <v>658.90179000000001</v>
      </c>
      <c r="O20">
        <v>2262.3672200000001</v>
      </c>
      <c r="P20">
        <v>8115.7318699999996</v>
      </c>
      <c r="Q20">
        <v>0</v>
      </c>
      <c r="R20">
        <v>0</v>
      </c>
      <c r="S20">
        <v>129144.71816</v>
      </c>
      <c r="T20">
        <v>22037.737560000001</v>
      </c>
      <c r="U20">
        <v>0</v>
      </c>
      <c r="V20">
        <v>0</v>
      </c>
      <c r="W20">
        <v>0</v>
      </c>
      <c r="X20">
        <v>69.751320000000007</v>
      </c>
      <c r="Y20">
        <v>68.286749999999998</v>
      </c>
      <c r="Z20">
        <v>545.89742000000001</v>
      </c>
    </row>
    <row r="21" spans="1:28" x14ac:dyDescent="0.25">
      <c r="A21">
        <v>19</v>
      </c>
      <c r="B21">
        <v>4756.6884499999996</v>
      </c>
      <c r="C21">
        <v>346.52283</v>
      </c>
      <c r="D21">
        <v>402.10694000000001</v>
      </c>
      <c r="E21">
        <v>72.90164</v>
      </c>
      <c r="F21">
        <v>171.91886</v>
      </c>
      <c r="G21">
        <v>215.5496</v>
      </c>
      <c r="H21">
        <v>1640.77763</v>
      </c>
      <c r="I21">
        <v>2766.2772300000001</v>
      </c>
      <c r="J21">
        <v>0</v>
      </c>
      <c r="K21">
        <v>22.508510000000001</v>
      </c>
      <c r="L21">
        <v>330.15816000000001</v>
      </c>
      <c r="M21">
        <v>136.47935000000001</v>
      </c>
      <c r="N21">
        <v>370.60896000000002</v>
      </c>
      <c r="O21">
        <v>503.78160000000003</v>
      </c>
      <c r="P21">
        <v>2277.8185100000001</v>
      </c>
      <c r="Q21">
        <v>0</v>
      </c>
      <c r="R21">
        <v>30.00806</v>
      </c>
      <c r="S21">
        <v>39465.82043</v>
      </c>
      <c r="T21">
        <v>119167.29012000001</v>
      </c>
      <c r="U21">
        <v>61.131959999999999</v>
      </c>
      <c r="V21">
        <v>24.029579999999999</v>
      </c>
      <c r="W21">
        <v>0</v>
      </c>
      <c r="X21">
        <v>0</v>
      </c>
      <c r="Y21">
        <v>0</v>
      </c>
      <c r="Z21">
        <v>59.668329999999997</v>
      </c>
    </row>
    <row r="22" spans="1:28" x14ac:dyDescent="0.25">
      <c r="A22">
        <v>20</v>
      </c>
      <c r="B22">
        <v>20796.71286</v>
      </c>
      <c r="C22">
        <v>9593.9466400000001</v>
      </c>
      <c r="D22">
        <v>13885.70829</v>
      </c>
      <c r="E22">
        <v>822.88589000000002</v>
      </c>
      <c r="F22">
        <v>2137.5612500000002</v>
      </c>
      <c r="G22">
        <v>57.633000000000003</v>
      </c>
      <c r="H22">
        <v>478.05151000000001</v>
      </c>
      <c r="I22">
        <v>648.48649999999998</v>
      </c>
      <c r="J22">
        <v>13533.9972</v>
      </c>
      <c r="K22">
        <v>30292.464029999999</v>
      </c>
      <c r="L22">
        <v>15318.43405</v>
      </c>
      <c r="M22">
        <v>2374.1172799999999</v>
      </c>
      <c r="N22">
        <v>7694.0332200000003</v>
      </c>
      <c r="O22">
        <v>0</v>
      </c>
      <c r="P22">
        <v>217.97167999999999</v>
      </c>
      <c r="Q22">
        <v>0</v>
      </c>
      <c r="R22">
        <v>0</v>
      </c>
      <c r="S22">
        <v>0</v>
      </c>
      <c r="T22">
        <v>0</v>
      </c>
      <c r="U22">
        <v>288370.51681</v>
      </c>
      <c r="V22">
        <v>22284.621419999999</v>
      </c>
      <c r="W22">
        <v>8844.7898499999992</v>
      </c>
      <c r="X22">
        <v>742.50765000000001</v>
      </c>
      <c r="Y22">
        <v>868.58199999999999</v>
      </c>
      <c r="Z22">
        <v>210.99593999999999</v>
      </c>
    </row>
    <row r="23" spans="1:28" x14ac:dyDescent="0.25">
      <c r="A23">
        <v>21</v>
      </c>
      <c r="B23">
        <v>10628.02699</v>
      </c>
      <c r="C23">
        <v>3810.3730599999999</v>
      </c>
      <c r="D23">
        <v>635.45155999999997</v>
      </c>
      <c r="E23">
        <v>369.06468000000001</v>
      </c>
      <c r="F23">
        <v>1041.9447399999999</v>
      </c>
      <c r="G23">
        <v>217.97167999999999</v>
      </c>
      <c r="H23">
        <v>0</v>
      </c>
      <c r="I23">
        <v>0</v>
      </c>
      <c r="J23">
        <v>6618.4895900000001</v>
      </c>
      <c r="K23">
        <v>567.39584000000002</v>
      </c>
      <c r="L23">
        <v>1681.3317199999999</v>
      </c>
      <c r="M23">
        <v>0</v>
      </c>
      <c r="N23">
        <v>366.54090000000002</v>
      </c>
      <c r="O23">
        <v>152.93763999999999</v>
      </c>
      <c r="P23">
        <v>0</v>
      </c>
      <c r="Q23">
        <v>0</v>
      </c>
      <c r="R23">
        <v>0</v>
      </c>
      <c r="S23">
        <v>0</v>
      </c>
      <c r="T23">
        <v>0</v>
      </c>
      <c r="U23">
        <v>26906.46934</v>
      </c>
      <c r="V23">
        <v>71922.079370000007</v>
      </c>
      <c r="W23">
        <v>0</v>
      </c>
      <c r="X23">
        <v>0</v>
      </c>
      <c r="Y23">
        <v>0</v>
      </c>
      <c r="Z23">
        <v>0</v>
      </c>
    </row>
    <row r="24" spans="1:28" x14ac:dyDescent="0.25">
      <c r="A24">
        <v>22</v>
      </c>
      <c r="B24">
        <v>3029.8094999999998</v>
      </c>
      <c r="C24">
        <v>359.25195000000002</v>
      </c>
      <c r="D24">
        <v>2334.4536800000001</v>
      </c>
      <c r="E24">
        <v>94.183000000000007</v>
      </c>
      <c r="F24">
        <v>402.90512000000001</v>
      </c>
      <c r="G24">
        <v>997.54956000000004</v>
      </c>
      <c r="H24">
        <v>0</v>
      </c>
      <c r="I24">
        <v>0</v>
      </c>
      <c r="J24">
        <v>0</v>
      </c>
      <c r="K24">
        <v>7776.6177100000004</v>
      </c>
      <c r="L24">
        <v>17344.55471</v>
      </c>
      <c r="M24">
        <v>6848.1401699999997</v>
      </c>
      <c r="N24">
        <v>1439.60322</v>
      </c>
      <c r="O24">
        <v>20.368780000000001</v>
      </c>
      <c r="P24">
        <v>0</v>
      </c>
      <c r="Q24">
        <v>0</v>
      </c>
      <c r="R24">
        <v>0</v>
      </c>
      <c r="S24">
        <v>0</v>
      </c>
      <c r="T24">
        <v>0</v>
      </c>
      <c r="U24">
        <v>9301.6587899999995</v>
      </c>
      <c r="V24">
        <v>1044.6261199999999</v>
      </c>
      <c r="W24">
        <v>38467.676189999998</v>
      </c>
      <c r="X24">
        <v>5168.4202699999996</v>
      </c>
      <c r="Y24">
        <v>1404.6847399999999</v>
      </c>
      <c r="Z24">
        <v>0</v>
      </c>
    </row>
    <row r="25" spans="1:28" x14ac:dyDescent="0.25">
      <c r="A25">
        <v>23</v>
      </c>
      <c r="B25">
        <v>4444.0255200000001</v>
      </c>
      <c r="C25">
        <v>455.69385</v>
      </c>
      <c r="D25">
        <v>373.01064000000002</v>
      </c>
      <c r="E25">
        <v>0</v>
      </c>
      <c r="F25">
        <v>0</v>
      </c>
      <c r="G25">
        <v>0</v>
      </c>
      <c r="H25">
        <v>0</v>
      </c>
      <c r="I25">
        <v>0</v>
      </c>
      <c r="J25">
        <v>0</v>
      </c>
      <c r="K25">
        <v>1504.90939</v>
      </c>
      <c r="L25">
        <v>3118.9750199999999</v>
      </c>
      <c r="M25">
        <v>6213.0068300000003</v>
      </c>
      <c r="N25">
        <v>4245.5300500000003</v>
      </c>
      <c r="O25">
        <v>0</v>
      </c>
      <c r="P25">
        <v>0</v>
      </c>
      <c r="Q25">
        <v>0</v>
      </c>
      <c r="R25">
        <v>0</v>
      </c>
      <c r="S25">
        <v>0</v>
      </c>
      <c r="T25">
        <v>0</v>
      </c>
      <c r="U25">
        <v>0</v>
      </c>
      <c r="V25">
        <v>0</v>
      </c>
      <c r="W25">
        <v>4335.5119199999999</v>
      </c>
      <c r="X25">
        <v>24995.616249999999</v>
      </c>
      <c r="Y25">
        <v>5193.9411200000004</v>
      </c>
      <c r="Z25">
        <v>0</v>
      </c>
    </row>
    <row r="26" spans="1:28" x14ac:dyDescent="0.25">
      <c r="A26">
        <v>24</v>
      </c>
      <c r="B26">
        <v>8354.3006800000003</v>
      </c>
      <c r="C26">
        <v>971.36503000000005</v>
      </c>
      <c r="D26">
        <v>487.05946</v>
      </c>
      <c r="E26">
        <v>0</v>
      </c>
      <c r="F26">
        <v>1634.6279999999999</v>
      </c>
      <c r="G26">
        <v>98.054599999999994</v>
      </c>
      <c r="H26">
        <v>0</v>
      </c>
      <c r="I26">
        <v>2759.5756299999998</v>
      </c>
      <c r="J26">
        <v>0</v>
      </c>
      <c r="K26">
        <v>987.96006</v>
      </c>
      <c r="L26">
        <v>4170.4161199999999</v>
      </c>
      <c r="M26">
        <v>9750.3797300000006</v>
      </c>
      <c r="N26">
        <v>34030.821580000003</v>
      </c>
      <c r="O26">
        <v>192.23759999999999</v>
      </c>
      <c r="P26">
        <v>150.86544000000001</v>
      </c>
      <c r="Q26">
        <v>0</v>
      </c>
      <c r="R26">
        <v>1315.90499</v>
      </c>
      <c r="S26">
        <v>0</v>
      </c>
      <c r="T26">
        <v>0</v>
      </c>
      <c r="U26">
        <v>2176.8851300000001</v>
      </c>
      <c r="V26">
        <v>0</v>
      </c>
      <c r="W26">
        <v>367.9787</v>
      </c>
      <c r="X26">
        <v>8421.0659199999991</v>
      </c>
      <c r="Y26">
        <v>46163.201939999999</v>
      </c>
      <c r="Z26">
        <v>9896.2384600000005</v>
      </c>
    </row>
    <row r="27" spans="1:28" x14ac:dyDescent="0.25">
      <c r="A27">
        <v>25</v>
      </c>
      <c r="B27">
        <v>15804.812830000001</v>
      </c>
      <c r="C27">
        <v>0</v>
      </c>
      <c r="D27">
        <v>2122.74584</v>
      </c>
      <c r="E27">
        <v>595.97412999999995</v>
      </c>
      <c r="F27">
        <v>3851.2912999999999</v>
      </c>
      <c r="G27">
        <v>1857.5983000000001</v>
      </c>
      <c r="H27">
        <v>7472.1879399999998</v>
      </c>
      <c r="I27">
        <v>11061.622649999999</v>
      </c>
      <c r="J27">
        <v>3417.7009400000002</v>
      </c>
      <c r="K27">
        <v>1040.03152</v>
      </c>
      <c r="L27">
        <v>3903.2856299999999</v>
      </c>
      <c r="M27">
        <v>7035.4661800000003</v>
      </c>
      <c r="N27">
        <v>40080.549460000002</v>
      </c>
      <c r="O27">
        <v>16110.063120000001</v>
      </c>
      <c r="P27">
        <v>10388.260200000001</v>
      </c>
      <c r="Q27">
        <v>0</v>
      </c>
      <c r="R27">
        <v>1107.06405</v>
      </c>
      <c r="S27">
        <v>212.09422000000001</v>
      </c>
      <c r="T27">
        <v>0</v>
      </c>
      <c r="U27">
        <v>1825.55494</v>
      </c>
      <c r="V27">
        <v>0</v>
      </c>
      <c r="W27">
        <v>0</v>
      </c>
      <c r="X27">
        <v>0</v>
      </c>
      <c r="Y27">
        <v>1986.7538999999999</v>
      </c>
      <c r="Z27">
        <v>151897.59951</v>
      </c>
    </row>
    <row r="28" spans="1:28" x14ac:dyDescent="0.25">
      <c r="A28" t="s">
        <v>479</v>
      </c>
    </row>
    <row r="29" spans="1:28" x14ac:dyDescent="0.25">
      <c r="B29" t="s">
        <v>429</v>
      </c>
      <c r="C29" t="s">
        <v>430</v>
      </c>
      <c r="D29" t="s">
        <v>431</v>
      </c>
      <c r="E29" t="s">
        <v>432</v>
      </c>
      <c r="F29" t="s">
        <v>433</v>
      </c>
      <c r="G29" t="s">
        <v>434</v>
      </c>
      <c r="H29" t="s">
        <v>435</v>
      </c>
      <c r="I29" t="s">
        <v>436</v>
      </c>
      <c r="J29" t="s">
        <v>437</v>
      </c>
      <c r="K29" t="s">
        <v>438</v>
      </c>
      <c r="L29" t="s">
        <v>439</v>
      </c>
      <c r="M29" t="s">
        <v>440</v>
      </c>
      <c r="N29" t="s">
        <v>441</v>
      </c>
      <c r="O29" t="s">
        <v>442</v>
      </c>
      <c r="P29" t="s">
        <v>443</v>
      </c>
      <c r="Q29" t="s">
        <v>444</v>
      </c>
      <c r="R29" t="s">
        <v>445</v>
      </c>
      <c r="S29" t="s">
        <v>446</v>
      </c>
      <c r="T29" t="s">
        <v>447</v>
      </c>
      <c r="U29" t="s">
        <v>448</v>
      </c>
      <c r="V29" t="s">
        <v>449</v>
      </c>
      <c r="W29" t="s">
        <v>450</v>
      </c>
      <c r="X29" t="s">
        <v>451</v>
      </c>
      <c r="Y29" t="s">
        <v>452</v>
      </c>
      <c r="Z29" t="s">
        <v>453</v>
      </c>
    </row>
    <row r="30" spans="1:28" x14ac:dyDescent="0.25">
      <c r="A30">
        <v>1</v>
      </c>
      <c r="B30">
        <v>34929</v>
      </c>
      <c r="C30">
        <v>1249</v>
      </c>
      <c r="D30">
        <v>801</v>
      </c>
      <c r="E30">
        <v>409</v>
      </c>
      <c r="F30">
        <v>406</v>
      </c>
      <c r="G30">
        <v>566</v>
      </c>
      <c r="H30">
        <v>658</v>
      </c>
      <c r="I30">
        <v>425</v>
      </c>
      <c r="J30">
        <v>66</v>
      </c>
      <c r="K30">
        <v>30</v>
      </c>
      <c r="L30">
        <v>84</v>
      </c>
      <c r="M30">
        <v>129</v>
      </c>
      <c r="N30">
        <v>45</v>
      </c>
      <c r="O30">
        <v>22</v>
      </c>
      <c r="P30">
        <v>2</v>
      </c>
      <c r="Q30">
        <v>0</v>
      </c>
      <c r="R30">
        <v>0</v>
      </c>
      <c r="S30">
        <v>6</v>
      </c>
      <c r="T30">
        <v>0</v>
      </c>
      <c r="U30">
        <v>7</v>
      </c>
      <c r="V30">
        <v>25</v>
      </c>
      <c r="W30">
        <v>0</v>
      </c>
      <c r="X30">
        <v>0</v>
      </c>
      <c r="Y30">
        <v>0</v>
      </c>
      <c r="Z30">
        <v>2</v>
      </c>
      <c r="AB30">
        <v>5</v>
      </c>
    </row>
    <row r="31" spans="1:28" x14ac:dyDescent="0.25">
      <c r="A31">
        <v>2</v>
      </c>
      <c r="B31">
        <v>25135</v>
      </c>
      <c r="C31">
        <v>36238</v>
      </c>
      <c r="D31">
        <v>7077</v>
      </c>
      <c r="E31">
        <v>1047</v>
      </c>
      <c r="F31">
        <v>670</v>
      </c>
      <c r="G31">
        <v>285</v>
      </c>
      <c r="H31">
        <v>248</v>
      </c>
      <c r="I31">
        <v>360</v>
      </c>
      <c r="J31">
        <v>2707</v>
      </c>
      <c r="K31">
        <v>624</v>
      </c>
      <c r="L31">
        <v>721</v>
      </c>
      <c r="M31">
        <v>254</v>
      </c>
      <c r="N31">
        <v>49</v>
      </c>
      <c r="O31">
        <v>20</v>
      </c>
      <c r="P31">
        <v>2</v>
      </c>
      <c r="Q31">
        <v>0</v>
      </c>
      <c r="R31">
        <v>0</v>
      </c>
      <c r="S31">
        <v>7</v>
      </c>
      <c r="T31">
        <v>0</v>
      </c>
      <c r="U31">
        <v>205</v>
      </c>
      <c r="V31">
        <v>376</v>
      </c>
      <c r="W31">
        <v>4</v>
      </c>
      <c r="X31">
        <v>2</v>
      </c>
      <c r="Y31">
        <v>0</v>
      </c>
      <c r="Z31">
        <v>2</v>
      </c>
    </row>
    <row r="32" spans="1:28" x14ac:dyDescent="0.25">
      <c r="A32">
        <v>3</v>
      </c>
      <c r="B32">
        <v>10916</v>
      </c>
      <c r="C32">
        <v>5436</v>
      </c>
      <c r="D32">
        <v>19538</v>
      </c>
      <c r="E32">
        <v>2721</v>
      </c>
      <c r="F32">
        <v>1539</v>
      </c>
      <c r="G32">
        <v>417</v>
      </c>
      <c r="H32">
        <v>171</v>
      </c>
      <c r="I32">
        <v>151</v>
      </c>
      <c r="J32">
        <v>1494</v>
      </c>
      <c r="K32">
        <v>2124</v>
      </c>
      <c r="L32">
        <v>1801</v>
      </c>
      <c r="M32">
        <v>725</v>
      </c>
      <c r="N32">
        <v>152</v>
      </c>
      <c r="O32">
        <v>29</v>
      </c>
      <c r="P32">
        <v>0</v>
      </c>
      <c r="Q32">
        <v>0</v>
      </c>
      <c r="R32">
        <v>0</v>
      </c>
      <c r="S32">
        <v>1</v>
      </c>
      <c r="T32">
        <v>0</v>
      </c>
      <c r="U32">
        <v>346</v>
      </c>
      <c r="V32">
        <v>354</v>
      </c>
      <c r="W32">
        <v>12</v>
      </c>
      <c r="X32">
        <v>2</v>
      </c>
      <c r="Y32">
        <v>0</v>
      </c>
      <c r="Z32">
        <v>0</v>
      </c>
    </row>
    <row r="33" spans="1:26" x14ac:dyDescent="0.25">
      <c r="A33">
        <v>4</v>
      </c>
      <c r="B33">
        <v>5089</v>
      </c>
      <c r="C33">
        <v>1271</v>
      </c>
      <c r="D33">
        <v>4428</v>
      </c>
      <c r="E33">
        <v>5824</v>
      </c>
      <c r="F33">
        <v>2652</v>
      </c>
      <c r="G33">
        <v>680</v>
      </c>
      <c r="H33">
        <v>226</v>
      </c>
      <c r="I33">
        <v>86</v>
      </c>
      <c r="J33">
        <v>266</v>
      </c>
      <c r="K33">
        <v>244</v>
      </c>
      <c r="L33">
        <v>602</v>
      </c>
      <c r="M33">
        <v>916</v>
      </c>
      <c r="N33">
        <v>182</v>
      </c>
      <c r="O33">
        <v>51</v>
      </c>
      <c r="P33">
        <v>0</v>
      </c>
      <c r="Q33">
        <v>0</v>
      </c>
      <c r="R33">
        <v>0</v>
      </c>
      <c r="S33">
        <v>0</v>
      </c>
      <c r="T33">
        <v>0</v>
      </c>
      <c r="U33">
        <v>40</v>
      </c>
      <c r="V33">
        <v>61</v>
      </c>
      <c r="W33">
        <v>2</v>
      </c>
      <c r="X33">
        <v>2</v>
      </c>
      <c r="Y33">
        <v>0</v>
      </c>
      <c r="Z33">
        <v>0</v>
      </c>
    </row>
    <row r="34" spans="1:26" x14ac:dyDescent="0.25">
      <c r="A34">
        <v>5</v>
      </c>
      <c r="B34">
        <v>6573</v>
      </c>
      <c r="C34">
        <v>437</v>
      </c>
      <c r="D34">
        <v>2433</v>
      </c>
      <c r="E34">
        <v>1894</v>
      </c>
      <c r="F34">
        <v>9563</v>
      </c>
      <c r="G34">
        <v>2043</v>
      </c>
      <c r="H34">
        <v>561</v>
      </c>
      <c r="I34">
        <v>117</v>
      </c>
      <c r="J34">
        <v>134</v>
      </c>
      <c r="K34">
        <v>141</v>
      </c>
      <c r="L34">
        <v>557</v>
      </c>
      <c r="M34">
        <v>2004</v>
      </c>
      <c r="N34">
        <v>706</v>
      </c>
      <c r="O34">
        <v>122</v>
      </c>
      <c r="P34">
        <v>2</v>
      </c>
      <c r="Q34">
        <v>0</v>
      </c>
      <c r="R34">
        <v>0</v>
      </c>
      <c r="S34">
        <v>1</v>
      </c>
      <c r="T34">
        <v>0</v>
      </c>
      <c r="U34">
        <v>16</v>
      </c>
      <c r="V34">
        <v>30</v>
      </c>
      <c r="W34">
        <v>0</v>
      </c>
      <c r="X34">
        <v>3</v>
      </c>
      <c r="Y34">
        <v>0</v>
      </c>
      <c r="Z34">
        <v>5</v>
      </c>
    </row>
    <row r="35" spans="1:26" x14ac:dyDescent="0.25">
      <c r="A35">
        <v>6</v>
      </c>
      <c r="B35">
        <v>6356</v>
      </c>
      <c r="C35">
        <v>192</v>
      </c>
      <c r="D35">
        <v>867</v>
      </c>
      <c r="E35">
        <v>663</v>
      </c>
      <c r="F35">
        <v>3098</v>
      </c>
      <c r="G35">
        <v>8963</v>
      </c>
      <c r="H35">
        <v>1783</v>
      </c>
      <c r="I35">
        <v>204</v>
      </c>
      <c r="J35">
        <v>29</v>
      </c>
      <c r="K35">
        <v>77</v>
      </c>
      <c r="L35">
        <v>371</v>
      </c>
      <c r="M35">
        <v>1888</v>
      </c>
      <c r="N35">
        <v>1307</v>
      </c>
      <c r="O35">
        <v>567</v>
      </c>
      <c r="P35">
        <v>8</v>
      </c>
      <c r="Q35">
        <v>0</v>
      </c>
      <c r="R35">
        <v>0</v>
      </c>
      <c r="S35">
        <v>1</v>
      </c>
      <c r="T35">
        <v>0</v>
      </c>
      <c r="U35">
        <v>5</v>
      </c>
      <c r="V35">
        <v>4</v>
      </c>
      <c r="W35">
        <v>3</v>
      </c>
      <c r="X35">
        <v>1</v>
      </c>
      <c r="Y35">
        <v>5</v>
      </c>
      <c r="Z35">
        <v>10</v>
      </c>
    </row>
    <row r="36" spans="1:26" x14ac:dyDescent="0.25">
      <c r="A36">
        <v>7</v>
      </c>
      <c r="B36">
        <v>9121</v>
      </c>
      <c r="C36">
        <v>274</v>
      </c>
      <c r="D36">
        <v>441</v>
      </c>
      <c r="E36">
        <v>340</v>
      </c>
      <c r="F36">
        <v>1325</v>
      </c>
      <c r="G36">
        <v>2759</v>
      </c>
      <c r="H36">
        <v>16876</v>
      </c>
      <c r="I36">
        <v>2501</v>
      </c>
      <c r="J36">
        <v>48</v>
      </c>
      <c r="K36">
        <v>31</v>
      </c>
      <c r="L36">
        <v>145</v>
      </c>
      <c r="M36">
        <v>603</v>
      </c>
      <c r="N36">
        <v>560</v>
      </c>
      <c r="O36">
        <v>2651</v>
      </c>
      <c r="P36">
        <v>83</v>
      </c>
      <c r="Q36">
        <v>0</v>
      </c>
      <c r="R36">
        <v>1</v>
      </c>
      <c r="S36">
        <v>79</v>
      </c>
      <c r="T36">
        <v>0</v>
      </c>
      <c r="U36">
        <v>1</v>
      </c>
      <c r="V36">
        <v>9</v>
      </c>
      <c r="W36">
        <v>1</v>
      </c>
      <c r="X36">
        <v>0</v>
      </c>
      <c r="Y36">
        <v>1</v>
      </c>
      <c r="Z36">
        <v>49</v>
      </c>
    </row>
    <row r="37" spans="1:26" x14ac:dyDescent="0.25">
      <c r="A37">
        <v>8</v>
      </c>
      <c r="B37">
        <v>20437</v>
      </c>
      <c r="C37">
        <v>497</v>
      </c>
      <c r="D37">
        <v>966</v>
      </c>
      <c r="E37">
        <v>187</v>
      </c>
      <c r="F37">
        <v>553</v>
      </c>
      <c r="G37">
        <v>950</v>
      </c>
      <c r="H37">
        <v>6675</v>
      </c>
      <c r="I37">
        <v>21453</v>
      </c>
      <c r="J37">
        <v>52</v>
      </c>
      <c r="K37">
        <v>28</v>
      </c>
      <c r="L37">
        <v>79</v>
      </c>
      <c r="M37">
        <v>201</v>
      </c>
      <c r="N37">
        <v>248</v>
      </c>
      <c r="O37">
        <v>2610</v>
      </c>
      <c r="P37">
        <v>1433</v>
      </c>
      <c r="Q37">
        <v>0</v>
      </c>
      <c r="R37">
        <v>7</v>
      </c>
      <c r="S37">
        <v>1879</v>
      </c>
      <c r="T37">
        <v>20</v>
      </c>
      <c r="U37">
        <v>3</v>
      </c>
      <c r="V37">
        <v>11</v>
      </c>
      <c r="W37">
        <v>0</v>
      </c>
      <c r="X37">
        <v>0</v>
      </c>
      <c r="Y37">
        <v>0</v>
      </c>
      <c r="Z37">
        <v>119</v>
      </c>
    </row>
    <row r="38" spans="1:26" x14ac:dyDescent="0.25">
      <c r="A38">
        <v>9</v>
      </c>
      <c r="B38">
        <v>929</v>
      </c>
      <c r="C38">
        <v>1940</v>
      </c>
      <c r="D38">
        <v>1251</v>
      </c>
      <c r="E38">
        <v>70</v>
      </c>
      <c r="F38">
        <v>44</v>
      </c>
      <c r="G38">
        <v>8</v>
      </c>
      <c r="H38">
        <v>5</v>
      </c>
      <c r="I38">
        <v>14</v>
      </c>
      <c r="J38">
        <v>5812</v>
      </c>
      <c r="K38">
        <v>816</v>
      </c>
      <c r="L38">
        <v>224</v>
      </c>
      <c r="M38">
        <v>37</v>
      </c>
      <c r="N38">
        <v>8</v>
      </c>
      <c r="O38">
        <v>0</v>
      </c>
      <c r="P38">
        <v>1</v>
      </c>
      <c r="Q38">
        <v>0</v>
      </c>
      <c r="R38">
        <v>0</v>
      </c>
      <c r="S38">
        <v>1</v>
      </c>
      <c r="T38">
        <v>0</v>
      </c>
      <c r="U38">
        <v>453</v>
      </c>
      <c r="V38">
        <v>879</v>
      </c>
      <c r="W38">
        <v>2</v>
      </c>
      <c r="X38">
        <v>0</v>
      </c>
      <c r="Y38">
        <v>0</v>
      </c>
      <c r="Z38">
        <v>0</v>
      </c>
    </row>
    <row r="39" spans="1:26" x14ac:dyDescent="0.25">
      <c r="A39">
        <v>10</v>
      </c>
      <c r="B39">
        <v>617</v>
      </c>
      <c r="C39">
        <v>779</v>
      </c>
      <c r="D39">
        <v>4080</v>
      </c>
      <c r="E39">
        <v>241</v>
      </c>
      <c r="F39">
        <v>247</v>
      </c>
      <c r="G39">
        <v>45</v>
      </c>
      <c r="H39">
        <v>6</v>
      </c>
      <c r="I39">
        <v>6</v>
      </c>
      <c r="J39">
        <v>2624</v>
      </c>
      <c r="K39">
        <v>16916</v>
      </c>
      <c r="L39">
        <v>4523</v>
      </c>
      <c r="M39">
        <v>762</v>
      </c>
      <c r="N39">
        <v>176</v>
      </c>
      <c r="O39">
        <v>12</v>
      </c>
      <c r="P39">
        <v>0</v>
      </c>
      <c r="Q39">
        <v>1</v>
      </c>
      <c r="R39">
        <v>0</v>
      </c>
      <c r="S39">
        <v>0</v>
      </c>
      <c r="T39">
        <v>0</v>
      </c>
      <c r="U39">
        <v>2466</v>
      </c>
      <c r="V39">
        <v>1152</v>
      </c>
      <c r="W39">
        <v>142</v>
      </c>
      <c r="X39">
        <v>14</v>
      </c>
      <c r="Y39">
        <v>1</v>
      </c>
      <c r="Z39">
        <v>1</v>
      </c>
    </row>
    <row r="40" spans="1:26" x14ac:dyDescent="0.25">
      <c r="A40">
        <v>11</v>
      </c>
      <c r="B40">
        <v>962</v>
      </c>
      <c r="C40">
        <v>371</v>
      </c>
      <c r="D40">
        <v>2832</v>
      </c>
      <c r="E40">
        <v>641</v>
      </c>
      <c r="F40">
        <v>627</v>
      </c>
      <c r="G40">
        <v>187</v>
      </c>
      <c r="H40">
        <v>38</v>
      </c>
      <c r="I40">
        <v>15</v>
      </c>
      <c r="J40">
        <v>365</v>
      </c>
      <c r="K40">
        <v>4482</v>
      </c>
      <c r="L40">
        <v>19978</v>
      </c>
      <c r="M40">
        <v>5572</v>
      </c>
      <c r="N40">
        <v>1169</v>
      </c>
      <c r="O40">
        <v>42</v>
      </c>
      <c r="P40">
        <v>0</v>
      </c>
      <c r="Q40">
        <v>0</v>
      </c>
      <c r="R40">
        <v>2</v>
      </c>
      <c r="S40">
        <v>0</v>
      </c>
      <c r="T40">
        <v>0</v>
      </c>
      <c r="U40">
        <v>455</v>
      </c>
      <c r="V40">
        <v>123</v>
      </c>
      <c r="W40">
        <v>1162</v>
      </c>
      <c r="X40">
        <v>350</v>
      </c>
      <c r="Y40">
        <v>35</v>
      </c>
      <c r="Z40">
        <v>2</v>
      </c>
    </row>
    <row r="41" spans="1:26" x14ac:dyDescent="0.25">
      <c r="A41">
        <v>12</v>
      </c>
      <c r="B41">
        <v>1632</v>
      </c>
      <c r="C41">
        <v>78</v>
      </c>
      <c r="D41">
        <v>1028</v>
      </c>
      <c r="E41">
        <v>538</v>
      </c>
      <c r="F41">
        <v>1270</v>
      </c>
      <c r="G41">
        <v>461</v>
      </c>
      <c r="H41">
        <v>56</v>
      </c>
      <c r="I41">
        <v>30</v>
      </c>
      <c r="J41">
        <v>55</v>
      </c>
      <c r="K41">
        <v>650</v>
      </c>
      <c r="L41">
        <v>3997</v>
      </c>
      <c r="M41">
        <v>17752</v>
      </c>
      <c r="N41">
        <v>5075</v>
      </c>
      <c r="O41">
        <v>153</v>
      </c>
      <c r="P41">
        <v>0</v>
      </c>
      <c r="Q41">
        <v>0</v>
      </c>
      <c r="R41">
        <v>1</v>
      </c>
      <c r="S41">
        <v>0</v>
      </c>
      <c r="T41">
        <v>0</v>
      </c>
      <c r="U41">
        <v>66</v>
      </c>
      <c r="V41">
        <v>14</v>
      </c>
      <c r="W41">
        <v>116</v>
      </c>
      <c r="X41">
        <v>504</v>
      </c>
      <c r="Y41">
        <v>75</v>
      </c>
      <c r="Z41">
        <v>20</v>
      </c>
    </row>
    <row r="42" spans="1:26" x14ac:dyDescent="0.25">
      <c r="A42">
        <v>13</v>
      </c>
      <c r="B42">
        <v>2777</v>
      </c>
      <c r="C42">
        <v>40</v>
      </c>
      <c r="D42">
        <v>669</v>
      </c>
      <c r="E42">
        <v>302</v>
      </c>
      <c r="F42">
        <v>1139</v>
      </c>
      <c r="G42">
        <v>1743</v>
      </c>
      <c r="H42">
        <v>506</v>
      </c>
      <c r="I42">
        <v>106</v>
      </c>
      <c r="J42">
        <v>21</v>
      </c>
      <c r="K42">
        <v>301</v>
      </c>
      <c r="L42">
        <v>1499</v>
      </c>
      <c r="M42">
        <v>8654</v>
      </c>
      <c r="N42">
        <v>33560</v>
      </c>
      <c r="O42">
        <v>2372</v>
      </c>
      <c r="P42">
        <v>3</v>
      </c>
      <c r="Q42">
        <v>0</v>
      </c>
      <c r="R42">
        <v>7</v>
      </c>
      <c r="S42">
        <v>0</v>
      </c>
      <c r="T42">
        <v>0</v>
      </c>
      <c r="U42">
        <v>22</v>
      </c>
      <c r="V42">
        <v>11</v>
      </c>
      <c r="W42">
        <v>48</v>
      </c>
      <c r="X42">
        <v>531</v>
      </c>
      <c r="Y42">
        <v>1275</v>
      </c>
      <c r="Z42">
        <v>696</v>
      </c>
    </row>
    <row r="43" spans="1:26" x14ac:dyDescent="0.25">
      <c r="A43">
        <v>14</v>
      </c>
      <c r="B43">
        <v>2551</v>
      </c>
      <c r="C43">
        <v>41</v>
      </c>
      <c r="D43">
        <v>186</v>
      </c>
      <c r="E43">
        <v>188</v>
      </c>
      <c r="F43">
        <v>916</v>
      </c>
      <c r="G43">
        <v>1775</v>
      </c>
      <c r="H43">
        <v>4543</v>
      </c>
      <c r="I43">
        <v>1579</v>
      </c>
      <c r="J43">
        <v>7</v>
      </c>
      <c r="K43">
        <v>33</v>
      </c>
      <c r="L43">
        <v>209</v>
      </c>
      <c r="M43">
        <v>1291</v>
      </c>
      <c r="N43">
        <v>2390</v>
      </c>
      <c r="O43">
        <v>14005</v>
      </c>
      <c r="P43">
        <v>1218</v>
      </c>
      <c r="Q43">
        <v>0</v>
      </c>
      <c r="R43">
        <v>15</v>
      </c>
      <c r="S43">
        <v>169</v>
      </c>
      <c r="T43">
        <v>5</v>
      </c>
      <c r="U43">
        <v>3</v>
      </c>
      <c r="V43">
        <v>3</v>
      </c>
      <c r="W43">
        <v>0</v>
      </c>
      <c r="X43">
        <v>2</v>
      </c>
      <c r="Y43">
        <v>11</v>
      </c>
      <c r="Z43">
        <v>1943</v>
      </c>
    </row>
    <row r="44" spans="1:26" x14ac:dyDescent="0.25">
      <c r="A44">
        <v>15</v>
      </c>
      <c r="B44">
        <v>2261</v>
      </c>
      <c r="C44">
        <v>55</v>
      </c>
      <c r="D44">
        <v>57</v>
      </c>
      <c r="E44">
        <v>9</v>
      </c>
      <c r="F44">
        <v>45</v>
      </c>
      <c r="G44">
        <v>96</v>
      </c>
      <c r="H44">
        <v>1070</v>
      </c>
      <c r="I44">
        <v>2863</v>
      </c>
      <c r="J44">
        <v>2</v>
      </c>
      <c r="K44">
        <v>0</v>
      </c>
      <c r="L44">
        <v>1</v>
      </c>
      <c r="M44">
        <v>49</v>
      </c>
      <c r="N44">
        <v>62</v>
      </c>
      <c r="O44">
        <v>2020</v>
      </c>
      <c r="P44">
        <v>10729</v>
      </c>
      <c r="Q44">
        <v>0</v>
      </c>
      <c r="R44">
        <v>201</v>
      </c>
      <c r="S44">
        <v>2028</v>
      </c>
      <c r="T44">
        <v>177</v>
      </c>
      <c r="U44">
        <v>0</v>
      </c>
      <c r="V44">
        <v>0</v>
      </c>
      <c r="W44">
        <v>0</v>
      </c>
      <c r="X44">
        <v>0</v>
      </c>
      <c r="Y44">
        <v>0</v>
      </c>
      <c r="Z44">
        <v>1003</v>
      </c>
    </row>
    <row r="45" spans="1:26" x14ac:dyDescent="0.25">
      <c r="A45">
        <v>16</v>
      </c>
      <c r="B45">
        <v>30</v>
      </c>
      <c r="C45">
        <v>43</v>
      </c>
      <c r="D45">
        <v>51</v>
      </c>
      <c r="E45">
        <v>2</v>
      </c>
      <c r="F45">
        <v>0</v>
      </c>
      <c r="G45">
        <v>0</v>
      </c>
      <c r="H45">
        <v>0</v>
      </c>
      <c r="I45">
        <v>0</v>
      </c>
      <c r="J45">
        <v>200</v>
      </c>
      <c r="K45">
        <v>301</v>
      </c>
      <c r="L45">
        <v>91</v>
      </c>
      <c r="M45">
        <v>5</v>
      </c>
      <c r="N45">
        <v>0</v>
      </c>
      <c r="O45">
        <v>0</v>
      </c>
      <c r="P45">
        <v>0</v>
      </c>
      <c r="Q45">
        <v>34080</v>
      </c>
      <c r="R45">
        <v>300</v>
      </c>
      <c r="S45">
        <v>0</v>
      </c>
      <c r="T45">
        <v>0</v>
      </c>
      <c r="U45">
        <v>5251</v>
      </c>
      <c r="V45">
        <v>2733</v>
      </c>
      <c r="W45">
        <v>88</v>
      </c>
      <c r="X45">
        <v>1</v>
      </c>
      <c r="Y45">
        <v>0</v>
      </c>
      <c r="Z45">
        <v>0</v>
      </c>
    </row>
    <row r="46" spans="1:26" x14ac:dyDescent="0.25">
      <c r="A46">
        <v>17</v>
      </c>
      <c r="B46">
        <v>60</v>
      </c>
      <c r="C46">
        <v>2</v>
      </c>
      <c r="D46">
        <v>18</v>
      </c>
      <c r="E46">
        <v>7</v>
      </c>
      <c r="F46">
        <v>23</v>
      </c>
      <c r="G46">
        <v>20</v>
      </c>
      <c r="H46">
        <v>44</v>
      </c>
      <c r="I46">
        <v>70</v>
      </c>
      <c r="J46">
        <v>0</v>
      </c>
      <c r="K46">
        <v>100</v>
      </c>
      <c r="L46">
        <v>311</v>
      </c>
      <c r="M46">
        <v>475</v>
      </c>
      <c r="N46">
        <v>872</v>
      </c>
      <c r="O46">
        <v>282</v>
      </c>
      <c r="P46">
        <v>533</v>
      </c>
      <c r="Q46">
        <v>65</v>
      </c>
      <c r="R46">
        <v>54776</v>
      </c>
      <c r="S46">
        <v>72</v>
      </c>
      <c r="T46">
        <v>149</v>
      </c>
      <c r="U46">
        <v>1585</v>
      </c>
      <c r="V46">
        <v>5</v>
      </c>
      <c r="W46">
        <v>1117</v>
      </c>
      <c r="X46">
        <v>1383</v>
      </c>
      <c r="Y46">
        <v>1769</v>
      </c>
      <c r="Z46">
        <v>2161</v>
      </c>
    </row>
    <row r="47" spans="1:26" x14ac:dyDescent="0.25">
      <c r="A47">
        <v>18</v>
      </c>
      <c r="B47">
        <v>1853</v>
      </c>
      <c r="C47">
        <v>37</v>
      </c>
      <c r="D47">
        <v>66</v>
      </c>
      <c r="E47">
        <v>20</v>
      </c>
      <c r="F47">
        <v>41</v>
      </c>
      <c r="G47">
        <v>58</v>
      </c>
      <c r="H47">
        <v>581</v>
      </c>
      <c r="I47">
        <v>3348</v>
      </c>
      <c r="J47">
        <v>3</v>
      </c>
      <c r="K47">
        <v>1</v>
      </c>
      <c r="L47">
        <v>8</v>
      </c>
      <c r="M47">
        <v>7</v>
      </c>
      <c r="N47">
        <v>6</v>
      </c>
      <c r="O47">
        <v>480</v>
      </c>
      <c r="P47">
        <v>2415</v>
      </c>
      <c r="Q47">
        <v>0</v>
      </c>
      <c r="R47">
        <v>11</v>
      </c>
      <c r="S47">
        <v>22755</v>
      </c>
      <c r="T47">
        <v>2819</v>
      </c>
      <c r="U47">
        <v>0</v>
      </c>
      <c r="V47">
        <v>1</v>
      </c>
      <c r="W47">
        <v>0</v>
      </c>
      <c r="X47">
        <v>0</v>
      </c>
      <c r="Y47">
        <v>0</v>
      </c>
      <c r="Z47">
        <v>146</v>
      </c>
    </row>
    <row r="48" spans="1:26" x14ac:dyDescent="0.25">
      <c r="A48">
        <v>19</v>
      </c>
      <c r="B48">
        <v>175</v>
      </c>
      <c r="C48">
        <v>3</v>
      </c>
      <c r="D48">
        <v>1</v>
      </c>
      <c r="E48">
        <v>0</v>
      </c>
      <c r="F48">
        <v>2</v>
      </c>
      <c r="G48">
        <v>1</v>
      </c>
      <c r="H48">
        <v>46</v>
      </c>
      <c r="I48">
        <v>343</v>
      </c>
      <c r="J48">
        <v>0</v>
      </c>
      <c r="K48">
        <v>0</v>
      </c>
      <c r="L48">
        <v>0</v>
      </c>
      <c r="M48">
        <v>0</v>
      </c>
      <c r="N48">
        <v>1</v>
      </c>
      <c r="O48">
        <v>43</v>
      </c>
      <c r="P48">
        <v>566</v>
      </c>
      <c r="Q48">
        <v>0</v>
      </c>
      <c r="R48">
        <v>207</v>
      </c>
      <c r="S48">
        <v>6630</v>
      </c>
      <c r="T48">
        <v>24501</v>
      </c>
      <c r="U48">
        <v>0</v>
      </c>
      <c r="V48">
        <v>0</v>
      </c>
      <c r="W48">
        <v>0</v>
      </c>
      <c r="X48">
        <v>0</v>
      </c>
      <c r="Y48">
        <v>0</v>
      </c>
      <c r="Z48">
        <v>58</v>
      </c>
    </row>
    <row r="49" spans="1:26" x14ac:dyDescent="0.25">
      <c r="A49">
        <v>20</v>
      </c>
      <c r="B49">
        <v>589</v>
      </c>
      <c r="C49">
        <v>575</v>
      </c>
      <c r="D49">
        <v>2220</v>
      </c>
      <c r="E49">
        <v>93</v>
      </c>
      <c r="F49">
        <v>95</v>
      </c>
      <c r="G49">
        <v>19</v>
      </c>
      <c r="H49">
        <v>4</v>
      </c>
      <c r="I49">
        <v>3</v>
      </c>
      <c r="J49">
        <v>3052</v>
      </c>
      <c r="K49">
        <v>8641</v>
      </c>
      <c r="L49">
        <v>3496</v>
      </c>
      <c r="M49">
        <v>672</v>
      </c>
      <c r="N49">
        <v>114</v>
      </c>
      <c r="O49">
        <v>1</v>
      </c>
      <c r="P49">
        <v>0</v>
      </c>
      <c r="Q49">
        <v>937</v>
      </c>
      <c r="R49">
        <v>716</v>
      </c>
      <c r="S49">
        <v>0</v>
      </c>
      <c r="T49">
        <v>0</v>
      </c>
      <c r="U49">
        <v>44990</v>
      </c>
      <c r="V49">
        <v>6472</v>
      </c>
      <c r="W49">
        <v>2950</v>
      </c>
      <c r="X49">
        <v>250</v>
      </c>
      <c r="Y49">
        <v>19</v>
      </c>
      <c r="Z49">
        <v>0</v>
      </c>
    </row>
    <row r="50" spans="1:26" x14ac:dyDescent="0.25">
      <c r="A50">
        <v>21</v>
      </c>
      <c r="B50">
        <v>566</v>
      </c>
      <c r="C50">
        <v>496</v>
      </c>
      <c r="D50">
        <v>378</v>
      </c>
      <c r="E50">
        <v>22</v>
      </c>
      <c r="F50">
        <v>9</v>
      </c>
      <c r="G50">
        <v>3</v>
      </c>
      <c r="H50">
        <v>1</v>
      </c>
      <c r="I50">
        <v>5</v>
      </c>
      <c r="J50">
        <v>1889</v>
      </c>
      <c r="K50">
        <v>581</v>
      </c>
      <c r="L50">
        <v>83</v>
      </c>
      <c r="M50">
        <v>13</v>
      </c>
      <c r="N50">
        <v>7</v>
      </c>
      <c r="O50">
        <v>1</v>
      </c>
      <c r="P50">
        <v>0</v>
      </c>
      <c r="Q50">
        <v>489</v>
      </c>
      <c r="R50">
        <v>0</v>
      </c>
      <c r="S50">
        <v>0</v>
      </c>
      <c r="T50">
        <v>0</v>
      </c>
      <c r="U50">
        <v>4027</v>
      </c>
      <c r="V50">
        <v>10600</v>
      </c>
      <c r="W50">
        <v>3</v>
      </c>
      <c r="X50">
        <v>1</v>
      </c>
      <c r="Y50">
        <v>0</v>
      </c>
      <c r="Z50">
        <v>0</v>
      </c>
    </row>
    <row r="51" spans="1:26" x14ac:dyDescent="0.25">
      <c r="A51">
        <v>22</v>
      </c>
      <c r="B51">
        <v>129</v>
      </c>
      <c r="C51">
        <v>69</v>
      </c>
      <c r="D51">
        <v>593</v>
      </c>
      <c r="E51">
        <v>60</v>
      </c>
      <c r="F51">
        <v>100</v>
      </c>
      <c r="G51">
        <v>14</v>
      </c>
      <c r="H51">
        <v>1</v>
      </c>
      <c r="I51">
        <v>1</v>
      </c>
      <c r="J51">
        <v>149</v>
      </c>
      <c r="K51">
        <v>1989</v>
      </c>
      <c r="L51">
        <v>3471</v>
      </c>
      <c r="M51">
        <v>1049</v>
      </c>
      <c r="N51">
        <v>274</v>
      </c>
      <c r="O51">
        <v>2</v>
      </c>
      <c r="P51">
        <v>0</v>
      </c>
      <c r="Q51">
        <v>1</v>
      </c>
      <c r="R51">
        <v>104</v>
      </c>
      <c r="S51">
        <v>0</v>
      </c>
      <c r="T51">
        <v>0</v>
      </c>
      <c r="U51">
        <v>1251</v>
      </c>
      <c r="V51">
        <v>97</v>
      </c>
      <c r="W51">
        <v>8203</v>
      </c>
      <c r="X51">
        <v>940</v>
      </c>
      <c r="Y51">
        <v>88</v>
      </c>
      <c r="Z51">
        <v>1</v>
      </c>
    </row>
    <row r="52" spans="1:26" x14ac:dyDescent="0.25">
      <c r="A52">
        <v>23</v>
      </c>
      <c r="B52">
        <v>203</v>
      </c>
      <c r="C52">
        <v>9</v>
      </c>
      <c r="D52">
        <v>143</v>
      </c>
      <c r="E52">
        <v>55</v>
      </c>
      <c r="F52">
        <v>96</v>
      </c>
      <c r="G52">
        <v>20</v>
      </c>
      <c r="H52">
        <v>5</v>
      </c>
      <c r="I52">
        <v>3</v>
      </c>
      <c r="J52">
        <v>12</v>
      </c>
      <c r="K52">
        <v>232</v>
      </c>
      <c r="L52">
        <v>1035</v>
      </c>
      <c r="M52">
        <v>2225</v>
      </c>
      <c r="N52">
        <v>1254</v>
      </c>
      <c r="O52">
        <v>30</v>
      </c>
      <c r="P52">
        <v>0</v>
      </c>
      <c r="Q52">
        <v>0</v>
      </c>
      <c r="R52">
        <v>105</v>
      </c>
      <c r="S52">
        <v>0</v>
      </c>
      <c r="T52">
        <v>0</v>
      </c>
      <c r="U52">
        <v>59</v>
      </c>
      <c r="V52">
        <v>0</v>
      </c>
      <c r="W52">
        <v>929</v>
      </c>
      <c r="X52">
        <v>5626</v>
      </c>
      <c r="Y52">
        <v>692</v>
      </c>
      <c r="Z52">
        <v>5</v>
      </c>
    </row>
    <row r="53" spans="1:26" x14ac:dyDescent="0.25">
      <c r="A53">
        <v>24</v>
      </c>
      <c r="B53">
        <v>327</v>
      </c>
      <c r="C53">
        <v>3</v>
      </c>
      <c r="D53">
        <v>82</v>
      </c>
      <c r="E53">
        <v>45</v>
      </c>
      <c r="F53">
        <v>169</v>
      </c>
      <c r="G53">
        <v>153</v>
      </c>
      <c r="H53">
        <v>45</v>
      </c>
      <c r="I53">
        <v>6</v>
      </c>
      <c r="J53">
        <v>1</v>
      </c>
      <c r="K53">
        <v>53</v>
      </c>
      <c r="L53">
        <v>398</v>
      </c>
      <c r="M53">
        <v>2405</v>
      </c>
      <c r="N53">
        <v>8149</v>
      </c>
      <c r="O53">
        <v>363</v>
      </c>
      <c r="P53">
        <v>1</v>
      </c>
      <c r="Q53">
        <v>0</v>
      </c>
      <c r="R53">
        <v>267</v>
      </c>
      <c r="S53">
        <v>0</v>
      </c>
      <c r="T53">
        <v>0</v>
      </c>
      <c r="U53">
        <v>13</v>
      </c>
      <c r="V53">
        <v>2</v>
      </c>
      <c r="W53">
        <v>184</v>
      </c>
      <c r="X53">
        <v>2210</v>
      </c>
      <c r="Y53">
        <v>11074</v>
      </c>
      <c r="Z53">
        <v>471</v>
      </c>
    </row>
    <row r="54" spans="1:26" x14ac:dyDescent="0.25">
      <c r="A54">
        <v>25</v>
      </c>
      <c r="B54">
        <v>1214</v>
      </c>
      <c r="C54">
        <v>17</v>
      </c>
      <c r="D54">
        <v>144</v>
      </c>
      <c r="E54">
        <v>80</v>
      </c>
      <c r="F54">
        <v>481</v>
      </c>
      <c r="G54">
        <v>935</v>
      </c>
      <c r="H54">
        <v>1005</v>
      </c>
      <c r="I54">
        <v>421</v>
      </c>
      <c r="J54">
        <v>1</v>
      </c>
      <c r="K54">
        <v>36</v>
      </c>
      <c r="L54">
        <v>226</v>
      </c>
      <c r="M54">
        <v>1706</v>
      </c>
      <c r="N54">
        <v>7466</v>
      </c>
      <c r="O54">
        <v>5540</v>
      </c>
      <c r="P54">
        <v>991</v>
      </c>
      <c r="Q54">
        <v>0</v>
      </c>
      <c r="R54">
        <v>1039</v>
      </c>
      <c r="S54">
        <v>107</v>
      </c>
      <c r="T54">
        <v>9</v>
      </c>
      <c r="U54">
        <v>2</v>
      </c>
      <c r="V54">
        <v>1</v>
      </c>
      <c r="W54">
        <v>5</v>
      </c>
      <c r="X54">
        <v>127</v>
      </c>
      <c r="Y54">
        <v>586</v>
      </c>
      <c r="Z54">
        <v>19972</v>
      </c>
    </row>
    <row r="55" spans="1:26" x14ac:dyDescent="0.25">
      <c r="A55" t="s">
        <v>590</v>
      </c>
    </row>
    <row r="56" spans="1:26" x14ac:dyDescent="0.25">
      <c r="B56">
        <v>1</v>
      </c>
      <c r="C56" t="s">
        <v>456</v>
      </c>
      <c r="D56" t="s">
        <v>457</v>
      </c>
      <c r="E56" t="s">
        <v>49</v>
      </c>
      <c r="F56" t="s">
        <v>460</v>
      </c>
      <c r="G56" t="s">
        <v>47</v>
      </c>
      <c r="H56" t="s">
        <v>458</v>
      </c>
      <c r="I56" t="s">
        <v>459</v>
      </c>
      <c r="J56" t="s">
        <v>470</v>
      </c>
      <c r="K56" t="s">
        <v>461</v>
      </c>
      <c r="L56" t="s">
        <v>462</v>
      </c>
      <c r="M56" t="s">
        <v>467</v>
      </c>
      <c r="N56" t="s">
        <v>466</v>
      </c>
      <c r="O56" t="s">
        <v>464</v>
      </c>
      <c r="P56" t="s">
        <v>463</v>
      </c>
      <c r="Q56" t="s">
        <v>465</v>
      </c>
      <c r="R56" t="s">
        <v>473</v>
      </c>
      <c r="S56" t="s">
        <v>472</v>
      </c>
      <c r="T56" t="s">
        <v>477</v>
      </c>
      <c r="U56" t="s">
        <v>475</v>
      </c>
      <c r="V56" t="s">
        <v>474</v>
      </c>
      <c r="W56" t="s">
        <v>476</v>
      </c>
      <c r="X56" t="s">
        <v>469</v>
      </c>
      <c r="Y56" t="s">
        <v>471</v>
      </c>
      <c r="Z56" t="s">
        <v>468</v>
      </c>
    </row>
    <row r="57" spans="1:26" x14ac:dyDescent="0.25">
      <c r="A57">
        <v>1</v>
      </c>
      <c r="B57">
        <v>110153</v>
      </c>
      <c r="C57">
        <v>17573</v>
      </c>
      <c r="D57">
        <v>8045</v>
      </c>
      <c r="E57">
        <v>7293</v>
      </c>
      <c r="F57">
        <v>4513</v>
      </c>
      <c r="G57">
        <v>4299</v>
      </c>
      <c r="H57">
        <v>2211</v>
      </c>
      <c r="I57">
        <v>3575</v>
      </c>
      <c r="J57">
        <v>847</v>
      </c>
      <c r="K57">
        <v>3028</v>
      </c>
      <c r="L57">
        <v>3698</v>
      </c>
      <c r="M57">
        <v>598</v>
      </c>
      <c r="N57">
        <v>1715</v>
      </c>
      <c r="O57">
        <v>2140</v>
      </c>
      <c r="P57">
        <v>1978</v>
      </c>
      <c r="Q57">
        <v>4130</v>
      </c>
      <c r="R57">
        <v>1547</v>
      </c>
      <c r="S57">
        <v>2271</v>
      </c>
      <c r="T57">
        <v>906</v>
      </c>
      <c r="U57">
        <v>209</v>
      </c>
      <c r="V57">
        <v>159</v>
      </c>
      <c r="W57">
        <v>329</v>
      </c>
      <c r="X57">
        <v>333</v>
      </c>
      <c r="Y57">
        <v>94</v>
      </c>
      <c r="Z57">
        <v>25</v>
      </c>
    </row>
    <row r="58" spans="1:26" x14ac:dyDescent="0.25">
      <c r="A58" t="s">
        <v>456</v>
      </c>
      <c r="B58">
        <v>136550</v>
      </c>
      <c r="C58">
        <v>115562</v>
      </c>
      <c r="D58">
        <v>29402</v>
      </c>
      <c r="E58">
        <v>8369</v>
      </c>
      <c r="F58">
        <v>5233</v>
      </c>
      <c r="G58">
        <v>6464</v>
      </c>
      <c r="H58">
        <v>4892</v>
      </c>
      <c r="I58">
        <v>3616</v>
      </c>
      <c r="J58">
        <v>322</v>
      </c>
      <c r="K58">
        <v>16073</v>
      </c>
      <c r="L58">
        <v>9869</v>
      </c>
      <c r="M58">
        <v>665</v>
      </c>
      <c r="N58">
        <v>1795</v>
      </c>
      <c r="O58">
        <v>2189</v>
      </c>
      <c r="P58">
        <v>5418</v>
      </c>
      <c r="Q58">
        <v>3851</v>
      </c>
      <c r="R58">
        <v>5588</v>
      </c>
      <c r="S58">
        <v>6530</v>
      </c>
      <c r="T58">
        <v>432</v>
      </c>
      <c r="U58">
        <v>219</v>
      </c>
      <c r="V58">
        <v>203</v>
      </c>
      <c r="W58">
        <v>364</v>
      </c>
      <c r="X58">
        <v>200</v>
      </c>
      <c r="Y58">
        <v>84</v>
      </c>
      <c r="Z58">
        <v>94</v>
      </c>
    </row>
    <row r="59" spans="1:26" x14ac:dyDescent="0.25">
      <c r="A59" t="s">
        <v>457</v>
      </c>
      <c r="B59">
        <v>52109</v>
      </c>
      <c r="C59">
        <v>38388</v>
      </c>
      <c r="D59">
        <v>64171</v>
      </c>
      <c r="E59">
        <v>4817</v>
      </c>
      <c r="F59">
        <v>4442</v>
      </c>
      <c r="G59">
        <v>8328</v>
      </c>
      <c r="H59">
        <v>9816</v>
      </c>
      <c r="I59">
        <v>3180</v>
      </c>
      <c r="J59">
        <v>158</v>
      </c>
      <c r="K59">
        <v>8714</v>
      </c>
      <c r="L59">
        <v>14381</v>
      </c>
      <c r="M59">
        <v>913</v>
      </c>
      <c r="N59">
        <v>1391</v>
      </c>
      <c r="O59">
        <v>4124</v>
      </c>
      <c r="P59">
        <v>10360</v>
      </c>
      <c r="Q59">
        <v>3465</v>
      </c>
      <c r="R59">
        <v>2827</v>
      </c>
      <c r="S59">
        <v>4983</v>
      </c>
      <c r="T59">
        <v>487</v>
      </c>
      <c r="U59">
        <v>183</v>
      </c>
      <c r="V59">
        <v>582</v>
      </c>
      <c r="W59">
        <v>210</v>
      </c>
      <c r="X59">
        <v>253</v>
      </c>
      <c r="Y59">
        <v>80</v>
      </c>
      <c r="Z59">
        <v>115</v>
      </c>
    </row>
    <row r="60" spans="1:26" x14ac:dyDescent="0.25">
      <c r="A60" t="s">
        <v>49</v>
      </c>
      <c r="B60">
        <v>88924</v>
      </c>
      <c r="C60">
        <v>23264</v>
      </c>
      <c r="D60">
        <v>11647</v>
      </c>
      <c r="E60">
        <v>86862</v>
      </c>
      <c r="F60">
        <v>21204</v>
      </c>
      <c r="G60">
        <v>9046</v>
      </c>
      <c r="H60">
        <v>4403</v>
      </c>
      <c r="I60">
        <v>6965</v>
      </c>
      <c r="J60">
        <v>3840</v>
      </c>
      <c r="K60">
        <v>1612</v>
      </c>
      <c r="L60">
        <v>4413</v>
      </c>
      <c r="M60">
        <v>9846</v>
      </c>
      <c r="N60">
        <v>11725</v>
      </c>
      <c r="O60">
        <v>2131</v>
      </c>
      <c r="P60">
        <v>2594</v>
      </c>
      <c r="Q60">
        <v>3684</v>
      </c>
      <c r="R60">
        <v>642</v>
      </c>
      <c r="S60">
        <v>1114</v>
      </c>
      <c r="T60">
        <v>2884</v>
      </c>
      <c r="U60">
        <v>270</v>
      </c>
      <c r="V60">
        <v>243</v>
      </c>
      <c r="W60">
        <v>315</v>
      </c>
      <c r="X60">
        <v>261</v>
      </c>
      <c r="Y60">
        <v>468</v>
      </c>
      <c r="Z60">
        <v>45</v>
      </c>
    </row>
    <row r="61" spans="1:26" x14ac:dyDescent="0.25">
      <c r="A61" t="s">
        <v>460</v>
      </c>
      <c r="B61">
        <v>48823</v>
      </c>
      <c r="C61">
        <v>14111</v>
      </c>
      <c r="D61">
        <v>10205</v>
      </c>
      <c r="E61">
        <v>16477</v>
      </c>
      <c r="F61">
        <v>49295</v>
      </c>
      <c r="G61">
        <v>8388</v>
      </c>
      <c r="H61">
        <v>4249</v>
      </c>
      <c r="I61">
        <v>12387</v>
      </c>
      <c r="J61">
        <v>742</v>
      </c>
      <c r="K61">
        <v>1598</v>
      </c>
      <c r="L61">
        <v>3145</v>
      </c>
      <c r="M61">
        <v>2357</v>
      </c>
      <c r="N61">
        <v>14652</v>
      </c>
      <c r="O61">
        <v>3186</v>
      </c>
      <c r="P61">
        <v>3232</v>
      </c>
      <c r="Q61">
        <v>6035</v>
      </c>
      <c r="R61">
        <v>379</v>
      </c>
      <c r="S61">
        <v>1069</v>
      </c>
      <c r="T61">
        <v>2682</v>
      </c>
      <c r="U61">
        <v>196</v>
      </c>
      <c r="V61">
        <v>262</v>
      </c>
      <c r="W61">
        <v>576</v>
      </c>
      <c r="X61">
        <v>335</v>
      </c>
      <c r="Y61">
        <v>140</v>
      </c>
      <c r="Z61">
        <v>39</v>
      </c>
    </row>
    <row r="62" spans="1:26" x14ac:dyDescent="0.25">
      <c r="A62" t="s">
        <v>47</v>
      </c>
      <c r="B62">
        <v>31349</v>
      </c>
      <c r="C62">
        <v>10193</v>
      </c>
      <c r="D62">
        <v>9659</v>
      </c>
      <c r="E62">
        <v>4108</v>
      </c>
      <c r="F62">
        <v>3783</v>
      </c>
      <c r="G62">
        <v>35268</v>
      </c>
      <c r="H62">
        <v>6209</v>
      </c>
      <c r="I62">
        <v>7345</v>
      </c>
      <c r="J62">
        <v>100</v>
      </c>
      <c r="K62">
        <v>1389</v>
      </c>
      <c r="L62">
        <v>4566</v>
      </c>
      <c r="M62">
        <v>965</v>
      </c>
      <c r="N62">
        <v>1530</v>
      </c>
      <c r="O62">
        <v>7837</v>
      </c>
      <c r="P62">
        <v>6452</v>
      </c>
      <c r="Q62">
        <v>6492</v>
      </c>
      <c r="R62">
        <v>619</v>
      </c>
      <c r="S62">
        <v>1401</v>
      </c>
      <c r="T62">
        <v>516</v>
      </c>
      <c r="U62">
        <v>331</v>
      </c>
      <c r="V62">
        <v>233</v>
      </c>
      <c r="W62">
        <v>492</v>
      </c>
      <c r="X62">
        <v>237</v>
      </c>
      <c r="Y62">
        <v>35</v>
      </c>
      <c r="Z62">
        <v>14</v>
      </c>
    </row>
    <row r="63" spans="1:26" x14ac:dyDescent="0.25">
      <c r="A63" t="s">
        <v>458</v>
      </c>
      <c r="B63">
        <v>23067</v>
      </c>
      <c r="C63">
        <v>16634</v>
      </c>
      <c r="D63">
        <v>19299</v>
      </c>
      <c r="E63">
        <v>3281</v>
      </c>
      <c r="F63">
        <v>3830</v>
      </c>
      <c r="G63">
        <v>9508</v>
      </c>
      <c r="H63">
        <v>16358</v>
      </c>
      <c r="I63">
        <v>2627</v>
      </c>
      <c r="J63">
        <v>85</v>
      </c>
      <c r="K63">
        <v>1972</v>
      </c>
      <c r="L63">
        <v>3370</v>
      </c>
      <c r="M63">
        <v>676</v>
      </c>
      <c r="N63">
        <v>1241</v>
      </c>
      <c r="O63">
        <v>3114</v>
      </c>
      <c r="P63">
        <v>5394</v>
      </c>
      <c r="Q63">
        <v>2422</v>
      </c>
      <c r="R63">
        <v>699</v>
      </c>
      <c r="S63">
        <v>1665</v>
      </c>
      <c r="T63">
        <v>269</v>
      </c>
      <c r="U63">
        <v>145</v>
      </c>
      <c r="V63">
        <v>333</v>
      </c>
      <c r="W63">
        <v>234</v>
      </c>
      <c r="X63">
        <v>100</v>
      </c>
      <c r="Z63">
        <v>40</v>
      </c>
    </row>
    <row r="64" spans="1:26" x14ac:dyDescent="0.25">
      <c r="A64" t="s">
        <v>459</v>
      </c>
      <c r="B64">
        <v>23457</v>
      </c>
      <c r="C64">
        <v>8002</v>
      </c>
      <c r="D64">
        <v>6576</v>
      </c>
      <c r="E64">
        <v>3728</v>
      </c>
      <c r="F64">
        <v>8117</v>
      </c>
      <c r="G64">
        <v>12871</v>
      </c>
      <c r="H64">
        <v>3541</v>
      </c>
      <c r="I64">
        <v>28181</v>
      </c>
      <c r="J64">
        <v>309</v>
      </c>
      <c r="K64">
        <v>1270</v>
      </c>
      <c r="L64">
        <v>2618</v>
      </c>
      <c r="M64">
        <v>625</v>
      </c>
      <c r="N64">
        <v>3870</v>
      </c>
      <c r="O64">
        <v>4895</v>
      </c>
      <c r="P64">
        <v>3998</v>
      </c>
      <c r="Q64">
        <v>9654</v>
      </c>
      <c r="R64">
        <v>337</v>
      </c>
      <c r="S64">
        <v>822</v>
      </c>
      <c r="T64">
        <v>1241</v>
      </c>
      <c r="U64">
        <v>293</v>
      </c>
      <c r="V64">
        <v>232</v>
      </c>
      <c r="W64">
        <v>505</v>
      </c>
      <c r="X64">
        <v>104</v>
      </c>
      <c r="Y64">
        <v>40</v>
      </c>
      <c r="Z64">
        <v>90</v>
      </c>
    </row>
    <row r="65" spans="1:26" x14ac:dyDescent="0.25">
      <c r="A65" t="s">
        <v>470</v>
      </c>
      <c r="B65">
        <v>9932</v>
      </c>
      <c r="C65">
        <v>1906</v>
      </c>
      <c r="D65">
        <v>1734</v>
      </c>
      <c r="E65">
        <v>11244</v>
      </c>
      <c r="F65">
        <v>1973</v>
      </c>
      <c r="G65">
        <v>1005</v>
      </c>
      <c r="H65">
        <v>412</v>
      </c>
      <c r="I65">
        <v>1087</v>
      </c>
      <c r="J65">
        <v>108004</v>
      </c>
      <c r="K65">
        <v>290</v>
      </c>
      <c r="L65">
        <v>569</v>
      </c>
      <c r="M65">
        <v>8225</v>
      </c>
      <c r="N65">
        <v>2178</v>
      </c>
      <c r="O65">
        <v>472</v>
      </c>
      <c r="P65">
        <v>509</v>
      </c>
      <c r="Q65">
        <v>979</v>
      </c>
      <c r="R65">
        <v>134</v>
      </c>
      <c r="S65">
        <v>219</v>
      </c>
      <c r="T65">
        <v>1682</v>
      </c>
      <c r="U65">
        <v>60</v>
      </c>
      <c r="V65">
        <v>90</v>
      </c>
      <c r="W65">
        <v>69</v>
      </c>
      <c r="X65">
        <v>164</v>
      </c>
      <c r="Y65">
        <v>17226</v>
      </c>
    </row>
    <row r="66" spans="1:26" x14ac:dyDescent="0.25">
      <c r="A66" t="s">
        <v>461</v>
      </c>
      <c r="B66">
        <v>13535</v>
      </c>
      <c r="C66">
        <v>7801</v>
      </c>
      <c r="D66">
        <v>4046</v>
      </c>
      <c r="E66">
        <v>525</v>
      </c>
      <c r="F66">
        <v>233</v>
      </c>
      <c r="G66">
        <v>611</v>
      </c>
      <c r="H66">
        <v>461</v>
      </c>
      <c r="I66">
        <v>232</v>
      </c>
      <c r="J66">
        <v>35</v>
      </c>
      <c r="K66">
        <v>14449</v>
      </c>
      <c r="L66">
        <v>2803</v>
      </c>
      <c r="M66">
        <v>155</v>
      </c>
      <c r="N66">
        <v>304</v>
      </c>
      <c r="O66">
        <v>301</v>
      </c>
      <c r="P66">
        <v>906</v>
      </c>
      <c r="Q66">
        <v>610</v>
      </c>
      <c r="R66">
        <v>2387</v>
      </c>
      <c r="S66">
        <v>2738</v>
      </c>
      <c r="T66">
        <v>25</v>
      </c>
      <c r="U66">
        <v>85</v>
      </c>
      <c r="V66">
        <v>60</v>
      </c>
      <c r="W66">
        <v>35</v>
      </c>
      <c r="X66">
        <v>10</v>
      </c>
      <c r="Z66">
        <v>90</v>
      </c>
    </row>
    <row r="67" spans="1:26" x14ac:dyDescent="0.25">
      <c r="A67" t="s">
        <v>462</v>
      </c>
      <c r="B67">
        <v>14155</v>
      </c>
      <c r="C67">
        <v>8899</v>
      </c>
      <c r="D67">
        <v>15990</v>
      </c>
      <c r="E67">
        <v>1021</v>
      </c>
      <c r="F67">
        <v>1244</v>
      </c>
      <c r="G67">
        <v>2463</v>
      </c>
      <c r="H67">
        <v>1580</v>
      </c>
      <c r="I67">
        <v>876</v>
      </c>
      <c r="J67">
        <v>40</v>
      </c>
      <c r="K67">
        <v>11302</v>
      </c>
      <c r="L67">
        <v>63559</v>
      </c>
      <c r="M67">
        <v>593</v>
      </c>
      <c r="N67">
        <v>942</v>
      </c>
      <c r="O67">
        <v>4226</v>
      </c>
      <c r="P67">
        <v>17233</v>
      </c>
      <c r="Q67">
        <v>3377</v>
      </c>
      <c r="R67">
        <v>4936</v>
      </c>
      <c r="S67">
        <v>18242</v>
      </c>
      <c r="T67">
        <v>154</v>
      </c>
      <c r="U67">
        <v>414</v>
      </c>
      <c r="V67">
        <v>2132</v>
      </c>
      <c r="W67">
        <v>357</v>
      </c>
      <c r="X67">
        <v>220</v>
      </c>
      <c r="Y67">
        <v>40</v>
      </c>
      <c r="Z67">
        <v>225</v>
      </c>
    </row>
    <row r="68" spans="1:26" x14ac:dyDescent="0.25">
      <c r="A68" t="s">
        <v>467</v>
      </c>
      <c r="B68">
        <v>15061</v>
      </c>
      <c r="C68">
        <v>3063</v>
      </c>
      <c r="D68">
        <v>2113</v>
      </c>
      <c r="E68">
        <v>14548</v>
      </c>
      <c r="F68">
        <v>3544</v>
      </c>
      <c r="G68">
        <v>1904</v>
      </c>
      <c r="H68">
        <v>478</v>
      </c>
      <c r="I68">
        <v>1371</v>
      </c>
      <c r="J68">
        <v>4680</v>
      </c>
      <c r="K68">
        <v>799</v>
      </c>
      <c r="L68">
        <v>1648</v>
      </c>
      <c r="M68">
        <v>33223</v>
      </c>
      <c r="N68">
        <v>7907</v>
      </c>
      <c r="O68">
        <v>802</v>
      </c>
      <c r="P68">
        <v>1015</v>
      </c>
      <c r="Q68">
        <v>2667</v>
      </c>
      <c r="R68">
        <v>123</v>
      </c>
      <c r="S68">
        <v>273</v>
      </c>
      <c r="T68">
        <v>5751</v>
      </c>
      <c r="U68">
        <v>20</v>
      </c>
      <c r="V68">
        <v>90</v>
      </c>
      <c r="W68">
        <v>184</v>
      </c>
      <c r="X68">
        <v>798</v>
      </c>
      <c r="Y68">
        <v>568</v>
      </c>
    </row>
    <row r="69" spans="1:26" x14ac:dyDescent="0.25">
      <c r="A69" t="s">
        <v>466</v>
      </c>
      <c r="B69">
        <v>22483</v>
      </c>
      <c r="C69">
        <v>5264</v>
      </c>
      <c r="D69">
        <v>4405</v>
      </c>
      <c r="E69">
        <v>11477</v>
      </c>
      <c r="F69">
        <v>18265</v>
      </c>
      <c r="G69">
        <v>4331</v>
      </c>
      <c r="H69">
        <v>1609</v>
      </c>
      <c r="I69">
        <v>7281</v>
      </c>
      <c r="J69">
        <v>1309</v>
      </c>
      <c r="K69">
        <v>914</v>
      </c>
      <c r="L69">
        <v>2687</v>
      </c>
      <c r="M69">
        <v>7026</v>
      </c>
      <c r="N69">
        <v>48918</v>
      </c>
      <c r="O69">
        <v>3997</v>
      </c>
      <c r="P69">
        <v>3469</v>
      </c>
      <c r="Q69">
        <v>12854</v>
      </c>
      <c r="R69">
        <v>254</v>
      </c>
      <c r="S69">
        <v>692</v>
      </c>
      <c r="T69">
        <v>10259</v>
      </c>
      <c r="U69">
        <v>200</v>
      </c>
      <c r="V69">
        <v>265</v>
      </c>
      <c r="W69">
        <v>480</v>
      </c>
      <c r="X69">
        <v>535</v>
      </c>
      <c r="Y69">
        <v>120</v>
      </c>
    </row>
    <row r="70" spans="1:26" x14ac:dyDescent="0.25">
      <c r="A70" t="s">
        <v>464</v>
      </c>
      <c r="B70">
        <v>12839</v>
      </c>
      <c r="C70">
        <v>2149</v>
      </c>
      <c r="D70">
        <v>4743</v>
      </c>
      <c r="E70">
        <v>998</v>
      </c>
      <c r="F70">
        <v>1164</v>
      </c>
      <c r="G70">
        <v>6296</v>
      </c>
      <c r="H70">
        <v>1595</v>
      </c>
      <c r="I70">
        <v>2282</v>
      </c>
      <c r="J70">
        <v>58</v>
      </c>
      <c r="K70">
        <v>925</v>
      </c>
      <c r="L70">
        <v>7696</v>
      </c>
      <c r="M70">
        <v>164</v>
      </c>
      <c r="N70">
        <v>1707</v>
      </c>
      <c r="O70">
        <v>60972</v>
      </c>
      <c r="P70">
        <v>18715</v>
      </c>
      <c r="Q70">
        <v>25876</v>
      </c>
      <c r="R70">
        <v>805</v>
      </c>
      <c r="S70">
        <v>2682</v>
      </c>
      <c r="T70">
        <v>669</v>
      </c>
      <c r="U70">
        <v>3974</v>
      </c>
      <c r="V70">
        <v>2179</v>
      </c>
      <c r="W70">
        <v>1864</v>
      </c>
      <c r="X70">
        <v>442</v>
      </c>
      <c r="Y70">
        <v>54</v>
      </c>
      <c r="Z70">
        <v>20</v>
      </c>
    </row>
    <row r="71" spans="1:26" x14ac:dyDescent="0.25">
      <c r="A71" t="s">
        <v>463</v>
      </c>
      <c r="B71">
        <v>10669</v>
      </c>
      <c r="C71">
        <v>5044</v>
      </c>
      <c r="D71">
        <v>12520</v>
      </c>
      <c r="E71">
        <v>1226</v>
      </c>
      <c r="F71">
        <v>1647</v>
      </c>
      <c r="G71">
        <v>4631</v>
      </c>
      <c r="H71">
        <v>2850</v>
      </c>
      <c r="I71">
        <v>1301</v>
      </c>
      <c r="J71">
        <v>135</v>
      </c>
      <c r="K71">
        <v>2337</v>
      </c>
      <c r="L71">
        <v>34781</v>
      </c>
      <c r="M71">
        <v>629</v>
      </c>
      <c r="N71">
        <v>1458</v>
      </c>
      <c r="O71">
        <v>19085</v>
      </c>
      <c r="P71">
        <v>62132</v>
      </c>
      <c r="Q71">
        <v>11048</v>
      </c>
      <c r="R71">
        <v>1288</v>
      </c>
      <c r="S71">
        <v>7005</v>
      </c>
      <c r="T71">
        <v>706</v>
      </c>
      <c r="U71">
        <v>2700</v>
      </c>
      <c r="V71">
        <v>7250</v>
      </c>
      <c r="W71">
        <v>1124</v>
      </c>
      <c r="X71">
        <v>379</v>
      </c>
      <c r="Y71">
        <v>15</v>
      </c>
      <c r="Z71">
        <v>40</v>
      </c>
    </row>
    <row r="72" spans="1:26" x14ac:dyDescent="0.25">
      <c r="A72" t="s">
        <v>465</v>
      </c>
      <c r="B72">
        <v>29728</v>
      </c>
      <c r="C72">
        <v>3646</v>
      </c>
      <c r="D72">
        <v>5515</v>
      </c>
      <c r="E72">
        <v>2985</v>
      </c>
      <c r="F72">
        <v>4785</v>
      </c>
      <c r="G72">
        <v>8046</v>
      </c>
      <c r="H72">
        <v>1331</v>
      </c>
      <c r="I72">
        <v>6325</v>
      </c>
      <c r="J72">
        <v>278</v>
      </c>
      <c r="K72">
        <v>1121</v>
      </c>
      <c r="L72">
        <v>6170</v>
      </c>
      <c r="M72">
        <v>726</v>
      </c>
      <c r="N72">
        <v>9768</v>
      </c>
      <c r="O72">
        <v>26775</v>
      </c>
      <c r="P72">
        <v>9355</v>
      </c>
      <c r="Q72">
        <v>122139</v>
      </c>
      <c r="R72">
        <v>563</v>
      </c>
      <c r="S72">
        <v>2218</v>
      </c>
      <c r="T72">
        <v>7955</v>
      </c>
      <c r="U72">
        <v>2798</v>
      </c>
      <c r="V72">
        <v>1819</v>
      </c>
      <c r="W72">
        <v>7187</v>
      </c>
      <c r="X72">
        <v>1112</v>
      </c>
      <c r="Y72">
        <v>25</v>
      </c>
      <c r="Z72">
        <v>55</v>
      </c>
    </row>
    <row r="73" spans="1:26" x14ac:dyDescent="0.25">
      <c r="A73" t="s">
        <v>473</v>
      </c>
      <c r="B73">
        <v>6673</v>
      </c>
      <c r="C73">
        <v>3424</v>
      </c>
      <c r="D73">
        <v>2177</v>
      </c>
      <c r="E73">
        <v>506</v>
      </c>
      <c r="F73">
        <v>174</v>
      </c>
      <c r="G73">
        <v>415</v>
      </c>
      <c r="H73">
        <v>258</v>
      </c>
      <c r="I73">
        <v>200</v>
      </c>
      <c r="J73">
        <v>10</v>
      </c>
      <c r="K73">
        <v>5249</v>
      </c>
      <c r="L73">
        <v>2320</v>
      </c>
      <c r="M73">
        <v>60</v>
      </c>
      <c r="N73">
        <v>198</v>
      </c>
      <c r="O73">
        <v>283</v>
      </c>
      <c r="P73">
        <v>769</v>
      </c>
      <c r="Q73">
        <v>561</v>
      </c>
      <c r="R73">
        <v>47244</v>
      </c>
      <c r="S73">
        <v>28506</v>
      </c>
      <c r="T73">
        <v>119</v>
      </c>
      <c r="U73">
        <v>10</v>
      </c>
      <c r="V73">
        <v>95</v>
      </c>
      <c r="W73">
        <v>34</v>
      </c>
      <c r="X73">
        <v>80</v>
      </c>
      <c r="Z73">
        <v>2576</v>
      </c>
    </row>
    <row r="74" spans="1:26" x14ac:dyDescent="0.25">
      <c r="A74" t="s">
        <v>472</v>
      </c>
      <c r="B74">
        <v>14193</v>
      </c>
      <c r="C74">
        <v>7915</v>
      </c>
      <c r="D74">
        <v>10499</v>
      </c>
      <c r="E74">
        <v>962</v>
      </c>
      <c r="F74">
        <v>1141</v>
      </c>
      <c r="G74">
        <v>1776</v>
      </c>
      <c r="H74">
        <v>1451</v>
      </c>
      <c r="I74">
        <v>591</v>
      </c>
      <c r="J74">
        <v>130</v>
      </c>
      <c r="K74">
        <v>12230</v>
      </c>
      <c r="L74">
        <v>32066</v>
      </c>
      <c r="M74">
        <v>441</v>
      </c>
      <c r="N74">
        <v>879</v>
      </c>
      <c r="O74">
        <v>3932</v>
      </c>
      <c r="P74">
        <v>12142</v>
      </c>
      <c r="Q74">
        <v>3712</v>
      </c>
      <c r="R74">
        <v>29703</v>
      </c>
      <c r="S74">
        <v>200728</v>
      </c>
      <c r="T74">
        <v>271</v>
      </c>
      <c r="U74">
        <v>1539</v>
      </c>
      <c r="V74">
        <v>9270</v>
      </c>
      <c r="W74">
        <v>567</v>
      </c>
      <c r="X74">
        <v>1779</v>
      </c>
      <c r="Y74">
        <v>35</v>
      </c>
      <c r="Z74">
        <v>4085</v>
      </c>
    </row>
    <row r="75" spans="1:26" x14ac:dyDescent="0.25">
      <c r="A75" t="s">
        <v>477</v>
      </c>
      <c r="B75">
        <v>13044</v>
      </c>
      <c r="C75">
        <v>2286</v>
      </c>
      <c r="D75">
        <v>2777</v>
      </c>
      <c r="E75">
        <v>4717</v>
      </c>
      <c r="F75">
        <v>6282</v>
      </c>
      <c r="G75">
        <v>2952</v>
      </c>
      <c r="H75">
        <v>975</v>
      </c>
      <c r="I75">
        <v>4141</v>
      </c>
      <c r="J75">
        <v>1101</v>
      </c>
      <c r="K75">
        <v>322</v>
      </c>
      <c r="L75">
        <v>2119</v>
      </c>
      <c r="M75">
        <v>5816</v>
      </c>
      <c r="N75">
        <v>21024</v>
      </c>
      <c r="O75">
        <v>4949</v>
      </c>
      <c r="P75">
        <v>2943</v>
      </c>
      <c r="Q75">
        <v>30180</v>
      </c>
      <c r="R75">
        <v>205</v>
      </c>
      <c r="S75">
        <v>576</v>
      </c>
      <c r="T75">
        <v>86453</v>
      </c>
      <c r="U75">
        <v>647</v>
      </c>
      <c r="V75">
        <v>403</v>
      </c>
      <c r="W75">
        <v>3127</v>
      </c>
      <c r="X75">
        <v>4852</v>
      </c>
      <c r="Y75">
        <v>175</v>
      </c>
      <c r="Z75">
        <v>15</v>
      </c>
    </row>
    <row r="76" spans="1:26" x14ac:dyDescent="0.25">
      <c r="A76" t="s">
        <v>475</v>
      </c>
      <c r="B76">
        <v>2509</v>
      </c>
      <c r="C76">
        <v>533</v>
      </c>
      <c r="D76">
        <v>1099</v>
      </c>
      <c r="E76">
        <v>99</v>
      </c>
      <c r="F76">
        <v>318</v>
      </c>
      <c r="G76">
        <v>571</v>
      </c>
      <c r="H76">
        <v>146</v>
      </c>
      <c r="I76">
        <v>229</v>
      </c>
      <c r="J76">
        <v>30</v>
      </c>
      <c r="K76">
        <v>123</v>
      </c>
      <c r="L76">
        <v>2303</v>
      </c>
      <c r="M76">
        <v>79</v>
      </c>
      <c r="N76">
        <v>189</v>
      </c>
      <c r="O76">
        <v>5844</v>
      </c>
      <c r="P76">
        <v>3408</v>
      </c>
      <c r="Q76">
        <v>5211</v>
      </c>
      <c r="R76">
        <v>59</v>
      </c>
      <c r="S76">
        <v>950</v>
      </c>
      <c r="T76">
        <v>262</v>
      </c>
      <c r="U76">
        <v>21259</v>
      </c>
      <c r="V76">
        <v>4318</v>
      </c>
      <c r="W76">
        <v>4567</v>
      </c>
      <c r="X76">
        <v>1191</v>
      </c>
    </row>
    <row r="77" spans="1:26" x14ac:dyDescent="0.25">
      <c r="A77" t="s">
        <v>474</v>
      </c>
      <c r="B77">
        <v>2681</v>
      </c>
      <c r="C77">
        <v>1430</v>
      </c>
      <c r="D77">
        <v>2508</v>
      </c>
      <c r="E77">
        <v>207</v>
      </c>
      <c r="F77">
        <v>317</v>
      </c>
      <c r="G77">
        <v>1056</v>
      </c>
      <c r="H77">
        <v>383</v>
      </c>
      <c r="I77">
        <v>200</v>
      </c>
      <c r="J77">
        <v>10</v>
      </c>
      <c r="K77">
        <v>621</v>
      </c>
      <c r="L77">
        <v>9666</v>
      </c>
      <c r="M77">
        <v>84</v>
      </c>
      <c r="N77">
        <v>424</v>
      </c>
      <c r="O77">
        <v>3738</v>
      </c>
      <c r="P77">
        <v>11080</v>
      </c>
      <c r="Q77">
        <v>2335</v>
      </c>
      <c r="R77">
        <v>325</v>
      </c>
      <c r="S77">
        <v>8376</v>
      </c>
      <c r="T77">
        <v>155</v>
      </c>
      <c r="U77">
        <v>6134</v>
      </c>
      <c r="V77">
        <v>33466</v>
      </c>
      <c r="W77">
        <v>2382</v>
      </c>
      <c r="X77">
        <v>884</v>
      </c>
      <c r="Z77">
        <v>60</v>
      </c>
    </row>
    <row r="78" spans="1:26" x14ac:dyDescent="0.25">
      <c r="A78" t="s">
        <v>476</v>
      </c>
      <c r="B78">
        <v>4522</v>
      </c>
      <c r="C78">
        <v>795</v>
      </c>
      <c r="D78">
        <v>1053</v>
      </c>
      <c r="E78">
        <v>562</v>
      </c>
      <c r="F78">
        <v>801</v>
      </c>
      <c r="G78">
        <v>1211</v>
      </c>
      <c r="H78">
        <v>424</v>
      </c>
      <c r="I78">
        <v>965</v>
      </c>
      <c r="J78">
        <v>50</v>
      </c>
      <c r="K78">
        <v>167</v>
      </c>
      <c r="L78">
        <v>1457</v>
      </c>
      <c r="M78">
        <v>332</v>
      </c>
      <c r="N78">
        <v>1568</v>
      </c>
      <c r="O78">
        <v>8544</v>
      </c>
      <c r="P78">
        <v>2547</v>
      </c>
      <c r="Q78">
        <v>27188</v>
      </c>
      <c r="R78">
        <v>228</v>
      </c>
      <c r="S78">
        <v>1079</v>
      </c>
      <c r="T78">
        <v>3499</v>
      </c>
      <c r="U78">
        <v>12856</v>
      </c>
      <c r="V78">
        <v>3047</v>
      </c>
      <c r="W78">
        <v>54070</v>
      </c>
      <c r="X78">
        <v>2609</v>
      </c>
      <c r="Y78">
        <v>15</v>
      </c>
      <c r="Z78">
        <v>20</v>
      </c>
    </row>
    <row r="79" spans="1:26" x14ac:dyDescent="0.25">
      <c r="A79" t="s">
        <v>469</v>
      </c>
      <c r="B79">
        <v>2475</v>
      </c>
      <c r="C79">
        <v>527</v>
      </c>
      <c r="D79">
        <v>1204</v>
      </c>
      <c r="E79">
        <v>855</v>
      </c>
      <c r="F79">
        <v>930</v>
      </c>
      <c r="G79">
        <v>705</v>
      </c>
      <c r="H79">
        <v>304</v>
      </c>
      <c r="I79">
        <v>410</v>
      </c>
      <c r="J79">
        <v>444</v>
      </c>
      <c r="K79">
        <v>172</v>
      </c>
      <c r="L79">
        <v>2570</v>
      </c>
      <c r="M79">
        <v>2834</v>
      </c>
      <c r="N79">
        <v>2253</v>
      </c>
      <c r="O79">
        <v>2553</v>
      </c>
      <c r="P79">
        <v>2675</v>
      </c>
      <c r="Q79">
        <v>5804</v>
      </c>
      <c r="R79">
        <v>195</v>
      </c>
      <c r="S79">
        <v>5697</v>
      </c>
      <c r="T79">
        <v>10710</v>
      </c>
      <c r="U79">
        <v>4790</v>
      </c>
      <c r="V79">
        <v>4558</v>
      </c>
      <c r="W79">
        <v>8712</v>
      </c>
      <c r="X79">
        <v>251516</v>
      </c>
      <c r="Y79">
        <v>77</v>
      </c>
      <c r="Z79">
        <v>562</v>
      </c>
    </row>
    <row r="80" spans="1:26" x14ac:dyDescent="0.25">
      <c r="A80" t="s">
        <v>471</v>
      </c>
      <c r="B80">
        <v>4193</v>
      </c>
      <c r="C80">
        <v>531</v>
      </c>
      <c r="D80">
        <v>478</v>
      </c>
      <c r="E80">
        <v>2669</v>
      </c>
      <c r="F80">
        <v>809</v>
      </c>
      <c r="G80">
        <v>298</v>
      </c>
      <c r="H80">
        <v>100</v>
      </c>
      <c r="I80">
        <v>286</v>
      </c>
      <c r="J80">
        <v>38708</v>
      </c>
      <c r="K80">
        <v>20</v>
      </c>
      <c r="L80">
        <v>205</v>
      </c>
      <c r="M80">
        <v>2593</v>
      </c>
      <c r="N80">
        <v>793</v>
      </c>
      <c r="O80">
        <v>94</v>
      </c>
      <c r="P80">
        <v>222</v>
      </c>
      <c r="Q80">
        <v>558</v>
      </c>
      <c r="R80">
        <v>25</v>
      </c>
      <c r="S80">
        <v>79</v>
      </c>
      <c r="T80">
        <v>678</v>
      </c>
      <c r="U80">
        <v>4</v>
      </c>
      <c r="V80">
        <v>22</v>
      </c>
      <c r="W80">
        <v>23</v>
      </c>
      <c r="X80">
        <v>235</v>
      </c>
      <c r="Y80">
        <v>92947</v>
      </c>
    </row>
    <row r="81" spans="1:26" x14ac:dyDescent="0.25">
      <c r="A81" t="s">
        <v>468</v>
      </c>
      <c r="B81">
        <v>991</v>
      </c>
      <c r="C81">
        <v>601</v>
      </c>
      <c r="D81">
        <v>830</v>
      </c>
      <c r="E81">
        <v>47</v>
      </c>
      <c r="F81">
        <v>87</v>
      </c>
      <c r="G81">
        <v>165</v>
      </c>
      <c r="H81">
        <v>110</v>
      </c>
      <c r="I81">
        <v>63</v>
      </c>
      <c r="J81">
        <v>14</v>
      </c>
      <c r="K81">
        <v>789</v>
      </c>
      <c r="L81">
        <v>940</v>
      </c>
      <c r="M81">
        <v>32</v>
      </c>
      <c r="N81">
        <v>87</v>
      </c>
      <c r="O81">
        <v>213</v>
      </c>
      <c r="P81">
        <v>297</v>
      </c>
      <c r="Q81">
        <v>176</v>
      </c>
      <c r="R81">
        <v>6858</v>
      </c>
      <c r="S81">
        <v>16781</v>
      </c>
      <c r="T81">
        <v>89</v>
      </c>
      <c r="U81">
        <v>61</v>
      </c>
      <c r="V81">
        <v>160</v>
      </c>
      <c r="W81">
        <v>47</v>
      </c>
      <c r="X81">
        <v>468</v>
      </c>
      <c r="Y81">
        <v>30</v>
      </c>
      <c r="Z81">
        <v>146809</v>
      </c>
    </row>
  </sheetData>
  <pageMargins left="0.7" right="0.7" top="0.75" bottom="0.75" header="0.3" footer="0.3"/>
  <pageSetup paperSize="0" orientation="portrait"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E628"/>
  <sheetViews>
    <sheetView workbookViewId="0">
      <selection activeCell="I44" sqref="I44"/>
    </sheetView>
  </sheetViews>
  <sheetFormatPr defaultRowHeight="15" x14ac:dyDescent="0.25"/>
  <cols>
    <col min="1" max="1" width="11.85546875" customWidth="1"/>
    <col min="2" max="2" width="10.42578125" bestFit="1" customWidth="1"/>
    <col min="3" max="3" width="10.7109375" bestFit="1" customWidth="1"/>
    <col min="4" max="4" width="9.5703125" style="278" bestFit="1" customWidth="1"/>
  </cols>
  <sheetData>
    <row r="1" spans="1:5" ht="23.25" x14ac:dyDescent="0.35">
      <c r="B1" s="372" t="s">
        <v>371</v>
      </c>
      <c r="C1" s="372"/>
    </row>
    <row r="3" spans="1:5" ht="18.75" x14ac:dyDescent="0.3">
      <c r="B3" s="59" t="s">
        <v>528</v>
      </c>
      <c r="C3" s="59" t="s">
        <v>529</v>
      </c>
      <c r="D3" s="285" t="s">
        <v>24</v>
      </c>
      <c r="E3" s="59" t="s">
        <v>3</v>
      </c>
    </row>
    <row r="4" spans="1:5" x14ac:dyDescent="0.25">
      <c r="A4" t="str">
        <f>CONCATENATE(B:B,"-",C:C)</f>
        <v>1-1</v>
      </c>
      <c r="B4" s="282">
        <v>1</v>
      </c>
      <c r="C4" s="280">
        <v>1</v>
      </c>
      <c r="D4" s="278">
        <f>SectorFlows!C6</f>
        <v>110153</v>
      </c>
      <c r="E4">
        <v>174645</v>
      </c>
    </row>
    <row r="5" spans="1:5" x14ac:dyDescent="0.25">
      <c r="A5" t="str">
        <f t="shared" ref="A5:A68" si="0">CONCATENATE(B:B,"-",C:C)</f>
        <v>2N-1</v>
      </c>
      <c r="B5" s="283" t="s">
        <v>456</v>
      </c>
      <c r="C5" s="223">
        <v>1</v>
      </c>
      <c r="D5" s="278">
        <f>SectorFlows!C7</f>
        <v>136550</v>
      </c>
      <c r="E5">
        <v>125675</v>
      </c>
    </row>
    <row r="6" spans="1:5" x14ac:dyDescent="0.25">
      <c r="A6" t="str">
        <f t="shared" si="0"/>
        <v>2NW-1</v>
      </c>
      <c r="B6" s="283" t="s">
        <v>457</v>
      </c>
      <c r="C6" s="223">
        <v>1</v>
      </c>
      <c r="D6" s="278">
        <f>SectorFlows!C8</f>
        <v>52109</v>
      </c>
      <c r="E6">
        <v>54580</v>
      </c>
    </row>
    <row r="7" spans="1:5" x14ac:dyDescent="0.25">
      <c r="A7" t="str">
        <f t="shared" si="0"/>
        <v>2WNW-1</v>
      </c>
      <c r="B7" s="283" t="s">
        <v>458</v>
      </c>
      <c r="C7" s="223">
        <v>1</v>
      </c>
      <c r="D7" s="278">
        <f>SectorFlows!C9</f>
        <v>23067</v>
      </c>
      <c r="E7">
        <v>25445</v>
      </c>
    </row>
    <row r="8" spans="1:5" x14ac:dyDescent="0.25">
      <c r="A8" t="str">
        <f t="shared" si="0"/>
        <v>2W-1</v>
      </c>
      <c r="B8" s="283" t="s">
        <v>47</v>
      </c>
      <c r="C8" s="223">
        <v>1</v>
      </c>
      <c r="D8" s="278">
        <f>SectorFlows!C10</f>
        <v>31349</v>
      </c>
      <c r="E8">
        <v>32865</v>
      </c>
    </row>
    <row r="9" spans="1:5" x14ac:dyDescent="0.25">
      <c r="A9" t="str">
        <f t="shared" si="0"/>
        <v>2WSW-1</v>
      </c>
      <c r="B9" s="283" t="s">
        <v>459</v>
      </c>
      <c r="C9" s="223">
        <v>1</v>
      </c>
      <c r="D9" s="278">
        <f>SectorFlows!C11</f>
        <v>23457</v>
      </c>
      <c r="E9">
        <v>31780</v>
      </c>
    </row>
    <row r="10" spans="1:5" x14ac:dyDescent="0.25">
      <c r="A10" t="str">
        <f t="shared" si="0"/>
        <v>2SW-1</v>
      </c>
      <c r="B10" s="283" t="s">
        <v>460</v>
      </c>
      <c r="C10" s="223">
        <v>1</v>
      </c>
      <c r="D10" s="278">
        <f>SectorFlows!C12</f>
        <v>48823</v>
      </c>
      <c r="E10">
        <v>45605</v>
      </c>
    </row>
    <row r="11" spans="1:5" x14ac:dyDescent="0.25">
      <c r="A11" t="str">
        <f t="shared" si="0"/>
        <v>2S-1</v>
      </c>
      <c r="B11" s="283" t="s">
        <v>49</v>
      </c>
      <c r="C11" s="223">
        <v>1</v>
      </c>
      <c r="D11" s="278">
        <f>SectorFlows!C13</f>
        <v>88924</v>
      </c>
      <c r="E11">
        <v>102185</v>
      </c>
    </row>
    <row r="12" spans="1:5" x14ac:dyDescent="0.25">
      <c r="A12" t="str">
        <f t="shared" si="0"/>
        <v>3N-1</v>
      </c>
      <c r="B12" s="283" t="s">
        <v>461</v>
      </c>
      <c r="C12" s="223">
        <v>1</v>
      </c>
      <c r="D12" s="278">
        <f>SectorFlows!C14</f>
        <v>13535</v>
      </c>
      <c r="E12">
        <v>4645</v>
      </c>
    </row>
    <row r="13" spans="1:5" x14ac:dyDescent="0.25">
      <c r="A13" t="str">
        <f t="shared" si="0"/>
        <v>3NW-1</v>
      </c>
      <c r="B13" s="283" t="s">
        <v>462</v>
      </c>
      <c r="C13" s="223">
        <v>1</v>
      </c>
      <c r="D13" s="278">
        <f>SectorFlows!C15</f>
        <v>14155</v>
      </c>
      <c r="E13">
        <v>3085</v>
      </c>
    </row>
    <row r="14" spans="1:5" x14ac:dyDescent="0.25">
      <c r="A14" t="str">
        <f t="shared" si="0"/>
        <v>3WNW-1</v>
      </c>
      <c r="B14" s="283" t="s">
        <v>463</v>
      </c>
      <c r="C14" s="223">
        <v>1</v>
      </c>
      <c r="D14" s="278">
        <f>SectorFlows!C16</f>
        <v>10669</v>
      </c>
      <c r="E14">
        <v>4810</v>
      </c>
    </row>
    <row r="15" spans="1:5" x14ac:dyDescent="0.25">
      <c r="A15" t="str">
        <f t="shared" si="0"/>
        <v>3W-1</v>
      </c>
      <c r="B15" s="283" t="s">
        <v>464</v>
      </c>
      <c r="C15" s="223">
        <v>1</v>
      </c>
      <c r="D15" s="278">
        <f>SectorFlows!C17</f>
        <v>12839</v>
      </c>
      <c r="E15">
        <v>8160</v>
      </c>
    </row>
    <row r="16" spans="1:5" x14ac:dyDescent="0.25">
      <c r="A16" t="str">
        <f t="shared" si="0"/>
        <v>3WSW-1</v>
      </c>
      <c r="B16" s="283" t="s">
        <v>465</v>
      </c>
      <c r="C16" s="223">
        <v>1</v>
      </c>
      <c r="D16" s="278">
        <f>SectorFlows!C18</f>
        <v>29728</v>
      </c>
      <c r="E16">
        <v>13885</v>
      </c>
    </row>
    <row r="17" spans="1:5" x14ac:dyDescent="0.25">
      <c r="A17" t="str">
        <f t="shared" si="0"/>
        <v>3SW-1</v>
      </c>
      <c r="B17" s="283" t="s">
        <v>466</v>
      </c>
      <c r="C17" s="223">
        <v>1</v>
      </c>
      <c r="D17" s="278">
        <f>SectorFlows!C19</f>
        <v>22483</v>
      </c>
      <c r="E17">
        <v>12755</v>
      </c>
    </row>
    <row r="18" spans="1:5" x14ac:dyDescent="0.25">
      <c r="A18" t="str">
        <f t="shared" si="0"/>
        <v>3S-1</v>
      </c>
      <c r="B18" s="283" t="s">
        <v>467</v>
      </c>
      <c r="C18" s="223">
        <v>1</v>
      </c>
      <c r="D18" s="278">
        <f>SectorFlows!C20</f>
        <v>15061</v>
      </c>
      <c r="E18">
        <v>11305</v>
      </c>
    </row>
    <row r="19" spans="1:5" x14ac:dyDescent="0.25">
      <c r="A19" t="str">
        <f t="shared" si="0"/>
        <v>XWI-1</v>
      </c>
      <c r="B19" s="283" t="s">
        <v>468</v>
      </c>
      <c r="C19" s="223">
        <v>1</v>
      </c>
      <c r="D19" s="278">
        <f>SectorFlows!C21</f>
        <v>991</v>
      </c>
      <c r="E19">
        <v>150</v>
      </c>
    </row>
    <row r="20" spans="1:5" x14ac:dyDescent="0.25">
      <c r="A20" t="str">
        <f t="shared" si="0"/>
        <v>XIL-1</v>
      </c>
      <c r="B20" s="283" t="s">
        <v>469</v>
      </c>
      <c r="C20" s="223">
        <v>1</v>
      </c>
      <c r="D20" s="278">
        <f>SectorFlows!C22</f>
        <v>2475</v>
      </c>
      <c r="E20">
        <v>300</v>
      </c>
    </row>
    <row r="21" spans="1:5" x14ac:dyDescent="0.25">
      <c r="A21" t="str">
        <f t="shared" si="0"/>
        <v>3IN-1</v>
      </c>
      <c r="B21" s="283" t="s">
        <v>470</v>
      </c>
      <c r="C21" s="223">
        <v>1</v>
      </c>
      <c r="D21" s="278">
        <f>SectorFlows!C23</f>
        <v>9932</v>
      </c>
      <c r="E21">
        <v>9265</v>
      </c>
    </row>
    <row r="22" spans="1:5" x14ac:dyDescent="0.25">
      <c r="A22" t="str">
        <f t="shared" si="0"/>
        <v>XIN-1</v>
      </c>
      <c r="B22" s="283" t="s">
        <v>471</v>
      </c>
      <c r="C22" s="223">
        <v>1</v>
      </c>
      <c r="D22" s="278">
        <f>SectorFlows!C24</f>
        <v>4193</v>
      </c>
      <c r="E22">
        <v>875</v>
      </c>
    </row>
    <row r="23" spans="1:5" x14ac:dyDescent="0.25">
      <c r="A23" t="str">
        <f t="shared" si="0"/>
        <v>4NW-1</v>
      </c>
      <c r="B23" s="283" t="s">
        <v>472</v>
      </c>
      <c r="C23" s="223">
        <v>1</v>
      </c>
      <c r="D23" s="278">
        <f>SectorFlows!C25</f>
        <v>14193</v>
      </c>
      <c r="E23">
        <v>2945</v>
      </c>
    </row>
    <row r="24" spans="1:5" x14ac:dyDescent="0.25">
      <c r="A24" t="str">
        <f t="shared" si="0"/>
        <v>4N-1</v>
      </c>
      <c r="B24" s="283" t="s">
        <v>473</v>
      </c>
      <c r="C24" s="223">
        <v>1</v>
      </c>
      <c r="D24" s="278">
        <f>SectorFlows!C26</f>
        <v>6673</v>
      </c>
      <c r="E24">
        <v>2830</v>
      </c>
    </row>
    <row r="25" spans="1:5" x14ac:dyDescent="0.25">
      <c r="A25" t="str">
        <f t="shared" si="0"/>
        <v>4WNW-1</v>
      </c>
      <c r="B25" s="283" t="s">
        <v>474</v>
      </c>
      <c r="C25" s="223">
        <v>1</v>
      </c>
      <c r="D25" s="278">
        <f>SectorFlows!C27</f>
        <v>2681</v>
      </c>
      <c r="E25">
        <v>645</v>
      </c>
    </row>
    <row r="26" spans="1:5" x14ac:dyDescent="0.25">
      <c r="A26" t="str">
        <f t="shared" si="0"/>
        <v>4W-1</v>
      </c>
      <c r="B26" s="283" t="s">
        <v>475</v>
      </c>
      <c r="C26" s="223">
        <v>1</v>
      </c>
      <c r="D26" s="278">
        <f>SectorFlows!C28</f>
        <v>2509</v>
      </c>
      <c r="E26">
        <v>1015</v>
      </c>
    </row>
    <row r="27" spans="1:5" x14ac:dyDescent="0.25">
      <c r="A27" t="str">
        <f t="shared" si="0"/>
        <v>4WSW-1</v>
      </c>
      <c r="B27" s="283" t="s">
        <v>476</v>
      </c>
      <c r="C27" s="223">
        <v>1</v>
      </c>
      <c r="D27" s="278">
        <f>SectorFlows!C29</f>
        <v>4522</v>
      </c>
      <c r="E27">
        <v>1635</v>
      </c>
    </row>
    <row r="28" spans="1:5" x14ac:dyDescent="0.25">
      <c r="A28" t="str">
        <f t="shared" si="0"/>
        <v>4SW-1</v>
      </c>
      <c r="B28" s="284" t="s">
        <v>477</v>
      </c>
      <c r="C28" s="281">
        <v>1</v>
      </c>
      <c r="D28" s="278">
        <f>SectorFlows!C30</f>
        <v>13044</v>
      </c>
      <c r="E28">
        <v>6070</v>
      </c>
    </row>
    <row r="29" spans="1:5" x14ac:dyDescent="0.25">
      <c r="A29" t="str">
        <f t="shared" si="0"/>
        <v>1-2N</v>
      </c>
      <c r="B29" s="280">
        <v>1</v>
      </c>
      <c r="C29" s="223" t="s">
        <v>456</v>
      </c>
      <c r="D29" s="278">
        <f>SectorFlows!D6</f>
        <v>17573</v>
      </c>
      <c r="E29">
        <v>6245</v>
      </c>
    </row>
    <row r="30" spans="1:5" x14ac:dyDescent="0.25">
      <c r="A30" t="str">
        <f t="shared" si="0"/>
        <v>2N-2N</v>
      </c>
      <c r="B30" s="223" t="s">
        <v>456</v>
      </c>
      <c r="C30" s="223" t="s">
        <v>456</v>
      </c>
      <c r="D30" s="278">
        <f>SectorFlows!D7</f>
        <v>115562</v>
      </c>
      <c r="E30">
        <v>181190</v>
      </c>
    </row>
    <row r="31" spans="1:5" x14ac:dyDescent="0.25">
      <c r="A31" t="str">
        <f t="shared" si="0"/>
        <v>2NW-2N</v>
      </c>
      <c r="B31" s="223" t="s">
        <v>457</v>
      </c>
      <c r="C31" s="223" t="s">
        <v>456</v>
      </c>
      <c r="D31" s="278">
        <f>SectorFlows!D8</f>
        <v>38388</v>
      </c>
      <c r="E31">
        <v>27180</v>
      </c>
    </row>
    <row r="32" spans="1:5" x14ac:dyDescent="0.25">
      <c r="A32" t="str">
        <f t="shared" si="0"/>
        <v>2WNW-2N</v>
      </c>
      <c r="B32" s="223" t="s">
        <v>458</v>
      </c>
      <c r="C32" s="223" t="s">
        <v>456</v>
      </c>
      <c r="D32" s="278">
        <f>SectorFlows!D9</f>
        <v>16634</v>
      </c>
      <c r="E32">
        <v>6355</v>
      </c>
    </row>
    <row r="33" spans="1:5" x14ac:dyDescent="0.25">
      <c r="A33" t="str">
        <f t="shared" si="0"/>
        <v>2W-2N</v>
      </c>
      <c r="B33" s="223" t="s">
        <v>47</v>
      </c>
      <c r="C33" s="223" t="s">
        <v>456</v>
      </c>
      <c r="D33" s="278">
        <f>SectorFlows!D10</f>
        <v>10193</v>
      </c>
      <c r="E33">
        <v>2185</v>
      </c>
    </row>
    <row r="34" spans="1:5" x14ac:dyDescent="0.25">
      <c r="A34" t="str">
        <f t="shared" si="0"/>
        <v>2WSW-2N</v>
      </c>
      <c r="B34" s="223" t="s">
        <v>459</v>
      </c>
      <c r="C34" s="223" t="s">
        <v>456</v>
      </c>
      <c r="D34" s="278">
        <f>SectorFlows!D11</f>
        <v>8002</v>
      </c>
      <c r="E34">
        <v>960</v>
      </c>
    </row>
    <row r="35" spans="1:5" x14ac:dyDescent="0.25">
      <c r="A35" t="str">
        <f t="shared" si="0"/>
        <v>2SW-2N</v>
      </c>
      <c r="B35" s="223" t="s">
        <v>460</v>
      </c>
      <c r="C35" s="223" t="s">
        <v>456</v>
      </c>
      <c r="D35" s="278">
        <f>SectorFlows!D12</f>
        <v>14111</v>
      </c>
      <c r="E35">
        <v>1370</v>
      </c>
    </row>
    <row r="36" spans="1:5" x14ac:dyDescent="0.25">
      <c r="A36" t="str">
        <f t="shared" si="0"/>
        <v>2S-2N</v>
      </c>
      <c r="B36" s="223" t="s">
        <v>49</v>
      </c>
      <c r="C36" s="223" t="s">
        <v>456</v>
      </c>
      <c r="D36" s="278">
        <f>SectorFlows!D13</f>
        <v>23264</v>
      </c>
      <c r="E36">
        <v>2485</v>
      </c>
    </row>
    <row r="37" spans="1:5" x14ac:dyDescent="0.25">
      <c r="A37" t="str">
        <f t="shared" si="0"/>
        <v>3N-2N</v>
      </c>
      <c r="B37" s="223" t="s">
        <v>461</v>
      </c>
      <c r="C37" s="223" t="s">
        <v>456</v>
      </c>
      <c r="D37" s="278">
        <f>SectorFlows!D14</f>
        <v>7801</v>
      </c>
      <c r="E37">
        <v>9700</v>
      </c>
    </row>
    <row r="38" spans="1:5" x14ac:dyDescent="0.25">
      <c r="A38" t="str">
        <f t="shared" si="0"/>
        <v>3NW-2N</v>
      </c>
      <c r="B38" s="223" t="s">
        <v>462</v>
      </c>
      <c r="C38" s="223" t="s">
        <v>456</v>
      </c>
      <c r="D38" s="278">
        <f>SectorFlows!D15</f>
        <v>8899</v>
      </c>
      <c r="E38">
        <v>3895</v>
      </c>
    </row>
    <row r="39" spans="1:5" x14ac:dyDescent="0.25">
      <c r="A39" t="str">
        <f t="shared" si="0"/>
        <v>3WNW-2N</v>
      </c>
      <c r="B39" s="223" t="s">
        <v>463</v>
      </c>
      <c r="C39" s="223" t="s">
        <v>456</v>
      </c>
      <c r="D39" s="278">
        <f>SectorFlows!D16</f>
        <v>5044</v>
      </c>
      <c r="E39">
        <v>1855</v>
      </c>
    </row>
    <row r="40" spans="1:5" x14ac:dyDescent="0.25">
      <c r="A40" t="str">
        <f t="shared" si="0"/>
        <v>3W-2N</v>
      </c>
      <c r="B40" s="223" t="s">
        <v>464</v>
      </c>
      <c r="C40" s="223" t="s">
        <v>456</v>
      </c>
      <c r="D40" s="278">
        <f>SectorFlows!D17</f>
        <v>2149</v>
      </c>
      <c r="E40">
        <v>390</v>
      </c>
    </row>
    <row r="41" spans="1:5" x14ac:dyDescent="0.25">
      <c r="A41" t="str">
        <f t="shared" si="0"/>
        <v>3WSW-2N</v>
      </c>
      <c r="B41" s="223" t="s">
        <v>465</v>
      </c>
      <c r="C41" s="223" t="s">
        <v>456</v>
      </c>
      <c r="D41" s="278">
        <f>SectorFlows!D18</f>
        <v>3646</v>
      </c>
      <c r="E41">
        <v>200</v>
      </c>
    </row>
    <row r="42" spans="1:5" x14ac:dyDescent="0.25">
      <c r="A42" t="str">
        <f t="shared" si="0"/>
        <v>3SW-2N</v>
      </c>
      <c r="B42" s="223" t="s">
        <v>466</v>
      </c>
      <c r="C42" s="223" t="s">
        <v>456</v>
      </c>
      <c r="D42" s="278">
        <f>SectorFlows!D19</f>
        <v>5264</v>
      </c>
      <c r="E42">
        <v>205</v>
      </c>
    </row>
    <row r="43" spans="1:5" x14ac:dyDescent="0.25">
      <c r="A43" t="str">
        <f t="shared" si="0"/>
        <v>3S-2N</v>
      </c>
      <c r="B43" s="223" t="s">
        <v>467</v>
      </c>
      <c r="C43" s="223" t="s">
        <v>456</v>
      </c>
      <c r="D43" s="278">
        <f>SectorFlows!D20</f>
        <v>3063</v>
      </c>
      <c r="E43">
        <v>275</v>
      </c>
    </row>
    <row r="44" spans="1:5" x14ac:dyDescent="0.25">
      <c r="A44" t="str">
        <f t="shared" si="0"/>
        <v>XWI-2N</v>
      </c>
      <c r="B44" s="223" t="s">
        <v>468</v>
      </c>
      <c r="C44" s="223" t="s">
        <v>456</v>
      </c>
      <c r="D44" s="278">
        <f>SectorFlows!D21</f>
        <v>601</v>
      </c>
      <c r="E44">
        <v>215</v>
      </c>
    </row>
    <row r="45" spans="1:5" x14ac:dyDescent="0.25">
      <c r="A45" t="str">
        <f t="shared" si="0"/>
        <v>XIL-2N</v>
      </c>
      <c r="B45" s="223" t="s">
        <v>469</v>
      </c>
      <c r="C45" s="223" t="s">
        <v>456</v>
      </c>
      <c r="D45" s="278">
        <f>SectorFlows!D22</f>
        <v>527</v>
      </c>
      <c r="E45">
        <v>10</v>
      </c>
    </row>
    <row r="46" spans="1:5" x14ac:dyDescent="0.25">
      <c r="A46" t="str">
        <f t="shared" si="0"/>
        <v>3IN-2N</v>
      </c>
      <c r="B46" s="223" t="s">
        <v>470</v>
      </c>
      <c r="C46" s="223" t="s">
        <v>456</v>
      </c>
      <c r="D46" s="278">
        <f>SectorFlows!D23</f>
        <v>1906</v>
      </c>
      <c r="E46">
        <v>185</v>
      </c>
    </row>
    <row r="47" spans="1:5" x14ac:dyDescent="0.25">
      <c r="A47" t="str">
        <f t="shared" si="0"/>
        <v>XIN-2N</v>
      </c>
      <c r="B47" s="223" t="s">
        <v>471</v>
      </c>
      <c r="C47" s="223" t="s">
        <v>456</v>
      </c>
      <c r="D47" s="278">
        <f>SectorFlows!D24</f>
        <v>531</v>
      </c>
      <c r="E47">
        <v>15</v>
      </c>
    </row>
    <row r="48" spans="1:5" x14ac:dyDescent="0.25">
      <c r="A48" t="str">
        <f t="shared" si="0"/>
        <v>4NW-2N</v>
      </c>
      <c r="B48" s="223" t="s">
        <v>472</v>
      </c>
      <c r="C48" s="223" t="s">
        <v>456</v>
      </c>
      <c r="D48" s="278">
        <f>SectorFlows!D25</f>
        <v>7915</v>
      </c>
      <c r="E48">
        <v>2875</v>
      </c>
    </row>
    <row r="49" spans="1:5" x14ac:dyDescent="0.25">
      <c r="A49" t="str">
        <f t="shared" si="0"/>
        <v>4N-2N</v>
      </c>
      <c r="B49" s="223" t="s">
        <v>473</v>
      </c>
      <c r="C49" s="223" t="s">
        <v>456</v>
      </c>
      <c r="D49" s="278">
        <f>SectorFlows!D26</f>
        <v>3424</v>
      </c>
      <c r="E49">
        <v>2480</v>
      </c>
    </row>
    <row r="50" spans="1:5" x14ac:dyDescent="0.25">
      <c r="A50" t="str">
        <f t="shared" si="0"/>
        <v>4WNW-2N</v>
      </c>
      <c r="B50" s="223" t="s">
        <v>474</v>
      </c>
      <c r="C50" s="223" t="s">
        <v>456</v>
      </c>
      <c r="D50" s="278">
        <f>SectorFlows!D27</f>
        <v>1430</v>
      </c>
      <c r="E50">
        <v>345</v>
      </c>
    </row>
    <row r="51" spans="1:5" x14ac:dyDescent="0.25">
      <c r="A51" t="str">
        <f t="shared" si="0"/>
        <v>4W-2N</v>
      </c>
      <c r="B51" s="223" t="s">
        <v>475</v>
      </c>
      <c r="C51" s="223" t="s">
        <v>456</v>
      </c>
      <c r="D51" s="278">
        <f>SectorFlows!D28</f>
        <v>533</v>
      </c>
      <c r="E51">
        <v>45</v>
      </c>
    </row>
    <row r="52" spans="1:5" x14ac:dyDescent="0.25">
      <c r="A52" t="str">
        <f t="shared" si="0"/>
        <v>4WSW-2N</v>
      </c>
      <c r="B52" s="223" t="s">
        <v>476</v>
      </c>
      <c r="C52" s="223" t="s">
        <v>456</v>
      </c>
      <c r="D52" s="278">
        <f>SectorFlows!D29</f>
        <v>795</v>
      </c>
      <c r="E52">
        <v>15</v>
      </c>
    </row>
    <row r="53" spans="1:5" x14ac:dyDescent="0.25">
      <c r="A53" t="str">
        <f t="shared" si="0"/>
        <v>4SW-2N</v>
      </c>
      <c r="B53" s="281" t="s">
        <v>477</v>
      </c>
      <c r="C53" s="223" t="s">
        <v>456</v>
      </c>
      <c r="D53" s="278">
        <f>SectorFlows!D30</f>
        <v>2286</v>
      </c>
      <c r="E53">
        <v>85</v>
      </c>
    </row>
    <row r="54" spans="1:5" x14ac:dyDescent="0.25">
      <c r="A54" t="str">
        <f t="shared" si="0"/>
        <v>1-2NW</v>
      </c>
      <c r="B54" s="280">
        <v>1</v>
      </c>
      <c r="C54" s="223" t="s">
        <v>457</v>
      </c>
      <c r="D54" s="278">
        <f>SectorFlows!E6</f>
        <v>8045</v>
      </c>
      <c r="E54">
        <v>4005</v>
      </c>
    </row>
    <row r="55" spans="1:5" x14ac:dyDescent="0.25">
      <c r="A55" t="str">
        <f t="shared" si="0"/>
        <v>2N-2NW</v>
      </c>
      <c r="B55" s="223" t="s">
        <v>456</v>
      </c>
      <c r="C55" s="223" t="s">
        <v>457</v>
      </c>
      <c r="D55" s="278">
        <f>SectorFlows!E7</f>
        <v>29402</v>
      </c>
      <c r="E55">
        <v>35385</v>
      </c>
    </row>
    <row r="56" spans="1:5" x14ac:dyDescent="0.25">
      <c r="A56" t="str">
        <f t="shared" si="0"/>
        <v>2NW-2NW</v>
      </c>
      <c r="B56" s="223" t="s">
        <v>457</v>
      </c>
      <c r="C56" s="223" t="s">
        <v>457</v>
      </c>
      <c r="D56" s="278">
        <f>SectorFlows!E8</f>
        <v>64171</v>
      </c>
      <c r="E56">
        <v>97690</v>
      </c>
    </row>
    <row r="57" spans="1:5" x14ac:dyDescent="0.25">
      <c r="A57" t="str">
        <f t="shared" si="0"/>
        <v>2WNW-2NW</v>
      </c>
      <c r="B57" s="223" t="s">
        <v>458</v>
      </c>
      <c r="C57" s="223" t="s">
        <v>457</v>
      </c>
      <c r="D57" s="278">
        <f>SectorFlows!E9</f>
        <v>19299</v>
      </c>
      <c r="E57">
        <v>22140</v>
      </c>
    </row>
    <row r="58" spans="1:5" x14ac:dyDescent="0.25">
      <c r="A58" t="str">
        <f t="shared" si="0"/>
        <v>2W-2NW</v>
      </c>
      <c r="B58" s="223" t="s">
        <v>47</v>
      </c>
      <c r="C58" s="223" t="s">
        <v>457</v>
      </c>
      <c r="D58" s="278">
        <f>SectorFlows!E10</f>
        <v>9659</v>
      </c>
      <c r="E58">
        <v>12165</v>
      </c>
    </row>
    <row r="59" spans="1:5" x14ac:dyDescent="0.25">
      <c r="A59" t="str">
        <f t="shared" si="0"/>
        <v>2WSW-2NW</v>
      </c>
      <c r="B59" s="223" t="s">
        <v>459</v>
      </c>
      <c r="C59" s="223" t="s">
        <v>457</v>
      </c>
      <c r="D59" s="278">
        <f>SectorFlows!E11</f>
        <v>6576</v>
      </c>
      <c r="E59">
        <v>4335</v>
      </c>
    </row>
    <row r="60" spans="1:5" x14ac:dyDescent="0.25">
      <c r="A60" t="str">
        <f t="shared" si="0"/>
        <v>2SW-2NW</v>
      </c>
      <c r="B60" s="223" t="s">
        <v>460</v>
      </c>
      <c r="C60" s="223" t="s">
        <v>457</v>
      </c>
      <c r="D60" s="278">
        <f>SectorFlows!E12</f>
        <v>10205</v>
      </c>
      <c r="E60">
        <v>2205</v>
      </c>
    </row>
    <row r="61" spans="1:5" x14ac:dyDescent="0.25">
      <c r="A61" t="str">
        <f t="shared" si="0"/>
        <v>2S-2NW</v>
      </c>
      <c r="B61" s="223" t="s">
        <v>49</v>
      </c>
      <c r="C61" s="223" t="s">
        <v>457</v>
      </c>
      <c r="D61" s="278">
        <f>SectorFlows!E13</f>
        <v>11647</v>
      </c>
      <c r="E61">
        <v>4830</v>
      </c>
    </row>
    <row r="62" spans="1:5" x14ac:dyDescent="0.25">
      <c r="A62" t="str">
        <f t="shared" si="0"/>
        <v>3N-2NW</v>
      </c>
      <c r="B62" s="223" t="s">
        <v>461</v>
      </c>
      <c r="C62" s="223" t="s">
        <v>457</v>
      </c>
      <c r="D62" s="278">
        <f>SectorFlows!E14</f>
        <v>4046</v>
      </c>
      <c r="E62">
        <v>6255</v>
      </c>
    </row>
    <row r="63" spans="1:5" x14ac:dyDescent="0.25">
      <c r="A63" t="str">
        <f t="shared" si="0"/>
        <v>3NW-2NW</v>
      </c>
      <c r="B63" s="223" t="s">
        <v>462</v>
      </c>
      <c r="C63" s="223" t="s">
        <v>457</v>
      </c>
      <c r="D63" s="278">
        <f>SectorFlows!E15</f>
        <v>15990</v>
      </c>
      <c r="E63">
        <v>20400</v>
      </c>
    </row>
    <row r="64" spans="1:5" x14ac:dyDescent="0.25">
      <c r="A64" t="str">
        <f t="shared" si="0"/>
        <v>3WNW-2NW</v>
      </c>
      <c r="B64" s="223" t="s">
        <v>463</v>
      </c>
      <c r="C64" s="223" t="s">
        <v>457</v>
      </c>
      <c r="D64" s="278">
        <f>SectorFlows!E16</f>
        <v>12520</v>
      </c>
      <c r="E64">
        <v>14160</v>
      </c>
    </row>
    <row r="65" spans="1:5" x14ac:dyDescent="0.25">
      <c r="A65" t="str">
        <f t="shared" si="0"/>
        <v>3W-2NW</v>
      </c>
      <c r="B65" s="223" t="s">
        <v>464</v>
      </c>
      <c r="C65" s="223" t="s">
        <v>457</v>
      </c>
      <c r="D65" s="278">
        <f>SectorFlows!E17</f>
        <v>4743</v>
      </c>
      <c r="E65">
        <v>5140</v>
      </c>
    </row>
    <row r="66" spans="1:5" x14ac:dyDescent="0.25">
      <c r="A66" t="str">
        <f t="shared" si="0"/>
        <v>3WSW-2NW</v>
      </c>
      <c r="B66" s="223" t="s">
        <v>465</v>
      </c>
      <c r="C66" s="223" t="s">
        <v>457</v>
      </c>
      <c r="D66" s="278">
        <f>SectorFlows!E18</f>
        <v>5515</v>
      </c>
      <c r="E66">
        <v>3345</v>
      </c>
    </row>
    <row r="67" spans="1:5" x14ac:dyDescent="0.25">
      <c r="A67" t="str">
        <f t="shared" si="0"/>
        <v>3SW-2NW</v>
      </c>
      <c r="B67" s="223" t="s">
        <v>466</v>
      </c>
      <c r="C67" s="223" t="s">
        <v>457</v>
      </c>
      <c r="D67" s="278">
        <f>SectorFlows!E19</f>
        <v>4405</v>
      </c>
      <c r="E67">
        <v>930</v>
      </c>
    </row>
    <row r="68" spans="1:5" x14ac:dyDescent="0.25">
      <c r="A68" t="str">
        <f t="shared" si="0"/>
        <v>3S-2NW</v>
      </c>
      <c r="B68" s="223" t="s">
        <v>467</v>
      </c>
      <c r="C68" s="223" t="s">
        <v>457</v>
      </c>
      <c r="D68" s="278">
        <f>SectorFlows!E20</f>
        <v>2113</v>
      </c>
      <c r="E68">
        <v>285</v>
      </c>
    </row>
    <row r="69" spans="1:5" x14ac:dyDescent="0.25">
      <c r="A69" t="str">
        <f t="shared" ref="A69:A132" si="1">CONCATENATE(B:B,"-",C:C)</f>
        <v>XWI-2NW</v>
      </c>
      <c r="B69" s="223" t="s">
        <v>468</v>
      </c>
      <c r="C69" s="223" t="s">
        <v>457</v>
      </c>
      <c r="D69" s="278">
        <f>SectorFlows!E21</f>
        <v>830</v>
      </c>
      <c r="E69">
        <v>255</v>
      </c>
    </row>
    <row r="70" spans="1:5" x14ac:dyDescent="0.25">
      <c r="A70" t="str">
        <f t="shared" si="1"/>
        <v>XIL-2NW</v>
      </c>
      <c r="B70" s="223" t="s">
        <v>469</v>
      </c>
      <c r="C70" s="223" t="s">
        <v>457</v>
      </c>
      <c r="D70" s="278">
        <f>SectorFlows!E22</f>
        <v>1204</v>
      </c>
      <c r="E70">
        <v>90</v>
      </c>
    </row>
    <row r="71" spans="1:5" x14ac:dyDescent="0.25">
      <c r="A71" t="str">
        <f t="shared" si="1"/>
        <v>3IN-2NW</v>
      </c>
      <c r="B71" s="223" t="s">
        <v>470</v>
      </c>
      <c r="C71" s="223" t="s">
        <v>457</v>
      </c>
      <c r="D71" s="278">
        <f>SectorFlows!E23</f>
        <v>1734</v>
      </c>
      <c r="E71">
        <v>330</v>
      </c>
    </row>
    <row r="72" spans="1:5" x14ac:dyDescent="0.25">
      <c r="A72" t="str">
        <f t="shared" si="1"/>
        <v>XIN-2NW</v>
      </c>
      <c r="B72" s="223" t="s">
        <v>471</v>
      </c>
      <c r="C72" s="223" t="s">
        <v>457</v>
      </c>
      <c r="D72" s="278">
        <f>SectorFlows!E24</f>
        <v>478</v>
      </c>
      <c r="E72">
        <v>5</v>
      </c>
    </row>
    <row r="73" spans="1:5" x14ac:dyDescent="0.25">
      <c r="A73" t="str">
        <f t="shared" si="1"/>
        <v>4NW-2NW</v>
      </c>
      <c r="B73" s="223" t="s">
        <v>472</v>
      </c>
      <c r="C73" s="223" t="s">
        <v>457</v>
      </c>
      <c r="D73" s="278">
        <f>SectorFlows!E25</f>
        <v>10499</v>
      </c>
      <c r="E73">
        <v>11100</v>
      </c>
    </row>
    <row r="74" spans="1:5" x14ac:dyDescent="0.25">
      <c r="A74" t="str">
        <f t="shared" si="1"/>
        <v>4N-2NW</v>
      </c>
      <c r="B74" s="223" t="s">
        <v>473</v>
      </c>
      <c r="C74" s="223" t="s">
        <v>457</v>
      </c>
      <c r="D74" s="278">
        <f>SectorFlows!E26</f>
        <v>2177</v>
      </c>
      <c r="E74">
        <v>1890</v>
      </c>
    </row>
    <row r="75" spans="1:5" x14ac:dyDescent="0.25">
      <c r="A75" t="str">
        <f t="shared" si="1"/>
        <v>4WNW-2NW</v>
      </c>
      <c r="B75" s="223" t="s">
        <v>474</v>
      </c>
      <c r="C75" s="223" t="s">
        <v>457</v>
      </c>
      <c r="D75" s="278">
        <f>SectorFlows!E27</f>
        <v>2508</v>
      </c>
      <c r="E75">
        <v>2965</v>
      </c>
    </row>
    <row r="76" spans="1:5" x14ac:dyDescent="0.25">
      <c r="A76" t="str">
        <f t="shared" si="1"/>
        <v>4W-2NW</v>
      </c>
      <c r="B76" s="223" t="s">
        <v>475</v>
      </c>
      <c r="C76" s="223" t="s">
        <v>457</v>
      </c>
      <c r="D76" s="278">
        <f>SectorFlows!E28</f>
        <v>1099</v>
      </c>
      <c r="E76">
        <v>715</v>
      </c>
    </row>
    <row r="77" spans="1:5" x14ac:dyDescent="0.25">
      <c r="A77" t="str">
        <f t="shared" si="1"/>
        <v>4WSW-2NW</v>
      </c>
      <c r="B77" s="223" t="s">
        <v>476</v>
      </c>
      <c r="C77" s="223" t="s">
        <v>457</v>
      </c>
      <c r="D77" s="278">
        <f>SectorFlows!E29</f>
        <v>1053</v>
      </c>
      <c r="E77">
        <v>410</v>
      </c>
    </row>
    <row r="78" spans="1:5" x14ac:dyDescent="0.25">
      <c r="A78" t="str">
        <f t="shared" si="1"/>
        <v>4SW-2NW</v>
      </c>
      <c r="B78" s="281" t="s">
        <v>477</v>
      </c>
      <c r="C78" s="223" t="s">
        <v>457</v>
      </c>
      <c r="D78" s="278">
        <f>SectorFlows!E30</f>
        <v>2777</v>
      </c>
      <c r="E78">
        <v>720</v>
      </c>
    </row>
    <row r="79" spans="1:5" x14ac:dyDescent="0.25">
      <c r="A79" t="str">
        <f t="shared" si="1"/>
        <v>1-2WNW</v>
      </c>
      <c r="B79" s="280">
        <v>1</v>
      </c>
      <c r="C79" s="223" t="s">
        <v>458</v>
      </c>
      <c r="D79" s="278">
        <f>SectorFlows!F6</f>
        <v>2211</v>
      </c>
      <c r="E79">
        <v>2045</v>
      </c>
    </row>
    <row r="80" spans="1:5" x14ac:dyDescent="0.25">
      <c r="A80" t="str">
        <f t="shared" si="1"/>
        <v>2N-2WNW</v>
      </c>
      <c r="B80" s="223" t="s">
        <v>456</v>
      </c>
      <c r="C80" s="223" t="s">
        <v>458</v>
      </c>
      <c r="D80" s="278">
        <f>SectorFlows!F7</f>
        <v>4892</v>
      </c>
      <c r="E80">
        <v>5235</v>
      </c>
    </row>
    <row r="81" spans="1:5" x14ac:dyDescent="0.25">
      <c r="A81" t="str">
        <f t="shared" si="1"/>
        <v>2NW-2WNW</v>
      </c>
      <c r="B81" s="223" t="s">
        <v>457</v>
      </c>
      <c r="C81" s="223" t="s">
        <v>458</v>
      </c>
      <c r="D81" s="278">
        <f>SectorFlows!F8</f>
        <v>9816</v>
      </c>
      <c r="E81">
        <v>13605</v>
      </c>
    </row>
    <row r="82" spans="1:5" x14ac:dyDescent="0.25">
      <c r="A82" t="str">
        <f t="shared" si="1"/>
        <v>2WNW-2WNW</v>
      </c>
      <c r="B82" s="223" t="s">
        <v>458</v>
      </c>
      <c r="C82" s="223" t="s">
        <v>458</v>
      </c>
      <c r="D82" s="278">
        <f>SectorFlows!F9</f>
        <v>16358</v>
      </c>
      <c r="E82">
        <v>29120</v>
      </c>
    </row>
    <row r="83" spans="1:5" x14ac:dyDescent="0.25">
      <c r="A83" t="str">
        <f t="shared" si="1"/>
        <v>2W-2WNW</v>
      </c>
      <c r="B83" s="223" t="s">
        <v>47</v>
      </c>
      <c r="C83" s="223" t="s">
        <v>458</v>
      </c>
      <c r="D83" s="278">
        <f>SectorFlows!F10</f>
        <v>6209</v>
      </c>
      <c r="E83">
        <v>9470</v>
      </c>
    </row>
    <row r="84" spans="1:5" x14ac:dyDescent="0.25">
      <c r="A84" t="str">
        <f t="shared" si="1"/>
        <v>2WSW-2WNW</v>
      </c>
      <c r="B84" s="223" t="s">
        <v>459</v>
      </c>
      <c r="C84" s="223" t="s">
        <v>458</v>
      </c>
      <c r="D84" s="278">
        <f>SectorFlows!F11</f>
        <v>3541</v>
      </c>
      <c r="E84">
        <v>3315</v>
      </c>
    </row>
    <row r="85" spans="1:5" x14ac:dyDescent="0.25">
      <c r="A85" t="str">
        <f t="shared" si="1"/>
        <v>2SW-2WNW</v>
      </c>
      <c r="B85" s="223" t="s">
        <v>460</v>
      </c>
      <c r="C85" s="223" t="s">
        <v>458</v>
      </c>
      <c r="D85" s="278">
        <f>SectorFlows!F12</f>
        <v>4249</v>
      </c>
      <c r="E85">
        <v>1700</v>
      </c>
    </row>
    <row r="86" spans="1:5" x14ac:dyDescent="0.25">
      <c r="A86" t="str">
        <f t="shared" si="1"/>
        <v>2S-2WNW</v>
      </c>
      <c r="B86" s="223" t="s">
        <v>49</v>
      </c>
      <c r="C86" s="223" t="s">
        <v>458</v>
      </c>
      <c r="D86" s="278">
        <f>SectorFlows!F13</f>
        <v>4403</v>
      </c>
      <c r="E86">
        <v>935</v>
      </c>
    </row>
    <row r="87" spans="1:5" x14ac:dyDescent="0.25">
      <c r="A87" t="str">
        <f t="shared" si="1"/>
        <v>3N-2WNW</v>
      </c>
      <c r="B87" s="223" t="s">
        <v>461</v>
      </c>
      <c r="C87" s="223" t="s">
        <v>458</v>
      </c>
      <c r="D87" s="278">
        <f>SectorFlows!F14</f>
        <v>461</v>
      </c>
      <c r="E87">
        <v>350</v>
      </c>
    </row>
    <row r="88" spans="1:5" x14ac:dyDescent="0.25">
      <c r="A88" t="str">
        <f t="shared" si="1"/>
        <v>3NW-2WNW</v>
      </c>
      <c r="B88" s="223" t="s">
        <v>462</v>
      </c>
      <c r="C88" s="223" t="s">
        <v>458</v>
      </c>
      <c r="D88" s="278">
        <f>SectorFlows!F15</f>
        <v>1580</v>
      </c>
      <c r="E88">
        <v>1205</v>
      </c>
    </row>
    <row r="89" spans="1:5" x14ac:dyDescent="0.25">
      <c r="A89" t="str">
        <f t="shared" si="1"/>
        <v>3WNW-2WNW</v>
      </c>
      <c r="B89" s="223" t="s">
        <v>463</v>
      </c>
      <c r="C89" s="223" t="s">
        <v>458</v>
      </c>
      <c r="D89" s="278">
        <f>SectorFlows!F16</f>
        <v>2850</v>
      </c>
      <c r="E89">
        <v>3205</v>
      </c>
    </row>
    <row r="90" spans="1:5" x14ac:dyDescent="0.25">
      <c r="A90" t="str">
        <f t="shared" si="1"/>
        <v>3W-2WNW</v>
      </c>
      <c r="B90" s="223" t="s">
        <v>464</v>
      </c>
      <c r="C90" s="223" t="s">
        <v>458</v>
      </c>
      <c r="D90" s="278">
        <f>SectorFlows!F17</f>
        <v>1595</v>
      </c>
      <c r="E90">
        <v>2690</v>
      </c>
    </row>
    <row r="91" spans="1:5" x14ac:dyDescent="0.25">
      <c r="A91" t="str">
        <f t="shared" si="1"/>
        <v>3WSW-2WNW</v>
      </c>
      <c r="B91" s="223" t="s">
        <v>465</v>
      </c>
      <c r="C91" s="223" t="s">
        <v>458</v>
      </c>
      <c r="D91" s="278">
        <f>SectorFlows!F18</f>
        <v>1331</v>
      </c>
      <c r="E91">
        <v>1510</v>
      </c>
    </row>
    <row r="92" spans="1:5" x14ac:dyDescent="0.25">
      <c r="A92" t="str">
        <f t="shared" si="1"/>
        <v>3SW-2WNW</v>
      </c>
      <c r="B92" s="223" t="s">
        <v>466</v>
      </c>
      <c r="C92" s="223" t="s">
        <v>458</v>
      </c>
      <c r="D92" s="278">
        <f>SectorFlows!F19</f>
        <v>1609</v>
      </c>
      <c r="E92">
        <v>940</v>
      </c>
    </row>
    <row r="93" spans="1:5" x14ac:dyDescent="0.25">
      <c r="A93" t="str">
        <f t="shared" si="1"/>
        <v>3S-2WNW</v>
      </c>
      <c r="B93" s="223" t="s">
        <v>467</v>
      </c>
      <c r="C93" s="223" t="s">
        <v>458</v>
      </c>
      <c r="D93" s="278">
        <f>SectorFlows!F20</f>
        <v>478</v>
      </c>
      <c r="E93">
        <v>45</v>
      </c>
    </row>
    <row r="94" spans="1:5" x14ac:dyDescent="0.25">
      <c r="A94" t="str">
        <f t="shared" si="1"/>
        <v>XWI-2WNW</v>
      </c>
      <c r="B94" s="223" t="s">
        <v>468</v>
      </c>
      <c r="C94" s="223" t="s">
        <v>458</v>
      </c>
      <c r="D94" s="278">
        <f>SectorFlows!F21</f>
        <v>110</v>
      </c>
      <c r="E94">
        <v>10</v>
      </c>
    </row>
    <row r="95" spans="1:5" x14ac:dyDescent="0.25">
      <c r="A95" t="str">
        <f t="shared" si="1"/>
        <v>XIL-2WNW</v>
      </c>
      <c r="B95" s="223" t="s">
        <v>469</v>
      </c>
      <c r="C95" s="223" t="s">
        <v>458</v>
      </c>
      <c r="D95" s="278">
        <f>SectorFlows!F22</f>
        <v>304</v>
      </c>
      <c r="E95">
        <v>35</v>
      </c>
    </row>
    <row r="96" spans="1:5" x14ac:dyDescent="0.25">
      <c r="A96" t="str">
        <f t="shared" si="1"/>
        <v>3IN-2WNW</v>
      </c>
      <c r="B96" s="223" t="s">
        <v>470</v>
      </c>
      <c r="C96" s="223" t="s">
        <v>458</v>
      </c>
      <c r="D96" s="278">
        <f>SectorFlows!F23</f>
        <v>412</v>
      </c>
      <c r="E96">
        <v>100</v>
      </c>
    </row>
    <row r="97" spans="1:5" x14ac:dyDescent="0.25">
      <c r="A97" t="str">
        <f t="shared" si="1"/>
        <v>XIN-2WNW</v>
      </c>
      <c r="B97" s="223" t="s">
        <v>471</v>
      </c>
      <c r="C97" s="223" t="s">
        <v>458</v>
      </c>
      <c r="D97" s="278">
        <f>SectorFlows!F24</f>
        <v>100</v>
      </c>
      <c r="E97">
        <v>0</v>
      </c>
    </row>
    <row r="98" spans="1:5" x14ac:dyDescent="0.25">
      <c r="A98" t="str">
        <f t="shared" si="1"/>
        <v>4NW-2WNW</v>
      </c>
      <c r="B98" s="223" t="s">
        <v>472</v>
      </c>
      <c r="C98" s="223" t="s">
        <v>458</v>
      </c>
      <c r="D98" s="278">
        <f>SectorFlows!F25</f>
        <v>1451</v>
      </c>
      <c r="E98">
        <v>465</v>
      </c>
    </row>
    <row r="99" spans="1:5" x14ac:dyDescent="0.25">
      <c r="A99" t="str">
        <f t="shared" si="1"/>
        <v>4N-2WNW</v>
      </c>
      <c r="B99" s="223" t="s">
        <v>473</v>
      </c>
      <c r="C99" s="223" t="s">
        <v>458</v>
      </c>
      <c r="D99" s="278">
        <f>SectorFlows!F26</f>
        <v>258</v>
      </c>
      <c r="E99">
        <v>110</v>
      </c>
    </row>
    <row r="100" spans="1:5" x14ac:dyDescent="0.25">
      <c r="A100" t="str">
        <f t="shared" si="1"/>
        <v>4WNW-2WNW</v>
      </c>
      <c r="B100" s="223" t="s">
        <v>474</v>
      </c>
      <c r="C100" s="223" t="s">
        <v>458</v>
      </c>
      <c r="D100" s="278">
        <f>SectorFlows!F27</f>
        <v>383</v>
      </c>
      <c r="E100">
        <v>300</v>
      </c>
    </row>
    <row r="101" spans="1:5" x14ac:dyDescent="0.25">
      <c r="A101" t="str">
        <f t="shared" si="1"/>
        <v>4W-2WNW</v>
      </c>
      <c r="B101" s="223" t="s">
        <v>475</v>
      </c>
      <c r="C101" s="223" t="s">
        <v>458</v>
      </c>
      <c r="D101" s="278">
        <f>SectorFlows!F28</f>
        <v>146</v>
      </c>
      <c r="E101">
        <v>275</v>
      </c>
    </row>
    <row r="102" spans="1:5" x14ac:dyDescent="0.25">
      <c r="A102" t="str">
        <f t="shared" si="1"/>
        <v>4WSW-2WNW</v>
      </c>
      <c r="B102" s="223" t="s">
        <v>476</v>
      </c>
      <c r="C102" s="223" t="s">
        <v>458</v>
      </c>
      <c r="D102" s="278">
        <f>SectorFlows!F29</f>
        <v>424</v>
      </c>
      <c r="E102">
        <v>225</v>
      </c>
    </row>
    <row r="103" spans="1:5" x14ac:dyDescent="0.25">
      <c r="A103" t="str">
        <f t="shared" si="1"/>
        <v>4SW-2WNW</v>
      </c>
      <c r="B103" s="281" t="s">
        <v>477</v>
      </c>
      <c r="C103" s="223" t="s">
        <v>458</v>
      </c>
      <c r="D103" s="278">
        <f>SectorFlows!F30</f>
        <v>975</v>
      </c>
      <c r="E103">
        <v>400</v>
      </c>
    </row>
    <row r="104" spans="1:5" x14ac:dyDescent="0.25">
      <c r="A104" t="str">
        <f t="shared" si="1"/>
        <v>1-2W</v>
      </c>
      <c r="B104" s="280">
        <v>1</v>
      </c>
      <c r="C104" s="223" t="s">
        <v>47</v>
      </c>
      <c r="D104" s="278">
        <f>SectorFlows!G6</f>
        <v>4299</v>
      </c>
      <c r="E104">
        <v>2030</v>
      </c>
    </row>
    <row r="105" spans="1:5" x14ac:dyDescent="0.25">
      <c r="A105" t="str">
        <f t="shared" si="1"/>
        <v>2N-2W</v>
      </c>
      <c r="B105" s="223" t="s">
        <v>456</v>
      </c>
      <c r="C105" s="223" t="s">
        <v>47</v>
      </c>
      <c r="D105" s="278">
        <f>SectorFlows!G7</f>
        <v>6464</v>
      </c>
      <c r="E105">
        <v>3350</v>
      </c>
    </row>
    <row r="106" spans="1:5" x14ac:dyDescent="0.25">
      <c r="A106" t="str">
        <f t="shared" si="1"/>
        <v>2NW-2W</v>
      </c>
      <c r="B106" s="223" t="s">
        <v>457</v>
      </c>
      <c r="C106" s="223" t="s">
        <v>47</v>
      </c>
      <c r="D106" s="278">
        <f>SectorFlows!G8</f>
        <v>8328</v>
      </c>
      <c r="E106">
        <v>7695</v>
      </c>
    </row>
    <row r="107" spans="1:5" x14ac:dyDescent="0.25">
      <c r="A107" t="str">
        <f t="shared" si="1"/>
        <v>2WNW-2W</v>
      </c>
      <c r="B107" s="223" t="s">
        <v>458</v>
      </c>
      <c r="C107" s="223" t="s">
        <v>47</v>
      </c>
      <c r="D107" s="278">
        <f>SectorFlows!G9</f>
        <v>9508</v>
      </c>
      <c r="E107">
        <v>13260</v>
      </c>
    </row>
    <row r="108" spans="1:5" x14ac:dyDescent="0.25">
      <c r="A108" t="str">
        <f t="shared" si="1"/>
        <v>2W-2W</v>
      </c>
      <c r="B108" s="223" t="s">
        <v>47</v>
      </c>
      <c r="C108" s="223" t="s">
        <v>47</v>
      </c>
      <c r="D108" s="278">
        <f>SectorFlows!G10</f>
        <v>35268</v>
      </c>
      <c r="E108">
        <v>47815</v>
      </c>
    </row>
    <row r="109" spans="1:5" x14ac:dyDescent="0.25">
      <c r="A109" t="str">
        <f t="shared" si="1"/>
        <v>2WSW-2W</v>
      </c>
      <c r="B109" s="223" t="s">
        <v>459</v>
      </c>
      <c r="C109" s="223" t="s">
        <v>47</v>
      </c>
      <c r="D109" s="278">
        <f>SectorFlows!G11</f>
        <v>12871</v>
      </c>
      <c r="E109">
        <v>15490</v>
      </c>
    </row>
    <row r="110" spans="1:5" x14ac:dyDescent="0.25">
      <c r="A110" t="str">
        <f t="shared" si="1"/>
        <v>2SW-2W</v>
      </c>
      <c r="B110" s="223" t="s">
        <v>460</v>
      </c>
      <c r="C110" s="223" t="s">
        <v>47</v>
      </c>
      <c r="D110" s="278">
        <f>SectorFlows!G12</f>
        <v>8388</v>
      </c>
      <c r="E110">
        <v>6625</v>
      </c>
    </row>
    <row r="111" spans="1:5" x14ac:dyDescent="0.25">
      <c r="A111" t="str">
        <f t="shared" si="1"/>
        <v>2S-2W</v>
      </c>
      <c r="B111" s="223" t="s">
        <v>49</v>
      </c>
      <c r="C111" s="223" t="s">
        <v>47</v>
      </c>
      <c r="D111" s="278">
        <f>SectorFlows!G13</f>
        <v>9046</v>
      </c>
      <c r="E111">
        <v>2765</v>
      </c>
    </row>
    <row r="112" spans="1:5" x14ac:dyDescent="0.25">
      <c r="A112" t="str">
        <f t="shared" si="1"/>
        <v>3N-2W</v>
      </c>
      <c r="B112" s="223" t="s">
        <v>461</v>
      </c>
      <c r="C112" s="223" t="s">
        <v>47</v>
      </c>
      <c r="D112" s="278">
        <f>SectorFlows!G14</f>
        <v>611</v>
      </c>
      <c r="E112">
        <v>220</v>
      </c>
    </row>
    <row r="113" spans="1:5" x14ac:dyDescent="0.25">
      <c r="A113" t="str">
        <f t="shared" si="1"/>
        <v>3NW-2W</v>
      </c>
      <c r="B113" s="223" t="s">
        <v>462</v>
      </c>
      <c r="C113" s="223" t="s">
        <v>47</v>
      </c>
      <c r="D113" s="278">
        <f>SectorFlows!G15</f>
        <v>2463</v>
      </c>
      <c r="E113">
        <v>1235</v>
      </c>
    </row>
    <row r="114" spans="1:5" x14ac:dyDescent="0.25">
      <c r="A114" t="str">
        <f t="shared" si="1"/>
        <v>3WNW-2W</v>
      </c>
      <c r="B114" s="223" t="s">
        <v>463</v>
      </c>
      <c r="C114" s="223" t="s">
        <v>47</v>
      </c>
      <c r="D114" s="278">
        <f>SectorFlows!G16</f>
        <v>4631</v>
      </c>
      <c r="E114">
        <v>3135</v>
      </c>
    </row>
    <row r="115" spans="1:5" x14ac:dyDescent="0.25">
      <c r="A115" t="str">
        <f t="shared" si="1"/>
        <v>3W-2W</v>
      </c>
      <c r="B115" s="223" t="s">
        <v>464</v>
      </c>
      <c r="C115" s="223" t="s">
        <v>47</v>
      </c>
      <c r="D115" s="278">
        <f>SectorFlows!G17</f>
        <v>6296</v>
      </c>
      <c r="E115">
        <v>6350</v>
      </c>
    </row>
    <row r="116" spans="1:5" x14ac:dyDescent="0.25">
      <c r="A116" t="str">
        <f t="shared" si="1"/>
        <v>3WSW-2W</v>
      </c>
      <c r="B116" s="223" t="s">
        <v>465</v>
      </c>
      <c r="C116" s="223" t="s">
        <v>47</v>
      </c>
      <c r="D116" s="278">
        <f>SectorFlows!G18</f>
        <v>8046</v>
      </c>
      <c r="E116">
        <v>5695</v>
      </c>
    </row>
    <row r="117" spans="1:5" x14ac:dyDescent="0.25">
      <c r="A117" t="str">
        <f t="shared" si="1"/>
        <v>3SW-2W</v>
      </c>
      <c r="B117" s="223" t="s">
        <v>466</v>
      </c>
      <c r="C117" s="223" t="s">
        <v>47</v>
      </c>
      <c r="D117" s="278">
        <f>SectorFlows!G19</f>
        <v>4331</v>
      </c>
      <c r="E117">
        <v>4580</v>
      </c>
    </row>
    <row r="118" spans="1:5" x14ac:dyDescent="0.25">
      <c r="A118" t="str">
        <f t="shared" si="1"/>
        <v>3S-2W</v>
      </c>
      <c r="B118" s="223" t="s">
        <v>467</v>
      </c>
      <c r="C118" s="223" t="s">
        <v>47</v>
      </c>
      <c r="D118" s="278">
        <f>SectorFlows!G20</f>
        <v>1904</v>
      </c>
      <c r="E118">
        <v>225</v>
      </c>
    </row>
    <row r="119" spans="1:5" x14ac:dyDescent="0.25">
      <c r="A119" t="str">
        <f t="shared" si="1"/>
        <v>XWI-2W</v>
      </c>
      <c r="B119" s="223" t="s">
        <v>468</v>
      </c>
      <c r="C119" s="223" t="s">
        <v>47</v>
      </c>
      <c r="D119" s="278">
        <f>SectorFlows!G21</f>
        <v>165</v>
      </c>
      <c r="E119">
        <v>0</v>
      </c>
    </row>
    <row r="120" spans="1:5" x14ac:dyDescent="0.25">
      <c r="A120" t="str">
        <f t="shared" si="1"/>
        <v>XIL-2W</v>
      </c>
      <c r="B120" s="223" t="s">
        <v>469</v>
      </c>
      <c r="C120" s="223" t="s">
        <v>47</v>
      </c>
      <c r="D120" s="278">
        <f>SectorFlows!G22</f>
        <v>705</v>
      </c>
      <c r="E120">
        <v>115</v>
      </c>
    </row>
    <row r="121" spans="1:5" x14ac:dyDescent="0.25">
      <c r="A121" t="str">
        <f t="shared" si="1"/>
        <v>3IN-2W</v>
      </c>
      <c r="B121" s="223" t="s">
        <v>470</v>
      </c>
      <c r="C121" s="223" t="s">
        <v>47</v>
      </c>
      <c r="D121" s="278">
        <f>SectorFlows!G23</f>
        <v>1005</v>
      </c>
      <c r="E121">
        <v>205</v>
      </c>
    </row>
    <row r="122" spans="1:5" x14ac:dyDescent="0.25">
      <c r="A122" t="str">
        <f t="shared" si="1"/>
        <v>XIN-2W</v>
      </c>
      <c r="B122" s="223" t="s">
        <v>471</v>
      </c>
      <c r="C122" s="223" t="s">
        <v>47</v>
      </c>
      <c r="D122" s="278">
        <f>SectorFlows!G24</f>
        <v>298</v>
      </c>
      <c r="E122">
        <v>10</v>
      </c>
    </row>
    <row r="123" spans="1:5" x14ac:dyDescent="0.25">
      <c r="A123" t="str">
        <f t="shared" si="1"/>
        <v>4NW-2W</v>
      </c>
      <c r="B123" s="223" t="s">
        <v>472</v>
      </c>
      <c r="C123" s="223" t="s">
        <v>47</v>
      </c>
      <c r="D123" s="278">
        <f>SectorFlows!G25</f>
        <v>1776</v>
      </c>
      <c r="E123">
        <v>475</v>
      </c>
    </row>
    <row r="124" spans="1:5" x14ac:dyDescent="0.25">
      <c r="A124" t="str">
        <f t="shared" si="1"/>
        <v>4N-2W</v>
      </c>
      <c r="B124" s="223" t="s">
        <v>473</v>
      </c>
      <c r="C124" s="223" t="s">
        <v>47</v>
      </c>
      <c r="D124" s="278">
        <f>SectorFlows!G26</f>
        <v>415</v>
      </c>
      <c r="E124">
        <v>45</v>
      </c>
    </row>
    <row r="125" spans="1:5" x14ac:dyDescent="0.25">
      <c r="A125" t="str">
        <f t="shared" si="1"/>
        <v>4WNW-2W</v>
      </c>
      <c r="B125" s="223" t="s">
        <v>474</v>
      </c>
      <c r="C125" s="223" t="s">
        <v>47</v>
      </c>
      <c r="D125" s="278">
        <f>SectorFlows!G27</f>
        <v>1056</v>
      </c>
      <c r="E125">
        <v>500</v>
      </c>
    </row>
    <row r="126" spans="1:5" x14ac:dyDescent="0.25">
      <c r="A126" t="str">
        <f t="shared" si="1"/>
        <v>4W-2W</v>
      </c>
      <c r="B126" s="223" t="s">
        <v>475</v>
      </c>
      <c r="C126" s="223" t="s">
        <v>47</v>
      </c>
      <c r="D126" s="278">
        <f>SectorFlows!G28</f>
        <v>571</v>
      </c>
      <c r="E126">
        <v>480</v>
      </c>
    </row>
    <row r="127" spans="1:5" x14ac:dyDescent="0.25">
      <c r="A127" t="str">
        <f t="shared" si="1"/>
        <v>4WSW-2W</v>
      </c>
      <c r="B127" s="223" t="s">
        <v>476</v>
      </c>
      <c r="C127" s="223" t="s">
        <v>47</v>
      </c>
      <c r="D127" s="278">
        <f>SectorFlows!G29</f>
        <v>1211</v>
      </c>
      <c r="E127">
        <v>845</v>
      </c>
    </row>
    <row r="128" spans="1:5" x14ac:dyDescent="0.25">
      <c r="A128" t="str">
        <f t="shared" si="1"/>
        <v>4SW-2W</v>
      </c>
      <c r="B128" s="281" t="s">
        <v>477</v>
      </c>
      <c r="C128" s="223" t="s">
        <v>47</v>
      </c>
      <c r="D128" s="278">
        <f>SectorFlows!G30</f>
        <v>2952</v>
      </c>
      <c r="E128">
        <v>2405</v>
      </c>
    </row>
    <row r="129" spans="1:5" x14ac:dyDescent="0.25">
      <c r="A129" t="str">
        <f t="shared" si="1"/>
        <v>1-2WSW</v>
      </c>
      <c r="B129" s="280">
        <v>1</v>
      </c>
      <c r="C129" s="223" t="s">
        <v>459</v>
      </c>
      <c r="D129" s="278">
        <f>SectorFlows!H6</f>
        <v>3575</v>
      </c>
      <c r="E129">
        <v>2830</v>
      </c>
    </row>
    <row r="130" spans="1:5" x14ac:dyDescent="0.25">
      <c r="A130" t="str">
        <f t="shared" si="1"/>
        <v>2N-2WSW</v>
      </c>
      <c r="B130" s="223" t="s">
        <v>456</v>
      </c>
      <c r="C130" s="223" t="s">
        <v>459</v>
      </c>
      <c r="D130" s="278">
        <f>SectorFlows!H7</f>
        <v>3616</v>
      </c>
      <c r="E130">
        <v>1425</v>
      </c>
    </row>
    <row r="131" spans="1:5" x14ac:dyDescent="0.25">
      <c r="A131" t="str">
        <f t="shared" si="1"/>
        <v>2NW-2WSW</v>
      </c>
      <c r="B131" s="223" t="s">
        <v>457</v>
      </c>
      <c r="C131" s="223" t="s">
        <v>459</v>
      </c>
      <c r="D131" s="278">
        <f>SectorFlows!H8</f>
        <v>3180</v>
      </c>
      <c r="E131">
        <v>2085</v>
      </c>
    </row>
    <row r="132" spans="1:5" x14ac:dyDescent="0.25">
      <c r="A132" t="str">
        <f t="shared" si="1"/>
        <v>2WNW-2WSW</v>
      </c>
      <c r="B132" s="223" t="s">
        <v>458</v>
      </c>
      <c r="C132" s="223" t="s">
        <v>459</v>
      </c>
      <c r="D132" s="278">
        <f>SectorFlows!H9</f>
        <v>2627</v>
      </c>
      <c r="E132">
        <v>3400</v>
      </c>
    </row>
    <row r="133" spans="1:5" x14ac:dyDescent="0.25">
      <c r="A133" t="str">
        <f t="shared" ref="A133:A196" si="2">CONCATENATE(B:B,"-",C:C)</f>
        <v>2W-2WSW</v>
      </c>
      <c r="B133" s="223" t="s">
        <v>47</v>
      </c>
      <c r="C133" s="223" t="s">
        <v>459</v>
      </c>
      <c r="D133" s="278">
        <f>SectorFlows!H10</f>
        <v>7345</v>
      </c>
      <c r="E133">
        <v>10215</v>
      </c>
    </row>
    <row r="134" spans="1:5" x14ac:dyDescent="0.25">
      <c r="A134" t="str">
        <f t="shared" si="2"/>
        <v>2WSW-2WSW</v>
      </c>
      <c r="B134" s="223" t="s">
        <v>459</v>
      </c>
      <c r="C134" s="223" t="s">
        <v>459</v>
      </c>
      <c r="D134" s="278">
        <f>SectorFlows!H11</f>
        <v>28181</v>
      </c>
      <c r="E134">
        <v>44815</v>
      </c>
    </row>
    <row r="135" spans="1:5" x14ac:dyDescent="0.25">
      <c r="A135" t="str">
        <f t="shared" si="2"/>
        <v>2SW-2WSW</v>
      </c>
      <c r="B135" s="223" t="s">
        <v>460</v>
      </c>
      <c r="C135" s="223" t="s">
        <v>459</v>
      </c>
      <c r="D135" s="278">
        <f>SectorFlows!H12</f>
        <v>12387</v>
      </c>
      <c r="E135">
        <v>13795</v>
      </c>
    </row>
    <row r="136" spans="1:5" x14ac:dyDescent="0.25">
      <c r="A136" t="str">
        <f t="shared" si="2"/>
        <v>2S-2WSW</v>
      </c>
      <c r="B136" s="223" t="s">
        <v>49</v>
      </c>
      <c r="C136" s="223" t="s">
        <v>459</v>
      </c>
      <c r="D136" s="278">
        <f>SectorFlows!H13</f>
        <v>6965</v>
      </c>
      <c r="E136">
        <v>4750</v>
      </c>
    </row>
    <row r="137" spans="1:5" x14ac:dyDescent="0.25">
      <c r="A137" t="str">
        <f t="shared" si="2"/>
        <v>3N-2WSW</v>
      </c>
      <c r="B137" s="223" t="s">
        <v>461</v>
      </c>
      <c r="C137" s="223" t="s">
        <v>459</v>
      </c>
      <c r="D137" s="278">
        <f>SectorFlows!H14</f>
        <v>232</v>
      </c>
      <c r="E137">
        <v>40</v>
      </c>
    </row>
    <row r="138" spans="1:5" x14ac:dyDescent="0.25">
      <c r="A138" t="str">
        <f t="shared" si="2"/>
        <v>3NW-2WSW</v>
      </c>
      <c r="B138" s="223" t="s">
        <v>462</v>
      </c>
      <c r="C138" s="223" t="s">
        <v>459</v>
      </c>
      <c r="D138" s="278">
        <f>SectorFlows!H15</f>
        <v>876</v>
      </c>
      <c r="E138">
        <v>225</v>
      </c>
    </row>
    <row r="139" spans="1:5" x14ac:dyDescent="0.25">
      <c r="A139" t="str">
        <f t="shared" si="2"/>
        <v>3WNW-2WSW</v>
      </c>
      <c r="B139" s="223" t="s">
        <v>463</v>
      </c>
      <c r="C139" s="223" t="s">
        <v>459</v>
      </c>
      <c r="D139" s="278">
        <f>SectorFlows!H16</f>
        <v>1301</v>
      </c>
      <c r="E139">
        <v>935</v>
      </c>
    </row>
    <row r="140" spans="1:5" x14ac:dyDescent="0.25">
      <c r="A140" t="str">
        <f t="shared" si="2"/>
        <v>3W-2WSW</v>
      </c>
      <c r="B140" s="223" t="s">
        <v>464</v>
      </c>
      <c r="C140" s="223" t="s">
        <v>459</v>
      </c>
      <c r="D140" s="278">
        <f>SectorFlows!H17</f>
        <v>2282</v>
      </c>
      <c r="E140">
        <v>2305</v>
      </c>
    </row>
    <row r="141" spans="1:5" x14ac:dyDescent="0.25">
      <c r="A141" t="str">
        <f t="shared" si="2"/>
        <v>3WSW-2WSW</v>
      </c>
      <c r="B141" s="223" t="s">
        <v>465</v>
      </c>
      <c r="C141" s="223" t="s">
        <v>459</v>
      </c>
      <c r="D141" s="278">
        <f>SectorFlows!H18</f>
        <v>6325</v>
      </c>
      <c r="E141">
        <v>8715</v>
      </c>
    </row>
    <row r="142" spans="1:5" x14ac:dyDescent="0.25">
      <c r="A142" t="str">
        <f t="shared" si="2"/>
        <v>3SW-2WSW</v>
      </c>
      <c r="B142" s="223" t="s">
        <v>466</v>
      </c>
      <c r="C142" s="223" t="s">
        <v>459</v>
      </c>
      <c r="D142" s="278">
        <f>SectorFlows!H19</f>
        <v>7281</v>
      </c>
      <c r="E142">
        <v>8875</v>
      </c>
    </row>
    <row r="143" spans="1:5" x14ac:dyDescent="0.25">
      <c r="A143" t="str">
        <f t="shared" si="2"/>
        <v>3S-2WSW</v>
      </c>
      <c r="B143" s="223" t="s">
        <v>467</v>
      </c>
      <c r="C143" s="223" t="s">
        <v>459</v>
      </c>
      <c r="D143" s="278">
        <f>SectorFlows!H20</f>
        <v>1371</v>
      </c>
      <c r="E143">
        <v>480</v>
      </c>
    </row>
    <row r="144" spans="1:5" x14ac:dyDescent="0.25">
      <c r="A144" t="str">
        <f t="shared" si="2"/>
        <v>XWI-2WSW</v>
      </c>
      <c r="B144" s="223" t="s">
        <v>468</v>
      </c>
      <c r="C144" s="223" t="s">
        <v>459</v>
      </c>
      <c r="D144" s="278">
        <f>SectorFlows!H21</f>
        <v>63</v>
      </c>
      <c r="E144">
        <v>0</v>
      </c>
    </row>
    <row r="145" spans="1:5" x14ac:dyDescent="0.25">
      <c r="A145" t="str">
        <f t="shared" si="2"/>
        <v>XIL-2WSW</v>
      </c>
      <c r="B145" s="223" t="s">
        <v>469</v>
      </c>
      <c r="C145" s="223" t="s">
        <v>459</v>
      </c>
      <c r="D145" s="278">
        <f>SectorFlows!H22</f>
        <v>410</v>
      </c>
      <c r="E145">
        <v>100</v>
      </c>
    </row>
    <row r="146" spans="1:5" x14ac:dyDescent="0.25">
      <c r="A146" t="str">
        <f t="shared" si="2"/>
        <v>3IN-2WSW</v>
      </c>
      <c r="B146" s="223" t="s">
        <v>470</v>
      </c>
      <c r="C146" s="223" t="s">
        <v>459</v>
      </c>
      <c r="D146" s="278">
        <f>SectorFlows!H23</f>
        <v>1087</v>
      </c>
      <c r="E146">
        <v>290</v>
      </c>
    </row>
    <row r="147" spans="1:5" x14ac:dyDescent="0.25">
      <c r="A147" t="str">
        <f t="shared" si="2"/>
        <v>XIN-2WSW</v>
      </c>
      <c r="B147" s="223" t="s">
        <v>471</v>
      </c>
      <c r="C147" s="223" t="s">
        <v>459</v>
      </c>
      <c r="D147" s="278">
        <f>SectorFlows!H24</f>
        <v>286</v>
      </c>
      <c r="E147">
        <v>5</v>
      </c>
    </row>
    <row r="148" spans="1:5" x14ac:dyDescent="0.25">
      <c r="A148" t="str">
        <f t="shared" si="2"/>
        <v>4NW-2WSW</v>
      </c>
      <c r="B148" s="223" t="s">
        <v>472</v>
      </c>
      <c r="C148" s="223" t="s">
        <v>459</v>
      </c>
      <c r="D148" s="278">
        <f>SectorFlows!H25</f>
        <v>591</v>
      </c>
      <c r="E148">
        <v>95</v>
      </c>
    </row>
    <row r="149" spans="1:5" x14ac:dyDescent="0.25">
      <c r="A149" t="str">
        <f t="shared" si="2"/>
        <v>4N-2WSW</v>
      </c>
      <c r="B149" s="223" t="s">
        <v>473</v>
      </c>
      <c r="C149" s="223" t="s">
        <v>459</v>
      </c>
      <c r="D149" s="278">
        <f>SectorFlows!H26</f>
        <v>200</v>
      </c>
      <c r="E149">
        <v>15</v>
      </c>
    </row>
    <row r="150" spans="1:5" x14ac:dyDescent="0.25">
      <c r="A150" t="str">
        <f t="shared" si="2"/>
        <v>4WNW-2WSW</v>
      </c>
      <c r="B150" s="223" t="s">
        <v>474</v>
      </c>
      <c r="C150" s="223" t="s">
        <v>459</v>
      </c>
      <c r="D150" s="278">
        <f>SectorFlows!H27</f>
        <v>200</v>
      </c>
      <c r="E150">
        <v>70</v>
      </c>
    </row>
    <row r="151" spans="1:5" x14ac:dyDescent="0.25">
      <c r="A151" t="str">
        <f t="shared" si="2"/>
        <v>4W-2WSW</v>
      </c>
      <c r="B151" s="223" t="s">
        <v>475</v>
      </c>
      <c r="C151" s="223" t="s">
        <v>459</v>
      </c>
      <c r="D151" s="278">
        <f>SectorFlows!H28</f>
        <v>229</v>
      </c>
      <c r="E151">
        <v>100</v>
      </c>
    </row>
    <row r="152" spans="1:5" x14ac:dyDescent="0.25">
      <c r="A152" t="str">
        <f t="shared" si="2"/>
        <v>4WSW-2WSW</v>
      </c>
      <c r="B152" s="223" t="s">
        <v>476</v>
      </c>
      <c r="C152" s="223" t="s">
        <v>459</v>
      </c>
      <c r="D152" s="278">
        <f>SectorFlows!H29</f>
        <v>965</v>
      </c>
      <c r="E152">
        <v>765</v>
      </c>
    </row>
    <row r="153" spans="1:5" x14ac:dyDescent="0.25">
      <c r="A153" t="str">
        <f t="shared" si="2"/>
        <v>4SW-2WSW</v>
      </c>
      <c r="B153" s="281" t="s">
        <v>477</v>
      </c>
      <c r="C153" s="223" t="s">
        <v>459</v>
      </c>
      <c r="D153" s="278">
        <f>SectorFlows!H30</f>
        <v>4141</v>
      </c>
      <c r="E153">
        <v>4675</v>
      </c>
    </row>
    <row r="154" spans="1:5" x14ac:dyDescent="0.25">
      <c r="A154" t="str">
        <f t="shared" si="2"/>
        <v>1-2SW</v>
      </c>
      <c r="B154" s="280">
        <v>1</v>
      </c>
      <c r="C154" s="223" t="s">
        <v>460</v>
      </c>
      <c r="D154" s="278">
        <f>SectorFlows!I6</f>
        <v>4513</v>
      </c>
      <c r="E154">
        <v>3290</v>
      </c>
    </row>
    <row r="155" spans="1:5" x14ac:dyDescent="0.25">
      <c r="A155" t="str">
        <f t="shared" si="2"/>
        <v>2N-2SW</v>
      </c>
      <c r="B155" s="223" t="s">
        <v>456</v>
      </c>
      <c r="C155" s="223" t="s">
        <v>460</v>
      </c>
      <c r="D155" s="278">
        <f>SectorFlows!I7</f>
        <v>5233</v>
      </c>
      <c r="E155">
        <v>1240</v>
      </c>
    </row>
    <row r="156" spans="1:5" x14ac:dyDescent="0.25">
      <c r="A156" t="str">
        <f t="shared" si="2"/>
        <v>2NW-2SW</v>
      </c>
      <c r="B156" s="223" t="s">
        <v>457</v>
      </c>
      <c r="C156" s="223" t="s">
        <v>460</v>
      </c>
      <c r="D156" s="278">
        <f>SectorFlows!I8</f>
        <v>4442</v>
      </c>
      <c r="E156">
        <v>855</v>
      </c>
    </row>
    <row r="157" spans="1:5" x14ac:dyDescent="0.25">
      <c r="A157" t="str">
        <f t="shared" si="2"/>
        <v>2WNW-2SW</v>
      </c>
      <c r="B157" s="223" t="s">
        <v>458</v>
      </c>
      <c r="C157" s="223" t="s">
        <v>460</v>
      </c>
      <c r="D157" s="278">
        <f>SectorFlows!I9</f>
        <v>3830</v>
      </c>
      <c r="E157">
        <v>1130</v>
      </c>
    </row>
    <row r="158" spans="1:5" x14ac:dyDescent="0.25">
      <c r="A158" t="str">
        <f t="shared" si="2"/>
        <v>2W-2SW</v>
      </c>
      <c r="B158" s="223" t="s">
        <v>47</v>
      </c>
      <c r="C158" s="223" t="s">
        <v>460</v>
      </c>
      <c r="D158" s="278">
        <f>SectorFlows!I10</f>
        <v>3783</v>
      </c>
      <c r="E158">
        <v>2805</v>
      </c>
    </row>
    <row r="159" spans="1:5" x14ac:dyDescent="0.25">
      <c r="A159" t="str">
        <f t="shared" si="2"/>
        <v>2WSW-2SW</v>
      </c>
      <c r="B159" s="223" t="s">
        <v>459</v>
      </c>
      <c r="C159" s="223" t="s">
        <v>460</v>
      </c>
      <c r="D159" s="278">
        <f>SectorFlows!I11</f>
        <v>8117</v>
      </c>
      <c r="E159">
        <v>8915</v>
      </c>
    </row>
    <row r="160" spans="1:5" x14ac:dyDescent="0.25">
      <c r="A160" t="str">
        <f t="shared" si="2"/>
        <v>2SW-2SW</v>
      </c>
      <c r="B160" s="223" t="s">
        <v>460</v>
      </c>
      <c r="C160" s="223" t="s">
        <v>460</v>
      </c>
      <c r="D160" s="278">
        <f>SectorFlows!I12</f>
        <v>49295</v>
      </c>
      <c r="E160">
        <v>84380</v>
      </c>
    </row>
    <row r="161" spans="1:5" x14ac:dyDescent="0.25">
      <c r="A161" t="str">
        <f t="shared" si="2"/>
        <v>2S-2SW</v>
      </c>
      <c r="B161" s="223" t="s">
        <v>49</v>
      </c>
      <c r="C161" s="223" t="s">
        <v>460</v>
      </c>
      <c r="D161" s="278">
        <f>SectorFlows!I13</f>
        <v>21204</v>
      </c>
      <c r="E161">
        <v>33375</v>
      </c>
    </row>
    <row r="162" spans="1:5" x14ac:dyDescent="0.25">
      <c r="A162" t="str">
        <f t="shared" si="2"/>
        <v>3N-2SW</v>
      </c>
      <c r="B162" s="223" t="s">
        <v>461</v>
      </c>
      <c r="C162" s="223" t="s">
        <v>460</v>
      </c>
      <c r="D162" s="278">
        <f>SectorFlows!I14</f>
        <v>233</v>
      </c>
      <c r="E162">
        <v>25</v>
      </c>
    </row>
    <row r="163" spans="1:5" x14ac:dyDescent="0.25">
      <c r="A163" t="str">
        <f t="shared" si="2"/>
        <v>3NW-2SW</v>
      </c>
      <c r="B163" s="223" t="s">
        <v>462</v>
      </c>
      <c r="C163" s="223" t="s">
        <v>460</v>
      </c>
      <c r="D163" s="278">
        <f>SectorFlows!I15</f>
        <v>1244</v>
      </c>
      <c r="E163">
        <v>30</v>
      </c>
    </row>
    <row r="164" spans="1:5" x14ac:dyDescent="0.25">
      <c r="A164" t="str">
        <f t="shared" si="2"/>
        <v>3WNW-2SW</v>
      </c>
      <c r="B164" s="223" t="s">
        <v>463</v>
      </c>
      <c r="C164" s="223" t="s">
        <v>460</v>
      </c>
      <c r="D164" s="278">
        <f>SectorFlows!I16</f>
        <v>1647</v>
      </c>
      <c r="E164">
        <v>190</v>
      </c>
    </row>
    <row r="165" spans="1:5" x14ac:dyDescent="0.25">
      <c r="A165" t="str">
        <f t="shared" si="2"/>
        <v>3W-2SW</v>
      </c>
      <c r="B165" s="223" t="s">
        <v>464</v>
      </c>
      <c r="C165" s="223" t="s">
        <v>460</v>
      </c>
      <c r="D165" s="278">
        <f>SectorFlows!I17</f>
        <v>1164</v>
      </c>
      <c r="E165">
        <v>280</v>
      </c>
    </row>
    <row r="166" spans="1:5" x14ac:dyDescent="0.25">
      <c r="A166" t="str">
        <f t="shared" si="2"/>
        <v>3WSW-2SW</v>
      </c>
      <c r="B166" s="223" t="s">
        <v>465</v>
      </c>
      <c r="C166" s="223" t="s">
        <v>460</v>
      </c>
      <c r="D166" s="278">
        <f>SectorFlows!I18</f>
        <v>4785</v>
      </c>
      <c r="E166">
        <v>2530</v>
      </c>
    </row>
    <row r="167" spans="1:5" x14ac:dyDescent="0.25">
      <c r="A167" t="str">
        <f t="shared" si="2"/>
        <v>3SW-2SW</v>
      </c>
      <c r="B167" s="223" t="s">
        <v>466</v>
      </c>
      <c r="C167" s="223" t="s">
        <v>460</v>
      </c>
      <c r="D167" s="278">
        <f>SectorFlows!I19</f>
        <v>18265</v>
      </c>
      <c r="E167">
        <v>22715</v>
      </c>
    </row>
    <row r="168" spans="1:5" x14ac:dyDescent="0.25">
      <c r="A168" t="str">
        <f t="shared" si="2"/>
        <v>3S-2SW</v>
      </c>
      <c r="B168" s="223" t="s">
        <v>467</v>
      </c>
      <c r="C168" s="223" t="s">
        <v>460</v>
      </c>
      <c r="D168" s="278">
        <f>SectorFlows!I20</f>
        <v>3544</v>
      </c>
      <c r="E168">
        <v>5350</v>
      </c>
    </row>
    <row r="169" spans="1:5" x14ac:dyDescent="0.25">
      <c r="A169" t="str">
        <f t="shared" si="2"/>
        <v>XWI-2SW</v>
      </c>
      <c r="B169" s="223" t="s">
        <v>468</v>
      </c>
      <c r="C169" s="223" t="s">
        <v>460</v>
      </c>
      <c r="D169" s="278">
        <f>SectorFlows!I21</f>
        <v>87</v>
      </c>
      <c r="E169">
        <v>0</v>
      </c>
    </row>
    <row r="170" spans="1:5" x14ac:dyDescent="0.25">
      <c r="A170" t="str">
        <f t="shared" si="2"/>
        <v>XIL-2SW</v>
      </c>
      <c r="B170" s="223" t="s">
        <v>469</v>
      </c>
      <c r="C170" s="223" t="s">
        <v>460</v>
      </c>
      <c r="D170" s="278">
        <f>SectorFlows!I22</f>
        <v>930</v>
      </c>
      <c r="E170">
        <v>220</v>
      </c>
    </row>
    <row r="171" spans="1:5" x14ac:dyDescent="0.25">
      <c r="A171" t="str">
        <f t="shared" si="2"/>
        <v>3IN-2SW</v>
      </c>
      <c r="B171" s="223" t="s">
        <v>470</v>
      </c>
      <c r="C171" s="223" t="s">
        <v>460</v>
      </c>
      <c r="D171" s="278">
        <f>SectorFlows!I23</f>
        <v>1973</v>
      </c>
      <c r="E171">
        <v>2905</v>
      </c>
    </row>
    <row r="172" spans="1:5" x14ac:dyDescent="0.25">
      <c r="A172" t="str">
        <f t="shared" si="2"/>
        <v>XIN-2SW</v>
      </c>
      <c r="B172" s="223" t="s">
        <v>471</v>
      </c>
      <c r="C172" s="223" t="s">
        <v>460</v>
      </c>
      <c r="D172" s="278">
        <f>SectorFlows!I24</f>
        <v>809</v>
      </c>
      <c r="E172">
        <v>230</v>
      </c>
    </row>
    <row r="173" spans="1:5" x14ac:dyDescent="0.25">
      <c r="A173" t="str">
        <f t="shared" si="2"/>
        <v>4NW-2SW</v>
      </c>
      <c r="B173" s="223" t="s">
        <v>472</v>
      </c>
      <c r="C173" s="223" t="s">
        <v>460</v>
      </c>
      <c r="D173" s="278">
        <f>SectorFlows!I25</f>
        <v>1141</v>
      </c>
      <c r="E173">
        <v>20</v>
      </c>
    </row>
    <row r="174" spans="1:5" x14ac:dyDescent="0.25">
      <c r="A174" t="str">
        <f t="shared" si="2"/>
        <v>4N-2SW</v>
      </c>
      <c r="B174" s="223" t="s">
        <v>473</v>
      </c>
      <c r="C174" s="223" t="s">
        <v>460</v>
      </c>
      <c r="D174" s="278">
        <f>SectorFlows!I26</f>
        <v>174</v>
      </c>
      <c r="E174">
        <v>5</v>
      </c>
    </row>
    <row r="175" spans="1:5" x14ac:dyDescent="0.25">
      <c r="A175" t="str">
        <f t="shared" si="2"/>
        <v>4WNW-2SW</v>
      </c>
      <c r="B175" s="223" t="s">
        <v>474</v>
      </c>
      <c r="C175" s="223" t="s">
        <v>460</v>
      </c>
      <c r="D175" s="278">
        <f>SectorFlows!I27</f>
        <v>317</v>
      </c>
      <c r="E175">
        <v>5</v>
      </c>
    </row>
    <row r="176" spans="1:5" x14ac:dyDescent="0.25">
      <c r="A176" t="str">
        <f t="shared" si="2"/>
        <v>4W-2SW</v>
      </c>
      <c r="B176" s="223" t="s">
        <v>475</v>
      </c>
      <c r="C176" s="223" t="s">
        <v>460</v>
      </c>
      <c r="D176" s="278">
        <f>SectorFlows!I28</f>
        <v>318</v>
      </c>
      <c r="E176">
        <v>25</v>
      </c>
    </row>
    <row r="177" spans="1:5" x14ac:dyDescent="0.25">
      <c r="A177" t="str">
        <f t="shared" si="2"/>
        <v>4WSW-2SW</v>
      </c>
      <c r="B177" s="223" t="s">
        <v>476</v>
      </c>
      <c r="C177" s="223" t="s">
        <v>460</v>
      </c>
      <c r="D177" s="278">
        <f>SectorFlows!I29</f>
        <v>801</v>
      </c>
      <c r="E177">
        <v>225</v>
      </c>
    </row>
    <row r="178" spans="1:5" x14ac:dyDescent="0.25">
      <c r="A178" t="str">
        <f t="shared" si="2"/>
        <v>4SW-2SW</v>
      </c>
      <c r="B178" s="281" t="s">
        <v>477</v>
      </c>
      <c r="C178" s="223" t="s">
        <v>460</v>
      </c>
      <c r="D178" s="278">
        <f>SectorFlows!I30</f>
        <v>6282</v>
      </c>
      <c r="E178">
        <v>5025</v>
      </c>
    </row>
    <row r="179" spans="1:5" x14ac:dyDescent="0.25">
      <c r="A179" t="str">
        <f t="shared" si="2"/>
        <v>1-2S</v>
      </c>
      <c r="B179" s="280">
        <v>1</v>
      </c>
      <c r="C179" s="223" t="s">
        <v>49</v>
      </c>
      <c r="D179" s="278">
        <f>SectorFlows!J6</f>
        <v>7293</v>
      </c>
      <c r="E179">
        <v>2125</v>
      </c>
    </row>
    <row r="180" spans="1:5" x14ac:dyDescent="0.25">
      <c r="A180" t="str">
        <f t="shared" si="2"/>
        <v>2N-2S</v>
      </c>
      <c r="B180" s="223" t="s">
        <v>456</v>
      </c>
      <c r="C180" s="223" t="s">
        <v>49</v>
      </c>
      <c r="D180" s="278">
        <f>SectorFlows!J7</f>
        <v>8369</v>
      </c>
      <c r="E180">
        <v>1800</v>
      </c>
    </row>
    <row r="181" spans="1:5" x14ac:dyDescent="0.25">
      <c r="A181" t="str">
        <f t="shared" si="2"/>
        <v>2NW-2S</v>
      </c>
      <c r="B181" s="223" t="s">
        <v>457</v>
      </c>
      <c r="C181" s="223" t="s">
        <v>49</v>
      </c>
      <c r="D181" s="278">
        <f>SectorFlows!J8</f>
        <v>4817</v>
      </c>
      <c r="E181">
        <v>755</v>
      </c>
    </row>
    <row r="182" spans="1:5" x14ac:dyDescent="0.25">
      <c r="A182" t="str">
        <f t="shared" si="2"/>
        <v>2WNW-2S</v>
      </c>
      <c r="B182" s="223" t="s">
        <v>458</v>
      </c>
      <c r="C182" s="223" t="s">
        <v>49</v>
      </c>
      <c r="D182" s="278">
        <f>SectorFlows!J9</f>
        <v>3281</v>
      </c>
      <c r="E182">
        <v>430</v>
      </c>
    </row>
    <row r="183" spans="1:5" x14ac:dyDescent="0.25">
      <c r="A183" t="str">
        <f t="shared" si="2"/>
        <v>2W-2S</v>
      </c>
      <c r="B183" s="223" t="s">
        <v>47</v>
      </c>
      <c r="C183" s="223" t="s">
        <v>49</v>
      </c>
      <c r="D183" s="278">
        <f>SectorFlows!J10</f>
        <v>4108</v>
      </c>
      <c r="E183">
        <v>585</v>
      </c>
    </row>
    <row r="184" spans="1:5" x14ac:dyDescent="0.25">
      <c r="A184" t="str">
        <f t="shared" si="2"/>
        <v>2WSW-2S</v>
      </c>
      <c r="B184" s="223" t="s">
        <v>459</v>
      </c>
      <c r="C184" s="223" t="s">
        <v>49</v>
      </c>
      <c r="D184" s="278">
        <f>SectorFlows!J11</f>
        <v>3728</v>
      </c>
      <c r="E184">
        <v>1020</v>
      </c>
    </row>
    <row r="185" spans="1:5" x14ac:dyDescent="0.25">
      <c r="A185" t="str">
        <f t="shared" si="2"/>
        <v>2SW-2S</v>
      </c>
      <c r="B185" s="223" t="s">
        <v>460</v>
      </c>
      <c r="C185" s="223" t="s">
        <v>49</v>
      </c>
      <c r="D185" s="278">
        <f>SectorFlows!J12</f>
        <v>16477</v>
      </c>
      <c r="E185">
        <v>12505</v>
      </c>
    </row>
    <row r="186" spans="1:5" x14ac:dyDescent="0.25">
      <c r="A186" t="str">
        <f t="shared" si="2"/>
        <v>2S-2S</v>
      </c>
      <c r="B186" s="223" t="s">
        <v>49</v>
      </c>
      <c r="C186" s="223" t="s">
        <v>49</v>
      </c>
      <c r="D186" s="278">
        <f>SectorFlows!J13</f>
        <v>86862</v>
      </c>
      <c r="E186">
        <v>107265</v>
      </c>
    </row>
    <row r="187" spans="1:5" x14ac:dyDescent="0.25">
      <c r="A187" t="str">
        <f t="shared" si="2"/>
        <v>3N-2S</v>
      </c>
      <c r="B187" s="223" t="s">
        <v>461</v>
      </c>
      <c r="C187" s="223" t="s">
        <v>49</v>
      </c>
      <c r="D187" s="278">
        <f>SectorFlows!J14</f>
        <v>525</v>
      </c>
      <c r="E187">
        <v>70</v>
      </c>
    </row>
    <row r="188" spans="1:5" x14ac:dyDescent="0.25">
      <c r="A188" t="str">
        <f t="shared" si="2"/>
        <v>3NW-2S</v>
      </c>
      <c r="B188" s="223" t="s">
        <v>462</v>
      </c>
      <c r="C188" s="223" t="s">
        <v>49</v>
      </c>
      <c r="D188" s="278">
        <f>SectorFlows!J15</f>
        <v>1021</v>
      </c>
      <c r="E188">
        <v>30</v>
      </c>
    </row>
    <row r="189" spans="1:5" x14ac:dyDescent="0.25">
      <c r="A189" t="str">
        <f t="shared" si="2"/>
        <v>3WNW-2S</v>
      </c>
      <c r="B189" s="223" t="s">
        <v>463</v>
      </c>
      <c r="C189" s="223" t="s">
        <v>49</v>
      </c>
      <c r="D189" s="278">
        <f>SectorFlows!J16</f>
        <v>1226</v>
      </c>
      <c r="E189">
        <v>75</v>
      </c>
    </row>
    <row r="190" spans="1:5" x14ac:dyDescent="0.25">
      <c r="A190" t="str">
        <f t="shared" si="2"/>
        <v>3W-2S</v>
      </c>
      <c r="B190" s="223" t="s">
        <v>464</v>
      </c>
      <c r="C190" s="223" t="s">
        <v>49</v>
      </c>
      <c r="D190" s="278">
        <f>SectorFlows!J17</f>
        <v>998</v>
      </c>
      <c r="E190">
        <v>150</v>
      </c>
    </row>
    <row r="191" spans="1:5" x14ac:dyDescent="0.25">
      <c r="A191" t="str">
        <f t="shared" si="2"/>
        <v>3WSW-2S</v>
      </c>
      <c r="B191" s="223" t="s">
        <v>465</v>
      </c>
      <c r="C191" s="223" t="s">
        <v>49</v>
      </c>
      <c r="D191" s="278">
        <f>SectorFlows!J18</f>
        <v>2985</v>
      </c>
      <c r="E191">
        <v>530</v>
      </c>
    </row>
    <row r="192" spans="1:5" x14ac:dyDescent="0.25">
      <c r="A192" t="str">
        <f t="shared" si="2"/>
        <v>3SW-2S</v>
      </c>
      <c r="B192" s="223" t="s">
        <v>466</v>
      </c>
      <c r="C192" s="223" t="s">
        <v>49</v>
      </c>
      <c r="D192" s="278">
        <f>SectorFlows!J19</f>
        <v>11477</v>
      </c>
      <c r="E192">
        <v>7895</v>
      </c>
    </row>
    <row r="193" spans="1:5" x14ac:dyDescent="0.25">
      <c r="A193" t="str">
        <f t="shared" si="2"/>
        <v>3S-2S</v>
      </c>
      <c r="B193" s="223" t="s">
        <v>467</v>
      </c>
      <c r="C193" s="223" t="s">
        <v>49</v>
      </c>
      <c r="D193" s="278">
        <f>SectorFlows!J20</f>
        <v>14548</v>
      </c>
      <c r="E193">
        <v>14315</v>
      </c>
    </row>
    <row r="194" spans="1:5" x14ac:dyDescent="0.25">
      <c r="A194" t="str">
        <f t="shared" si="2"/>
        <v>XWI-2S</v>
      </c>
      <c r="B194" s="223" t="s">
        <v>468</v>
      </c>
      <c r="C194" s="223" t="s">
        <v>49</v>
      </c>
      <c r="D194" s="278">
        <f>SectorFlows!J21</f>
        <v>47</v>
      </c>
      <c r="E194">
        <v>0</v>
      </c>
    </row>
    <row r="195" spans="1:5" x14ac:dyDescent="0.25">
      <c r="A195" t="str">
        <f t="shared" si="2"/>
        <v>XIL-2S</v>
      </c>
      <c r="B195" s="223" t="s">
        <v>469</v>
      </c>
      <c r="C195" s="223" t="s">
        <v>49</v>
      </c>
      <c r="D195" s="278">
        <f>SectorFlows!J22</f>
        <v>855</v>
      </c>
      <c r="E195">
        <v>350</v>
      </c>
    </row>
    <row r="196" spans="1:5" x14ac:dyDescent="0.25">
      <c r="A196" t="str">
        <f t="shared" si="2"/>
        <v>3IN-2S</v>
      </c>
      <c r="B196" s="223" t="s">
        <v>470</v>
      </c>
      <c r="C196" s="223" t="s">
        <v>49</v>
      </c>
      <c r="D196" s="278">
        <f>SectorFlows!J23</f>
        <v>11244</v>
      </c>
      <c r="E196">
        <v>16740</v>
      </c>
    </row>
    <row r="197" spans="1:5" x14ac:dyDescent="0.25">
      <c r="A197" t="str">
        <f t="shared" ref="A197:A260" si="3">CONCATENATE(B:B,"-",C:C)</f>
        <v>XIN-2S</v>
      </c>
      <c r="B197" s="223" t="s">
        <v>471</v>
      </c>
      <c r="C197" s="223" t="s">
        <v>49</v>
      </c>
      <c r="D197" s="278">
        <f>SectorFlows!J24</f>
        <v>2669</v>
      </c>
      <c r="E197">
        <v>1715</v>
      </c>
    </row>
    <row r="198" spans="1:5" x14ac:dyDescent="0.25">
      <c r="A198" t="str">
        <f t="shared" si="3"/>
        <v>4NW-2S</v>
      </c>
      <c r="B198" s="223" t="s">
        <v>472</v>
      </c>
      <c r="C198" s="223" t="s">
        <v>49</v>
      </c>
      <c r="D198" s="278">
        <f>SectorFlows!J25</f>
        <v>962</v>
      </c>
      <c r="E198">
        <v>15</v>
      </c>
    </row>
    <row r="199" spans="1:5" x14ac:dyDescent="0.25">
      <c r="A199" t="str">
        <f t="shared" si="3"/>
        <v>4N-2S</v>
      </c>
      <c r="B199" s="223" t="s">
        <v>473</v>
      </c>
      <c r="C199" s="223" t="s">
        <v>49</v>
      </c>
      <c r="D199" s="278">
        <f>SectorFlows!J26</f>
        <v>506</v>
      </c>
      <c r="E199">
        <v>25</v>
      </c>
    </row>
    <row r="200" spans="1:5" x14ac:dyDescent="0.25">
      <c r="A200" t="str">
        <f t="shared" si="3"/>
        <v>4WNW-2S</v>
      </c>
      <c r="B200" s="223" t="s">
        <v>474</v>
      </c>
      <c r="C200" s="223" t="s">
        <v>49</v>
      </c>
      <c r="D200" s="278">
        <f>SectorFlows!J27</f>
        <v>207</v>
      </c>
      <c r="E200">
        <v>5</v>
      </c>
    </row>
    <row r="201" spans="1:5" x14ac:dyDescent="0.25">
      <c r="A201" t="str">
        <f t="shared" si="3"/>
        <v>4W-2S</v>
      </c>
      <c r="B201" s="223" t="s">
        <v>475</v>
      </c>
      <c r="C201" s="223" t="s">
        <v>49</v>
      </c>
      <c r="D201" s="278">
        <f>SectorFlows!J28</f>
        <v>99</v>
      </c>
      <c r="E201">
        <v>15</v>
      </c>
    </row>
    <row r="202" spans="1:5" x14ac:dyDescent="0.25">
      <c r="A202" t="str">
        <f t="shared" si="3"/>
        <v>4WSW-2S</v>
      </c>
      <c r="B202" s="223" t="s">
        <v>476</v>
      </c>
      <c r="C202" s="223" t="s">
        <v>49</v>
      </c>
      <c r="D202" s="278">
        <f>SectorFlows!J29</f>
        <v>562</v>
      </c>
      <c r="E202">
        <v>30</v>
      </c>
    </row>
    <row r="203" spans="1:5" x14ac:dyDescent="0.25">
      <c r="A203" t="str">
        <f t="shared" si="3"/>
        <v>4SW-2S</v>
      </c>
      <c r="B203" s="281" t="s">
        <v>477</v>
      </c>
      <c r="C203" s="223" t="s">
        <v>49</v>
      </c>
      <c r="D203" s="278">
        <f>SectorFlows!J30</f>
        <v>4717</v>
      </c>
      <c r="E203">
        <v>2105</v>
      </c>
    </row>
    <row r="204" spans="1:5" x14ac:dyDescent="0.25">
      <c r="A204" t="str">
        <f t="shared" si="3"/>
        <v>1-3N</v>
      </c>
      <c r="B204" s="280">
        <v>1</v>
      </c>
      <c r="C204" s="223" t="s">
        <v>461</v>
      </c>
      <c r="D204" s="278">
        <f>SectorFlows!K6</f>
        <v>3028</v>
      </c>
      <c r="E204">
        <v>330</v>
      </c>
    </row>
    <row r="205" spans="1:5" x14ac:dyDescent="0.25">
      <c r="A205" t="str">
        <f t="shared" si="3"/>
        <v>2N-3N</v>
      </c>
      <c r="B205" s="223" t="s">
        <v>456</v>
      </c>
      <c r="C205" s="223" t="s">
        <v>461</v>
      </c>
      <c r="D205" s="278">
        <f>SectorFlows!K7</f>
        <v>16073</v>
      </c>
      <c r="E205">
        <v>13535</v>
      </c>
    </row>
    <row r="206" spans="1:5" x14ac:dyDescent="0.25">
      <c r="A206" t="str">
        <f t="shared" si="3"/>
        <v>2NW-3N</v>
      </c>
      <c r="B206" s="223" t="s">
        <v>457</v>
      </c>
      <c r="C206" s="223" t="s">
        <v>461</v>
      </c>
      <c r="D206" s="278">
        <f>SectorFlows!K8</f>
        <v>8714</v>
      </c>
      <c r="E206">
        <v>7470</v>
      </c>
    </row>
    <row r="207" spans="1:5" x14ac:dyDescent="0.25">
      <c r="A207" t="str">
        <f t="shared" si="3"/>
        <v>2WNW-3N</v>
      </c>
      <c r="B207" s="223" t="s">
        <v>458</v>
      </c>
      <c r="C207" s="223" t="s">
        <v>461</v>
      </c>
      <c r="D207" s="278">
        <f>SectorFlows!K9</f>
        <v>1972</v>
      </c>
      <c r="E207">
        <v>1330</v>
      </c>
    </row>
    <row r="208" spans="1:5" x14ac:dyDescent="0.25">
      <c r="A208" t="str">
        <f t="shared" si="3"/>
        <v>2W-3N</v>
      </c>
      <c r="B208" s="223" t="s">
        <v>47</v>
      </c>
      <c r="C208" s="223" t="s">
        <v>461</v>
      </c>
      <c r="D208" s="278">
        <f>SectorFlows!K10</f>
        <v>1389</v>
      </c>
      <c r="E208">
        <v>670</v>
      </c>
    </row>
    <row r="209" spans="1:5" x14ac:dyDescent="0.25">
      <c r="A209" t="str">
        <f t="shared" si="3"/>
        <v>2WSW-3N</v>
      </c>
      <c r="B209" s="223" t="s">
        <v>459</v>
      </c>
      <c r="C209" s="223" t="s">
        <v>461</v>
      </c>
      <c r="D209" s="278">
        <f>SectorFlows!K11</f>
        <v>1270</v>
      </c>
      <c r="E209">
        <v>145</v>
      </c>
    </row>
    <row r="210" spans="1:5" x14ac:dyDescent="0.25">
      <c r="A210" t="str">
        <f t="shared" si="3"/>
        <v>2SW-3N</v>
      </c>
      <c r="B210" s="223" t="s">
        <v>460</v>
      </c>
      <c r="C210" s="223" t="s">
        <v>461</v>
      </c>
      <c r="D210" s="278">
        <f>SectorFlows!K12</f>
        <v>1598</v>
      </c>
      <c r="E210">
        <v>240</v>
      </c>
    </row>
    <row r="211" spans="1:5" x14ac:dyDescent="0.25">
      <c r="A211" t="str">
        <f t="shared" si="3"/>
        <v>2S-3N</v>
      </c>
      <c r="B211" s="223" t="s">
        <v>49</v>
      </c>
      <c r="C211" s="223" t="s">
        <v>461</v>
      </c>
      <c r="D211" s="278">
        <f>SectorFlows!K13</f>
        <v>1612</v>
      </c>
      <c r="E211">
        <v>260</v>
      </c>
    </row>
    <row r="212" spans="1:5" x14ac:dyDescent="0.25">
      <c r="A212" t="str">
        <f t="shared" si="3"/>
        <v>3N-3N</v>
      </c>
      <c r="B212" s="223" t="s">
        <v>461</v>
      </c>
      <c r="C212" s="223" t="s">
        <v>461</v>
      </c>
      <c r="D212" s="278">
        <f>SectorFlows!K14</f>
        <v>14449</v>
      </c>
      <c r="E212">
        <v>29060</v>
      </c>
    </row>
    <row r="213" spans="1:5" x14ac:dyDescent="0.25">
      <c r="A213" t="str">
        <f t="shared" si="3"/>
        <v>3NW-3N</v>
      </c>
      <c r="B213" s="223" t="s">
        <v>462</v>
      </c>
      <c r="C213" s="223" t="s">
        <v>461</v>
      </c>
      <c r="D213" s="278">
        <f>SectorFlows!K15</f>
        <v>11302</v>
      </c>
      <c r="E213">
        <v>13120</v>
      </c>
    </row>
    <row r="214" spans="1:5" x14ac:dyDescent="0.25">
      <c r="A214" t="str">
        <f t="shared" si="3"/>
        <v>3WNW-3N</v>
      </c>
      <c r="B214" s="223" t="s">
        <v>463</v>
      </c>
      <c r="C214" s="223" t="s">
        <v>461</v>
      </c>
      <c r="D214" s="278">
        <f>SectorFlows!K16</f>
        <v>2337</v>
      </c>
      <c r="E214">
        <v>1825</v>
      </c>
    </row>
    <row r="215" spans="1:5" x14ac:dyDescent="0.25">
      <c r="A215" t="str">
        <f t="shared" si="3"/>
        <v>3W-3N</v>
      </c>
      <c r="B215" s="223" t="s">
        <v>464</v>
      </c>
      <c r="C215" s="223" t="s">
        <v>461</v>
      </c>
      <c r="D215" s="278">
        <f>SectorFlows!K17</f>
        <v>925</v>
      </c>
      <c r="E215">
        <v>275</v>
      </c>
    </row>
    <row r="216" spans="1:5" x14ac:dyDescent="0.25">
      <c r="A216" t="str">
        <f t="shared" si="3"/>
        <v>3WSW-3N</v>
      </c>
      <c r="B216" s="223" t="s">
        <v>465</v>
      </c>
      <c r="C216" s="223" t="s">
        <v>461</v>
      </c>
      <c r="D216" s="278">
        <f>SectorFlows!K18</f>
        <v>1121</v>
      </c>
      <c r="E216">
        <v>105</v>
      </c>
    </row>
    <row r="217" spans="1:5" x14ac:dyDescent="0.25">
      <c r="A217" t="str">
        <f t="shared" si="3"/>
        <v>3SW-3N</v>
      </c>
      <c r="B217" s="223" t="s">
        <v>466</v>
      </c>
      <c r="C217" s="223" t="s">
        <v>461</v>
      </c>
      <c r="D217" s="278">
        <f>SectorFlows!K19</f>
        <v>914</v>
      </c>
      <c r="E217">
        <v>35</v>
      </c>
    </row>
    <row r="218" spans="1:5" x14ac:dyDescent="0.25">
      <c r="A218" t="str">
        <f t="shared" si="3"/>
        <v>3S-3N</v>
      </c>
      <c r="B218" s="223" t="s">
        <v>467</v>
      </c>
      <c r="C218" s="223" t="s">
        <v>461</v>
      </c>
      <c r="D218" s="278">
        <f>SectorFlows!K20</f>
        <v>799</v>
      </c>
      <c r="E218">
        <v>10</v>
      </c>
    </row>
    <row r="219" spans="1:5" x14ac:dyDescent="0.25">
      <c r="A219" t="str">
        <f t="shared" si="3"/>
        <v>XWI-3N</v>
      </c>
      <c r="B219" s="223" t="s">
        <v>468</v>
      </c>
      <c r="C219" s="223" t="s">
        <v>461</v>
      </c>
      <c r="D219" s="278">
        <f>SectorFlows!K21</f>
        <v>789</v>
      </c>
      <c r="E219">
        <v>1000</v>
      </c>
    </row>
    <row r="220" spans="1:5" x14ac:dyDescent="0.25">
      <c r="A220" t="str">
        <f t="shared" si="3"/>
        <v>XIL-3N</v>
      </c>
      <c r="B220" s="223" t="s">
        <v>469</v>
      </c>
      <c r="C220" s="223" t="s">
        <v>461</v>
      </c>
      <c r="D220" s="278">
        <f>SectorFlows!K22</f>
        <v>172</v>
      </c>
      <c r="E220">
        <v>0</v>
      </c>
    </row>
    <row r="221" spans="1:5" x14ac:dyDescent="0.25">
      <c r="A221" t="str">
        <f t="shared" si="3"/>
        <v>3IN-3N</v>
      </c>
      <c r="B221" s="223" t="s">
        <v>470</v>
      </c>
      <c r="C221" s="223" t="s">
        <v>461</v>
      </c>
      <c r="D221" s="278">
        <f>SectorFlows!K23</f>
        <v>290</v>
      </c>
      <c r="E221">
        <v>15</v>
      </c>
    </row>
    <row r="222" spans="1:5" x14ac:dyDescent="0.25">
      <c r="A222" t="str">
        <f t="shared" si="3"/>
        <v>XIN-3N</v>
      </c>
      <c r="B222" s="223" t="s">
        <v>471</v>
      </c>
      <c r="C222" s="223" t="s">
        <v>461</v>
      </c>
      <c r="D222" s="278">
        <f>SectorFlows!K24</f>
        <v>20</v>
      </c>
      <c r="E222">
        <v>0</v>
      </c>
    </row>
    <row r="223" spans="1:5" x14ac:dyDescent="0.25">
      <c r="A223" t="str">
        <f t="shared" si="3"/>
        <v>4NW-3N</v>
      </c>
      <c r="B223" s="223" t="s">
        <v>472</v>
      </c>
      <c r="C223" s="223" t="s">
        <v>461</v>
      </c>
      <c r="D223" s="278">
        <f>SectorFlows!K25</f>
        <v>12230</v>
      </c>
      <c r="E223">
        <v>15260</v>
      </c>
    </row>
    <row r="224" spans="1:5" x14ac:dyDescent="0.25">
      <c r="A224" t="str">
        <f t="shared" si="3"/>
        <v>4N-3N</v>
      </c>
      <c r="B224" s="223" t="s">
        <v>473</v>
      </c>
      <c r="C224" s="223" t="s">
        <v>461</v>
      </c>
      <c r="D224" s="278">
        <f>SectorFlows!K26</f>
        <v>5249</v>
      </c>
      <c r="E224">
        <v>9445</v>
      </c>
    </row>
    <row r="225" spans="1:5" x14ac:dyDescent="0.25">
      <c r="A225" t="str">
        <f t="shared" si="3"/>
        <v>4WNW-3N</v>
      </c>
      <c r="B225" s="223" t="s">
        <v>474</v>
      </c>
      <c r="C225" s="223" t="s">
        <v>461</v>
      </c>
      <c r="D225" s="278">
        <f>SectorFlows!K27</f>
        <v>621</v>
      </c>
      <c r="E225">
        <v>745</v>
      </c>
    </row>
    <row r="226" spans="1:5" x14ac:dyDescent="0.25">
      <c r="A226" t="str">
        <f t="shared" si="3"/>
        <v>4W-3N</v>
      </c>
      <c r="B226" s="223" t="s">
        <v>475</v>
      </c>
      <c r="C226" s="223" t="s">
        <v>461</v>
      </c>
      <c r="D226" s="278">
        <f>SectorFlows!K28</f>
        <v>123</v>
      </c>
      <c r="E226">
        <v>60</v>
      </c>
    </row>
    <row r="227" spans="1:5" x14ac:dyDescent="0.25">
      <c r="A227" t="str">
        <f t="shared" si="3"/>
        <v>4WSW-3N</v>
      </c>
      <c r="B227" s="223" t="s">
        <v>476</v>
      </c>
      <c r="C227" s="223" t="s">
        <v>461</v>
      </c>
      <c r="D227" s="278">
        <f>SectorFlows!K29</f>
        <v>167</v>
      </c>
      <c r="E227">
        <v>5</v>
      </c>
    </row>
    <row r="228" spans="1:5" x14ac:dyDescent="0.25">
      <c r="A228" t="str">
        <f t="shared" si="3"/>
        <v>4SW-3N</v>
      </c>
      <c r="B228" s="281" t="s">
        <v>477</v>
      </c>
      <c r="C228" s="223" t="s">
        <v>461</v>
      </c>
      <c r="D228" s="278">
        <f>SectorFlows!K30</f>
        <v>322</v>
      </c>
      <c r="E228">
        <v>5</v>
      </c>
    </row>
    <row r="229" spans="1:5" x14ac:dyDescent="0.25">
      <c r="A229" t="str">
        <f t="shared" si="3"/>
        <v>1-3NW</v>
      </c>
      <c r="B229" s="280">
        <v>1</v>
      </c>
      <c r="C229" s="223" t="s">
        <v>462</v>
      </c>
      <c r="D229" s="278">
        <f>SectorFlows!L6</f>
        <v>3698</v>
      </c>
      <c r="E229">
        <v>150</v>
      </c>
    </row>
    <row r="230" spans="1:5" x14ac:dyDescent="0.25">
      <c r="A230" t="str">
        <f t="shared" si="3"/>
        <v>2N-3NW</v>
      </c>
      <c r="B230" s="223" t="s">
        <v>456</v>
      </c>
      <c r="C230" s="223" t="s">
        <v>462</v>
      </c>
      <c r="D230" s="278">
        <f>SectorFlows!L7</f>
        <v>9869</v>
      </c>
      <c r="E230">
        <v>3120</v>
      </c>
    </row>
    <row r="231" spans="1:5" x14ac:dyDescent="0.25">
      <c r="A231" t="str">
        <f t="shared" si="3"/>
        <v>2NW-3NW</v>
      </c>
      <c r="B231" s="223" t="s">
        <v>457</v>
      </c>
      <c r="C231" s="223" t="s">
        <v>462</v>
      </c>
      <c r="D231" s="278">
        <f>SectorFlows!L8</f>
        <v>14381</v>
      </c>
      <c r="E231">
        <v>10620</v>
      </c>
    </row>
    <row r="232" spans="1:5" x14ac:dyDescent="0.25">
      <c r="A232" t="str">
        <f t="shared" si="3"/>
        <v>2WNW-3NW</v>
      </c>
      <c r="B232" s="223" t="s">
        <v>458</v>
      </c>
      <c r="C232" s="223" t="s">
        <v>462</v>
      </c>
      <c r="D232" s="278">
        <f>SectorFlows!L9</f>
        <v>3370</v>
      </c>
      <c r="E232">
        <v>1220</v>
      </c>
    </row>
    <row r="233" spans="1:5" x14ac:dyDescent="0.25">
      <c r="A233" t="str">
        <f t="shared" si="3"/>
        <v>2W-3NW</v>
      </c>
      <c r="B233" s="223" t="s">
        <v>47</v>
      </c>
      <c r="C233" s="223" t="s">
        <v>462</v>
      </c>
      <c r="D233" s="278">
        <f>SectorFlows!L10</f>
        <v>4566</v>
      </c>
      <c r="E233">
        <v>705</v>
      </c>
    </row>
    <row r="234" spans="1:5" x14ac:dyDescent="0.25">
      <c r="A234" t="str">
        <f t="shared" si="3"/>
        <v>2WSW-3NW</v>
      </c>
      <c r="B234" s="223" t="s">
        <v>459</v>
      </c>
      <c r="C234" s="223" t="s">
        <v>462</v>
      </c>
      <c r="D234" s="278">
        <f>SectorFlows!L11</f>
        <v>2618</v>
      </c>
      <c r="E234">
        <v>385</v>
      </c>
    </row>
    <row r="235" spans="1:5" x14ac:dyDescent="0.25">
      <c r="A235" t="str">
        <f t="shared" si="3"/>
        <v>2SW-3NW</v>
      </c>
      <c r="B235" s="223" t="s">
        <v>460</v>
      </c>
      <c r="C235" s="223" t="s">
        <v>462</v>
      </c>
      <c r="D235" s="278">
        <f>SectorFlows!L12</f>
        <v>3145</v>
      </c>
      <c r="E235">
        <v>155</v>
      </c>
    </row>
    <row r="236" spans="1:5" x14ac:dyDescent="0.25">
      <c r="A236" t="str">
        <f t="shared" si="3"/>
        <v>2S-3NW</v>
      </c>
      <c r="B236" s="223" t="s">
        <v>49</v>
      </c>
      <c r="C236" s="223" t="s">
        <v>462</v>
      </c>
      <c r="D236" s="278">
        <f>SectorFlows!L13</f>
        <v>4413</v>
      </c>
      <c r="E236">
        <v>140</v>
      </c>
    </row>
    <row r="237" spans="1:5" x14ac:dyDescent="0.25">
      <c r="A237" t="str">
        <f t="shared" si="3"/>
        <v>3N-3NW</v>
      </c>
      <c r="B237" s="223" t="s">
        <v>461</v>
      </c>
      <c r="C237" s="223" t="s">
        <v>462</v>
      </c>
      <c r="D237" s="278">
        <f>SectorFlows!L14</f>
        <v>2803</v>
      </c>
      <c r="E237">
        <v>4080</v>
      </c>
    </row>
    <row r="238" spans="1:5" x14ac:dyDescent="0.25">
      <c r="A238" t="str">
        <f t="shared" si="3"/>
        <v>3NW-3NW</v>
      </c>
      <c r="B238" s="223" t="s">
        <v>462</v>
      </c>
      <c r="C238" s="223" t="s">
        <v>462</v>
      </c>
      <c r="D238" s="278">
        <f>SectorFlows!L15</f>
        <v>63559</v>
      </c>
      <c r="E238">
        <v>84580</v>
      </c>
    </row>
    <row r="239" spans="1:5" x14ac:dyDescent="0.25">
      <c r="A239" t="str">
        <f t="shared" si="3"/>
        <v>3WNW-3NW</v>
      </c>
      <c r="B239" s="223" t="s">
        <v>463</v>
      </c>
      <c r="C239" s="223" t="s">
        <v>462</v>
      </c>
      <c r="D239" s="278">
        <f>SectorFlows!L16</f>
        <v>34781</v>
      </c>
      <c r="E239">
        <v>22410</v>
      </c>
    </row>
    <row r="240" spans="1:5" x14ac:dyDescent="0.25">
      <c r="A240" t="str">
        <f t="shared" si="3"/>
        <v>3W-3NW</v>
      </c>
      <c r="B240" s="223" t="s">
        <v>464</v>
      </c>
      <c r="C240" s="223" t="s">
        <v>462</v>
      </c>
      <c r="D240" s="278">
        <f>SectorFlows!L17</f>
        <v>7696</v>
      </c>
      <c r="E240">
        <v>3250</v>
      </c>
    </row>
    <row r="241" spans="1:5" x14ac:dyDescent="0.25">
      <c r="A241" t="str">
        <f t="shared" si="3"/>
        <v>3WSW-3NW</v>
      </c>
      <c r="B241" s="223" t="s">
        <v>465</v>
      </c>
      <c r="C241" s="223" t="s">
        <v>462</v>
      </c>
      <c r="D241" s="278">
        <f>SectorFlows!L18</f>
        <v>6170</v>
      </c>
      <c r="E241">
        <v>1505</v>
      </c>
    </row>
    <row r="242" spans="1:5" x14ac:dyDescent="0.25">
      <c r="A242" t="str">
        <f t="shared" si="3"/>
        <v>3SW-3NW</v>
      </c>
      <c r="B242" s="223" t="s">
        <v>466</v>
      </c>
      <c r="C242" s="223" t="s">
        <v>462</v>
      </c>
      <c r="D242" s="278">
        <f>SectorFlows!L19</f>
        <v>2687</v>
      </c>
      <c r="E242">
        <v>165</v>
      </c>
    </row>
    <row r="243" spans="1:5" x14ac:dyDescent="0.25">
      <c r="A243" t="str">
        <f t="shared" si="3"/>
        <v>3S-3NW</v>
      </c>
      <c r="B243" s="223" t="s">
        <v>467</v>
      </c>
      <c r="C243" s="223" t="s">
        <v>462</v>
      </c>
      <c r="D243" s="278">
        <f>SectorFlows!L20</f>
        <v>1648</v>
      </c>
      <c r="E243">
        <v>0</v>
      </c>
    </row>
    <row r="244" spans="1:5" x14ac:dyDescent="0.25">
      <c r="A244" t="str">
        <f t="shared" si="3"/>
        <v>XWI-3NW</v>
      </c>
      <c r="B244" s="223" t="s">
        <v>468</v>
      </c>
      <c r="C244" s="223" t="s">
        <v>462</v>
      </c>
      <c r="D244" s="278">
        <f>SectorFlows!L21</f>
        <v>940</v>
      </c>
      <c r="E244">
        <v>1505</v>
      </c>
    </row>
    <row r="245" spans="1:5" x14ac:dyDescent="0.25">
      <c r="A245" t="str">
        <f t="shared" si="3"/>
        <v>XIL-3NW</v>
      </c>
      <c r="B245" s="223" t="s">
        <v>469</v>
      </c>
      <c r="C245" s="223" t="s">
        <v>462</v>
      </c>
      <c r="D245" s="278">
        <f>SectorFlows!L22</f>
        <v>2570</v>
      </c>
      <c r="E245">
        <v>500</v>
      </c>
    </row>
    <row r="246" spans="1:5" x14ac:dyDescent="0.25">
      <c r="A246" t="str">
        <f t="shared" si="3"/>
        <v>3IN-3NW</v>
      </c>
      <c r="B246" s="223" t="s">
        <v>470</v>
      </c>
      <c r="C246" s="223" t="s">
        <v>462</v>
      </c>
      <c r="D246" s="278">
        <f>SectorFlows!L23</f>
        <v>569</v>
      </c>
      <c r="E246">
        <v>5</v>
      </c>
    </row>
    <row r="247" spans="1:5" x14ac:dyDescent="0.25">
      <c r="A247" t="str">
        <f t="shared" si="3"/>
        <v>XIN-3NW</v>
      </c>
      <c r="B247" s="223" t="s">
        <v>471</v>
      </c>
      <c r="C247" s="223" t="s">
        <v>462</v>
      </c>
      <c r="D247" s="278">
        <f>SectorFlows!L24</f>
        <v>205</v>
      </c>
      <c r="E247">
        <v>0</v>
      </c>
    </row>
    <row r="248" spans="1:5" x14ac:dyDescent="0.25">
      <c r="A248" t="str">
        <f t="shared" si="3"/>
        <v>4NW-3NW</v>
      </c>
      <c r="B248" s="223" t="s">
        <v>472</v>
      </c>
      <c r="C248" s="223" t="s">
        <v>462</v>
      </c>
      <c r="D248" s="278">
        <f>SectorFlows!L25</f>
        <v>32066</v>
      </c>
      <c r="E248">
        <v>43205</v>
      </c>
    </row>
    <row r="249" spans="1:5" x14ac:dyDescent="0.25">
      <c r="A249" t="str">
        <f t="shared" si="3"/>
        <v>4N-3NW</v>
      </c>
      <c r="B249" s="223" t="s">
        <v>473</v>
      </c>
      <c r="C249" s="223" t="s">
        <v>462</v>
      </c>
      <c r="D249" s="278">
        <f>SectorFlows!L26</f>
        <v>2320</v>
      </c>
      <c r="E249">
        <v>2905</v>
      </c>
    </row>
    <row r="250" spans="1:5" x14ac:dyDescent="0.25">
      <c r="A250" t="str">
        <f t="shared" si="3"/>
        <v>4WNW-3NW</v>
      </c>
      <c r="B250" s="223" t="s">
        <v>474</v>
      </c>
      <c r="C250" s="223" t="s">
        <v>462</v>
      </c>
      <c r="D250" s="278">
        <f>SectorFlows!L27</f>
        <v>9666</v>
      </c>
      <c r="E250">
        <v>9945</v>
      </c>
    </row>
    <row r="251" spans="1:5" x14ac:dyDescent="0.25">
      <c r="A251" t="str">
        <f t="shared" si="3"/>
        <v>4W-3NW</v>
      </c>
      <c r="B251" s="223" t="s">
        <v>475</v>
      </c>
      <c r="C251" s="223" t="s">
        <v>462</v>
      </c>
      <c r="D251" s="278">
        <f>SectorFlows!L28</f>
        <v>2303</v>
      </c>
      <c r="E251">
        <v>1160</v>
      </c>
    </row>
    <row r="252" spans="1:5" x14ac:dyDescent="0.25">
      <c r="A252" t="str">
        <f t="shared" si="3"/>
        <v>4WSW-3NW</v>
      </c>
      <c r="B252" s="223" t="s">
        <v>476</v>
      </c>
      <c r="C252" s="223" t="s">
        <v>462</v>
      </c>
      <c r="D252" s="278">
        <f>SectorFlows!L29</f>
        <v>1457</v>
      </c>
      <c r="E252">
        <v>265</v>
      </c>
    </row>
    <row r="253" spans="1:5" x14ac:dyDescent="0.25">
      <c r="A253" t="str">
        <f t="shared" si="3"/>
        <v>4SW-3NW</v>
      </c>
      <c r="B253" s="281" t="s">
        <v>477</v>
      </c>
      <c r="C253" s="223" t="s">
        <v>462</v>
      </c>
      <c r="D253" s="278">
        <f>SectorFlows!L30</f>
        <v>2119</v>
      </c>
      <c r="E253">
        <v>180</v>
      </c>
    </row>
    <row r="254" spans="1:5" x14ac:dyDescent="0.25">
      <c r="A254" t="str">
        <f t="shared" si="3"/>
        <v>1-3WNW</v>
      </c>
      <c r="B254" s="280">
        <v>1</v>
      </c>
      <c r="C254" s="223" t="s">
        <v>463</v>
      </c>
      <c r="D254" s="278">
        <f>SectorFlows!M6</f>
        <v>1978</v>
      </c>
      <c r="E254">
        <v>420</v>
      </c>
    </row>
    <row r="255" spans="1:5" x14ac:dyDescent="0.25">
      <c r="A255" t="str">
        <f t="shared" si="3"/>
        <v>2N-3WNW</v>
      </c>
      <c r="B255" s="223" t="s">
        <v>456</v>
      </c>
      <c r="C255" s="223" t="s">
        <v>463</v>
      </c>
      <c r="D255" s="278">
        <f>SectorFlows!M7</f>
        <v>5418</v>
      </c>
      <c r="E255">
        <v>3605</v>
      </c>
    </row>
    <row r="256" spans="1:5" x14ac:dyDescent="0.25">
      <c r="A256" t="str">
        <f t="shared" si="3"/>
        <v>2NW-3WNW</v>
      </c>
      <c r="B256" s="223" t="s">
        <v>457</v>
      </c>
      <c r="C256" s="223" t="s">
        <v>463</v>
      </c>
      <c r="D256" s="278">
        <f>SectorFlows!M8</f>
        <v>10360</v>
      </c>
      <c r="E256">
        <v>9005</v>
      </c>
    </row>
    <row r="257" spans="1:5" x14ac:dyDescent="0.25">
      <c r="A257" t="str">
        <f t="shared" si="3"/>
        <v>2WNW-3WNW</v>
      </c>
      <c r="B257" s="223" t="s">
        <v>458</v>
      </c>
      <c r="C257" s="223" t="s">
        <v>463</v>
      </c>
      <c r="D257" s="278">
        <f>SectorFlows!M9</f>
        <v>5394</v>
      </c>
      <c r="E257">
        <v>3010</v>
      </c>
    </row>
    <row r="258" spans="1:5" x14ac:dyDescent="0.25">
      <c r="A258" t="str">
        <f t="shared" si="3"/>
        <v>2W-3WNW</v>
      </c>
      <c r="B258" s="223" t="s">
        <v>47</v>
      </c>
      <c r="C258" s="223" t="s">
        <v>463</v>
      </c>
      <c r="D258" s="278">
        <f>SectorFlows!M10</f>
        <v>6452</v>
      </c>
      <c r="E258">
        <v>2785</v>
      </c>
    </row>
    <row r="259" spans="1:5" x14ac:dyDescent="0.25">
      <c r="A259" t="str">
        <f t="shared" si="3"/>
        <v>2WSW-3WNW</v>
      </c>
      <c r="B259" s="223" t="s">
        <v>459</v>
      </c>
      <c r="C259" s="223" t="s">
        <v>463</v>
      </c>
      <c r="D259" s="278">
        <f>SectorFlows!M11</f>
        <v>3998</v>
      </c>
      <c r="E259">
        <v>1855</v>
      </c>
    </row>
    <row r="260" spans="1:5" x14ac:dyDescent="0.25">
      <c r="A260" t="str">
        <f t="shared" si="3"/>
        <v>2SW-3WNW</v>
      </c>
      <c r="B260" s="223" t="s">
        <v>460</v>
      </c>
      <c r="C260" s="223" t="s">
        <v>463</v>
      </c>
      <c r="D260" s="278">
        <f>SectorFlows!M12</f>
        <v>3232</v>
      </c>
      <c r="E260">
        <v>725</v>
      </c>
    </row>
    <row r="261" spans="1:5" x14ac:dyDescent="0.25">
      <c r="A261" t="str">
        <f t="shared" ref="A261:A324" si="4">CONCATENATE(B:B,"-",C:C)</f>
        <v>2S-3WNW</v>
      </c>
      <c r="B261" s="223" t="s">
        <v>49</v>
      </c>
      <c r="C261" s="223" t="s">
        <v>463</v>
      </c>
      <c r="D261" s="278">
        <f>SectorFlows!M13</f>
        <v>2594</v>
      </c>
      <c r="E261">
        <v>395</v>
      </c>
    </row>
    <row r="262" spans="1:5" x14ac:dyDescent="0.25">
      <c r="A262" t="str">
        <f t="shared" si="4"/>
        <v>3N-3WNW</v>
      </c>
      <c r="B262" s="223" t="s">
        <v>461</v>
      </c>
      <c r="C262" s="223" t="s">
        <v>463</v>
      </c>
      <c r="D262" s="278">
        <f>SectorFlows!M14</f>
        <v>906</v>
      </c>
      <c r="E262">
        <v>1120</v>
      </c>
    </row>
    <row r="263" spans="1:5" x14ac:dyDescent="0.25">
      <c r="A263" t="str">
        <f t="shared" si="4"/>
        <v>3NW-3WNW</v>
      </c>
      <c r="B263" s="223" t="s">
        <v>462</v>
      </c>
      <c r="C263" s="223" t="s">
        <v>463</v>
      </c>
      <c r="D263" s="278">
        <f>SectorFlows!M15</f>
        <v>17233</v>
      </c>
      <c r="E263">
        <v>22615</v>
      </c>
    </row>
    <row r="264" spans="1:5" x14ac:dyDescent="0.25">
      <c r="A264" t="str">
        <f t="shared" si="4"/>
        <v>3WNW-3WNW</v>
      </c>
      <c r="B264" s="223" t="s">
        <v>463</v>
      </c>
      <c r="C264" s="223" t="s">
        <v>463</v>
      </c>
      <c r="D264" s="278">
        <f>SectorFlows!M16</f>
        <v>62132</v>
      </c>
      <c r="E264">
        <v>99890</v>
      </c>
    </row>
    <row r="265" spans="1:5" x14ac:dyDescent="0.25">
      <c r="A265" t="str">
        <f t="shared" si="4"/>
        <v>3W-3WNW</v>
      </c>
      <c r="B265" s="223" t="s">
        <v>464</v>
      </c>
      <c r="C265" s="223" t="s">
        <v>463</v>
      </c>
      <c r="D265" s="278">
        <f>SectorFlows!M17</f>
        <v>18715</v>
      </c>
      <c r="E265">
        <v>19985</v>
      </c>
    </row>
    <row r="266" spans="1:5" x14ac:dyDescent="0.25">
      <c r="A266" t="str">
        <f t="shared" si="4"/>
        <v>3WSW-3WNW</v>
      </c>
      <c r="B266" s="223" t="s">
        <v>465</v>
      </c>
      <c r="C266" s="223" t="s">
        <v>463</v>
      </c>
      <c r="D266" s="278">
        <f>SectorFlows!M18</f>
        <v>9355</v>
      </c>
      <c r="E266">
        <v>7495</v>
      </c>
    </row>
    <row r="267" spans="1:5" x14ac:dyDescent="0.25">
      <c r="A267" t="str">
        <f t="shared" si="4"/>
        <v>3SW-3WNW</v>
      </c>
      <c r="B267" s="223" t="s">
        <v>466</v>
      </c>
      <c r="C267" s="223" t="s">
        <v>463</v>
      </c>
      <c r="D267" s="278">
        <f>SectorFlows!M19</f>
        <v>3469</v>
      </c>
      <c r="E267">
        <v>1045</v>
      </c>
    </row>
    <row r="268" spans="1:5" x14ac:dyDescent="0.25">
      <c r="A268" t="str">
        <f t="shared" si="4"/>
        <v>3S-3WNW</v>
      </c>
      <c r="B268" s="223" t="s">
        <v>467</v>
      </c>
      <c r="C268" s="223" t="s">
        <v>463</v>
      </c>
      <c r="D268" s="278">
        <f>SectorFlows!M20</f>
        <v>1015</v>
      </c>
      <c r="E268">
        <v>5</v>
      </c>
    </row>
    <row r="269" spans="1:5" x14ac:dyDescent="0.25">
      <c r="A269" t="str">
        <f t="shared" si="4"/>
        <v>XWI-3WNW</v>
      </c>
      <c r="B269" s="223" t="s">
        <v>468</v>
      </c>
      <c r="C269" s="223" t="s">
        <v>463</v>
      </c>
      <c r="D269" s="278">
        <f>SectorFlows!M21</f>
        <v>297</v>
      </c>
      <c r="E269">
        <v>455</v>
      </c>
    </row>
    <row r="270" spans="1:5" x14ac:dyDescent="0.25">
      <c r="A270" t="str">
        <f t="shared" si="4"/>
        <v>XIL-3WNW</v>
      </c>
      <c r="B270" s="223" t="s">
        <v>469</v>
      </c>
      <c r="C270" s="223" t="s">
        <v>463</v>
      </c>
      <c r="D270" s="278">
        <f>SectorFlows!M22</f>
        <v>2675</v>
      </c>
      <c r="E270">
        <v>1555</v>
      </c>
    </row>
    <row r="271" spans="1:5" x14ac:dyDescent="0.25">
      <c r="A271" t="str">
        <f t="shared" si="4"/>
        <v>3IN-3WNW</v>
      </c>
      <c r="B271" s="223" t="s">
        <v>470</v>
      </c>
      <c r="C271" s="223" t="s">
        <v>463</v>
      </c>
      <c r="D271" s="278">
        <f>SectorFlows!M23</f>
        <v>509</v>
      </c>
      <c r="E271">
        <v>40</v>
      </c>
    </row>
    <row r="272" spans="1:5" x14ac:dyDescent="0.25">
      <c r="A272" t="str">
        <f t="shared" si="4"/>
        <v>XIN-3WNW</v>
      </c>
      <c r="B272" s="223" t="s">
        <v>471</v>
      </c>
      <c r="C272" s="223" t="s">
        <v>463</v>
      </c>
      <c r="D272" s="278">
        <f>SectorFlows!M24</f>
        <v>222</v>
      </c>
      <c r="E272">
        <v>0</v>
      </c>
    </row>
    <row r="273" spans="1:5" x14ac:dyDescent="0.25">
      <c r="A273" t="str">
        <f t="shared" si="4"/>
        <v>4NW-3WNW</v>
      </c>
      <c r="B273" s="223" t="s">
        <v>472</v>
      </c>
      <c r="C273" s="223" t="s">
        <v>463</v>
      </c>
      <c r="D273" s="278">
        <f>SectorFlows!M25</f>
        <v>12142</v>
      </c>
      <c r="E273">
        <v>17480</v>
      </c>
    </row>
    <row r="274" spans="1:5" x14ac:dyDescent="0.25">
      <c r="A274" t="str">
        <f t="shared" si="4"/>
        <v>4N-3WNW</v>
      </c>
      <c r="B274" s="223" t="s">
        <v>473</v>
      </c>
      <c r="C274" s="223" t="s">
        <v>463</v>
      </c>
      <c r="D274" s="278">
        <f>SectorFlows!M26</f>
        <v>769</v>
      </c>
      <c r="E274">
        <v>415</v>
      </c>
    </row>
    <row r="275" spans="1:5" x14ac:dyDescent="0.25">
      <c r="A275" t="str">
        <f t="shared" si="4"/>
        <v>4WNW-3WNW</v>
      </c>
      <c r="B275" s="223" t="s">
        <v>474</v>
      </c>
      <c r="C275" s="223" t="s">
        <v>463</v>
      </c>
      <c r="D275" s="278">
        <f>SectorFlows!M27</f>
        <v>11080</v>
      </c>
      <c r="E275">
        <v>17355</v>
      </c>
    </row>
    <row r="276" spans="1:5" x14ac:dyDescent="0.25">
      <c r="A276" t="str">
        <f t="shared" si="4"/>
        <v>4W-3WNW</v>
      </c>
      <c r="B276" s="223" t="s">
        <v>475</v>
      </c>
      <c r="C276" s="223" t="s">
        <v>463</v>
      </c>
      <c r="D276" s="278">
        <f>SectorFlows!M28</f>
        <v>3408</v>
      </c>
      <c r="E276">
        <v>5175</v>
      </c>
    </row>
    <row r="277" spans="1:5" x14ac:dyDescent="0.25">
      <c r="A277" t="str">
        <f t="shared" si="4"/>
        <v>4WSW-3WNW</v>
      </c>
      <c r="B277" s="223" t="s">
        <v>476</v>
      </c>
      <c r="C277" s="223" t="s">
        <v>463</v>
      </c>
      <c r="D277" s="278">
        <f>SectorFlows!M29</f>
        <v>2547</v>
      </c>
      <c r="E277">
        <v>1990</v>
      </c>
    </row>
    <row r="278" spans="1:5" x14ac:dyDescent="0.25">
      <c r="A278" t="str">
        <f t="shared" si="4"/>
        <v>4SW-3WNW</v>
      </c>
      <c r="B278" s="281" t="s">
        <v>477</v>
      </c>
      <c r="C278" s="223" t="s">
        <v>463</v>
      </c>
      <c r="D278" s="278">
        <f>SectorFlows!M30</f>
        <v>2943</v>
      </c>
      <c r="E278">
        <v>1130</v>
      </c>
    </row>
    <row r="279" spans="1:5" x14ac:dyDescent="0.25">
      <c r="A279" t="str">
        <f t="shared" si="4"/>
        <v>1-3W</v>
      </c>
      <c r="B279" s="280">
        <v>1</v>
      </c>
      <c r="C279" s="223" t="s">
        <v>464</v>
      </c>
      <c r="D279" s="278">
        <f>SectorFlows!N6</f>
        <v>2140</v>
      </c>
      <c r="E279">
        <v>645</v>
      </c>
    </row>
    <row r="280" spans="1:5" x14ac:dyDescent="0.25">
      <c r="A280" t="str">
        <f t="shared" si="4"/>
        <v>2N-3W</v>
      </c>
      <c r="B280" s="223" t="s">
        <v>456</v>
      </c>
      <c r="C280" s="223" t="s">
        <v>464</v>
      </c>
      <c r="D280" s="278">
        <f>SectorFlows!N7</f>
        <v>2189</v>
      </c>
      <c r="E280">
        <v>1270</v>
      </c>
    </row>
    <row r="281" spans="1:5" x14ac:dyDescent="0.25">
      <c r="A281" t="str">
        <f t="shared" si="4"/>
        <v>2NW-3W</v>
      </c>
      <c r="B281" s="223" t="s">
        <v>457</v>
      </c>
      <c r="C281" s="223" t="s">
        <v>464</v>
      </c>
      <c r="D281" s="278">
        <f>SectorFlows!N8</f>
        <v>4124</v>
      </c>
      <c r="E281">
        <v>3625</v>
      </c>
    </row>
    <row r="282" spans="1:5" x14ac:dyDescent="0.25">
      <c r="A282" t="str">
        <f t="shared" si="4"/>
        <v>2WNW-3W</v>
      </c>
      <c r="B282" s="223" t="s">
        <v>458</v>
      </c>
      <c r="C282" s="223" t="s">
        <v>464</v>
      </c>
      <c r="D282" s="278">
        <f>SectorFlows!N9</f>
        <v>3114</v>
      </c>
      <c r="E282">
        <v>4580</v>
      </c>
    </row>
    <row r="283" spans="1:5" x14ac:dyDescent="0.25">
      <c r="A283" t="str">
        <f t="shared" si="4"/>
        <v>2W-3W</v>
      </c>
      <c r="B283" s="223" t="s">
        <v>47</v>
      </c>
      <c r="C283" s="223" t="s">
        <v>464</v>
      </c>
      <c r="D283" s="278">
        <f>SectorFlows!N10</f>
        <v>7837</v>
      </c>
      <c r="E283">
        <v>10020</v>
      </c>
    </row>
    <row r="284" spans="1:5" x14ac:dyDescent="0.25">
      <c r="A284" t="str">
        <f t="shared" si="4"/>
        <v>2WSW-3W</v>
      </c>
      <c r="B284" s="223" t="s">
        <v>459</v>
      </c>
      <c r="C284" s="223" t="s">
        <v>464</v>
      </c>
      <c r="D284" s="278">
        <f>SectorFlows!N11</f>
        <v>4895</v>
      </c>
      <c r="E284">
        <v>9440</v>
      </c>
    </row>
    <row r="285" spans="1:5" x14ac:dyDescent="0.25">
      <c r="A285" t="str">
        <f t="shared" si="4"/>
        <v>2SW-3W</v>
      </c>
      <c r="B285" s="223" t="s">
        <v>460</v>
      </c>
      <c r="C285" s="223" t="s">
        <v>464</v>
      </c>
      <c r="D285" s="278">
        <f>SectorFlows!N12</f>
        <v>3186</v>
      </c>
      <c r="E285">
        <v>3015</v>
      </c>
    </row>
    <row r="286" spans="1:5" x14ac:dyDescent="0.25">
      <c r="A286" t="str">
        <f t="shared" si="4"/>
        <v>2S-3W</v>
      </c>
      <c r="B286" s="223" t="s">
        <v>49</v>
      </c>
      <c r="C286" s="223" t="s">
        <v>464</v>
      </c>
      <c r="D286" s="278">
        <f>SectorFlows!N13</f>
        <v>2131</v>
      </c>
      <c r="E286">
        <v>1005</v>
      </c>
    </row>
    <row r="287" spans="1:5" x14ac:dyDescent="0.25">
      <c r="A287" t="str">
        <f t="shared" si="4"/>
        <v>3N-3W</v>
      </c>
      <c r="B287" s="223" t="s">
        <v>461</v>
      </c>
      <c r="C287" s="223" t="s">
        <v>464</v>
      </c>
      <c r="D287" s="278">
        <f>SectorFlows!N14</f>
        <v>301</v>
      </c>
      <c r="E287">
        <v>185</v>
      </c>
    </row>
    <row r="288" spans="1:5" x14ac:dyDescent="0.25">
      <c r="A288" t="str">
        <f t="shared" si="4"/>
        <v>3NW-3W</v>
      </c>
      <c r="B288" s="223" t="s">
        <v>462</v>
      </c>
      <c r="C288" s="223" t="s">
        <v>464</v>
      </c>
      <c r="D288" s="278">
        <f>SectorFlows!N15</f>
        <v>4226</v>
      </c>
      <c r="E288">
        <v>3810</v>
      </c>
    </row>
    <row r="289" spans="1:5" x14ac:dyDescent="0.25">
      <c r="A289" t="str">
        <f t="shared" si="4"/>
        <v>3WNW-3W</v>
      </c>
      <c r="B289" s="223" t="s">
        <v>463</v>
      </c>
      <c r="C289" s="223" t="s">
        <v>464</v>
      </c>
      <c r="D289" s="278">
        <f>SectorFlows!N16</f>
        <v>19085</v>
      </c>
      <c r="E289">
        <v>27860</v>
      </c>
    </row>
    <row r="290" spans="1:5" x14ac:dyDescent="0.25">
      <c r="A290" t="str">
        <f t="shared" si="4"/>
        <v>3W-3W</v>
      </c>
      <c r="B290" s="223" t="s">
        <v>464</v>
      </c>
      <c r="C290" s="223" t="s">
        <v>464</v>
      </c>
      <c r="D290" s="278">
        <f>SectorFlows!N17</f>
        <v>60972</v>
      </c>
      <c r="E290">
        <v>88760</v>
      </c>
    </row>
    <row r="291" spans="1:5" x14ac:dyDescent="0.25">
      <c r="A291" t="str">
        <f t="shared" si="4"/>
        <v>3WSW-3W</v>
      </c>
      <c r="B291" s="223" t="s">
        <v>465</v>
      </c>
      <c r="C291" s="223" t="s">
        <v>464</v>
      </c>
      <c r="D291" s="278">
        <f>SectorFlows!N18</f>
        <v>26775</v>
      </c>
      <c r="E291">
        <v>43270</v>
      </c>
    </row>
    <row r="292" spans="1:5" x14ac:dyDescent="0.25">
      <c r="A292" t="str">
        <f t="shared" si="4"/>
        <v>3SW-3W</v>
      </c>
      <c r="B292" s="223" t="s">
        <v>466</v>
      </c>
      <c r="C292" s="223" t="s">
        <v>464</v>
      </c>
      <c r="D292" s="278">
        <f>SectorFlows!N19</f>
        <v>3997</v>
      </c>
      <c r="E292">
        <v>6455</v>
      </c>
    </row>
    <row r="293" spans="1:5" x14ac:dyDescent="0.25">
      <c r="A293" t="str">
        <f t="shared" si="4"/>
        <v>3S-3W</v>
      </c>
      <c r="B293" s="223" t="s">
        <v>467</v>
      </c>
      <c r="C293" s="223" t="s">
        <v>464</v>
      </c>
      <c r="D293" s="278">
        <f>SectorFlows!N20</f>
        <v>802</v>
      </c>
      <c r="E293">
        <v>245</v>
      </c>
    </row>
    <row r="294" spans="1:5" x14ac:dyDescent="0.25">
      <c r="A294" t="str">
        <f t="shared" si="4"/>
        <v>XWI-3W</v>
      </c>
      <c r="B294" s="223" t="s">
        <v>468</v>
      </c>
      <c r="C294" s="223" t="s">
        <v>464</v>
      </c>
      <c r="D294" s="278">
        <f>SectorFlows!N21</f>
        <v>213</v>
      </c>
      <c r="E294">
        <v>25</v>
      </c>
    </row>
    <row r="295" spans="1:5" x14ac:dyDescent="0.25">
      <c r="A295" t="str">
        <f t="shared" si="4"/>
        <v>XIL-3W</v>
      </c>
      <c r="B295" s="223" t="s">
        <v>469</v>
      </c>
      <c r="C295" s="223" t="s">
        <v>464</v>
      </c>
      <c r="D295" s="278">
        <f>SectorFlows!N22</f>
        <v>2553</v>
      </c>
      <c r="E295">
        <v>2375</v>
      </c>
    </row>
    <row r="296" spans="1:5" x14ac:dyDescent="0.25">
      <c r="A296" t="str">
        <f t="shared" si="4"/>
        <v>3IN-3W</v>
      </c>
      <c r="B296" s="223" t="s">
        <v>470</v>
      </c>
      <c r="C296" s="223" t="s">
        <v>464</v>
      </c>
      <c r="D296" s="278">
        <f>SectorFlows!N23</f>
        <v>472</v>
      </c>
      <c r="E296">
        <v>35</v>
      </c>
    </row>
    <row r="297" spans="1:5" x14ac:dyDescent="0.25">
      <c r="A297" t="str">
        <f t="shared" si="4"/>
        <v>XIN-3W</v>
      </c>
      <c r="B297" s="223" t="s">
        <v>471</v>
      </c>
      <c r="C297" s="223" t="s">
        <v>464</v>
      </c>
      <c r="D297" s="278">
        <f>SectorFlows!N24</f>
        <v>94</v>
      </c>
      <c r="E297">
        <v>0</v>
      </c>
    </row>
    <row r="298" spans="1:5" x14ac:dyDescent="0.25">
      <c r="A298" t="str">
        <f t="shared" si="4"/>
        <v>4NW-3W</v>
      </c>
      <c r="B298" s="223" t="s">
        <v>472</v>
      </c>
      <c r="C298" s="223" t="s">
        <v>464</v>
      </c>
      <c r="D298" s="278">
        <f>SectorFlows!N25</f>
        <v>3932</v>
      </c>
      <c r="E298">
        <v>3360</v>
      </c>
    </row>
    <row r="299" spans="1:5" x14ac:dyDescent="0.25">
      <c r="A299" t="str">
        <f t="shared" si="4"/>
        <v>4N-3W</v>
      </c>
      <c r="B299" s="223" t="s">
        <v>473</v>
      </c>
      <c r="C299" s="223" t="s">
        <v>464</v>
      </c>
      <c r="D299" s="278">
        <f>SectorFlows!N26</f>
        <v>283</v>
      </c>
      <c r="E299">
        <v>65</v>
      </c>
    </row>
    <row r="300" spans="1:5" x14ac:dyDescent="0.25">
      <c r="A300" t="str">
        <f t="shared" si="4"/>
        <v>4WNW-3W</v>
      </c>
      <c r="B300" s="223" t="s">
        <v>474</v>
      </c>
      <c r="C300" s="223" t="s">
        <v>464</v>
      </c>
      <c r="D300" s="278">
        <f>SectorFlows!N27</f>
        <v>3738</v>
      </c>
      <c r="E300">
        <v>5245</v>
      </c>
    </row>
    <row r="301" spans="1:5" x14ac:dyDescent="0.25">
      <c r="A301" t="str">
        <f t="shared" si="4"/>
        <v>4W-3W</v>
      </c>
      <c r="B301" s="223" t="s">
        <v>475</v>
      </c>
      <c r="C301" s="223" t="s">
        <v>464</v>
      </c>
      <c r="D301" s="278">
        <f>SectorFlows!N28</f>
        <v>5844</v>
      </c>
      <c r="E301">
        <v>11125</v>
      </c>
    </row>
    <row r="302" spans="1:5" x14ac:dyDescent="0.25">
      <c r="A302" t="str">
        <f t="shared" si="4"/>
        <v>4WSW-3W</v>
      </c>
      <c r="B302" s="223" t="s">
        <v>476</v>
      </c>
      <c r="C302" s="223" t="s">
        <v>464</v>
      </c>
      <c r="D302" s="278">
        <f>SectorFlows!N29</f>
        <v>8544</v>
      </c>
      <c r="E302">
        <v>12025</v>
      </c>
    </row>
    <row r="303" spans="1:5" x14ac:dyDescent="0.25">
      <c r="A303" t="str">
        <f t="shared" si="4"/>
        <v>4SW-3W</v>
      </c>
      <c r="B303" s="281" t="s">
        <v>477</v>
      </c>
      <c r="C303" s="223" t="s">
        <v>464</v>
      </c>
      <c r="D303" s="278">
        <f>SectorFlows!N30</f>
        <v>4949</v>
      </c>
      <c r="E303">
        <v>8530</v>
      </c>
    </row>
    <row r="304" spans="1:5" x14ac:dyDescent="0.25">
      <c r="A304" t="str">
        <f t="shared" si="4"/>
        <v>1-3WSW</v>
      </c>
      <c r="B304" s="280">
        <v>1</v>
      </c>
      <c r="C304" s="223" t="s">
        <v>465</v>
      </c>
      <c r="D304" s="278">
        <f>SectorFlows!O6</f>
        <v>4130</v>
      </c>
      <c r="E304">
        <v>225</v>
      </c>
    </row>
    <row r="305" spans="1:5" x14ac:dyDescent="0.25">
      <c r="A305" t="str">
        <f t="shared" si="4"/>
        <v>2N-3WSW</v>
      </c>
      <c r="B305" s="223" t="s">
        <v>456</v>
      </c>
      <c r="C305" s="223" t="s">
        <v>465</v>
      </c>
      <c r="D305" s="278">
        <f>SectorFlows!O7</f>
        <v>3851</v>
      </c>
      <c r="E305">
        <v>245</v>
      </c>
    </row>
    <row r="306" spans="1:5" x14ac:dyDescent="0.25">
      <c r="A306" t="str">
        <f t="shared" si="4"/>
        <v>2NW-3WSW</v>
      </c>
      <c r="B306" s="223" t="s">
        <v>457</v>
      </c>
      <c r="C306" s="223" t="s">
        <v>465</v>
      </c>
      <c r="D306" s="278">
        <f>SectorFlows!O8</f>
        <v>3465</v>
      </c>
      <c r="E306">
        <v>760</v>
      </c>
    </row>
    <row r="307" spans="1:5" x14ac:dyDescent="0.25">
      <c r="A307" t="str">
        <f t="shared" si="4"/>
        <v>2WNW-3WSW</v>
      </c>
      <c r="B307" s="223" t="s">
        <v>458</v>
      </c>
      <c r="C307" s="223" t="s">
        <v>465</v>
      </c>
      <c r="D307" s="278">
        <f>SectorFlows!O9</f>
        <v>2422</v>
      </c>
      <c r="E307">
        <v>910</v>
      </c>
    </row>
    <row r="308" spans="1:5" x14ac:dyDescent="0.25">
      <c r="A308" t="str">
        <f t="shared" si="4"/>
        <v>2W-3WSW</v>
      </c>
      <c r="B308" s="223" t="s">
        <v>47</v>
      </c>
      <c r="C308" s="223" t="s">
        <v>465</v>
      </c>
      <c r="D308" s="278">
        <f>SectorFlows!O10</f>
        <v>6492</v>
      </c>
      <c r="E308">
        <v>3530</v>
      </c>
    </row>
    <row r="309" spans="1:5" x14ac:dyDescent="0.25">
      <c r="A309" t="str">
        <f t="shared" si="4"/>
        <v>2WSW-3WSW</v>
      </c>
      <c r="B309" s="223" t="s">
        <v>459</v>
      </c>
      <c r="C309" s="223" t="s">
        <v>465</v>
      </c>
      <c r="D309" s="278">
        <f>SectorFlows!O11</f>
        <v>9654</v>
      </c>
      <c r="E309">
        <v>6535</v>
      </c>
    </row>
    <row r="310" spans="1:5" x14ac:dyDescent="0.25">
      <c r="A310" t="str">
        <f t="shared" si="4"/>
        <v>2SW-3WSW</v>
      </c>
      <c r="B310" s="223" t="s">
        <v>460</v>
      </c>
      <c r="C310" s="223" t="s">
        <v>465</v>
      </c>
      <c r="D310" s="278">
        <f>SectorFlows!O12</f>
        <v>6035</v>
      </c>
      <c r="E310">
        <v>2800</v>
      </c>
    </row>
    <row r="311" spans="1:5" x14ac:dyDescent="0.25">
      <c r="A311" t="str">
        <f t="shared" si="4"/>
        <v>2S-3WSW</v>
      </c>
      <c r="B311" s="223" t="s">
        <v>49</v>
      </c>
      <c r="C311" s="223" t="s">
        <v>465</v>
      </c>
      <c r="D311" s="278">
        <f>SectorFlows!O13</f>
        <v>3684</v>
      </c>
      <c r="E311">
        <v>1240</v>
      </c>
    </row>
    <row r="312" spans="1:5" x14ac:dyDescent="0.25">
      <c r="A312" t="str">
        <f t="shared" si="4"/>
        <v>3N-3WSW</v>
      </c>
      <c r="B312" s="223" t="s">
        <v>461</v>
      </c>
      <c r="C312" s="223" t="s">
        <v>465</v>
      </c>
      <c r="D312" s="278">
        <f>SectorFlows!O14</f>
        <v>610</v>
      </c>
      <c r="E312">
        <v>40</v>
      </c>
    </row>
    <row r="313" spans="1:5" x14ac:dyDescent="0.25">
      <c r="A313" t="str">
        <f t="shared" si="4"/>
        <v>3NW-3WSW</v>
      </c>
      <c r="B313" s="223" t="s">
        <v>462</v>
      </c>
      <c r="C313" s="223" t="s">
        <v>465</v>
      </c>
      <c r="D313" s="278">
        <f>SectorFlows!O15</f>
        <v>3377</v>
      </c>
      <c r="E313">
        <v>880</v>
      </c>
    </row>
    <row r="314" spans="1:5" x14ac:dyDescent="0.25">
      <c r="A314" t="str">
        <f t="shared" si="4"/>
        <v>3WNW-3WSW</v>
      </c>
      <c r="B314" s="223" t="s">
        <v>463</v>
      </c>
      <c r="C314" s="223" t="s">
        <v>465</v>
      </c>
      <c r="D314" s="278">
        <f>SectorFlows!O16</f>
        <v>11048</v>
      </c>
      <c r="E314">
        <v>5845</v>
      </c>
    </row>
    <row r="315" spans="1:5" x14ac:dyDescent="0.25">
      <c r="A315" t="str">
        <f t="shared" si="4"/>
        <v>3W-3WSW</v>
      </c>
      <c r="B315" s="223" t="s">
        <v>464</v>
      </c>
      <c r="C315" s="223" t="s">
        <v>465</v>
      </c>
      <c r="D315" s="278">
        <f>SectorFlows!O17</f>
        <v>25876</v>
      </c>
      <c r="E315">
        <v>25375</v>
      </c>
    </row>
    <row r="316" spans="1:5" x14ac:dyDescent="0.25">
      <c r="A316" t="str">
        <f t="shared" si="4"/>
        <v>3WSW-3WSW</v>
      </c>
      <c r="B316" s="223" t="s">
        <v>465</v>
      </c>
      <c r="C316" s="223" t="s">
        <v>465</v>
      </c>
      <c r="D316" s="278">
        <f>SectorFlows!O18</f>
        <v>122139</v>
      </c>
      <c r="E316">
        <v>167800</v>
      </c>
    </row>
    <row r="317" spans="1:5" x14ac:dyDescent="0.25">
      <c r="A317" t="str">
        <f t="shared" si="4"/>
        <v>3SW-3WSW</v>
      </c>
      <c r="B317" s="223" t="s">
        <v>466</v>
      </c>
      <c r="C317" s="223" t="s">
        <v>465</v>
      </c>
      <c r="D317" s="278">
        <f>SectorFlows!O19</f>
        <v>12854</v>
      </c>
      <c r="E317">
        <v>11950</v>
      </c>
    </row>
    <row r="318" spans="1:5" x14ac:dyDescent="0.25">
      <c r="A318" t="str">
        <f t="shared" si="4"/>
        <v>3S-3WSW</v>
      </c>
      <c r="B318" s="223" t="s">
        <v>467</v>
      </c>
      <c r="C318" s="223" t="s">
        <v>465</v>
      </c>
      <c r="D318" s="278">
        <f>SectorFlows!O20</f>
        <v>2667</v>
      </c>
      <c r="E318">
        <v>310</v>
      </c>
    </row>
    <row r="319" spans="1:5" x14ac:dyDescent="0.25">
      <c r="A319" t="str">
        <f t="shared" si="4"/>
        <v>XWI-3WSW</v>
      </c>
      <c r="B319" s="223" t="s">
        <v>468</v>
      </c>
      <c r="C319" s="223" t="s">
        <v>465</v>
      </c>
      <c r="D319" s="278">
        <f>SectorFlows!O21</f>
        <v>176</v>
      </c>
      <c r="E319">
        <v>0</v>
      </c>
    </row>
    <row r="320" spans="1:5" x14ac:dyDescent="0.25">
      <c r="A320" t="str">
        <f t="shared" si="4"/>
        <v>XIL-3WSW</v>
      </c>
      <c r="B320" s="223" t="s">
        <v>469</v>
      </c>
      <c r="C320" s="223" t="s">
        <v>465</v>
      </c>
      <c r="D320" s="278">
        <f>SectorFlows!O22</f>
        <v>5804</v>
      </c>
      <c r="E320">
        <v>4360</v>
      </c>
    </row>
    <row r="321" spans="1:5" x14ac:dyDescent="0.25">
      <c r="A321" t="str">
        <f t="shared" si="4"/>
        <v>3IN-3WSW</v>
      </c>
      <c r="B321" s="223" t="s">
        <v>470</v>
      </c>
      <c r="C321" s="223" t="s">
        <v>465</v>
      </c>
      <c r="D321" s="278">
        <f>SectorFlows!O23</f>
        <v>979</v>
      </c>
      <c r="E321">
        <v>30</v>
      </c>
    </row>
    <row r="322" spans="1:5" x14ac:dyDescent="0.25">
      <c r="A322" t="str">
        <f t="shared" si="4"/>
        <v>XIN-3WSW</v>
      </c>
      <c r="B322" s="223" t="s">
        <v>471</v>
      </c>
      <c r="C322" s="223" t="s">
        <v>465</v>
      </c>
      <c r="D322" s="278">
        <f>SectorFlows!O24</f>
        <v>558</v>
      </c>
      <c r="E322">
        <v>5</v>
      </c>
    </row>
    <row r="323" spans="1:5" x14ac:dyDescent="0.25">
      <c r="A323" t="str">
        <f t="shared" si="4"/>
        <v>4NW-3WSW</v>
      </c>
      <c r="B323" s="223" t="s">
        <v>472</v>
      </c>
      <c r="C323" s="223" t="s">
        <v>465</v>
      </c>
      <c r="D323" s="278">
        <f>SectorFlows!O25</f>
        <v>3712</v>
      </c>
      <c r="E323">
        <v>570</v>
      </c>
    </row>
    <row r="324" spans="1:5" x14ac:dyDescent="0.25">
      <c r="A324" t="str">
        <f t="shared" si="4"/>
        <v>4N-3WSW</v>
      </c>
      <c r="B324" s="223" t="s">
        <v>473</v>
      </c>
      <c r="C324" s="223" t="s">
        <v>465</v>
      </c>
      <c r="D324" s="278">
        <f>SectorFlows!O26</f>
        <v>561</v>
      </c>
      <c r="E324">
        <v>35</v>
      </c>
    </row>
    <row r="325" spans="1:5" x14ac:dyDescent="0.25">
      <c r="A325" t="str">
        <f t="shared" ref="A325:A388" si="5">CONCATENATE(B:B,"-",C:C)</f>
        <v>4WNW-3WSW</v>
      </c>
      <c r="B325" s="223" t="s">
        <v>474</v>
      </c>
      <c r="C325" s="223" t="s">
        <v>465</v>
      </c>
      <c r="D325" s="278">
        <f>SectorFlows!O27</f>
        <v>2335</v>
      </c>
      <c r="E325">
        <v>1370</v>
      </c>
    </row>
    <row r="326" spans="1:5" x14ac:dyDescent="0.25">
      <c r="A326" t="str">
        <f t="shared" si="5"/>
        <v>4W-3WSW</v>
      </c>
      <c r="B326" s="223" t="s">
        <v>475</v>
      </c>
      <c r="C326" s="223" t="s">
        <v>465</v>
      </c>
      <c r="D326" s="278">
        <f>SectorFlows!O28</f>
        <v>5211</v>
      </c>
      <c r="E326">
        <v>6270</v>
      </c>
    </row>
    <row r="327" spans="1:5" x14ac:dyDescent="0.25">
      <c r="A327" t="str">
        <f t="shared" si="5"/>
        <v>4WSW-3WSW</v>
      </c>
      <c r="B327" s="223" t="s">
        <v>476</v>
      </c>
      <c r="C327" s="223" t="s">
        <v>465</v>
      </c>
      <c r="D327" s="278">
        <f>SectorFlows!O29</f>
        <v>27188</v>
      </c>
      <c r="E327">
        <v>40745</v>
      </c>
    </row>
    <row r="328" spans="1:5" x14ac:dyDescent="0.25">
      <c r="A328" t="str">
        <f t="shared" si="5"/>
        <v>4SW-3WSW</v>
      </c>
      <c r="B328" s="281" t="s">
        <v>477</v>
      </c>
      <c r="C328" s="223" t="s">
        <v>465</v>
      </c>
      <c r="D328" s="278">
        <f>SectorFlows!O30</f>
        <v>30180</v>
      </c>
      <c r="E328">
        <v>37330</v>
      </c>
    </row>
    <row r="329" spans="1:5" x14ac:dyDescent="0.25">
      <c r="A329" t="str">
        <f t="shared" si="5"/>
        <v>1-3SW</v>
      </c>
      <c r="B329" s="280">
        <v>1</v>
      </c>
      <c r="C329" s="223" t="s">
        <v>466</v>
      </c>
      <c r="D329" s="278">
        <f>SectorFlows!P6</f>
        <v>1715</v>
      </c>
      <c r="E329">
        <v>110</v>
      </c>
    </row>
    <row r="330" spans="1:5" x14ac:dyDescent="0.25">
      <c r="A330" t="str">
        <f t="shared" si="5"/>
        <v>2N-3SW</v>
      </c>
      <c r="B330" s="223" t="s">
        <v>456</v>
      </c>
      <c r="C330" s="223" t="s">
        <v>466</v>
      </c>
      <c r="D330" s="278">
        <f>SectorFlows!P7</f>
        <v>1795</v>
      </c>
      <c r="E330">
        <v>100</v>
      </c>
    </row>
    <row r="331" spans="1:5" x14ac:dyDescent="0.25">
      <c r="A331" t="str">
        <f t="shared" si="5"/>
        <v>2NW-3SW</v>
      </c>
      <c r="B331" s="223" t="s">
        <v>457</v>
      </c>
      <c r="C331" s="223" t="s">
        <v>466</v>
      </c>
      <c r="D331" s="278">
        <f>SectorFlows!P8</f>
        <v>1391</v>
      </c>
      <c r="E331">
        <v>145</v>
      </c>
    </row>
    <row r="332" spans="1:5" x14ac:dyDescent="0.25">
      <c r="A332" t="str">
        <f t="shared" si="5"/>
        <v>2WNW-3SW</v>
      </c>
      <c r="B332" s="223" t="s">
        <v>458</v>
      </c>
      <c r="C332" s="223" t="s">
        <v>466</v>
      </c>
      <c r="D332" s="278">
        <f>SectorFlows!P9</f>
        <v>1241</v>
      </c>
      <c r="E332">
        <v>255</v>
      </c>
    </row>
    <row r="333" spans="1:5" x14ac:dyDescent="0.25">
      <c r="A333" t="str">
        <f t="shared" si="5"/>
        <v>2W-3SW</v>
      </c>
      <c r="B333" s="223" t="s">
        <v>47</v>
      </c>
      <c r="C333" s="223" t="s">
        <v>466</v>
      </c>
      <c r="D333" s="278">
        <f>SectorFlows!P10</f>
        <v>1530</v>
      </c>
      <c r="E333">
        <v>610</v>
      </c>
    </row>
    <row r="334" spans="1:5" x14ac:dyDescent="0.25">
      <c r="A334" t="str">
        <f t="shared" si="5"/>
        <v>2WSW-3SW</v>
      </c>
      <c r="B334" s="223" t="s">
        <v>459</v>
      </c>
      <c r="C334" s="223" t="s">
        <v>466</v>
      </c>
      <c r="D334" s="278">
        <f>SectorFlows!P11</f>
        <v>3870</v>
      </c>
      <c r="E334">
        <v>2835</v>
      </c>
    </row>
    <row r="335" spans="1:5" x14ac:dyDescent="0.25">
      <c r="A335" t="str">
        <f t="shared" si="5"/>
        <v>2SW-3SW</v>
      </c>
      <c r="B335" s="223" t="s">
        <v>460</v>
      </c>
      <c r="C335" s="223" t="s">
        <v>466</v>
      </c>
      <c r="D335" s="278">
        <f>SectorFlows!P12</f>
        <v>14652</v>
      </c>
      <c r="E335">
        <v>13255</v>
      </c>
    </row>
    <row r="336" spans="1:5" x14ac:dyDescent="0.25">
      <c r="A336" t="str">
        <f t="shared" si="5"/>
        <v>2S-3SW</v>
      </c>
      <c r="B336" s="223" t="s">
        <v>49</v>
      </c>
      <c r="C336" s="223" t="s">
        <v>466</v>
      </c>
      <c r="D336" s="278">
        <f>SectorFlows!P13</f>
        <v>11725</v>
      </c>
      <c r="E336">
        <v>13050</v>
      </c>
    </row>
    <row r="337" spans="1:5" x14ac:dyDescent="0.25">
      <c r="A337" t="str">
        <f t="shared" si="5"/>
        <v>3N-3SW</v>
      </c>
      <c r="B337" s="223" t="s">
        <v>461</v>
      </c>
      <c r="C337" s="223" t="s">
        <v>466</v>
      </c>
      <c r="D337" s="278">
        <f>SectorFlows!P14</f>
        <v>304</v>
      </c>
      <c r="E337">
        <v>0</v>
      </c>
    </row>
    <row r="338" spans="1:5" x14ac:dyDescent="0.25">
      <c r="A338" t="str">
        <f t="shared" si="5"/>
        <v>3NW-3SW</v>
      </c>
      <c r="B338" s="223" t="s">
        <v>462</v>
      </c>
      <c r="C338" s="223" t="s">
        <v>466</v>
      </c>
      <c r="D338" s="278">
        <f>SectorFlows!P15</f>
        <v>942</v>
      </c>
      <c r="E338">
        <v>60</v>
      </c>
    </row>
    <row r="339" spans="1:5" x14ac:dyDescent="0.25">
      <c r="A339" t="str">
        <f t="shared" si="5"/>
        <v>3WNW-3SW</v>
      </c>
      <c r="B339" s="223" t="s">
        <v>463</v>
      </c>
      <c r="C339" s="223" t="s">
        <v>466</v>
      </c>
      <c r="D339" s="278">
        <f>SectorFlows!P16</f>
        <v>1458</v>
      </c>
      <c r="E339">
        <v>210</v>
      </c>
    </row>
    <row r="340" spans="1:5" x14ac:dyDescent="0.25">
      <c r="A340" t="str">
        <f t="shared" si="5"/>
        <v>3W-3SW</v>
      </c>
      <c r="B340" s="223" t="s">
        <v>464</v>
      </c>
      <c r="C340" s="223" t="s">
        <v>466</v>
      </c>
      <c r="D340" s="278">
        <f>SectorFlows!P17</f>
        <v>1707</v>
      </c>
      <c r="E340">
        <v>765</v>
      </c>
    </row>
    <row r="341" spans="1:5" x14ac:dyDescent="0.25">
      <c r="A341" t="str">
        <f t="shared" si="5"/>
        <v>3WSW-3SW</v>
      </c>
      <c r="B341" s="223" t="s">
        <v>465</v>
      </c>
      <c r="C341" s="223" t="s">
        <v>466</v>
      </c>
      <c r="D341" s="278">
        <f>SectorFlows!P18</f>
        <v>9768</v>
      </c>
      <c r="E341">
        <v>11860</v>
      </c>
    </row>
    <row r="342" spans="1:5" x14ac:dyDescent="0.25">
      <c r="A342" t="str">
        <f t="shared" si="5"/>
        <v>3SW-3SW</v>
      </c>
      <c r="B342" s="223" t="s">
        <v>466</v>
      </c>
      <c r="C342" s="223" t="s">
        <v>466</v>
      </c>
      <c r="D342" s="278">
        <f>SectorFlows!P19</f>
        <v>48918</v>
      </c>
      <c r="E342">
        <v>70025</v>
      </c>
    </row>
    <row r="343" spans="1:5" x14ac:dyDescent="0.25">
      <c r="A343" t="str">
        <f t="shared" si="5"/>
        <v>3S-3SW</v>
      </c>
      <c r="B343" s="223" t="s">
        <v>467</v>
      </c>
      <c r="C343" s="223" t="s">
        <v>466</v>
      </c>
      <c r="D343" s="278">
        <f>SectorFlows!P20</f>
        <v>7907</v>
      </c>
      <c r="E343">
        <v>10100</v>
      </c>
    </row>
    <row r="344" spans="1:5" x14ac:dyDescent="0.25">
      <c r="A344" t="str">
        <f t="shared" si="5"/>
        <v>XWI-3SW</v>
      </c>
      <c r="B344" s="223" t="s">
        <v>468</v>
      </c>
      <c r="C344" s="223" t="s">
        <v>466</v>
      </c>
      <c r="D344" s="278">
        <f>SectorFlows!P21</f>
        <v>87</v>
      </c>
      <c r="E344">
        <v>0</v>
      </c>
    </row>
    <row r="345" spans="1:5" x14ac:dyDescent="0.25">
      <c r="A345" t="str">
        <f t="shared" si="5"/>
        <v>XIL-3SW</v>
      </c>
      <c r="B345" s="223" t="s">
        <v>469</v>
      </c>
      <c r="C345" s="223" t="s">
        <v>466</v>
      </c>
      <c r="D345" s="278">
        <f>SectorFlows!P22</f>
        <v>2253</v>
      </c>
      <c r="E345">
        <v>1410</v>
      </c>
    </row>
    <row r="346" spans="1:5" x14ac:dyDescent="0.25">
      <c r="A346" t="str">
        <f t="shared" si="5"/>
        <v>3IN-3SW</v>
      </c>
      <c r="B346" s="223" t="s">
        <v>470</v>
      </c>
      <c r="C346" s="223" t="s">
        <v>466</v>
      </c>
      <c r="D346" s="278">
        <f>SectorFlows!P23</f>
        <v>2178</v>
      </c>
      <c r="E346">
        <v>2400</v>
      </c>
    </row>
    <row r="347" spans="1:5" x14ac:dyDescent="0.25">
      <c r="A347" t="str">
        <f t="shared" si="5"/>
        <v>XIN-3SW</v>
      </c>
      <c r="B347" s="223" t="s">
        <v>471</v>
      </c>
      <c r="C347" s="223" t="s">
        <v>466</v>
      </c>
      <c r="D347" s="278">
        <f>SectorFlows!P24</f>
        <v>793</v>
      </c>
      <c r="E347">
        <v>215</v>
      </c>
    </row>
    <row r="348" spans="1:5" x14ac:dyDescent="0.25">
      <c r="A348" t="str">
        <f t="shared" si="5"/>
        <v>4NW-3SW</v>
      </c>
      <c r="B348" s="223" t="s">
        <v>472</v>
      </c>
      <c r="C348" s="223" t="s">
        <v>466</v>
      </c>
      <c r="D348" s="278">
        <f>SectorFlows!P25</f>
        <v>879</v>
      </c>
      <c r="E348">
        <v>5</v>
      </c>
    </row>
    <row r="349" spans="1:5" x14ac:dyDescent="0.25">
      <c r="A349" t="str">
        <f t="shared" si="5"/>
        <v>4N-3SW</v>
      </c>
      <c r="B349" s="223" t="s">
        <v>473</v>
      </c>
      <c r="C349" s="223" t="s">
        <v>466</v>
      </c>
      <c r="D349" s="278">
        <f>SectorFlows!P26</f>
        <v>198</v>
      </c>
      <c r="E349">
        <v>5</v>
      </c>
    </row>
    <row r="350" spans="1:5" x14ac:dyDescent="0.25">
      <c r="A350" t="str">
        <f t="shared" si="5"/>
        <v>4WNW-3SW</v>
      </c>
      <c r="B350" s="223" t="s">
        <v>474</v>
      </c>
      <c r="C350" s="223" t="s">
        <v>466</v>
      </c>
      <c r="D350" s="278">
        <f>SectorFlows!P27</f>
        <v>424</v>
      </c>
      <c r="E350">
        <v>10</v>
      </c>
    </row>
    <row r="351" spans="1:5" x14ac:dyDescent="0.25">
      <c r="A351" t="str">
        <f t="shared" si="5"/>
        <v>4W-3SW</v>
      </c>
      <c r="B351" s="223" t="s">
        <v>475</v>
      </c>
      <c r="C351" s="223" t="s">
        <v>466</v>
      </c>
      <c r="D351" s="278">
        <f>SectorFlows!P28</f>
        <v>189</v>
      </c>
      <c r="E351">
        <v>150</v>
      </c>
    </row>
    <row r="352" spans="1:5" x14ac:dyDescent="0.25">
      <c r="A352" t="str">
        <f t="shared" si="5"/>
        <v>4WSW-3SW</v>
      </c>
      <c r="B352" s="223" t="s">
        <v>476</v>
      </c>
      <c r="C352" s="223" t="s">
        <v>466</v>
      </c>
      <c r="D352" s="278">
        <f>SectorFlows!P29</f>
        <v>1568</v>
      </c>
      <c r="E352">
        <v>1815</v>
      </c>
    </row>
    <row r="353" spans="1:5" x14ac:dyDescent="0.25">
      <c r="A353" t="str">
        <f t="shared" si="5"/>
        <v>4SW-3SW</v>
      </c>
      <c r="B353" s="281" t="s">
        <v>477</v>
      </c>
      <c r="C353" s="223" t="s">
        <v>466</v>
      </c>
      <c r="D353" s="278">
        <f>SectorFlows!P30</f>
        <v>21024</v>
      </c>
      <c r="E353">
        <v>27700</v>
      </c>
    </row>
    <row r="354" spans="1:5" x14ac:dyDescent="0.25">
      <c r="A354" t="str">
        <f t="shared" si="5"/>
        <v>1-3S</v>
      </c>
      <c r="B354" s="280">
        <v>1</v>
      </c>
      <c r="C354" s="223" t="s">
        <v>467</v>
      </c>
      <c r="D354" s="278">
        <f>SectorFlows!Q6</f>
        <v>598</v>
      </c>
      <c r="E354">
        <v>10</v>
      </c>
    </row>
    <row r="355" spans="1:5" x14ac:dyDescent="0.25">
      <c r="A355" t="str">
        <f t="shared" si="5"/>
        <v>2N-3S</v>
      </c>
      <c r="B355" s="223" t="s">
        <v>456</v>
      </c>
      <c r="C355" s="223" t="s">
        <v>467</v>
      </c>
      <c r="D355" s="278">
        <f>SectorFlows!Q7</f>
        <v>665</v>
      </c>
      <c r="E355">
        <v>10</v>
      </c>
    </row>
    <row r="356" spans="1:5" x14ac:dyDescent="0.25">
      <c r="A356" t="str">
        <f t="shared" si="5"/>
        <v>2NW-3S</v>
      </c>
      <c r="B356" s="223" t="s">
        <v>457</v>
      </c>
      <c r="C356" s="223" t="s">
        <v>467</v>
      </c>
      <c r="D356" s="278">
        <f>SectorFlows!Q8</f>
        <v>913</v>
      </c>
      <c r="E356">
        <v>0</v>
      </c>
    </row>
    <row r="357" spans="1:5" x14ac:dyDescent="0.25">
      <c r="A357" t="str">
        <f t="shared" si="5"/>
        <v>2WNW-3S</v>
      </c>
      <c r="B357" s="223" t="s">
        <v>458</v>
      </c>
      <c r="C357" s="223" t="s">
        <v>467</v>
      </c>
      <c r="D357" s="278">
        <f>SectorFlows!Q9</f>
        <v>676</v>
      </c>
      <c r="E357">
        <v>0</v>
      </c>
    </row>
    <row r="358" spans="1:5" x14ac:dyDescent="0.25">
      <c r="A358" t="str">
        <f t="shared" si="5"/>
        <v>2W-3S</v>
      </c>
      <c r="B358" s="223" t="s">
        <v>47</v>
      </c>
      <c r="C358" s="223" t="s">
        <v>467</v>
      </c>
      <c r="D358" s="278">
        <f>SectorFlows!Q10</f>
        <v>965</v>
      </c>
      <c r="E358">
        <v>10</v>
      </c>
    </row>
    <row r="359" spans="1:5" x14ac:dyDescent="0.25">
      <c r="A359" t="str">
        <f t="shared" si="5"/>
        <v>2WSW-3S</v>
      </c>
      <c r="B359" s="223" t="s">
        <v>459</v>
      </c>
      <c r="C359" s="223" t="s">
        <v>467</v>
      </c>
      <c r="D359" s="278">
        <f>SectorFlows!Q11</f>
        <v>625</v>
      </c>
      <c r="E359">
        <v>40</v>
      </c>
    </row>
    <row r="360" spans="1:5" x14ac:dyDescent="0.25">
      <c r="A360" t="str">
        <f t="shared" si="5"/>
        <v>2SW-3S</v>
      </c>
      <c r="B360" s="223" t="s">
        <v>460</v>
      </c>
      <c r="C360" s="223" t="s">
        <v>467</v>
      </c>
      <c r="D360" s="278">
        <f>SectorFlows!Q12</f>
        <v>2357</v>
      </c>
      <c r="E360">
        <v>415</v>
      </c>
    </row>
    <row r="361" spans="1:5" x14ac:dyDescent="0.25">
      <c r="A361" t="str">
        <f t="shared" si="5"/>
        <v>2S-3S</v>
      </c>
      <c r="B361" s="223" t="s">
        <v>49</v>
      </c>
      <c r="C361" s="223" t="s">
        <v>467</v>
      </c>
      <c r="D361" s="278">
        <f>SectorFlows!Q13</f>
        <v>9846</v>
      </c>
      <c r="E361">
        <v>7165</v>
      </c>
    </row>
    <row r="362" spans="1:5" x14ac:dyDescent="0.25">
      <c r="A362" t="str">
        <f t="shared" si="5"/>
        <v>3N-3S</v>
      </c>
      <c r="B362" s="223" t="s">
        <v>461</v>
      </c>
      <c r="C362" s="223" t="s">
        <v>467</v>
      </c>
      <c r="D362" s="278">
        <f>SectorFlows!Q14</f>
        <v>155</v>
      </c>
      <c r="E362">
        <v>5</v>
      </c>
    </row>
    <row r="363" spans="1:5" x14ac:dyDescent="0.25">
      <c r="A363" t="str">
        <f t="shared" si="5"/>
        <v>3NW-3S</v>
      </c>
      <c r="B363" s="223" t="s">
        <v>462</v>
      </c>
      <c r="C363" s="223" t="s">
        <v>467</v>
      </c>
      <c r="D363" s="278">
        <f>SectorFlows!Q15</f>
        <v>593</v>
      </c>
      <c r="E363">
        <v>0</v>
      </c>
    </row>
    <row r="364" spans="1:5" x14ac:dyDescent="0.25">
      <c r="A364" t="str">
        <f t="shared" si="5"/>
        <v>3WNW-3S</v>
      </c>
      <c r="B364" s="223" t="s">
        <v>463</v>
      </c>
      <c r="C364" s="223" t="s">
        <v>467</v>
      </c>
      <c r="D364" s="278">
        <f>SectorFlows!Q16</f>
        <v>629</v>
      </c>
      <c r="E364">
        <v>0</v>
      </c>
    </row>
    <row r="365" spans="1:5" x14ac:dyDescent="0.25">
      <c r="A365" t="str">
        <f t="shared" si="5"/>
        <v>3W-3S</v>
      </c>
      <c r="B365" s="223" t="s">
        <v>464</v>
      </c>
      <c r="C365" s="223" t="s">
        <v>467</v>
      </c>
      <c r="D365" s="278">
        <f>SectorFlows!Q17</f>
        <v>164</v>
      </c>
      <c r="E365">
        <v>0</v>
      </c>
    </row>
    <row r="366" spans="1:5" x14ac:dyDescent="0.25">
      <c r="A366" t="str">
        <f t="shared" si="5"/>
        <v>3WSW-3S</v>
      </c>
      <c r="B366" s="223" t="s">
        <v>465</v>
      </c>
      <c r="C366" s="223" t="s">
        <v>467</v>
      </c>
      <c r="D366" s="278">
        <f>SectorFlows!Q18</f>
        <v>726</v>
      </c>
      <c r="E366">
        <v>15</v>
      </c>
    </row>
    <row r="367" spans="1:5" x14ac:dyDescent="0.25">
      <c r="A367" t="str">
        <f t="shared" si="5"/>
        <v>3SW-3S</v>
      </c>
      <c r="B367" s="223" t="s">
        <v>466</v>
      </c>
      <c r="C367" s="223" t="s">
        <v>467</v>
      </c>
      <c r="D367" s="278">
        <f>SectorFlows!Q19</f>
        <v>7026</v>
      </c>
      <c r="E367">
        <v>6090</v>
      </c>
    </row>
    <row r="368" spans="1:5" x14ac:dyDescent="0.25">
      <c r="A368" t="str">
        <f t="shared" si="5"/>
        <v>3S-3S</v>
      </c>
      <c r="B368" s="223" t="s">
        <v>467</v>
      </c>
      <c r="C368" s="223" t="s">
        <v>467</v>
      </c>
      <c r="D368" s="278">
        <f>SectorFlows!Q20</f>
        <v>33223</v>
      </c>
      <c r="E368">
        <v>53645</v>
      </c>
    </row>
    <row r="369" spans="1:5" x14ac:dyDescent="0.25">
      <c r="A369" t="str">
        <f t="shared" si="5"/>
        <v>XWI-3S</v>
      </c>
      <c r="B369" s="223" t="s">
        <v>468</v>
      </c>
      <c r="C369" s="223" t="s">
        <v>467</v>
      </c>
      <c r="D369" s="278">
        <f>SectorFlows!Q21</f>
        <v>32</v>
      </c>
      <c r="E369">
        <v>0</v>
      </c>
    </row>
    <row r="370" spans="1:5" x14ac:dyDescent="0.25">
      <c r="A370" t="str">
        <f t="shared" si="5"/>
        <v>XIL-3S</v>
      </c>
      <c r="B370" s="223" t="s">
        <v>469</v>
      </c>
      <c r="C370" s="223" t="s">
        <v>467</v>
      </c>
      <c r="D370" s="278">
        <f>SectorFlows!Q22</f>
        <v>2834</v>
      </c>
      <c r="E370">
        <v>2665</v>
      </c>
    </row>
    <row r="371" spans="1:5" x14ac:dyDescent="0.25">
      <c r="A371" t="str">
        <f t="shared" si="5"/>
        <v>3IN-3S</v>
      </c>
      <c r="B371" s="223" t="s">
        <v>470</v>
      </c>
      <c r="C371" s="223" t="s">
        <v>467</v>
      </c>
      <c r="D371" s="278">
        <f>SectorFlows!Q23</f>
        <v>8225</v>
      </c>
      <c r="E371">
        <v>12075</v>
      </c>
    </row>
    <row r="372" spans="1:5" x14ac:dyDescent="0.25">
      <c r="A372" t="str">
        <f t="shared" si="5"/>
        <v>XIN-3S</v>
      </c>
      <c r="B372" s="223" t="s">
        <v>471</v>
      </c>
      <c r="C372" s="223" t="s">
        <v>467</v>
      </c>
      <c r="D372" s="278">
        <f>SectorFlows!Q24</f>
        <v>2593</v>
      </c>
      <c r="E372">
        <v>2830</v>
      </c>
    </row>
    <row r="373" spans="1:5" x14ac:dyDescent="0.25">
      <c r="A373" t="str">
        <f t="shared" si="5"/>
        <v>4NW-3S</v>
      </c>
      <c r="B373" s="223" t="s">
        <v>472</v>
      </c>
      <c r="C373" s="223" t="s">
        <v>467</v>
      </c>
      <c r="D373" s="278">
        <f>SectorFlows!Q25</f>
        <v>441</v>
      </c>
      <c r="E373">
        <v>0</v>
      </c>
    </row>
    <row r="374" spans="1:5" x14ac:dyDescent="0.25">
      <c r="A374" t="str">
        <f t="shared" si="5"/>
        <v>4N-3S</v>
      </c>
      <c r="B374" s="223" t="s">
        <v>473</v>
      </c>
      <c r="C374" s="223" t="s">
        <v>467</v>
      </c>
      <c r="D374" s="278">
        <f>SectorFlows!Q26</f>
        <v>60</v>
      </c>
      <c r="E374">
        <v>0</v>
      </c>
    </row>
    <row r="375" spans="1:5" x14ac:dyDescent="0.25">
      <c r="A375" t="str">
        <f t="shared" si="5"/>
        <v>4WNW-3S</v>
      </c>
      <c r="B375" s="223" t="s">
        <v>474</v>
      </c>
      <c r="C375" s="223" t="s">
        <v>467</v>
      </c>
      <c r="D375" s="278">
        <f>SectorFlows!Q27</f>
        <v>84</v>
      </c>
      <c r="E375">
        <v>0</v>
      </c>
    </row>
    <row r="376" spans="1:5" x14ac:dyDescent="0.25">
      <c r="A376" t="str">
        <f t="shared" si="5"/>
        <v>4W-3S</v>
      </c>
      <c r="B376" s="223" t="s">
        <v>475</v>
      </c>
      <c r="C376" s="223" t="s">
        <v>467</v>
      </c>
      <c r="D376" s="278">
        <f>SectorFlows!Q28</f>
        <v>79</v>
      </c>
      <c r="E376">
        <v>0</v>
      </c>
    </row>
    <row r="377" spans="1:5" x14ac:dyDescent="0.25">
      <c r="A377" t="str">
        <f t="shared" si="5"/>
        <v>4WSW-3S</v>
      </c>
      <c r="B377" s="223" t="s">
        <v>476</v>
      </c>
      <c r="C377" s="223" t="s">
        <v>467</v>
      </c>
      <c r="D377" s="278">
        <f>SectorFlows!Q29</f>
        <v>332</v>
      </c>
      <c r="E377">
        <v>5</v>
      </c>
    </row>
    <row r="378" spans="1:5" x14ac:dyDescent="0.25">
      <c r="A378" t="str">
        <f t="shared" si="5"/>
        <v>4SW-3S</v>
      </c>
      <c r="B378" s="281" t="s">
        <v>477</v>
      </c>
      <c r="C378" s="223" t="s">
        <v>467</v>
      </c>
      <c r="D378" s="278">
        <f>SectorFlows!Q30</f>
        <v>5816</v>
      </c>
      <c r="E378">
        <v>4955</v>
      </c>
    </row>
    <row r="379" spans="1:5" x14ac:dyDescent="0.25">
      <c r="A379" t="str">
        <f t="shared" si="5"/>
        <v>1-XWI</v>
      </c>
      <c r="B379" s="280">
        <v>1</v>
      </c>
      <c r="C379" s="223" t="s">
        <v>468</v>
      </c>
      <c r="D379" s="278">
        <f>SectorFlows!R6</f>
        <v>25</v>
      </c>
      <c r="E379">
        <v>0</v>
      </c>
    </row>
    <row r="380" spans="1:5" x14ac:dyDescent="0.25">
      <c r="A380" t="str">
        <f t="shared" si="5"/>
        <v>2N-XWI</v>
      </c>
      <c r="B380" s="223" t="s">
        <v>456</v>
      </c>
      <c r="C380" s="223" t="s">
        <v>468</v>
      </c>
      <c r="D380" s="278">
        <f>SectorFlows!R7</f>
        <v>94</v>
      </c>
      <c r="E380">
        <v>0</v>
      </c>
    </row>
    <row r="381" spans="1:5" x14ac:dyDescent="0.25">
      <c r="A381" t="str">
        <f t="shared" si="5"/>
        <v>2NW-XWI</v>
      </c>
      <c r="B381" s="223" t="s">
        <v>457</v>
      </c>
      <c r="C381" s="223" t="s">
        <v>468</v>
      </c>
      <c r="D381" s="278">
        <f>SectorFlows!R8</f>
        <v>115</v>
      </c>
      <c r="E381">
        <v>0</v>
      </c>
    </row>
    <row r="382" spans="1:5" x14ac:dyDescent="0.25">
      <c r="A382" t="str">
        <f t="shared" si="5"/>
        <v>2WNW-XWI</v>
      </c>
      <c r="B382" s="223" t="s">
        <v>458</v>
      </c>
      <c r="C382" s="223" t="s">
        <v>468</v>
      </c>
      <c r="D382" s="278">
        <f>SectorFlows!R9</f>
        <v>40</v>
      </c>
      <c r="E382">
        <v>0</v>
      </c>
    </row>
    <row r="383" spans="1:5" x14ac:dyDescent="0.25">
      <c r="A383" t="str">
        <f t="shared" si="5"/>
        <v>2W-XWI</v>
      </c>
      <c r="B383" s="223" t="s">
        <v>47</v>
      </c>
      <c r="C383" s="223" t="s">
        <v>468</v>
      </c>
      <c r="D383" s="278">
        <f>SectorFlows!R10</f>
        <v>14</v>
      </c>
      <c r="E383">
        <v>0</v>
      </c>
    </row>
    <row r="384" spans="1:5" x14ac:dyDescent="0.25">
      <c r="A384" t="str">
        <f t="shared" si="5"/>
        <v>2WSW-XWI</v>
      </c>
      <c r="B384" s="223" t="s">
        <v>459</v>
      </c>
      <c r="C384" s="223" t="s">
        <v>468</v>
      </c>
      <c r="D384" s="278">
        <f>SectorFlows!R11</f>
        <v>90</v>
      </c>
      <c r="E384">
        <v>0</v>
      </c>
    </row>
    <row r="385" spans="1:5" x14ac:dyDescent="0.25">
      <c r="A385" t="str">
        <f t="shared" si="5"/>
        <v>2SW-XWI</v>
      </c>
      <c r="B385" s="223" t="s">
        <v>460</v>
      </c>
      <c r="C385" s="223" t="s">
        <v>468</v>
      </c>
      <c r="D385" s="278">
        <f>SectorFlows!R12</f>
        <v>39</v>
      </c>
      <c r="E385">
        <v>0</v>
      </c>
    </row>
    <row r="386" spans="1:5" x14ac:dyDescent="0.25">
      <c r="A386" t="str">
        <f t="shared" si="5"/>
        <v>2S-XWI</v>
      </c>
      <c r="B386" s="223" t="s">
        <v>49</v>
      </c>
      <c r="C386" s="223" t="s">
        <v>468</v>
      </c>
      <c r="D386" s="278">
        <f>SectorFlows!R13</f>
        <v>45</v>
      </c>
      <c r="E386">
        <v>0</v>
      </c>
    </row>
    <row r="387" spans="1:5" x14ac:dyDescent="0.25">
      <c r="A387" t="str">
        <f t="shared" si="5"/>
        <v>3N-XWI</v>
      </c>
      <c r="B387" s="223" t="s">
        <v>461</v>
      </c>
      <c r="C387" s="223" t="s">
        <v>468</v>
      </c>
      <c r="D387" s="278">
        <f>SectorFlows!R14</f>
        <v>90</v>
      </c>
      <c r="E387">
        <v>0</v>
      </c>
    </row>
    <row r="388" spans="1:5" x14ac:dyDescent="0.25">
      <c r="A388" t="str">
        <f t="shared" si="5"/>
        <v>3NW-XWI</v>
      </c>
      <c r="B388" s="223" t="s">
        <v>462</v>
      </c>
      <c r="C388" s="223" t="s">
        <v>468</v>
      </c>
      <c r="D388" s="278">
        <f>SectorFlows!R15</f>
        <v>225</v>
      </c>
      <c r="E388">
        <v>5</v>
      </c>
    </row>
    <row r="389" spans="1:5" x14ac:dyDescent="0.25">
      <c r="A389" t="str">
        <f t="shared" ref="A389:A452" si="6">CONCATENATE(B:B,"-",C:C)</f>
        <v>3WNW-XWI</v>
      </c>
      <c r="B389" s="223" t="s">
        <v>463</v>
      </c>
      <c r="C389" s="223" t="s">
        <v>468</v>
      </c>
      <c r="D389" s="278">
        <f>SectorFlows!R16</f>
        <v>40</v>
      </c>
      <c r="E389">
        <v>0</v>
      </c>
    </row>
    <row r="390" spans="1:5" x14ac:dyDescent="0.25">
      <c r="A390" t="str">
        <f t="shared" si="6"/>
        <v>3W-XWI</v>
      </c>
      <c r="B390" s="223" t="s">
        <v>464</v>
      </c>
      <c r="C390" s="223" t="s">
        <v>468</v>
      </c>
      <c r="D390" s="278">
        <f>SectorFlows!R17</f>
        <v>20</v>
      </c>
      <c r="E390">
        <v>0</v>
      </c>
    </row>
    <row r="391" spans="1:5" x14ac:dyDescent="0.25">
      <c r="A391" t="str">
        <f t="shared" si="6"/>
        <v>3WSW-XWI</v>
      </c>
      <c r="B391" s="223" t="s">
        <v>465</v>
      </c>
      <c r="C391" s="223" t="s">
        <v>468</v>
      </c>
      <c r="D391" s="278">
        <f>SectorFlows!R18</f>
        <v>55</v>
      </c>
      <c r="E391">
        <v>0</v>
      </c>
    </row>
    <row r="392" spans="1:5" x14ac:dyDescent="0.25">
      <c r="A392" t="str">
        <f t="shared" si="6"/>
        <v>3SW-XWI</v>
      </c>
      <c r="B392" s="223" t="s">
        <v>466</v>
      </c>
      <c r="C392" s="223" t="s">
        <v>468</v>
      </c>
      <c r="D392" s="278">
        <f>SectorFlows!R19</f>
        <v>0</v>
      </c>
      <c r="E392">
        <v>0</v>
      </c>
    </row>
    <row r="393" spans="1:5" x14ac:dyDescent="0.25">
      <c r="A393" t="str">
        <f t="shared" si="6"/>
        <v>3S-XWI</v>
      </c>
      <c r="B393" s="223" t="s">
        <v>467</v>
      </c>
      <c r="C393" s="223" t="s">
        <v>468</v>
      </c>
      <c r="D393" s="278">
        <f>SectorFlows!R20</f>
        <v>0</v>
      </c>
      <c r="E393">
        <v>0</v>
      </c>
    </row>
    <row r="394" spans="1:5" x14ac:dyDescent="0.25">
      <c r="A394" t="str">
        <f t="shared" si="6"/>
        <v>XWI-XWI</v>
      </c>
      <c r="B394" s="223" t="s">
        <v>468</v>
      </c>
      <c r="C394" s="223" t="s">
        <v>468</v>
      </c>
      <c r="D394" s="278">
        <f>SectorFlows!R21</f>
        <v>146809</v>
      </c>
      <c r="E394">
        <v>170400</v>
      </c>
    </row>
    <row r="395" spans="1:5" x14ac:dyDescent="0.25">
      <c r="A395" t="str">
        <f t="shared" si="6"/>
        <v>XIL-XWI</v>
      </c>
      <c r="B395" s="223" t="s">
        <v>469</v>
      </c>
      <c r="C395" s="223" t="s">
        <v>468</v>
      </c>
      <c r="D395" s="278">
        <f>SectorFlows!R22</f>
        <v>562</v>
      </c>
      <c r="E395">
        <v>325</v>
      </c>
    </row>
    <row r="396" spans="1:5" x14ac:dyDescent="0.25">
      <c r="A396" t="str">
        <f t="shared" si="6"/>
        <v>3IN-XWI</v>
      </c>
      <c r="B396" s="223" t="s">
        <v>470</v>
      </c>
      <c r="C396" s="223" t="s">
        <v>468</v>
      </c>
      <c r="D396" s="278">
        <f>SectorFlows!R23</f>
        <v>0</v>
      </c>
      <c r="E396">
        <v>0</v>
      </c>
    </row>
    <row r="397" spans="1:5" x14ac:dyDescent="0.25">
      <c r="A397" t="str">
        <f t="shared" si="6"/>
        <v>XIN-XWI</v>
      </c>
      <c r="B397" s="223" t="s">
        <v>471</v>
      </c>
      <c r="C397" s="223" t="s">
        <v>468</v>
      </c>
      <c r="D397" s="278">
        <f>SectorFlows!R24</f>
        <v>0</v>
      </c>
      <c r="E397">
        <v>0</v>
      </c>
    </row>
    <row r="398" spans="1:5" x14ac:dyDescent="0.25">
      <c r="A398" t="str">
        <f t="shared" si="6"/>
        <v>4NW-XWI</v>
      </c>
      <c r="B398" s="223" t="s">
        <v>472</v>
      </c>
      <c r="C398" s="223" t="s">
        <v>468</v>
      </c>
      <c r="D398" s="278">
        <f>SectorFlows!R25</f>
        <v>4085</v>
      </c>
      <c r="E398">
        <v>4685</v>
      </c>
    </row>
    <row r="399" spans="1:5" x14ac:dyDescent="0.25">
      <c r="A399" t="str">
        <f t="shared" si="6"/>
        <v>4N-XWI</v>
      </c>
      <c r="B399" s="223" t="s">
        <v>473</v>
      </c>
      <c r="C399" s="223" t="s">
        <v>468</v>
      </c>
      <c r="D399" s="278">
        <f>SectorFlows!R26</f>
        <v>2576</v>
      </c>
      <c r="E399">
        <v>2445</v>
      </c>
    </row>
    <row r="400" spans="1:5" x14ac:dyDescent="0.25">
      <c r="A400" t="str">
        <f t="shared" si="6"/>
        <v>4WNW-XWI</v>
      </c>
      <c r="B400" s="223" t="s">
        <v>474</v>
      </c>
      <c r="C400" s="223" t="s">
        <v>468</v>
      </c>
      <c r="D400" s="278">
        <f>SectorFlows!R27</f>
        <v>60</v>
      </c>
      <c r="E400">
        <v>5</v>
      </c>
    </row>
    <row r="401" spans="1:5" x14ac:dyDescent="0.25">
      <c r="A401" t="str">
        <f t="shared" si="6"/>
        <v>4W-XWI</v>
      </c>
      <c r="B401" s="223" t="s">
        <v>475</v>
      </c>
      <c r="C401" s="223" t="s">
        <v>468</v>
      </c>
      <c r="D401" s="278">
        <f>SectorFlows!R28</f>
        <v>0</v>
      </c>
      <c r="E401">
        <v>0</v>
      </c>
    </row>
    <row r="402" spans="1:5" x14ac:dyDescent="0.25">
      <c r="A402" t="str">
        <f t="shared" si="6"/>
        <v>4WSW-XWI</v>
      </c>
      <c r="B402" s="223" t="s">
        <v>476</v>
      </c>
      <c r="C402" s="223" t="s">
        <v>468</v>
      </c>
      <c r="D402" s="278">
        <f>SectorFlows!R29</f>
        <v>20</v>
      </c>
      <c r="E402">
        <v>0</v>
      </c>
    </row>
    <row r="403" spans="1:5" x14ac:dyDescent="0.25">
      <c r="A403" t="str">
        <f t="shared" si="6"/>
        <v>4SW-XWI</v>
      </c>
      <c r="B403" s="281" t="s">
        <v>477</v>
      </c>
      <c r="C403" s="223" t="s">
        <v>468</v>
      </c>
      <c r="D403" s="278">
        <f>SectorFlows!R30</f>
        <v>15</v>
      </c>
      <c r="E403">
        <v>0</v>
      </c>
    </row>
    <row r="404" spans="1:5" x14ac:dyDescent="0.25">
      <c r="A404" t="str">
        <f t="shared" si="6"/>
        <v>1-XIL</v>
      </c>
      <c r="B404" s="280">
        <v>1</v>
      </c>
      <c r="C404" s="223" t="s">
        <v>469</v>
      </c>
      <c r="D404" s="278">
        <f>SectorFlows!S6</f>
        <v>333</v>
      </c>
      <c r="E404">
        <v>0</v>
      </c>
    </row>
    <row r="405" spans="1:5" x14ac:dyDescent="0.25">
      <c r="A405" t="str">
        <f t="shared" si="6"/>
        <v>2N-XIL</v>
      </c>
      <c r="B405" s="223" t="s">
        <v>456</v>
      </c>
      <c r="C405" s="223" t="s">
        <v>469</v>
      </c>
      <c r="D405" s="278">
        <f>SectorFlows!S7</f>
        <v>200</v>
      </c>
      <c r="E405">
        <v>0</v>
      </c>
    </row>
    <row r="406" spans="1:5" x14ac:dyDescent="0.25">
      <c r="A406" t="str">
        <f t="shared" si="6"/>
        <v>2NW-XIL</v>
      </c>
      <c r="B406" s="223" t="s">
        <v>457</v>
      </c>
      <c r="C406" s="223" t="s">
        <v>469</v>
      </c>
      <c r="D406" s="278">
        <f>SectorFlows!S8</f>
        <v>253</v>
      </c>
      <c r="E406">
        <v>0</v>
      </c>
    </row>
    <row r="407" spans="1:5" x14ac:dyDescent="0.25">
      <c r="A407" t="str">
        <f t="shared" si="6"/>
        <v>2WNW-XIL</v>
      </c>
      <c r="B407" s="223" t="s">
        <v>458</v>
      </c>
      <c r="C407" s="223" t="s">
        <v>469</v>
      </c>
      <c r="D407" s="278">
        <f>SectorFlows!S9</f>
        <v>100</v>
      </c>
      <c r="E407">
        <v>0</v>
      </c>
    </row>
    <row r="408" spans="1:5" x14ac:dyDescent="0.25">
      <c r="A408" t="str">
        <f t="shared" si="6"/>
        <v>2W-XIL</v>
      </c>
      <c r="B408" s="223" t="s">
        <v>47</v>
      </c>
      <c r="C408" s="223" t="s">
        <v>469</v>
      </c>
      <c r="D408" s="278">
        <f>SectorFlows!S10</f>
        <v>237</v>
      </c>
      <c r="E408">
        <v>0</v>
      </c>
    </row>
    <row r="409" spans="1:5" x14ac:dyDescent="0.25">
      <c r="A409" t="str">
        <f t="shared" si="6"/>
        <v>2WSW-XIL</v>
      </c>
      <c r="B409" s="223" t="s">
        <v>459</v>
      </c>
      <c r="C409" s="223" t="s">
        <v>469</v>
      </c>
      <c r="D409" s="278">
        <f>SectorFlows!S11</f>
        <v>104</v>
      </c>
      <c r="E409">
        <v>0</v>
      </c>
    </row>
    <row r="410" spans="1:5" x14ac:dyDescent="0.25">
      <c r="A410" t="str">
        <f t="shared" si="6"/>
        <v>2SW-XIL</v>
      </c>
      <c r="B410" s="223" t="s">
        <v>460</v>
      </c>
      <c r="C410" s="223" t="s">
        <v>469</v>
      </c>
      <c r="D410" s="278">
        <f>SectorFlows!S12</f>
        <v>335</v>
      </c>
      <c r="E410">
        <v>5</v>
      </c>
    </row>
    <row r="411" spans="1:5" x14ac:dyDescent="0.25">
      <c r="A411" t="str">
        <f t="shared" si="6"/>
        <v>2S-XIL</v>
      </c>
      <c r="B411" s="223" t="s">
        <v>49</v>
      </c>
      <c r="C411" s="223" t="s">
        <v>469</v>
      </c>
      <c r="D411" s="278">
        <f>SectorFlows!S13</f>
        <v>261</v>
      </c>
      <c r="E411">
        <v>35</v>
      </c>
    </row>
    <row r="412" spans="1:5" x14ac:dyDescent="0.25">
      <c r="A412" t="str">
        <f t="shared" si="6"/>
        <v>3N-XIL</v>
      </c>
      <c r="B412" s="223" t="s">
        <v>461</v>
      </c>
      <c r="C412" s="223" t="s">
        <v>469</v>
      </c>
      <c r="D412" s="278">
        <f>SectorFlows!S14</f>
        <v>10</v>
      </c>
      <c r="E412">
        <v>0</v>
      </c>
    </row>
    <row r="413" spans="1:5" x14ac:dyDescent="0.25">
      <c r="A413" t="str">
        <f t="shared" si="6"/>
        <v>3NW-XIL</v>
      </c>
      <c r="B413" s="223" t="s">
        <v>462</v>
      </c>
      <c r="C413" s="223" t="s">
        <v>469</v>
      </c>
      <c r="D413" s="278">
        <f>SectorFlows!S15</f>
        <v>220</v>
      </c>
      <c r="E413">
        <v>0</v>
      </c>
    </row>
    <row r="414" spans="1:5" x14ac:dyDescent="0.25">
      <c r="A414" t="str">
        <f t="shared" si="6"/>
        <v>3WNW-XIL</v>
      </c>
      <c r="B414" s="223" t="s">
        <v>463</v>
      </c>
      <c r="C414" s="223" t="s">
        <v>469</v>
      </c>
      <c r="D414" s="278">
        <f>SectorFlows!S16</f>
        <v>379</v>
      </c>
      <c r="E414">
        <v>10</v>
      </c>
    </row>
    <row r="415" spans="1:5" x14ac:dyDescent="0.25">
      <c r="A415" t="str">
        <f t="shared" si="6"/>
        <v>3W-XIL</v>
      </c>
      <c r="B415" s="223" t="s">
        <v>464</v>
      </c>
      <c r="C415" s="223" t="s">
        <v>469</v>
      </c>
      <c r="D415" s="278">
        <f>SectorFlows!S17</f>
        <v>442</v>
      </c>
      <c r="E415">
        <v>5</v>
      </c>
    </row>
    <row r="416" spans="1:5" x14ac:dyDescent="0.25">
      <c r="A416" t="str">
        <f t="shared" si="6"/>
        <v>3WSW-XIL</v>
      </c>
      <c r="B416" s="223" t="s">
        <v>465</v>
      </c>
      <c r="C416" s="223" t="s">
        <v>469</v>
      </c>
      <c r="D416" s="278">
        <f>SectorFlows!S18</f>
        <v>1112</v>
      </c>
      <c r="E416">
        <v>35</v>
      </c>
    </row>
    <row r="417" spans="1:5" x14ac:dyDescent="0.25">
      <c r="A417" t="str">
        <f t="shared" si="6"/>
        <v>3SW-XIL</v>
      </c>
      <c r="B417" s="223" t="s">
        <v>466</v>
      </c>
      <c r="C417" s="223" t="s">
        <v>469</v>
      </c>
      <c r="D417" s="278">
        <f>SectorFlows!S19</f>
        <v>535</v>
      </c>
      <c r="E417">
        <v>75</v>
      </c>
    </row>
    <row r="418" spans="1:5" x14ac:dyDescent="0.25">
      <c r="A418" t="str">
        <f t="shared" si="6"/>
        <v>3S-XIL</v>
      </c>
      <c r="B418" s="223" t="s">
        <v>467</v>
      </c>
      <c r="C418" s="223" t="s">
        <v>469</v>
      </c>
      <c r="D418" s="278">
        <f>SectorFlows!S20</f>
        <v>798</v>
      </c>
      <c r="E418">
        <v>1005</v>
      </c>
    </row>
    <row r="419" spans="1:5" x14ac:dyDescent="0.25">
      <c r="A419" t="str">
        <f t="shared" si="6"/>
        <v>XWI-XIL</v>
      </c>
      <c r="B419" s="223" t="s">
        <v>468</v>
      </c>
      <c r="C419" s="223" t="s">
        <v>469</v>
      </c>
      <c r="D419" s="278">
        <f>SectorFlows!S21</f>
        <v>468</v>
      </c>
      <c r="E419">
        <v>1500</v>
      </c>
    </row>
    <row r="420" spans="1:5" x14ac:dyDescent="0.25">
      <c r="A420" t="str">
        <f t="shared" si="6"/>
        <v>XIL-XIL</v>
      </c>
      <c r="B420" s="223" t="s">
        <v>469</v>
      </c>
      <c r="C420" s="223" t="s">
        <v>469</v>
      </c>
      <c r="D420" s="278">
        <f>SectorFlows!S22</f>
        <v>251516</v>
      </c>
      <c r="E420">
        <v>273880</v>
      </c>
    </row>
    <row r="421" spans="1:5" x14ac:dyDescent="0.25">
      <c r="A421" t="str">
        <f t="shared" si="6"/>
        <v>3IN-XIL</v>
      </c>
      <c r="B421" s="223" t="s">
        <v>470</v>
      </c>
      <c r="C421" s="223" t="s">
        <v>469</v>
      </c>
      <c r="D421" s="278">
        <f>SectorFlows!S23</f>
        <v>164</v>
      </c>
      <c r="E421">
        <v>55</v>
      </c>
    </row>
    <row r="422" spans="1:5" x14ac:dyDescent="0.25">
      <c r="A422" t="str">
        <f t="shared" si="6"/>
        <v>XIN-XIL</v>
      </c>
      <c r="B422" s="223" t="s">
        <v>471</v>
      </c>
      <c r="C422" s="223" t="s">
        <v>469</v>
      </c>
      <c r="D422" s="278">
        <f>SectorFlows!S24</f>
        <v>235</v>
      </c>
      <c r="E422">
        <v>1035</v>
      </c>
    </row>
    <row r="423" spans="1:5" x14ac:dyDescent="0.25">
      <c r="A423" t="str">
        <f t="shared" si="6"/>
        <v>4NW-XIL</v>
      </c>
      <c r="B423" s="223" t="s">
        <v>472</v>
      </c>
      <c r="C423" s="223" t="s">
        <v>469</v>
      </c>
      <c r="D423" s="278">
        <f>SectorFlows!S25</f>
        <v>1779</v>
      </c>
      <c r="E423">
        <v>3580</v>
      </c>
    </row>
    <row r="424" spans="1:5" x14ac:dyDescent="0.25">
      <c r="A424" t="str">
        <f t="shared" si="6"/>
        <v>4N-XIL</v>
      </c>
      <c r="B424" s="223" t="s">
        <v>473</v>
      </c>
      <c r="C424" s="223" t="s">
        <v>469</v>
      </c>
      <c r="D424" s="278">
        <f>SectorFlows!S26</f>
        <v>80</v>
      </c>
      <c r="E424">
        <v>0</v>
      </c>
    </row>
    <row r="425" spans="1:5" x14ac:dyDescent="0.25">
      <c r="A425" t="str">
        <f t="shared" si="6"/>
        <v>4WNW-XIL</v>
      </c>
      <c r="B425" s="223" t="s">
        <v>474</v>
      </c>
      <c r="C425" s="223" t="s">
        <v>469</v>
      </c>
      <c r="D425" s="278">
        <f>SectorFlows!S27</f>
        <v>884</v>
      </c>
      <c r="E425">
        <v>520</v>
      </c>
    </row>
    <row r="426" spans="1:5" x14ac:dyDescent="0.25">
      <c r="A426" t="str">
        <f t="shared" si="6"/>
        <v>4W-XIL</v>
      </c>
      <c r="B426" s="223" t="s">
        <v>475</v>
      </c>
      <c r="C426" s="223" t="s">
        <v>469</v>
      </c>
      <c r="D426" s="278">
        <f>SectorFlows!S28</f>
        <v>1191</v>
      </c>
      <c r="E426">
        <v>525</v>
      </c>
    </row>
    <row r="427" spans="1:5" x14ac:dyDescent="0.25">
      <c r="A427" t="str">
        <f t="shared" si="6"/>
        <v>4WSW-XIL</v>
      </c>
      <c r="B427" s="223" t="s">
        <v>476</v>
      </c>
      <c r="C427" s="223" t="s">
        <v>469</v>
      </c>
      <c r="D427" s="278">
        <f>SectorFlows!S29</f>
        <v>2609</v>
      </c>
      <c r="E427">
        <v>1335</v>
      </c>
    </row>
    <row r="428" spans="1:5" x14ac:dyDescent="0.25">
      <c r="A428" t="str">
        <f t="shared" si="6"/>
        <v>4SW-XIL</v>
      </c>
      <c r="B428" s="281" t="s">
        <v>477</v>
      </c>
      <c r="C428" s="223" t="s">
        <v>469</v>
      </c>
      <c r="D428" s="278">
        <f>SectorFlows!S30</f>
        <v>4852</v>
      </c>
      <c r="E428">
        <v>5195</v>
      </c>
    </row>
    <row r="429" spans="1:5" x14ac:dyDescent="0.25">
      <c r="A429" t="str">
        <f t="shared" si="6"/>
        <v>1-3IN</v>
      </c>
      <c r="B429" s="280">
        <v>1</v>
      </c>
      <c r="C429" s="223" t="s">
        <v>470</v>
      </c>
      <c r="D429" s="278">
        <f>SectorFlows!T6</f>
        <v>847</v>
      </c>
      <c r="E429">
        <v>30</v>
      </c>
    </row>
    <row r="430" spans="1:5" x14ac:dyDescent="0.25">
      <c r="A430" t="str">
        <f t="shared" si="6"/>
        <v>2N-3IN</v>
      </c>
      <c r="B430" s="223" t="s">
        <v>456</v>
      </c>
      <c r="C430" s="223" t="s">
        <v>470</v>
      </c>
      <c r="D430" s="278">
        <f>SectorFlows!T7</f>
        <v>322</v>
      </c>
      <c r="E430">
        <v>35</v>
      </c>
    </row>
    <row r="431" spans="1:5" x14ac:dyDescent="0.25">
      <c r="A431" t="str">
        <f t="shared" si="6"/>
        <v>2NW-3IN</v>
      </c>
      <c r="B431" s="223" t="s">
        <v>457</v>
      </c>
      <c r="C431" s="223" t="s">
        <v>470</v>
      </c>
      <c r="D431" s="278">
        <f>SectorFlows!T8</f>
        <v>158</v>
      </c>
      <c r="E431">
        <v>5</v>
      </c>
    </row>
    <row r="432" spans="1:5" x14ac:dyDescent="0.25">
      <c r="A432" t="str">
        <f t="shared" si="6"/>
        <v>2WNW-3IN</v>
      </c>
      <c r="B432" s="223" t="s">
        <v>458</v>
      </c>
      <c r="C432" s="223" t="s">
        <v>470</v>
      </c>
      <c r="D432" s="278">
        <f>SectorFlows!T9</f>
        <v>85</v>
      </c>
      <c r="E432">
        <v>0</v>
      </c>
    </row>
    <row r="433" spans="1:5" x14ac:dyDescent="0.25">
      <c r="A433" t="str">
        <f t="shared" si="6"/>
        <v>2W-3IN</v>
      </c>
      <c r="B433" s="223" t="s">
        <v>47</v>
      </c>
      <c r="C433" s="223" t="s">
        <v>470</v>
      </c>
      <c r="D433" s="278">
        <f>SectorFlows!T10</f>
        <v>100</v>
      </c>
      <c r="E433">
        <v>5</v>
      </c>
    </row>
    <row r="434" spans="1:5" x14ac:dyDescent="0.25">
      <c r="A434" t="str">
        <f t="shared" si="6"/>
        <v>2WSW-3IN</v>
      </c>
      <c r="B434" s="223" t="s">
        <v>459</v>
      </c>
      <c r="C434" s="223" t="s">
        <v>470</v>
      </c>
      <c r="D434" s="278">
        <f>SectorFlows!T11</f>
        <v>309</v>
      </c>
      <c r="E434">
        <v>5</v>
      </c>
    </row>
    <row r="435" spans="1:5" x14ac:dyDescent="0.25">
      <c r="A435" t="str">
        <f t="shared" si="6"/>
        <v>2SW-3IN</v>
      </c>
      <c r="B435" s="223" t="s">
        <v>460</v>
      </c>
      <c r="C435" s="223" t="s">
        <v>470</v>
      </c>
      <c r="D435" s="278">
        <f>SectorFlows!T12</f>
        <v>742</v>
      </c>
      <c r="E435">
        <v>395</v>
      </c>
    </row>
    <row r="436" spans="1:5" x14ac:dyDescent="0.25">
      <c r="A436" t="str">
        <f t="shared" si="6"/>
        <v>2S-3IN</v>
      </c>
      <c r="B436" s="223" t="s">
        <v>49</v>
      </c>
      <c r="C436" s="223" t="s">
        <v>470</v>
      </c>
      <c r="D436" s="278">
        <f>SectorFlows!T13</f>
        <v>3840</v>
      </c>
      <c r="E436">
        <v>9395</v>
      </c>
    </row>
    <row r="437" spans="1:5" x14ac:dyDescent="0.25">
      <c r="A437" t="str">
        <f t="shared" si="6"/>
        <v>3N-3IN</v>
      </c>
      <c r="B437" s="223" t="s">
        <v>461</v>
      </c>
      <c r="C437" s="223" t="s">
        <v>470</v>
      </c>
      <c r="D437" s="278">
        <f>SectorFlows!T14</f>
        <v>35</v>
      </c>
      <c r="E437">
        <v>5</v>
      </c>
    </row>
    <row r="438" spans="1:5" x14ac:dyDescent="0.25">
      <c r="A438" t="str">
        <f t="shared" si="6"/>
        <v>3NW-3IN</v>
      </c>
      <c r="B438" s="223" t="s">
        <v>462</v>
      </c>
      <c r="C438" s="223" t="s">
        <v>470</v>
      </c>
      <c r="D438" s="278">
        <f>SectorFlows!T15</f>
        <v>40</v>
      </c>
      <c r="E438">
        <v>0</v>
      </c>
    </row>
    <row r="439" spans="1:5" x14ac:dyDescent="0.25">
      <c r="A439" t="str">
        <f t="shared" si="6"/>
        <v>3WNW-3IN</v>
      </c>
      <c r="B439" s="223" t="s">
        <v>463</v>
      </c>
      <c r="C439" s="223" t="s">
        <v>470</v>
      </c>
      <c r="D439" s="278">
        <f>SectorFlows!T16</f>
        <v>135</v>
      </c>
      <c r="E439">
        <v>0</v>
      </c>
    </row>
    <row r="440" spans="1:5" x14ac:dyDescent="0.25">
      <c r="A440" t="str">
        <f t="shared" si="6"/>
        <v>3W-3IN</v>
      </c>
      <c r="B440" s="223" t="s">
        <v>464</v>
      </c>
      <c r="C440" s="223" t="s">
        <v>470</v>
      </c>
      <c r="D440" s="278">
        <f>SectorFlows!T17</f>
        <v>58</v>
      </c>
      <c r="E440">
        <v>0</v>
      </c>
    </row>
    <row r="441" spans="1:5" x14ac:dyDescent="0.25">
      <c r="A441" t="str">
        <f t="shared" si="6"/>
        <v>3WSW-3IN</v>
      </c>
      <c r="B441" s="223" t="s">
        <v>465</v>
      </c>
      <c r="C441" s="223" t="s">
        <v>470</v>
      </c>
      <c r="D441" s="278">
        <f>SectorFlows!T18</f>
        <v>278</v>
      </c>
      <c r="E441">
        <v>0</v>
      </c>
    </row>
    <row r="442" spans="1:5" x14ac:dyDescent="0.25">
      <c r="A442" t="str">
        <f t="shared" si="6"/>
        <v>3SW-3IN</v>
      </c>
      <c r="B442" s="223" t="s">
        <v>466</v>
      </c>
      <c r="C442" s="223" t="s">
        <v>470</v>
      </c>
      <c r="D442" s="278">
        <f>SectorFlows!T19</f>
        <v>1309</v>
      </c>
      <c r="E442">
        <v>845</v>
      </c>
    </row>
    <row r="443" spans="1:5" x14ac:dyDescent="0.25">
      <c r="A443" t="str">
        <f t="shared" si="6"/>
        <v>3S-3IN</v>
      </c>
      <c r="B443" s="223" t="s">
        <v>467</v>
      </c>
      <c r="C443" s="223" t="s">
        <v>470</v>
      </c>
      <c r="D443" s="278">
        <f>SectorFlows!T20</f>
        <v>4680</v>
      </c>
      <c r="E443">
        <v>10140</v>
      </c>
    </row>
    <row r="444" spans="1:5" x14ac:dyDescent="0.25">
      <c r="A444" t="str">
        <f t="shared" si="6"/>
        <v>XWI-3IN</v>
      </c>
      <c r="B444" s="223" t="s">
        <v>468</v>
      </c>
      <c r="C444" s="223" t="s">
        <v>470</v>
      </c>
      <c r="D444" s="278">
        <f>SectorFlows!T21</f>
        <v>14</v>
      </c>
      <c r="E444">
        <v>0</v>
      </c>
    </row>
    <row r="445" spans="1:5" x14ac:dyDescent="0.25">
      <c r="A445" t="str">
        <f t="shared" si="6"/>
        <v>XIL-3IN</v>
      </c>
      <c r="B445" s="223" t="s">
        <v>469</v>
      </c>
      <c r="C445" s="223" t="s">
        <v>470</v>
      </c>
      <c r="D445" s="278">
        <f>SectorFlows!T22</f>
        <v>444</v>
      </c>
      <c r="E445">
        <v>360</v>
      </c>
    </row>
    <row r="446" spans="1:5" x14ac:dyDescent="0.25">
      <c r="A446" t="str">
        <f t="shared" si="6"/>
        <v>3IN-3IN</v>
      </c>
      <c r="B446" s="223" t="s">
        <v>470</v>
      </c>
      <c r="C446" s="223" t="s">
        <v>470</v>
      </c>
      <c r="D446" s="278">
        <f>SectorFlows!T23</f>
        <v>108004</v>
      </c>
      <c r="E446">
        <v>113775</v>
      </c>
    </row>
    <row r="447" spans="1:5" x14ac:dyDescent="0.25">
      <c r="A447" t="str">
        <f t="shared" si="6"/>
        <v>XIN-3IN</v>
      </c>
      <c r="B447" s="223" t="s">
        <v>471</v>
      </c>
      <c r="C447" s="223" t="s">
        <v>470</v>
      </c>
      <c r="D447" s="278">
        <f>SectorFlows!T24</f>
        <v>38708</v>
      </c>
      <c r="E447">
        <v>33150</v>
      </c>
    </row>
    <row r="448" spans="1:5" x14ac:dyDescent="0.25">
      <c r="A448" t="str">
        <f t="shared" si="6"/>
        <v>4NW-3IN</v>
      </c>
      <c r="B448" s="223" t="s">
        <v>472</v>
      </c>
      <c r="C448" s="223" t="s">
        <v>470</v>
      </c>
      <c r="D448" s="278">
        <f>SectorFlows!T25</f>
        <v>130</v>
      </c>
      <c r="E448">
        <v>0</v>
      </c>
    </row>
    <row r="449" spans="1:5" x14ac:dyDescent="0.25">
      <c r="A449" t="str">
        <f t="shared" si="6"/>
        <v>4N-3IN</v>
      </c>
      <c r="B449" s="223" t="s">
        <v>473</v>
      </c>
      <c r="C449" s="223" t="s">
        <v>470</v>
      </c>
      <c r="D449" s="278">
        <f>SectorFlows!T26</f>
        <v>10</v>
      </c>
      <c r="E449">
        <v>0</v>
      </c>
    </row>
    <row r="450" spans="1:5" x14ac:dyDescent="0.25">
      <c r="A450" t="str">
        <f t="shared" si="6"/>
        <v>4WNW-3IN</v>
      </c>
      <c r="B450" s="223" t="s">
        <v>474</v>
      </c>
      <c r="C450" s="223" t="s">
        <v>470</v>
      </c>
      <c r="D450" s="278">
        <f>SectorFlows!T27</f>
        <v>10</v>
      </c>
      <c r="E450">
        <v>0</v>
      </c>
    </row>
    <row r="451" spans="1:5" x14ac:dyDescent="0.25">
      <c r="A451" t="str">
        <f t="shared" si="6"/>
        <v>4W-3IN</v>
      </c>
      <c r="B451" s="223" t="s">
        <v>475</v>
      </c>
      <c r="C451" s="223" t="s">
        <v>470</v>
      </c>
      <c r="D451" s="278">
        <f>SectorFlows!T28</f>
        <v>30</v>
      </c>
      <c r="E451">
        <v>0</v>
      </c>
    </row>
    <row r="452" spans="1:5" x14ac:dyDescent="0.25">
      <c r="A452" t="str">
        <f t="shared" si="6"/>
        <v>4WSW-3IN</v>
      </c>
      <c r="B452" s="223" t="s">
        <v>476</v>
      </c>
      <c r="C452" s="223" t="s">
        <v>470</v>
      </c>
      <c r="D452" s="278">
        <f>SectorFlows!T29</f>
        <v>50</v>
      </c>
      <c r="E452">
        <v>0</v>
      </c>
    </row>
    <row r="453" spans="1:5" x14ac:dyDescent="0.25">
      <c r="A453" t="str">
        <f t="shared" ref="A453:A516" si="7">CONCATENATE(B:B,"-",C:C)</f>
        <v>4SW-3IN</v>
      </c>
      <c r="B453" s="281" t="s">
        <v>477</v>
      </c>
      <c r="C453" s="223" t="s">
        <v>470</v>
      </c>
      <c r="D453" s="278">
        <f>SectorFlows!T30</f>
        <v>1101</v>
      </c>
      <c r="E453">
        <v>535</v>
      </c>
    </row>
    <row r="454" spans="1:5" x14ac:dyDescent="0.25">
      <c r="A454" t="str">
        <f t="shared" si="7"/>
        <v>1-XIN</v>
      </c>
      <c r="B454" s="280">
        <v>1</v>
      </c>
      <c r="C454" s="223" t="s">
        <v>471</v>
      </c>
      <c r="D454" s="278">
        <f>SectorFlows!U6</f>
        <v>94</v>
      </c>
      <c r="E454">
        <v>0</v>
      </c>
    </row>
    <row r="455" spans="1:5" x14ac:dyDescent="0.25">
      <c r="A455" t="str">
        <f t="shared" si="7"/>
        <v>2N-XIN</v>
      </c>
      <c r="B455" s="223" t="s">
        <v>456</v>
      </c>
      <c r="C455" s="223" t="s">
        <v>471</v>
      </c>
      <c r="D455" s="278">
        <f>SectorFlows!U7</f>
        <v>84</v>
      </c>
      <c r="E455">
        <v>0</v>
      </c>
    </row>
    <row r="456" spans="1:5" x14ac:dyDescent="0.25">
      <c r="A456" t="str">
        <f t="shared" si="7"/>
        <v>2NW-XIN</v>
      </c>
      <c r="B456" s="223" t="s">
        <v>457</v>
      </c>
      <c r="C456" s="223" t="s">
        <v>471</v>
      </c>
      <c r="D456" s="278">
        <f>SectorFlows!U8</f>
        <v>80</v>
      </c>
      <c r="E456">
        <v>0</v>
      </c>
    </row>
    <row r="457" spans="1:5" x14ac:dyDescent="0.25">
      <c r="A457" t="str">
        <f t="shared" si="7"/>
        <v>2WNW-XIN</v>
      </c>
      <c r="B457" s="223" t="s">
        <v>458</v>
      </c>
      <c r="C457" s="223" t="s">
        <v>471</v>
      </c>
      <c r="D457" s="278">
        <f>SectorFlows!U9</f>
        <v>0</v>
      </c>
      <c r="E457">
        <v>0</v>
      </c>
    </row>
    <row r="458" spans="1:5" x14ac:dyDescent="0.25">
      <c r="A458" t="str">
        <f t="shared" si="7"/>
        <v>2W-XIN</v>
      </c>
      <c r="B458" s="223" t="s">
        <v>47</v>
      </c>
      <c r="C458" s="223" t="s">
        <v>471</v>
      </c>
      <c r="D458" s="278">
        <f>SectorFlows!U10</f>
        <v>35</v>
      </c>
      <c r="E458">
        <v>0</v>
      </c>
    </row>
    <row r="459" spans="1:5" x14ac:dyDescent="0.25">
      <c r="A459" t="str">
        <f t="shared" si="7"/>
        <v>2WSW-XIN</v>
      </c>
      <c r="B459" s="223" t="s">
        <v>459</v>
      </c>
      <c r="C459" s="223" t="s">
        <v>471</v>
      </c>
      <c r="D459" s="278">
        <f>SectorFlows!U11</f>
        <v>40</v>
      </c>
      <c r="E459">
        <v>0</v>
      </c>
    </row>
    <row r="460" spans="1:5" x14ac:dyDescent="0.25">
      <c r="A460" t="str">
        <f t="shared" si="7"/>
        <v>2SW-XIN</v>
      </c>
      <c r="B460" s="223" t="s">
        <v>460</v>
      </c>
      <c r="C460" s="223" t="s">
        <v>471</v>
      </c>
      <c r="D460" s="278">
        <f>SectorFlows!U12</f>
        <v>140</v>
      </c>
      <c r="E460">
        <v>0</v>
      </c>
    </row>
    <row r="461" spans="1:5" x14ac:dyDescent="0.25">
      <c r="A461" t="str">
        <f t="shared" si="7"/>
        <v>2S-XIN</v>
      </c>
      <c r="B461" s="223" t="s">
        <v>49</v>
      </c>
      <c r="C461" s="223" t="s">
        <v>471</v>
      </c>
      <c r="D461" s="278">
        <f>SectorFlows!U13</f>
        <v>468</v>
      </c>
      <c r="E461">
        <v>100</v>
      </c>
    </row>
    <row r="462" spans="1:5" x14ac:dyDescent="0.25">
      <c r="A462" t="str">
        <f t="shared" si="7"/>
        <v>3N-XIN</v>
      </c>
      <c r="B462" s="223" t="s">
        <v>461</v>
      </c>
      <c r="C462" s="223" t="s">
        <v>471</v>
      </c>
      <c r="D462" s="278">
        <f>SectorFlows!U14</f>
        <v>0</v>
      </c>
      <c r="E462">
        <v>0</v>
      </c>
    </row>
    <row r="463" spans="1:5" x14ac:dyDescent="0.25">
      <c r="A463" t="str">
        <f t="shared" si="7"/>
        <v>3NW-XIN</v>
      </c>
      <c r="B463" s="223" t="s">
        <v>462</v>
      </c>
      <c r="C463" s="223" t="s">
        <v>471</v>
      </c>
      <c r="D463" s="278">
        <f>SectorFlows!U15</f>
        <v>40</v>
      </c>
      <c r="E463">
        <v>0</v>
      </c>
    </row>
    <row r="464" spans="1:5" x14ac:dyDescent="0.25">
      <c r="A464" t="str">
        <f t="shared" si="7"/>
        <v>3WNW-XIN</v>
      </c>
      <c r="B464" s="223" t="s">
        <v>463</v>
      </c>
      <c r="C464" s="223" t="s">
        <v>471</v>
      </c>
      <c r="D464" s="278">
        <f>SectorFlows!U16</f>
        <v>15</v>
      </c>
      <c r="E464">
        <v>0</v>
      </c>
    </row>
    <row r="465" spans="1:5" x14ac:dyDescent="0.25">
      <c r="A465" t="str">
        <f t="shared" si="7"/>
        <v>3W-XIN</v>
      </c>
      <c r="B465" s="223" t="s">
        <v>464</v>
      </c>
      <c r="C465" s="223" t="s">
        <v>471</v>
      </c>
      <c r="D465" s="278">
        <f>SectorFlows!U17</f>
        <v>54</v>
      </c>
      <c r="E465">
        <v>0</v>
      </c>
    </row>
    <row r="466" spans="1:5" x14ac:dyDescent="0.25">
      <c r="A466" t="str">
        <f t="shared" si="7"/>
        <v>3WSW-XIN</v>
      </c>
      <c r="B466" s="223" t="s">
        <v>465</v>
      </c>
      <c r="C466" s="223" t="s">
        <v>471</v>
      </c>
      <c r="D466" s="278">
        <f>SectorFlows!U18</f>
        <v>25</v>
      </c>
      <c r="E466">
        <v>0</v>
      </c>
    </row>
    <row r="467" spans="1:5" x14ac:dyDescent="0.25">
      <c r="A467" t="str">
        <f t="shared" si="7"/>
        <v>3SW-XIN</v>
      </c>
      <c r="B467" s="223" t="s">
        <v>466</v>
      </c>
      <c r="C467" s="223" t="s">
        <v>471</v>
      </c>
      <c r="D467" s="278">
        <f>SectorFlows!U19</f>
        <v>120</v>
      </c>
      <c r="E467">
        <v>25</v>
      </c>
    </row>
    <row r="468" spans="1:5" x14ac:dyDescent="0.25">
      <c r="A468" t="str">
        <f t="shared" si="7"/>
        <v>3S-XIN</v>
      </c>
      <c r="B468" s="223" t="s">
        <v>467</v>
      </c>
      <c r="C468" s="223" t="s">
        <v>471</v>
      </c>
      <c r="D468" s="278">
        <f>SectorFlows!U20</f>
        <v>568</v>
      </c>
      <c r="E468">
        <v>885</v>
      </c>
    </row>
    <row r="469" spans="1:5" x14ac:dyDescent="0.25">
      <c r="A469" t="str">
        <f t="shared" si="7"/>
        <v>XWI-XIN</v>
      </c>
      <c r="B469" s="223" t="s">
        <v>468</v>
      </c>
      <c r="C469" s="223" t="s">
        <v>471</v>
      </c>
      <c r="D469" s="278">
        <f>SectorFlows!U21</f>
        <v>30</v>
      </c>
      <c r="E469">
        <v>0</v>
      </c>
    </row>
    <row r="470" spans="1:5" x14ac:dyDescent="0.25">
      <c r="A470" t="str">
        <f t="shared" si="7"/>
        <v>XIL-XIN</v>
      </c>
      <c r="B470" s="223" t="s">
        <v>469</v>
      </c>
      <c r="C470" s="223" t="s">
        <v>471</v>
      </c>
      <c r="D470" s="278">
        <f>SectorFlows!U22</f>
        <v>77</v>
      </c>
      <c r="E470">
        <v>745</v>
      </c>
    </row>
    <row r="471" spans="1:5" x14ac:dyDescent="0.25">
      <c r="A471" t="str">
        <f t="shared" si="7"/>
        <v>3IN-XIN</v>
      </c>
      <c r="B471" s="223" t="s">
        <v>470</v>
      </c>
      <c r="C471" s="223" t="s">
        <v>471</v>
      </c>
      <c r="D471" s="278">
        <f>SectorFlows!U23</f>
        <v>17226</v>
      </c>
      <c r="E471">
        <v>14095</v>
      </c>
    </row>
    <row r="472" spans="1:5" x14ac:dyDescent="0.25">
      <c r="A472" t="str">
        <f t="shared" si="7"/>
        <v>XIN-XIN</v>
      </c>
      <c r="B472" s="223" t="s">
        <v>471</v>
      </c>
      <c r="C472" s="223" t="s">
        <v>471</v>
      </c>
      <c r="D472" s="278">
        <f>SectorFlows!U24</f>
        <v>92947</v>
      </c>
      <c r="E472">
        <v>122505</v>
      </c>
    </row>
    <row r="473" spans="1:5" x14ac:dyDescent="0.25">
      <c r="A473" t="str">
        <f t="shared" si="7"/>
        <v>4NW-XIN</v>
      </c>
      <c r="B473" s="223" t="s">
        <v>472</v>
      </c>
      <c r="C473" s="223" t="s">
        <v>471</v>
      </c>
      <c r="D473" s="278">
        <f>SectorFlows!U25</f>
        <v>35</v>
      </c>
      <c r="E473">
        <v>0</v>
      </c>
    </row>
    <row r="474" spans="1:5" x14ac:dyDescent="0.25">
      <c r="A474" t="str">
        <f t="shared" si="7"/>
        <v>4N-XIN</v>
      </c>
      <c r="B474" s="223" t="s">
        <v>473</v>
      </c>
      <c r="C474" s="223" t="s">
        <v>471</v>
      </c>
      <c r="D474" s="278">
        <f>SectorFlows!U26</f>
        <v>0</v>
      </c>
      <c r="E474">
        <v>0</v>
      </c>
    </row>
    <row r="475" spans="1:5" x14ac:dyDescent="0.25">
      <c r="A475" t="str">
        <f t="shared" si="7"/>
        <v>4WNW-XIN</v>
      </c>
      <c r="B475" s="223" t="s">
        <v>474</v>
      </c>
      <c r="C475" s="223" t="s">
        <v>471</v>
      </c>
      <c r="D475" s="278">
        <f>SectorFlows!U27</f>
        <v>0</v>
      </c>
      <c r="E475">
        <v>0</v>
      </c>
    </row>
    <row r="476" spans="1:5" x14ac:dyDescent="0.25">
      <c r="A476" t="str">
        <f t="shared" si="7"/>
        <v>4W-XIN</v>
      </c>
      <c r="B476" s="223" t="s">
        <v>475</v>
      </c>
      <c r="C476" s="223" t="s">
        <v>471</v>
      </c>
      <c r="D476" s="278">
        <f>SectorFlows!U28</f>
        <v>0</v>
      </c>
      <c r="E476">
        <v>0</v>
      </c>
    </row>
    <row r="477" spans="1:5" x14ac:dyDescent="0.25">
      <c r="A477" t="str">
        <f t="shared" si="7"/>
        <v>4WSW-XIN</v>
      </c>
      <c r="B477" s="223" t="s">
        <v>476</v>
      </c>
      <c r="C477" s="223" t="s">
        <v>471</v>
      </c>
      <c r="D477" s="278">
        <f>SectorFlows!U29</f>
        <v>15</v>
      </c>
      <c r="E477">
        <v>0</v>
      </c>
    </row>
    <row r="478" spans="1:5" x14ac:dyDescent="0.25">
      <c r="A478" t="str">
        <f t="shared" si="7"/>
        <v>4SW-XIN</v>
      </c>
      <c r="B478" s="281" t="s">
        <v>477</v>
      </c>
      <c r="C478" s="223" t="s">
        <v>471</v>
      </c>
      <c r="D478" s="278">
        <f>SectorFlows!U30</f>
        <v>175</v>
      </c>
      <c r="E478">
        <v>45</v>
      </c>
    </row>
    <row r="479" spans="1:5" x14ac:dyDescent="0.25">
      <c r="A479" t="str">
        <f t="shared" si="7"/>
        <v>1-4NW</v>
      </c>
      <c r="B479" s="280">
        <v>1</v>
      </c>
      <c r="C479" s="223" t="s">
        <v>472</v>
      </c>
      <c r="D479" s="278">
        <f>SectorFlows!V6</f>
        <v>2271</v>
      </c>
      <c r="E479">
        <v>35</v>
      </c>
    </row>
    <row r="480" spans="1:5" x14ac:dyDescent="0.25">
      <c r="A480" t="str">
        <f t="shared" si="7"/>
        <v>2N-4NW</v>
      </c>
      <c r="B480" s="223" t="s">
        <v>456</v>
      </c>
      <c r="C480" s="223" t="s">
        <v>472</v>
      </c>
      <c r="D480" s="278">
        <f>SectorFlows!V7</f>
        <v>6530</v>
      </c>
      <c r="E480">
        <v>1025</v>
      </c>
    </row>
    <row r="481" spans="1:5" x14ac:dyDescent="0.25">
      <c r="A481" t="str">
        <f t="shared" si="7"/>
        <v>2NW-4NW</v>
      </c>
      <c r="B481" s="223" t="s">
        <v>457</v>
      </c>
      <c r="C481" s="223" t="s">
        <v>472</v>
      </c>
      <c r="D481" s="278">
        <f>SectorFlows!V8</f>
        <v>4983</v>
      </c>
      <c r="E481">
        <v>1730</v>
      </c>
    </row>
    <row r="482" spans="1:5" x14ac:dyDescent="0.25">
      <c r="A482" t="str">
        <f t="shared" si="7"/>
        <v>2WNW-4NW</v>
      </c>
      <c r="B482" s="223" t="s">
        <v>458</v>
      </c>
      <c r="C482" s="223" t="s">
        <v>472</v>
      </c>
      <c r="D482" s="278">
        <f>SectorFlows!V9</f>
        <v>1665</v>
      </c>
      <c r="E482">
        <v>200</v>
      </c>
    </row>
    <row r="483" spans="1:5" x14ac:dyDescent="0.25">
      <c r="A483" t="str">
        <f t="shared" si="7"/>
        <v>2W-4NW</v>
      </c>
      <c r="B483" s="223" t="s">
        <v>47</v>
      </c>
      <c r="C483" s="223" t="s">
        <v>472</v>
      </c>
      <c r="D483" s="278">
        <f>SectorFlows!V10</f>
        <v>1401</v>
      </c>
      <c r="E483">
        <v>80</v>
      </c>
    </row>
    <row r="484" spans="1:5" x14ac:dyDescent="0.25">
      <c r="A484" t="str">
        <f t="shared" si="7"/>
        <v>2WSW-4NW</v>
      </c>
      <c r="B484" s="223" t="s">
        <v>459</v>
      </c>
      <c r="C484" s="223" t="s">
        <v>472</v>
      </c>
      <c r="D484" s="278">
        <f>SectorFlows!V11</f>
        <v>822</v>
      </c>
      <c r="E484">
        <v>25</v>
      </c>
    </row>
    <row r="485" spans="1:5" x14ac:dyDescent="0.25">
      <c r="A485" t="str">
        <f t="shared" si="7"/>
        <v>2SW-4NW</v>
      </c>
      <c r="B485" s="223" t="s">
        <v>460</v>
      </c>
      <c r="C485" s="223" t="s">
        <v>472</v>
      </c>
      <c r="D485" s="278">
        <f>SectorFlows!V12</f>
        <v>1069</v>
      </c>
      <c r="E485">
        <v>5</v>
      </c>
    </row>
    <row r="486" spans="1:5" x14ac:dyDescent="0.25">
      <c r="A486" t="str">
        <f t="shared" si="7"/>
        <v>2S-4NW</v>
      </c>
      <c r="B486" s="223" t="s">
        <v>49</v>
      </c>
      <c r="C486" s="223" t="s">
        <v>472</v>
      </c>
      <c r="D486" s="278">
        <f>SectorFlows!V13</f>
        <v>1114</v>
      </c>
      <c r="E486">
        <v>15</v>
      </c>
    </row>
    <row r="487" spans="1:5" x14ac:dyDescent="0.25">
      <c r="A487" t="str">
        <f t="shared" si="7"/>
        <v>3N-4NW</v>
      </c>
      <c r="B487" s="223" t="s">
        <v>461</v>
      </c>
      <c r="C487" s="223" t="s">
        <v>472</v>
      </c>
      <c r="D487" s="278">
        <f>SectorFlows!V14</f>
        <v>2738</v>
      </c>
      <c r="E487">
        <v>2265</v>
      </c>
    </row>
    <row r="488" spans="1:5" x14ac:dyDescent="0.25">
      <c r="A488" t="str">
        <f t="shared" si="7"/>
        <v>3NW-4NW</v>
      </c>
      <c r="B488" s="223" t="s">
        <v>462</v>
      </c>
      <c r="C488" s="223" t="s">
        <v>472</v>
      </c>
      <c r="D488" s="278">
        <f>SectorFlows!V15</f>
        <v>18242</v>
      </c>
      <c r="E488">
        <v>12330</v>
      </c>
    </row>
    <row r="489" spans="1:5" x14ac:dyDescent="0.25">
      <c r="A489" t="str">
        <f t="shared" si="7"/>
        <v>3WNW-4NW</v>
      </c>
      <c r="B489" s="223" t="s">
        <v>463</v>
      </c>
      <c r="C489" s="223" t="s">
        <v>472</v>
      </c>
      <c r="D489" s="278">
        <f>SectorFlows!V16</f>
        <v>7005</v>
      </c>
      <c r="E489">
        <v>2275</v>
      </c>
    </row>
    <row r="490" spans="1:5" x14ac:dyDescent="0.25">
      <c r="A490" t="str">
        <f t="shared" si="7"/>
        <v>3W-4NW</v>
      </c>
      <c r="B490" s="223" t="s">
        <v>464</v>
      </c>
      <c r="C490" s="223" t="s">
        <v>472</v>
      </c>
      <c r="D490" s="278">
        <f>SectorFlows!V17</f>
        <v>2682</v>
      </c>
      <c r="E490">
        <v>330</v>
      </c>
    </row>
    <row r="491" spans="1:5" x14ac:dyDescent="0.25">
      <c r="A491" t="str">
        <f t="shared" si="7"/>
        <v>3WSW-4NW</v>
      </c>
      <c r="B491" s="223" t="s">
        <v>465</v>
      </c>
      <c r="C491" s="223" t="s">
        <v>472</v>
      </c>
      <c r="D491" s="278">
        <f>SectorFlows!V18</f>
        <v>2218</v>
      </c>
      <c r="E491">
        <v>110</v>
      </c>
    </row>
    <row r="492" spans="1:5" x14ac:dyDescent="0.25">
      <c r="A492" t="str">
        <f t="shared" si="7"/>
        <v>3SW-4NW</v>
      </c>
      <c r="B492" s="223" t="s">
        <v>466</v>
      </c>
      <c r="C492" s="223" t="s">
        <v>472</v>
      </c>
      <c r="D492" s="278">
        <f>SectorFlows!V19</f>
        <v>692</v>
      </c>
      <c r="E492">
        <v>15</v>
      </c>
    </row>
    <row r="493" spans="1:5" x14ac:dyDescent="0.25">
      <c r="A493" t="str">
        <f t="shared" si="7"/>
        <v>3S-4NW</v>
      </c>
      <c r="B493" s="223" t="s">
        <v>467</v>
      </c>
      <c r="C493" s="223" t="s">
        <v>472</v>
      </c>
      <c r="D493" s="278">
        <f>SectorFlows!V20</f>
        <v>273</v>
      </c>
      <c r="E493">
        <v>0</v>
      </c>
    </row>
    <row r="494" spans="1:5" x14ac:dyDescent="0.25">
      <c r="A494" t="str">
        <f t="shared" si="7"/>
        <v>XWI-4NW</v>
      </c>
      <c r="B494" s="223" t="s">
        <v>468</v>
      </c>
      <c r="C494" s="223" t="s">
        <v>472</v>
      </c>
      <c r="D494" s="278">
        <f>SectorFlows!V21</f>
        <v>16781</v>
      </c>
      <c r="E494">
        <v>26255</v>
      </c>
    </row>
    <row r="495" spans="1:5" x14ac:dyDescent="0.25">
      <c r="A495" t="str">
        <f t="shared" si="7"/>
        <v>XIL-4NW</v>
      </c>
      <c r="B495" s="223" t="s">
        <v>469</v>
      </c>
      <c r="C495" s="223" t="s">
        <v>472</v>
      </c>
      <c r="D495" s="278">
        <f>SectorFlows!V22</f>
        <v>5697</v>
      </c>
      <c r="E495">
        <v>7925</v>
      </c>
    </row>
    <row r="496" spans="1:5" x14ac:dyDescent="0.25">
      <c r="A496" t="str">
        <f t="shared" si="7"/>
        <v>3IN-4NW</v>
      </c>
      <c r="B496" s="223" t="s">
        <v>470</v>
      </c>
      <c r="C496" s="223" t="s">
        <v>472</v>
      </c>
      <c r="D496" s="278">
        <f>SectorFlows!V23</f>
        <v>219</v>
      </c>
      <c r="E496">
        <v>0</v>
      </c>
    </row>
    <row r="497" spans="1:5" x14ac:dyDescent="0.25">
      <c r="A497" t="str">
        <f t="shared" si="7"/>
        <v>XIN-4NW</v>
      </c>
      <c r="B497" s="223" t="s">
        <v>471</v>
      </c>
      <c r="C497" s="223" t="s">
        <v>472</v>
      </c>
      <c r="D497" s="278">
        <f>SectorFlows!V24</f>
        <v>79</v>
      </c>
      <c r="E497">
        <v>0</v>
      </c>
    </row>
    <row r="498" spans="1:5" x14ac:dyDescent="0.25">
      <c r="A498" t="str">
        <f t="shared" si="7"/>
        <v>4NW-4NW</v>
      </c>
      <c r="B498" s="223" t="s">
        <v>472</v>
      </c>
      <c r="C498" s="223" t="s">
        <v>472</v>
      </c>
      <c r="D498" s="278">
        <f>SectorFlows!V25</f>
        <v>200728</v>
      </c>
      <c r="E498">
        <v>224950</v>
      </c>
    </row>
    <row r="499" spans="1:5" x14ac:dyDescent="0.25">
      <c r="A499" t="str">
        <f t="shared" si="7"/>
        <v>4N-4NW</v>
      </c>
      <c r="B499" s="223" t="s">
        <v>473</v>
      </c>
      <c r="C499" s="223" t="s">
        <v>472</v>
      </c>
      <c r="D499" s="278">
        <f>SectorFlows!V26</f>
        <v>28506</v>
      </c>
      <c r="E499">
        <v>20135</v>
      </c>
    </row>
    <row r="500" spans="1:5" x14ac:dyDescent="0.25">
      <c r="A500" t="str">
        <f t="shared" si="7"/>
        <v>4WNW-4NW</v>
      </c>
      <c r="B500" s="223" t="s">
        <v>474</v>
      </c>
      <c r="C500" s="223" t="s">
        <v>472</v>
      </c>
      <c r="D500" s="278">
        <f>SectorFlows!V27</f>
        <v>8376</v>
      </c>
      <c r="E500">
        <v>6255</v>
      </c>
    </row>
    <row r="501" spans="1:5" x14ac:dyDescent="0.25">
      <c r="A501" t="str">
        <f t="shared" si="7"/>
        <v>4W-4NW</v>
      </c>
      <c r="B501" s="223" t="s">
        <v>475</v>
      </c>
      <c r="C501" s="223" t="s">
        <v>472</v>
      </c>
      <c r="D501" s="278">
        <f>SectorFlows!V28</f>
        <v>950</v>
      </c>
      <c r="E501">
        <v>295</v>
      </c>
    </row>
    <row r="502" spans="1:5" x14ac:dyDescent="0.25">
      <c r="A502" t="str">
        <f t="shared" si="7"/>
        <v>4WSW-4NW</v>
      </c>
      <c r="B502" s="223" t="s">
        <v>476</v>
      </c>
      <c r="C502" s="223" t="s">
        <v>472</v>
      </c>
      <c r="D502" s="278">
        <f>SectorFlows!V29</f>
        <v>1079</v>
      </c>
      <c r="E502">
        <v>65</v>
      </c>
    </row>
    <row r="503" spans="1:5" x14ac:dyDescent="0.25">
      <c r="A503" t="str">
        <f t="shared" si="7"/>
        <v>4SW-4NW</v>
      </c>
      <c r="B503" s="281" t="s">
        <v>477</v>
      </c>
      <c r="C503" s="223" t="s">
        <v>472</v>
      </c>
      <c r="D503" s="278">
        <f>SectorFlows!V30</f>
        <v>576</v>
      </c>
      <c r="E503">
        <v>10</v>
      </c>
    </row>
    <row r="504" spans="1:5" x14ac:dyDescent="0.25">
      <c r="A504" t="str">
        <f t="shared" si="7"/>
        <v>1-4N</v>
      </c>
      <c r="B504" s="280">
        <v>1</v>
      </c>
      <c r="C504" s="223" t="s">
        <v>473</v>
      </c>
      <c r="D504" s="278">
        <f>SectorFlows!W6</f>
        <v>1547</v>
      </c>
      <c r="E504">
        <v>125</v>
      </c>
    </row>
    <row r="505" spans="1:5" x14ac:dyDescent="0.25">
      <c r="A505" t="str">
        <f t="shared" si="7"/>
        <v>2N-4N</v>
      </c>
      <c r="B505" s="223" t="s">
        <v>456</v>
      </c>
      <c r="C505" s="223" t="s">
        <v>473</v>
      </c>
      <c r="D505" s="278">
        <f>SectorFlows!W7</f>
        <v>5588</v>
      </c>
      <c r="E505">
        <v>1880</v>
      </c>
    </row>
    <row r="506" spans="1:5" x14ac:dyDescent="0.25">
      <c r="A506" t="str">
        <f t="shared" si="7"/>
        <v>2NW-4N</v>
      </c>
      <c r="B506" s="223" t="s">
        <v>457</v>
      </c>
      <c r="C506" s="223" t="s">
        <v>473</v>
      </c>
      <c r="D506" s="278">
        <f>SectorFlows!W8</f>
        <v>2827</v>
      </c>
      <c r="E506">
        <v>1770</v>
      </c>
    </row>
    <row r="507" spans="1:5" x14ac:dyDescent="0.25">
      <c r="A507" t="str">
        <f t="shared" si="7"/>
        <v>2WNW-4N</v>
      </c>
      <c r="B507" s="223" t="s">
        <v>458</v>
      </c>
      <c r="C507" s="223" t="s">
        <v>473</v>
      </c>
      <c r="D507" s="278">
        <f>SectorFlows!W9</f>
        <v>699</v>
      </c>
      <c r="E507">
        <v>305</v>
      </c>
    </row>
    <row r="508" spans="1:5" x14ac:dyDescent="0.25">
      <c r="A508" t="str">
        <f t="shared" si="7"/>
        <v>2W-4N</v>
      </c>
      <c r="B508" s="223" t="s">
        <v>47</v>
      </c>
      <c r="C508" s="223" t="s">
        <v>473</v>
      </c>
      <c r="D508" s="278">
        <f>SectorFlows!W10</f>
        <v>619</v>
      </c>
      <c r="E508">
        <v>150</v>
      </c>
    </row>
    <row r="509" spans="1:5" x14ac:dyDescent="0.25">
      <c r="A509" t="str">
        <f t="shared" si="7"/>
        <v>2WSW-4N</v>
      </c>
      <c r="B509" s="223" t="s">
        <v>459</v>
      </c>
      <c r="C509" s="223" t="s">
        <v>473</v>
      </c>
      <c r="D509" s="278">
        <f>SectorFlows!W11</f>
        <v>337</v>
      </c>
      <c r="E509">
        <v>20</v>
      </c>
    </row>
    <row r="510" spans="1:5" x14ac:dyDescent="0.25">
      <c r="A510" t="str">
        <f t="shared" si="7"/>
        <v>2SW-4N</v>
      </c>
      <c r="B510" s="223" t="s">
        <v>460</v>
      </c>
      <c r="C510" s="223" t="s">
        <v>473</v>
      </c>
      <c r="D510" s="278">
        <f>SectorFlows!W12</f>
        <v>379</v>
      </c>
      <c r="E510">
        <v>45</v>
      </c>
    </row>
    <row r="511" spans="1:5" x14ac:dyDescent="0.25">
      <c r="A511" t="str">
        <f t="shared" si="7"/>
        <v>2S-4N</v>
      </c>
      <c r="B511" s="223" t="s">
        <v>49</v>
      </c>
      <c r="C511" s="223" t="s">
        <v>473</v>
      </c>
      <c r="D511" s="278">
        <f>SectorFlows!W13</f>
        <v>642</v>
      </c>
      <c r="E511">
        <v>55</v>
      </c>
    </row>
    <row r="512" spans="1:5" x14ac:dyDescent="0.25">
      <c r="A512" t="str">
        <f t="shared" si="7"/>
        <v>3N-4N</v>
      </c>
      <c r="B512" s="223" t="s">
        <v>461</v>
      </c>
      <c r="C512" s="223" t="s">
        <v>473</v>
      </c>
      <c r="D512" s="278">
        <f>SectorFlows!W14</f>
        <v>2387</v>
      </c>
      <c r="E512">
        <v>4395</v>
      </c>
    </row>
    <row r="513" spans="1:5" x14ac:dyDescent="0.25">
      <c r="A513" t="str">
        <f t="shared" si="7"/>
        <v>3NW-4N</v>
      </c>
      <c r="B513" s="223" t="s">
        <v>462</v>
      </c>
      <c r="C513" s="223" t="s">
        <v>473</v>
      </c>
      <c r="D513" s="278">
        <f>SectorFlows!W15</f>
        <v>4936</v>
      </c>
      <c r="E513">
        <v>5760</v>
      </c>
    </row>
    <row r="514" spans="1:5" x14ac:dyDescent="0.25">
      <c r="A514" t="str">
        <f t="shared" si="7"/>
        <v>3WNW-4N</v>
      </c>
      <c r="B514" s="223" t="s">
        <v>463</v>
      </c>
      <c r="C514" s="223" t="s">
        <v>473</v>
      </c>
      <c r="D514" s="278">
        <f>SectorFlows!W16</f>
        <v>1288</v>
      </c>
      <c r="E514">
        <v>615</v>
      </c>
    </row>
    <row r="515" spans="1:5" x14ac:dyDescent="0.25">
      <c r="A515" t="str">
        <f t="shared" si="7"/>
        <v>3W-4N</v>
      </c>
      <c r="B515" s="223" t="s">
        <v>464</v>
      </c>
      <c r="C515" s="223" t="s">
        <v>473</v>
      </c>
      <c r="D515" s="278">
        <f>SectorFlows!W17</f>
        <v>805</v>
      </c>
      <c r="E515">
        <v>70</v>
      </c>
    </row>
    <row r="516" spans="1:5" x14ac:dyDescent="0.25">
      <c r="A516" t="str">
        <f t="shared" si="7"/>
        <v>3WSW-4N</v>
      </c>
      <c r="B516" s="223" t="s">
        <v>465</v>
      </c>
      <c r="C516" s="223" t="s">
        <v>473</v>
      </c>
      <c r="D516" s="278">
        <f>SectorFlows!W18</f>
        <v>563</v>
      </c>
      <c r="E516">
        <v>55</v>
      </c>
    </row>
    <row r="517" spans="1:5" x14ac:dyDescent="0.25">
      <c r="A517" t="str">
        <f t="shared" ref="A517:A580" si="8">CONCATENATE(B:B,"-",C:C)</f>
        <v>3SW-4N</v>
      </c>
      <c r="B517" s="223" t="s">
        <v>466</v>
      </c>
      <c r="C517" s="223" t="s">
        <v>473</v>
      </c>
      <c r="D517" s="278">
        <f>SectorFlows!W19</f>
        <v>254</v>
      </c>
      <c r="E517">
        <v>15</v>
      </c>
    </row>
    <row r="518" spans="1:5" x14ac:dyDescent="0.25">
      <c r="A518" t="str">
        <f t="shared" si="8"/>
        <v>3S-4N</v>
      </c>
      <c r="B518" s="223" t="s">
        <v>467</v>
      </c>
      <c r="C518" s="223" t="s">
        <v>473</v>
      </c>
      <c r="D518" s="278">
        <f>SectorFlows!W20</f>
        <v>123</v>
      </c>
      <c r="E518">
        <v>0</v>
      </c>
    </row>
    <row r="519" spans="1:5" x14ac:dyDescent="0.25">
      <c r="A519" t="str">
        <f t="shared" si="8"/>
        <v>XWI-4N</v>
      </c>
      <c r="B519" s="223" t="s">
        <v>468</v>
      </c>
      <c r="C519" s="223" t="s">
        <v>473</v>
      </c>
      <c r="D519" s="278">
        <f>SectorFlows!W21</f>
        <v>6858</v>
      </c>
      <c r="E519">
        <v>13665</v>
      </c>
    </row>
    <row r="520" spans="1:5" x14ac:dyDescent="0.25">
      <c r="A520" t="str">
        <f t="shared" si="8"/>
        <v>XIL-4N</v>
      </c>
      <c r="B520" s="223" t="s">
        <v>469</v>
      </c>
      <c r="C520" s="223" t="s">
        <v>473</v>
      </c>
      <c r="D520" s="278">
        <f>SectorFlows!W22</f>
        <v>195</v>
      </c>
      <c r="E520">
        <v>25</v>
      </c>
    </row>
    <row r="521" spans="1:5" x14ac:dyDescent="0.25">
      <c r="A521" t="str">
        <f t="shared" si="8"/>
        <v>3IN-4N</v>
      </c>
      <c r="B521" s="223" t="s">
        <v>470</v>
      </c>
      <c r="C521" s="223" t="s">
        <v>473</v>
      </c>
      <c r="D521" s="278">
        <f>SectorFlows!W23</f>
        <v>134</v>
      </c>
      <c r="E521">
        <v>5</v>
      </c>
    </row>
    <row r="522" spans="1:5" x14ac:dyDescent="0.25">
      <c r="A522" t="str">
        <f t="shared" si="8"/>
        <v>XIN-4N</v>
      </c>
      <c r="B522" s="223" t="s">
        <v>471</v>
      </c>
      <c r="C522" s="223" t="s">
        <v>473</v>
      </c>
      <c r="D522" s="278">
        <f>SectorFlows!W24</f>
        <v>25</v>
      </c>
      <c r="E522">
        <v>0</v>
      </c>
    </row>
    <row r="523" spans="1:5" x14ac:dyDescent="0.25">
      <c r="A523" t="str">
        <f t="shared" si="8"/>
        <v>4NW-4N</v>
      </c>
      <c r="B523" s="223" t="s">
        <v>472</v>
      </c>
      <c r="C523" s="223" t="s">
        <v>473</v>
      </c>
      <c r="D523" s="278">
        <f>SectorFlows!W25</f>
        <v>29703</v>
      </c>
      <c r="E523">
        <v>32360</v>
      </c>
    </row>
    <row r="524" spans="1:5" x14ac:dyDescent="0.25">
      <c r="A524" t="str">
        <f t="shared" si="8"/>
        <v>4N-4N</v>
      </c>
      <c r="B524" s="223" t="s">
        <v>473</v>
      </c>
      <c r="C524" s="223" t="s">
        <v>473</v>
      </c>
      <c r="D524" s="278">
        <f>SectorFlows!W26</f>
        <v>47244</v>
      </c>
      <c r="E524">
        <v>53000</v>
      </c>
    </row>
    <row r="525" spans="1:5" x14ac:dyDescent="0.25">
      <c r="A525" t="str">
        <f t="shared" si="8"/>
        <v>4WNW-4N</v>
      </c>
      <c r="B525" s="223" t="s">
        <v>474</v>
      </c>
      <c r="C525" s="223" t="s">
        <v>473</v>
      </c>
      <c r="D525" s="278">
        <f>SectorFlows!W27</f>
        <v>325</v>
      </c>
      <c r="E525">
        <v>485</v>
      </c>
    </row>
    <row r="526" spans="1:5" x14ac:dyDescent="0.25">
      <c r="A526" t="str">
        <f t="shared" si="8"/>
        <v>4W-4N</v>
      </c>
      <c r="B526" s="223" t="s">
        <v>475</v>
      </c>
      <c r="C526" s="223" t="s">
        <v>473</v>
      </c>
      <c r="D526" s="278">
        <f>SectorFlows!W28</f>
        <v>59</v>
      </c>
      <c r="E526">
        <v>0</v>
      </c>
    </row>
    <row r="527" spans="1:5" x14ac:dyDescent="0.25">
      <c r="A527" t="str">
        <f t="shared" si="8"/>
        <v>4WSW-4N</v>
      </c>
      <c r="B527" s="223" t="s">
        <v>476</v>
      </c>
      <c r="C527" s="223" t="s">
        <v>473</v>
      </c>
      <c r="D527" s="278">
        <f>SectorFlows!W29</f>
        <v>228</v>
      </c>
      <c r="E527">
        <v>10</v>
      </c>
    </row>
    <row r="528" spans="1:5" x14ac:dyDescent="0.25">
      <c r="A528" t="str">
        <f t="shared" si="8"/>
        <v>4SW-4N</v>
      </c>
      <c r="B528" s="281" t="s">
        <v>477</v>
      </c>
      <c r="C528" s="223" t="s">
        <v>473</v>
      </c>
      <c r="D528" s="278">
        <f>SectorFlows!W30</f>
        <v>205</v>
      </c>
      <c r="E528">
        <v>5</v>
      </c>
    </row>
    <row r="529" spans="1:5" x14ac:dyDescent="0.25">
      <c r="A529" t="str">
        <f t="shared" si="8"/>
        <v>1-4WNW</v>
      </c>
      <c r="B529" s="280">
        <v>1</v>
      </c>
      <c r="C529" s="223" t="s">
        <v>474</v>
      </c>
      <c r="D529" s="278">
        <f>SectorFlows!X6</f>
        <v>159</v>
      </c>
      <c r="E529">
        <v>0</v>
      </c>
    </row>
    <row r="530" spans="1:5" x14ac:dyDescent="0.25">
      <c r="A530" t="str">
        <f t="shared" si="8"/>
        <v>2N-4WNW</v>
      </c>
      <c r="B530" s="223" t="s">
        <v>456</v>
      </c>
      <c r="C530" s="223" t="s">
        <v>474</v>
      </c>
      <c r="D530" s="278">
        <f>SectorFlows!X7</f>
        <v>203</v>
      </c>
      <c r="E530">
        <v>20</v>
      </c>
    </row>
    <row r="531" spans="1:5" x14ac:dyDescent="0.25">
      <c r="A531" t="str">
        <f t="shared" si="8"/>
        <v>2NW-4WNW</v>
      </c>
      <c r="B531" s="223" t="s">
        <v>457</v>
      </c>
      <c r="C531" s="223" t="s">
        <v>474</v>
      </c>
      <c r="D531" s="278">
        <f>SectorFlows!X8</f>
        <v>582</v>
      </c>
      <c r="E531">
        <v>60</v>
      </c>
    </row>
    <row r="532" spans="1:5" x14ac:dyDescent="0.25">
      <c r="A532" t="str">
        <f t="shared" si="8"/>
        <v>2WNW-4WNW</v>
      </c>
      <c r="B532" s="223" t="s">
        <v>458</v>
      </c>
      <c r="C532" s="223" t="s">
        <v>474</v>
      </c>
      <c r="D532" s="278">
        <f>SectorFlows!X9</f>
        <v>333</v>
      </c>
      <c r="E532">
        <v>10</v>
      </c>
    </row>
    <row r="533" spans="1:5" x14ac:dyDescent="0.25">
      <c r="A533" t="str">
        <f t="shared" si="8"/>
        <v>2W-4WNW</v>
      </c>
      <c r="B533" s="223" t="s">
        <v>47</v>
      </c>
      <c r="C533" s="223" t="s">
        <v>474</v>
      </c>
      <c r="D533" s="278">
        <f>SectorFlows!X10</f>
        <v>233</v>
      </c>
      <c r="E533">
        <v>0</v>
      </c>
    </row>
    <row r="534" spans="1:5" x14ac:dyDescent="0.25">
      <c r="A534" t="str">
        <f t="shared" si="8"/>
        <v>2WSW-4WNW</v>
      </c>
      <c r="B534" s="223" t="s">
        <v>459</v>
      </c>
      <c r="C534" s="223" t="s">
        <v>474</v>
      </c>
      <c r="D534" s="278">
        <f>SectorFlows!X11</f>
        <v>232</v>
      </c>
      <c r="E534">
        <v>15</v>
      </c>
    </row>
    <row r="535" spans="1:5" x14ac:dyDescent="0.25">
      <c r="A535" t="str">
        <f t="shared" si="8"/>
        <v>2SW-4WNW</v>
      </c>
      <c r="B535" s="223" t="s">
        <v>460</v>
      </c>
      <c r="C535" s="223" t="s">
        <v>474</v>
      </c>
      <c r="D535" s="278">
        <f>SectorFlows!X12</f>
        <v>262</v>
      </c>
      <c r="E535">
        <v>5</v>
      </c>
    </row>
    <row r="536" spans="1:5" x14ac:dyDescent="0.25">
      <c r="A536" t="str">
        <f t="shared" si="8"/>
        <v>2S-4WNW</v>
      </c>
      <c r="B536" s="223" t="s">
        <v>49</v>
      </c>
      <c r="C536" s="223" t="s">
        <v>474</v>
      </c>
      <c r="D536" s="278">
        <f>SectorFlows!X13</f>
        <v>243</v>
      </c>
      <c r="E536">
        <v>0</v>
      </c>
    </row>
    <row r="537" spans="1:5" x14ac:dyDescent="0.25">
      <c r="A537" t="str">
        <f t="shared" si="8"/>
        <v>3N-4WNW</v>
      </c>
      <c r="B537" s="223" t="s">
        <v>461</v>
      </c>
      <c r="C537" s="223" t="s">
        <v>474</v>
      </c>
      <c r="D537" s="278">
        <f>SectorFlows!X14</f>
        <v>60</v>
      </c>
      <c r="E537">
        <v>10</v>
      </c>
    </row>
    <row r="538" spans="1:5" x14ac:dyDescent="0.25">
      <c r="A538" t="str">
        <f t="shared" si="8"/>
        <v>3NW-4WNW</v>
      </c>
      <c r="B538" s="223" t="s">
        <v>462</v>
      </c>
      <c r="C538" s="223" t="s">
        <v>474</v>
      </c>
      <c r="D538" s="278">
        <f>SectorFlows!X15</f>
        <v>2132</v>
      </c>
      <c r="E538">
        <v>710</v>
      </c>
    </row>
    <row r="539" spans="1:5" x14ac:dyDescent="0.25">
      <c r="A539" t="str">
        <f t="shared" si="8"/>
        <v>3WNW-4WNW</v>
      </c>
      <c r="B539" s="223" t="s">
        <v>463</v>
      </c>
      <c r="C539" s="223" t="s">
        <v>474</v>
      </c>
      <c r="D539" s="278">
        <f>SectorFlows!X16</f>
        <v>7250</v>
      </c>
      <c r="E539">
        <v>5810</v>
      </c>
    </row>
    <row r="540" spans="1:5" x14ac:dyDescent="0.25">
      <c r="A540" t="str">
        <f t="shared" si="8"/>
        <v>3W-4WNW</v>
      </c>
      <c r="B540" s="223" t="s">
        <v>464</v>
      </c>
      <c r="C540" s="223" t="s">
        <v>474</v>
      </c>
      <c r="D540" s="278">
        <f>SectorFlows!X17</f>
        <v>2179</v>
      </c>
      <c r="E540">
        <v>580</v>
      </c>
    </row>
    <row r="541" spans="1:5" x14ac:dyDescent="0.25">
      <c r="A541" t="str">
        <f t="shared" si="8"/>
        <v>3WSW-4WNW</v>
      </c>
      <c r="B541" s="223" t="s">
        <v>465</v>
      </c>
      <c r="C541" s="223" t="s">
        <v>474</v>
      </c>
      <c r="D541" s="278">
        <f>SectorFlows!X18</f>
        <v>1819</v>
      </c>
      <c r="E541">
        <v>240</v>
      </c>
    </row>
    <row r="542" spans="1:5" x14ac:dyDescent="0.25">
      <c r="A542" t="str">
        <f t="shared" si="8"/>
        <v>3SW-4WNW</v>
      </c>
      <c r="B542" s="223" t="s">
        <v>466</v>
      </c>
      <c r="C542" s="223" t="s">
        <v>474</v>
      </c>
      <c r="D542" s="278">
        <f>SectorFlows!X19</f>
        <v>265</v>
      </c>
      <c r="E542">
        <v>0</v>
      </c>
    </row>
    <row r="543" spans="1:5" x14ac:dyDescent="0.25">
      <c r="A543" t="str">
        <f t="shared" si="8"/>
        <v>3S-4WNW</v>
      </c>
      <c r="B543" s="223" t="s">
        <v>467</v>
      </c>
      <c r="C543" s="223" t="s">
        <v>474</v>
      </c>
      <c r="D543" s="278">
        <f>SectorFlows!X20</f>
        <v>90</v>
      </c>
      <c r="E543">
        <v>0</v>
      </c>
    </row>
    <row r="544" spans="1:5" x14ac:dyDescent="0.25">
      <c r="A544" t="str">
        <f t="shared" si="8"/>
        <v>XWI-4WNW</v>
      </c>
      <c r="B544" s="223" t="s">
        <v>468</v>
      </c>
      <c r="C544" s="223" t="s">
        <v>474</v>
      </c>
      <c r="D544" s="278">
        <f>SectorFlows!X21</f>
        <v>160</v>
      </c>
      <c r="E544">
        <v>440</v>
      </c>
    </row>
    <row r="545" spans="1:5" x14ac:dyDescent="0.25">
      <c r="A545" t="str">
        <f t="shared" si="8"/>
        <v>XIL-4WNW</v>
      </c>
      <c r="B545" s="223" t="s">
        <v>469</v>
      </c>
      <c r="C545" s="223" t="s">
        <v>474</v>
      </c>
      <c r="D545" s="278">
        <f>SectorFlows!X22</f>
        <v>4558</v>
      </c>
      <c r="E545">
        <v>5585</v>
      </c>
    </row>
    <row r="546" spans="1:5" x14ac:dyDescent="0.25">
      <c r="A546" t="str">
        <f t="shared" si="8"/>
        <v>3IN-4WNW</v>
      </c>
      <c r="B546" s="223" t="s">
        <v>470</v>
      </c>
      <c r="C546" s="223" t="s">
        <v>474</v>
      </c>
      <c r="D546" s="278">
        <f>SectorFlows!X23</f>
        <v>90</v>
      </c>
      <c r="E546">
        <v>0</v>
      </c>
    </row>
    <row r="547" spans="1:5" x14ac:dyDescent="0.25">
      <c r="A547" t="str">
        <f t="shared" si="8"/>
        <v>XIN-4WNW</v>
      </c>
      <c r="B547" s="223" t="s">
        <v>471</v>
      </c>
      <c r="C547" s="223" t="s">
        <v>474</v>
      </c>
      <c r="D547" s="278">
        <f>SectorFlows!X24</f>
        <v>22</v>
      </c>
      <c r="E547">
        <v>0</v>
      </c>
    </row>
    <row r="548" spans="1:5" x14ac:dyDescent="0.25">
      <c r="A548" t="str">
        <f t="shared" si="8"/>
        <v>4NW-4WNW</v>
      </c>
      <c r="B548" s="223" t="s">
        <v>472</v>
      </c>
      <c r="C548" s="223" t="s">
        <v>474</v>
      </c>
      <c r="D548" s="278">
        <f>SectorFlows!X25</f>
        <v>9270</v>
      </c>
      <c r="E548">
        <v>14750</v>
      </c>
    </row>
    <row r="549" spans="1:5" x14ac:dyDescent="0.25">
      <c r="A549" t="str">
        <f t="shared" si="8"/>
        <v>4N-4WNW</v>
      </c>
      <c r="B549" s="223" t="s">
        <v>473</v>
      </c>
      <c r="C549" s="223" t="s">
        <v>474</v>
      </c>
      <c r="D549" s="278">
        <f>SectorFlows!X26</f>
        <v>95</v>
      </c>
      <c r="E549">
        <v>15</v>
      </c>
    </row>
    <row r="550" spans="1:5" x14ac:dyDescent="0.25">
      <c r="A550" t="str">
        <f t="shared" si="8"/>
        <v>4WNW-4WNW</v>
      </c>
      <c r="B550" s="223" t="s">
        <v>474</v>
      </c>
      <c r="C550" s="223" t="s">
        <v>474</v>
      </c>
      <c r="D550" s="278">
        <f>SectorFlows!X27</f>
        <v>33466</v>
      </c>
      <c r="E550">
        <v>41015</v>
      </c>
    </row>
    <row r="551" spans="1:5" x14ac:dyDescent="0.25">
      <c r="A551" t="str">
        <f t="shared" si="8"/>
        <v>4W-4WNW</v>
      </c>
      <c r="B551" s="223" t="s">
        <v>475</v>
      </c>
      <c r="C551" s="223" t="s">
        <v>474</v>
      </c>
      <c r="D551" s="278">
        <f>SectorFlows!X28</f>
        <v>4318</v>
      </c>
      <c r="E551">
        <v>4645</v>
      </c>
    </row>
    <row r="552" spans="1:5" x14ac:dyDescent="0.25">
      <c r="A552" t="str">
        <f t="shared" si="8"/>
        <v>4WSW-4WNW</v>
      </c>
      <c r="B552" s="223" t="s">
        <v>476</v>
      </c>
      <c r="C552" s="223" t="s">
        <v>474</v>
      </c>
      <c r="D552" s="278">
        <f>SectorFlows!X29</f>
        <v>3047</v>
      </c>
      <c r="E552">
        <v>920</v>
      </c>
    </row>
    <row r="553" spans="1:5" x14ac:dyDescent="0.25">
      <c r="A553" t="str">
        <f t="shared" si="8"/>
        <v>4SW-4WNW</v>
      </c>
      <c r="B553" s="281" t="s">
        <v>477</v>
      </c>
      <c r="C553" s="223" t="s">
        <v>474</v>
      </c>
      <c r="D553" s="278">
        <f>SectorFlows!X30</f>
        <v>403</v>
      </c>
      <c r="E553">
        <v>25</v>
      </c>
    </row>
    <row r="554" spans="1:5" x14ac:dyDescent="0.25">
      <c r="A554" t="str">
        <f t="shared" si="8"/>
        <v>1-4W</v>
      </c>
      <c r="B554" s="280">
        <v>1</v>
      </c>
      <c r="C554" s="223" t="s">
        <v>475</v>
      </c>
      <c r="D554" s="278">
        <f>SectorFlows!Y6</f>
        <v>209</v>
      </c>
      <c r="E554">
        <v>0</v>
      </c>
    </row>
    <row r="555" spans="1:5" x14ac:dyDescent="0.25">
      <c r="A555" t="str">
        <f t="shared" si="8"/>
        <v>2N-4W</v>
      </c>
      <c r="B555" s="223" t="s">
        <v>456</v>
      </c>
      <c r="C555" s="223" t="s">
        <v>475</v>
      </c>
      <c r="D555" s="278">
        <f>SectorFlows!Y7</f>
        <v>219</v>
      </c>
      <c r="E555">
        <v>10</v>
      </c>
    </row>
    <row r="556" spans="1:5" x14ac:dyDescent="0.25">
      <c r="A556" t="str">
        <f t="shared" si="8"/>
        <v>2NW-4W</v>
      </c>
      <c r="B556" s="223" t="s">
        <v>457</v>
      </c>
      <c r="C556" s="223" t="s">
        <v>475</v>
      </c>
      <c r="D556" s="278">
        <f>SectorFlows!Y8</f>
        <v>183</v>
      </c>
      <c r="E556">
        <v>10</v>
      </c>
    </row>
    <row r="557" spans="1:5" x14ac:dyDescent="0.25">
      <c r="A557" t="str">
        <f t="shared" si="8"/>
        <v>2WNW-4W</v>
      </c>
      <c r="B557" s="223" t="s">
        <v>458</v>
      </c>
      <c r="C557" s="223" t="s">
        <v>475</v>
      </c>
      <c r="D557" s="278">
        <f>SectorFlows!Y9</f>
        <v>145</v>
      </c>
      <c r="E557">
        <v>10</v>
      </c>
    </row>
    <row r="558" spans="1:5" x14ac:dyDescent="0.25">
      <c r="A558" t="str">
        <f t="shared" si="8"/>
        <v>2W-4W</v>
      </c>
      <c r="B558" s="223" t="s">
        <v>47</v>
      </c>
      <c r="C558" s="223" t="s">
        <v>475</v>
      </c>
      <c r="D558" s="278">
        <f>SectorFlows!Y10</f>
        <v>331</v>
      </c>
      <c r="E558">
        <v>15</v>
      </c>
    </row>
    <row r="559" spans="1:5" x14ac:dyDescent="0.25">
      <c r="A559" t="str">
        <f t="shared" si="8"/>
        <v>2WSW-4W</v>
      </c>
      <c r="B559" s="223" t="s">
        <v>459</v>
      </c>
      <c r="C559" s="223" t="s">
        <v>475</v>
      </c>
      <c r="D559" s="278">
        <f>SectorFlows!Y11</f>
        <v>293</v>
      </c>
      <c r="E559">
        <v>5</v>
      </c>
    </row>
    <row r="560" spans="1:5" x14ac:dyDescent="0.25">
      <c r="A560" t="str">
        <f t="shared" si="8"/>
        <v>2SW-4W</v>
      </c>
      <c r="B560" s="223" t="s">
        <v>460</v>
      </c>
      <c r="C560" s="223" t="s">
        <v>475</v>
      </c>
      <c r="D560" s="278">
        <f>SectorFlows!Y12</f>
        <v>196</v>
      </c>
      <c r="E560">
        <v>0</v>
      </c>
    </row>
    <row r="561" spans="1:5" x14ac:dyDescent="0.25">
      <c r="A561" t="str">
        <f t="shared" si="8"/>
        <v>2S-4W</v>
      </c>
      <c r="B561" s="223" t="s">
        <v>49</v>
      </c>
      <c r="C561" s="223" t="s">
        <v>475</v>
      </c>
      <c r="D561" s="278">
        <f>SectorFlows!Y13</f>
        <v>270</v>
      </c>
      <c r="E561">
        <v>0</v>
      </c>
    </row>
    <row r="562" spans="1:5" x14ac:dyDescent="0.25">
      <c r="A562" t="str">
        <f t="shared" si="8"/>
        <v>3N-4W</v>
      </c>
      <c r="B562" s="223" t="s">
        <v>461</v>
      </c>
      <c r="C562" s="223" t="s">
        <v>475</v>
      </c>
      <c r="D562" s="278">
        <f>SectorFlows!Y14</f>
        <v>85</v>
      </c>
      <c r="E562">
        <v>0</v>
      </c>
    </row>
    <row r="563" spans="1:5" x14ac:dyDescent="0.25">
      <c r="A563" t="str">
        <f t="shared" si="8"/>
        <v>3NW-4W</v>
      </c>
      <c r="B563" s="223" t="s">
        <v>462</v>
      </c>
      <c r="C563" s="223" t="s">
        <v>475</v>
      </c>
      <c r="D563" s="278">
        <f>SectorFlows!Y15</f>
        <v>414</v>
      </c>
      <c r="E563">
        <v>70</v>
      </c>
    </row>
    <row r="564" spans="1:5" x14ac:dyDescent="0.25">
      <c r="A564" t="str">
        <f t="shared" si="8"/>
        <v>3WNW-4W</v>
      </c>
      <c r="B564" s="223" t="s">
        <v>463</v>
      </c>
      <c r="C564" s="223" t="s">
        <v>475</v>
      </c>
      <c r="D564" s="278">
        <f>SectorFlows!Y16</f>
        <v>2700</v>
      </c>
      <c r="E564">
        <v>1750</v>
      </c>
    </row>
    <row r="565" spans="1:5" x14ac:dyDescent="0.25">
      <c r="A565" t="str">
        <f t="shared" si="8"/>
        <v>3W-4W</v>
      </c>
      <c r="B565" s="223" t="s">
        <v>464</v>
      </c>
      <c r="C565" s="223" t="s">
        <v>475</v>
      </c>
      <c r="D565" s="278">
        <f>SectorFlows!Y17</f>
        <v>3974</v>
      </c>
      <c r="E565">
        <v>2520</v>
      </c>
    </row>
    <row r="566" spans="1:5" x14ac:dyDescent="0.25">
      <c r="A566" t="str">
        <f t="shared" si="8"/>
        <v>3WSW-4W</v>
      </c>
      <c r="B566" s="223" t="s">
        <v>465</v>
      </c>
      <c r="C566" s="223" t="s">
        <v>475</v>
      </c>
      <c r="D566" s="278">
        <f>SectorFlows!Y18</f>
        <v>2798</v>
      </c>
      <c r="E566">
        <v>2655</v>
      </c>
    </row>
    <row r="567" spans="1:5" x14ac:dyDescent="0.25">
      <c r="A567" t="str">
        <f t="shared" si="8"/>
        <v>3SW-4W</v>
      </c>
      <c r="B567" s="223" t="s">
        <v>466</v>
      </c>
      <c r="C567" s="223" t="s">
        <v>475</v>
      </c>
      <c r="D567" s="278">
        <f>SectorFlows!Y19</f>
        <v>200</v>
      </c>
      <c r="E567">
        <v>10</v>
      </c>
    </row>
    <row r="568" spans="1:5" x14ac:dyDescent="0.25">
      <c r="A568" t="str">
        <f t="shared" si="8"/>
        <v>3S-4W</v>
      </c>
      <c r="B568" s="223" t="s">
        <v>467</v>
      </c>
      <c r="C568" s="223" t="s">
        <v>475</v>
      </c>
      <c r="D568" s="278">
        <f>SectorFlows!Y20</f>
        <v>20</v>
      </c>
      <c r="E568">
        <v>0</v>
      </c>
    </row>
    <row r="569" spans="1:5" x14ac:dyDescent="0.25">
      <c r="A569" t="str">
        <f t="shared" si="8"/>
        <v>XWI-4W</v>
      </c>
      <c r="B569" s="223" t="s">
        <v>468</v>
      </c>
      <c r="C569" s="223" t="s">
        <v>475</v>
      </c>
      <c r="D569" s="278">
        <f>SectorFlows!Y21</f>
        <v>61</v>
      </c>
      <c r="E569">
        <v>5</v>
      </c>
    </row>
    <row r="570" spans="1:5" x14ac:dyDescent="0.25">
      <c r="A570" t="str">
        <f t="shared" si="8"/>
        <v>XIL-4W</v>
      </c>
      <c r="B570" s="223" t="s">
        <v>469</v>
      </c>
      <c r="C570" s="223" t="s">
        <v>475</v>
      </c>
      <c r="D570" s="278">
        <f>SectorFlows!Y22</f>
        <v>4790</v>
      </c>
      <c r="E570">
        <v>6915</v>
      </c>
    </row>
    <row r="571" spans="1:5" x14ac:dyDescent="0.25">
      <c r="A571" t="str">
        <f t="shared" si="8"/>
        <v>3IN-4W</v>
      </c>
      <c r="B571" s="223" t="s">
        <v>470</v>
      </c>
      <c r="C571" s="223" t="s">
        <v>475</v>
      </c>
      <c r="D571" s="278">
        <f>SectorFlows!Y23</f>
        <v>60</v>
      </c>
      <c r="E571">
        <v>0</v>
      </c>
    </row>
    <row r="572" spans="1:5" x14ac:dyDescent="0.25">
      <c r="A572" t="str">
        <f t="shared" si="8"/>
        <v>XIN-4W</v>
      </c>
      <c r="B572" s="223" t="s">
        <v>471</v>
      </c>
      <c r="C572" s="223" t="s">
        <v>475</v>
      </c>
      <c r="D572" s="278">
        <f>SectorFlows!Y24</f>
        <v>4</v>
      </c>
      <c r="E572">
        <v>0</v>
      </c>
    </row>
    <row r="573" spans="1:5" x14ac:dyDescent="0.25">
      <c r="A573" t="str">
        <f t="shared" si="8"/>
        <v>4NW-4W</v>
      </c>
      <c r="B573" s="223" t="s">
        <v>472</v>
      </c>
      <c r="C573" s="223" t="s">
        <v>475</v>
      </c>
      <c r="D573" s="278">
        <f>SectorFlows!Y25</f>
        <v>1539</v>
      </c>
      <c r="E573">
        <v>1250</v>
      </c>
    </row>
    <row r="574" spans="1:5" x14ac:dyDescent="0.25">
      <c r="A574" t="str">
        <f t="shared" si="8"/>
        <v>4N-4W</v>
      </c>
      <c r="B574" s="223" t="s">
        <v>473</v>
      </c>
      <c r="C574" s="223" t="s">
        <v>475</v>
      </c>
      <c r="D574" s="278">
        <f>SectorFlows!Y26</f>
        <v>10</v>
      </c>
      <c r="E574">
        <v>5</v>
      </c>
    </row>
    <row r="575" spans="1:5" x14ac:dyDescent="0.25">
      <c r="A575" t="str">
        <f t="shared" si="8"/>
        <v>4WNW-4W</v>
      </c>
      <c r="B575" s="223" t="s">
        <v>474</v>
      </c>
      <c r="C575" s="223" t="s">
        <v>475</v>
      </c>
      <c r="D575" s="278">
        <f>SectorFlows!Y27</f>
        <v>6134</v>
      </c>
      <c r="E575">
        <v>4700</v>
      </c>
    </row>
    <row r="576" spans="1:5" x14ac:dyDescent="0.25">
      <c r="A576" t="str">
        <f t="shared" si="8"/>
        <v>4W-4W</v>
      </c>
      <c r="B576" s="223" t="s">
        <v>475</v>
      </c>
      <c r="C576" s="223" t="s">
        <v>475</v>
      </c>
      <c r="D576" s="278">
        <f>SectorFlows!Y28</f>
        <v>21259</v>
      </c>
      <c r="E576">
        <v>28130</v>
      </c>
    </row>
    <row r="577" spans="1:5" x14ac:dyDescent="0.25">
      <c r="A577" t="str">
        <f t="shared" si="8"/>
        <v>4WSW-4W</v>
      </c>
      <c r="B577" s="223" t="s">
        <v>476</v>
      </c>
      <c r="C577" s="223" t="s">
        <v>475</v>
      </c>
      <c r="D577" s="278">
        <f>SectorFlows!Y29</f>
        <v>12856</v>
      </c>
      <c r="E577">
        <v>11050</v>
      </c>
    </row>
    <row r="578" spans="1:5" x14ac:dyDescent="0.25">
      <c r="A578" t="str">
        <f t="shared" si="8"/>
        <v>4SW-4W</v>
      </c>
      <c r="B578" s="281" t="s">
        <v>477</v>
      </c>
      <c r="C578" s="223" t="s">
        <v>475</v>
      </c>
      <c r="D578" s="278">
        <f>SectorFlows!Y30</f>
        <v>647</v>
      </c>
      <c r="E578">
        <v>635</v>
      </c>
    </row>
    <row r="579" spans="1:5" x14ac:dyDescent="0.25">
      <c r="A579" t="str">
        <f t="shared" si="8"/>
        <v>1-4WSW</v>
      </c>
      <c r="B579" s="280">
        <v>1</v>
      </c>
      <c r="C579" s="223" t="s">
        <v>476</v>
      </c>
      <c r="D579" s="278">
        <f>SectorFlows!Z6</f>
        <v>329</v>
      </c>
      <c r="E579">
        <v>0</v>
      </c>
    </row>
    <row r="580" spans="1:5" x14ac:dyDescent="0.25">
      <c r="A580" t="str">
        <f t="shared" si="8"/>
        <v>2N-4WSW</v>
      </c>
      <c r="B580" s="223" t="s">
        <v>456</v>
      </c>
      <c r="C580" s="223" t="s">
        <v>476</v>
      </c>
      <c r="D580" s="278">
        <f>SectorFlows!Z7</f>
        <v>364</v>
      </c>
      <c r="E580">
        <v>0</v>
      </c>
    </row>
    <row r="581" spans="1:5" x14ac:dyDescent="0.25">
      <c r="A581" t="str">
        <f t="shared" ref="A581:A628" si="9">CONCATENATE(B:B,"-",C:C)</f>
        <v>2NW-4WSW</v>
      </c>
      <c r="B581" s="223" t="s">
        <v>457</v>
      </c>
      <c r="C581" s="223" t="s">
        <v>476</v>
      </c>
      <c r="D581" s="278">
        <f>SectorFlows!Z8</f>
        <v>210</v>
      </c>
      <c r="E581">
        <v>0</v>
      </c>
    </row>
    <row r="582" spans="1:5" x14ac:dyDescent="0.25">
      <c r="A582" t="str">
        <f t="shared" si="9"/>
        <v>2WNW-4WSW</v>
      </c>
      <c r="B582" s="223" t="s">
        <v>458</v>
      </c>
      <c r="C582" s="223" t="s">
        <v>476</v>
      </c>
      <c r="D582" s="278">
        <f>SectorFlows!Z9</f>
        <v>234</v>
      </c>
      <c r="E582">
        <v>0</v>
      </c>
    </row>
    <row r="583" spans="1:5" x14ac:dyDescent="0.25">
      <c r="A583" t="str">
        <f t="shared" si="9"/>
        <v>2W-4WSW</v>
      </c>
      <c r="B583" s="223" t="s">
        <v>47</v>
      </c>
      <c r="C583" s="223" t="s">
        <v>476</v>
      </c>
      <c r="D583" s="278">
        <f>SectorFlows!Z10</f>
        <v>492</v>
      </c>
      <c r="E583">
        <v>0</v>
      </c>
    </row>
    <row r="584" spans="1:5" x14ac:dyDescent="0.25">
      <c r="A584" t="str">
        <f t="shared" si="9"/>
        <v>2WSW-4WSW</v>
      </c>
      <c r="B584" s="223" t="s">
        <v>459</v>
      </c>
      <c r="C584" s="223" t="s">
        <v>476</v>
      </c>
      <c r="D584" s="278">
        <f>SectorFlows!Z11</f>
        <v>505</v>
      </c>
      <c r="E584">
        <v>25</v>
      </c>
    </row>
    <row r="585" spans="1:5" x14ac:dyDescent="0.25">
      <c r="A585" t="str">
        <f t="shared" si="9"/>
        <v>2SW-4WSW</v>
      </c>
      <c r="B585" s="223" t="s">
        <v>460</v>
      </c>
      <c r="C585" s="223" t="s">
        <v>476</v>
      </c>
      <c r="D585" s="278">
        <f>SectorFlows!Z12</f>
        <v>576</v>
      </c>
      <c r="E585">
        <v>5</v>
      </c>
    </row>
    <row r="586" spans="1:5" x14ac:dyDescent="0.25">
      <c r="A586" t="str">
        <f t="shared" si="9"/>
        <v>2S-4WSW</v>
      </c>
      <c r="B586" s="223" t="s">
        <v>49</v>
      </c>
      <c r="C586" s="223" t="s">
        <v>476</v>
      </c>
      <c r="D586" s="278">
        <f>SectorFlows!Z13</f>
        <v>315</v>
      </c>
      <c r="E586">
        <v>0</v>
      </c>
    </row>
    <row r="587" spans="1:5" x14ac:dyDescent="0.25">
      <c r="A587" t="str">
        <f t="shared" si="9"/>
        <v>3N-4WSW</v>
      </c>
      <c r="B587" s="223" t="s">
        <v>461</v>
      </c>
      <c r="C587" s="223" t="s">
        <v>476</v>
      </c>
      <c r="D587" s="278">
        <f>SectorFlows!Z14</f>
        <v>35</v>
      </c>
      <c r="E587">
        <v>0</v>
      </c>
    </row>
    <row r="588" spans="1:5" x14ac:dyDescent="0.25">
      <c r="A588" t="str">
        <f t="shared" si="9"/>
        <v>3NW-4WSW</v>
      </c>
      <c r="B588" s="223" t="s">
        <v>462</v>
      </c>
      <c r="C588" s="223" t="s">
        <v>476</v>
      </c>
      <c r="D588" s="278">
        <f>SectorFlows!Z15</f>
        <v>357</v>
      </c>
      <c r="E588">
        <v>5</v>
      </c>
    </row>
    <row r="589" spans="1:5" x14ac:dyDescent="0.25">
      <c r="A589" t="str">
        <f t="shared" si="9"/>
        <v>3WNW-4WSW</v>
      </c>
      <c r="B589" s="223" t="s">
        <v>463</v>
      </c>
      <c r="C589" s="223" t="s">
        <v>476</v>
      </c>
      <c r="D589" s="278">
        <f>SectorFlows!Z16</f>
        <v>1124</v>
      </c>
      <c r="E589">
        <v>175</v>
      </c>
    </row>
    <row r="590" spans="1:5" x14ac:dyDescent="0.25">
      <c r="A590" t="str">
        <f t="shared" si="9"/>
        <v>3W-4WSW</v>
      </c>
      <c r="B590" s="223" t="s">
        <v>464</v>
      </c>
      <c r="C590" s="223" t="s">
        <v>476</v>
      </c>
      <c r="D590" s="278">
        <f>SectorFlows!Z17</f>
        <v>1864</v>
      </c>
      <c r="E590">
        <v>375</v>
      </c>
    </row>
    <row r="591" spans="1:5" x14ac:dyDescent="0.25">
      <c r="A591" t="str">
        <f t="shared" si="9"/>
        <v>3WSW-4WSW</v>
      </c>
      <c r="B591" s="223" t="s">
        <v>465</v>
      </c>
      <c r="C591" s="223" t="s">
        <v>476</v>
      </c>
      <c r="D591" s="278">
        <f>SectorFlows!Z18</f>
        <v>7187</v>
      </c>
      <c r="E591">
        <v>6375</v>
      </c>
    </row>
    <row r="592" spans="1:5" x14ac:dyDescent="0.25">
      <c r="A592" t="str">
        <f t="shared" si="9"/>
        <v>3SW-4WSW</v>
      </c>
      <c r="B592" s="223" t="s">
        <v>466</v>
      </c>
      <c r="C592" s="223" t="s">
        <v>476</v>
      </c>
      <c r="D592" s="278">
        <f>SectorFlows!Z19</f>
        <v>480</v>
      </c>
      <c r="E592">
        <v>55</v>
      </c>
    </row>
    <row r="593" spans="1:5" x14ac:dyDescent="0.25">
      <c r="A593" t="str">
        <f t="shared" si="9"/>
        <v>3S-4WSW</v>
      </c>
      <c r="B593" s="223" t="s">
        <v>467</v>
      </c>
      <c r="C593" s="223" t="s">
        <v>476</v>
      </c>
      <c r="D593" s="278">
        <f>SectorFlows!Z20</f>
        <v>184</v>
      </c>
      <c r="E593">
        <v>0</v>
      </c>
    </row>
    <row r="594" spans="1:5" x14ac:dyDescent="0.25">
      <c r="A594" t="str">
        <f t="shared" si="9"/>
        <v>XWI-4WSW</v>
      </c>
      <c r="B594" s="223" t="s">
        <v>468</v>
      </c>
      <c r="C594" s="223" t="s">
        <v>476</v>
      </c>
      <c r="D594" s="278">
        <f>SectorFlows!Z21</f>
        <v>47</v>
      </c>
      <c r="E594">
        <v>0</v>
      </c>
    </row>
    <row r="595" spans="1:5" x14ac:dyDescent="0.25">
      <c r="A595" t="str">
        <f t="shared" si="9"/>
        <v>XIL-4WSW</v>
      </c>
      <c r="B595" s="223" t="s">
        <v>469</v>
      </c>
      <c r="C595" s="223" t="s">
        <v>476</v>
      </c>
      <c r="D595" s="278">
        <f>SectorFlows!Z22</f>
        <v>8712</v>
      </c>
      <c r="E595">
        <v>8845</v>
      </c>
    </row>
    <row r="596" spans="1:5" x14ac:dyDescent="0.25">
      <c r="A596" t="str">
        <f t="shared" si="9"/>
        <v>3IN-4WSW</v>
      </c>
      <c r="B596" s="223" t="s">
        <v>470</v>
      </c>
      <c r="C596" s="223" t="s">
        <v>476</v>
      </c>
      <c r="D596" s="278">
        <f>SectorFlows!Z23</f>
        <v>69</v>
      </c>
      <c r="E596">
        <v>0</v>
      </c>
    </row>
    <row r="597" spans="1:5" x14ac:dyDescent="0.25">
      <c r="A597" t="str">
        <f t="shared" si="9"/>
        <v>XIN-4WSW</v>
      </c>
      <c r="B597" s="223" t="s">
        <v>471</v>
      </c>
      <c r="C597" s="223" t="s">
        <v>476</v>
      </c>
      <c r="D597" s="278">
        <f>SectorFlows!Z24</f>
        <v>23</v>
      </c>
      <c r="E597">
        <v>0</v>
      </c>
    </row>
    <row r="598" spans="1:5" x14ac:dyDescent="0.25">
      <c r="A598" t="str">
        <f t="shared" si="9"/>
        <v>4NW-4WSW</v>
      </c>
      <c r="B598" s="223" t="s">
        <v>472</v>
      </c>
      <c r="C598" s="223" t="s">
        <v>476</v>
      </c>
      <c r="D598" s="278">
        <f>SectorFlows!Z25</f>
        <v>567</v>
      </c>
      <c r="E598">
        <v>95</v>
      </c>
    </row>
    <row r="599" spans="1:5" x14ac:dyDescent="0.25">
      <c r="A599" t="str">
        <f t="shared" si="9"/>
        <v>4N-4WSW</v>
      </c>
      <c r="B599" s="223" t="s">
        <v>473</v>
      </c>
      <c r="C599" s="223" t="s">
        <v>476</v>
      </c>
      <c r="D599" s="278">
        <f>SectorFlows!Z26</f>
        <v>34</v>
      </c>
      <c r="E599">
        <v>0</v>
      </c>
    </row>
    <row r="600" spans="1:5" x14ac:dyDescent="0.25">
      <c r="A600" t="str">
        <f t="shared" si="9"/>
        <v>4WNW-4WSW</v>
      </c>
      <c r="B600" s="223" t="s">
        <v>474</v>
      </c>
      <c r="C600" s="223" t="s">
        <v>476</v>
      </c>
      <c r="D600" s="278">
        <f>SectorFlows!Z27</f>
        <v>2382</v>
      </c>
      <c r="E600">
        <v>440</v>
      </c>
    </row>
    <row r="601" spans="1:5" x14ac:dyDescent="0.25">
      <c r="A601" t="str">
        <f t="shared" si="9"/>
        <v>4W-4WSW</v>
      </c>
      <c r="B601" s="223" t="s">
        <v>475</v>
      </c>
      <c r="C601" s="223" t="s">
        <v>476</v>
      </c>
      <c r="D601" s="278">
        <f>SectorFlows!Z28</f>
        <v>4567</v>
      </c>
      <c r="E601">
        <v>3460</v>
      </c>
    </row>
    <row r="602" spans="1:5" x14ac:dyDescent="0.25">
      <c r="A602" t="str">
        <f t="shared" si="9"/>
        <v>4WSW-4WSW</v>
      </c>
      <c r="B602" s="223" t="s">
        <v>476</v>
      </c>
      <c r="C602" s="223" t="s">
        <v>476</v>
      </c>
      <c r="D602" s="278">
        <f>SectorFlows!Z29</f>
        <v>54070</v>
      </c>
      <c r="E602">
        <v>55370</v>
      </c>
    </row>
    <row r="603" spans="1:5" x14ac:dyDescent="0.25">
      <c r="A603" t="str">
        <f t="shared" si="9"/>
        <v>4SW-4WSW</v>
      </c>
      <c r="B603" s="281" t="s">
        <v>477</v>
      </c>
      <c r="C603" s="223" t="s">
        <v>476</v>
      </c>
      <c r="D603" s="278">
        <f>SectorFlows!Z30</f>
        <v>3127</v>
      </c>
      <c r="E603">
        <v>2930</v>
      </c>
    </row>
    <row r="604" spans="1:5" x14ac:dyDescent="0.25">
      <c r="A604" t="str">
        <f t="shared" si="9"/>
        <v>1-4SW</v>
      </c>
      <c r="B604" s="280">
        <v>1</v>
      </c>
      <c r="C604" s="281" t="s">
        <v>477</v>
      </c>
      <c r="D604" s="278">
        <f>SectorFlows!AA6</f>
        <v>906</v>
      </c>
      <c r="E604">
        <v>10</v>
      </c>
    </row>
    <row r="605" spans="1:5" x14ac:dyDescent="0.25">
      <c r="A605" t="str">
        <f t="shared" si="9"/>
        <v>2N-4SW</v>
      </c>
      <c r="B605" s="223" t="s">
        <v>456</v>
      </c>
      <c r="C605" s="281" t="s">
        <v>477</v>
      </c>
      <c r="D605" s="278">
        <f>SectorFlows!AA7</f>
        <v>432</v>
      </c>
      <c r="E605">
        <v>10</v>
      </c>
    </row>
    <row r="606" spans="1:5" x14ac:dyDescent="0.25">
      <c r="A606" t="str">
        <f t="shared" si="9"/>
        <v>2NW-4SW</v>
      </c>
      <c r="B606" s="223" t="s">
        <v>457</v>
      </c>
      <c r="C606" s="281" t="s">
        <v>477</v>
      </c>
      <c r="D606" s="278">
        <f>SectorFlows!AA8</f>
        <v>487</v>
      </c>
      <c r="E606">
        <v>0</v>
      </c>
    </row>
    <row r="607" spans="1:5" x14ac:dyDescent="0.25">
      <c r="A607" t="str">
        <f t="shared" si="9"/>
        <v>2WNW-4SW</v>
      </c>
      <c r="B607" s="223" t="s">
        <v>458</v>
      </c>
      <c r="C607" s="281" t="s">
        <v>477</v>
      </c>
      <c r="D607" s="278">
        <f>SectorFlows!AA9</f>
        <v>269</v>
      </c>
      <c r="E607">
        <v>0</v>
      </c>
    </row>
    <row r="608" spans="1:5" x14ac:dyDescent="0.25">
      <c r="A608" t="str">
        <f t="shared" si="9"/>
        <v>2W-4SW</v>
      </c>
      <c r="B608" s="223" t="s">
        <v>47</v>
      </c>
      <c r="C608" s="281" t="s">
        <v>477</v>
      </c>
      <c r="D608" s="278">
        <f>SectorFlows!AA10</f>
        <v>516</v>
      </c>
      <c r="E608">
        <v>25</v>
      </c>
    </row>
    <row r="609" spans="1:5" x14ac:dyDescent="0.25">
      <c r="A609" t="str">
        <f t="shared" si="9"/>
        <v>2WSW-4SW</v>
      </c>
      <c r="B609" s="223" t="s">
        <v>459</v>
      </c>
      <c r="C609" s="281" t="s">
        <v>477</v>
      </c>
      <c r="D609" s="278">
        <f>SectorFlows!AA11</f>
        <v>1241</v>
      </c>
      <c r="E609">
        <v>50</v>
      </c>
    </row>
    <row r="610" spans="1:5" x14ac:dyDescent="0.25">
      <c r="A610" t="str">
        <f t="shared" si="9"/>
        <v>2SW-4SW</v>
      </c>
      <c r="B610" s="223" t="s">
        <v>460</v>
      </c>
      <c r="C610" s="281" t="s">
        <v>477</v>
      </c>
      <c r="D610" s="278">
        <f>SectorFlows!AA12</f>
        <v>2682</v>
      </c>
      <c r="E610">
        <v>245</v>
      </c>
    </row>
    <row r="611" spans="1:5" x14ac:dyDescent="0.25">
      <c r="A611" t="str">
        <f t="shared" si="9"/>
        <v>2S-4SW</v>
      </c>
      <c r="B611" s="223" t="s">
        <v>49</v>
      </c>
      <c r="C611" s="281" t="s">
        <v>477</v>
      </c>
      <c r="D611" s="278">
        <f>SectorFlows!AA13</f>
        <v>2884</v>
      </c>
      <c r="E611">
        <v>595</v>
      </c>
    </row>
    <row r="612" spans="1:5" x14ac:dyDescent="0.25">
      <c r="A612" t="str">
        <f t="shared" si="9"/>
        <v>3N-4SW</v>
      </c>
      <c r="B612" s="223" t="s">
        <v>461</v>
      </c>
      <c r="C612" s="281" t="s">
        <v>477</v>
      </c>
      <c r="D612" s="278">
        <f>SectorFlows!AA14</f>
        <v>25</v>
      </c>
      <c r="E612">
        <v>0</v>
      </c>
    </row>
    <row r="613" spans="1:5" x14ac:dyDescent="0.25">
      <c r="A613" t="str">
        <f t="shared" si="9"/>
        <v>3NW-4SW</v>
      </c>
      <c r="B613" s="223" t="s">
        <v>462</v>
      </c>
      <c r="C613" s="281" t="s">
        <v>477</v>
      </c>
      <c r="D613" s="278">
        <f>SectorFlows!AA15</f>
        <v>154</v>
      </c>
      <c r="E613">
        <v>5</v>
      </c>
    </row>
    <row r="614" spans="1:5" x14ac:dyDescent="0.25">
      <c r="A614" t="str">
        <f t="shared" si="9"/>
        <v>3WNW-4SW</v>
      </c>
      <c r="B614" s="223" t="s">
        <v>463</v>
      </c>
      <c r="C614" s="281" t="s">
        <v>477</v>
      </c>
      <c r="D614" s="278">
        <f>SectorFlows!AA16</f>
        <v>706</v>
      </c>
      <c r="E614">
        <v>10</v>
      </c>
    </row>
    <row r="615" spans="1:5" x14ac:dyDescent="0.25">
      <c r="A615" t="str">
        <f t="shared" si="9"/>
        <v>3W-4SW</v>
      </c>
      <c r="B615" s="223" t="s">
        <v>464</v>
      </c>
      <c r="C615" s="281" t="s">
        <v>477</v>
      </c>
      <c r="D615" s="278">
        <f>SectorFlows!AA17</f>
        <v>669</v>
      </c>
      <c r="E615">
        <v>100</v>
      </c>
    </row>
    <row r="616" spans="1:5" x14ac:dyDescent="0.25">
      <c r="A616" t="str">
        <f t="shared" si="9"/>
        <v>3WSW-4SW</v>
      </c>
      <c r="B616" s="223" t="s">
        <v>465</v>
      </c>
      <c r="C616" s="281" t="s">
        <v>477</v>
      </c>
      <c r="D616" s="278">
        <f>SectorFlows!AA18</f>
        <v>7955</v>
      </c>
      <c r="E616">
        <v>3480</v>
      </c>
    </row>
    <row r="617" spans="1:5" x14ac:dyDescent="0.25">
      <c r="A617" t="str">
        <f t="shared" si="9"/>
        <v>3SW-4SW</v>
      </c>
      <c r="B617" s="223" t="s">
        <v>466</v>
      </c>
      <c r="C617" s="281" t="s">
        <v>477</v>
      </c>
      <c r="D617" s="278">
        <f>SectorFlows!AA19</f>
        <v>10259</v>
      </c>
      <c r="E617">
        <v>9715</v>
      </c>
    </row>
    <row r="618" spans="1:5" x14ac:dyDescent="0.25">
      <c r="A618" t="str">
        <f t="shared" si="9"/>
        <v>3S-4SW</v>
      </c>
      <c r="B618" s="223" t="s">
        <v>467</v>
      </c>
      <c r="C618" s="281" t="s">
        <v>477</v>
      </c>
      <c r="D618" s="278">
        <f>SectorFlows!AA20</f>
        <v>5751</v>
      </c>
      <c r="E618">
        <v>5015</v>
      </c>
    </row>
    <row r="619" spans="1:5" x14ac:dyDescent="0.25">
      <c r="A619" t="str">
        <f t="shared" si="9"/>
        <v>XWI-4SW</v>
      </c>
      <c r="B619" s="223" t="s">
        <v>468</v>
      </c>
      <c r="C619" s="281" t="s">
        <v>477</v>
      </c>
      <c r="D619" s="278">
        <f>SectorFlows!AA21</f>
        <v>89</v>
      </c>
      <c r="E619">
        <v>0</v>
      </c>
    </row>
    <row r="620" spans="1:5" x14ac:dyDescent="0.25">
      <c r="A620" t="str">
        <f t="shared" si="9"/>
        <v>XIL-4SW</v>
      </c>
      <c r="B620" s="223" t="s">
        <v>469</v>
      </c>
      <c r="C620" s="281" t="s">
        <v>477</v>
      </c>
      <c r="D620" s="278">
        <f>SectorFlows!AA22</f>
        <v>10710</v>
      </c>
      <c r="E620">
        <v>10805</v>
      </c>
    </row>
    <row r="621" spans="1:5" x14ac:dyDescent="0.25">
      <c r="A621" t="str">
        <f t="shared" si="9"/>
        <v>3IN-4SW</v>
      </c>
      <c r="B621" s="223" t="s">
        <v>470</v>
      </c>
      <c r="C621" s="281" t="s">
        <v>477</v>
      </c>
      <c r="D621" s="278">
        <f>SectorFlows!AA23</f>
        <v>1682</v>
      </c>
      <c r="E621">
        <v>730</v>
      </c>
    </row>
    <row r="622" spans="1:5" x14ac:dyDescent="0.25">
      <c r="A622" t="str">
        <f t="shared" si="9"/>
        <v>XIN-4SW</v>
      </c>
      <c r="B622" s="223" t="s">
        <v>471</v>
      </c>
      <c r="C622" s="281" t="s">
        <v>477</v>
      </c>
      <c r="D622" s="278">
        <f>SectorFlows!AA24</f>
        <v>678</v>
      </c>
      <c r="E622">
        <v>290</v>
      </c>
    </row>
    <row r="623" spans="1:5" x14ac:dyDescent="0.25">
      <c r="A623" t="str">
        <f t="shared" si="9"/>
        <v>4NW-4SW</v>
      </c>
      <c r="B623" s="223" t="s">
        <v>472</v>
      </c>
      <c r="C623" s="281" t="s">
        <v>477</v>
      </c>
      <c r="D623" s="278">
        <f>SectorFlows!AA25</f>
        <v>271</v>
      </c>
      <c r="E623">
        <v>0</v>
      </c>
    </row>
    <row r="624" spans="1:5" x14ac:dyDescent="0.25">
      <c r="A624" t="str">
        <f t="shared" si="9"/>
        <v>4N-4SW</v>
      </c>
      <c r="B624" s="223" t="s">
        <v>473</v>
      </c>
      <c r="C624" s="281" t="s">
        <v>477</v>
      </c>
      <c r="D624" s="278">
        <f>SectorFlows!AA26</f>
        <v>119</v>
      </c>
      <c r="E624">
        <v>0</v>
      </c>
    </row>
    <row r="625" spans="1:5" x14ac:dyDescent="0.25">
      <c r="A625" t="str">
        <f t="shared" si="9"/>
        <v>4WNW-4SW</v>
      </c>
      <c r="B625" s="223" t="s">
        <v>474</v>
      </c>
      <c r="C625" s="281" t="s">
        <v>477</v>
      </c>
      <c r="D625" s="278">
        <f>SectorFlows!AA27</f>
        <v>155</v>
      </c>
      <c r="E625">
        <v>5</v>
      </c>
    </row>
    <row r="626" spans="1:5" x14ac:dyDescent="0.25">
      <c r="A626" t="str">
        <f t="shared" si="9"/>
        <v>4W-4SW</v>
      </c>
      <c r="B626" s="223" t="s">
        <v>475</v>
      </c>
      <c r="C626" s="281" t="s">
        <v>477</v>
      </c>
      <c r="D626" s="278">
        <f>SectorFlows!AA28</f>
        <v>262</v>
      </c>
      <c r="E626">
        <v>25</v>
      </c>
    </row>
    <row r="627" spans="1:5" x14ac:dyDescent="0.25">
      <c r="A627" t="str">
        <f t="shared" si="9"/>
        <v>4WSW-4SW</v>
      </c>
      <c r="B627" s="223" t="s">
        <v>476</v>
      </c>
      <c r="C627" s="281" t="s">
        <v>477</v>
      </c>
      <c r="D627" s="278">
        <f>SectorFlows!AA29</f>
        <v>3499</v>
      </c>
      <c r="E627">
        <v>2355</v>
      </c>
    </row>
    <row r="628" spans="1:5" x14ac:dyDescent="0.25">
      <c r="A628" t="str">
        <f t="shared" si="9"/>
        <v>4SW-4SW</v>
      </c>
      <c r="B628" s="281" t="s">
        <v>477</v>
      </c>
      <c r="C628" s="281" t="s">
        <v>477</v>
      </c>
      <c r="D628" s="278">
        <f>SectorFlows!AA30</f>
        <v>86453</v>
      </c>
      <c r="E628">
        <v>99860</v>
      </c>
    </row>
  </sheetData>
  <mergeCells count="1">
    <mergeCell ref="B1:C1"/>
  </mergeCells>
  <hyperlinks>
    <hyperlink ref="B1" location="Index!A1" display="Index"/>
  </hyperlinks>
  <pageMargins left="0.7" right="0.7" top="0.75" bottom="0.75" header="0.3" footer="0.3"/>
  <pageSetup paperSize="0" orientation="portrait" horizontalDpi="0" verticalDpi="0" copies="0"/>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BD119"/>
  <sheetViews>
    <sheetView zoomScale="80" zoomScaleNormal="80" workbookViewId="0">
      <pane ySplit="3" topLeftCell="A28" activePane="bottomLeft" state="frozen"/>
      <selection pane="bottomLeft" activeCell="H56" sqref="H56"/>
    </sheetView>
  </sheetViews>
  <sheetFormatPr defaultRowHeight="15" x14ac:dyDescent="0.25"/>
  <cols>
    <col min="1" max="1" width="2.140625" customWidth="1"/>
    <col min="2" max="2" width="10" customWidth="1"/>
    <col min="3" max="3" width="12.28515625" bestFit="1" customWidth="1"/>
    <col min="4" max="4" width="11.28515625" bestFit="1" customWidth="1"/>
    <col min="5" max="5" width="9.85546875" style="34" customWidth="1"/>
    <col min="6" max="6" width="9.5703125" customWidth="1"/>
    <col min="7" max="7" width="9.7109375" customWidth="1"/>
    <col min="8" max="8" width="11.28515625" bestFit="1" customWidth="1"/>
    <col min="9" max="9" width="10" customWidth="1"/>
    <col min="10" max="10" width="12.28515625" style="34" bestFit="1" customWidth="1"/>
    <col min="11" max="12" width="9.42578125" customWidth="1"/>
    <col min="13" max="13" width="10.42578125" customWidth="1"/>
    <col min="14" max="14" width="10.28515625" customWidth="1"/>
    <col min="15" max="15" width="9.42578125" customWidth="1"/>
    <col min="16" max="17" width="9.5703125" customWidth="1"/>
    <col min="18" max="23" width="12.28515625" bestFit="1" customWidth="1"/>
    <col min="24" max="26" width="11.28515625" bestFit="1" customWidth="1"/>
    <col min="27" max="27" width="12.28515625" bestFit="1" customWidth="1"/>
    <col min="28" max="28" width="11.28515625" bestFit="1" customWidth="1"/>
  </cols>
  <sheetData>
    <row r="1" spans="1:56" ht="23.25" x14ac:dyDescent="0.35">
      <c r="A1" s="372" t="s">
        <v>371</v>
      </c>
      <c r="B1" s="372"/>
    </row>
    <row r="2" spans="1:56" ht="18.75" x14ac:dyDescent="0.3">
      <c r="D2" s="380" t="s">
        <v>615</v>
      </c>
      <c r="E2" s="380"/>
      <c r="F2" s="380"/>
      <c r="AD2" s="59" t="s">
        <v>481</v>
      </c>
    </row>
    <row r="3" spans="1:56" ht="18.75" customHeight="1" x14ac:dyDescent="0.25">
      <c r="D3" t="b">
        <v>1</v>
      </c>
      <c r="F3" t="b">
        <v>1</v>
      </c>
    </row>
    <row r="4" spans="1:56" ht="23.25" x14ac:dyDescent="0.35">
      <c r="B4" s="232" t="s">
        <v>521</v>
      </c>
    </row>
    <row r="5" spans="1:56" ht="18.75" x14ac:dyDescent="0.3">
      <c r="B5" s="373" t="s">
        <v>454</v>
      </c>
      <c r="C5" s="375" t="s">
        <v>455</v>
      </c>
      <c r="D5" s="375"/>
      <c r="E5" s="375"/>
      <c r="F5" s="375"/>
      <c r="G5" s="375"/>
      <c r="H5" s="375"/>
      <c r="I5" s="375"/>
      <c r="J5" s="375"/>
      <c r="K5" s="375"/>
      <c r="L5" s="375"/>
      <c r="M5" s="375"/>
      <c r="N5" s="375"/>
      <c r="O5" s="375"/>
      <c r="P5" s="375"/>
      <c r="Q5" s="375"/>
      <c r="R5" s="375"/>
      <c r="S5" s="375"/>
      <c r="T5" s="375"/>
      <c r="U5" s="375"/>
      <c r="V5" s="376"/>
      <c r="W5" s="376"/>
      <c r="X5" s="376"/>
      <c r="Y5" s="376"/>
      <c r="Z5" s="379"/>
      <c r="AA5" s="257"/>
      <c r="AB5" s="377" t="s">
        <v>29</v>
      </c>
      <c r="AD5" s="373" t="s">
        <v>454</v>
      </c>
      <c r="AE5" s="375" t="s">
        <v>455</v>
      </c>
      <c r="AF5" s="375"/>
      <c r="AG5" s="375"/>
      <c r="AH5" s="375"/>
      <c r="AI5" s="375"/>
      <c r="AJ5" s="375"/>
      <c r="AK5" s="375"/>
      <c r="AL5" s="375"/>
      <c r="AM5" s="375"/>
      <c r="AN5" s="375"/>
      <c r="AO5" s="375"/>
      <c r="AP5" s="375"/>
      <c r="AQ5" s="375"/>
      <c r="AR5" s="375"/>
      <c r="AS5" s="375"/>
      <c r="AT5" s="375"/>
      <c r="AU5" s="375"/>
      <c r="AV5" s="375"/>
      <c r="AW5" s="375"/>
      <c r="AX5" s="376"/>
      <c r="AY5" s="376"/>
      <c r="AZ5" s="376"/>
      <c r="BA5" s="376"/>
      <c r="BB5" s="379"/>
      <c r="BC5" s="257"/>
      <c r="BD5" s="377" t="s">
        <v>29</v>
      </c>
    </row>
    <row r="6" spans="1:56" x14ac:dyDescent="0.25">
      <c r="B6" s="374"/>
      <c r="C6" s="220">
        <v>1</v>
      </c>
      <c r="D6" s="220" t="s">
        <v>456</v>
      </c>
      <c r="E6" s="220" t="s">
        <v>457</v>
      </c>
      <c r="F6" s="220" t="s">
        <v>458</v>
      </c>
      <c r="G6" s="220" t="s">
        <v>47</v>
      </c>
      <c r="H6" s="220" t="s">
        <v>459</v>
      </c>
      <c r="I6" s="220" t="s">
        <v>460</v>
      </c>
      <c r="J6" s="220" t="s">
        <v>49</v>
      </c>
      <c r="K6" s="220" t="s">
        <v>461</v>
      </c>
      <c r="L6" s="220" t="s">
        <v>462</v>
      </c>
      <c r="M6" s="220" t="s">
        <v>463</v>
      </c>
      <c r="N6" s="220" t="s">
        <v>464</v>
      </c>
      <c r="O6" s="220" t="s">
        <v>465</v>
      </c>
      <c r="P6" s="220" t="s">
        <v>466</v>
      </c>
      <c r="Q6" s="220" t="s">
        <v>467</v>
      </c>
      <c r="R6" s="220" t="s">
        <v>468</v>
      </c>
      <c r="S6" s="220" t="s">
        <v>469</v>
      </c>
      <c r="T6" s="220" t="s">
        <v>470</v>
      </c>
      <c r="U6" s="220" t="s">
        <v>471</v>
      </c>
      <c r="V6" s="221" t="s">
        <v>472</v>
      </c>
      <c r="W6" s="220" t="s">
        <v>473</v>
      </c>
      <c r="X6" s="220" t="s">
        <v>474</v>
      </c>
      <c r="Y6" s="220" t="s">
        <v>475</v>
      </c>
      <c r="Z6" s="222" t="s">
        <v>476</v>
      </c>
      <c r="AA6" s="222" t="s">
        <v>477</v>
      </c>
      <c r="AB6" s="378"/>
      <c r="AD6" s="374"/>
      <c r="AE6" s="220">
        <v>1</v>
      </c>
      <c r="AF6" s="220" t="s">
        <v>456</v>
      </c>
      <c r="AG6" s="220" t="s">
        <v>457</v>
      </c>
      <c r="AH6" s="220" t="s">
        <v>458</v>
      </c>
      <c r="AI6" s="220" t="s">
        <v>47</v>
      </c>
      <c r="AJ6" s="220" t="s">
        <v>459</v>
      </c>
      <c r="AK6" s="220" t="s">
        <v>460</v>
      </c>
      <c r="AL6" s="220" t="s">
        <v>49</v>
      </c>
      <c r="AM6" s="220" t="s">
        <v>461</v>
      </c>
      <c r="AN6" s="220" t="s">
        <v>462</v>
      </c>
      <c r="AO6" s="220" t="s">
        <v>463</v>
      </c>
      <c r="AP6" s="220" t="s">
        <v>464</v>
      </c>
      <c r="AQ6" s="220" t="s">
        <v>465</v>
      </c>
      <c r="AR6" s="220" t="s">
        <v>466</v>
      </c>
      <c r="AS6" s="220" t="s">
        <v>467</v>
      </c>
      <c r="AT6" s="220" t="s">
        <v>468</v>
      </c>
      <c r="AU6" s="220" t="s">
        <v>469</v>
      </c>
      <c r="AV6" s="220" t="s">
        <v>470</v>
      </c>
      <c r="AW6" s="220" t="s">
        <v>471</v>
      </c>
      <c r="AX6" s="221" t="s">
        <v>472</v>
      </c>
      <c r="AY6" s="220" t="s">
        <v>473</v>
      </c>
      <c r="AZ6" s="220" t="s">
        <v>474</v>
      </c>
      <c r="BA6" s="220" t="s">
        <v>475</v>
      </c>
      <c r="BB6" s="222" t="s">
        <v>476</v>
      </c>
      <c r="BC6" s="222" t="s">
        <v>477</v>
      </c>
      <c r="BD6" s="378"/>
    </row>
    <row r="7" spans="1:56" x14ac:dyDescent="0.25">
      <c r="B7" s="223">
        <v>1</v>
      </c>
      <c r="C7" s="224">
        <f>IF(AND($D$3,$F$3), SXS_Transit_temp!B3+SXS_Transit_temp!B29,IF(AND($D$3,NOT($F$3)), SXS_Transit_temp!B3,IF(AND(NOT($D$3),$F$3), SXS_Transit_temp!B29,0)))</f>
        <v>149371.14488000001</v>
      </c>
      <c r="D7" s="225">
        <f>IF(AND($D$3,$F$3), SXS_Transit_temp!C3+SXS_Transit_temp!C29,IF(AND($D$3,NOT($F$3)), SXS_Transit_temp!C3,IF(AND(NOT($D$3),$F$3), SXS_Transit_temp!C29,0)))</f>
        <v>165426.35223000002</v>
      </c>
      <c r="E7" s="225">
        <f>IF(AND($D$3,$F$3), SXS_Transit_temp!D3+SXS_Transit_temp!D29,IF(AND($D$3,NOT($F$3)), SXS_Transit_temp!D3,IF(AND(NOT($D$3),$F$3), SXS_Transit_temp!D29,0)))</f>
        <v>32941.764519999997</v>
      </c>
      <c r="F7" s="225">
        <f>IF(AND($D$3,$F$3), SXS_Transit_temp!E3+SXS_Transit_temp!E29,IF(AND($D$3,NOT($F$3)), SXS_Transit_temp!E3,IF(AND(NOT($D$3),$F$3), SXS_Transit_temp!E29,0)))</f>
        <v>7607.7515700000004</v>
      </c>
      <c r="G7" s="225">
        <f>IF(AND($D$3,$F$3), SXS_Transit_temp!F3+SXS_Transit_temp!F29,IF(AND($D$3,NOT($F$3)), SXS_Transit_temp!F3,IF(AND(NOT($D$3),$F$3), SXS_Transit_temp!F29,0)))</f>
        <v>25392.57661</v>
      </c>
      <c r="H7" s="225">
        <f>IF(AND($D$3,$F$3), SXS_Transit_temp!G3+SXS_Transit_temp!G29,IF(AND($D$3,NOT($F$3)), SXS_Transit_temp!G3,IF(AND(NOT($D$3),$F$3), SXS_Transit_temp!G29,0)))</f>
        <v>17602.273509999999</v>
      </c>
      <c r="I7" s="225">
        <f>IF(AND($D$3,$F$3), SXS_Transit_temp!H3+SXS_Transit_temp!H29,IF(AND($D$3,NOT($F$3)), SXS_Transit_temp!H3,IF(AND(NOT($D$3),$F$3), SXS_Transit_temp!H29,0)))</f>
        <v>17865.143459999999</v>
      </c>
      <c r="J7" s="225">
        <f>IF(AND($D$3,$F$3), SXS_Transit_temp!I3+SXS_Transit_temp!I29,IF(AND($D$3,NOT($F$3)), SXS_Transit_temp!I3,IF(AND(NOT($D$3),$F$3), SXS_Transit_temp!I29,0)))</f>
        <v>59051.003320000003</v>
      </c>
      <c r="K7" s="225">
        <f>IF(AND($D$3,$F$3), SXS_Transit_temp!J3+SXS_Transit_temp!J29,IF(AND($D$3,NOT($F$3)), SXS_Transit_temp!J3,IF(AND(NOT($D$3),$F$3), SXS_Transit_temp!J29,0)))</f>
        <v>16699.265920000002</v>
      </c>
      <c r="L7" s="225">
        <f>IF(AND($D$3,$F$3), SXS_Transit_temp!K3+SXS_Transit_temp!K29,IF(AND($D$3,NOT($F$3)), SXS_Transit_temp!K3,IF(AND(NOT($D$3),$F$3), SXS_Transit_temp!K29,0)))</f>
        <v>12243.632210000002</v>
      </c>
      <c r="M7" s="225">
        <f>IF(AND($D$3,$F$3), SXS_Transit_temp!L3+SXS_Transit_temp!L29,IF(AND($D$3,NOT($F$3)), SXS_Transit_temp!L3,IF(AND(NOT($D$3),$F$3), SXS_Transit_temp!L29,0)))</f>
        <v>16328.021359999999</v>
      </c>
      <c r="N7" s="225">
        <f>IF(AND($D$3,$F$3), SXS_Transit_temp!M3+SXS_Transit_temp!M29,IF(AND($D$3,NOT($F$3)), SXS_Transit_temp!M3,IF(AND(NOT($D$3),$F$3), SXS_Transit_temp!M29,0)))</f>
        <v>13277.59635</v>
      </c>
      <c r="O7" s="225">
        <f>IF(AND($D$3,$F$3), SXS_Transit_temp!N3+SXS_Transit_temp!N29,IF(AND($D$3,NOT($F$3)), SXS_Transit_temp!N3,IF(AND(NOT($D$3),$F$3), SXS_Transit_temp!N29,0)))</f>
        <v>44846.624839999997</v>
      </c>
      <c r="P7" s="225">
        <f>IF(AND($D$3,$F$3), SXS_Transit_temp!O3+SXS_Transit_temp!O29,IF(AND($D$3,NOT($F$3)), SXS_Transit_temp!O3,IF(AND(NOT($D$3),$F$3), SXS_Transit_temp!O29,0)))</f>
        <v>16298.991309999999</v>
      </c>
      <c r="Q7" s="225">
        <f>IF(AND($D$3,$F$3), SXS_Transit_temp!P3+SXS_Transit_temp!P29,IF(AND($D$3,NOT($F$3)), SXS_Transit_temp!P3,IF(AND(NOT($D$3),$F$3), SXS_Transit_temp!P29,0)))</f>
        <v>12537.72616</v>
      </c>
      <c r="R7" s="225">
        <f>IF(AND($D$3,$F$3), SXS_Transit_temp!Q3+SXS_Transit_temp!Q29,IF(AND($D$3,NOT($F$3)), SXS_Transit_temp!Q3,IF(AND(NOT($D$3),$F$3), SXS_Transit_temp!Q29,0)))</f>
        <v>0</v>
      </c>
      <c r="S7" s="225">
        <f>IF(AND($D$3,$F$3), SXS_Transit_temp!R3+SXS_Transit_temp!R29,IF(AND($D$3,NOT($F$3)), SXS_Transit_temp!R3,IF(AND(NOT($D$3),$F$3), SXS_Transit_temp!R29,0)))</f>
        <v>0</v>
      </c>
      <c r="T7" s="225">
        <f>IF(AND($D$3,$F$3), SXS_Transit_temp!S3+SXS_Transit_temp!S29,IF(AND($D$3,NOT($F$3)), SXS_Transit_temp!S3,IF(AND(NOT($D$3),$F$3), SXS_Transit_temp!S29,0)))</f>
        <v>139.98264</v>
      </c>
      <c r="U7" s="225">
        <f>IF(AND($D$3,$F$3), SXS_Transit_temp!T3+SXS_Transit_temp!T29,IF(AND($D$3,NOT($F$3)), SXS_Transit_temp!T3,IF(AND(NOT($D$3),$F$3), SXS_Transit_temp!T29,0)))</f>
        <v>0</v>
      </c>
      <c r="V7" s="225">
        <f>IF(AND($D$3,$F$3), SXS_Transit_temp!U3+SXS_Transit_temp!U29,IF(AND($D$3,NOT($F$3)), SXS_Transit_temp!U3,IF(AND(NOT($D$3),$F$3), SXS_Transit_temp!U29,0)))</f>
        <v>22867.49223</v>
      </c>
      <c r="W7" s="225">
        <f>IF(AND($D$3,$F$3), SXS_Transit_temp!V3+SXS_Transit_temp!V29,IF(AND($D$3,NOT($F$3)), SXS_Transit_temp!V3,IF(AND(NOT($D$3),$F$3), SXS_Transit_temp!V29,0)))</f>
        <v>13835.53541</v>
      </c>
      <c r="X7" s="225">
        <f>IF(AND($D$3,$F$3), SXS_Transit_temp!W3+SXS_Transit_temp!W29,IF(AND($D$3,NOT($F$3)), SXS_Transit_temp!W3,IF(AND(NOT($D$3),$F$3), SXS_Transit_temp!W29,0)))</f>
        <v>1164.2630200000001</v>
      </c>
      <c r="Y7" s="225">
        <f>IF(AND($D$3,$F$3), SXS_Transit_temp!X3+SXS_Transit_temp!X29,IF(AND($D$3,NOT($F$3)), SXS_Transit_temp!X3,IF(AND(NOT($D$3),$F$3), SXS_Transit_temp!X29,0)))</f>
        <v>6757.7532599999995</v>
      </c>
      <c r="Z7" s="225">
        <f>IF(AND($D$3,$F$3), SXS_Transit_temp!Y3+SXS_Transit_temp!Y29,IF(AND($D$3,NOT($F$3)), SXS_Transit_temp!Y3,IF(AND(NOT($D$3),$F$3), SXS_Transit_temp!Y29,0)))</f>
        <v>7395.0577899999998</v>
      </c>
      <c r="AA7" s="225">
        <f>IF(AND($D$3,$F$3), SXS_Transit_temp!Z3+SXS_Transit_temp!Z29,IF(AND($D$3,NOT($F$3)), SXS_Transit_temp!Z3,IF(AND(NOT($D$3),$F$3), SXS_Transit_temp!Z29,0)))</f>
        <v>13102.74128</v>
      </c>
      <c r="AB7" s="226">
        <f>SUM(C7:AA7)</f>
        <v>672752.69387999969</v>
      </c>
      <c r="AD7" s="223">
        <v>1</v>
      </c>
      <c r="AE7" s="233">
        <f>IF($AB7&gt;0,C7/$AB7,"")</f>
        <v>0.22202979822871383</v>
      </c>
      <c r="AF7" s="234">
        <f t="shared" ref="AF7:BC17" si="0">IF($AB7&gt;0,D7/$AB7,"")</f>
        <v>0.24589474517883902</v>
      </c>
      <c r="AG7" s="234">
        <f t="shared" si="0"/>
        <v>4.8965637476697924E-2</v>
      </c>
      <c r="AH7" s="234">
        <f t="shared" si="0"/>
        <v>1.1308392577550959E-2</v>
      </c>
      <c r="AI7" s="234">
        <f t="shared" si="0"/>
        <v>3.7744295698843126E-2</v>
      </c>
      <c r="AJ7" s="234">
        <f t="shared" si="0"/>
        <v>2.6164552992692665E-2</v>
      </c>
      <c r="AK7" s="234">
        <f t="shared" si="0"/>
        <v>2.6555290855790527E-2</v>
      </c>
      <c r="AL7" s="234">
        <f t="shared" si="0"/>
        <v>8.7775201581776277E-2</v>
      </c>
      <c r="AM7" s="234">
        <f t="shared" si="0"/>
        <v>2.4822295134471338E-2</v>
      </c>
      <c r="AN7" s="234">
        <f t="shared" si="0"/>
        <v>1.8199306106656668E-2</v>
      </c>
      <c r="AO7" s="234">
        <f t="shared" si="0"/>
        <v>2.4270465965480714E-2</v>
      </c>
      <c r="AP7" s="234">
        <f t="shared" si="0"/>
        <v>1.9736221751002536E-2</v>
      </c>
      <c r="AQ7" s="234">
        <f t="shared" si="0"/>
        <v>6.6661382775524622E-2</v>
      </c>
      <c r="AR7" s="234">
        <f t="shared" si="0"/>
        <v>2.4227314819057842E-2</v>
      </c>
      <c r="AS7" s="234">
        <f t="shared" si="0"/>
        <v>1.8636456269971294E-2</v>
      </c>
      <c r="AT7" s="234">
        <f t="shared" si="0"/>
        <v>0</v>
      </c>
      <c r="AU7" s="234">
        <f t="shared" si="0"/>
        <v>0</v>
      </c>
      <c r="AV7" s="234">
        <f t="shared" si="0"/>
        <v>2.080744399441513E-4</v>
      </c>
      <c r="AW7" s="234">
        <f t="shared" si="0"/>
        <v>0</v>
      </c>
      <c r="AX7" s="234">
        <f t="shared" si="0"/>
        <v>3.3990933723528016E-2</v>
      </c>
      <c r="AY7" s="234">
        <f t="shared" si="0"/>
        <v>2.0565559284802915E-2</v>
      </c>
      <c r="AZ7" s="234">
        <f t="shared" si="0"/>
        <v>1.7305958498438538E-3</v>
      </c>
      <c r="BA7" s="234">
        <f t="shared" si="0"/>
        <v>1.0044929320201866E-2</v>
      </c>
      <c r="BB7" s="234">
        <f t="shared" si="0"/>
        <v>1.0992238094730055E-2</v>
      </c>
      <c r="BC7" s="234">
        <f t="shared" si="0"/>
        <v>1.9476311873880305E-2</v>
      </c>
      <c r="BD7" s="237">
        <f>SUM(AE7:BC7)</f>
        <v>1.0000000000000004</v>
      </c>
    </row>
    <row r="8" spans="1:56" x14ac:dyDescent="0.25">
      <c r="B8" s="223" t="s">
        <v>456</v>
      </c>
      <c r="C8" s="225">
        <f>IF(AND($D$3,$F$3), SXS_Transit_temp!B4+SXS_Transit_temp!B30,IF(AND($D$3,NOT($F$3)), SXS_Transit_temp!B4,IF(AND(NOT($D$3),$F$3), SXS_Transit_temp!B30,0)))</f>
        <v>167285.17942999999</v>
      </c>
      <c r="D8" s="224">
        <f>IF(AND($D$3,$F$3), SXS_Transit_temp!C4+SXS_Transit_temp!C30,IF(AND($D$3,NOT($F$3)), SXS_Transit_temp!C4,IF(AND(NOT($D$3),$F$3), SXS_Transit_temp!C30,0)))</f>
        <v>111866.53511</v>
      </c>
      <c r="E8" s="225">
        <f>IF(AND($D$3,$F$3), SXS_Transit_temp!D4+SXS_Transit_temp!D30,IF(AND($D$3,NOT($F$3)), SXS_Transit_temp!D4,IF(AND(NOT($D$3),$F$3), SXS_Transit_temp!D30,0)))</f>
        <v>7646.3892899999992</v>
      </c>
      <c r="F8" s="225">
        <f>IF(AND($D$3,$F$3), SXS_Transit_temp!E4+SXS_Transit_temp!E30,IF(AND($D$3,NOT($F$3)), SXS_Transit_temp!E4,IF(AND(NOT($D$3),$F$3), SXS_Transit_temp!E30,0)))</f>
        <v>1251.41058</v>
      </c>
      <c r="G8" s="225">
        <f>IF(AND($D$3,$F$3), SXS_Transit_temp!F4+SXS_Transit_temp!F30,IF(AND($D$3,NOT($F$3)), SXS_Transit_temp!F4,IF(AND(NOT($D$3),$F$3), SXS_Transit_temp!F30,0)))</f>
        <v>943.12501999999995</v>
      </c>
      <c r="H8" s="225">
        <f>IF(AND($D$3,$F$3), SXS_Transit_temp!G4+SXS_Transit_temp!G30,IF(AND($D$3,NOT($F$3)), SXS_Transit_temp!G4,IF(AND(NOT($D$3),$F$3), SXS_Transit_temp!G30,0)))</f>
        <v>3511.1117199999999</v>
      </c>
      <c r="I8" s="225">
        <f>IF(AND($D$3,$F$3), SXS_Transit_temp!H4+SXS_Transit_temp!H30,IF(AND($D$3,NOT($F$3)), SXS_Transit_temp!H4,IF(AND(NOT($D$3),$F$3), SXS_Transit_temp!H30,0)))</f>
        <v>833.77491999999995</v>
      </c>
      <c r="J8" s="225">
        <f>IF(AND($D$3,$F$3), SXS_Transit_temp!I4+SXS_Transit_temp!I30,IF(AND($D$3,NOT($F$3)), SXS_Transit_temp!I4,IF(AND(NOT($D$3),$F$3), SXS_Transit_temp!I30,0)))</f>
        <v>7455.8145500000001</v>
      </c>
      <c r="K8" s="225">
        <f>IF(AND($D$3,$F$3), SXS_Transit_temp!J4+SXS_Transit_temp!J30,IF(AND($D$3,NOT($F$3)), SXS_Transit_temp!J4,IF(AND(NOT($D$3),$F$3), SXS_Transit_temp!J30,0)))</f>
        <v>1631.28628</v>
      </c>
      <c r="L8" s="225">
        <f>IF(AND($D$3,$F$3), SXS_Transit_temp!K4+SXS_Transit_temp!K30,IF(AND($D$3,NOT($F$3)), SXS_Transit_temp!K4,IF(AND(NOT($D$3),$F$3), SXS_Transit_temp!K30,0)))</f>
        <v>84.101759999999999</v>
      </c>
      <c r="M8" s="225">
        <f>IF(AND($D$3,$F$3), SXS_Transit_temp!L4+SXS_Transit_temp!L30,IF(AND($D$3,NOT($F$3)), SXS_Transit_temp!L4,IF(AND(NOT($D$3),$F$3), SXS_Transit_temp!L30,0)))</f>
        <v>0</v>
      </c>
      <c r="N8" s="225">
        <f>IF(AND($D$3,$F$3), SXS_Transit_temp!M4+SXS_Transit_temp!M30,IF(AND($D$3,NOT($F$3)), SXS_Transit_temp!M4,IF(AND(NOT($D$3),$F$3), SXS_Transit_temp!M30,0)))</f>
        <v>2694.4718499999999</v>
      </c>
      <c r="O8" s="225">
        <f>IF(AND($D$3,$F$3), SXS_Transit_temp!N4+SXS_Transit_temp!N30,IF(AND($D$3,NOT($F$3)), SXS_Transit_temp!N4,IF(AND(NOT($D$3),$F$3), SXS_Transit_temp!N30,0)))</f>
        <v>7.5394199999999998</v>
      </c>
      <c r="P8" s="225">
        <f>IF(AND($D$3,$F$3), SXS_Transit_temp!O4+SXS_Transit_temp!O30,IF(AND($D$3,NOT($F$3)), SXS_Transit_temp!O4,IF(AND(NOT($D$3),$F$3), SXS_Transit_temp!O30,0)))</f>
        <v>0</v>
      </c>
      <c r="Q8" s="225">
        <f>IF(AND($D$3,$F$3), SXS_Transit_temp!P4+SXS_Transit_temp!P30,IF(AND($D$3,NOT($F$3)), SXS_Transit_temp!P4,IF(AND(NOT($D$3),$F$3), SXS_Transit_temp!P30,0)))</f>
        <v>0</v>
      </c>
      <c r="R8" s="225">
        <f>IF(AND($D$3,$F$3), SXS_Transit_temp!Q4+SXS_Transit_temp!Q30,IF(AND($D$3,NOT($F$3)), SXS_Transit_temp!Q4,IF(AND(NOT($D$3),$F$3), SXS_Transit_temp!Q30,0)))</f>
        <v>0</v>
      </c>
      <c r="S8" s="225">
        <f>IF(AND($D$3,$F$3), SXS_Transit_temp!R4+SXS_Transit_temp!R30,IF(AND($D$3,NOT($F$3)), SXS_Transit_temp!R4,IF(AND(NOT($D$3),$F$3), SXS_Transit_temp!R30,0)))</f>
        <v>0</v>
      </c>
      <c r="T8" s="225">
        <f>IF(AND($D$3,$F$3), SXS_Transit_temp!S4+SXS_Transit_temp!S30,IF(AND($D$3,NOT($F$3)), SXS_Transit_temp!S4,IF(AND(NOT($D$3),$F$3), SXS_Transit_temp!S30,0)))</f>
        <v>149.19650999999999</v>
      </c>
      <c r="U8" s="225">
        <f>IF(AND($D$3,$F$3), SXS_Transit_temp!T4+SXS_Transit_temp!T30,IF(AND($D$3,NOT($F$3)), SXS_Transit_temp!T4,IF(AND(NOT($D$3),$F$3), SXS_Transit_temp!T30,0)))</f>
        <v>0</v>
      </c>
      <c r="V8" s="225">
        <f>IF(AND($D$3,$F$3), SXS_Transit_temp!U4+SXS_Transit_temp!U30,IF(AND($D$3,NOT($F$3)), SXS_Transit_temp!U4,IF(AND(NOT($D$3),$F$3), SXS_Transit_temp!U30,0)))</f>
        <v>816.58906999999999</v>
      </c>
      <c r="W8" s="225">
        <f>IF(AND($D$3,$F$3), SXS_Transit_temp!V4+SXS_Transit_temp!V30,IF(AND($D$3,NOT($F$3)), SXS_Transit_temp!V4,IF(AND(NOT($D$3),$F$3), SXS_Transit_temp!V30,0)))</f>
        <v>740.51200999999992</v>
      </c>
      <c r="X8" s="225">
        <f>IF(AND($D$3,$F$3), SXS_Transit_temp!W4+SXS_Transit_temp!W30,IF(AND($D$3,NOT($F$3)), SXS_Transit_temp!W4,IF(AND(NOT($D$3),$F$3), SXS_Transit_temp!W30,0)))</f>
        <v>0</v>
      </c>
      <c r="Y8" s="225">
        <f>IF(AND($D$3,$F$3), SXS_Transit_temp!X4+SXS_Transit_temp!X30,IF(AND($D$3,NOT($F$3)), SXS_Transit_temp!X4,IF(AND(NOT($D$3),$F$3), SXS_Transit_temp!X30,0)))</f>
        <v>0</v>
      </c>
      <c r="Z8" s="225">
        <f>IF(AND($D$3,$F$3), SXS_Transit_temp!Y4+SXS_Transit_temp!Y30,IF(AND($D$3,NOT($F$3)), SXS_Transit_temp!Y4,IF(AND(NOT($D$3),$F$3), SXS_Transit_temp!Y30,0)))</f>
        <v>0</v>
      </c>
      <c r="AA8" s="225">
        <f>IF(AND($D$3,$F$3), SXS_Transit_temp!Z4+SXS_Transit_temp!Z30,IF(AND($D$3,NOT($F$3)), SXS_Transit_temp!Z4,IF(AND(NOT($D$3),$F$3), SXS_Transit_temp!Z30,0)))</f>
        <v>0</v>
      </c>
      <c r="AB8" s="226">
        <f t="shared" ref="AB8:AB31" si="1">SUM(C8:AA8)</f>
        <v>306917.0375199999</v>
      </c>
      <c r="AD8" s="223" t="s">
        <v>456</v>
      </c>
      <c r="AE8" s="234">
        <f t="shared" ref="AE8:AT31" si="2">IF($AB8&gt;0,C8/$AB8,"")</f>
        <v>0.54505015681672297</v>
      </c>
      <c r="AF8" s="233">
        <f t="shared" si="0"/>
        <v>0.36448460474505379</v>
      </c>
      <c r="AG8" s="234">
        <f t="shared" si="0"/>
        <v>2.4913538042024567E-2</v>
      </c>
      <c r="AH8" s="234">
        <f t="shared" si="0"/>
        <v>4.0773578101491129E-3</v>
      </c>
      <c r="AI8" s="234">
        <f t="shared" si="0"/>
        <v>3.0728988772366289E-3</v>
      </c>
      <c r="AJ8" s="234">
        <f t="shared" si="0"/>
        <v>1.143993747747289E-2</v>
      </c>
      <c r="AK8" s="234">
        <f t="shared" si="0"/>
        <v>2.7166133452127695E-3</v>
      </c>
      <c r="AL8" s="234">
        <f t="shared" si="0"/>
        <v>2.4292605618266305E-2</v>
      </c>
      <c r="AM8" s="234">
        <f t="shared" si="0"/>
        <v>5.3150724155992778E-3</v>
      </c>
      <c r="AN8" s="234">
        <f t="shared" si="0"/>
        <v>2.7402115138205581E-4</v>
      </c>
      <c r="AO8" s="234">
        <f t="shared" si="0"/>
        <v>0</v>
      </c>
      <c r="AP8" s="234">
        <f t="shared" si="0"/>
        <v>8.7791537145422167E-3</v>
      </c>
      <c r="AQ8" s="234">
        <f t="shared" si="0"/>
        <v>2.4565009687703316E-5</v>
      </c>
      <c r="AR8" s="234">
        <f t="shared" si="0"/>
        <v>0</v>
      </c>
      <c r="AS8" s="234">
        <f t="shared" si="0"/>
        <v>0</v>
      </c>
      <c r="AT8" s="234">
        <f t="shared" si="0"/>
        <v>0</v>
      </c>
      <c r="AU8" s="234">
        <f t="shared" si="0"/>
        <v>0</v>
      </c>
      <c r="AV8" s="234">
        <f t="shared" si="0"/>
        <v>4.8611348267128303E-4</v>
      </c>
      <c r="AW8" s="234">
        <f t="shared" si="0"/>
        <v>0</v>
      </c>
      <c r="AX8" s="234">
        <f t="shared" si="0"/>
        <v>2.6606182458892916E-3</v>
      </c>
      <c r="AY8" s="234">
        <f t="shared" si="0"/>
        <v>2.4127432480894623E-3</v>
      </c>
      <c r="AZ8" s="234">
        <f t="shared" si="0"/>
        <v>0</v>
      </c>
      <c r="BA8" s="234">
        <f t="shared" si="0"/>
        <v>0</v>
      </c>
      <c r="BB8" s="234">
        <f t="shared" si="0"/>
        <v>0</v>
      </c>
      <c r="BC8" s="234">
        <f t="shared" si="0"/>
        <v>0</v>
      </c>
      <c r="BD8" s="237">
        <f t="shared" ref="BD8:BD32" si="3">SUM(AE8:BC8)</f>
        <v>1.0000000000000002</v>
      </c>
    </row>
    <row r="9" spans="1:56" x14ac:dyDescent="0.25">
      <c r="B9" s="223" t="s">
        <v>457</v>
      </c>
      <c r="C9" s="225">
        <f>IF(AND($D$3,$F$3), SXS_Transit_temp!B5+SXS_Transit_temp!B31,IF(AND($D$3,NOT($F$3)), SXS_Transit_temp!B5,IF(AND(NOT($D$3),$F$3), SXS_Transit_temp!B31,0)))</f>
        <v>36400.906219999997</v>
      </c>
      <c r="D9" s="225">
        <f>IF(AND($D$3,$F$3), SXS_Transit_temp!C5+SXS_Transit_temp!C31,IF(AND($D$3,NOT($F$3)), SXS_Transit_temp!C5,IF(AND(NOT($D$3),$F$3), SXS_Transit_temp!C31,0)))</f>
        <v>8973.9066700000003</v>
      </c>
      <c r="E9" s="224">
        <f>IF(AND($D$3,$F$3), SXS_Transit_temp!D5+SXS_Transit_temp!D31,IF(AND($D$3,NOT($F$3)), SXS_Transit_temp!D5,IF(AND(NOT($D$3),$F$3), SXS_Transit_temp!D31,0)))</f>
        <v>12944.776309999999</v>
      </c>
      <c r="F9" s="225">
        <f>IF(AND($D$3,$F$3), SXS_Transit_temp!E5+SXS_Transit_temp!E31,IF(AND($D$3,NOT($F$3)), SXS_Transit_temp!E5,IF(AND(NOT($D$3),$F$3), SXS_Transit_temp!E31,0)))</f>
        <v>5208.1118000000006</v>
      </c>
      <c r="G9" s="225">
        <f>IF(AND($D$3,$F$3), SXS_Transit_temp!F5+SXS_Transit_temp!F31,IF(AND($D$3,NOT($F$3)), SXS_Transit_temp!F5,IF(AND(NOT($D$3),$F$3), SXS_Transit_temp!F31,0)))</f>
        <v>2507.4098199999999</v>
      </c>
      <c r="H9" s="225">
        <f>IF(AND($D$3,$F$3), SXS_Transit_temp!G5+SXS_Transit_temp!G31,IF(AND($D$3,NOT($F$3)), SXS_Transit_temp!G5,IF(AND(NOT($D$3),$F$3), SXS_Transit_temp!G31,0)))</f>
        <v>764.92197999999996</v>
      </c>
      <c r="I9" s="225">
        <f>IF(AND($D$3,$F$3), SXS_Transit_temp!H5+SXS_Transit_temp!H31,IF(AND($D$3,NOT($F$3)), SXS_Transit_temp!H5,IF(AND(NOT($D$3),$F$3), SXS_Transit_temp!H31,0)))</f>
        <v>1257.4212200000002</v>
      </c>
      <c r="J9" s="225">
        <f>IF(AND($D$3,$F$3), SXS_Transit_temp!I5+SXS_Transit_temp!I31,IF(AND($D$3,NOT($F$3)), SXS_Transit_temp!I5,IF(AND(NOT($D$3),$F$3), SXS_Transit_temp!I31,0)))</f>
        <v>716.83851000000004</v>
      </c>
      <c r="K9" s="225">
        <f>IF(AND($D$3,$F$3), SXS_Transit_temp!J5+SXS_Transit_temp!J31,IF(AND($D$3,NOT($F$3)), SXS_Transit_temp!J5,IF(AND(NOT($D$3),$F$3), SXS_Transit_temp!J31,0)))</f>
        <v>0</v>
      </c>
      <c r="L9" s="225">
        <f>IF(AND($D$3,$F$3), SXS_Transit_temp!K5+SXS_Transit_temp!K31,IF(AND($D$3,NOT($F$3)), SXS_Transit_temp!K5,IF(AND(NOT($D$3),$F$3), SXS_Transit_temp!K31,0)))</f>
        <v>0</v>
      </c>
      <c r="M9" s="225">
        <f>IF(AND($D$3,$F$3), SXS_Transit_temp!L5+SXS_Transit_temp!L31,IF(AND($D$3,NOT($F$3)), SXS_Transit_temp!L5,IF(AND(NOT($D$3),$F$3), SXS_Transit_temp!L31,0)))</f>
        <v>3452.93849</v>
      </c>
      <c r="N9" s="225">
        <f>IF(AND($D$3,$F$3), SXS_Transit_temp!M5+SXS_Transit_temp!M31,IF(AND($D$3,NOT($F$3)), SXS_Transit_temp!M5,IF(AND(NOT($D$3),$F$3), SXS_Transit_temp!M31,0)))</f>
        <v>0</v>
      </c>
      <c r="O9" s="225">
        <f>IF(AND($D$3,$F$3), SXS_Transit_temp!N5+SXS_Transit_temp!N31,IF(AND($D$3,NOT($F$3)), SXS_Transit_temp!N5,IF(AND(NOT($D$3),$F$3), SXS_Transit_temp!N31,0)))</f>
        <v>0</v>
      </c>
      <c r="P9" s="225">
        <f>IF(AND($D$3,$F$3), SXS_Transit_temp!O5+SXS_Transit_temp!O31,IF(AND($D$3,NOT($F$3)), SXS_Transit_temp!O5,IF(AND(NOT($D$3),$F$3), SXS_Transit_temp!O31,0)))</f>
        <v>0</v>
      </c>
      <c r="Q9" s="225">
        <f>IF(AND($D$3,$F$3), SXS_Transit_temp!P5+SXS_Transit_temp!P31,IF(AND($D$3,NOT($F$3)), SXS_Transit_temp!P5,IF(AND(NOT($D$3),$F$3), SXS_Transit_temp!P31,0)))</f>
        <v>0</v>
      </c>
      <c r="R9" s="225">
        <f>IF(AND($D$3,$F$3), SXS_Transit_temp!Q5+SXS_Transit_temp!Q31,IF(AND($D$3,NOT($F$3)), SXS_Transit_temp!Q5,IF(AND(NOT($D$3),$F$3), SXS_Transit_temp!Q31,0)))</f>
        <v>0</v>
      </c>
      <c r="S9" s="225">
        <f>IF(AND($D$3,$F$3), SXS_Transit_temp!R5+SXS_Transit_temp!R31,IF(AND($D$3,NOT($F$3)), SXS_Transit_temp!R5,IF(AND(NOT($D$3),$F$3), SXS_Transit_temp!R31,0)))</f>
        <v>0</v>
      </c>
      <c r="T9" s="225">
        <f>IF(AND($D$3,$F$3), SXS_Transit_temp!S5+SXS_Transit_temp!S31,IF(AND($D$3,NOT($F$3)), SXS_Transit_temp!S5,IF(AND(NOT($D$3),$F$3), SXS_Transit_temp!S31,0)))</f>
        <v>1586.5626600000001</v>
      </c>
      <c r="U9" s="225">
        <f>IF(AND($D$3,$F$3), SXS_Transit_temp!T5+SXS_Transit_temp!T31,IF(AND($D$3,NOT($F$3)), SXS_Transit_temp!T5,IF(AND(NOT($D$3),$F$3), SXS_Transit_temp!T31,0)))</f>
        <v>0</v>
      </c>
      <c r="V9" s="225">
        <f>IF(AND($D$3,$F$3), SXS_Transit_temp!U5+SXS_Transit_temp!U31,IF(AND($D$3,NOT($F$3)), SXS_Transit_temp!U5,IF(AND(NOT($D$3),$F$3), SXS_Transit_temp!U31,0)))</f>
        <v>978.88949000000002</v>
      </c>
      <c r="W9" s="225">
        <f>IF(AND($D$3,$F$3), SXS_Transit_temp!V5+SXS_Transit_temp!V31,IF(AND($D$3,NOT($F$3)), SXS_Transit_temp!V5,IF(AND(NOT($D$3),$F$3), SXS_Transit_temp!V31,0)))</f>
        <v>0</v>
      </c>
      <c r="X9" s="225">
        <f>IF(AND($D$3,$F$3), SXS_Transit_temp!W5+SXS_Transit_temp!W31,IF(AND($D$3,NOT($F$3)), SXS_Transit_temp!W5,IF(AND(NOT($D$3),$F$3), SXS_Transit_temp!W31,0)))</f>
        <v>0</v>
      </c>
      <c r="Y9" s="225">
        <f>IF(AND($D$3,$F$3), SXS_Transit_temp!X5+SXS_Transit_temp!X31,IF(AND($D$3,NOT($F$3)), SXS_Transit_temp!X5,IF(AND(NOT($D$3),$F$3), SXS_Transit_temp!X31,0)))</f>
        <v>0</v>
      </c>
      <c r="Z9" s="225">
        <f>IF(AND($D$3,$F$3), SXS_Transit_temp!Y5+SXS_Transit_temp!Y31,IF(AND($D$3,NOT($F$3)), SXS_Transit_temp!Y5,IF(AND(NOT($D$3),$F$3), SXS_Transit_temp!Y31,0)))</f>
        <v>0</v>
      </c>
      <c r="AA9" s="225">
        <f>IF(AND($D$3,$F$3), SXS_Transit_temp!Z5+SXS_Transit_temp!Z31,IF(AND($D$3,NOT($F$3)), SXS_Transit_temp!Z5,IF(AND(NOT($D$3),$F$3), SXS_Transit_temp!Z31,0)))</f>
        <v>0</v>
      </c>
      <c r="AB9" s="226">
        <f t="shared" si="1"/>
        <v>74792.683170000004</v>
      </c>
      <c r="AD9" s="223" t="s">
        <v>457</v>
      </c>
      <c r="AE9" s="234">
        <f t="shared" si="2"/>
        <v>0.48669073868178481</v>
      </c>
      <c r="AF9" s="234">
        <f t="shared" si="0"/>
        <v>0.11998375094529985</v>
      </c>
      <c r="AG9" s="233">
        <f t="shared" si="0"/>
        <v>0.17307543681214344</v>
      </c>
      <c r="AH9" s="234">
        <f t="shared" si="0"/>
        <v>6.9633974598320325E-2</v>
      </c>
      <c r="AI9" s="234">
        <f t="shared" si="0"/>
        <v>3.3524801006280032E-2</v>
      </c>
      <c r="AJ9" s="234">
        <f t="shared" si="0"/>
        <v>1.0227230092298879E-2</v>
      </c>
      <c r="AK9" s="234">
        <f t="shared" si="0"/>
        <v>1.6812088652334415E-2</v>
      </c>
      <c r="AL9" s="234">
        <f t="shared" si="0"/>
        <v>9.584340066670187E-3</v>
      </c>
      <c r="AM9" s="234">
        <f t="shared" si="0"/>
        <v>0</v>
      </c>
      <c r="AN9" s="234">
        <f t="shared" si="0"/>
        <v>0</v>
      </c>
      <c r="AO9" s="234">
        <f t="shared" si="0"/>
        <v>4.6166795248562542E-2</v>
      </c>
      <c r="AP9" s="234">
        <f t="shared" si="0"/>
        <v>0</v>
      </c>
      <c r="AQ9" s="234">
        <f t="shared" si="0"/>
        <v>0</v>
      </c>
      <c r="AR9" s="234">
        <f t="shared" si="0"/>
        <v>0</v>
      </c>
      <c r="AS9" s="234">
        <f t="shared" si="0"/>
        <v>0</v>
      </c>
      <c r="AT9" s="234">
        <f t="shared" si="0"/>
        <v>0</v>
      </c>
      <c r="AU9" s="234">
        <f t="shared" si="0"/>
        <v>0</v>
      </c>
      <c r="AV9" s="234">
        <f t="shared" si="0"/>
        <v>2.1212805755261153E-2</v>
      </c>
      <c r="AW9" s="234">
        <f t="shared" si="0"/>
        <v>0</v>
      </c>
      <c r="AX9" s="234">
        <f t="shared" si="0"/>
        <v>1.3088038141044272E-2</v>
      </c>
      <c r="AY9" s="234">
        <f t="shared" si="0"/>
        <v>0</v>
      </c>
      <c r="AZ9" s="234">
        <f t="shared" si="0"/>
        <v>0</v>
      </c>
      <c r="BA9" s="234">
        <f t="shared" si="0"/>
        <v>0</v>
      </c>
      <c r="BB9" s="234">
        <f t="shared" si="0"/>
        <v>0</v>
      </c>
      <c r="BC9" s="234">
        <f t="shared" si="0"/>
        <v>0</v>
      </c>
      <c r="BD9" s="237">
        <f t="shared" si="3"/>
        <v>1</v>
      </c>
    </row>
    <row r="10" spans="1:56" x14ac:dyDescent="0.25">
      <c r="B10" s="223" t="s">
        <v>458</v>
      </c>
      <c r="C10" s="225">
        <f>IF(AND($D$3,$F$3), SXS_Transit_temp!B6+SXS_Transit_temp!B32,IF(AND($D$3,NOT($F$3)), SXS_Transit_temp!B6,IF(AND(NOT($D$3),$F$3), SXS_Transit_temp!B32,0)))</f>
        <v>8765.55141</v>
      </c>
      <c r="D10" s="225">
        <f>IF(AND($D$3,$F$3), SXS_Transit_temp!C6+SXS_Transit_temp!C32,IF(AND($D$3,NOT($F$3)), SXS_Transit_temp!C6,IF(AND(NOT($D$3),$F$3), SXS_Transit_temp!C32,0)))</f>
        <v>2246.5859599999999</v>
      </c>
      <c r="E10" s="225">
        <f>IF(AND($D$3,$F$3), SXS_Transit_temp!D6+SXS_Transit_temp!D32,IF(AND($D$3,NOT($F$3)), SXS_Transit_temp!D6,IF(AND(NOT($D$3),$F$3), SXS_Transit_temp!D32,0)))</f>
        <v>6333.3351300000004</v>
      </c>
      <c r="F10" s="224">
        <f>IF(AND($D$3,$F$3), SXS_Transit_temp!E6+SXS_Transit_temp!E32,IF(AND($D$3,NOT($F$3)), SXS_Transit_temp!E6,IF(AND(NOT($D$3),$F$3), SXS_Transit_temp!E32,0)))</f>
        <v>5220.1986800000004</v>
      </c>
      <c r="G10" s="225">
        <f>IF(AND($D$3,$F$3), SXS_Transit_temp!F6+SXS_Transit_temp!F32,IF(AND($D$3,NOT($F$3)), SXS_Transit_temp!F6,IF(AND(NOT($D$3),$F$3), SXS_Transit_temp!F32,0)))</f>
        <v>3140.9503299999997</v>
      </c>
      <c r="H10" s="225">
        <f>IF(AND($D$3,$F$3), SXS_Transit_temp!G6+SXS_Transit_temp!G32,IF(AND($D$3,NOT($F$3)), SXS_Transit_temp!G6,IF(AND(NOT($D$3),$F$3), SXS_Transit_temp!G32,0)))</f>
        <v>0</v>
      </c>
      <c r="I10" s="225">
        <f>IF(AND($D$3,$F$3), SXS_Transit_temp!H6+SXS_Transit_temp!H32,IF(AND($D$3,NOT($F$3)), SXS_Transit_temp!H6,IF(AND(NOT($D$3),$F$3), SXS_Transit_temp!H32,0)))</f>
        <v>0</v>
      </c>
      <c r="J10" s="225">
        <f>IF(AND($D$3,$F$3), SXS_Transit_temp!I6+SXS_Transit_temp!I32,IF(AND($D$3,NOT($F$3)), SXS_Transit_temp!I6,IF(AND(NOT($D$3),$F$3), SXS_Transit_temp!I32,0)))</f>
        <v>1251.89384</v>
      </c>
      <c r="K10" s="225">
        <f>IF(AND($D$3,$F$3), SXS_Transit_temp!J6+SXS_Transit_temp!J32,IF(AND($D$3,NOT($F$3)), SXS_Transit_temp!J6,IF(AND(NOT($D$3),$F$3), SXS_Transit_temp!J32,0)))</f>
        <v>0</v>
      </c>
      <c r="L10" s="225">
        <f>IF(AND($D$3,$F$3), SXS_Transit_temp!K6+SXS_Transit_temp!K32,IF(AND($D$3,NOT($F$3)), SXS_Transit_temp!K6,IF(AND(NOT($D$3),$F$3), SXS_Transit_temp!K32,0)))</f>
        <v>1520.7427700000001</v>
      </c>
      <c r="M10" s="225">
        <f>IF(AND($D$3,$F$3), SXS_Transit_temp!L6+SXS_Transit_temp!L32,IF(AND($D$3,NOT($F$3)), SXS_Transit_temp!L6,IF(AND(NOT($D$3),$F$3), SXS_Transit_temp!L32,0)))</f>
        <v>0</v>
      </c>
      <c r="N10" s="225">
        <f>IF(AND($D$3,$F$3), SXS_Transit_temp!M6+SXS_Transit_temp!M32,IF(AND($D$3,NOT($F$3)), SXS_Transit_temp!M6,IF(AND(NOT($D$3),$F$3), SXS_Transit_temp!M32,0)))</f>
        <v>160.27674999999999</v>
      </c>
      <c r="O10" s="225">
        <f>IF(AND($D$3,$F$3), SXS_Transit_temp!N6+SXS_Transit_temp!N32,IF(AND($D$3,NOT($F$3)), SXS_Transit_temp!N6,IF(AND(NOT($D$3),$F$3), SXS_Transit_temp!N32,0)))</f>
        <v>241.44669999999999</v>
      </c>
      <c r="P10" s="225">
        <f>IF(AND($D$3,$F$3), SXS_Transit_temp!O6+SXS_Transit_temp!O32,IF(AND($D$3,NOT($F$3)), SXS_Transit_temp!O6,IF(AND(NOT($D$3),$F$3), SXS_Transit_temp!O32,0)))</f>
        <v>243.99341000000001</v>
      </c>
      <c r="Q10" s="225">
        <f>IF(AND($D$3,$F$3), SXS_Transit_temp!P6+SXS_Transit_temp!P32,IF(AND($D$3,NOT($F$3)), SXS_Transit_temp!P6,IF(AND(NOT($D$3),$F$3), SXS_Transit_temp!P32,0)))</f>
        <v>0</v>
      </c>
      <c r="R10" s="225">
        <f>IF(AND($D$3,$F$3), SXS_Transit_temp!Q6+SXS_Transit_temp!Q32,IF(AND($D$3,NOT($F$3)), SXS_Transit_temp!Q6,IF(AND(NOT($D$3),$F$3), SXS_Transit_temp!Q32,0)))</f>
        <v>0</v>
      </c>
      <c r="S10" s="225">
        <f>IF(AND($D$3,$F$3), SXS_Transit_temp!R6+SXS_Transit_temp!R32,IF(AND($D$3,NOT($F$3)), SXS_Transit_temp!R6,IF(AND(NOT($D$3),$F$3), SXS_Transit_temp!R32,0)))</f>
        <v>0</v>
      </c>
      <c r="T10" s="225">
        <f>IF(AND($D$3,$F$3), SXS_Transit_temp!S6+SXS_Transit_temp!S32,IF(AND($D$3,NOT($F$3)), SXS_Transit_temp!S6,IF(AND(NOT($D$3),$F$3), SXS_Transit_temp!S32,0)))</f>
        <v>0</v>
      </c>
      <c r="U10" s="225">
        <f>IF(AND($D$3,$F$3), SXS_Transit_temp!T6+SXS_Transit_temp!T32,IF(AND($D$3,NOT($F$3)), SXS_Transit_temp!T6,IF(AND(NOT($D$3),$F$3), SXS_Transit_temp!T32,0)))</f>
        <v>0</v>
      </c>
      <c r="V10" s="225">
        <f>IF(AND($D$3,$F$3), SXS_Transit_temp!U6+SXS_Transit_temp!U32,IF(AND($D$3,NOT($F$3)), SXS_Transit_temp!U6,IF(AND(NOT($D$3),$F$3), SXS_Transit_temp!U32,0)))</f>
        <v>139.71608000000001</v>
      </c>
      <c r="W10" s="225">
        <f>IF(AND($D$3,$F$3), SXS_Transit_temp!V6+SXS_Transit_temp!V32,IF(AND($D$3,NOT($F$3)), SXS_Transit_temp!V6,IF(AND(NOT($D$3),$F$3), SXS_Transit_temp!V32,0)))</f>
        <v>0</v>
      </c>
      <c r="X10" s="225">
        <f>IF(AND($D$3,$F$3), SXS_Transit_temp!W6+SXS_Transit_temp!W32,IF(AND($D$3,NOT($F$3)), SXS_Transit_temp!W6,IF(AND(NOT($D$3),$F$3), SXS_Transit_temp!W32,0)))</f>
        <v>36.45082</v>
      </c>
      <c r="Y10" s="225">
        <f>IF(AND($D$3,$F$3), SXS_Transit_temp!X6+SXS_Transit_temp!X32,IF(AND($D$3,NOT($F$3)), SXS_Transit_temp!X6,IF(AND(NOT($D$3),$F$3), SXS_Transit_temp!X32,0)))</f>
        <v>0</v>
      </c>
      <c r="Z10" s="225">
        <f>IF(AND($D$3,$F$3), SXS_Transit_temp!Y6+SXS_Transit_temp!Y32,IF(AND($D$3,NOT($F$3)), SXS_Transit_temp!Y6,IF(AND(NOT($D$3),$F$3), SXS_Transit_temp!Y32,0)))</f>
        <v>0</v>
      </c>
      <c r="AA10" s="225">
        <f>IF(AND($D$3,$F$3), SXS_Transit_temp!Z6+SXS_Transit_temp!Z32,IF(AND($D$3,NOT($F$3)), SXS_Transit_temp!Z6,IF(AND(NOT($D$3),$F$3), SXS_Transit_temp!Z32,0)))</f>
        <v>0</v>
      </c>
      <c r="AB10" s="226">
        <f t="shared" si="1"/>
        <v>29301.141879999999</v>
      </c>
      <c r="AD10" s="223" t="s">
        <v>458</v>
      </c>
      <c r="AE10" s="234">
        <f t="shared" si="2"/>
        <v>0.29915391850250994</v>
      </c>
      <c r="AF10" s="234">
        <f t="shared" si="0"/>
        <v>7.6672300663253201E-2</v>
      </c>
      <c r="AG10" s="234">
        <f t="shared" si="0"/>
        <v>0.21614635893500544</v>
      </c>
      <c r="AH10" s="233">
        <f t="shared" si="0"/>
        <v>0.17815683434382254</v>
      </c>
      <c r="AI10" s="234">
        <f t="shared" si="0"/>
        <v>0.10719549234167934</v>
      </c>
      <c r="AJ10" s="234">
        <f t="shared" si="0"/>
        <v>0</v>
      </c>
      <c r="AK10" s="234">
        <f t="shared" si="0"/>
        <v>0</v>
      </c>
      <c r="AL10" s="234">
        <f t="shared" si="0"/>
        <v>4.2725087135750899E-2</v>
      </c>
      <c r="AM10" s="234">
        <f t="shared" si="0"/>
        <v>0</v>
      </c>
      <c r="AN10" s="234">
        <f t="shared" si="0"/>
        <v>5.1900460952274671E-2</v>
      </c>
      <c r="AO10" s="234">
        <f t="shared" si="0"/>
        <v>0</v>
      </c>
      <c r="AP10" s="234">
        <f t="shared" si="0"/>
        <v>5.469983069478929E-3</v>
      </c>
      <c r="AQ10" s="234">
        <f t="shared" si="0"/>
        <v>8.2401805700549717E-3</v>
      </c>
      <c r="AR10" s="234">
        <f t="shared" si="0"/>
        <v>8.3270956128348676E-3</v>
      </c>
      <c r="AS10" s="234">
        <f t="shared" si="0"/>
        <v>0</v>
      </c>
      <c r="AT10" s="234">
        <f t="shared" si="0"/>
        <v>0</v>
      </c>
      <c r="AU10" s="234">
        <f t="shared" si="0"/>
        <v>0</v>
      </c>
      <c r="AV10" s="234">
        <f t="shared" si="0"/>
        <v>0</v>
      </c>
      <c r="AW10" s="234">
        <f t="shared" si="0"/>
        <v>0</v>
      </c>
      <c r="AX10" s="234">
        <f t="shared" si="0"/>
        <v>4.7682810646832033E-3</v>
      </c>
      <c r="AY10" s="234">
        <f t="shared" si="0"/>
        <v>0</v>
      </c>
      <c r="AZ10" s="234">
        <f t="shared" si="0"/>
        <v>1.2440068086520594E-3</v>
      </c>
      <c r="BA10" s="234">
        <f t="shared" si="0"/>
        <v>0</v>
      </c>
      <c r="BB10" s="234">
        <f t="shared" si="0"/>
        <v>0</v>
      </c>
      <c r="BC10" s="234">
        <f t="shared" si="0"/>
        <v>0</v>
      </c>
      <c r="BD10" s="237">
        <f t="shared" si="3"/>
        <v>0.99999999999999989</v>
      </c>
    </row>
    <row r="11" spans="1:56" x14ac:dyDescent="0.25">
      <c r="B11" s="223" t="s">
        <v>47</v>
      </c>
      <c r="C11" s="225">
        <f>IF(AND($D$3,$F$3), SXS_Transit_temp!B7+SXS_Transit_temp!B33,IF(AND($D$3,NOT($F$3)), SXS_Transit_temp!B7,IF(AND(NOT($D$3),$F$3), SXS_Transit_temp!B33,0)))</f>
        <v>30198.048999999999</v>
      </c>
      <c r="D11" s="225">
        <f>IF(AND($D$3,$F$3), SXS_Transit_temp!C7+SXS_Transit_temp!C33,IF(AND($D$3,NOT($F$3)), SXS_Transit_temp!C7,IF(AND(NOT($D$3),$F$3), SXS_Transit_temp!C33,0)))</f>
        <v>1699.25559</v>
      </c>
      <c r="E11" s="225">
        <f>IF(AND($D$3,$F$3), SXS_Transit_temp!D7+SXS_Transit_temp!D33,IF(AND($D$3,NOT($F$3)), SXS_Transit_temp!D7,IF(AND(NOT($D$3),$F$3), SXS_Transit_temp!D33,0)))</f>
        <v>4908.7822099999994</v>
      </c>
      <c r="F11" s="225">
        <f>IF(AND($D$3,$F$3), SXS_Transit_temp!E7+SXS_Transit_temp!E33,IF(AND($D$3,NOT($F$3)), SXS_Transit_temp!E7,IF(AND(NOT($D$3),$F$3), SXS_Transit_temp!E33,0)))</f>
        <v>2103.2061599999997</v>
      </c>
      <c r="G11" s="224">
        <f>IF(AND($D$3,$F$3), SXS_Transit_temp!F7+SXS_Transit_temp!F33,IF(AND($D$3,NOT($F$3)), SXS_Transit_temp!F7,IF(AND(NOT($D$3),$F$3), SXS_Transit_temp!F33,0)))</f>
        <v>9671.7292500000003</v>
      </c>
      <c r="H11" s="225">
        <f>IF(AND($D$3,$F$3), SXS_Transit_temp!G7+SXS_Transit_temp!G33,IF(AND($D$3,NOT($F$3)), SXS_Transit_temp!G7,IF(AND(NOT($D$3),$F$3), SXS_Transit_temp!G33,0)))</f>
        <v>2181.8469500000001</v>
      </c>
      <c r="I11" s="225">
        <f>IF(AND($D$3,$F$3), SXS_Transit_temp!H7+SXS_Transit_temp!H33,IF(AND($D$3,NOT($F$3)), SXS_Transit_temp!H7,IF(AND(NOT($D$3),$F$3), SXS_Transit_temp!H33,0)))</f>
        <v>24.02957</v>
      </c>
      <c r="J11" s="225">
        <f>IF(AND($D$3,$F$3), SXS_Transit_temp!I7+SXS_Transit_temp!I33,IF(AND($D$3,NOT($F$3)), SXS_Transit_temp!I7,IF(AND(NOT($D$3),$F$3), SXS_Transit_temp!I33,0)))</f>
        <v>4711.6301400000002</v>
      </c>
      <c r="K11" s="225">
        <f>IF(AND($D$3,$F$3), SXS_Transit_temp!J7+SXS_Transit_temp!J33,IF(AND($D$3,NOT($F$3)), SXS_Transit_temp!J7,IF(AND(NOT($D$3),$F$3), SXS_Transit_temp!J33,0)))</f>
        <v>0</v>
      </c>
      <c r="L11" s="225">
        <f>IF(AND($D$3,$F$3), SXS_Transit_temp!K7+SXS_Transit_temp!K33,IF(AND($D$3,NOT($F$3)), SXS_Transit_temp!K7,IF(AND(NOT($D$3),$F$3), SXS_Transit_temp!K33,0)))</f>
        <v>0</v>
      </c>
      <c r="M11" s="225">
        <f>IF(AND($D$3,$F$3), SXS_Transit_temp!L7+SXS_Transit_temp!L33,IF(AND($D$3,NOT($F$3)), SXS_Transit_temp!L7,IF(AND(NOT($D$3),$F$3), SXS_Transit_temp!L33,0)))</f>
        <v>449.85316</v>
      </c>
      <c r="N11" s="225">
        <f>IF(AND($D$3,$F$3), SXS_Transit_temp!M7+SXS_Transit_temp!M33,IF(AND($D$3,NOT($F$3)), SXS_Transit_temp!M7,IF(AND(NOT($D$3),$F$3), SXS_Transit_temp!M33,0)))</f>
        <v>625.11752000000001</v>
      </c>
      <c r="O11" s="225">
        <f>IF(AND($D$3,$F$3), SXS_Transit_temp!N7+SXS_Transit_temp!N33,IF(AND($D$3,NOT($F$3)), SXS_Transit_temp!N7,IF(AND(NOT($D$3),$F$3), SXS_Transit_temp!N33,0)))</f>
        <v>71.896770000000004</v>
      </c>
      <c r="P11" s="225">
        <f>IF(AND($D$3,$F$3), SXS_Transit_temp!O7+SXS_Transit_temp!O33,IF(AND($D$3,NOT($F$3)), SXS_Transit_temp!O7,IF(AND(NOT($D$3),$F$3), SXS_Transit_temp!O33,0)))</f>
        <v>191.37289000000001</v>
      </c>
      <c r="Q11" s="225">
        <f>IF(AND($D$3,$F$3), SXS_Transit_temp!P7+SXS_Transit_temp!P33,IF(AND($D$3,NOT($F$3)), SXS_Transit_temp!P7,IF(AND(NOT($D$3),$F$3), SXS_Transit_temp!P33,0)))</f>
        <v>0</v>
      </c>
      <c r="R11" s="225">
        <f>IF(AND($D$3,$F$3), SXS_Transit_temp!Q7+SXS_Transit_temp!Q33,IF(AND($D$3,NOT($F$3)), SXS_Transit_temp!Q7,IF(AND(NOT($D$3),$F$3), SXS_Transit_temp!Q33,0)))</f>
        <v>0</v>
      </c>
      <c r="S11" s="225">
        <f>IF(AND($D$3,$F$3), SXS_Transit_temp!R7+SXS_Transit_temp!R33,IF(AND($D$3,NOT($F$3)), SXS_Transit_temp!R7,IF(AND(NOT($D$3),$F$3), SXS_Transit_temp!R33,0)))</f>
        <v>0</v>
      </c>
      <c r="T11" s="225">
        <f>IF(AND($D$3,$F$3), SXS_Transit_temp!S7+SXS_Transit_temp!S33,IF(AND($D$3,NOT($F$3)), SXS_Transit_temp!S7,IF(AND(NOT($D$3),$F$3), SXS_Transit_temp!S33,0)))</f>
        <v>0</v>
      </c>
      <c r="U11" s="225">
        <f>IF(AND($D$3,$F$3), SXS_Transit_temp!T7+SXS_Transit_temp!T33,IF(AND($D$3,NOT($F$3)), SXS_Transit_temp!T7,IF(AND(NOT($D$3),$F$3), SXS_Transit_temp!T33,0)))</f>
        <v>0</v>
      </c>
      <c r="V11" s="225">
        <f>IF(AND($D$3,$F$3), SXS_Transit_temp!U7+SXS_Transit_temp!U33,IF(AND($D$3,NOT($F$3)), SXS_Transit_temp!U7,IF(AND(NOT($D$3),$F$3), SXS_Transit_temp!U33,0)))</f>
        <v>1328.2579800000001</v>
      </c>
      <c r="W11" s="225">
        <f>IF(AND($D$3,$F$3), SXS_Transit_temp!V7+SXS_Transit_temp!V33,IF(AND($D$3,NOT($F$3)), SXS_Transit_temp!V7,IF(AND(NOT($D$3),$F$3), SXS_Transit_temp!V33,0)))</f>
        <v>0</v>
      </c>
      <c r="X11" s="225">
        <f>IF(AND($D$3,$F$3), SXS_Transit_temp!W7+SXS_Transit_temp!W33,IF(AND($D$3,NOT($F$3)), SXS_Transit_temp!W7,IF(AND(NOT($D$3),$F$3), SXS_Transit_temp!W33,0)))</f>
        <v>0</v>
      </c>
      <c r="Y11" s="225">
        <f>IF(AND($D$3,$F$3), SXS_Transit_temp!X7+SXS_Transit_temp!X33,IF(AND($D$3,NOT($F$3)), SXS_Transit_temp!X7,IF(AND(NOT($D$3),$F$3), SXS_Transit_temp!X33,0)))</f>
        <v>0</v>
      </c>
      <c r="Z11" s="225">
        <f>IF(AND($D$3,$F$3), SXS_Transit_temp!Y7+SXS_Transit_temp!Y33,IF(AND($D$3,NOT($F$3)), SXS_Transit_temp!Y7,IF(AND(NOT($D$3),$F$3), SXS_Transit_temp!Y33,0)))</f>
        <v>0</v>
      </c>
      <c r="AA11" s="225">
        <f>IF(AND($D$3,$F$3), SXS_Transit_temp!Z7+SXS_Transit_temp!Z33,IF(AND($D$3,NOT($F$3)), SXS_Transit_temp!Z7,IF(AND(NOT($D$3),$F$3), SXS_Transit_temp!Z33,0)))</f>
        <v>0</v>
      </c>
      <c r="AB11" s="226">
        <f t="shared" si="1"/>
        <v>58165.027189999993</v>
      </c>
      <c r="AD11" s="223" t="s">
        <v>47</v>
      </c>
      <c r="AE11" s="234">
        <f t="shared" si="2"/>
        <v>0.5191787996824283</v>
      </c>
      <c r="AF11" s="234">
        <f t="shared" si="0"/>
        <v>2.9214386584042448E-2</v>
      </c>
      <c r="AG11" s="234">
        <f t="shared" si="0"/>
        <v>8.4394049949725464E-2</v>
      </c>
      <c r="AH11" s="234">
        <f t="shared" si="0"/>
        <v>3.6159291271879487E-2</v>
      </c>
      <c r="AI11" s="233">
        <f t="shared" si="0"/>
        <v>0.16628083433033811</v>
      </c>
      <c r="AJ11" s="234">
        <f t="shared" si="0"/>
        <v>3.7511320038978911E-2</v>
      </c>
      <c r="AK11" s="234">
        <f t="shared" si="0"/>
        <v>4.1312746096560369E-4</v>
      </c>
      <c r="AL11" s="234">
        <f t="shared" si="0"/>
        <v>8.1004520544779288E-2</v>
      </c>
      <c r="AM11" s="234">
        <f t="shared" si="0"/>
        <v>0</v>
      </c>
      <c r="AN11" s="234">
        <f t="shared" si="0"/>
        <v>0</v>
      </c>
      <c r="AO11" s="234">
        <f t="shared" si="0"/>
        <v>7.7340832065722976E-3</v>
      </c>
      <c r="AP11" s="234">
        <f t="shared" si="0"/>
        <v>1.0747308996487036E-2</v>
      </c>
      <c r="AQ11" s="234">
        <f t="shared" si="0"/>
        <v>1.2360824618055167E-3</v>
      </c>
      <c r="AR11" s="234">
        <f t="shared" si="0"/>
        <v>3.290171074361704E-3</v>
      </c>
      <c r="AS11" s="234">
        <f t="shared" si="0"/>
        <v>0</v>
      </c>
      <c r="AT11" s="234">
        <f t="shared" si="0"/>
        <v>0</v>
      </c>
      <c r="AU11" s="234">
        <f t="shared" si="0"/>
        <v>0</v>
      </c>
      <c r="AV11" s="234">
        <f t="shared" si="0"/>
        <v>0</v>
      </c>
      <c r="AW11" s="234">
        <f t="shared" si="0"/>
        <v>0</v>
      </c>
      <c r="AX11" s="234">
        <f t="shared" si="0"/>
        <v>2.2836024397635983E-2</v>
      </c>
      <c r="AY11" s="234">
        <f t="shared" si="0"/>
        <v>0</v>
      </c>
      <c r="AZ11" s="234">
        <f t="shared" si="0"/>
        <v>0</v>
      </c>
      <c r="BA11" s="234">
        <f t="shared" si="0"/>
        <v>0</v>
      </c>
      <c r="BB11" s="234">
        <f t="shared" si="0"/>
        <v>0</v>
      </c>
      <c r="BC11" s="234">
        <f t="shared" si="0"/>
        <v>0</v>
      </c>
      <c r="BD11" s="237">
        <f t="shared" si="3"/>
        <v>1</v>
      </c>
    </row>
    <row r="12" spans="1:56" x14ac:dyDescent="0.25">
      <c r="B12" s="223" t="s">
        <v>459</v>
      </c>
      <c r="C12" s="225">
        <f>IF(AND($D$3,$F$3), SXS_Transit_temp!B8+SXS_Transit_temp!B34,IF(AND($D$3,NOT($F$3)), SXS_Transit_temp!B8,IF(AND(NOT($D$3),$F$3), SXS_Transit_temp!B34,0)))</f>
        <v>16585.572509999998</v>
      </c>
      <c r="D12" s="225">
        <f>IF(AND($D$3,$F$3), SXS_Transit_temp!C8+SXS_Transit_temp!C34,IF(AND($D$3,NOT($F$3)), SXS_Transit_temp!C8,IF(AND(NOT($D$3),$F$3), SXS_Transit_temp!C34,0)))</f>
        <v>2392.2621300000001</v>
      </c>
      <c r="E12" s="225">
        <f>IF(AND($D$3,$F$3), SXS_Transit_temp!D8+SXS_Transit_temp!D34,IF(AND($D$3,NOT($F$3)), SXS_Transit_temp!D8,IF(AND(NOT($D$3),$F$3), SXS_Transit_temp!D34,0)))</f>
        <v>552.02536999999995</v>
      </c>
      <c r="F12" s="225">
        <f>IF(AND($D$3,$F$3), SXS_Transit_temp!E8+SXS_Transit_temp!E34,IF(AND($D$3,NOT($F$3)), SXS_Transit_temp!E8,IF(AND(NOT($D$3),$F$3), SXS_Transit_temp!E34,0)))</f>
        <v>0</v>
      </c>
      <c r="G12" s="225">
        <f>IF(AND($D$3,$F$3), SXS_Transit_temp!F8+SXS_Transit_temp!F34,IF(AND($D$3,NOT($F$3)), SXS_Transit_temp!F8,IF(AND(NOT($D$3),$F$3), SXS_Transit_temp!F34,0)))</f>
        <v>1155.80107</v>
      </c>
      <c r="H12" s="224">
        <f>IF(AND($D$3,$F$3), SXS_Transit_temp!G8+SXS_Transit_temp!G34,IF(AND($D$3,NOT($F$3)), SXS_Transit_temp!G8,IF(AND(NOT($D$3),$F$3), SXS_Transit_temp!G34,0)))</f>
        <v>17772.34346</v>
      </c>
      <c r="I12" s="225">
        <f>IF(AND($D$3,$F$3), SXS_Transit_temp!H8+SXS_Transit_temp!H34,IF(AND($D$3,NOT($F$3)), SXS_Transit_temp!H8,IF(AND(NOT($D$3),$F$3), SXS_Transit_temp!H34,0)))</f>
        <v>681.28498999999999</v>
      </c>
      <c r="J12" s="225">
        <f>IF(AND($D$3,$F$3), SXS_Transit_temp!I8+SXS_Transit_temp!I34,IF(AND($D$3,NOT($F$3)), SXS_Transit_temp!I8,IF(AND(NOT($D$3),$F$3), SXS_Transit_temp!I34,0)))</f>
        <v>169.56994</v>
      </c>
      <c r="K12" s="225">
        <f>IF(AND($D$3,$F$3), SXS_Transit_temp!J8+SXS_Transit_temp!J34,IF(AND($D$3,NOT($F$3)), SXS_Transit_temp!J8,IF(AND(NOT($D$3),$F$3), SXS_Transit_temp!J34,0)))</f>
        <v>0</v>
      </c>
      <c r="L12" s="225">
        <f>IF(AND($D$3,$F$3), SXS_Transit_temp!K8+SXS_Transit_temp!K34,IF(AND($D$3,NOT($F$3)), SXS_Transit_temp!K8,IF(AND(NOT($D$3),$F$3), SXS_Transit_temp!K34,0)))</f>
        <v>0</v>
      </c>
      <c r="M12" s="225">
        <f>IF(AND($D$3,$F$3), SXS_Transit_temp!L8+SXS_Transit_temp!L34,IF(AND($D$3,NOT($F$3)), SXS_Transit_temp!L8,IF(AND(NOT($D$3),$F$3), SXS_Transit_temp!L34,0)))</f>
        <v>0</v>
      </c>
      <c r="N12" s="225">
        <f>IF(AND($D$3,$F$3), SXS_Transit_temp!M8+SXS_Transit_temp!M34,IF(AND($D$3,NOT($F$3)), SXS_Transit_temp!M8,IF(AND(NOT($D$3),$F$3), SXS_Transit_temp!M34,0)))</f>
        <v>0</v>
      </c>
      <c r="O12" s="225">
        <f>IF(AND($D$3,$F$3), SXS_Transit_temp!N8+SXS_Transit_temp!N34,IF(AND($D$3,NOT($F$3)), SXS_Transit_temp!N8,IF(AND(NOT($D$3),$F$3), SXS_Transit_temp!N34,0)))</f>
        <v>0</v>
      </c>
      <c r="P12" s="225">
        <f>IF(AND($D$3,$F$3), SXS_Transit_temp!O8+SXS_Transit_temp!O34,IF(AND($D$3,NOT($F$3)), SXS_Transit_temp!O8,IF(AND(NOT($D$3),$F$3), SXS_Transit_temp!O34,0)))</f>
        <v>328.74176</v>
      </c>
      <c r="Q12" s="225">
        <f>IF(AND($D$3,$F$3), SXS_Transit_temp!P8+SXS_Transit_temp!P34,IF(AND($D$3,NOT($F$3)), SXS_Transit_temp!P8,IF(AND(NOT($D$3),$F$3), SXS_Transit_temp!P34,0)))</f>
        <v>0</v>
      </c>
      <c r="R12" s="225">
        <f>IF(AND($D$3,$F$3), SXS_Transit_temp!Q8+SXS_Transit_temp!Q34,IF(AND($D$3,NOT($F$3)), SXS_Transit_temp!Q8,IF(AND(NOT($D$3),$F$3), SXS_Transit_temp!Q34,0)))</f>
        <v>0</v>
      </c>
      <c r="S12" s="225">
        <f>IF(AND($D$3,$F$3), SXS_Transit_temp!R8+SXS_Transit_temp!R34,IF(AND($D$3,NOT($F$3)), SXS_Transit_temp!R8,IF(AND(NOT($D$3),$F$3), SXS_Transit_temp!R34,0)))</f>
        <v>0</v>
      </c>
      <c r="T12" s="225">
        <f>IF(AND($D$3,$F$3), SXS_Transit_temp!S8+SXS_Transit_temp!S34,IF(AND($D$3,NOT($F$3)), SXS_Transit_temp!S8,IF(AND(NOT($D$3),$F$3), SXS_Transit_temp!S34,0)))</f>
        <v>0</v>
      </c>
      <c r="U12" s="225">
        <f>IF(AND($D$3,$F$3), SXS_Transit_temp!T8+SXS_Transit_temp!T34,IF(AND($D$3,NOT($F$3)), SXS_Transit_temp!T8,IF(AND(NOT($D$3),$F$3), SXS_Transit_temp!T34,0)))</f>
        <v>0</v>
      </c>
      <c r="V12" s="225">
        <f>IF(AND($D$3,$F$3), SXS_Transit_temp!U8+SXS_Transit_temp!U34,IF(AND($D$3,NOT($F$3)), SXS_Transit_temp!U8,IF(AND(NOT($D$3),$F$3), SXS_Transit_temp!U34,0)))</f>
        <v>0</v>
      </c>
      <c r="W12" s="225">
        <f>IF(AND($D$3,$F$3), SXS_Transit_temp!V8+SXS_Transit_temp!V34,IF(AND($D$3,NOT($F$3)), SXS_Transit_temp!V8,IF(AND(NOT($D$3),$F$3), SXS_Transit_temp!V34,0)))</f>
        <v>0</v>
      </c>
      <c r="X12" s="225">
        <f>IF(AND($D$3,$F$3), SXS_Transit_temp!W8+SXS_Transit_temp!W34,IF(AND($D$3,NOT($F$3)), SXS_Transit_temp!W8,IF(AND(NOT($D$3),$F$3), SXS_Transit_temp!W34,0)))</f>
        <v>0</v>
      </c>
      <c r="Y12" s="225">
        <f>IF(AND($D$3,$F$3), SXS_Transit_temp!X8+SXS_Transit_temp!X34,IF(AND($D$3,NOT($F$3)), SXS_Transit_temp!X8,IF(AND(NOT($D$3),$F$3), SXS_Transit_temp!X34,0)))</f>
        <v>0</v>
      </c>
      <c r="Z12" s="225">
        <f>IF(AND($D$3,$F$3), SXS_Transit_temp!Y8+SXS_Transit_temp!Y34,IF(AND($D$3,NOT($F$3)), SXS_Transit_temp!Y8,IF(AND(NOT($D$3),$F$3), SXS_Transit_temp!Y34,0)))</f>
        <v>0</v>
      </c>
      <c r="AA12" s="225">
        <f>IF(AND($D$3,$F$3), SXS_Transit_temp!Z8+SXS_Transit_temp!Z34,IF(AND($D$3,NOT($F$3)), SXS_Transit_temp!Z8,IF(AND(NOT($D$3),$F$3), SXS_Transit_temp!Z34,0)))</f>
        <v>0</v>
      </c>
      <c r="AB12" s="226">
        <f t="shared" si="1"/>
        <v>39637.601229999993</v>
      </c>
      <c r="AD12" s="223" t="s">
        <v>459</v>
      </c>
      <c r="AE12" s="234">
        <f t="shared" si="2"/>
        <v>0.41843027820379536</v>
      </c>
      <c r="AF12" s="234">
        <f t="shared" si="0"/>
        <v>6.0353352770232724E-2</v>
      </c>
      <c r="AG12" s="234">
        <f t="shared" si="0"/>
        <v>1.3926810726936616E-2</v>
      </c>
      <c r="AH12" s="234">
        <f t="shared" si="0"/>
        <v>0</v>
      </c>
      <c r="AI12" s="234">
        <f t="shared" si="0"/>
        <v>2.9159208280374542E-2</v>
      </c>
      <c r="AJ12" s="233">
        <f t="shared" si="0"/>
        <v>0.44837081227177994</v>
      </c>
      <c r="AK12" s="234">
        <f t="shared" si="0"/>
        <v>1.7187846107205012E-2</v>
      </c>
      <c r="AL12" s="234">
        <f t="shared" si="0"/>
        <v>4.2780071128941024E-3</v>
      </c>
      <c r="AM12" s="234">
        <f t="shared" si="0"/>
        <v>0</v>
      </c>
      <c r="AN12" s="234">
        <f t="shared" si="0"/>
        <v>0</v>
      </c>
      <c r="AO12" s="234">
        <f t="shared" si="0"/>
        <v>0</v>
      </c>
      <c r="AP12" s="234">
        <f t="shared" si="0"/>
        <v>0</v>
      </c>
      <c r="AQ12" s="234">
        <f t="shared" si="0"/>
        <v>0</v>
      </c>
      <c r="AR12" s="234">
        <f t="shared" si="0"/>
        <v>8.2936845267818464E-3</v>
      </c>
      <c r="AS12" s="234">
        <f t="shared" si="0"/>
        <v>0</v>
      </c>
      <c r="AT12" s="234">
        <f t="shared" si="0"/>
        <v>0</v>
      </c>
      <c r="AU12" s="234">
        <f t="shared" si="0"/>
        <v>0</v>
      </c>
      <c r="AV12" s="234">
        <f t="shared" si="0"/>
        <v>0</v>
      </c>
      <c r="AW12" s="234">
        <f t="shared" si="0"/>
        <v>0</v>
      </c>
      <c r="AX12" s="234">
        <f t="shared" si="0"/>
        <v>0</v>
      </c>
      <c r="AY12" s="234">
        <f t="shared" si="0"/>
        <v>0</v>
      </c>
      <c r="AZ12" s="234">
        <f t="shared" si="0"/>
        <v>0</v>
      </c>
      <c r="BA12" s="234">
        <f t="shared" si="0"/>
        <v>0</v>
      </c>
      <c r="BB12" s="234">
        <f t="shared" si="0"/>
        <v>0</v>
      </c>
      <c r="BC12" s="234">
        <f t="shared" si="0"/>
        <v>0</v>
      </c>
      <c r="BD12" s="237">
        <f t="shared" si="3"/>
        <v>1</v>
      </c>
    </row>
    <row r="13" spans="1:56" x14ac:dyDescent="0.25">
      <c r="B13" s="223" t="s">
        <v>460</v>
      </c>
      <c r="C13" s="225">
        <f>IF(AND($D$3,$F$3), SXS_Transit_temp!B9+SXS_Transit_temp!B35,IF(AND($D$3,NOT($F$3)), SXS_Transit_temp!B9,IF(AND(NOT($D$3),$F$3), SXS_Transit_temp!B35,0)))</f>
        <v>13861.603179999998</v>
      </c>
      <c r="D13" s="225">
        <f>IF(AND($D$3,$F$3), SXS_Transit_temp!C9+SXS_Transit_temp!C35,IF(AND($D$3,NOT($F$3)), SXS_Transit_temp!C9,IF(AND(NOT($D$3),$F$3), SXS_Transit_temp!C35,0)))</f>
        <v>1068.8257100000001</v>
      </c>
      <c r="E13" s="225">
        <f>IF(AND($D$3,$F$3), SXS_Transit_temp!D9+SXS_Transit_temp!D35,IF(AND($D$3,NOT($F$3)), SXS_Transit_temp!D9,IF(AND(NOT($D$3),$F$3), SXS_Transit_temp!D35,0)))</f>
        <v>2894.4488700000002</v>
      </c>
      <c r="F13" s="225">
        <f>IF(AND($D$3,$F$3), SXS_Transit_temp!E9+SXS_Transit_temp!E35,IF(AND($D$3,NOT($F$3)), SXS_Transit_temp!E9,IF(AND(NOT($D$3),$F$3), SXS_Transit_temp!E35,0)))</f>
        <v>0</v>
      </c>
      <c r="G13" s="225">
        <f>IF(AND($D$3,$F$3), SXS_Transit_temp!F9+SXS_Transit_temp!F35,IF(AND($D$3,NOT($F$3)), SXS_Transit_temp!F9,IF(AND(NOT($D$3),$F$3), SXS_Transit_temp!F35,0)))</f>
        <v>61.827979999999997</v>
      </c>
      <c r="H13" s="225">
        <f>IF(AND($D$3,$F$3), SXS_Transit_temp!G9+SXS_Transit_temp!G35,IF(AND($D$3,NOT($F$3)), SXS_Transit_temp!G9,IF(AND(NOT($D$3),$F$3), SXS_Transit_temp!G35,0)))</f>
        <v>1526.05978</v>
      </c>
      <c r="I13" s="224">
        <f>IF(AND($D$3,$F$3), SXS_Transit_temp!H9+SXS_Transit_temp!H35,IF(AND($D$3,NOT($F$3)), SXS_Transit_temp!H9,IF(AND(NOT($D$3),$F$3), SXS_Transit_temp!H35,0)))</f>
        <v>22597.088759999999</v>
      </c>
      <c r="J13" s="225">
        <f>IF(AND($D$3,$F$3), SXS_Transit_temp!I9+SXS_Transit_temp!I35,IF(AND($D$3,NOT($F$3)), SXS_Transit_temp!I9,IF(AND(NOT($D$3),$F$3), SXS_Transit_temp!I35,0)))</f>
        <v>3227.6540199999999</v>
      </c>
      <c r="K13" s="225">
        <f>IF(AND($D$3,$F$3), SXS_Transit_temp!J9+SXS_Transit_temp!J35,IF(AND($D$3,NOT($F$3)), SXS_Transit_temp!J9,IF(AND(NOT($D$3),$F$3), SXS_Transit_temp!J35,0)))</f>
        <v>664.22867999999994</v>
      </c>
      <c r="L13" s="225">
        <f>IF(AND($D$3,$F$3), SXS_Transit_temp!K9+SXS_Transit_temp!K35,IF(AND($D$3,NOT($F$3)), SXS_Transit_temp!K9,IF(AND(NOT($D$3),$F$3), SXS_Transit_temp!K35,0)))</f>
        <v>209.01035999999999</v>
      </c>
      <c r="M13" s="225">
        <f>IF(AND($D$3,$F$3), SXS_Transit_temp!L9+SXS_Transit_temp!L35,IF(AND($D$3,NOT($F$3)), SXS_Transit_temp!L9,IF(AND(NOT($D$3),$F$3), SXS_Transit_temp!L35,0)))</f>
        <v>0</v>
      </c>
      <c r="N13" s="225">
        <f>IF(AND($D$3,$F$3), SXS_Transit_temp!M9+SXS_Transit_temp!M35,IF(AND($D$3,NOT($F$3)), SXS_Transit_temp!M9,IF(AND(NOT($D$3),$F$3), SXS_Transit_temp!M35,0)))</f>
        <v>0</v>
      </c>
      <c r="O13" s="225">
        <f>IF(AND($D$3,$F$3), SXS_Transit_temp!N9+SXS_Transit_temp!N35,IF(AND($D$3,NOT($F$3)), SXS_Transit_temp!N9,IF(AND(NOT($D$3),$F$3), SXS_Transit_temp!N35,0)))</f>
        <v>0</v>
      </c>
      <c r="P13" s="225">
        <f>IF(AND($D$3,$F$3), SXS_Transit_temp!O9+SXS_Transit_temp!O35,IF(AND($D$3,NOT($F$3)), SXS_Transit_temp!O9,IF(AND(NOT($D$3),$F$3), SXS_Transit_temp!O35,0)))</f>
        <v>146.06639999999999</v>
      </c>
      <c r="Q13" s="225">
        <f>IF(AND($D$3,$F$3), SXS_Transit_temp!P9+SXS_Transit_temp!P35,IF(AND($D$3,NOT($F$3)), SXS_Transit_temp!P9,IF(AND(NOT($D$3),$F$3), SXS_Transit_temp!P35,0)))</f>
        <v>128.31186</v>
      </c>
      <c r="R13" s="225">
        <f>IF(AND($D$3,$F$3), SXS_Transit_temp!Q9+SXS_Transit_temp!Q35,IF(AND($D$3,NOT($F$3)), SXS_Transit_temp!Q9,IF(AND(NOT($D$3),$F$3), SXS_Transit_temp!Q35,0)))</f>
        <v>0</v>
      </c>
      <c r="S13" s="225">
        <f>IF(AND($D$3,$F$3), SXS_Transit_temp!R9+SXS_Transit_temp!R35,IF(AND($D$3,NOT($F$3)), SXS_Transit_temp!R9,IF(AND(NOT($D$3),$F$3), SXS_Transit_temp!R35,0)))</f>
        <v>0</v>
      </c>
      <c r="T13" s="225">
        <f>IF(AND($D$3,$F$3), SXS_Transit_temp!S9+SXS_Transit_temp!S35,IF(AND($D$3,NOT($F$3)), SXS_Transit_temp!S9,IF(AND(NOT($D$3),$F$3), SXS_Transit_temp!S35,0)))</f>
        <v>846.46168999999998</v>
      </c>
      <c r="U13" s="225">
        <f>IF(AND($D$3,$F$3), SXS_Transit_temp!T9+SXS_Transit_temp!T35,IF(AND($D$3,NOT($F$3)), SXS_Transit_temp!T9,IF(AND(NOT($D$3),$F$3), SXS_Transit_temp!T35,0)))</f>
        <v>0</v>
      </c>
      <c r="V13" s="225">
        <f>IF(AND($D$3,$F$3), SXS_Transit_temp!U9+SXS_Transit_temp!U35,IF(AND($D$3,NOT($F$3)), SXS_Transit_temp!U9,IF(AND(NOT($D$3),$F$3), SXS_Transit_temp!U35,0)))</f>
        <v>88.062920000000005</v>
      </c>
      <c r="W13" s="225">
        <f>IF(AND($D$3,$F$3), SXS_Transit_temp!V9+SXS_Transit_temp!V35,IF(AND($D$3,NOT($F$3)), SXS_Transit_temp!V9,IF(AND(NOT($D$3),$F$3), SXS_Transit_temp!V35,0)))</f>
        <v>0</v>
      </c>
      <c r="X13" s="225">
        <f>IF(AND($D$3,$F$3), SXS_Transit_temp!W9+SXS_Transit_temp!W35,IF(AND($D$3,NOT($F$3)), SXS_Transit_temp!W9,IF(AND(NOT($D$3),$F$3), SXS_Transit_temp!W35,0)))</f>
        <v>0</v>
      </c>
      <c r="Y13" s="225">
        <f>IF(AND($D$3,$F$3), SXS_Transit_temp!X9+SXS_Transit_temp!X35,IF(AND($D$3,NOT($F$3)), SXS_Transit_temp!X9,IF(AND(NOT($D$3),$F$3), SXS_Transit_temp!X35,0)))</f>
        <v>0</v>
      </c>
      <c r="Z13" s="225">
        <f>IF(AND($D$3,$F$3), SXS_Transit_temp!Y9+SXS_Transit_temp!Y35,IF(AND($D$3,NOT($F$3)), SXS_Transit_temp!Y9,IF(AND(NOT($D$3),$F$3), SXS_Transit_temp!Y35,0)))</f>
        <v>0</v>
      </c>
      <c r="AA13" s="225">
        <f>IF(AND($D$3,$F$3), SXS_Transit_temp!Z9+SXS_Transit_temp!Z35,IF(AND($D$3,NOT($F$3)), SXS_Transit_temp!Z9,IF(AND(NOT($D$3),$F$3), SXS_Transit_temp!Z35,0)))</f>
        <v>0</v>
      </c>
      <c r="AB13" s="226">
        <f t="shared" si="1"/>
        <v>47319.65021</v>
      </c>
      <c r="AD13" s="223" t="s">
        <v>460</v>
      </c>
      <c r="AE13" s="234">
        <f t="shared" si="2"/>
        <v>0.29293545320989384</v>
      </c>
      <c r="AF13" s="234">
        <f t="shared" si="0"/>
        <v>2.2587354413159347E-2</v>
      </c>
      <c r="AG13" s="234">
        <f t="shared" si="0"/>
        <v>6.1168010692275156E-2</v>
      </c>
      <c r="AH13" s="234">
        <f t="shared" si="0"/>
        <v>0</v>
      </c>
      <c r="AI13" s="234">
        <f t="shared" si="0"/>
        <v>1.3066026423613328E-3</v>
      </c>
      <c r="AJ13" s="234">
        <f t="shared" si="0"/>
        <v>3.2250022416215995E-2</v>
      </c>
      <c r="AK13" s="233">
        <f t="shared" si="0"/>
        <v>0.47754133134366633</v>
      </c>
      <c r="AL13" s="234">
        <f t="shared" si="0"/>
        <v>6.8209591695542665E-2</v>
      </c>
      <c r="AM13" s="234">
        <f t="shared" si="0"/>
        <v>1.4037058115438676E-2</v>
      </c>
      <c r="AN13" s="234">
        <f t="shared" si="0"/>
        <v>4.4169886943887446E-3</v>
      </c>
      <c r="AO13" s="234">
        <f t="shared" si="0"/>
        <v>0</v>
      </c>
      <c r="AP13" s="234">
        <f t="shared" si="0"/>
        <v>0</v>
      </c>
      <c r="AQ13" s="234">
        <f t="shared" si="0"/>
        <v>0</v>
      </c>
      <c r="AR13" s="234">
        <f t="shared" si="0"/>
        <v>3.0868021921500164E-3</v>
      </c>
      <c r="AS13" s="234">
        <f t="shared" si="0"/>
        <v>2.711597812548581E-3</v>
      </c>
      <c r="AT13" s="234">
        <f t="shared" si="0"/>
        <v>0</v>
      </c>
      <c r="AU13" s="234">
        <f t="shared" si="0"/>
        <v>0</v>
      </c>
      <c r="AV13" s="234">
        <f t="shared" si="0"/>
        <v>1.7888164562575703E-2</v>
      </c>
      <c r="AW13" s="234">
        <f t="shared" si="0"/>
        <v>0</v>
      </c>
      <c r="AX13" s="234">
        <f t="shared" si="0"/>
        <v>1.861022209783575E-3</v>
      </c>
      <c r="AY13" s="234">
        <f t="shared" si="0"/>
        <v>0</v>
      </c>
      <c r="AZ13" s="234">
        <f t="shared" si="0"/>
        <v>0</v>
      </c>
      <c r="BA13" s="234">
        <f t="shared" si="0"/>
        <v>0</v>
      </c>
      <c r="BB13" s="234">
        <f t="shared" si="0"/>
        <v>0</v>
      </c>
      <c r="BC13" s="234">
        <f t="shared" si="0"/>
        <v>0</v>
      </c>
      <c r="BD13" s="237">
        <f t="shared" si="3"/>
        <v>0.99999999999999989</v>
      </c>
    </row>
    <row r="14" spans="1:56" x14ac:dyDescent="0.25">
      <c r="B14" s="223" t="s">
        <v>49</v>
      </c>
      <c r="C14" s="225">
        <f>IF(AND($D$3,$F$3), SXS_Transit_temp!B10+SXS_Transit_temp!B36,IF(AND($D$3,NOT($F$3)), SXS_Transit_temp!B10,IF(AND(NOT($D$3),$F$3), SXS_Transit_temp!B36,0)))</f>
        <v>65561.407249999989</v>
      </c>
      <c r="D14" s="225">
        <f>IF(AND($D$3,$F$3), SXS_Transit_temp!C10+SXS_Transit_temp!C36,IF(AND($D$3,NOT($F$3)), SXS_Transit_temp!C10,IF(AND(NOT($D$3),$F$3), SXS_Transit_temp!C36,0)))</f>
        <v>5322.7771700000003</v>
      </c>
      <c r="E14" s="225">
        <f>IF(AND($D$3,$F$3), SXS_Transit_temp!D10+SXS_Transit_temp!D36,IF(AND($D$3,NOT($F$3)), SXS_Transit_temp!D10,IF(AND(NOT($D$3),$F$3), SXS_Transit_temp!D36,0)))</f>
        <v>488.36293999999998</v>
      </c>
      <c r="F14" s="225">
        <f>IF(AND($D$3,$F$3), SXS_Transit_temp!E10+SXS_Transit_temp!E36,IF(AND($D$3,NOT($F$3)), SXS_Transit_temp!E10,IF(AND(NOT($D$3),$F$3), SXS_Transit_temp!E36,0)))</f>
        <v>329.04858000000002</v>
      </c>
      <c r="G14" s="225">
        <f>IF(AND($D$3,$F$3), SXS_Transit_temp!F10+SXS_Transit_temp!F36,IF(AND($D$3,NOT($F$3)), SXS_Transit_temp!F10,IF(AND(NOT($D$3),$F$3), SXS_Transit_temp!F36,0)))</f>
        <v>3464.1896599999995</v>
      </c>
      <c r="H14" s="225">
        <f>IF(AND($D$3,$F$3), SXS_Transit_temp!G10+SXS_Transit_temp!G36,IF(AND($D$3,NOT($F$3)), SXS_Transit_temp!G10,IF(AND(NOT($D$3),$F$3), SXS_Transit_temp!G36,0)))</f>
        <v>128.48474999999999</v>
      </c>
      <c r="I14" s="225">
        <f>IF(AND($D$3,$F$3), SXS_Transit_temp!H10+SXS_Transit_temp!H36,IF(AND($D$3,NOT($F$3)), SXS_Transit_temp!H10,IF(AND(NOT($D$3),$F$3), SXS_Transit_temp!H36,0)))</f>
        <v>3228.6518500000002</v>
      </c>
      <c r="J14" s="224">
        <f>IF(AND($D$3,$F$3), SXS_Transit_temp!I10+SXS_Transit_temp!I36,IF(AND($D$3,NOT($F$3)), SXS_Transit_temp!I10,IF(AND(NOT($D$3),$F$3), SXS_Transit_temp!I36,0)))</f>
        <v>57104.20233</v>
      </c>
      <c r="K14" s="225">
        <f>IF(AND($D$3,$F$3), SXS_Transit_temp!J10+SXS_Transit_temp!J36,IF(AND($D$3,NOT($F$3)), SXS_Transit_temp!J10,IF(AND(NOT($D$3),$F$3), SXS_Transit_temp!J36,0)))</f>
        <v>831.89806999999996</v>
      </c>
      <c r="L14" s="225">
        <f>IF(AND($D$3,$F$3), SXS_Transit_temp!K10+SXS_Transit_temp!K36,IF(AND($D$3,NOT($F$3)), SXS_Transit_temp!K10,IF(AND(NOT($D$3),$F$3), SXS_Transit_temp!K36,0)))</f>
        <v>91.409630000000007</v>
      </c>
      <c r="M14" s="225">
        <f>IF(AND($D$3,$F$3), SXS_Transit_temp!L10+SXS_Transit_temp!L36,IF(AND($D$3,NOT($F$3)), SXS_Transit_temp!L10,IF(AND(NOT($D$3),$F$3), SXS_Transit_temp!L36,0)))</f>
        <v>0</v>
      </c>
      <c r="N14" s="225">
        <f>IF(AND($D$3,$F$3), SXS_Transit_temp!M10+SXS_Transit_temp!M36,IF(AND($D$3,NOT($F$3)), SXS_Transit_temp!M10,IF(AND(NOT($D$3),$F$3), SXS_Transit_temp!M36,0)))</f>
        <v>600.81861000000004</v>
      </c>
      <c r="O14" s="225">
        <f>IF(AND($D$3,$F$3), SXS_Transit_temp!N10+SXS_Transit_temp!N36,IF(AND($D$3,NOT($F$3)), SXS_Transit_temp!N10,IF(AND(NOT($D$3),$F$3), SXS_Transit_temp!N36,0)))</f>
        <v>189.87280999999999</v>
      </c>
      <c r="P14" s="225">
        <f>IF(AND($D$3,$F$3), SXS_Transit_temp!O10+SXS_Transit_temp!O36,IF(AND($D$3,NOT($F$3)), SXS_Transit_temp!O10,IF(AND(NOT($D$3),$F$3), SXS_Transit_temp!O36,0)))</f>
        <v>153.94639000000001</v>
      </c>
      <c r="Q14" s="225">
        <f>IF(AND($D$3,$F$3), SXS_Transit_temp!P10+SXS_Transit_temp!P36,IF(AND($D$3,NOT($F$3)), SXS_Transit_temp!P10,IF(AND(NOT($D$3),$F$3), SXS_Transit_temp!P36,0)))</f>
        <v>2353.5046000000002</v>
      </c>
      <c r="R14" s="225">
        <f>IF(AND($D$3,$F$3), SXS_Transit_temp!Q10+SXS_Transit_temp!Q36,IF(AND($D$3,NOT($F$3)), SXS_Transit_temp!Q10,IF(AND(NOT($D$3),$F$3), SXS_Transit_temp!Q36,0)))</f>
        <v>0</v>
      </c>
      <c r="S14" s="225">
        <f>IF(AND($D$3,$F$3), SXS_Transit_temp!R10+SXS_Transit_temp!R36,IF(AND($D$3,NOT($F$3)), SXS_Transit_temp!R10,IF(AND(NOT($D$3),$F$3), SXS_Transit_temp!R36,0)))</f>
        <v>0</v>
      </c>
      <c r="T14" s="225">
        <f>IF(AND($D$3,$F$3), SXS_Transit_temp!S10+SXS_Transit_temp!S36,IF(AND($D$3,NOT($F$3)), SXS_Transit_temp!S10,IF(AND(NOT($D$3),$F$3), SXS_Transit_temp!S36,0)))</f>
        <v>184.58141999999998</v>
      </c>
      <c r="U14" s="225">
        <f>IF(AND($D$3,$F$3), SXS_Transit_temp!T10+SXS_Transit_temp!T36,IF(AND($D$3,NOT($F$3)), SXS_Transit_temp!T10,IF(AND(NOT($D$3),$F$3), SXS_Transit_temp!T36,0)))</f>
        <v>0</v>
      </c>
      <c r="V14" s="225">
        <f>IF(AND($D$3,$F$3), SXS_Transit_temp!U10+SXS_Transit_temp!U36,IF(AND($D$3,NOT($F$3)), SXS_Transit_temp!U10,IF(AND(NOT($D$3),$F$3), SXS_Transit_temp!U36,0)))</f>
        <v>0</v>
      </c>
      <c r="W14" s="225">
        <f>IF(AND($D$3,$F$3), SXS_Transit_temp!V10+SXS_Transit_temp!V36,IF(AND($D$3,NOT($F$3)), SXS_Transit_temp!V10,IF(AND(NOT($D$3),$F$3), SXS_Transit_temp!V36,0)))</f>
        <v>0</v>
      </c>
      <c r="X14" s="225">
        <f>IF(AND($D$3,$F$3), SXS_Transit_temp!W10+SXS_Transit_temp!W36,IF(AND($D$3,NOT($F$3)), SXS_Transit_temp!W10,IF(AND(NOT($D$3),$F$3), SXS_Transit_temp!W36,0)))</f>
        <v>0</v>
      </c>
      <c r="Y14" s="225">
        <f>IF(AND($D$3,$F$3), SXS_Transit_temp!X10+SXS_Transit_temp!X36,IF(AND($D$3,NOT($F$3)), SXS_Transit_temp!X10,IF(AND(NOT($D$3),$F$3), SXS_Transit_temp!X36,0)))</f>
        <v>0</v>
      </c>
      <c r="Z14" s="225">
        <f>IF(AND($D$3,$F$3), SXS_Transit_temp!Y10+SXS_Transit_temp!Y36,IF(AND($D$3,NOT($F$3)), SXS_Transit_temp!Y10,IF(AND(NOT($D$3),$F$3), SXS_Transit_temp!Y36,0)))</f>
        <v>1125.3487700000001</v>
      </c>
      <c r="AA14" s="225">
        <f>IF(AND($D$3,$F$3), SXS_Transit_temp!Z10+SXS_Transit_temp!Z36,IF(AND($D$3,NOT($F$3)), SXS_Transit_temp!Z10,IF(AND(NOT($D$3),$F$3), SXS_Transit_temp!Z36,0)))</f>
        <v>0</v>
      </c>
      <c r="AB14" s="226">
        <f t="shared" si="1"/>
        <v>141158.50483000002</v>
      </c>
      <c r="AD14" s="223" t="s">
        <v>49</v>
      </c>
      <c r="AE14" s="234">
        <f t="shared" si="2"/>
        <v>0.46445240638498464</v>
      </c>
      <c r="AF14" s="234">
        <f t="shared" si="0"/>
        <v>3.770780355324907E-2</v>
      </c>
      <c r="AG14" s="234">
        <f t="shared" si="0"/>
        <v>3.4596777614508251E-3</v>
      </c>
      <c r="AH14" s="234">
        <f t="shared" si="0"/>
        <v>2.331057419432713E-3</v>
      </c>
      <c r="AI14" s="234">
        <f t="shared" si="0"/>
        <v>2.454113313379163E-2</v>
      </c>
      <c r="AJ14" s="234">
        <f t="shared" si="0"/>
        <v>9.1021614428926341E-4</v>
      </c>
      <c r="AK14" s="234">
        <f t="shared" si="0"/>
        <v>2.2872527970513215E-2</v>
      </c>
      <c r="AL14" s="233">
        <f t="shared" si="0"/>
        <v>0.40453958051462591</v>
      </c>
      <c r="AM14" s="234">
        <f t="shared" si="0"/>
        <v>5.8933613033226107E-3</v>
      </c>
      <c r="AN14" s="234">
        <f t="shared" si="0"/>
        <v>6.4756728693100309E-4</v>
      </c>
      <c r="AO14" s="234">
        <f t="shared" si="0"/>
        <v>0</v>
      </c>
      <c r="AP14" s="234">
        <f t="shared" si="0"/>
        <v>4.256340138510094E-3</v>
      </c>
      <c r="AQ14" s="234">
        <f t="shared" si="0"/>
        <v>1.3451035786236725E-3</v>
      </c>
      <c r="AR14" s="234">
        <f t="shared" si="0"/>
        <v>1.0905923818433801E-3</v>
      </c>
      <c r="AS14" s="234">
        <f t="shared" si="0"/>
        <v>1.6672779318783325E-2</v>
      </c>
      <c r="AT14" s="234">
        <f t="shared" si="0"/>
        <v>0</v>
      </c>
      <c r="AU14" s="234">
        <f t="shared" si="0"/>
        <v>0</v>
      </c>
      <c r="AV14" s="234">
        <f t="shared" si="0"/>
        <v>1.3076181291541381E-3</v>
      </c>
      <c r="AW14" s="234">
        <f t="shared" si="0"/>
        <v>0</v>
      </c>
      <c r="AX14" s="234">
        <f t="shared" si="0"/>
        <v>0</v>
      </c>
      <c r="AY14" s="234">
        <f t="shared" si="0"/>
        <v>0</v>
      </c>
      <c r="AZ14" s="234">
        <f t="shared" si="0"/>
        <v>0</v>
      </c>
      <c r="BA14" s="234">
        <f t="shared" si="0"/>
        <v>0</v>
      </c>
      <c r="BB14" s="234">
        <f t="shared" si="0"/>
        <v>7.972234980494302E-3</v>
      </c>
      <c r="BC14" s="234">
        <f t="shared" si="0"/>
        <v>0</v>
      </c>
      <c r="BD14" s="237">
        <f t="shared" si="3"/>
        <v>0.99999999999999978</v>
      </c>
    </row>
    <row r="15" spans="1:56" x14ac:dyDescent="0.25">
      <c r="B15" s="223" t="s">
        <v>461</v>
      </c>
      <c r="C15" s="225">
        <f>IF(AND($D$3,$F$3), SXS_Transit_temp!B11+SXS_Transit_temp!B37,IF(AND($D$3,NOT($F$3)), SXS_Transit_temp!B11,IF(AND(NOT($D$3),$F$3), SXS_Transit_temp!B37,0)))</f>
        <v>13748.271500000001</v>
      </c>
      <c r="D15" s="225">
        <f>IF(AND($D$3,$F$3), SXS_Transit_temp!C11+SXS_Transit_temp!C37,IF(AND($D$3,NOT($F$3)), SXS_Transit_temp!C11,IF(AND(NOT($D$3),$F$3), SXS_Transit_temp!C37,0)))</f>
        <v>3520.43932</v>
      </c>
      <c r="E15" s="225">
        <f>IF(AND($D$3,$F$3), SXS_Transit_temp!D11+SXS_Transit_temp!D37,IF(AND($D$3,NOT($F$3)), SXS_Transit_temp!D11,IF(AND(NOT($D$3),$F$3), SXS_Transit_temp!D37,0)))</f>
        <v>0</v>
      </c>
      <c r="F15" s="225">
        <f>IF(AND($D$3,$F$3), SXS_Transit_temp!E11+SXS_Transit_temp!E37,IF(AND($D$3,NOT($F$3)), SXS_Transit_temp!E11,IF(AND(NOT($D$3),$F$3), SXS_Transit_temp!E37,0)))</f>
        <v>0</v>
      </c>
      <c r="G15" s="225">
        <f>IF(AND($D$3,$F$3), SXS_Transit_temp!F11+SXS_Transit_temp!F37,IF(AND($D$3,NOT($F$3)), SXS_Transit_temp!F11,IF(AND(NOT($D$3),$F$3), SXS_Transit_temp!F37,0)))</f>
        <v>0</v>
      </c>
      <c r="H15" s="225">
        <f>IF(AND($D$3,$F$3), SXS_Transit_temp!G11+SXS_Transit_temp!G37,IF(AND($D$3,NOT($F$3)), SXS_Transit_temp!G11,IF(AND(NOT($D$3),$F$3), SXS_Transit_temp!G37,0)))</f>
        <v>0</v>
      </c>
      <c r="I15" s="225">
        <f>IF(AND($D$3,$F$3), SXS_Transit_temp!H11+SXS_Transit_temp!H37,IF(AND($D$3,NOT($F$3)), SXS_Transit_temp!H11,IF(AND(NOT($D$3),$F$3), SXS_Transit_temp!H37,0)))</f>
        <v>828.13722000000007</v>
      </c>
      <c r="J15" s="225">
        <f>IF(AND($D$3,$F$3), SXS_Transit_temp!I11+SXS_Transit_temp!I37,IF(AND($D$3,NOT($F$3)), SXS_Transit_temp!I11,IF(AND(NOT($D$3),$F$3), SXS_Transit_temp!I37,0)))</f>
        <v>1445.58347</v>
      </c>
      <c r="K15" s="224">
        <f>IF(AND($D$3,$F$3), SXS_Transit_temp!J11+SXS_Transit_temp!J37,IF(AND($D$3,NOT($F$3)), SXS_Transit_temp!J11,IF(AND(NOT($D$3),$F$3), SXS_Transit_temp!J37,0)))</f>
        <v>1091.89579</v>
      </c>
      <c r="L15" s="225">
        <f>IF(AND($D$3,$F$3), SXS_Transit_temp!K11+SXS_Transit_temp!K37,IF(AND($D$3,NOT($F$3)), SXS_Transit_temp!K11,IF(AND(NOT($D$3),$F$3), SXS_Transit_temp!K37,0)))</f>
        <v>17.819379999999999</v>
      </c>
      <c r="M15" s="225">
        <f>IF(AND($D$3,$F$3), SXS_Transit_temp!L11+SXS_Transit_temp!L37,IF(AND($D$3,NOT($F$3)), SXS_Transit_temp!L11,IF(AND(NOT($D$3),$F$3), SXS_Transit_temp!L37,0)))</f>
        <v>0</v>
      </c>
      <c r="N15" s="225">
        <f>IF(AND($D$3,$F$3), SXS_Transit_temp!M11+SXS_Transit_temp!M37,IF(AND($D$3,NOT($F$3)), SXS_Transit_temp!M11,IF(AND(NOT($D$3),$F$3), SXS_Transit_temp!M37,0)))</f>
        <v>0</v>
      </c>
      <c r="O15" s="225">
        <f>IF(AND($D$3,$F$3), SXS_Transit_temp!N11+SXS_Transit_temp!N37,IF(AND($D$3,NOT($F$3)), SXS_Transit_temp!N11,IF(AND(NOT($D$3),$F$3), SXS_Transit_temp!N37,0)))</f>
        <v>0</v>
      </c>
      <c r="P15" s="225">
        <f>IF(AND($D$3,$F$3), SXS_Transit_temp!O11+SXS_Transit_temp!O37,IF(AND($D$3,NOT($F$3)), SXS_Transit_temp!O11,IF(AND(NOT($D$3),$F$3), SXS_Transit_temp!O37,0)))</f>
        <v>0</v>
      </c>
      <c r="Q15" s="225">
        <f>IF(AND($D$3,$F$3), SXS_Transit_temp!P11+SXS_Transit_temp!P37,IF(AND($D$3,NOT($F$3)), SXS_Transit_temp!P11,IF(AND(NOT($D$3),$F$3), SXS_Transit_temp!P37,0)))</f>
        <v>0</v>
      </c>
      <c r="R15" s="225">
        <f>IF(AND($D$3,$F$3), SXS_Transit_temp!Q11+SXS_Transit_temp!Q37,IF(AND($D$3,NOT($F$3)), SXS_Transit_temp!Q11,IF(AND(NOT($D$3),$F$3), SXS_Transit_temp!Q37,0)))</f>
        <v>0</v>
      </c>
      <c r="S15" s="225">
        <f>IF(AND($D$3,$F$3), SXS_Transit_temp!R11+SXS_Transit_temp!R37,IF(AND($D$3,NOT($F$3)), SXS_Transit_temp!R11,IF(AND(NOT($D$3),$F$3), SXS_Transit_temp!R37,0)))</f>
        <v>0</v>
      </c>
      <c r="T15" s="225">
        <f>IF(AND($D$3,$F$3), SXS_Transit_temp!S11+SXS_Transit_temp!S37,IF(AND($D$3,NOT($F$3)), SXS_Transit_temp!S11,IF(AND(NOT($D$3),$F$3), SXS_Transit_temp!S37,0)))</f>
        <v>0</v>
      </c>
      <c r="U15" s="225">
        <f>IF(AND($D$3,$F$3), SXS_Transit_temp!T11+SXS_Transit_temp!T37,IF(AND($D$3,NOT($F$3)), SXS_Transit_temp!T11,IF(AND(NOT($D$3),$F$3), SXS_Transit_temp!T37,0)))</f>
        <v>0</v>
      </c>
      <c r="V15" s="225">
        <f>IF(AND($D$3,$F$3), SXS_Transit_temp!U11+SXS_Transit_temp!U37,IF(AND($D$3,NOT($F$3)), SXS_Transit_temp!U11,IF(AND(NOT($D$3),$F$3), SXS_Transit_temp!U37,0)))</f>
        <v>1512.0752799999998</v>
      </c>
      <c r="W15" s="225">
        <f>IF(AND($D$3,$F$3), SXS_Transit_temp!V11+SXS_Transit_temp!V37,IF(AND($D$3,NOT($F$3)), SXS_Transit_temp!V11,IF(AND(NOT($D$3),$F$3), SXS_Transit_temp!V37,0)))</f>
        <v>0</v>
      </c>
      <c r="X15" s="225">
        <f>IF(AND($D$3,$F$3), SXS_Transit_temp!W11+SXS_Transit_temp!W37,IF(AND($D$3,NOT($F$3)), SXS_Transit_temp!W11,IF(AND(NOT($D$3),$F$3), SXS_Transit_temp!W37,0)))</f>
        <v>0</v>
      </c>
      <c r="Y15" s="225">
        <f>IF(AND($D$3,$F$3), SXS_Transit_temp!X11+SXS_Transit_temp!X37,IF(AND($D$3,NOT($F$3)), SXS_Transit_temp!X11,IF(AND(NOT($D$3),$F$3), SXS_Transit_temp!X37,0)))</f>
        <v>0</v>
      </c>
      <c r="Z15" s="225">
        <f>IF(AND($D$3,$F$3), SXS_Transit_temp!Y11+SXS_Transit_temp!Y37,IF(AND($D$3,NOT($F$3)), SXS_Transit_temp!Y11,IF(AND(NOT($D$3),$F$3), SXS_Transit_temp!Y37,0)))</f>
        <v>0</v>
      </c>
      <c r="AA15" s="225">
        <f>IF(AND($D$3,$F$3), SXS_Transit_temp!Z11+SXS_Transit_temp!Z37,IF(AND($D$3,NOT($F$3)), SXS_Transit_temp!Z11,IF(AND(NOT($D$3),$F$3), SXS_Transit_temp!Z37,0)))</f>
        <v>0</v>
      </c>
      <c r="AB15" s="226">
        <f t="shared" si="1"/>
        <v>22164.221960000003</v>
      </c>
      <c r="AD15" s="223" t="s">
        <v>461</v>
      </c>
      <c r="AE15" s="234">
        <f t="shared" si="2"/>
        <v>0.62029118481179468</v>
      </c>
      <c r="AF15" s="234">
        <f t="shared" si="0"/>
        <v>0.15883432887260254</v>
      </c>
      <c r="AG15" s="234">
        <f t="shared" si="0"/>
        <v>0</v>
      </c>
      <c r="AH15" s="234">
        <f t="shared" si="0"/>
        <v>0</v>
      </c>
      <c r="AI15" s="234">
        <f t="shared" si="0"/>
        <v>0</v>
      </c>
      <c r="AJ15" s="234">
        <f t="shared" si="0"/>
        <v>0</v>
      </c>
      <c r="AK15" s="234">
        <f t="shared" si="0"/>
        <v>3.7363694583755193E-2</v>
      </c>
      <c r="AL15" s="234">
        <f t="shared" si="0"/>
        <v>6.5221484995451648E-2</v>
      </c>
      <c r="AM15" s="233">
        <f t="shared" si="0"/>
        <v>4.9263889883910901E-2</v>
      </c>
      <c r="AN15" s="234">
        <f t="shared" si="0"/>
        <v>8.0397047241986732E-4</v>
      </c>
      <c r="AO15" s="234">
        <f t="shared" si="0"/>
        <v>0</v>
      </c>
      <c r="AP15" s="234">
        <f t="shared" si="0"/>
        <v>0</v>
      </c>
      <c r="AQ15" s="234">
        <f t="shared" si="0"/>
        <v>0</v>
      </c>
      <c r="AR15" s="234">
        <f t="shared" si="0"/>
        <v>0</v>
      </c>
      <c r="AS15" s="234">
        <f t="shared" si="0"/>
        <v>0</v>
      </c>
      <c r="AT15" s="234">
        <f t="shared" si="0"/>
        <v>0</v>
      </c>
      <c r="AU15" s="234">
        <f t="shared" si="0"/>
        <v>0</v>
      </c>
      <c r="AV15" s="234">
        <f t="shared" si="0"/>
        <v>0</v>
      </c>
      <c r="AW15" s="234">
        <f t="shared" si="0"/>
        <v>0</v>
      </c>
      <c r="AX15" s="234">
        <f t="shared" si="0"/>
        <v>6.8221446380065026E-2</v>
      </c>
      <c r="AY15" s="234">
        <f t="shared" si="0"/>
        <v>0</v>
      </c>
      <c r="AZ15" s="234">
        <f t="shared" si="0"/>
        <v>0</v>
      </c>
      <c r="BA15" s="234">
        <f t="shared" si="0"/>
        <v>0</v>
      </c>
      <c r="BB15" s="234">
        <f t="shared" si="0"/>
        <v>0</v>
      </c>
      <c r="BC15" s="234">
        <f t="shared" si="0"/>
        <v>0</v>
      </c>
      <c r="BD15" s="237">
        <f t="shared" si="3"/>
        <v>0.99999999999999989</v>
      </c>
    </row>
    <row r="16" spans="1:56" x14ac:dyDescent="0.25">
      <c r="B16" s="223" t="s">
        <v>462</v>
      </c>
      <c r="C16" s="225">
        <f>IF(AND($D$3,$F$3), SXS_Transit_temp!B12+SXS_Transit_temp!B38,IF(AND($D$3,NOT($F$3)), SXS_Transit_temp!B12,IF(AND(NOT($D$3),$F$3), SXS_Transit_temp!B38,0)))</f>
        <v>13294.777960000001</v>
      </c>
      <c r="D16" s="225">
        <f>IF(AND($D$3,$F$3), SXS_Transit_temp!C12+SXS_Transit_temp!C38,IF(AND($D$3,NOT($F$3)), SXS_Transit_temp!C12,IF(AND(NOT($D$3),$F$3), SXS_Transit_temp!C38,0)))</f>
        <v>162.64968999999999</v>
      </c>
      <c r="E16" s="225">
        <f>IF(AND($D$3,$F$3), SXS_Transit_temp!D12+SXS_Transit_temp!D38,IF(AND($D$3,NOT($F$3)), SXS_Transit_temp!D12,IF(AND(NOT($D$3),$F$3), SXS_Transit_temp!D38,0)))</f>
        <v>0</v>
      </c>
      <c r="F16" s="225">
        <f>IF(AND($D$3,$F$3), SXS_Transit_temp!E12+SXS_Transit_temp!E38,IF(AND($D$3,NOT($F$3)), SXS_Transit_temp!E12,IF(AND(NOT($D$3),$F$3), SXS_Transit_temp!E38,0)))</f>
        <v>1316.5356099999999</v>
      </c>
      <c r="G16" s="225">
        <f>IF(AND($D$3,$F$3), SXS_Transit_temp!F12+SXS_Transit_temp!F38,IF(AND($D$3,NOT($F$3)), SXS_Transit_temp!F12,IF(AND(NOT($D$3),$F$3), SXS_Transit_temp!F38,0)))</f>
        <v>0</v>
      </c>
      <c r="H16" s="225">
        <f>IF(AND($D$3,$F$3), SXS_Transit_temp!G12+SXS_Transit_temp!G38,IF(AND($D$3,NOT($F$3)), SXS_Transit_temp!G12,IF(AND(NOT($D$3),$F$3), SXS_Transit_temp!G38,0)))</f>
        <v>1726.00279</v>
      </c>
      <c r="I16" s="225">
        <f>IF(AND($D$3,$F$3), SXS_Transit_temp!H12+SXS_Transit_temp!H38,IF(AND($D$3,NOT($F$3)), SXS_Transit_temp!H12,IF(AND(NOT($D$3),$F$3), SXS_Transit_temp!H38,0)))</f>
        <v>1093.8781300000001</v>
      </c>
      <c r="J16" s="225">
        <f>IF(AND($D$3,$F$3), SXS_Transit_temp!I12+SXS_Transit_temp!I38,IF(AND($D$3,NOT($F$3)), SXS_Transit_temp!I12,IF(AND(NOT($D$3),$F$3), SXS_Transit_temp!I38,0)))</f>
        <v>516.26886000000002</v>
      </c>
      <c r="K16" s="225">
        <f>IF(AND($D$3,$F$3), SXS_Transit_temp!J12+SXS_Transit_temp!J38,IF(AND($D$3,NOT($F$3)), SXS_Transit_temp!J12,IF(AND(NOT($D$3),$F$3), SXS_Transit_temp!J38,0)))</f>
        <v>0</v>
      </c>
      <c r="L16" s="224">
        <f>IF(AND($D$3,$F$3), SXS_Transit_temp!K12+SXS_Transit_temp!K38,IF(AND($D$3,NOT($F$3)), SXS_Transit_temp!K12,IF(AND(NOT($D$3),$F$3), SXS_Transit_temp!K38,0)))</f>
        <v>2014.36977</v>
      </c>
      <c r="M16" s="225">
        <f>IF(AND($D$3,$F$3), SXS_Transit_temp!L12+SXS_Transit_temp!L38,IF(AND($D$3,NOT($F$3)), SXS_Transit_temp!L12,IF(AND(NOT($D$3),$F$3), SXS_Transit_temp!L38,0)))</f>
        <v>153.07075</v>
      </c>
      <c r="N16" s="225">
        <f>IF(AND($D$3,$F$3), SXS_Transit_temp!M12+SXS_Transit_temp!M38,IF(AND($D$3,NOT($F$3)), SXS_Transit_temp!M12,IF(AND(NOT($D$3),$F$3), SXS_Transit_temp!M38,0)))</f>
        <v>0</v>
      </c>
      <c r="O16" s="225">
        <f>IF(AND($D$3,$F$3), SXS_Transit_temp!N12+SXS_Transit_temp!N38,IF(AND($D$3,NOT($F$3)), SXS_Transit_temp!N12,IF(AND(NOT($D$3),$F$3), SXS_Transit_temp!N38,0)))</f>
        <v>0</v>
      </c>
      <c r="P16" s="225">
        <f>IF(AND($D$3,$F$3), SXS_Transit_temp!O12+SXS_Transit_temp!O38,IF(AND($D$3,NOT($F$3)), SXS_Transit_temp!O12,IF(AND(NOT($D$3),$F$3), SXS_Transit_temp!O38,0)))</f>
        <v>0</v>
      </c>
      <c r="Q16" s="225">
        <f>IF(AND($D$3,$F$3), SXS_Transit_temp!P12+SXS_Transit_temp!P38,IF(AND($D$3,NOT($F$3)), SXS_Transit_temp!P12,IF(AND(NOT($D$3),$F$3), SXS_Transit_temp!P38,0)))</f>
        <v>0</v>
      </c>
      <c r="R16" s="225">
        <f>IF(AND($D$3,$F$3), SXS_Transit_temp!Q12+SXS_Transit_temp!Q38,IF(AND($D$3,NOT($F$3)), SXS_Transit_temp!Q12,IF(AND(NOT($D$3),$F$3), SXS_Transit_temp!Q38,0)))</f>
        <v>0</v>
      </c>
      <c r="S16" s="225">
        <f>IF(AND($D$3,$F$3), SXS_Transit_temp!R12+SXS_Transit_temp!R38,IF(AND($D$3,NOT($F$3)), SXS_Transit_temp!R12,IF(AND(NOT($D$3),$F$3), SXS_Transit_temp!R38,0)))</f>
        <v>0</v>
      </c>
      <c r="T16" s="225">
        <f>IF(AND($D$3,$F$3), SXS_Transit_temp!S12+SXS_Transit_temp!S38,IF(AND($D$3,NOT($F$3)), SXS_Transit_temp!S12,IF(AND(NOT($D$3),$F$3), SXS_Transit_temp!S38,0)))</f>
        <v>0</v>
      </c>
      <c r="U16" s="225">
        <f>IF(AND($D$3,$F$3), SXS_Transit_temp!T12+SXS_Transit_temp!T38,IF(AND($D$3,NOT($F$3)), SXS_Transit_temp!T12,IF(AND(NOT($D$3),$F$3), SXS_Transit_temp!T38,0)))</f>
        <v>0</v>
      </c>
      <c r="V16" s="225">
        <f>IF(AND($D$3,$F$3), SXS_Transit_temp!U12+SXS_Transit_temp!U38,IF(AND($D$3,NOT($F$3)), SXS_Transit_temp!U12,IF(AND(NOT($D$3),$F$3), SXS_Transit_temp!U38,0)))</f>
        <v>577.21716000000004</v>
      </c>
      <c r="W16" s="225">
        <f>IF(AND($D$3,$F$3), SXS_Transit_temp!V12+SXS_Transit_temp!V38,IF(AND($D$3,NOT($F$3)), SXS_Transit_temp!V12,IF(AND(NOT($D$3),$F$3), SXS_Transit_temp!V38,0)))</f>
        <v>0</v>
      </c>
      <c r="X16" s="225">
        <f>IF(AND($D$3,$F$3), SXS_Transit_temp!W12+SXS_Transit_temp!W38,IF(AND($D$3,NOT($F$3)), SXS_Transit_temp!W12,IF(AND(NOT($D$3),$F$3), SXS_Transit_temp!W38,0)))</f>
        <v>0</v>
      </c>
      <c r="Y16" s="225">
        <f>IF(AND($D$3,$F$3), SXS_Transit_temp!X12+SXS_Transit_temp!X38,IF(AND($D$3,NOT($F$3)), SXS_Transit_temp!X12,IF(AND(NOT($D$3),$F$3), SXS_Transit_temp!X38,0)))</f>
        <v>0</v>
      </c>
      <c r="Z16" s="225">
        <f>IF(AND($D$3,$F$3), SXS_Transit_temp!Y12+SXS_Transit_temp!Y38,IF(AND($D$3,NOT($F$3)), SXS_Transit_temp!Y12,IF(AND(NOT($D$3),$F$3), SXS_Transit_temp!Y38,0)))</f>
        <v>0</v>
      </c>
      <c r="AA16" s="225">
        <f>IF(AND($D$3,$F$3), SXS_Transit_temp!Z12+SXS_Transit_temp!Z38,IF(AND($D$3,NOT($F$3)), SXS_Transit_temp!Z12,IF(AND(NOT($D$3),$F$3), SXS_Transit_temp!Z38,0)))</f>
        <v>0</v>
      </c>
      <c r="AB16" s="226">
        <f t="shared" si="1"/>
        <v>20854.77072</v>
      </c>
      <c r="AD16" s="223" t="s">
        <v>462</v>
      </c>
      <c r="AE16" s="234">
        <f t="shared" si="2"/>
        <v>0.63749336487550701</v>
      </c>
      <c r="AF16" s="234">
        <f t="shared" si="0"/>
        <v>7.7991598269654813E-3</v>
      </c>
      <c r="AG16" s="234">
        <f t="shared" si="0"/>
        <v>0</v>
      </c>
      <c r="AH16" s="234">
        <f t="shared" si="0"/>
        <v>6.3128750139526818E-2</v>
      </c>
      <c r="AI16" s="234">
        <f t="shared" si="0"/>
        <v>0</v>
      </c>
      <c r="AJ16" s="234">
        <f t="shared" si="0"/>
        <v>8.2762971272790864E-2</v>
      </c>
      <c r="AK16" s="234">
        <f t="shared" si="0"/>
        <v>5.2452177234965064E-2</v>
      </c>
      <c r="AL16" s="234">
        <f t="shared" si="0"/>
        <v>2.475543207506431E-2</v>
      </c>
      <c r="AM16" s="234">
        <f t="shared" si="0"/>
        <v>0</v>
      </c>
      <c r="AN16" s="233">
        <f t="shared" si="0"/>
        <v>9.6590358007062282E-2</v>
      </c>
      <c r="AO16" s="234">
        <f t="shared" si="0"/>
        <v>7.3398433411307239E-3</v>
      </c>
      <c r="AP16" s="234">
        <f t="shared" si="0"/>
        <v>0</v>
      </c>
      <c r="AQ16" s="234">
        <f t="shared" si="0"/>
        <v>0</v>
      </c>
      <c r="AR16" s="234">
        <f t="shared" si="0"/>
        <v>0</v>
      </c>
      <c r="AS16" s="234">
        <f t="shared" si="0"/>
        <v>0</v>
      </c>
      <c r="AT16" s="234">
        <f t="shared" si="0"/>
        <v>0</v>
      </c>
      <c r="AU16" s="234">
        <f t="shared" si="0"/>
        <v>0</v>
      </c>
      <c r="AV16" s="234">
        <f t="shared" si="0"/>
        <v>0</v>
      </c>
      <c r="AW16" s="234">
        <f t="shared" si="0"/>
        <v>0</v>
      </c>
      <c r="AX16" s="234">
        <f t="shared" si="0"/>
        <v>2.7677943226987443E-2</v>
      </c>
      <c r="AY16" s="234">
        <f t="shared" si="0"/>
        <v>0</v>
      </c>
      <c r="AZ16" s="234">
        <f t="shared" si="0"/>
        <v>0</v>
      </c>
      <c r="BA16" s="234">
        <f t="shared" si="0"/>
        <v>0</v>
      </c>
      <c r="BB16" s="234">
        <f t="shared" si="0"/>
        <v>0</v>
      </c>
      <c r="BC16" s="234">
        <f t="shared" si="0"/>
        <v>0</v>
      </c>
      <c r="BD16" s="237">
        <f t="shared" si="3"/>
        <v>1</v>
      </c>
    </row>
    <row r="17" spans="2:56" x14ac:dyDescent="0.25">
      <c r="B17" s="223" t="s">
        <v>463</v>
      </c>
      <c r="C17" s="225">
        <f>IF(AND($D$3,$F$3), SXS_Transit_temp!B13+SXS_Transit_temp!B39,IF(AND($D$3,NOT($F$3)), SXS_Transit_temp!B13,IF(AND(NOT($D$3),$F$3), SXS_Transit_temp!B39,0)))</f>
        <v>13965.488229999999</v>
      </c>
      <c r="D17" s="225">
        <f>IF(AND($D$3,$F$3), SXS_Transit_temp!C13+SXS_Transit_temp!C39,IF(AND($D$3,NOT($F$3)), SXS_Transit_temp!C13,IF(AND(NOT($D$3),$F$3), SXS_Transit_temp!C39,0)))</f>
        <v>0</v>
      </c>
      <c r="E17" s="225">
        <f>IF(AND($D$3,$F$3), SXS_Transit_temp!D13+SXS_Transit_temp!D39,IF(AND($D$3,NOT($F$3)), SXS_Transit_temp!D13,IF(AND(NOT($D$3),$F$3), SXS_Transit_temp!D39,0)))</f>
        <v>1607.89797</v>
      </c>
      <c r="F17" s="225">
        <f>IF(AND($D$3,$F$3), SXS_Transit_temp!E13+SXS_Transit_temp!E39,IF(AND($D$3,NOT($F$3)), SXS_Transit_temp!E13,IF(AND(NOT($D$3),$F$3), SXS_Transit_temp!E39,0)))</f>
        <v>0</v>
      </c>
      <c r="G17" s="225">
        <f>IF(AND($D$3,$F$3), SXS_Transit_temp!F13+SXS_Transit_temp!F39,IF(AND($D$3,NOT($F$3)), SXS_Transit_temp!F13,IF(AND(NOT($D$3),$F$3), SXS_Transit_temp!F39,0)))</f>
        <v>714.81709999999998</v>
      </c>
      <c r="H17" s="225">
        <f>IF(AND($D$3,$F$3), SXS_Transit_temp!G13+SXS_Transit_temp!G39,IF(AND($D$3,NOT($F$3)), SXS_Transit_temp!G13,IF(AND(NOT($D$3),$F$3), SXS_Transit_temp!G39,0)))</f>
        <v>0</v>
      </c>
      <c r="I17" s="225">
        <f>IF(AND($D$3,$F$3), SXS_Transit_temp!H13+SXS_Transit_temp!H39,IF(AND($D$3,NOT($F$3)), SXS_Transit_temp!H13,IF(AND(NOT($D$3),$F$3), SXS_Transit_temp!H39,0)))</f>
        <v>0</v>
      </c>
      <c r="J17" s="225">
        <f>IF(AND($D$3,$F$3), SXS_Transit_temp!I13+SXS_Transit_temp!I39,IF(AND($D$3,NOT($F$3)), SXS_Transit_temp!I13,IF(AND(NOT($D$3),$F$3), SXS_Transit_temp!I39,0)))</f>
        <v>0</v>
      </c>
      <c r="K17" s="225">
        <f>IF(AND($D$3,$F$3), SXS_Transit_temp!J13+SXS_Transit_temp!J39,IF(AND($D$3,NOT($F$3)), SXS_Transit_temp!J13,IF(AND(NOT($D$3),$F$3), SXS_Transit_temp!J39,0)))</f>
        <v>0</v>
      </c>
      <c r="L17" s="225">
        <f>IF(AND($D$3,$F$3), SXS_Transit_temp!K13+SXS_Transit_temp!K39,IF(AND($D$3,NOT($F$3)), SXS_Transit_temp!K13,IF(AND(NOT($D$3),$F$3), SXS_Transit_temp!K39,0)))</f>
        <v>206.23599999999999</v>
      </c>
      <c r="M17" s="224">
        <f>IF(AND($D$3,$F$3), SXS_Transit_temp!L13+SXS_Transit_temp!L39,IF(AND($D$3,NOT($F$3)), SXS_Transit_temp!L13,IF(AND(NOT($D$3),$F$3), SXS_Transit_temp!L39,0)))</f>
        <v>362.57045999999997</v>
      </c>
      <c r="N17" s="225">
        <f>IF(AND($D$3,$F$3), SXS_Transit_temp!M13+SXS_Transit_temp!M39,IF(AND($D$3,NOT($F$3)), SXS_Transit_temp!M13,IF(AND(NOT($D$3),$F$3), SXS_Transit_temp!M39,0)))</f>
        <v>34.875660000000003</v>
      </c>
      <c r="O17" s="225">
        <f>IF(AND($D$3,$F$3), SXS_Transit_temp!N13+SXS_Transit_temp!N39,IF(AND($D$3,NOT($F$3)), SXS_Transit_temp!N13,IF(AND(NOT($D$3),$F$3), SXS_Transit_temp!N39,0)))</f>
        <v>2030.7731699999999</v>
      </c>
      <c r="P17" s="225">
        <f>IF(AND($D$3,$F$3), SXS_Transit_temp!O13+SXS_Transit_temp!O39,IF(AND($D$3,NOT($F$3)), SXS_Transit_temp!O13,IF(AND(NOT($D$3),$F$3), SXS_Transit_temp!O39,0)))</f>
        <v>0</v>
      </c>
      <c r="Q17" s="225">
        <f>IF(AND($D$3,$F$3), SXS_Transit_temp!P13+SXS_Transit_temp!P39,IF(AND($D$3,NOT($F$3)), SXS_Transit_temp!P13,IF(AND(NOT($D$3),$F$3), SXS_Transit_temp!P39,0)))</f>
        <v>0</v>
      </c>
      <c r="R17" s="225">
        <f>IF(AND($D$3,$F$3), SXS_Transit_temp!Q13+SXS_Transit_temp!Q39,IF(AND($D$3,NOT($F$3)), SXS_Transit_temp!Q13,IF(AND(NOT($D$3),$F$3), SXS_Transit_temp!Q39,0)))</f>
        <v>0</v>
      </c>
      <c r="S17" s="225">
        <f>IF(AND($D$3,$F$3), SXS_Transit_temp!R13+SXS_Transit_temp!R39,IF(AND($D$3,NOT($F$3)), SXS_Transit_temp!R13,IF(AND(NOT($D$3),$F$3), SXS_Transit_temp!R39,0)))</f>
        <v>0</v>
      </c>
      <c r="T17" s="225">
        <f>IF(AND($D$3,$F$3), SXS_Transit_temp!S13+SXS_Transit_temp!S39,IF(AND($D$3,NOT($F$3)), SXS_Transit_temp!S13,IF(AND(NOT($D$3),$F$3), SXS_Transit_temp!S39,0)))</f>
        <v>0</v>
      </c>
      <c r="U17" s="225">
        <f>IF(AND($D$3,$F$3), SXS_Transit_temp!T13+SXS_Transit_temp!T39,IF(AND($D$3,NOT($F$3)), SXS_Transit_temp!T13,IF(AND(NOT($D$3),$F$3), SXS_Transit_temp!T39,0)))</f>
        <v>0</v>
      </c>
      <c r="V17" s="225">
        <f>IF(AND($D$3,$F$3), SXS_Transit_temp!U13+SXS_Transit_temp!U39,IF(AND($D$3,NOT($F$3)), SXS_Transit_temp!U13,IF(AND(NOT($D$3),$F$3), SXS_Transit_temp!U39,0)))</f>
        <v>1880.9345800000001</v>
      </c>
      <c r="W17" s="225">
        <f>IF(AND($D$3,$F$3), SXS_Transit_temp!V13+SXS_Transit_temp!V39,IF(AND($D$3,NOT($F$3)), SXS_Transit_temp!V13,IF(AND(NOT($D$3),$F$3), SXS_Transit_temp!V39,0)))</f>
        <v>0</v>
      </c>
      <c r="X17" s="225">
        <f>IF(AND($D$3,$F$3), SXS_Transit_temp!W13+SXS_Transit_temp!W39,IF(AND($D$3,NOT($F$3)), SXS_Transit_temp!W13,IF(AND(NOT($D$3),$F$3), SXS_Transit_temp!W39,0)))</f>
        <v>0</v>
      </c>
      <c r="Y17" s="225">
        <f>IF(AND($D$3,$F$3), SXS_Transit_temp!X13+SXS_Transit_temp!X39,IF(AND($D$3,NOT($F$3)), SXS_Transit_temp!X13,IF(AND(NOT($D$3),$F$3), SXS_Transit_temp!X39,0)))</f>
        <v>0</v>
      </c>
      <c r="Z17" s="225">
        <f>IF(AND($D$3,$F$3), SXS_Transit_temp!Y13+SXS_Transit_temp!Y39,IF(AND($D$3,NOT($F$3)), SXS_Transit_temp!Y13,IF(AND(NOT($D$3),$F$3), SXS_Transit_temp!Y39,0)))</f>
        <v>0</v>
      </c>
      <c r="AA17" s="225">
        <f>IF(AND($D$3,$F$3), SXS_Transit_temp!Z13+SXS_Transit_temp!Z39,IF(AND($D$3,NOT($F$3)), SXS_Transit_temp!Z13,IF(AND(NOT($D$3),$F$3), SXS_Transit_temp!Z39,0)))</f>
        <v>0</v>
      </c>
      <c r="AB17" s="226">
        <f t="shared" si="1"/>
        <v>20803.59317</v>
      </c>
      <c r="AD17" s="223" t="s">
        <v>463</v>
      </c>
      <c r="AE17" s="234">
        <f t="shared" si="2"/>
        <v>0.67130173695854867</v>
      </c>
      <c r="AF17" s="234">
        <f t="shared" si="0"/>
        <v>0</v>
      </c>
      <c r="AG17" s="234">
        <f t="shared" si="0"/>
        <v>7.7289435380743898E-2</v>
      </c>
      <c r="AH17" s="234">
        <f t="shared" si="0"/>
        <v>0</v>
      </c>
      <c r="AI17" s="234">
        <f t="shared" si="0"/>
        <v>3.4360271043504545E-2</v>
      </c>
      <c r="AJ17" s="234">
        <f t="shared" si="0"/>
        <v>0</v>
      </c>
      <c r="AK17" s="234">
        <f t="shared" si="0"/>
        <v>0</v>
      </c>
      <c r="AL17" s="234">
        <f t="shared" si="0"/>
        <v>0</v>
      </c>
      <c r="AM17" s="234">
        <f t="shared" si="0"/>
        <v>0</v>
      </c>
      <c r="AN17" s="234">
        <f t="shared" si="0"/>
        <v>9.9134797683606106E-3</v>
      </c>
      <c r="AO17" s="233">
        <f t="shared" si="0"/>
        <v>1.7428261408363236E-2</v>
      </c>
      <c r="AP17" s="234">
        <f t="shared" si="0"/>
        <v>1.676424823106652E-3</v>
      </c>
      <c r="AQ17" s="234">
        <f t="shared" si="0"/>
        <v>9.7616462377686453E-2</v>
      </c>
      <c r="AR17" s="234">
        <f t="shared" si="0"/>
        <v>0</v>
      </c>
      <c r="AS17" s="234">
        <f t="shared" si="0"/>
        <v>0</v>
      </c>
      <c r="AT17" s="234">
        <f t="shared" si="0"/>
        <v>0</v>
      </c>
      <c r="AU17" s="234">
        <f t="shared" ref="AU17:BC32" si="4">IF($AB17&gt;0,S17/$AB17,"")</f>
        <v>0</v>
      </c>
      <c r="AV17" s="234">
        <f t="shared" si="4"/>
        <v>0</v>
      </c>
      <c r="AW17" s="234">
        <f t="shared" si="4"/>
        <v>0</v>
      </c>
      <c r="AX17" s="234">
        <f t="shared" si="4"/>
        <v>9.0413928239685915E-2</v>
      </c>
      <c r="AY17" s="234">
        <f t="shared" si="4"/>
        <v>0</v>
      </c>
      <c r="AZ17" s="234">
        <f t="shared" si="4"/>
        <v>0</v>
      </c>
      <c r="BA17" s="234">
        <f t="shared" si="4"/>
        <v>0</v>
      </c>
      <c r="BB17" s="234">
        <f t="shared" si="4"/>
        <v>0</v>
      </c>
      <c r="BC17" s="234">
        <f t="shared" si="4"/>
        <v>0</v>
      </c>
      <c r="BD17" s="237">
        <f t="shared" si="3"/>
        <v>1.0000000000000002</v>
      </c>
    </row>
    <row r="18" spans="2:56" x14ac:dyDescent="0.25">
      <c r="B18" s="223" t="s">
        <v>464</v>
      </c>
      <c r="C18" s="225">
        <f>IF(AND($D$3,$F$3), SXS_Transit_temp!B14+SXS_Transit_temp!B40,IF(AND($D$3,NOT($F$3)), SXS_Transit_temp!B14,IF(AND(NOT($D$3),$F$3), SXS_Transit_temp!B40,0)))</f>
        <v>18360.010689999999</v>
      </c>
      <c r="D18" s="225">
        <f>IF(AND($D$3,$F$3), SXS_Transit_temp!C14+SXS_Transit_temp!C40,IF(AND($D$3,NOT($F$3)), SXS_Transit_temp!C14,IF(AND(NOT($D$3),$F$3), SXS_Transit_temp!C40,0)))</f>
        <v>1232.87312</v>
      </c>
      <c r="E18" s="225">
        <f>IF(AND($D$3,$F$3), SXS_Transit_temp!D14+SXS_Transit_temp!D40,IF(AND($D$3,NOT($F$3)), SXS_Transit_temp!D14,IF(AND(NOT($D$3),$F$3), SXS_Transit_temp!D40,0)))</f>
        <v>0</v>
      </c>
      <c r="F18" s="225">
        <f>IF(AND($D$3,$F$3), SXS_Transit_temp!E14+SXS_Transit_temp!E40,IF(AND($D$3,NOT($F$3)), SXS_Transit_temp!E14,IF(AND(NOT($D$3),$F$3), SXS_Transit_temp!E40,0)))</f>
        <v>160.01455999999999</v>
      </c>
      <c r="G18" s="225">
        <f>IF(AND($D$3,$F$3), SXS_Transit_temp!F14+SXS_Transit_temp!F40,IF(AND($D$3,NOT($F$3)), SXS_Transit_temp!F14,IF(AND(NOT($D$3),$F$3), SXS_Transit_temp!F40,0)))</f>
        <v>878.68217000000004</v>
      </c>
      <c r="H18" s="225">
        <f>IF(AND($D$3,$F$3), SXS_Transit_temp!G14+SXS_Transit_temp!G40,IF(AND($D$3,NOT($F$3)), SXS_Transit_temp!G14,IF(AND(NOT($D$3),$F$3), SXS_Transit_temp!G40,0)))</f>
        <v>0</v>
      </c>
      <c r="I18" s="225">
        <f>IF(AND($D$3,$F$3), SXS_Transit_temp!H14+SXS_Transit_temp!H40,IF(AND($D$3,NOT($F$3)), SXS_Transit_temp!H14,IF(AND(NOT($D$3),$F$3), SXS_Transit_temp!H40,0)))</f>
        <v>0</v>
      </c>
      <c r="J18" s="225">
        <f>IF(AND($D$3,$F$3), SXS_Transit_temp!I14+SXS_Transit_temp!I40,IF(AND($D$3,NOT($F$3)), SXS_Transit_temp!I14,IF(AND(NOT($D$3),$F$3), SXS_Transit_temp!I40,0)))</f>
        <v>306.95483000000002</v>
      </c>
      <c r="K18" s="225">
        <f>IF(AND($D$3,$F$3), SXS_Transit_temp!J14+SXS_Transit_temp!J40,IF(AND($D$3,NOT($F$3)), SXS_Transit_temp!J14,IF(AND(NOT($D$3),$F$3), SXS_Transit_temp!J40,0)))</f>
        <v>0</v>
      </c>
      <c r="L18" s="225">
        <f>IF(AND($D$3,$F$3), SXS_Transit_temp!K14+SXS_Transit_temp!K40,IF(AND($D$3,NOT($F$3)), SXS_Transit_temp!K14,IF(AND(NOT($D$3),$F$3), SXS_Transit_temp!K40,0)))</f>
        <v>0</v>
      </c>
      <c r="M18" s="225">
        <f>IF(AND($D$3,$F$3), SXS_Transit_temp!L14+SXS_Transit_temp!L40,IF(AND($D$3,NOT($F$3)), SXS_Transit_temp!L14,IF(AND(NOT($D$3),$F$3), SXS_Transit_temp!L40,0)))</f>
        <v>1880.9345800000001</v>
      </c>
      <c r="N18" s="224">
        <f>IF(AND($D$3,$F$3), SXS_Transit_temp!M14+SXS_Transit_temp!M40,IF(AND($D$3,NOT($F$3)), SXS_Transit_temp!M14,IF(AND(NOT($D$3),$F$3), SXS_Transit_temp!M40,0)))</f>
        <v>2504.8641699999998</v>
      </c>
      <c r="O18" s="225">
        <f>IF(AND($D$3,$F$3), SXS_Transit_temp!N14+SXS_Transit_temp!N40,IF(AND($D$3,NOT($F$3)), SXS_Transit_temp!N14,IF(AND(NOT($D$3),$F$3), SXS_Transit_temp!N40,0)))</f>
        <v>1269.3203100000001</v>
      </c>
      <c r="P18" s="225">
        <f>IF(AND($D$3,$F$3), SXS_Transit_temp!O14+SXS_Transit_temp!O40,IF(AND($D$3,NOT($F$3)), SXS_Transit_temp!O14,IF(AND(NOT($D$3),$F$3), SXS_Transit_temp!O40,0)))</f>
        <v>0</v>
      </c>
      <c r="Q18" s="225">
        <f>IF(AND($D$3,$F$3), SXS_Transit_temp!P14+SXS_Transit_temp!P40,IF(AND($D$3,NOT($F$3)), SXS_Transit_temp!P14,IF(AND(NOT($D$3),$F$3), SXS_Transit_temp!P40,0)))</f>
        <v>0</v>
      </c>
      <c r="R18" s="225">
        <f>IF(AND($D$3,$F$3), SXS_Transit_temp!Q14+SXS_Transit_temp!Q40,IF(AND($D$3,NOT($F$3)), SXS_Transit_temp!Q14,IF(AND(NOT($D$3),$F$3), SXS_Transit_temp!Q40,0)))</f>
        <v>0</v>
      </c>
      <c r="S18" s="225">
        <f>IF(AND($D$3,$F$3), SXS_Transit_temp!R14+SXS_Transit_temp!R40,IF(AND($D$3,NOT($F$3)), SXS_Transit_temp!R14,IF(AND(NOT($D$3),$F$3), SXS_Transit_temp!R40,0)))</f>
        <v>0</v>
      </c>
      <c r="T18" s="225">
        <f>IF(AND($D$3,$F$3), SXS_Transit_temp!S14+SXS_Transit_temp!S40,IF(AND($D$3,NOT($F$3)), SXS_Transit_temp!S14,IF(AND(NOT($D$3),$F$3), SXS_Transit_temp!S40,0)))</f>
        <v>0</v>
      </c>
      <c r="U18" s="225">
        <f>IF(AND($D$3,$F$3), SXS_Transit_temp!T14+SXS_Transit_temp!T40,IF(AND($D$3,NOT($F$3)), SXS_Transit_temp!T14,IF(AND(NOT($D$3),$F$3), SXS_Transit_temp!T40,0)))</f>
        <v>0</v>
      </c>
      <c r="V18" s="225">
        <f>IF(AND($D$3,$F$3), SXS_Transit_temp!U14+SXS_Transit_temp!U40,IF(AND($D$3,NOT($F$3)), SXS_Transit_temp!U14,IF(AND(NOT($D$3),$F$3), SXS_Transit_temp!U40,0)))</f>
        <v>0</v>
      </c>
      <c r="W18" s="225">
        <f>IF(AND($D$3,$F$3), SXS_Transit_temp!V14+SXS_Transit_temp!V40,IF(AND($D$3,NOT($F$3)), SXS_Transit_temp!V14,IF(AND(NOT($D$3),$F$3), SXS_Transit_temp!V40,0)))</f>
        <v>0</v>
      </c>
      <c r="X18" s="225">
        <f>IF(AND($D$3,$F$3), SXS_Transit_temp!W14+SXS_Transit_temp!W40,IF(AND($D$3,NOT($F$3)), SXS_Transit_temp!W14,IF(AND(NOT($D$3),$F$3), SXS_Transit_temp!W40,0)))</f>
        <v>0</v>
      </c>
      <c r="Y18" s="225">
        <f>IF(AND($D$3,$F$3), SXS_Transit_temp!X14+SXS_Transit_temp!X40,IF(AND($D$3,NOT($F$3)), SXS_Transit_temp!X14,IF(AND(NOT($D$3),$F$3), SXS_Transit_temp!X40,0)))</f>
        <v>308.32069999999999</v>
      </c>
      <c r="Z18" s="225">
        <f>IF(AND($D$3,$F$3), SXS_Transit_temp!Y14+SXS_Transit_temp!Y40,IF(AND($D$3,NOT($F$3)), SXS_Transit_temp!Y14,IF(AND(NOT($D$3),$F$3), SXS_Transit_temp!Y40,0)))</f>
        <v>0</v>
      </c>
      <c r="AA18" s="225">
        <f>IF(AND($D$3,$F$3), SXS_Transit_temp!Z14+SXS_Transit_temp!Z40,IF(AND($D$3,NOT($F$3)), SXS_Transit_temp!Z14,IF(AND(NOT($D$3),$F$3), SXS_Transit_temp!Z40,0)))</f>
        <v>203.84465</v>
      </c>
      <c r="AB18" s="226">
        <f t="shared" si="1"/>
        <v>27105.819779999998</v>
      </c>
      <c r="AD18" s="223" t="s">
        <v>464</v>
      </c>
      <c r="AE18" s="234">
        <f t="shared" si="2"/>
        <v>0.67734570800721239</v>
      </c>
      <c r="AF18" s="234">
        <f t="shared" si="2"/>
        <v>4.5483705344697756E-2</v>
      </c>
      <c r="AG18" s="234">
        <f t="shared" si="2"/>
        <v>0</v>
      </c>
      <c r="AH18" s="234">
        <f t="shared" si="2"/>
        <v>5.9033285581743065E-3</v>
      </c>
      <c r="AI18" s="234">
        <f t="shared" si="2"/>
        <v>3.2416734750385034E-2</v>
      </c>
      <c r="AJ18" s="234">
        <f t="shared" si="2"/>
        <v>0</v>
      </c>
      <c r="AK18" s="234">
        <f t="shared" si="2"/>
        <v>0</v>
      </c>
      <c r="AL18" s="234">
        <f t="shared" si="2"/>
        <v>1.1324314574927054E-2</v>
      </c>
      <c r="AM18" s="234">
        <f t="shared" si="2"/>
        <v>0</v>
      </c>
      <c r="AN18" s="234">
        <f t="shared" si="2"/>
        <v>0</v>
      </c>
      <c r="AO18" s="234">
        <f t="shared" si="2"/>
        <v>6.939227794127982E-2</v>
      </c>
      <c r="AP18" s="233">
        <f t="shared" si="2"/>
        <v>9.2410566820347984E-2</v>
      </c>
      <c r="AQ18" s="234">
        <f t="shared" si="2"/>
        <v>4.6828331343683131E-2</v>
      </c>
      <c r="AR18" s="234">
        <f t="shared" si="2"/>
        <v>0</v>
      </c>
      <c r="AS18" s="234">
        <f t="shared" si="2"/>
        <v>0</v>
      </c>
      <c r="AT18" s="234">
        <f t="shared" si="2"/>
        <v>0</v>
      </c>
      <c r="AU18" s="234">
        <f t="shared" si="4"/>
        <v>0</v>
      </c>
      <c r="AV18" s="234">
        <f t="shared" si="4"/>
        <v>0</v>
      </c>
      <c r="AW18" s="234">
        <f t="shared" si="4"/>
        <v>0</v>
      </c>
      <c r="AX18" s="234">
        <f t="shared" si="4"/>
        <v>0</v>
      </c>
      <c r="AY18" s="234">
        <f t="shared" si="4"/>
        <v>0</v>
      </c>
      <c r="AZ18" s="234">
        <f t="shared" si="4"/>
        <v>0</v>
      </c>
      <c r="BA18" s="234">
        <f t="shared" si="4"/>
        <v>1.1374704860522025E-2</v>
      </c>
      <c r="BB18" s="234">
        <f t="shared" si="4"/>
        <v>0</v>
      </c>
      <c r="BC18" s="234">
        <f t="shared" si="4"/>
        <v>7.5203277987706011E-3</v>
      </c>
      <c r="BD18" s="237">
        <f t="shared" si="3"/>
        <v>1.0000000000000002</v>
      </c>
    </row>
    <row r="19" spans="2:56" x14ac:dyDescent="0.25">
      <c r="B19" s="223" t="s">
        <v>465</v>
      </c>
      <c r="C19" s="225">
        <f>IF(AND($D$3,$F$3), SXS_Transit_temp!B15+SXS_Transit_temp!B41,IF(AND($D$3,NOT($F$3)), SXS_Transit_temp!B15,IF(AND(NOT($D$3),$F$3), SXS_Transit_temp!B41,0)))</f>
        <v>45624.963469999995</v>
      </c>
      <c r="D19" s="225">
        <f>IF(AND($D$3,$F$3), SXS_Transit_temp!C15+SXS_Transit_temp!C41,IF(AND($D$3,NOT($F$3)), SXS_Transit_temp!C15,IF(AND(NOT($D$3),$F$3), SXS_Transit_temp!C41,0)))</f>
        <v>75.228570000000005</v>
      </c>
      <c r="E19" s="225">
        <f>IF(AND($D$3,$F$3), SXS_Transit_temp!D15+SXS_Transit_temp!D41,IF(AND($D$3,NOT($F$3)), SXS_Transit_temp!D15,IF(AND(NOT($D$3),$F$3), SXS_Transit_temp!D41,0)))</f>
        <v>0</v>
      </c>
      <c r="F19" s="225">
        <f>IF(AND($D$3,$F$3), SXS_Transit_temp!E15+SXS_Transit_temp!E41,IF(AND($D$3,NOT($F$3)), SXS_Transit_temp!E15,IF(AND(NOT($D$3),$F$3), SXS_Transit_temp!E41,0)))</f>
        <v>241.44669999999999</v>
      </c>
      <c r="G19" s="225">
        <f>IF(AND($D$3,$F$3), SXS_Transit_temp!F15+SXS_Transit_temp!F41,IF(AND($D$3,NOT($F$3)), SXS_Transit_temp!F15,IF(AND(NOT($D$3),$F$3), SXS_Transit_temp!F41,0)))</f>
        <v>106.17925</v>
      </c>
      <c r="H19" s="225">
        <f>IF(AND($D$3,$F$3), SXS_Transit_temp!G15+SXS_Transit_temp!G41,IF(AND($D$3,NOT($F$3)), SXS_Transit_temp!G15,IF(AND(NOT($D$3),$F$3), SXS_Transit_temp!G41,0)))</f>
        <v>0</v>
      </c>
      <c r="I19" s="225">
        <f>IF(AND($D$3,$F$3), SXS_Transit_temp!H15+SXS_Transit_temp!H41,IF(AND($D$3,NOT($F$3)), SXS_Transit_temp!H15,IF(AND(NOT($D$3),$F$3), SXS_Transit_temp!H41,0)))</f>
        <v>364.91388000000001</v>
      </c>
      <c r="J19" s="225">
        <f>IF(AND($D$3,$F$3), SXS_Transit_temp!I15+SXS_Transit_temp!I41,IF(AND($D$3,NOT($F$3)), SXS_Transit_temp!I15,IF(AND(NOT($D$3),$F$3), SXS_Transit_temp!I41,0)))</f>
        <v>0</v>
      </c>
      <c r="K19" s="225">
        <f>IF(AND($D$3,$F$3), SXS_Transit_temp!J15+SXS_Transit_temp!J41,IF(AND($D$3,NOT($F$3)), SXS_Transit_temp!J15,IF(AND(NOT($D$3),$F$3), SXS_Transit_temp!J41,0)))</f>
        <v>0</v>
      </c>
      <c r="L19" s="225">
        <f>IF(AND($D$3,$F$3), SXS_Transit_temp!K15+SXS_Transit_temp!K41,IF(AND($D$3,NOT($F$3)), SXS_Transit_temp!K15,IF(AND(NOT($D$3),$F$3), SXS_Transit_temp!K41,0)))</f>
        <v>0</v>
      </c>
      <c r="M19" s="225">
        <f>IF(AND($D$3,$F$3), SXS_Transit_temp!L15+SXS_Transit_temp!L41,IF(AND($D$3,NOT($F$3)), SXS_Transit_temp!L15,IF(AND(NOT($D$3),$F$3), SXS_Transit_temp!L41,0)))</f>
        <v>2244.1982800000001</v>
      </c>
      <c r="N19" s="225">
        <f>IF(AND($D$3,$F$3), SXS_Transit_temp!M15+SXS_Transit_temp!M41,IF(AND($D$3,NOT($F$3)), SXS_Transit_temp!M15,IF(AND(NOT($D$3),$F$3), SXS_Transit_temp!M41,0)))</f>
        <v>729.83316000000002</v>
      </c>
      <c r="O19" s="224">
        <f>IF(AND($D$3,$F$3), SXS_Transit_temp!N15+SXS_Transit_temp!N41,IF(AND($D$3,NOT($F$3)), SXS_Transit_temp!N15,IF(AND(NOT($D$3),$F$3), SXS_Transit_temp!N41,0)))</f>
        <v>3872.6536100000003</v>
      </c>
      <c r="P19" s="225">
        <f>IF(AND($D$3,$F$3), SXS_Transit_temp!O15+SXS_Transit_temp!O41,IF(AND($D$3,NOT($F$3)), SXS_Transit_temp!O15,IF(AND(NOT($D$3),$F$3), SXS_Transit_temp!O41,0)))</f>
        <v>412.41602999999998</v>
      </c>
      <c r="Q19" s="225">
        <f>IF(AND($D$3,$F$3), SXS_Transit_temp!P15+SXS_Transit_temp!P41,IF(AND($D$3,NOT($F$3)), SXS_Transit_temp!P15,IF(AND(NOT($D$3),$F$3), SXS_Transit_temp!P41,0)))</f>
        <v>0</v>
      </c>
      <c r="R19" s="225">
        <f>IF(AND($D$3,$F$3), SXS_Transit_temp!Q15+SXS_Transit_temp!Q41,IF(AND($D$3,NOT($F$3)), SXS_Transit_temp!Q15,IF(AND(NOT($D$3),$F$3), SXS_Transit_temp!Q41,0)))</f>
        <v>0</v>
      </c>
      <c r="S19" s="225">
        <f>IF(AND($D$3,$F$3), SXS_Transit_temp!R15+SXS_Transit_temp!R41,IF(AND($D$3,NOT($F$3)), SXS_Transit_temp!R15,IF(AND(NOT($D$3),$F$3), SXS_Transit_temp!R41,0)))</f>
        <v>0</v>
      </c>
      <c r="T19" s="225">
        <f>IF(AND($D$3,$F$3), SXS_Transit_temp!S15+SXS_Transit_temp!S41,IF(AND($D$3,NOT($F$3)), SXS_Transit_temp!S15,IF(AND(NOT($D$3),$F$3), SXS_Transit_temp!S41,0)))</f>
        <v>0</v>
      </c>
      <c r="U19" s="225">
        <f>IF(AND($D$3,$F$3), SXS_Transit_temp!T15+SXS_Transit_temp!T41,IF(AND($D$3,NOT($F$3)), SXS_Transit_temp!T15,IF(AND(NOT($D$3),$F$3), SXS_Transit_temp!T41,0)))</f>
        <v>0</v>
      </c>
      <c r="V19" s="225">
        <f>IF(AND($D$3,$F$3), SXS_Transit_temp!U15+SXS_Transit_temp!U41,IF(AND($D$3,NOT($F$3)), SXS_Transit_temp!U15,IF(AND(NOT($D$3),$F$3), SXS_Transit_temp!U41,0)))</f>
        <v>0</v>
      </c>
      <c r="W19" s="225">
        <f>IF(AND($D$3,$F$3), SXS_Transit_temp!V15+SXS_Transit_temp!V41,IF(AND($D$3,NOT($F$3)), SXS_Transit_temp!V15,IF(AND(NOT($D$3),$F$3), SXS_Transit_temp!V41,0)))</f>
        <v>210.92605</v>
      </c>
      <c r="X19" s="225">
        <f>IF(AND($D$3,$F$3), SXS_Transit_temp!W15+SXS_Transit_temp!W41,IF(AND($D$3,NOT($F$3)), SXS_Transit_temp!W15,IF(AND(NOT($D$3),$F$3), SXS_Transit_temp!W41,0)))</f>
        <v>0</v>
      </c>
      <c r="Y19" s="225">
        <f>IF(AND($D$3,$F$3), SXS_Transit_temp!X15+SXS_Transit_temp!X41,IF(AND($D$3,NOT($F$3)), SXS_Transit_temp!X15,IF(AND(NOT($D$3),$F$3), SXS_Transit_temp!X41,0)))</f>
        <v>0</v>
      </c>
      <c r="Z19" s="225">
        <f>IF(AND($D$3,$F$3), SXS_Transit_temp!Y15+SXS_Transit_temp!Y41,IF(AND($D$3,NOT($F$3)), SXS_Transit_temp!Y15,IF(AND(NOT($D$3),$F$3), SXS_Transit_temp!Y41,0)))</f>
        <v>948.17646999999988</v>
      </c>
      <c r="AA19" s="225">
        <f>IF(AND($D$3,$F$3), SXS_Transit_temp!Z15+SXS_Transit_temp!Z41,IF(AND($D$3,NOT($F$3)), SXS_Transit_temp!Z15,IF(AND(NOT($D$3),$F$3), SXS_Transit_temp!Z41,0)))</f>
        <v>870.68579</v>
      </c>
      <c r="AB19" s="226">
        <f t="shared" si="1"/>
        <v>55701.62126</v>
      </c>
      <c r="AD19" s="223" t="s">
        <v>465</v>
      </c>
      <c r="AE19" s="234">
        <f t="shared" si="2"/>
        <v>0.81909578999568233</v>
      </c>
      <c r="AF19" s="234">
        <f t="shared" si="2"/>
        <v>1.3505633821474159E-3</v>
      </c>
      <c r="AG19" s="234">
        <f t="shared" si="2"/>
        <v>0</v>
      </c>
      <c r="AH19" s="234">
        <f t="shared" si="2"/>
        <v>4.3346440289950012E-3</v>
      </c>
      <c r="AI19" s="234">
        <f t="shared" si="2"/>
        <v>1.9062147132914529E-3</v>
      </c>
      <c r="AJ19" s="234">
        <f t="shared" si="2"/>
        <v>0</v>
      </c>
      <c r="AK19" s="234">
        <f t="shared" si="2"/>
        <v>6.5512254714576688E-3</v>
      </c>
      <c r="AL19" s="234">
        <f t="shared" si="2"/>
        <v>0</v>
      </c>
      <c r="AM19" s="234">
        <f t="shared" si="2"/>
        <v>0</v>
      </c>
      <c r="AN19" s="234">
        <f t="shared" si="2"/>
        <v>0</v>
      </c>
      <c r="AO19" s="234">
        <f t="shared" si="2"/>
        <v>4.0289640215761292E-2</v>
      </c>
      <c r="AP19" s="234">
        <f t="shared" si="2"/>
        <v>1.3102547888028924E-2</v>
      </c>
      <c r="AQ19" s="233">
        <f t="shared" si="2"/>
        <v>6.9524971130077301E-2</v>
      </c>
      <c r="AR19" s="234">
        <f t="shared" si="2"/>
        <v>7.4040220135596097E-3</v>
      </c>
      <c r="AS19" s="234">
        <f t="shared" si="2"/>
        <v>0</v>
      </c>
      <c r="AT19" s="234">
        <f t="shared" si="2"/>
        <v>0</v>
      </c>
      <c r="AU19" s="234">
        <f t="shared" si="4"/>
        <v>0</v>
      </c>
      <c r="AV19" s="234">
        <f t="shared" si="4"/>
        <v>0</v>
      </c>
      <c r="AW19" s="234">
        <f t="shared" si="4"/>
        <v>0</v>
      </c>
      <c r="AX19" s="234">
        <f t="shared" si="4"/>
        <v>0</v>
      </c>
      <c r="AY19" s="234">
        <f t="shared" si="4"/>
        <v>3.7867129399242194E-3</v>
      </c>
      <c r="AZ19" s="234">
        <f t="shared" si="4"/>
        <v>0</v>
      </c>
      <c r="BA19" s="234">
        <f t="shared" si="4"/>
        <v>0</v>
      </c>
      <c r="BB19" s="234">
        <f t="shared" si="4"/>
        <v>1.7022421404471699E-2</v>
      </c>
      <c r="BC19" s="234">
        <f t="shared" si="4"/>
        <v>1.5631246816602981E-2</v>
      </c>
      <c r="BD19" s="237">
        <f t="shared" si="3"/>
        <v>1</v>
      </c>
    </row>
    <row r="20" spans="2:56" x14ac:dyDescent="0.25">
      <c r="B20" s="223" t="s">
        <v>466</v>
      </c>
      <c r="C20" s="225">
        <f>IF(AND($D$3,$F$3), SXS_Transit_temp!B16+SXS_Transit_temp!B42,IF(AND($D$3,NOT($F$3)), SXS_Transit_temp!B16,IF(AND(NOT($D$3),$F$3), SXS_Transit_temp!B42,0)))</f>
        <v>15942.84086</v>
      </c>
      <c r="D20" s="225">
        <f>IF(AND($D$3,$F$3), SXS_Transit_temp!C16+SXS_Transit_temp!C42,IF(AND($D$3,NOT($F$3)), SXS_Transit_temp!C16,IF(AND(NOT($D$3),$F$3), SXS_Transit_temp!C42,0)))</f>
        <v>0</v>
      </c>
      <c r="E20" s="225">
        <f>IF(AND($D$3,$F$3), SXS_Transit_temp!D16+SXS_Transit_temp!D42,IF(AND($D$3,NOT($F$3)), SXS_Transit_temp!D16,IF(AND(NOT($D$3),$F$3), SXS_Transit_temp!D42,0)))</f>
        <v>0</v>
      </c>
      <c r="F20" s="225">
        <f>IF(AND($D$3,$F$3), SXS_Transit_temp!E16+SXS_Transit_temp!E42,IF(AND($D$3,NOT($F$3)), SXS_Transit_temp!E16,IF(AND(NOT($D$3),$F$3), SXS_Transit_temp!E42,0)))</f>
        <v>83.996650000000002</v>
      </c>
      <c r="G20" s="225">
        <f>IF(AND($D$3,$F$3), SXS_Transit_temp!F16+SXS_Transit_temp!F42,IF(AND($D$3,NOT($F$3)), SXS_Transit_temp!F16,IF(AND(NOT($D$3),$F$3), SXS_Transit_temp!F42,0)))</f>
        <v>0</v>
      </c>
      <c r="H20" s="225">
        <f>IF(AND($D$3,$F$3), SXS_Transit_temp!G16+SXS_Transit_temp!G42,IF(AND($D$3,NOT($F$3)), SXS_Transit_temp!G16,IF(AND(NOT($D$3),$F$3), SXS_Transit_temp!G42,0)))</f>
        <v>344.59926000000002</v>
      </c>
      <c r="I20" s="225">
        <f>IF(AND($D$3,$F$3), SXS_Transit_temp!H16+SXS_Transit_temp!H42,IF(AND($D$3,NOT($F$3)), SXS_Transit_temp!H16,IF(AND(NOT($D$3),$F$3), SXS_Transit_temp!H42,0)))</f>
        <v>300.01279</v>
      </c>
      <c r="J20" s="225">
        <f>IF(AND($D$3,$F$3), SXS_Transit_temp!I16+SXS_Transit_temp!I42,IF(AND($D$3,NOT($F$3)), SXS_Transit_temp!I16,IF(AND(NOT($D$3),$F$3), SXS_Transit_temp!I42,0)))</f>
        <v>17.819379999999999</v>
      </c>
      <c r="K20" s="225">
        <f>IF(AND($D$3,$F$3), SXS_Transit_temp!J16+SXS_Transit_temp!J42,IF(AND($D$3,NOT($F$3)), SXS_Transit_temp!J16,IF(AND(NOT($D$3),$F$3), SXS_Transit_temp!J42,0)))</f>
        <v>0</v>
      </c>
      <c r="L20" s="225">
        <f>IF(AND($D$3,$F$3), SXS_Transit_temp!K16+SXS_Transit_temp!K42,IF(AND($D$3,NOT($F$3)), SXS_Transit_temp!K16,IF(AND(NOT($D$3),$F$3), SXS_Transit_temp!K42,0)))</f>
        <v>0</v>
      </c>
      <c r="M20" s="225">
        <f>IF(AND($D$3,$F$3), SXS_Transit_temp!L16+SXS_Transit_temp!L42,IF(AND($D$3,NOT($F$3)), SXS_Transit_temp!L16,IF(AND(NOT($D$3),$F$3), SXS_Transit_temp!L42,0)))</f>
        <v>0</v>
      </c>
      <c r="N20" s="225">
        <f>IF(AND($D$3,$F$3), SXS_Transit_temp!M16+SXS_Transit_temp!M42,IF(AND($D$3,NOT($F$3)), SXS_Transit_temp!M16,IF(AND(NOT($D$3),$F$3), SXS_Transit_temp!M42,0)))</f>
        <v>0</v>
      </c>
      <c r="O20" s="225">
        <f>IF(AND($D$3,$F$3), SXS_Transit_temp!N16+SXS_Transit_temp!N42,IF(AND($D$3,NOT($F$3)), SXS_Transit_temp!N16,IF(AND(NOT($D$3),$F$3), SXS_Transit_temp!N42,0)))</f>
        <v>187.56626</v>
      </c>
      <c r="P20" s="224">
        <f>IF(AND($D$3,$F$3), SXS_Transit_temp!O16+SXS_Transit_temp!O42,IF(AND($D$3,NOT($F$3)), SXS_Transit_temp!O16,IF(AND(NOT($D$3),$F$3), SXS_Transit_temp!O42,0)))</f>
        <v>0</v>
      </c>
      <c r="Q20" s="225">
        <f>IF(AND($D$3,$F$3), SXS_Transit_temp!P16+SXS_Transit_temp!P42,IF(AND($D$3,NOT($F$3)), SXS_Transit_temp!P16,IF(AND(NOT($D$3),$F$3), SXS_Transit_temp!P42,0)))</f>
        <v>0</v>
      </c>
      <c r="R20" s="225">
        <f>IF(AND($D$3,$F$3), SXS_Transit_temp!Q16+SXS_Transit_temp!Q42,IF(AND($D$3,NOT($F$3)), SXS_Transit_temp!Q16,IF(AND(NOT($D$3),$F$3), SXS_Transit_temp!Q42,0)))</f>
        <v>0</v>
      </c>
      <c r="S20" s="225">
        <f>IF(AND($D$3,$F$3), SXS_Transit_temp!R16+SXS_Transit_temp!R42,IF(AND($D$3,NOT($F$3)), SXS_Transit_temp!R16,IF(AND(NOT($D$3),$F$3), SXS_Transit_temp!R42,0)))</f>
        <v>0</v>
      </c>
      <c r="T20" s="225">
        <f>IF(AND($D$3,$F$3), SXS_Transit_temp!S16+SXS_Transit_temp!S42,IF(AND($D$3,NOT($F$3)), SXS_Transit_temp!S16,IF(AND(NOT($D$3),$F$3), SXS_Transit_temp!S42,0)))</f>
        <v>28.397030000000001</v>
      </c>
      <c r="U20" s="225">
        <f>IF(AND($D$3,$F$3), SXS_Transit_temp!T16+SXS_Transit_temp!T42,IF(AND($D$3,NOT($F$3)), SXS_Transit_temp!T16,IF(AND(NOT($D$3),$F$3), SXS_Transit_temp!T42,0)))</f>
        <v>0</v>
      </c>
      <c r="V20" s="225">
        <f>IF(AND($D$3,$F$3), SXS_Transit_temp!U16+SXS_Transit_temp!U42,IF(AND($D$3,NOT($F$3)), SXS_Transit_temp!U16,IF(AND(NOT($D$3),$F$3), SXS_Transit_temp!U42,0)))</f>
        <v>0</v>
      </c>
      <c r="W20" s="225">
        <f>IF(AND($D$3,$F$3), SXS_Transit_temp!V16+SXS_Transit_temp!V42,IF(AND($D$3,NOT($F$3)), SXS_Transit_temp!V16,IF(AND(NOT($D$3),$F$3), SXS_Transit_temp!V42,0)))</f>
        <v>0</v>
      </c>
      <c r="X20" s="225">
        <f>IF(AND($D$3,$F$3), SXS_Transit_temp!W16+SXS_Transit_temp!W42,IF(AND($D$3,NOT($F$3)), SXS_Transit_temp!W16,IF(AND(NOT($D$3),$F$3), SXS_Transit_temp!W42,0)))</f>
        <v>0</v>
      </c>
      <c r="Y20" s="225">
        <f>IF(AND($D$3,$F$3), SXS_Transit_temp!X16+SXS_Transit_temp!X42,IF(AND($D$3,NOT($F$3)), SXS_Transit_temp!X16,IF(AND(NOT($D$3),$F$3), SXS_Transit_temp!X42,0)))</f>
        <v>0</v>
      </c>
      <c r="Z20" s="225">
        <f>IF(AND($D$3,$F$3), SXS_Transit_temp!Y16+SXS_Transit_temp!Y42,IF(AND($D$3,NOT($F$3)), SXS_Transit_temp!Y16,IF(AND(NOT($D$3),$F$3), SXS_Transit_temp!Y42,0)))</f>
        <v>0</v>
      </c>
      <c r="AA20" s="225">
        <f>IF(AND($D$3,$F$3), SXS_Transit_temp!Z16+SXS_Transit_temp!Z42,IF(AND($D$3,NOT($F$3)), SXS_Transit_temp!Z16,IF(AND(NOT($D$3),$F$3), SXS_Transit_temp!Z42,0)))</f>
        <v>225.54621999999998</v>
      </c>
      <c r="AB20" s="226">
        <f t="shared" si="1"/>
        <v>17130.778450000002</v>
      </c>
      <c r="AD20" s="223" t="s">
        <v>466</v>
      </c>
      <c r="AE20" s="234">
        <f t="shared" si="2"/>
        <v>0.9306547806063068</v>
      </c>
      <c r="AF20" s="234">
        <f t="shared" si="2"/>
        <v>0</v>
      </c>
      <c r="AG20" s="234">
        <f t="shared" si="2"/>
        <v>0</v>
      </c>
      <c r="AH20" s="234">
        <f t="shared" si="2"/>
        <v>4.903259372897908E-3</v>
      </c>
      <c r="AI20" s="234">
        <f t="shared" si="2"/>
        <v>0</v>
      </c>
      <c r="AJ20" s="234">
        <f t="shared" si="2"/>
        <v>2.0115796897717746E-2</v>
      </c>
      <c r="AK20" s="234">
        <f t="shared" si="2"/>
        <v>1.7513085635638467E-2</v>
      </c>
      <c r="AL20" s="234">
        <f t="shared" si="2"/>
        <v>1.0401967459920071E-3</v>
      </c>
      <c r="AM20" s="234">
        <f t="shared" si="2"/>
        <v>0</v>
      </c>
      <c r="AN20" s="234">
        <f t="shared" si="2"/>
        <v>0</v>
      </c>
      <c r="AO20" s="234">
        <f t="shared" si="2"/>
        <v>0</v>
      </c>
      <c r="AP20" s="234">
        <f t="shared" si="2"/>
        <v>0</v>
      </c>
      <c r="AQ20" s="234">
        <f t="shared" si="2"/>
        <v>1.0949079783353336E-2</v>
      </c>
      <c r="AR20" s="233">
        <f t="shared" si="2"/>
        <v>0</v>
      </c>
      <c r="AS20" s="234">
        <f t="shared" si="2"/>
        <v>0</v>
      </c>
      <c r="AT20" s="234">
        <f t="shared" si="2"/>
        <v>0</v>
      </c>
      <c r="AU20" s="234">
        <f t="shared" si="4"/>
        <v>0</v>
      </c>
      <c r="AV20" s="234">
        <f t="shared" si="4"/>
        <v>1.6576613889954311E-3</v>
      </c>
      <c r="AW20" s="234">
        <f t="shared" si="4"/>
        <v>0</v>
      </c>
      <c r="AX20" s="234">
        <f t="shared" si="4"/>
        <v>0</v>
      </c>
      <c r="AY20" s="234">
        <f t="shared" si="4"/>
        <v>0</v>
      </c>
      <c r="AZ20" s="234">
        <f t="shared" si="4"/>
        <v>0</v>
      </c>
      <c r="BA20" s="234">
        <f t="shared" si="4"/>
        <v>0</v>
      </c>
      <c r="BB20" s="234">
        <f t="shared" si="4"/>
        <v>0</v>
      </c>
      <c r="BC20" s="234">
        <f t="shared" si="4"/>
        <v>1.3166139569098213E-2</v>
      </c>
      <c r="BD20" s="237">
        <f t="shared" si="3"/>
        <v>0.99999999999999989</v>
      </c>
    </row>
    <row r="21" spans="2:56" x14ac:dyDescent="0.25">
      <c r="B21" s="223" t="s">
        <v>467</v>
      </c>
      <c r="C21" s="225">
        <f>IF(AND($D$3,$F$3), SXS_Transit_temp!B17+SXS_Transit_temp!B43,IF(AND($D$3,NOT($F$3)), SXS_Transit_temp!B17,IF(AND(NOT($D$3),$F$3), SXS_Transit_temp!B43,0)))</f>
        <v>12091.679080000002</v>
      </c>
      <c r="D21" s="225">
        <f>IF(AND($D$3,$F$3), SXS_Transit_temp!C17+SXS_Transit_temp!C43,IF(AND($D$3,NOT($F$3)), SXS_Transit_temp!C17,IF(AND(NOT($D$3),$F$3), SXS_Transit_temp!C43,0)))</f>
        <v>0</v>
      </c>
      <c r="E21" s="225">
        <f>IF(AND($D$3,$F$3), SXS_Transit_temp!D17+SXS_Transit_temp!D43,IF(AND($D$3,NOT($F$3)), SXS_Transit_temp!D17,IF(AND(NOT($D$3),$F$3), SXS_Transit_temp!D43,0)))</f>
        <v>0</v>
      </c>
      <c r="F21" s="225">
        <f>IF(AND($D$3,$F$3), SXS_Transit_temp!E17+SXS_Transit_temp!E43,IF(AND($D$3,NOT($F$3)), SXS_Transit_temp!E17,IF(AND(NOT($D$3),$F$3), SXS_Transit_temp!E43,0)))</f>
        <v>0</v>
      </c>
      <c r="G21" s="225">
        <f>IF(AND($D$3,$F$3), SXS_Transit_temp!F17+SXS_Transit_temp!F43,IF(AND($D$3,NOT($F$3)), SXS_Transit_temp!F17,IF(AND(NOT($D$3),$F$3), SXS_Transit_temp!F43,0)))</f>
        <v>0</v>
      </c>
      <c r="H21" s="225">
        <f>IF(AND($D$3,$F$3), SXS_Transit_temp!G17+SXS_Transit_temp!G43,IF(AND($D$3,NOT($F$3)), SXS_Transit_temp!G17,IF(AND(NOT($D$3),$F$3), SXS_Transit_temp!G43,0)))</f>
        <v>0</v>
      </c>
      <c r="I21" s="225">
        <f>IF(AND($D$3,$F$3), SXS_Transit_temp!H17+SXS_Transit_temp!H43,IF(AND($D$3,NOT($F$3)), SXS_Transit_temp!H17,IF(AND(NOT($D$3),$F$3), SXS_Transit_temp!H43,0)))</f>
        <v>128.31186</v>
      </c>
      <c r="J21" s="225">
        <f>IF(AND($D$3,$F$3), SXS_Transit_temp!I17+SXS_Transit_temp!I43,IF(AND($D$3,NOT($F$3)), SXS_Transit_temp!I17,IF(AND(NOT($D$3),$F$3), SXS_Transit_temp!I43,0)))</f>
        <v>4141.5166799999997</v>
      </c>
      <c r="K21" s="225">
        <f>IF(AND($D$3,$F$3), SXS_Transit_temp!J17+SXS_Transit_temp!J43,IF(AND($D$3,NOT($F$3)), SXS_Transit_temp!J17,IF(AND(NOT($D$3),$F$3), SXS_Transit_temp!J43,0)))</f>
        <v>0</v>
      </c>
      <c r="L21" s="225">
        <f>IF(AND($D$3,$F$3), SXS_Transit_temp!K17+SXS_Transit_temp!K43,IF(AND($D$3,NOT($F$3)), SXS_Transit_temp!K17,IF(AND(NOT($D$3),$F$3), SXS_Transit_temp!K43,0)))</f>
        <v>0</v>
      </c>
      <c r="M21" s="225">
        <f>IF(AND($D$3,$F$3), SXS_Transit_temp!L17+SXS_Transit_temp!L43,IF(AND($D$3,NOT($F$3)), SXS_Transit_temp!L17,IF(AND(NOT($D$3),$F$3), SXS_Transit_temp!L43,0)))</f>
        <v>0</v>
      </c>
      <c r="N21" s="225">
        <f>IF(AND($D$3,$F$3), SXS_Transit_temp!M17+SXS_Transit_temp!M43,IF(AND($D$3,NOT($F$3)), SXS_Transit_temp!M17,IF(AND(NOT($D$3),$F$3), SXS_Transit_temp!M43,0)))</f>
        <v>0</v>
      </c>
      <c r="O21" s="225">
        <f>IF(AND($D$3,$F$3), SXS_Transit_temp!N17+SXS_Transit_temp!N43,IF(AND($D$3,NOT($F$3)), SXS_Transit_temp!N17,IF(AND(NOT($D$3),$F$3), SXS_Transit_temp!N43,0)))</f>
        <v>0</v>
      </c>
      <c r="P21" s="225">
        <f>IF(AND($D$3,$F$3), SXS_Transit_temp!O17+SXS_Transit_temp!O43,IF(AND($D$3,NOT($F$3)), SXS_Transit_temp!O17,IF(AND(NOT($D$3),$F$3), SXS_Transit_temp!O43,0)))</f>
        <v>0</v>
      </c>
      <c r="Q21" s="224">
        <f>IF(AND($D$3,$F$3), SXS_Transit_temp!P17+SXS_Transit_temp!P43,IF(AND($D$3,NOT($F$3)), SXS_Transit_temp!P17,IF(AND(NOT($D$3),$F$3), SXS_Transit_temp!P43,0)))</f>
        <v>745.78408999999999</v>
      </c>
      <c r="R21" s="225">
        <f>IF(AND($D$3,$F$3), SXS_Transit_temp!Q17+SXS_Transit_temp!Q43,IF(AND($D$3,NOT($F$3)), SXS_Transit_temp!Q17,IF(AND(NOT($D$3),$F$3), SXS_Transit_temp!Q43,0)))</f>
        <v>0</v>
      </c>
      <c r="S21" s="225">
        <f>IF(AND($D$3,$F$3), SXS_Transit_temp!R17+SXS_Transit_temp!R43,IF(AND($D$3,NOT($F$3)), SXS_Transit_temp!R17,IF(AND(NOT($D$3),$F$3), SXS_Transit_temp!R43,0)))</f>
        <v>0</v>
      </c>
      <c r="T21" s="225">
        <f>IF(AND($D$3,$F$3), SXS_Transit_temp!S17+SXS_Transit_temp!S43,IF(AND($D$3,NOT($F$3)), SXS_Transit_temp!S17,IF(AND(NOT($D$3),$F$3), SXS_Transit_temp!S43,0)))</f>
        <v>0</v>
      </c>
      <c r="U21" s="225">
        <f>IF(AND($D$3,$F$3), SXS_Transit_temp!T17+SXS_Transit_temp!T43,IF(AND($D$3,NOT($F$3)), SXS_Transit_temp!T17,IF(AND(NOT($D$3),$F$3), SXS_Transit_temp!T43,0)))</f>
        <v>0</v>
      </c>
      <c r="V21" s="225">
        <f>IF(AND($D$3,$F$3), SXS_Transit_temp!U17+SXS_Transit_temp!U43,IF(AND($D$3,NOT($F$3)), SXS_Transit_temp!U17,IF(AND(NOT($D$3),$F$3), SXS_Transit_temp!U43,0)))</f>
        <v>0</v>
      </c>
      <c r="W21" s="225">
        <f>IF(AND($D$3,$F$3), SXS_Transit_temp!V17+SXS_Transit_temp!V43,IF(AND($D$3,NOT($F$3)), SXS_Transit_temp!V17,IF(AND(NOT($D$3),$F$3), SXS_Transit_temp!V43,0)))</f>
        <v>0</v>
      </c>
      <c r="X21" s="225">
        <f>IF(AND($D$3,$F$3), SXS_Transit_temp!W17+SXS_Transit_temp!W43,IF(AND($D$3,NOT($F$3)), SXS_Transit_temp!W17,IF(AND(NOT($D$3),$F$3), SXS_Transit_temp!W43,0)))</f>
        <v>0</v>
      </c>
      <c r="Y21" s="225">
        <f>IF(AND($D$3,$F$3), SXS_Transit_temp!X17+SXS_Transit_temp!X43,IF(AND($D$3,NOT($F$3)), SXS_Transit_temp!X17,IF(AND(NOT($D$3),$F$3), SXS_Transit_temp!X43,0)))</f>
        <v>0</v>
      </c>
      <c r="Z21" s="225">
        <f>IF(AND($D$3,$F$3), SXS_Transit_temp!Y17+SXS_Transit_temp!Y43,IF(AND($D$3,NOT($F$3)), SXS_Transit_temp!Y17,IF(AND(NOT($D$3),$F$3), SXS_Transit_temp!Y43,0)))</f>
        <v>0</v>
      </c>
      <c r="AA21" s="225">
        <f>IF(AND($D$3,$F$3), SXS_Transit_temp!Z17+SXS_Transit_temp!Z43,IF(AND($D$3,NOT($F$3)), SXS_Transit_temp!Z17,IF(AND(NOT($D$3),$F$3), SXS_Transit_temp!Z43,0)))</f>
        <v>1599.8379500000001</v>
      </c>
      <c r="AB21" s="226">
        <f t="shared" si="1"/>
        <v>18707.129660000002</v>
      </c>
      <c r="AD21" s="223" t="s">
        <v>467</v>
      </c>
      <c r="AE21" s="234">
        <f t="shared" si="2"/>
        <v>0.6463674171166246</v>
      </c>
      <c r="AF21" s="234">
        <f t="shared" si="2"/>
        <v>0</v>
      </c>
      <c r="AG21" s="234">
        <f t="shared" si="2"/>
        <v>0</v>
      </c>
      <c r="AH21" s="234">
        <f t="shared" si="2"/>
        <v>0</v>
      </c>
      <c r="AI21" s="234">
        <f t="shared" si="2"/>
        <v>0</v>
      </c>
      <c r="AJ21" s="234">
        <f t="shared" si="2"/>
        <v>0</v>
      </c>
      <c r="AK21" s="234">
        <f t="shared" si="2"/>
        <v>6.8589817001353899E-3</v>
      </c>
      <c r="AL21" s="234">
        <f t="shared" si="2"/>
        <v>0.22138707301823443</v>
      </c>
      <c r="AM21" s="234">
        <f t="shared" si="2"/>
        <v>0</v>
      </c>
      <c r="AN21" s="234">
        <f t="shared" si="2"/>
        <v>0</v>
      </c>
      <c r="AO21" s="234">
        <f t="shared" si="2"/>
        <v>0</v>
      </c>
      <c r="AP21" s="234">
        <f t="shared" si="2"/>
        <v>0</v>
      </c>
      <c r="AQ21" s="234">
        <f t="shared" si="2"/>
        <v>0</v>
      </c>
      <c r="AR21" s="234">
        <f t="shared" si="2"/>
        <v>0</v>
      </c>
      <c r="AS21" s="233">
        <f t="shared" si="2"/>
        <v>3.9866302503619888E-2</v>
      </c>
      <c r="AT21" s="234">
        <f t="shared" si="2"/>
        <v>0</v>
      </c>
      <c r="AU21" s="234">
        <f t="shared" si="4"/>
        <v>0</v>
      </c>
      <c r="AV21" s="234">
        <f t="shared" si="4"/>
        <v>0</v>
      </c>
      <c r="AW21" s="234">
        <f t="shared" si="4"/>
        <v>0</v>
      </c>
      <c r="AX21" s="234">
        <f t="shared" si="4"/>
        <v>0</v>
      </c>
      <c r="AY21" s="234">
        <f t="shared" si="4"/>
        <v>0</v>
      </c>
      <c r="AZ21" s="234">
        <f t="shared" si="4"/>
        <v>0</v>
      </c>
      <c r="BA21" s="234">
        <f t="shared" si="4"/>
        <v>0</v>
      </c>
      <c r="BB21" s="234">
        <f t="shared" si="4"/>
        <v>0</v>
      </c>
      <c r="BC21" s="234">
        <f t="shared" si="4"/>
        <v>8.5520225661385618E-2</v>
      </c>
      <c r="BD21" s="237">
        <f t="shared" si="3"/>
        <v>1</v>
      </c>
    </row>
    <row r="22" spans="2:56" x14ac:dyDescent="0.25">
      <c r="B22" s="223" t="s">
        <v>468</v>
      </c>
      <c r="C22" s="225">
        <f>IF(AND($D$3,$F$3), SXS_Transit_temp!B18+SXS_Transit_temp!B44,IF(AND($D$3,NOT($F$3)), SXS_Transit_temp!B18,IF(AND(NOT($D$3),$F$3), SXS_Transit_temp!B44,0)))</f>
        <v>0</v>
      </c>
      <c r="D22" s="225">
        <f>IF(AND($D$3,$F$3), SXS_Transit_temp!C18+SXS_Transit_temp!C44,IF(AND($D$3,NOT($F$3)), SXS_Transit_temp!C18,IF(AND(NOT($D$3),$F$3), SXS_Transit_temp!C44,0)))</f>
        <v>0</v>
      </c>
      <c r="E22" s="225">
        <f>IF(AND($D$3,$F$3), SXS_Transit_temp!D18+SXS_Transit_temp!D44,IF(AND($D$3,NOT($F$3)), SXS_Transit_temp!D18,IF(AND(NOT($D$3),$F$3), SXS_Transit_temp!D44,0)))</f>
        <v>0</v>
      </c>
      <c r="F22" s="225">
        <f>IF(AND($D$3,$F$3), SXS_Transit_temp!E18+SXS_Transit_temp!E44,IF(AND($D$3,NOT($F$3)), SXS_Transit_temp!E18,IF(AND(NOT($D$3),$F$3), SXS_Transit_temp!E44,0)))</f>
        <v>0</v>
      </c>
      <c r="G22" s="225">
        <f>IF(AND($D$3,$F$3), SXS_Transit_temp!F18+SXS_Transit_temp!F44,IF(AND($D$3,NOT($F$3)), SXS_Transit_temp!F18,IF(AND(NOT($D$3),$F$3), SXS_Transit_temp!F44,0)))</f>
        <v>0</v>
      </c>
      <c r="H22" s="225">
        <f>IF(AND($D$3,$F$3), SXS_Transit_temp!G18+SXS_Transit_temp!G44,IF(AND($D$3,NOT($F$3)), SXS_Transit_temp!G18,IF(AND(NOT($D$3),$F$3), SXS_Transit_temp!G44,0)))</f>
        <v>0</v>
      </c>
      <c r="I22" s="225">
        <f>IF(AND($D$3,$F$3), SXS_Transit_temp!H18+SXS_Transit_temp!H44,IF(AND($D$3,NOT($F$3)), SXS_Transit_temp!H18,IF(AND(NOT($D$3),$F$3), SXS_Transit_temp!H44,0)))</f>
        <v>0</v>
      </c>
      <c r="J22" s="225">
        <f>IF(AND($D$3,$F$3), SXS_Transit_temp!I18+SXS_Transit_temp!I44,IF(AND($D$3,NOT($F$3)), SXS_Transit_temp!I18,IF(AND(NOT($D$3),$F$3), SXS_Transit_temp!I44,0)))</f>
        <v>0</v>
      </c>
      <c r="K22" s="225">
        <f>IF(AND($D$3,$F$3), SXS_Transit_temp!J18+SXS_Transit_temp!J44,IF(AND($D$3,NOT($F$3)), SXS_Transit_temp!J18,IF(AND(NOT($D$3),$F$3), SXS_Transit_temp!J44,0)))</f>
        <v>0</v>
      </c>
      <c r="L22" s="225">
        <f>IF(AND($D$3,$F$3), SXS_Transit_temp!K18+SXS_Transit_temp!K44,IF(AND($D$3,NOT($F$3)), SXS_Transit_temp!K18,IF(AND(NOT($D$3),$F$3), SXS_Transit_temp!K44,0)))</f>
        <v>0</v>
      </c>
      <c r="M22" s="225">
        <f>IF(AND($D$3,$F$3), SXS_Transit_temp!L18+SXS_Transit_temp!L44,IF(AND($D$3,NOT($F$3)), SXS_Transit_temp!L18,IF(AND(NOT($D$3),$F$3), SXS_Transit_temp!L44,0)))</f>
        <v>0</v>
      </c>
      <c r="N22" s="225">
        <f>IF(AND($D$3,$F$3), SXS_Transit_temp!M18+SXS_Transit_temp!M44,IF(AND($D$3,NOT($F$3)), SXS_Transit_temp!M18,IF(AND(NOT($D$3),$F$3), SXS_Transit_temp!M44,0)))</f>
        <v>0</v>
      </c>
      <c r="O22" s="225">
        <f>IF(AND($D$3,$F$3), SXS_Transit_temp!N18+SXS_Transit_temp!N44,IF(AND($D$3,NOT($F$3)), SXS_Transit_temp!N18,IF(AND(NOT($D$3),$F$3), SXS_Transit_temp!N44,0)))</f>
        <v>0</v>
      </c>
      <c r="P22" s="225">
        <f>IF(AND($D$3,$F$3), SXS_Transit_temp!O18+SXS_Transit_temp!O44,IF(AND($D$3,NOT($F$3)), SXS_Transit_temp!O18,IF(AND(NOT($D$3),$F$3), SXS_Transit_temp!O44,0)))</f>
        <v>0</v>
      </c>
      <c r="Q22" s="225">
        <f>IF(AND($D$3,$F$3), SXS_Transit_temp!P18+SXS_Transit_temp!P44,IF(AND($D$3,NOT($F$3)), SXS_Transit_temp!P18,IF(AND(NOT($D$3),$F$3), SXS_Transit_temp!P44,0)))</f>
        <v>0</v>
      </c>
      <c r="R22" s="224">
        <f>IF(AND($D$3,$F$3), SXS_Transit_temp!Q18+SXS_Transit_temp!Q44,IF(AND($D$3,NOT($F$3)), SXS_Transit_temp!Q18,IF(AND(NOT($D$3),$F$3), SXS_Transit_temp!Q44,0)))</f>
        <v>0</v>
      </c>
      <c r="S22" s="225">
        <f>IF(AND($D$3,$F$3), SXS_Transit_temp!R18+SXS_Transit_temp!R44,IF(AND($D$3,NOT($F$3)), SXS_Transit_temp!R18,IF(AND(NOT($D$3),$F$3), SXS_Transit_temp!R44,0)))</f>
        <v>0</v>
      </c>
      <c r="T22" s="225">
        <f>IF(AND($D$3,$F$3), SXS_Transit_temp!S18+SXS_Transit_temp!S44,IF(AND($D$3,NOT($F$3)), SXS_Transit_temp!S18,IF(AND(NOT($D$3),$F$3), SXS_Transit_temp!S44,0)))</f>
        <v>0</v>
      </c>
      <c r="U22" s="225">
        <f>IF(AND($D$3,$F$3), SXS_Transit_temp!T18+SXS_Transit_temp!T44,IF(AND($D$3,NOT($F$3)), SXS_Transit_temp!T18,IF(AND(NOT($D$3),$F$3), SXS_Transit_temp!T44,0)))</f>
        <v>0</v>
      </c>
      <c r="V22" s="225">
        <f>IF(AND($D$3,$F$3), SXS_Transit_temp!U18+SXS_Transit_temp!U44,IF(AND($D$3,NOT($F$3)), SXS_Transit_temp!U18,IF(AND(NOT($D$3),$F$3), SXS_Transit_temp!U44,0)))</f>
        <v>0</v>
      </c>
      <c r="W22" s="225">
        <f>IF(AND($D$3,$F$3), SXS_Transit_temp!V18+SXS_Transit_temp!V44,IF(AND($D$3,NOT($F$3)), SXS_Transit_temp!V18,IF(AND(NOT($D$3),$F$3), SXS_Transit_temp!V44,0)))</f>
        <v>0</v>
      </c>
      <c r="X22" s="225">
        <f>IF(AND($D$3,$F$3), SXS_Transit_temp!W18+SXS_Transit_temp!W44,IF(AND($D$3,NOT($F$3)), SXS_Transit_temp!W18,IF(AND(NOT($D$3),$F$3), SXS_Transit_temp!W44,0)))</f>
        <v>0</v>
      </c>
      <c r="Y22" s="225">
        <f>IF(AND($D$3,$F$3), SXS_Transit_temp!X18+SXS_Transit_temp!X44,IF(AND($D$3,NOT($F$3)), SXS_Transit_temp!X18,IF(AND(NOT($D$3),$F$3), SXS_Transit_temp!X44,0)))</f>
        <v>0</v>
      </c>
      <c r="Z22" s="225">
        <f>IF(AND($D$3,$F$3), SXS_Transit_temp!Y18+SXS_Transit_temp!Y44,IF(AND($D$3,NOT($F$3)), SXS_Transit_temp!Y18,IF(AND(NOT($D$3),$F$3), SXS_Transit_temp!Y44,0)))</f>
        <v>0</v>
      </c>
      <c r="AA22" s="225">
        <f>IF(AND($D$3,$F$3), SXS_Transit_temp!Z18+SXS_Transit_temp!Z44,IF(AND($D$3,NOT($F$3)), SXS_Transit_temp!Z18,IF(AND(NOT($D$3),$F$3), SXS_Transit_temp!Z44,0)))</f>
        <v>0</v>
      </c>
      <c r="AB22" s="226">
        <f t="shared" si="1"/>
        <v>0</v>
      </c>
      <c r="AD22" s="223" t="s">
        <v>468</v>
      </c>
      <c r="AE22" s="234" t="str">
        <f t="shared" si="2"/>
        <v/>
      </c>
      <c r="AF22" s="234" t="str">
        <f t="shared" si="2"/>
        <v/>
      </c>
      <c r="AG22" s="234" t="str">
        <f t="shared" si="2"/>
        <v/>
      </c>
      <c r="AH22" s="234" t="str">
        <f t="shared" si="2"/>
        <v/>
      </c>
      <c r="AI22" s="234" t="str">
        <f t="shared" si="2"/>
        <v/>
      </c>
      <c r="AJ22" s="234" t="str">
        <f t="shared" si="2"/>
        <v/>
      </c>
      <c r="AK22" s="234" t="str">
        <f t="shared" si="2"/>
        <v/>
      </c>
      <c r="AL22" s="234" t="str">
        <f t="shared" si="2"/>
        <v/>
      </c>
      <c r="AM22" s="234" t="str">
        <f t="shared" si="2"/>
        <v/>
      </c>
      <c r="AN22" s="234" t="str">
        <f t="shared" si="2"/>
        <v/>
      </c>
      <c r="AO22" s="234" t="str">
        <f t="shared" si="2"/>
        <v/>
      </c>
      <c r="AP22" s="234" t="str">
        <f t="shared" si="2"/>
        <v/>
      </c>
      <c r="AQ22" s="234" t="str">
        <f t="shared" si="2"/>
        <v/>
      </c>
      <c r="AR22" s="234" t="str">
        <f t="shared" si="2"/>
        <v/>
      </c>
      <c r="AS22" s="234" t="str">
        <f t="shared" si="2"/>
        <v/>
      </c>
      <c r="AT22" s="233" t="str">
        <f t="shared" si="2"/>
        <v/>
      </c>
      <c r="AU22" s="234" t="str">
        <f t="shared" si="4"/>
        <v/>
      </c>
      <c r="AV22" s="234" t="str">
        <f t="shared" si="4"/>
        <v/>
      </c>
      <c r="AW22" s="234" t="str">
        <f t="shared" si="4"/>
        <v/>
      </c>
      <c r="AX22" s="234" t="str">
        <f t="shared" si="4"/>
        <v/>
      </c>
      <c r="AY22" s="234" t="str">
        <f t="shared" si="4"/>
        <v/>
      </c>
      <c r="AZ22" s="234" t="str">
        <f t="shared" si="4"/>
        <v/>
      </c>
      <c r="BA22" s="234" t="str">
        <f t="shared" si="4"/>
        <v/>
      </c>
      <c r="BB22" s="234" t="str">
        <f t="shared" si="4"/>
        <v/>
      </c>
      <c r="BC22" s="234" t="str">
        <f t="shared" si="4"/>
        <v/>
      </c>
      <c r="BD22" s="237">
        <f t="shared" si="3"/>
        <v>0</v>
      </c>
    </row>
    <row r="23" spans="2:56" x14ac:dyDescent="0.25">
      <c r="B23" s="223" t="s">
        <v>469</v>
      </c>
      <c r="C23" s="225">
        <f>IF(AND($D$3,$F$3), SXS_Transit_temp!B19+SXS_Transit_temp!B45,IF(AND($D$3,NOT($F$3)), SXS_Transit_temp!B19,IF(AND(NOT($D$3),$F$3), SXS_Transit_temp!B45,0)))</f>
        <v>0</v>
      </c>
      <c r="D23" s="225">
        <f>IF(AND($D$3,$F$3), SXS_Transit_temp!C19+SXS_Transit_temp!C45,IF(AND($D$3,NOT($F$3)), SXS_Transit_temp!C19,IF(AND(NOT($D$3),$F$3), SXS_Transit_temp!C45,0)))</f>
        <v>0</v>
      </c>
      <c r="E23" s="225">
        <f>IF(AND($D$3,$F$3), SXS_Transit_temp!D19+SXS_Transit_temp!D45,IF(AND($D$3,NOT($F$3)), SXS_Transit_temp!D19,IF(AND(NOT($D$3),$F$3), SXS_Transit_temp!D45,0)))</f>
        <v>0</v>
      </c>
      <c r="F23" s="225">
        <f>IF(AND($D$3,$F$3), SXS_Transit_temp!E19+SXS_Transit_temp!E45,IF(AND($D$3,NOT($F$3)), SXS_Transit_temp!E19,IF(AND(NOT($D$3),$F$3), SXS_Transit_temp!E45,0)))</f>
        <v>0</v>
      </c>
      <c r="G23" s="225">
        <f>IF(AND($D$3,$F$3), SXS_Transit_temp!F19+SXS_Transit_temp!F45,IF(AND($D$3,NOT($F$3)), SXS_Transit_temp!F19,IF(AND(NOT($D$3),$F$3), SXS_Transit_temp!F45,0)))</f>
        <v>0</v>
      </c>
      <c r="H23" s="225">
        <f>IF(AND($D$3,$F$3), SXS_Transit_temp!G19+SXS_Transit_temp!G45,IF(AND($D$3,NOT($F$3)), SXS_Transit_temp!G19,IF(AND(NOT($D$3),$F$3), SXS_Transit_temp!G45,0)))</f>
        <v>0</v>
      </c>
      <c r="I23" s="225">
        <f>IF(AND($D$3,$F$3), SXS_Transit_temp!H19+SXS_Transit_temp!H45,IF(AND($D$3,NOT($F$3)), SXS_Transit_temp!H19,IF(AND(NOT($D$3),$F$3), SXS_Transit_temp!H45,0)))</f>
        <v>0</v>
      </c>
      <c r="J23" s="225">
        <f>IF(AND($D$3,$F$3), SXS_Transit_temp!I19+SXS_Transit_temp!I45,IF(AND($D$3,NOT($F$3)), SXS_Transit_temp!I19,IF(AND(NOT($D$3),$F$3), SXS_Transit_temp!I45,0)))</f>
        <v>0</v>
      </c>
      <c r="K23" s="225">
        <f>IF(AND($D$3,$F$3), SXS_Transit_temp!J19+SXS_Transit_temp!J45,IF(AND($D$3,NOT($F$3)), SXS_Transit_temp!J19,IF(AND(NOT($D$3),$F$3), SXS_Transit_temp!J45,0)))</f>
        <v>0</v>
      </c>
      <c r="L23" s="225">
        <f>IF(AND($D$3,$F$3), SXS_Transit_temp!K19+SXS_Transit_temp!K45,IF(AND($D$3,NOT($F$3)), SXS_Transit_temp!K19,IF(AND(NOT($D$3),$F$3), SXS_Transit_temp!K45,0)))</f>
        <v>0</v>
      </c>
      <c r="M23" s="225">
        <f>IF(AND($D$3,$F$3), SXS_Transit_temp!L19+SXS_Transit_temp!L45,IF(AND($D$3,NOT($F$3)), SXS_Transit_temp!L19,IF(AND(NOT($D$3),$F$3), SXS_Transit_temp!L45,0)))</f>
        <v>0</v>
      </c>
      <c r="N23" s="225">
        <f>IF(AND($D$3,$F$3), SXS_Transit_temp!M19+SXS_Transit_temp!M45,IF(AND($D$3,NOT($F$3)), SXS_Transit_temp!M19,IF(AND(NOT($D$3),$F$3), SXS_Transit_temp!M45,0)))</f>
        <v>0</v>
      </c>
      <c r="O23" s="225">
        <f>IF(AND($D$3,$F$3), SXS_Transit_temp!N19+SXS_Transit_temp!N45,IF(AND($D$3,NOT($F$3)), SXS_Transit_temp!N19,IF(AND(NOT($D$3),$F$3), SXS_Transit_temp!N45,0)))</f>
        <v>0</v>
      </c>
      <c r="P23" s="225">
        <f>IF(AND($D$3,$F$3), SXS_Transit_temp!O19+SXS_Transit_temp!O45,IF(AND($D$3,NOT($F$3)), SXS_Transit_temp!O19,IF(AND(NOT($D$3),$F$3), SXS_Transit_temp!O45,0)))</f>
        <v>0</v>
      </c>
      <c r="Q23" s="225">
        <f>IF(AND($D$3,$F$3), SXS_Transit_temp!P19+SXS_Transit_temp!P45,IF(AND($D$3,NOT($F$3)), SXS_Transit_temp!P19,IF(AND(NOT($D$3),$F$3), SXS_Transit_temp!P45,0)))</f>
        <v>0</v>
      </c>
      <c r="R23" s="225">
        <f>IF(AND($D$3,$F$3), SXS_Transit_temp!Q19+SXS_Transit_temp!Q45,IF(AND($D$3,NOT($F$3)), SXS_Transit_temp!Q19,IF(AND(NOT($D$3),$F$3), SXS_Transit_temp!Q45,0)))</f>
        <v>0</v>
      </c>
      <c r="S23" s="224">
        <f>IF(AND($D$3,$F$3), SXS_Transit_temp!R19+SXS_Transit_temp!R45,IF(AND($D$3,NOT($F$3)), SXS_Transit_temp!R19,IF(AND(NOT($D$3),$F$3), SXS_Transit_temp!R45,0)))</f>
        <v>0</v>
      </c>
      <c r="T23" s="225">
        <f>IF(AND($D$3,$F$3), SXS_Transit_temp!S19+SXS_Transit_temp!S45,IF(AND($D$3,NOT($F$3)), SXS_Transit_temp!S19,IF(AND(NOT($D$3),$F$3), SXS_Transit_temp!S45,0)))</f>
        <v>0</v>
      </c>
      <c r="U23" s="225">
        <f>IF(AND($D$3,$F$3), SXS_Transit_temp!T19+SXS_Transit_temp!T45,IF(AND($D$3,NOT($F$3)), SXS_Transit_temp!T19,IF(AND(NOT($D$3),$F$3), SXS_Transit_temp!T45,0)))</f>
        <v>0</v>
      </c>
      <c r="V23" s="225">
        <f>IF(AND($D$3,$F$3), SXS_Transit_temp!U19+SXS_Transit_temp!U45,IF(AND($D$3,NOT($F$3)), SXS_Transit_temp!U19,IF(AND(NOT($D$3),$F$3), SXS_Transit_temp!U45,0)))</f>
        <v>0</v>
      </c>
      <c r="W23" s="225">
        <f>IF(AND($D$3,$F$3), SXS_Transit_temp!V19+SXS_Transit_temp!V45,IF(AND($D$3,NOT($F$3)), SXS_Transit_temp!V19,IF(AND(NOT($D$3),$F$3), SXS_Transit_temp!V45,0)))</f>
        <v>0</v>
      </c>
      <c r="X23" s="225">
        <f>IF(AND($D$3,$F$3), SXS_Transit_temp!W19+SXS_Transit_temp!W45,IF(AND($D$3,NOT($F$3)), SXS_Transit_temp!W19,IF(AND(NOT($D$3),$F$3), SXS_Transit_temp!W45,0)))</f>
        <v>0</v>
      </c>
      <c r="Y23" s="225">
        <f>IF(AND($D$3,$F$3), SXS_Transit_temp!X19+SXS_Transit_temp!X45,IF(AND($D$3,NOT($F$3)), SXS_Transit_temp!X19,IF(AND(NOT($D$3),$F$3), SXS_Transit_temp!X45,0)))</f>
        <v>0</v>
      </c>
      <c r="Z23" s="225">
        <f>IF(AND($D$3,$F$3), SXS_Transit_temp!Y19+SXS_Transit_temp!Y45,IF(AND($D$3,NOT($F$3)), SXS_Transit_temp!Y19,IF(AND(NOT($D$3),$F$3), SXS_Transit_temp!Y45,0)))</f>
        <v>0</v>
      </c>
      <c r="AA23" s="225">
        <f>IF(AND($D$3,$F$3), SXS_Transit_temp!Z19+SXS_Transit_temp!Z45,IF(AND($D$3,NOT($F$3)), SXS_Transit_temp!Z19,IF(AND(NOT($D$3),$F$3), SXS_Transit_temp!Z45,0)))</f>
        <v>0</v>
      </c>
      <c r="AB23" s="226">
        <f t="shared" si="1"/>
        <v>0</v>
      </c>
      <c r="AD23" s="223" t="s">
        <v>469</v>
      </c>
      <c r="AE23" s="234" t="str">
        <f t="shared" si="2"/>
        <v/>
      </c>
      <c r="AF23" s="234" t="str">
        <f t="shared" si="2"/>
        <v/>
      </c>
      <c r="AG23" s="234" t="str">
        <f t="shared" si="2"/>
        <v/>
      </c>
      <c r="AH23" s="234" t="str">
        <f t="shared" si="2"/>
        <v/>
      </c>
      <c r="AI23" s="234" t="str">
        <f t="shared" si="2"/>
        <v/>
      </c>
      <c r="AJ23" s="234" t="str">
        <f t="shared" si="2"/>
        <v/>
      </c>
      <c r="AK23" s="234" t="str">
        <f t="shared" si="2"/>
        <v/>
      </c>
      <c r="AL23" s="234" t="str">
        <f t="shared" si="2"/>
        <v/>
      </c>
      <c r="AM23" s="234" t="str">
        <f t="shared" si="2"/>
        <v/>
      </c>
      <c r="AN23" s="234" t="str">
        <f t="shared" si="2"/>
        <v/>
      </c>
      <c r="AO23" s="234" t="str">
        <f t="shared" si="2"/>
        <v/>
      </c>
      <c r="AP23" s="234" t="str">
        <f t="shared" si="2"/>
        <v/>
      </c>
      <c r="AQ23" s="234" t="str">
        <f t="shared" si="2"/>
        <v/>
      </c>
      <c r="AR23" s="234" t="str">
        <f t="shared" si="2"/>
        <v/>
      </c>
      <c r="AS23" s="234" t="str">
        <f t="shared" si="2"/>
        <v/>
      </c>
      <c r="AT23" s="234" t="str">
        <f t="shared" si="2"/>
        <v/>
      </c>
      <c r="AU23" s="233" t="str">
        <f t="shared" si="4"/>
        <v/>
      </c>
      <c r="AV23" s="234" t="str">
        <f t="shared" si="4"/>
        <v/>
      </c>
      <c r="AW23" s="234" t="str">
        <f t="shared" si="4"/>
        <v/>
      </c>
      <c r="AX23" s="234" t="str">
        <f t="shared" si="4"/>
        <v/>
      </c>
      <c r="AY23" s="234" t="str">
        <f t="shared" si="4"/>
        <v/>
      </c>
      <c r="AZ23" s="234" t="str">
        <f t="shared" si="4"/>
        <v/>
      </c>
      <c r="BA23" s="234" t="str">
        <f t="shared" si="4"/>
        <v/>
      </c>
      <c r="BB23" s="234" t="str">
        <f t="shared" si="4"/>
        <v/>
      </c>
      <c r="BC23" s="234" t="str">
        <f t="shared" si="4"/>
        <v/>
      </c>
      <c r="BD23" s="237">
        <f t="shared" si="3"/>
        <v>0</v>
      </c>
    </row>
    <row r="24" spans="2:56" x14ac:dyDescent="0.25">
      <c r="B24" s="223" t="s">
        <v>470</v>
      </c>
      <c r="C24" s="225">
        <f>IF(AND($D$3,$F$3), SXS_Transit_temp!B20+SXS_Transit_temp!B46,IF(AND($D$3,NOT($F$3)), SXS_Transit_temp!B20,IF(AND(NOT($D$3),$F$3), SXS_Transit_temp!B46,0)))</f>
        <v>193.65595999999999</v>
      </c>
      <c r="D24" s="225">
        <f>IF(AND($D$3,$F$3), SXS_Transit_temp!C20+SXS_Transit_temp!C46,IF(AND($D$3,NOT($F$3)), SXS_Transit_temp!C20,IF(AND(NOT($D$3),$F$3), SXS_Transit_temp!C46,0)))</f>
        <v>104.64711</v>
      </c>
      <c r="E24" s="225">
        <f>IF(AND($D$3,$F$3), SXS_Transit_temp!D20+SXS_Transit_temp!D46,IF(AND($D$3,NOT($F$3)), SXS_Transit_temp!D20,IF(AND(NOT($D$3),$F$3), SXS_Transit_temp!D46,0)))</f>
        <v>0</v>
      </c>
      <c r="F24" s="225">
        <f>IF(AND($D$3,$F$3), SXS_Transit_temp!E20+SXS_Transit_temp!E46,IF(AND($D$3,NOT($F$3)), SXS_Transit_temp!E20,IF(AND(NOT($D$3),$F$3), SXS_Transit_temp!E46,0)))</f>
        <v>0</v>
      </c>
      <c r="G24" s="225">
        <f>IF(AND($D$3,$F$3), SXS_Transit_temp!F20+SXS_Transit_temp!F46,IF(AND($D$3,NOT($F$3)), SXS_Transit_temp!F20,IF(AND(NOT($D$3),$F$3), SXS_Transit_temp!F46,0)))</f>
        <v>0</v>
      </c>
      <c r="H24" s="225">
        <f>IF(AND($D$3,$F$3), SXS_Transit_temp!G20+SXS_Transit_temp!G46,IF(AND($D$3,NOT($F$3)), SXS_Transit_temp!G20,IF(AND(NOT($D$3),$F$3), SXS_Transit_temp!G46,0)))</f>
        <v>0</v>
      </c>
      <c r="I24" s="225">
        <f>IF(AND($D$3,$F$3), SXS_Transit_temp!H20+SXS_Transit_temp!H46,IF(AND($D$3,NOT($F$3)), SXS_Transit_temp!H20,IF(AND(NOT($D$3),$F$3), SXS_Transit_temp!H46,0)))</f>
        <v>804.70657000000006</v>
      </c>
      <c r="J24" s="225">
        <f>IF(AND($D$3,$F$3), SXS_Transit_temp!I20+SXS_Transit_temp!I46,IF(AND($D$3,NOT($F$3)), SXS_Transit_temp!I20,IF(AND(NOT($D$3),$F$3), SXS_Transit_temp!I46,0)))</f>
        <v>390.52954999999997</v>
      </c>
      <c r="K24" s="225">
        <f>IF(AND($D$3,$F$3), SXS_Transit_temp!J20+SXS_Transit_temp!J46,IF(AND($D$3,NOT($F$3)), SXS_Transit_temp!J20,IF(AND(NOT($D$3),$F$3), SXS_Transit_temp!J46,0)))</f>
        <v>0</v>
      </c>
      <c r="L24" s="225">
        <f>IF(AND($D$3,$F$3), SXS_Transit_temp!K20+SXS_Transit_temp!K46,IF(AND($D$3,NOT($F$3)), SXS_Transit_temp!K20,IF(AND(NOT($D$3),$F$3), SXS_Transit_temp!K46,0)))</f>
        <v>0</v>
      </c>
      <c r="M24" s="225">
        <f>IF(AND($D$3,$F$3), SXS_Transit_temp!L20+SXS_Transit_temp!L46,IF(AND($D$3,NOT($F$3)), SXS_Transit_temp!L20,IF(AND(NOT($D$3),$F$3), SXS_Transit_temp!L46,0)))</f>
        <v>0</v>
      </c>
      <c r="N24" s="225">
        <f>IF(AND($D$3,$F$3), SXS_Transit_temp!M20+SXS_Transit_temp!M46,IF(AND($D$3,NOT($F$3)), SXS_Transit_temp!M20,IF(AND(NOT($D$3),$F$3), SXS_Transit_temp!M46,0)))</f>
        <v>0</v>
      </c>
      <c r="O24" s="225">
        <f>IF(AND($D$3,$F$3), SXS_Transit_temp!N20+SXS_Transit_temp!N46,IF(AND($D$3,NOT($F$3)), SXS_Transit_temp!N20,IF(AND(NOT($D$3),$F$3), SXS_Transit_temp!N46,0)))</f>
        <v>0</v>
      </c>
      <c r="P24" s="225">
        <f>IF(AND($D$3,$F$3), SXS_Transit_temp!O20+SXS_Transit_temp!O46,IF(AND($D$3,NOT($F$3)), SXS_Transit_temp!O20,IF(AND(NOT($D$3),$F$3), SXS_Transit_temp!O46,0)))</f>
        <v>15.00403</v>
      </c>
      <c r="Q24" s="225">
        <f>IF(AND($D$3,$F$3), SXS_Transit_temp!P20+SXS_Transit_temp!P46,IF(AND($D$3,NOT($F$3)), SXS_Transit_temp!P20,IF(AND(NOT($D$3),$F$3), SXS_Transit_temp!P46,0)))</f>
        <v>0</v>
      </c>
      <c r="R24" s="225">
        <f>IF(AND($D$3,$F$3), SXS_Transit_temp!Q20+SXS_Transit_temp!Q46,IF(AND($D$3,NOT($F$3)), SXS_Transit_temp!Q20,IF(AND(NOT($D$3),$F$3), SXS_Transit_temp!Q46,0)))</f>
        <v>0</v>
      </c>
      <c r="S24" s="225">
        <f>IF(AND($D$3,$F$3), SXS_Transit_temp!R20+SXS_Transit_temp!R46,IF(AND($D$3,NOT($F$3)), SXS_Transit_temp!R20,IF(AND(NOT($D$3),$F$3), SXS_Transit_temp!R46,0)))</f>
        <v>0</v>
      </c>
      <c r="T24" s="224">
        <f>IF(AND($D$3,$F$3), SXS_Transit_temp!S20+SXS_Transit_temp!S46,IF(AND($D$3,NOT($F$3)), SXS_Transit_temp!S20,IF(AND(NOT($D$3),$F$3), SXS_Transit_temp!S46,0)))</f>
        <v>0</v>
      </c>
      <c r="U24" s="225">
        <f>IF(AND($D$3,$F$3), SXS_Transit_temp!T20+SXS_Transit_temp!T46,IF(AND($D$3,NOT($F$3)), SXS_Transit_temp!T20,IF(AND(NOT($D$3),$F$3), SXS_Transit_temp!T46,0)))</f>
        <v>0</v>
      </c>
      <c r="V24" s="225">
        <f>IF(AND($D$3,$F$3), SXS_Transit_temp!U20+SXS_Transit_temp!U46,IF(AND($D$3,NOT($F$3)), SXS_Transit_temp!U20,IF(AND(NOT($D$3),$F$3), SXS_Transit_temp!U46,0)))</f>
        <v>0</v>
      </c>
      <c r="W24" s="225">
        <f>IF(AND($D$3,$F$3), SXS_Transit_temp!V20+SXS_Transit_temp!V46,IF(AND($D$3,NOT($F$3)), SXS_Transit_temp!V20,IF(AND(NOT($D$3),$F$3), SXS_Transit_temp!V46,0)))</f>
        <v>0</v>
      </c>
      <c r="X24" s="225">
        <f>IF(AND($D$3,$F$3), SXS_Transit_temp!W20+SXS_Transit_temp!W46,IF(AND($D$3,NOT($F$3)), SXS_Transit_temp!W20,IF(AND(NOT($D$3),$F$3), SXS_Transit_temp!W46,0)))</f>
        <v>0</v>
      </c>
      <c r="Y24" s="225">
        <f>IF(AND($D$3,$F$3), SXS_Transit_temp!X20+SXS_Transit_temp!X46,IF(AND($D$3,NOT($F$3)), SXS_Transit_temp!X20,IF(AND(NOT($D$3),$F$3), SXS_Transit_temp!X46,0)))</f>
        <v>0</v>
      </c>
      <c r="Z24" s="225">
        <f>IF(AND($D$3,$F$3), SXS_Transit_temp!Y20+SXS_Transit_temp!Y46,IF(AND($D$3,NOT($F$3)), SXS_Transit_temp!Y20,IF(AND(NOT($D$3),$F$3), SXS_Transit_temp!Y46,0)))</f>
        <v>0</v>
      </c>
      <c r="AA24" s="225">
        <f>IF(AND($D$3,$F$3), SXS_Transit_temp!Z20+SXS_Transit_temp!Z46,IF(AND($D$3,NOT($F$3)), SXS_Transit_temp!Z20,IF(AND(NOT($D$3),$F$3), SXS_Transit_temp!Z46,0)))</f>
        <v>0</v>
      </c>
      <c r="AB24" s="226">
        <f t="shared" si="1"/>
        <v>1508.54322</v>
      </c>
      <c r="AD24" s="223" t="s">
        <v>470</v>
      </c>
      <c r="AE24" s="234">
        <f t="shared" si="2"/>
        <v>0.12837282845631695</v>
      </c>
      <c r="AF24" s="234">
        <f t="shared" si="2"/>
        <v>6.9369646565379806E-2</v>
      </c>
      <c r="AG24" s="234">
        <f t="shared" si="2"/>
        <v>0</v>
      </c>
      <c r="AH24" s="234">
        <f t="shared" si="2"/>
        <v>0</v>
      </c>
      <c r="AI24" s="234">
        <f t="shared" si="2"/>
        <v>0</v>
      </c>
      <c r="AJ24" s="234">
        <f t="shared" si="2"/>
        <v>0</v>
      </c>
      <c r="AK24" s="234">
        <f t="shared" si="2"/>
        <v>0.53343289030857199</v>
      </c>
      <c r="AL24" s="234">
        <f t="shared" si="2"/>
        <v>0.25887859547040354</v>
      </c>
      <c r="AM24" s="234">
        <f t="shared" si="2"/>
        <v>0</v>
      </c>
      <c r="AN24" s="234">
        <f t="shared" si="2"/>
        <v>0</v>
      </c>
      <c r="AO24" s="234">
        <f t="shared" si="2"/>
        <v>0</v>
      </c>
      <c r="AP24" s="234">
        <f t="shared" si="2"/>
        <v>0</v>
      </c>
      <c r="AQ24" s="234">
        <f t="shared" si="2"/>
        <v>0</v>
      </c>
      <c r="AR24" s="234">
        <f t="shared" si="2"/>
        <v>9.9460391993276796E-3</v>
      </c>
      <c r="AS24" s="234">
        <f t="shared" si="2"/>
        <v>0</v>
      </c>
      <c r="AT24" s="234">
        <f t="shared" si="2"/>
        <v>0</v>
      </c>
      <c r="AU24" s="234">
        <f t="shared" si="4"/>
        <v>0</v>
      </c>
      <c r="AV24" s="233">
        <f t="shared" si="4"/>
        <v>0</v>
      </c>
      <c r="AW24" s="234">
        <f t="shared" si="4"/>
        <v>0</v>
      </c>
      <c r="AX24" s="234">
        <f t="shared" si="4"/>
        <v>0</v>
      </c>
      <c r="AY24" s="234">
        <f t="shared" si="4"/>
        <v>0</v>
      </c>
      <c r="AZ24" s="234">
        <f t="shared" si="4"/>
        <v>0</v>
      </c>
      <c r="BA24" s="234">
        <f t="shared" si="4"/>
        <v>0</v>
      </c>
      <c r="BB24" s="234">
        <f t="shared" si="4"/>
        <v>0</v>
      </c>
      <c r="BC24" s="234">
        <f t="shared" si="4"/>
        <v>0</v>
      </c>
      <c r="BD24" s="237">
        <f t="shared" si="3"/>
        <v>0.99999999999999989</v>
      </c>
    </row>
    <row r="25" spans="2:56" x14ac:dyDescent="0.25">
      <c r="B25" s="223" t="s">
        <v>471</v>
      </c>
      <c r="C25" s="225">
        <f>IF(AND($D$3,$F$3), SXS_Transit_temp!B21+SXS_Transit_temp!B47,IF(AND($D$3,NOT($F$3)), SXS_Transit_temp!B21,IF(AND(NOT($D$3),$F$3), SXS_Transit_temp!B47,0)))</f>
        <v>0</v>
      </c>
      <c r="D25" s="225">
        <f>IF(AND($D$3,$F$3), SXS_Transit_temp!C21+SXS_Transit_temp!C47,IF(AND($D$3,NOT($F$3)), SXS_Transit_temp!C21,IF(AND(NOT($D$3),$F$3), SXS_Transit_temp!C47,0)))</f>
        <v>0</v>
      </c>
      <c r="E25" s="225">
        <f>IF(AND($D$3,$F$3), SXS_Transit_temp!D21+SXS_Transit_temp!D47,IF(AND($D$3,NOT($F$3)), SXS_Transit_temp!D21,IF(AND(NOT($D$3),$F$3), SXS_Transit_temp!D47,0)))</f>
        <v>0</v>
      </c>
      <c r="F25" s="225">
        <f>IF(AND($D$3,$F$3), SXS_Transit_temp!E21+SXS_Transit_temp!E47,IF(AND($D$3,NOT($F$3)), SXS_Transit_temp!E21,IF(AND(NOT($D$3),$F$3), SXS_Transit_temp!E47,0)))</f>
        <v>0</v>
      </c>
      <c r="G25" s="225">
        <f>IF(AND($D$3,$F$3), SXS_Transit_temp!F21+SXS_Transit_temp!F47,IF(AND($D$3,NOT($F$3)), SXS_Transit_temp!F21,IF(AND(NOT($D$3),$F$3), SXS_Transit_temp!F47,0)))</f>
        <v>0</v>
      </c>
      <c r="H25" s="225">
        <f>IF(AND($D$3,$F$3), SXS_Transit_temp!G21+SXS_Transit_temp!G47,IF(AND($D$3,NOT($F$3)), SXS_Transit_temp!G21,IF(AND(NOT($D$3),$F$3), SXS_Transit_temp!G47,0)))</f>
        <v>0</v>
      </c>
      <c r="I25" s="225">
        <f>IF(AND($D$3,$F$3), SXS_Transit_temp!H21+SXS_Transit_temp!H47,IF(AND($D$3,NOT($F$3)), SXS_Transit_temp!H21,IF(AND(NOT($D$3),$F$3), SXS_Transit_temp!H47,0)))</f>
        <v>0</v>
      </c>
      <c r="J25" s="225">
        <f>IF(AND($D$3,$F$3), SXS_Transit_temp!I21+SXS_Transit_temp!I47,IF(AND($D$3,NOT($F$3)), SXS_Transit_temp!I21,IF(AND(NOT($D$3),$F$3), SXS_Transit_temp!I47,0)))</f>
        <v>0</v>
      </c>
      <c r="K25" s="225">
        <f>IF(AND($D$3,$F$3), SXS_Transit_temp!J21+SXS_Transit_temp!J47,IF(AND($D$3,NOT($F$3)), SXS_Transit_temp!J21,IF(AND(NOT($D$3),$F$3), SXS_Transit_temp!J47,0)))</f>
        <v>0</v>
      </c>
      <c r="L25" s="225">
        <f>IF(AND($D$3,$F$3), SXS_Transit_temp!K21+SXS_Transit_temp!K47,IF(AND($D$3,NOT($F$3)), SXS_Transit_temp!K21,IF(AND(NOT($D$3),$F$3), SXS_Transit_temp!K47,0)))</f>
        <v>0</v>
      </c>
      <c r="M25" s="225">
        <f>IF(AND($D$3,$F$3), SXS_Transit_temp!L21+SXS_Transit_temp!L47,IF(AND($D$3,NOT($F$3)), SXS_Transit_temp!L21,IF(AND(NOT($D$3),$F$3), SXS_Transit_temp!L47,0)))</f>
        <v>0</v>
      </c>
      <c r="N25" s="225">
        <f>IF(AND($D$3,$F$3), SXS_Transit_temp!M21+SXS_Transit_temp!M47,IF(AND($D$3,NOT($F$3)), SXS_Transit_temp!M21,IF(AND(NOT($D$3),$F$3), SXS_Transit_temp!M47,0)))</f>
        <v>0</v>
      </c>
      <c r="O25" s="225">
        <f>IF(AND($D$3,$F$3), SXS_Transit_temp!N21+SXS_Transit_temp!N47,IF(AND($D$3,NOT($F$3)), SXS_Transit_temp!N21,IF(AND(NOT($D$3),$F$3), SXS_Transit_temp!N47,0)))</f>
        <v>0</v>
      </c>
      <c r="P25" s="225">
        <f>IF(AND($D$3,$F$3), SXS_Transit_temp!O21+SXS_Transit_temp!O47,IF(AND($D$3,NOT($F$3)), SXS_Transit_temp!O21,IF(AND(NOT($D$3),$F$3), SXS_Transit_temp!O47,0)))</f>
        <v>0</v>
      </c>
      <c r="Q25" s="225">
        <f>IF(AND($D$3,$F$3), SXS_Transit_temp!P21+SXS_Transit_temp!P47,IF(AND($D$3,NOT($F$3)), SXS_Transit_temp!P21,IF(AND(NOT($D$3),$F$3), SXS_Transit_temp!P47,0)))</f>
        <v>0</v>
      </c>
      <c r="R25" s="225">
        <f>IF(AND($D$3,$F$3), SXS_Transit_temp!Q21+SXS_Transit_temp!Q47,IF(AND($D$3,NOT($F$3)), SXS_Transit_temp!Q21,IF(AND(NOT($D$3),$F$3), SXS_Transit_temp!Q47,0)))</f>
        <v>0</v>
      </c>
      <c r="S25" s="225">
        <f>IF(AND($D$3,$F$3), SXS_Transit_temp!R21+SXS_Transit_temp!R47,IF(AND($D$3,NOT($F$3)), SXS_Transit_temp!R21,IF(AND(NOT($D$3),$F$3), SXS_Transit_temp!R47,0)))</f>
        <v>0</v>
      </c>
      <c r="T25" s="225">
        <f>IF(AND($D$3,$F$3), SXS_Transit_temp!S21+SXS_Transit_temp!S47,IF(AND($D$3,NOT($F$3)), SXS_Transit_temp!S21,IF(AND(NOT($D$3),$F$3), SXS_Transit_temp!S47,0)))</f>
        <v>0</v>
      </c>
      <c r="U25" s="224">
        <f>IF(AND($D$3,$F$3), SXS_Transit_temp!T21+SXS_Transit_temp!T47,IF(AND($D$3,NOT($F$3)), SXS_Transit_temp!T21,IF(AND(NOT($D$3),$F$3), SXS_Transit_temp!T47,0)))</f>
        <v>0</v>
      </c>
      <c r="V25" s="225">
        <f>IF(AND($D$3,$F$3), SXS_Transit_temp!U21+SXS_Transit_temp!U47,IF(AND($D$3,NOT($F$3)), SXS_Transit_temp!U21,IF(AND(NOT($D$3),$F$3), SXS_Transit_temp!U47,0)))</f>
        <v>0</v>
      </c>
      <c r="W25" s="225">
        <f>IF(AND($D$3,$F$3), SXS_Transit_temp!V21+SXS_Transit_temp!V47,IF(AND($D$3,NOT($F$3)), SXS_Transit_temp!V21,IF(AND(NOT($D$3),$F$3), SXS_Transit_temp!V47,0)))</f>
        <v>0</v>
      </c>
      <c r="X25" s="225">
        <f>IF(AND($D$3,$F$3), SXS_Transit_temp!W21+SXS_Transit_temp!W47,IF(AND($D$3,NOT($F$3)), SXS_Transit_temp!W21,IF(AND(NOT($D$3),$F$3), SXS_Transit_temp!W47,0)))</f>
        <v>0</v>
      </c>
      <c r="Y25" s="225">
        <f>IF(AND($D$3,$F$3), SXS_Transit_temp!X21+SXS_Transit_temp!X47,IF(AND($D$3,NOT($F$3)), SXS_Transit_temp!X21,IF(AND(NOT($D$3),$F$3), SXS_Transit_temp!X47,0)))</f>
        <v>0</v>
      </c>
      <c r="Z25" s="225">
        <f>IF(AND($D$3,$F$3), SXS_Transit_temp!Y21+SXS_Transit_temp!Y47,IF(AND($D$3,NOT($F$3)), SXS_Transit_temp!Y21,IF(AND(NOT($D$3),$F$3), SXS_Transit_temp!Y47,0)))</f>
        <v>0</v>
      </c>
      <c r="AA25" s="225">
        <f>IF(AND($D$3,$F$3), SXS_Transit_temp!Z21+SXS_Transit_temp!Z47,IF(AND($D$3,NOT($F$3)), SXS_Transit_temp!Z21,IF(AND(NOT($D$3),$F$3), SXS_Transit_temp!Z47,0)))</f>
        <v>0</v>
      </c>
      <c r="AB25" s="226">
        <f t="shared" si="1"/>
        <v>0</v>
      </c>
      <c r="AD25" s="223" t="s">
        <v>471</v>
      </c>
      <c r="AE25" s="234" t="str">
        <f t="shared" si="2"/>
        <v/>
      </c>
      <c r="AF25" s="234" t="str">
        <f t="shared" si="2"/>
        <v/>
      </c>
      <c r="AG25" s="234" t="str">
        <f t="shared" si="2"/>
        <v/>
      </c>
      <c r="AH25" s="234" t="str">
        <f t="shared" si="2"/>
        <v/>
      </c>
      <c r="AI25" s="234" t="str">
        <f t="shared" si="2"/>
        <v/>
      </c>
      <c r="AJ25" s="234" t="str">
        <f t="shared" si="2"/>
        <v/>
      </c>
      <c r="AK25" s="234" t="str">
        <f t="shared" si="2"/>
        <v/>
      </c>
      <c r="AL25" s="234" t="str">
        <f t="shared" si="2"/>
        <v/>
      </c>
      <c r="AM25" s="234" t="str">
        <f t="shared" si="2"/>
        <v/>
      </c>
      <c r="AN25" s="234" t="str">
        <f t="shared" si="2"/>
        <v/>
      </c>
      <c r="AO25" s="234" t="str">
        <f t="shared" si="2"/>
        <v/>
      </c>
      <c r="AP25" s="234" t="str">
        <f t="shared" si="2"/>
        <v/>
      </c>
      <c r="AQ25" s="234" t="str">
        <f t="shared" si="2"/>
        <v/>
      </c>
      <c r="AR25" s="234" t="str">
        <f t="shared" si="2"/>
        <v/>
      </c>
      <c r="AS25" s="234" t="str">
        <f t="shared" si="2"/>
        <v/>
      </c>
      <c r="AT25" s="234" t="str">
        <f t="shared" si="2"/>
        <v/>
      </c>
      <c r="AU25" s="234" t="str">
        <f t="shared" si="4"/>
        <v/>
      </c>
      <c r="AV25" s="234" t="str">
        <f t="shared" si="4"/>
        <v/>
      </c>
      <c r="AW25" s="233" t="str">
        <f t="shared" si="4"/>
        <v/>
      </c>
      <c r="AX25" s="234" t="str">
        <f t="shared" si="4"/>
        <v/>
      </c>
      <c r="AY25" s="234" t="str">
        <f t="shared" si="4"/>
        <v/>
      </c>
      <c r="AZ25" s="234" t="str">
        <f t="shared" si="4"/>
        <v/>
      </c>
      <c r="BA25" s="234" t="str">
        <f t="shared" si="4"/>
        <v/>
      </c>
      <c r="BB25" s="234" t="str">
        <f t="shared" si="4"/>
        <v/>
      </c>
      <c r="BC25" s="234" t="str">
        <f t="shared" si="4"/>
        <v/>
      </c>
      <c r="BD25" s="237">
        <f t="shared" si="3"/>
        <v>0</v>
      </c>
    </row>
    <row r="26" spans="2:56" x14ac:dyDescent="0.25">
      <c r="B26" s="223" t="s">
        <v>472</v>
      </c>
      <c r="C26" s="225">
        <f>IF(AND($D$3,$F$3), SXS_Transit_temp!B22+SXS_Transit_temp!B48,IF(AND($D$3,NOT($F$3)), SXS_Transit_temp!B22,IF(AND(NOT($D$3),$F$3), SXS_Transit_temp!B48,0)))</f>
        <v>18521.43648</v>
      </c>
      <c r="D26" s="225">
        <f>IF(AND($D$3,$F$3), SXS_Transit_temp!C22+SXS_Transit_temp!C48,IF(AND($D$3,NOT($F$3)), SXS_Transit_temp!C22,IF(AND(NOT($D$3),$F$3), SXS_Transit_temp!C48,0)))</f>
        <v>582.65425000000005</v>
      </c>
      <c r="E26" s="225">
        <f>IF(AND($D$3,$F$3), SXS_Transit_temp!D22+SXS_Transit_temp!D48,IF(AND($D$3,NOT($F$3)), SXS_Transit_temp!D22,IF(AND(NOT($D$3),$F$3), SXS_Transit_temp!D48,0)))</f>
        <v>575.68164999999999</v>
      </c>
      <c r="F26" s="225">
        <f>IF(AND($D$3,$F$3), SXS_Transit_temp!E22+SXS_Transit_temp!E48,IF(AND($D$3,NOT($F$3)), SXS_Transit_temp!E22,IF(AND(NOT($D$3),$F$3), SXS_Transit_temp!E48,0)))</f>
        <v>863.78243999999995</v>
      </c>
      <c r="G26" s="225">
        <f>IF(AND($D$3,$F$3), SXS_Transit_temp!F22+SXS_Transit_temp!F48,IF(AND($D$3,NOT($F$3)), SXS_Transit_temp!F22,IF(AND(NOT($D$3),$F$3), SXS_Transit_temp!F48,0)))</f>
        <v>84.101759999999999</v>
      </c>
      <c r="H26" s="225">
        <f>IF(AND($D$3,$F$3), SXS_Transit_temp!G22+SXS_Transit_temp!G48,IF(AND($D$3,NOT($F$3)), SXS_Transit_temp!G22,IF(AND(NOT($D$3),$F$3), SXS_Transit_temp!G48,0)))</f>
        <v>0</v>
      </c>
      <c r="I26" s="225">
        <f>IF(AND($D$3,$F$3), SXS_Transit_temp!H22+SXS_Transit_temp!H48,IF(AND($D$3,NOT($F$3)), SXS_Transit_temp!H22,IF(AND(NOT($D$3),$F$3), SXS_Transit_temp!H48,0)))</f>
        <v>0.124</v>
      </c>
      <c r="J26" s="225">
        <f>IF(AND($D$3,$F$3), SXS_Transit_temp!I22+SXS_Transit_temp!I48,IF(AND($D$3,NOT($F$3)), SXS_Transit_temp!I22,IF(AND(NOT($D$3),$F$3), SXS_Transit_temp!I48,0)))</f>
        <v>0</v>
      </c>
      <c r="K26" s="225">
        <f>IF(AND($D$3,$F$3), SXS_Transit_temp!J22+SXS_Transit_temp!J48,IF(AND($D$3,NOT($F$3)), SXS_Transit_temp!J22,IF(AND(NOT($D$3),$F$3), SXS_Transit_temp!J48,0)))</f>
        <v>1043.1081799999999</v>
      </c>
      <c r="L26" s="225">
        <f>IF(AND($D$3,$F$3), SXS_Transit_temp!K22+SXS_Transit_temp!K48,IF(AND($D$3,NOT($F$3)), SXS_Transit_temp!K22,IF(AND(NOT($D$3),$F$3), SXS_Transit_temp!K48,0)))</f>
        <v>1486.5951700000001</v>
      </c>
      <c r="M26" s="225">
        <f>IF(AND($D$3,$F$3), SXS_Transit_temp!L22+SXS_Transit_temp!L48,IF(AND($D$3,NOT($F$3)), SXS_Transit_temp!L22,IF(AND(NOT($D$3),$F$3), SXS_Transit_temp!L48,0)))</f>
        <v>0</v>
      </c>
      <c r="N26" s="225">
        <f>IF(AND($D$3,$F$3), SXS_Transit_temp!M22+SXS_Transit_temp!M48,IF(AND($D$3,NOT($F$3)), SXS_Transit_temp!M22,IF(AND(NOT($D$3),$F$3), SXS_Transit_temp!M48,0)))</f>
        <v>0</v>
      </c>
      <c r="O26" s="225">
        <f>IF(AND($D$3,$F$3), SXS_Transit_temp!N22+SXS_Transit_temp!N48,IF(AND($D$3,NOT($F$3)), SXS_Transit_temp!N22,IF(AND(NOT($D$3),$F$3), SXS_Transit_temp!N48,0)))</f>
        <v>0</v>
      </c>
      <c r="P26" s="225">
        <f>IF(AND($D$3,$F$3), SXS_Transit_temp!O22+SXS_Transit_temp!O48,IF(AND($D$3,NOT($F$3)), SXS_Transit_temp!O22,IF(AND(NOT($D$3),$F$3), SXS_Transit_temp!O48,0)))</f>
        <v>0</v>
      </c>
      <c r="Q26" s="225">
        <f>IF(AND($D$3,$F$3), SXS_Transit_temp!P22+SXS_Transit_temp!P48,IF(AND($D$3,NOT($F$3)), SXS_Transit_temp!P22,IF(AND(NOT($D$3),$F$3), SXS_Transit_temp!P48,0)))</f>
        <v>0</v>
      </c>
      <c r="R26" s="225">
        <f>IF(AND($D$3,$F$3), SXS_Transit_temp!Q22+SXS_Transit_temp!Q48,IF(AND($D$3,NOT($F$3)), SXS_Transit_temp!Q22,IF(AND(NOT($D$3),$F$3), SXS_Transit_temp!Q48,0)))</f>
        <v>0</v>
      </c>
      <c r="S26" s="225">
        <f>IF(AND($D$3,$F$3), SXS_Transit_temp!R22+SXS_Transit_temp!R48,IF(AND($D$3,NOT($F$3)), SXS_Transit_temp!R22,IF(AND(NOT($D$3),$F$3), SXS_Transit_temp!R48,0)))</f>
        <v>0</v>
      </c>
      <c r="T26" s="225">
        <f>IF(AND($D$3,$F$3), SXS_Transit_temp!S22+SXS_Transit_temp!S48,IF(AND($D$3,NOT($F$3)), SXS_Transit_temp!S22,IF(AND(NOT($D$3),$F$3), SXS_Transit_temp!S48,0)))</f>
        <v>0</v>
      </c>
      <c r="U26" s="225">
        <f>IF(AND($D$3,$F$3), SXS_Transit_temp!T22+SXS_Transit_temp!T48,IF(AND($D$3,NOT($F$3)), SXS_Transit_temp!T22,IF(AND(NOT($D$3),$F$3), SXS_Transit_temp!T48,0)))</f>
        <v>0</v>
      </c>
      <c r="V26" s="224">
        <f>IF(AND($D$3,$F$3), SXS_Transit_temp!U22+SXS_Transit_temp!U48,IF(AND($D$3,NOT($F$3)), SXS_Transit_temp!U22,IF(AND(NOT($D$3),$F$3), SXS_Transit_temp!U48,0)))</f>
        <v>9091.2579600000008</v>
      </c>
      <c r="W26" s="225">
        <f>IF(AND($D$3,$F$3), SXS_Transit_temp!V22+SXS_Transit_temp!V48,IF(AND($D$3,NOT($F$3)), SXS_Transit_temp!V22,IF(AND(NOT($D$3),$F$3), SXS_Transit_temp!V48,0)))</f>
        <v>2563.61816</v>
      </c>
      <c r="X26" s="225">
        <f>IF(AND($D$3,$F$3), SXS_Transit_temp!W22+SXS_Transit_temp!W48,IF(AND($D$3,NOT($F$3)), SXS_Transit_temp!W22,IF(AND(NOT($D$3),$F$3), SXS_Transit_temp!W48,0)))</f>
        <v>0</v>
      </c>
      <c r="Y26" s="225">
        <f>IF(AND($D$3,$F$3), SXS_Transit_temp!X22+SXS_Transit_temp!X48,IF(AND($D$3,NOT($F$3)), SXS_Transit_temp!X22,IF(AND(NOT($D$3),$F$3), SXS_Transit_temp!X48,0)))</f>
        <v>0</v>
      </c>
      <c r="Z26" s="225">
        <f>IF(AND($D$3,$F$3), SXS_Transit_temp!Y22+SXS_Transit_temp!Y48,IF(AND($D$3,NOT($F$3)), SXS_Transit_temp!Y22,IF(AND(NOT($D$3),$F$3), SXS_Transit_temp!Y48,0)))</f>
        <v>0</v>
      </c>
      <c r="AA26" s="225">
        <f>IF(AND($D$3,$F$3), SXS_Transit_temp!Z22+SXS_Transit_temp!Z48,IF(AND($D$3,NOT($F$3)), SXS_Transit_temp!Z22,IF(AND(NOT($D$3),$F$3), SXS_Transit_temp!Z48,0)))</f>
        <v>0</v>
      </c>
      <c r="AB26" s="226">
        <f t="shared" si="1"/>
        <v>34812.360049999996</v>
      </c>
      <c r="AD26" s="223" t="s">
        <v>472</v>
      </c>
      <c r="AE26" s="234">
        <f t="shared" si="2"/>
        <v>0.53203622085369084</v>
      </c>
      <c r="AF26" s="234">
        <f t="shared" si="2"/>
        <v>1.6736993675899894E-2</v>
      </c>
      <c r="AG26" s="234">
        <f t="shared" si="2"/>
        <v>1.6536702745035527E-2</v>
      </c>
      <c r="AH26" s="234">
        <f t="shared" si="2"/>
        <v>2.4812521723875484E-2</v>
      </c>
      <c r="AI26" s="234">
        <f t="shared" si="2"/>
        <v>2.4158591913678662E-3</v>
      </c>
      <c r="AJ26" s="234">
        <f t="shared" si="2"/>
        <v>0</v>
      </c>
      <c r="AK26" s="234">
        <f t="shared" si="2"/>
        <v>3.5619532781432329E-6</v>
      </c>
      <c r="AL26" s="234">
        <f t="shared" si="2"/>
        <v>0</v>
      </c>
      <c r="AM26" s="234">
        <f t="shared" si="2"/>
        <v>2.9963730654911459E-2</v>
      </c>
      <c r="AN26" s="234">
        <f t="shared" si="2"/>
        <v>4.2703084992366101E-2</v>
      </c>
      <c r="AO26" s="234">
        <f t="shared" si="2"/>
        <v>0</v>
      </c>
      <c r="AP26" s="234">
        <f t="shared" si="2"/>
        <v>0</v>
      </c>
      <c r="AQ26" s="234">
        <f t="shared" si="2"/>
        <v>0</v>
      </c>
      <c r="AR26" s="234">
        <f t="shared" si="2"/>
        <v>0</v>
      </c>
      <c r="AS26" s="234">
        <f t="shared" si="2"/>
        <v>0</v>
      </c>
      <c r="AT26" s="234">
        <f t="shared" si="2"/>
        <v>0</v>
      </c>
      <c r="AU26" s="234">
        <f t="shared" si="4"/>
        <v>0</v>
      </c>
      <c r="AV26" s="234">
        <f t="shared" si="4"/>
        <v>0</v>
      </c>
      <c r="AW26" s="234">
        <f t="shared" si="4"/>
        <v>0</v>
      </c>
      <c r="AX26" s="233">
        <f t="shared" si="4"/>
        <v>0.26115029107312709</v>
      </c>
      <c r="AY26" s="234">
        <f t="shared" si="4"/>
        <v>7.3641033136447764E-2</v>
      </c>
      <c r="AZ26" s="234">
        <f t="shared" si="4"/>
        <v>0</v>
      </c>
      <c r="BA26" s="234">
        <f t="shared" si="4"/>
        <v>0</v>
      </c>
      <c r="BB26" s="234">
        <f t="shared" si="4"/>
        <v>0</v>
      </c>
      <c r="BC26" s="234">
        <f t="shared" si="4"/>
        <v>0</v>
      </c>
      <c r="BD26" s="237">
        <f t="shared" si="3"/>
        <v>1</v>
      </c>
    </row>
    <row r="27" spans="2:56" x14ac:dyDescent="0.25">
      <c r="B27" s="223" t="s">
        <v>473</v>
      </c>
      <c r="C27" s="225">
        <f>IF(AND($D$3,$F$3), SXS_Transit_temp!B23+SXS_Transit_temp!B49,IF(AND($D$3,NOT($F$3)), SXS_Transit_temp!B23,IF(AND(NOT($D$3),$F$3), SXS_Transit_temp!B49,0)))</f>
        <v>11957.801439999999</v>
      </c>
      <c r="D27" s="225">
        <f>IF(AND($D$3,$F$3), SXS_Transit_temp!C23+SXS_Transit_temp!C49,IF(AND($D$3,NOT($F$3)), SXS_Transit_temp!C23,IF(AND(NOT($D$3),$F$3), SXS_Transit_temp!C49,0)))</f>
        <v>462.08211</v>
      </c>
      <c r="E27" s="225">
        <f>IF(AND($D$3,$F$3), SXS_Transit_temp!D23+SXS_Transit_temp!D49,IF(AND($D$3,NOT($F$3)), SXS_Transit_temp!D23,IF(AND(NOT($D$3),$F$3), SXS_Transit_temp!D49,0)))</f>
        <v>0</v>
      </c>
      <c r="F27" s="225">
        <f>IF(AND($D$3,$F$3), SXS_Transit_temp!E23+SXS_Transit_temp!E49,IF(AND($D$3,NOT($F$3)), SXS_Transit_temp!E23,IF(AND(NOT($D$3),$F$3), SXS_Transit_temp!E49,0)))</f>
        <v>0</v>
      </c>
      <c r="G27" s="225">
        <f>IF(AND($D$3,$F$3), SXS_Transit_temp!F23+SXS_Transit_temp!F49,IF(AND($D$3,NOT($F$3)), SXS_Transit_temp!F23,IF(AND(NOT($D$3),$F$3), SXS_Transit_temp!F49,0)))</f>
        <v>0</v>
      </c>
      <c r="H27" s="225">
        <f>IF(AND($D$3,$F$3), SXS_Transit_temp!G23+SXS_Transit_temp!G49,IF(AND($D$3,NOT($F$3)), SXS_Transit_temp!G23,IF(AND(NOT($D$3),$F$3), SXS_Transit_temp!G49,0)))</f>
        <v>0</v>
      </c>
      <c r="I27" s="225">
        <f>IF(AND($D$3,$F$3), SXS_Transit_temp!H23+SXS_Transit_temp!H49,IF(AND($D$3,NOT($F$3)), SXS_Transit_temp!H23,IF(AND(NOT($D$3),$F$3), SXS_Transit_temp!H49,0)))</f>
        <v>0</v>
      </c>
      <c r="J27" s="225">
        <f>IF(AND($D$3,$F$3), SXS_Transit_temp!I23+SXS_Transit_temp!I49,IF(AND($D$3,NOT($F$3)), SXS_Transit_temp!I23,IF(AND(NOT($D$3),$F$3), SXS_Transit_temp!I49,0)))</f>
        <v>0</v>
      </c>
      <c r="K27" s="225">
        <f>IF(AND($D$3,$F$3), SXS_Transit_temp!J23+SXS_Transit_temp!J49,IF(AND($D$3,NOT($F$3)), SXS_Transit_temp!J23,IF(AND(NOT($D$3),$F$3), SXS_Transit_temp!J49,0)))</f>
        <v>0</v>
      </c>
      <c r="L27" s="225">
        <f>IF(AND($D$3,$F$3), SXS_Transit_temp!K23+SXS_Transit_temp!K49,IF(AND($D$3,NOT($F$3)), SXS_Transit_temp!K23,IF(AND(NOT($D$3),$F$3), SXS_Transit_temp!K49,0)))</f>
        <v>0</v>
      </c>
      <c r="M27" s="225">
        <f>IF(AND($D$3,$F$3), SXS_Transit_temp!L23+SXS_Transit_temp!L49,IF(AND($D$3,NOT($F$3)), SXS_Transit_temp!L23,IF(AND(NOT($D$3),$F$3), SXS_Transit_temp!L49,0)))</f>
        <v>0</v>
      </c>
      <c r="N27" s="225">
        <f>IF(AND($D$3,$F$3), SXS_Transit_temp!M23+SXS_Transit_temp!M49,IF(AND($D$3,NOT($F$3)), SXS_Transit_temp!M23,IF(AND(NOT($D$3),$F$3), SXS_Transit_temp!M49,0)))</f>
        <v>0</v>
      </c>
      <c r="O27" s="225">
        <f>IF(AND($D$3,$F$3), SXS_Transit_temp!N23+SXS_Transit_temp!N49,IF(AND($D$3,NOT($F$3)), SXS_Transit_temp!N23,IF(AND(NOT($D$3),$F$3), SXS_Transit_temp!N49,0)))</f>
        <v>123.82885</v>
      </c>
      <c r="P27" s="225">
        <f>IF(AND($D$3,$F$3), SXS_Transit_temp!O23+SXS_Transit_temp!O49,IF(AND($D$3,NOT($F$3)), SXS_Transit_temp!O23,IF(AND(NOT($D$3),$F$3), SXS_Transit_temp!O49,0)))</f>
        <v>0</v>
      </c>
      <c r="Q27" s="225">
        <f>IF(AND($D$3,$F$3), SXS_Transit_temp!P23+SXS_Transit_temp!P49,IF(AND($D$3,NOT($F$3)), SXS_Transit_temp!P23,IF(AND(NOT($D$3),$F$3), SXS_Transit_temp!P49,0)))</f>
        <v>0</v>
      </c>
      <c r="R27" s="225">
        <f>IF(AND($D$3,$F$3), SXS_Transit_temp!Q23+SXS_Transit_temp!Q49,IF(AND($D$3,NOT($F$3)), SXS_Transit_temp!Q23,IF(AND(NOT($D$3),$F$3), SXS_Transit_temp!Q49,0)))</f>
        <v>0</v>
      </c>
      <c r="S27" s="225">
        <f>IF(AND($D$3,$F$3), SXS_Transit_temp!R23+SXS_Transit_temp!R49,IF(AND($D$3,NOT($F$3)), SXS_Transit_temp!R23,IF(AND(NOT($D$3),$F$3), SXS_Transit_temp!R49,0)))</f>
        <v>0</v>
      </c>
      <c r="T27" s="225">
        <f>IF(AND($D$3,$F$3), SXS_Transit_temp!S23+SXS_Transit_temp!S49,IF(AND($D$3,NOT($F$3)), SXS_Transit_temp!S23,IF(AND(NOT($D$3),$F$3), SXS_Transit_temp!S49,0)))</f>
        <v>0</v>
      </c>
      <c r="U27" s="225">
        <f>IF(AND($D$3,$F$3), SXS_Transit_temp!T23+SXS_Transit_temp!T49,IF(AND($D$3,NOT($F$3)), SXS_Transit_temp!T23,IF(AND(NOT($D$3),$F$3), SXS_Transit_temp!T49,0)))</f>
        <v>0</v>
      </c>
      <c r="V27" s="225">
        <f>IF(AND($D$3,$F$3), SXS_Transit_temp!U23+SXS_Transit_temp!U49,IF(AND($D$3,NOT($F$3)), SXS_Transit_temp!U23,IF(AND(NOT($D$3),$F$3), SXS_Transit_temp!U49,0)))</f>
        <v>2578.4757</v>
      </c>
      <c r="W27" s="224">
        <f>IF(AND($D$3,$F$3), SXS_Transit_temp!V23+SXS_Transit_temp!V49,IF(AND($D$3,NOT($F$3)), SXS_Transit_temp!V23,IF(AND(NOT($D$3),$F$3), SXS_Transit_temp!V49,0)))</f>
        <v>3411.7668199999998</v>
      </c>
      <c r="X27" s="225">
        <f>IF(AND($D$3,$F$3), SXS_Transit_temp!W23+SXS_Transit_temp!W49,IF(AND($D$3,NOT($F$3)), SXS_Transit_temp!W23,IF(AND(NOT($D$3),$F$3), SXS_Transit_temp!W49,0)))</f>
        <v>0</v>
      </c>
      <c r="Y27" s="225">
        <f>IF(AND($D$3,$F$3), SXS_Transit_temp!X23+SXS_Transit_temp!X49,IF(AND($D$3,NOT($F$3)), SXS_Transit_temp!X23,IF(AND(NOT($D$3),$F$3), SXS_Transit_temp!X49,0)))</f>
        <v>0</v>
      </c>
      <c r="Z27" s="225">
        <f>IF(AND($D$3,$F$3), SXS_Transit_temp!Y23+SXS_Transit_temp!Y49,IF(AND($D$3,NOT($F$3)), SXS_Transit_temp!Y23,IF(AND(NOT($D$3),$F$3), SXS_Transit_temp!Y49,0)))</f>
        <v>0</v>
      </c>
      <c r="AA27" s="225">
        <f>IF(AND($D$3,$F$3), SXS_Transit_temp!Z23+SXS_Transit_temp!Z49,IF(AND($D$3,NOT($F$3)), SXS_Transit_temp!Z23,IF(AND(NOT($D$3),$F$3), SXS_Transit_temp!Z49,0)))</f>
        <v>0</v>
      </c>
      <c r="AB27" s="226">
        <f t="shared" si="1"/>
        <v>18533.95492</v>
      </c>
      <c r="AD27" s="223" t="s">
        <v>473</v>
      </c>
      <c r="AE27" s="234">
        <f t="shared" si="2"/>
        <v>0.6451834749579719</v>
      </c>
      <c r="AF27" s="234">
        <f t="shared" si="2"/>
        <v>2.4931651770738202E-2</v>
      </c>
      <c r="AG27" s="234">
        <f t="shared" si="2"/>
        <v>0</v>
      </c>
      <c r="AH27" s="234">
        <f t="shared" si="2"/>
        <v>0</v>
      </c>
      <c r="AI27" s="234">
        <f t="shared" si="2"/>
        <v>0</v>
      </c>
      <c r="AJ27" s="234">
        <f t="shared" si="2"/>
        <v>0</v>
      </c>
      <c r="AK27" s="234">
        <f t="shared" si="2"/>
        <v>0</v>
      </c>
      <c r="AL27" s="234">
        <f t="shared" si="2"/>
        <v>0</v>
      </c>
      <c r="AM27" s="234">
        <f t="shared" si="2"/>
        <v>0</v>
      </c>
      <c r="AN27" s="234">
        <f t="shared" si="2"/>
        <v>0</v>
      </c>
      <c r="AO27" s="234">
        <f t="shared" si="2"/>
        <v>0</v>
      </c>
      <c r="AP27" s="234">
        <f t="shared" si="2"/>
        <v>0</v>
      </c>
      <c r="AQ27" s="234">
        <f t="shared" si="2"/>
        <v>6.6811886904060737E-3</v>
      </c>
      <c r="AR27" s="234">
        <f t="shared" si="2"/>
        <v>0</v>
      </c>
      <c r="AS27" s="234">
        <f t="shared" si="2"/>
        <v>0</v>
      </c>
      <c r="AT27" s="234">
        <f t="shared" si="2"/>
        <v>0</v>
      </c>
      <c r="AU27" s="234">
        <f t="shared" si="4"/>
        <v>0</v>
      </c>
      <c r="AV27" s="234">
        <f t="shared" si="4"/>
        <v>0</v>
      </c>
      <c r="AW27" s="234">
        <f t="shared" si="4"/>
        <v>0</v>
      </c>
      <c r="AX27" s="234">
        <f t="shared" si="4"/>
        <v>0.13912172070827503</v>
      </c>
      <c r="AY27" s="233">
        <f t="shared" si="4"/>
        <v>0.18408196387260878</v>
      </c>
      <c r="AZ27" s="234">
        <f t="shared" si="4"/>
        <v>0</v>
      </c>
      <c r="BA27" s="234">
        <f t="shared" si="4"/>
        <v>0</v>
      </c>
      <c r="BB27" s="234">
        <f t="shared" si="4"/>
        <v>0</v>
      </c>
      <c r="BC27" s="234">
        <f t="shared" si="4"/>
        <v>0</v>
      </c>
      <c r="BD27" s="237">
        <f t="shared" si="3"/>
        <v>1</v>
      </c>
    </row>
    <row r="28" spans="2:56" x14ac:dyDescent="0.25">
      <c r="B28" s="223" t="s">
        <v>474</v>
      </c>
      <c r="C28" s="225">
        <f>IF(AND($D$3,$F$3), SXS_Transit_temp!B24+SXS_Transit_temp!B50,IF(AND($D$3,NOT($F$3)), SXS_Transit_temp!B24,IF(AND(NOT($D$3),$F$3), SXS_Transit_temp!B50,0)))</f>
        <v>152.70773</v>
      </c>
      <c r="D28" s="225">
        <f>IF(AND($D$3,$F$3), SXS_Transit_temp!C24+SXS_Transit_temp!C50,IF(AND($D$3,NOT($F$3)), SXS_Transit_temp!C24,IF(AND(NOT($D$3),$F$3), SXS_Transit_temp!C50,0)))</f>
        <v>0</v>
      </c>
      <c r="E28" s="225">
        <f>IF(AND($D$3,$F$3), SXS_Transit_temp!D24+SXS_Transit_temp!D50,IF(AND($D$3,NOT($F$3)), SXS_Transit_temp!D24,IF(AND(NOT($D$3),$F$3), SXS_Transit_temp!D50,0)))</f>
        <v>0</v>
      </c>
      <c r="F28" s="225">
        <f>IF(AND($D$3,$F$3), SXS_Transit_temp!E24+SXS_Transit_temp!E50,IF(AND($D$3,NOT($F$3)), SXS_Transit_temp!E24,IF(AND(NOT($D$3),$F$3), SXS_Transit_temp!E50,0)))</f>
        <v>25.75367</v>
      </c>
      <c r="G28" s="225">
        <f>IF(AND($D$3,$F$3), SXS_Transit_temp!F24+SXS_Transit_temp!F50,IF(AND($D$3,NOT($F$3)), SXS_Transit_temp!F24,IF(AND(NOT($D$3),$F$3), SXS_Transit_temp!F50,0)))</f>
        <v>0</v>
      </c>
      <c r="H28" s="225">
        <f>IF(AND($D$3,$F$3), SXS_Transit_temp!G24+SXS_Transit_temp!G50,IF(AND($D$3,NOT($F$3)), SXS_Transit_temp!G24,IF(AND(NOT($D$3),$F$3), SXS_Transit_temp!G50,0)))</f>
        <v>0</v>
      </c>
      <c r="I28" s="225">
        <f>IF(AND($D$3,$F$3), SXS_Transit_temp!H24+SXS_Transit_temp!H50,IF(AND($D$3,NOT($F$3)), SXS_Transit_temp!H24,IF(AND(NOT($D$3),$F$3), SXS_Transit_temp!H50,0)))</f>
        <v>0</v>
      </c>
      <c r="J28" s="225">
        <f>IF(AND($D$3,$F$3), SXS_Transit_temp!I24+SXS_Transit_temp!I50,IF(AND($D$3,NOT($F$3)), SXS_Transit_temp!I24,IF(AND(NOT($D$3),$F$3), SXS_Transit_temp!I50,0)))</f>
        <v>0</v>
      </c>
      <c r="K28" s="225">
        <f>IF(AND($D$3,$F$3), SXS_Transit_temp!J24+SXS_Transit_temp!J50,IF(AND($D$3,NOT($F$3)), SXS_Transit_temp!J24,IF(AND(NOT($D$3),$F$3), SXS_Transit_temp!J50,0)))</f>
        <v>0</v>
      </c>
      <c r="L28" s="225">
        <f>IF(AND($D$3,$F$3), SXS_Transit_temp!K24+SXS_Transit_temp!K50,IF(AND($D$3,NOT($F$3)), SXS_Transit_temp!K24,IF(AND(NOT($D$3),$F$3), SXS_Transit_temp!K50,0)))</f>
        <v>0</v>
      </c>
      <c r="M28" s="225">
        <f>IF(AND($D$3,$F$3), SXS_Transit_temp!L24+SXS_Transit_temp!L50,IF(AND($D$3,NOT($F$3)), SXS_Transit_temp!L24,IF(AND(NOT($D$3),$F$3), SXS_Transit_temp!L50,0)))</f>
        <v>0</v>
      </c>
      <c r="N28" s="225">
        <f>IF(AND($D$3,$F$3), SXS_Transit_temp!M24+SXS_Transit_temp!M50,IF(AND($D$3,NOT($F$3)), SXS_Transit_temp!M24,IF(AND(NOT($D$3),$F$3), SXS_Transit_temp!M50,0)))</f>
        <v>0</v>
      </c>
      <c r="O28" s="225">
        <f>IF(AND($D$3,$F$3), SXS_Transit_temp!N24+SXS_Transit_temp!N50,IF(AND($D$3,NOT($F$3)), SXS_Transit_temp!N24,IF(AND(NOT($D$3),$F$3), SXS_Transit_temp!N50,0)))</f>
        <v>0</v>
      </c>
      <c r="P28" s="225">
        <f>IF(AND($D$3,$F$3), SXS_Transit_temp!O24+SXS_Transit_temp!O50,IF(AND($D$3,NOT($F$3)), SXS_Transit_temp!O24,IF(AND(NOT($D$3),$F$3), SXS_Transit_temp!O50,0)))</f>
        <v>0</v>
      </c>
      <c r="Q28" s="225">
        <f>IF(AND($D$3,$F$3), SXS_Transit_temp!P24+SXS_Transit_temp!P50,IF(AND($D$3,NOT($F$3)), SXS_Transit_temp!P24,IF(AND(NOT($D$3),$F$3), SXS_Transit_temp!P50,0)))</f>
        <v>0</v>
      </c>
      <c r="R28" s="225">
        <f>IF(AND($D$3,$F$3), SXS_Transit_temp!Q24+SXS_Transit_temp!Q50,IF(AND($D$3,NOT($F$3)), SXS_Transit_temp!Q24,IF(AND(NOT($D$3),$F$3), SXS_Transit_temp!Q50,0)))</f>
        <v>0</v>
      </c>
      <c r="S28" s="225">
        <f>IF(AND($D$3,$F$3), SXS_Transit_temp!R24+SXS_Transit_temp!R50,IF(AND($D$3,NOT($F$3)), SXS_Transit_temp!R24,IF(AND(NOT($D$3),$F$3), SXS_Transit_temp!R50,0)))</f>
        <v>0</v>
      </c>
      <c r="T28" s="225">
        <f>IF(AND($D$3,$F$3), SXS_Transit_temp!S24+SXS_Transit_temp!S50,IF(AND($D$3,NOT($F$3)), SXS_Transit_temp!S24,IF(AND(NOT($D$3),$F$3), SXS_Transit_temp!S50,0)))</f>
        <v>0</v>
      </c>
      <c r="U28" s="225">
        <f>IF(AND($D$3,$F$3), SXS_Transit_temp!T24+SXS_Transit_temp!T50,IF(AND($D$3,NOT($F$3)), SXS_Transit_temp!T24,IF(AND(NOT($D$3),$F$3), SXS_Transit_temp!T50,0)))</f>
        <v>0</v>
      </c>
      <c r="V28" s="225">
        <f>IF(AND($D$3,$F$3), SXS_Transit_temp!U24+SXS_Transit_temp!U50,IF(AND($D$3,NOT($F$3)), SXS_Transit_temp!U24,IF(AND(NOT($D$3),$F$3), SXS_Transit_temp!U50,0)))</f>
        <v>0</v>
      </c>
      <c r="W28" s="225">
        <f>IF(AND($D$3,$F$3), SXS_Transit_temp!V24+SXS_Transit_temp!V50,IF(AND($D$3,NOT($F$3)), SXS_Transit_temp!V24,IF(AND(NOT($D$3),$F$3), SXS_Transit_temp!V50,0)))</f>
        <v>0</v>
      </c>
      <c r="X28" s="224">
        <f>IF(AND($D$3,$F$3), SXS_Transit_temp!W24+SXS_Transit_temp!W50,IF(AND($D$3,NOT($F$3)), SXS_Transit_temp!W24,IF(AND(NOT($D$3),$F$3), SXS_Transit_temp!W50,0)))</f>
        <v>93.359319999999997</v>
      </c>
      <c r="Y28" s="225">
        <f>IF(AND($D$3,$F$3), SXS_Transit_temp!X24+SXS_Transit_temp!X50,IF(AND($D$3,NOT($F$3)), SXS_Transit_temp!X24,IF(AND(NOT($D$3),$F$3), SXS_Transit_temp!X50,0)))</f>
        <v>0</v>
      </c>
      <c r="Z28" s="225">
        <f>IF(AND($D$3,$F$3), SXS_Transit_temp!Y24+SXS_Transit_temp!Y50,IF(AND($D$3,NOT($F$3)), SXS_Transit_temp!Y24,IF(AND(NOT($D$3),$F$3), SXS_Transit_temp!Y50,0)))</f>
        <v>0</v>
      </c>
      <c r="AA28" s="225">
        <f>IF(AND($D$3,$F$3), SXS_Transit_temp!Z24+SXS_Transit_temp!Z50,IF(AND($D$3,NOT($F$3)), SXS_Transit_temp!Z24,IF(AND(NOT($D$3),$F$3), SXS_Transit_temp!Z50,0)))</f>
        <v>0</v>
      </c>
      <c r="AB28" s="226">
        <f t="shared" si="1"/>
        <v>271.82071999999999</v>
      </c>
      <c r="AD28" s="223" t="s">
        <v>474</v>
      </c>
      <c r="AE28" s="234">
        <f t="shared" si="2"/>
        <v>0.56179576744554283</v>
      </c>
      <c r="AF28" s="234">
        <f t="shared" si="2"/>
        <v>0</v>
      </c>
      <c r="AG28" s="234">
        <f t="shared" si="2"/>
        <v>0</v>
      </c>
      <c r="AH28" s="234">
        <f t="shared" si="2"/>
        <v>9.4745058434103191E-2</v>
      </c>
      <c r="AI28" s="234">
        <f t="shared" si="2"/>
        <v>0</v>
      </c>
      <c r="AJ28" s="234">
        <f t="shared" si="2"/>
        <v>0</v>
      </c>
      <c r="AK28" s="234">
        <f t="shared" si="2"/>
        <v>0</v>
      </c>
      <c r="AL28" s="234">
        <f t="shared" si="2"/>
        <v>0</v>
      </c>
      <c r="AM28" s="234">
        <f t="shared" si="2"/>
        <v>0</v>
      </c>
      <c r="AN28" s="234">
        <f t="shared" si="2"/>
        <v>0</v>
      </c>
      <c r="AO28" s="234">
        <f t="shared" si="2"/>
        <v>0</v>
      </c>
      <c r="AP28" s="234">
        <f t="shared" si="2"/>
        <v>0</v>
      </c>
      <c r="AQ28" s="234">
        <f t="shared" si="2"/>
        <v>0</v>
      </c>
      <c r="AR28" s="234">
        <f t="shared" si="2"/>
        <v>0</v>
      </c>
      <c r="AS28" s="234">
        <f t="shared" si="2"/>
        <v>0</v>
      </c>
      <c r="AT28" s="234">
        <f t="shared" si="2"/>
        <v>0</v>
      </c>
      <c r="AU28" s="234">
        <f t="shared" si="4"/>
        <v>0</v>
      </c>
      <c r="AV28" s="234">
        <f t="shared" si="4"/>
        <v>0</v>
      </c>
      <c r="AW28" s="234">
        <f t="shared" si="4"/>
        <v>0</v>
      </c>
      <c r="AX28" s="234">
        <f t="shared" si="4"/>
        <v>0</v>
      </c>
      <c r="AY28" s="234">
        <f t="shared" si="4"/>
        <v>0</v>
      </c>
      <c r="AZ28" s="233">
        <f t="shared" si="4"/>
        <v>0.34345917412035404</v>
      </c>
      <c r="BA28" s="234">
        <f t="shared" si="4"/>
        <v>0</v>
      </c>
      <c r="BB28" s="234">
        <f t="shared" si="4"/>
        <v>0</v>
      </c>
      <c r="BC28" s="234">
        <f t="shared" si="4"/>
        <v>0</v>
      </c>
      <c r="BD28" s="237">
        <f t="shared" si="3"/>
        <v>1</v>
      </c>
    </row>
    <row r="29" spans="2:56" x14ac:dyDescent="0.25">
      <c r="B29" s="223" t="s">
        <v>475</v>
      </c>
      <c r="C29" s="225">
        <f>IF(AND($D$3,$F$3), SXS_Transit_temp!B25+SXS_Transit_temp!B51,IF(AND($D$3,NOT($F$3)), SXS_Transit_temp!B25,IF(AND(NOT($D$3),$F$3), SXS_Transit_temp!B51,0)))</f>
        <v>5391.31682</v>
      </c>
      <c r="D29" s="225">
        <f>IF(AND($D$3,$F$3), SXS_Transit_temp!C25+SXS_Transit_temp!C51,IF(AND($D$3,NOT($F$3)), SXS_Transit_temp!C25,IF(AND(NOT($D$3),$F$3), SXS_Transit_temp!C51,0)))</f>
        <v>0</v>
      </c>
      <c r="E29" s="225">
        <f>IF(AND($D$3,$F$3), SXS_Transit_temp!D25+SXS_Transit_temp!D51,IF(AND($D$3,NOT($F$3)), SXS_Transit_temp!D25,IF(AND(NOT($D$3),$F$3), SXS_Transit_temp!D51,0)))</f>
        <v>0</v>
      </c>
      <c r="F29" s="225">
        <f>IF(AND($D$3,$F$3), SXS_Transit_temp!E25+SXS_Transit_temp!E51,IF(AND($D$3,NOT($F$3)), SXS_Transit_temp!E25,IF(AND(NOT($D$3),$F$3), SXS_Transit_temp!E51,0)))</f>
        <v>0</v>
      </c>
      <c r="G29" s="225">
        <f>IF(AND($D$3,$F$3), SXS_Transit_temp!F25+SXS_Transit_temp!F51,IF(AND($D$3,NOT($F$3)), SXS_Transit_temp!F25,IF(AND(NOT($D$3),$F$3), SXS_Transit_temp!F51,0)))</f>
        <v>0</v>
      </c>
      <c r="H29" s="225">
        <f>IF(AND($D$3,$F$3), SXS_Transit_temp!G25+SXS_Transit_temp!G51,IF(AND($D$3,NOT($F$3)), SXS_Transit_temp!G25,IF(AND(NOT($D$3),$F$3), SXS_Transit_temp!G51,0)))</f>
        <v>0</v>
      </c>
      <c r="I29" s="225">
        <f>IF(AND($D$3,$F$3), SXS_Transit_temp!H25+SXS_Transit_temp!H51,IF(AND($D$3,NOT($F$3)), SXS_Transit_temp!H25,IF(AND(NOT($D$3),$F$3), SXS_Transit_temp!H51,0)))</f>
        <v>0</v>
      </c>
      <c r="J29" s="225">
        <f>IF(AND($D$3,$F$3), SXS_Transit_temp!I25+SXS_Transit_temp!I51,IF(AND($D$3,NOT($F$3)), SXS_Transit_temp!I25,IF(AND(NOT($D$3),$F$3), SXS_Transit_temp!I51,0)))</f>
        <v>0</v>
      </c>
      <c r="K29" s="225">
        <f>IF(AND($D$3,$F$3), SXS_Transit_temp!J25+SXS_Transit_temp!J51,IF(AND($D$3,NOT($F$3)), SXS_Transit_temp!J25,IF(AND(NOT($D$3),$F$3), SXS_Transit_temp!J51,0)))</f>
        <v>0</v>
      </c>
      <c r="L29" s="225">
        <f>IF(AND($D$3,$F$3), SXS_Transit_temp!K25+SXS_Transit_temp!K51,IF(AND($D$3,NOT($F$3)), SXS_Transit_temp!K25,IF(AND(NOT($D$3),$F$3), SXS_Transit_temp!K51,0)))</f>
        <v>0</v>
      </c>
      <c r="M29" s="225">
        <f>IF(AND($D$3,$F$3), SXS_Transit_temp!L25+SXS_Transit_temp!L51,IF(AND($D$3,NOT($F$3)), SXS_Transit_temp!L25,IF(AND(NOT($D$3),$F$3), SXS_Transit_temp!L51,0)))</f>
        <v>0</v>
      </c>
      <c r="N29" s="225">
        <f>IF(AND($D$3,$F$3), SXS_Transit_temp!M25+SXS_Transit_temp!M51,IF(AND($D$3,NOT($F$3)), SXS_Transit_temp!M25,IF(AND(NOT($D$3),$F$3), SXS_Transit_temp!M51,0)))</f>
        <v>0</v>
      </c>
      <c r="O29" s="225">
        <f>IF(AND($D$3,$F$3), SXS_Transit_temp!N25+SXS_Transit_temp!N51,IF(AND($D$3,NOT($F$3)), SXS_Transit_temp!N25,IF(AND(NOT($D$3),$F$3), SXS_Transit_temp!N51,0)))</f>
        <v>0</v>
      </c>
      <c r="P29" s="225">
        <f>IF(AND($D$3,$F$3), SXS_Transit_temp!O25+SXS_Transit_temp!O51,IF(AND($D$3,NOT($F$3)), SXS_Transit_temp!O25,IF(AND(NOT($D$3),$F$3), SXS_Transit_temp!O51,0)))</f>
        <v>0</v>
      </c>
      <c r="Q29" s="225">
        <f>IF(AND($D$3,$F$3), SXS_Transit_temp!P25+SXS_Transit_temp!P51,IF(AND($D$3,NOT($F$3)), SXS_Transit_temp!P25,IF(AND(NOT($D$3),$F$3), SXS_Transit_temp!P51,0)))</f>
        <v>0</v>
      </c>
      <c r="R29" s="225">
        <f>IF(AND($D$3,$F$3), SXS_Transit_temp!Q25+SXS_Transit_temp!Q51,IF(AND($D$3,NOT($F$3)), SXS_Transit_temp!Q25,IF(AND(NOT($D$3),$F$3), SXS_Transit_temp!Q51,0)))</f>
        <v>0</v>
      </c>
      <c r="S29" s="225">
        <f>IF(AND($D$3,$F$3), SXS_Transit_temp!R25+SXS_Transit_temp!R51,IF(AND($D$3,NOT($F$3)), SXS_Transit_temp!R25,IF(AND(NOT($D$3),$F$3), SXS_Transit_temp!R51,0)))</f>
        <v>0</v>
      </c>
      <c r="T29" s="225">
        <f>IF(AND($D$3,$F$3), SXS_Transit_temp!S25+SXS_Transit_temp!S51,IF(AND($D$3,NOT($F$3)), SXS_Transit_temp!S25,IF(AND(NOT($D$3),$F$3), SXS_Transit_temp!S51,0)))</f>
        <v>0</v>
      </c>
      <c r="U29" s="225">
        <f>IF(AND($D$3,$F$3), SXS_Transit_temp!T25+SXS_Transit_temp!T51,IF(AND($D$3,NOT($F$3)), SXS_Transit_temp!T25,IF(AND(NOT($D$3),$F$3), SXS_Transit_temp!T51,0)))</f>
        <v>0</v>
      </c>
      <c r="V29" s="225">
        <f>IF(AND($D$3,$F$3), SXS_Transit_temp!U25+SXS_Transit_temp!U51,IF(AND($D$3,NOT($F$3)), SXS_Transit_temp!U25,IF(AND(NOT($D$3),$F$3), SXS_Transit_temp!U51,0)))</f>
        <v>0</v>
      </c>
      <c r="W29" s="225">
        <f>IF(AND($D$3,$F$3), SXS_Transit_temp!V25+SXS_Transit_temp!V51,IF(AND($D$3,NOT($F$3)), SXS_Transit_temp!V25,IF(AND(NOT($D$3),$F$3), SXS_Transit_temp!V51,0)))</f>
        <v>0</v>
      </c>
      <c r="X29" s="225">
        <f>IF(AND($D$3,$F$3), SXS_Transit_temp!W25+SXS_Transit_temp!W51,IF(AND($D$3,NOT($F$3)), SXS_Transit_temp!W25,IF(AND(NOT($D$3),$F$3), SXS_Transit_temp!W51,0)))</f>
        <v>0</v>
      </c>
      <c r="Y29" s="224">
        <f>IF(AND($D$3,$F$3), SXS_Transit_temp!X25+SXS_Transit_temp!X51,IF(AND($D$3,NOT($F$3)), SXS_Transit_temp!X25,IF(AND(NOT($D$3),$F$3), SXS_Transit_temp!X51,0)))</f>
        <v>189.87281999999999</v>
      </c>
      <c r="Z29" s="225">
        <f>IF(AND($D$3,$F$3), SXS_Transit_temp!Y25+SXS_Transit_temp!Y51,IF(AND($D$3,NOT($F$3)), SXS_Transit_temp!Y25,IF(AND(NOT($D$3),$F$3), SXS_Transit_temp!Y51,0)))</f>
        <v>0</v>
      </c>
      <c r="AA29" s="225">
        <f>IF(AND($D$3,$F$3), SXS_Transit_temp!Z25+SXS_Transit_temp!Z51,IF(AND($D$3,NOT($F$3)), SXS_Transit_temp!Z25,IF(AND(NOT($D$3),$F$3), SXS_Transit_temp!Z51,0)))</f>
        <v>0</v>
      </c>
      <c r="AB29" s="226">
        <f t="shared" si="1"/>
        <v>5581.1896399999996</v>
      </c>
      <c r="AD29" s="223" t="s">
        <v>475</v>
      </c>
      <c r="AE29" s="234">
        <f t="shared" si="2"/>
        <v>0.96597986589826756</v>
      </c>
      <c r="AF29" s="234">
        <f t="shared" si="2"/>
        <v>0</v>
      </c>
      <c r="AG29" s="234">
        <f t="shared" si="2"/>
        <v>0</v>
      </c>
      <c r="AH29" s="234">
        <f t="shared" si="2"/>
        <v>0</v>
      </c>
      <c r="AI29" s="234">
        <f t="shared" si="2"/>
        <v>0</v>
      </c>
      <c r="AJ29" s="234">
        <f t="shared" si="2"/>
        <v>0</v>
      </c>
      <c r="AK29" s="234">
        <f t="shared" si="2"/>
        <v>0</v>
      </c>
      <c r="AL29" s="234">
        <f t="shared" si="2"/>
        <v>0</v>
      </c>
      <c r="AM29" s="234">
        <f t="shared" si="2"/>
        <v>0</v>
      </c>
      <c r="AN29" s="234">
        <f t="shared" si="2"/>
        <v>0</v>
      </c>
      <c r="AO29" s="234">
        <f t="shared" si="2"/>
        <v>0</v>
      </c>
      <c r="AP29" s="234">
        <f t="shared" si="2"/>
        <v>0</v>
      </c>
      <c r="AQ29" s="234">
        <f t="shared" si="2"/>
        <v>0</v>
      </c>
      <c r="AR29" s="234">
        <f t="shared" si="2"/>
        <v>0</v>
      </c>
      <c r="AS29" s="234">
        <f t="shared" si="2"/>
        <v>0</v>
      </c>
      <c r="AT29" s="234">
        <f t="shared" si="2"/>
        <v>0</v>
      </c>
      <c r="AU29" s="234">
        <f t="shared" si="4"/>
        <v>0</v>
      </c>
      <c r="AV29" s="234">
        <f t="shared" si="4"/>
        <v>0</v>
      </c>
      <c r="AW29" s="234">
        <f t="shared" si="4"/>
        <v>0</v>
      </c>
      <c r="AX29" s="234">
        <f t="shared" si="4"/>
        <v>0</v>
      </c>
      <c r="AY29" s="234">
        <f t="shared" si="4"/>
        <v>0</v>
      </c>
      <c r="AZ29" s="234">
        <f t="shared" si="4"/>
        <v>0</v>
      </c>
      <c r="BA29" s="233">
        <f t="shared" si="4"/>
        <v>3.4020134101732477E-2</v>
      </c>
      <c r="BB29" s="234">
        <f t="shared" si="4"/>
        <v>0</v>
      </c>
      <c r="BC29" s="234">
        <f t="shared" si="4"/>
        <v>0</v>
      </c>
      <c r="BD29" s="237">
        <f t="shared" si="3"/>
        <v>1</v>
      </c>
    </row>
    <row r="30" spans="2:56" x14ac:dyDescent="0.25">
      <c r="B30" s="223" t="s">
        <v>476</v>
      </c>
      <c r="C30" s="225">
        <f>IF(AND($D$3,$F$3), SXS_Transit_temp!B26+SXS_Transit_temp!B52,IF(AND($D$3,NOT($F$3)), SXS_Transit_temp!B26,IF(AND(NOT($D$3),$F$3), SXS_Transit_temp!B52,0)))</f>
        <v>6503.47559</v>
      </c>
      <c r="D30" s="225">
        <f>IF(AND($D$3,$F$3), SXS_Transit_temp!C26+SXS_Transit_temp!C52,IF(AND($D$3,NOT($F$3)), SXS_Transit_temp!C26,IF(AND(NOT($D$3),$F$3), SXS_Transit_temp!C52,0)))</f>
        <v>0</v>
      </c>
      <c r="E30" s="225">
        <f>IF(AND($D$3,$F$3), SXS_Transit_temp!D26+SXS_Transit_temp!D52,IF(AND($D$3,NOT($F$3)), SXS_Transit_temp!D26,IF(AND(NOT($D$3),$F$3), SXS_Transit_temp!D52,0)))</f>
        <v>0</v>
      </c>
      <c r="F30" s="225">
        <f>IF(AND($D$3,$F$3), SXS_Transit_temp!E26+SXS_Transit_temp!E52,IF(AND($D$3,NOT($F$3)), SXS_Transit_temp!E26,IF(AND(NOT($D$3),$F$3), SXS_Transit_temp!E52,0)))</f>
        <v>0</v>
      </c>
      <c r="G30" s="225">
        <f>IF(AND($D$3,$F$3), SXS_Transit_temp!F26+SXS_Transit_temp!F52,IF(AND($D$3,NOT($F$3)), SXS_Transit_temp!F26,IF(AND(NOT($D$3),$F$3), SXS_Transit_temp!F52,0)))</f>
        <v>0</v>
      </c>
      <c r="H30" s="225">
        <f>IF(AND($D$3,$F$3), SXS_Transit_temp!G26+SXS_Transit_temp!G52,IF(AND($D$3,NOT($F$3)), SXS_Transit_temp!G26,IF(AND(NOT($D$3),$F$3), SXS_Transit_temp!G52,0)))</f>
        <v>0</v>
      </c>
      <c r="I30" s="225">
        <f>IF(AND($D$3,$F$3), SXS_Transit_temp!H26+SXS_Transit_temp!H52,IF(AND($D$3,NOT($F$3)), SXS_Transit_temp!H26,IF(AND(NOT($D$3),$F$3), SXS_Transit_temp!H52,0)))</f>
        <v>0</v>
      </c>
      <c r="J30" s="225">
        <f>IF(AND($D$3,$F$3), SXS_Transit_temp!I26+SXS_Transit_temp!I52,IF(AND($D$3,NOT($F$3)), SXS_Transit_temp!I26,IF(AND(NOT($D$3),$F$3), SXS_Transit_temp!I52,0)))</f>
        <v>1019.65667</v>
      </c>
      <c r="K30" s="225">
        <f>IF(AND($D$3,$F$3), SXS_Transit_temp!J26+SXS_Transit_temp!J52,IF(AND($D$3,NOT($F$3)), SXS_Transit_temp!J26,IF(AND(NOT($D$3),$F$3), SXS_Transit_temp!J52,0)))</f>
        <v>0</v>
      </c>
      <c r="L30" s="225">
        <f>IF(AND($D$3,$F$3), SXS_Transit_temp!K26+SXS_Transit_temp!K52,IF(AND($D$3,NOT($F$3)), SXS_Transit_temp!K26,IF(AND(NOT($D$3),$F$3), SXS_Transit_temp!K52,0)))</f>
        <v>0</v>
      </c>
      <c r="M30" s="225">
        <f>IF(AND($D$3,$F$3), SXS_Transit_temp!L26+SXS_Transit_temp!L52,IF(AND($D$3,NOT($F$3)), SXS_Transit_temp!L26,IF(AND(NOT($D$3),$F$3), SXS_Transit_temp!L52,0)))</f>
        <v>0</v>
      </c>
      <c r="N30" s="225">
        <f>IF(AND($D$3,$F$3), SXS_Transit_temp!M26+SXS_Transit_temp!M52,IF(AND($D$3,NOT($F$3)), SXS_Transit_temp!M26,IF(AND(NOT($D$3),$F$3), SXS_Transit_temp!M52,0)))</f>
        <v>0</v>
      </c>
      <c r="O30" s="225">
        <f>IF(AND($D$3,$F$3), SXS_Transit_temp!N26+SXS_Transit_temp!N52,IF(AND($D$3,NOT($F$3)), SXS_Transit_temp!N26,IF(AND(NOT($D$3),$F$3), SXS_Transit_temp!N52,0)))</f>
        <v>616.95385999999996</v>
      </c>
      <c r="P30" s="225">
        <f>IF(AND($D$3,$F$3), SXS_Transit_temp!O26+SXS_Transit_temp!O52,IF(AND($D$3,NOT($F$3)), SXS_Transit_temp!O26,IF(AND(NOT($D$3),$F$3), SXS_Transit_temp!O52,0)))</f>
        <v>0</v>
      </c>
      <c r="Q30" s="225">
        <f>IF(AND($D$3,$F$3), SXS_Transit_temp!P26+SXS_Transit_temp!P52,IF(AND($D$3,NOT($F$3)), SXS_Transit_temp!P26,IF(AND(NOT($D$3),$F$3), SXS_Transit_temp!P52,0)))</f>
        <v>0</v>
      </c>
      <c r="R30" s="225">
        <f>IF(AND($D$3,$F$3), SXS_Transit_temp!Q26+SXS_Transit_temp!Q52,IF(AND($D$3,NOT($F$3)), SXS_Transit_temp!Q26,IF(AND(NOT($D$3),$F$3), SXS_Transit_temp!Q52,0)))</f>
        <v>0</v>
      </c>
      <c r="S30" s="225">
        <f>IF(AND($D$3,$F$3), SXS_Transit_temp!R26+SXS_Transit_temp!R52,IF(AND($D$3,NOT($F$3)), SXS_Transit_temp!R26,IF(AND(NOT($D$3),$F$3), SXS_Transit_temp!R52,0)))</f>
        <v>0</v>
      </c>
      <c r="T30" s="225">
        <f>IF(AND($D$3,$F$3), SXS_Transit_temp!S26+SXS_Transit_temp!S52,IF(AND($D$3,NOT($F$3)), SXS_Transit_temp!S26,IF(AND(NOT($D$3),$F$3), SXS_Transit_temp!S52,0)))</f>
        <v>0</v>
      </c>
      <c r="U30" s="225">
        <f>IF(AND($D$3,$F$3), SXS_Transit_temp!T26+SXS_Transit_temp!T52,IF(AND($D$3,NOT($F$3)), SXS_Transit_temp!T26,IF(AND(NOT($D$3),$F$3), SXS_Transit_temp!T52,0)))</f>
        <v>0</v>
      </c>
      <c r="V30" s="225">
        <f>IF(AND($D$3,$F$3), SXS_Transit_temp!U26+SXS_Transit_temp!U52,IF(AND($D$3,NOT($F$3)), SXS_Transit_temp!U26,IF(AND(NOT($D$3),$F$3), SXS_Transit_temp!U52,0)))</f>
        <v>0</v>
      </c>
      <c r="W30" s="225">
        <f>IF(AND($D$3,$F$3), SXS_Transit_temp!V26+SXS_Transit_temp!V52,IF(AND($D$3,NOT($F$3)), SXS_Transit_temp!V26,IF(AND(NOT($D$3),$F$3), SXS_Transit_temp!V52,0)))</f>
        <v>0</v>
      </c>
      <c r="X30" s="225">
        <f>IF(AND($D$3,$F$3), SXS_Transit_temp!W26+SXS_Transit_temp!W52,IF(AND($D$3,NOT($F$3)), SXS_Transit_temp!W26,IF(AND(NOT($D$3),$F$3), SXS_Transit_temp!W52,0)))</f>
        <v>0</v>
      </c>
      <c r="Y30" s="225">
        <f>IF(AND($D$3,$F$3), SXS_Transit_temp!X26+SXS_Transit_temp!X52,IF(AND($D$3,NOT($F$3)), SXS_Transit_temp!X26,IF(AND(NOT($D$3),$F$3), SXS_Transit_temp!X52,0)))</f>
        <v>0</v>
      </c>
      <c r="Z30" s="227">
        <f>IF(AND($D$3,$F$3), SXS_Transit_temp!Y26+SXS_Transit_temp!Y52,IF(AND($D$3,NOT($F$3)), SXS_Transit_temp!Y26,IF(AND(NOT($D$3),$F$3), SXS_Transit_temp!Y52,0)))</f>
        <v>4468.2540300000001</v>
      </c>
      <c r="AA30" s="228">
        <f>IF(AND($D$3,$F$3), SXS_Transit_temp!Z26+SXS_Transit_temp!Z52,IF(AND($D$3,NOT($F$3)), SXS_Transit_temp!Z26,IF(AND(NOT($D$3),$F$3), SXS_Transit_temp!Z52,0)))</f>
        <v>332.35026999999997</v>
      </c>
      <c r="AB30" s="226">
        <f t="shared" si="1"/>
        <v>12940.690420000001</v>
      </c>
      <c r="AD30" s="223" t="s">
        <v>476</v>
      </c>
      <c r="AE30" s="234">
        <f t="shared" si="2"/>
        <v>0.50256017097424699</v>
      </c>
      <c r="AF30" s="234">
        <f t="shared" si="2"/>
        <v>0</v>
      </c>
      <c r="AG30" s="234">
        <f t="shared" si="2"/>
        <v>0</v>
      </c>
      <c r="AH30" s="234">
        <f t="shared" si="2"/>
        <v>0</v>
      </c>
      <c r="AI30" s="234">
        <f t="shared" si="2"/>
        <v>0</v>
      </c>
      <c r="AJ30" s="234">
        <f t="shared" si="2"/>
        <v>0</v>
      </c>
      <c r="AK30" s="234">
        <f t="shared" si="2"/>
        <v>0</v>
      </c>
      <c r="AL30" s="234">
        <f t="shared" si="2"/>
        <v>7.8794611176549567E-2</v>
      </c>
      <c r="AM30" s="234">
        <f t="shared" si="2"/>
        <v>0</v>
      </c>
      <c r="AN30" s="234">
        <f t="shared" si="2"/>
        <v>0</v>
      </c>
      <c r="AO30" s="234">
        <f t="shared" si="2"/>
        <v>0</v>
      </c>
      <c r="AP30" s="234">
        <f t="shared" si="2"/>
        <v>0</v>
      </c>
      <c r="AQ30" s="234">
        <f t="shared" si="2"/>
        <v>4.7675497981660236E-2</v>
      </c>
      <c r="AR30" s="234">
        <f t="shared" si="2"/>
        <v>0</v>
      </c>
      <c r="AS30" s="234">
        <f t="shared" si="2"/>
        <v>0</v>
      </c>
      <c r="AT30" s="234">
        <f t="shared" si="2"/>
        <v>0</v>
      </c>
      <c r="AU30" s="234">
        <f t="shared" si="4"/>
        <v>0</v>
      </c>
      <c r="AV30" s="234">
        <f t="shared" si="4"/>
        <v>0</v>
      </c>
      <c r="AW30" s="234">
        <f t="shared" si="4"/>
        <v>0</v>
      </c>
      <c r="AX30" s="234">
        <f t="shared" si="4"/>
        <v>0</v>
      </c>
      <c r="AY30" s="234">
        <f t="shared" si="4"/>
        <v>0</v>
      </c>
      <c r="AZ30" s="234">
        <f t="shared" si="4"/>
        <v>0</v>
      </c>
      <c r="BA30" s="234">
        <f t="shared" si="4"/>
        <v>0</v>
      </c>
      <c r="BB30" s="235">
        <f t="shared" si="4"/>
        <v>0.34528714349693868</v>
      </c>
      <c r="BC30" s="236">
        <f t="shared" si="4"/>
        <v>2.5682576370604494E-2</v>
      </c>
      <c r="BD30" s="237">
        <f t="shared" si="3"/>
        <v>0.99999999999999989</v>
      </c>
    </row>
    <row r="31" spans="2:56" x14ac:dyDescent="0.25">
      <c r="B31" s="223" t="s">
        <v>477</v>
      </c>
      <c r="C31" s="225">
        <f>IF(AND($D$3,$F$3), SXS_Transit_temp!B27+SXS_Transit_temp!B53,IF(AND($D$3,NOT($F$3)), SXS_Transit_temp!B27,IF(AND(NOT($D$3),$F$3), SXS_Transit_temp!B53,0)))</f>
        <v>11103.630999999999</v>
      </c>
      <c r="D31" s="225">
        <f>IF(AND($D$3,$F$3), SXS_Transit_temp!C27+SXS_Transit_temp!C53,IF(AND($D$3,NOT($F$3)), SXS_Transit_temp!C27,IF(AND(NOT($D$3),$F$3), SXS_Transit_temp!C53,0)))</f>
        <v>0</v>
      </c>
      <c r="E31" s="225">
        <f>IF(AND($D$3,$F$3), SXS_Transit_temp!D27+SXS_Transit_temp!D53,IF(AND($D$3,NOT($F$3)), SXS_Transit_temp!D27,IF(AND(NOT($D$3),$F$3), SXS_Transit_temp!D53,0)))</f>
        <v>0</v>
      </c>
      <c r="F31" s="225">
        <f>IF(AND($D$3,$F$3), SXS_Transit_temp!E27+SXS_Transit_temp!E53,IF(AND($D$3,NOT($F$3)), SXS_Transit_temp!E27,IF(AND(NOT($D$3),$F$3), SXS_Transit_temp!E53,0)))</f>
        <v>0</v>
      </c>
      <c r="G31" s="225">
        <f>IF(AND($D$3,$F$3), SXS_Transit_temp!F27+SXS_Transit_temp!F53,IF(AND($D$3,NOT($F$3)), SXS_Transit_temp!F27,IF(AND(NOT($D$3),$F$3), SXS_Transit_temp!F53,0)))</f>
        <v>0</v>
      </c>
      <c r="H31" s="225">
        <f>IF(AND($D$3,$F$3), SXS_Transit_temp!G27+SXS_Transit_temp!G53,IF(AND($D$3,NOT($F$3)), SXS_Transit_temp!G27,IF(AND(NOT($D$3),$F$3), SXS_Transit_temp!G53,0)))</f>
        <v>0</v>
      </c>
      <c r="I31" s="225">
        <f>IF(AND($D$3,$F$3), SXS_Transit_temp!H27+SXS_Transit_temp!H53,IF(AND($D$3,NOT($F$3)), SXS_Transit_temp!H27,IF(AND(NOT($D$3),$F$3), SXS_Transit_temp!H53,0)))</f>
        <v>0</v>
      </c>
      <c r="J31" s="225">
        <f>IF(AND($D$3,$F$3), SXS_Transit_temp!I27+SXS_Transit_temp!I53,IF(AND($D$3,NOT($F$3)), SXS_Transit_temp!I27,IF(AND(NOT($D$3),$F$3), SXS_Transit_temp!I53,0)))</f>
        <v>0</v>
      </c>
      <c r="K31" s="225">
        <f>IF(AND($D$3,$F$3), SXS_Transit_temp!J27+SXS_Transit_temp!J53,IF(AND($D$3,NOT($F$3)), SXS_Transit_temp!J27,IF(AND(NOT($D$3),$F$3), SXS_Transit_temp!J53,0)))</f>
        <v>0</v>
      </c>
      <c r="L31" s="225">
        <f>IF(AND($D$3,$F$3), SXS_Transit_temp!K27+SXS_Transit_temp!K53,IF(AND($D$3,NOT($F$3)), SXS_Transit_temp!K27,IF(AND(NOT($D$3),$F$3), SXS_Transit_temp!K53,0)))</f>
        <v>0</v>
      </c>
      <c r="M31" s="225">
        <f>IF(AND($D$3,$F$3), SXS_Transit_temp!L27+SXS_Transit_temp!L53,IF(AND($D$3,NOT($F$3)), SXS_Transit_temp!L27,IF(AND(NOT($D$3),$F$3), SXS_Transit_temp!L53,0)))</f>
        <v>0</v>
      </c>
      <c r="N31" s="225">
        <f>IF(AND($D$3,$F$3), SXS_Transit_temp!M27+SXS_Transit_temp!M53,IF(AND($D$3,NOT($F$3)), SXS_Transit_temp!M27,IF(AND(NOT($D$3),$F$3), SXS_Transit_temp!M53,0)))</f>
        <v>1104.78442</v>
      </c>
      <c r="O31" s="225">
        <f>IF(AND($D$3,$F$3), SXS_Transit_temp!N27+SXS_Transit_temp!N53,IF(AND($D$3,NOT($F$3)), SXS_Transit_temp!N27,IF(AND(NOT($D$3),$F$3), SXS_Transit_temp!N53,0)))</f>
        <v>576.18448000000001</v>
      </c>
      <c r="P31" s="225">
        <f>IF(AND($D$3,$F$3), SXS_Transit_temp!O27+SXS_Transit_temp!O53,IF(AND($D$3,NOT($F$3)), SXS_Transit_temp!O27,IF(AND(NOT($D$3),$F$3), SXS_Transit_temp!O53,0)))</f>
        <v>211.17281</v>
      </c>
      <c r="Q31" s="225">
        <f>IF(AND($D$3,$F$3), SXS_Transit_temp!P27+SXS_Transit_temp!P53,IF(AND($D$3,NOT($F$3)), SXS_Transit_temp!P27,IF(AND(NOT($D$3),$F$3), SXS_Transit_temp!P53,0)))</f>
        <v>1599.8379500000001</v>
      </c>
      <c r="R31" s="225">
        <f>IF(AND($D$3,$F$3), SXS_Transit_temp!Q27+SXS_Transit_temp!Q53,IF(AND($D$3,NOT($F$3)), SXS_Transit_temp!Q27,IF(AND(NOT($D$3),$F$3), SXS_Transit_temp!Q53,0)))</f>
        <v>0</v>
      </c>
      <c r="S31" s="225">
        <f>IF(AND($D$3,$F$3), SXS_Transit_temp!R27+SXS_Transit_temp!R53,IF(AND($D$3,NOT($F$3)), SXS_Transit_temp!R27,IF(AND(NOT($D$3),$F$3), SXS_Transit_temp!R53,0)))</f>
        <v>0</v>
      </c>
      <c r="T31" s="225">
        <f>IF(AND($D$3,$F$3), SXS_Transit_temp!S27+SXS_Transit_temp!S53,IF(AND($D$3,NOT($F$3)), SXS_Transit_temp!S27,IF(AND(NOT($D$3),$F$3), SXS_Transit_temp!S53,0)))</f>
        <v>0</v>
      </c>
      <c r="U31" s="225">
        <f>IF(AND($D$3,$F$3), SXS_Transit_temp!T27+SXS_Transit_temp!T53,IF(AND($D$3,NOT($F$3)), SXS_Transit_temp!T27,IF(AND(NOT($D$3),$F$3), SXS_Transit_temp!T53,0)))</f>
        <v>0</v>
      </c>
      <c r="V31" s="225">
        <f>IF(AND($D$3,$F$3), SXS_Transit_temp!U27+SXS_Transit_temp!U53,IF(AND($D$3,NOT($F$3)), SXS_Transit_temp!U27,IF(AND(NOT($D$3),$F$3), SXS_Transit_temp!U53,0)))</f>
        <v>0</v>
      </c>
      <c r="W31" s="225">
        <f>IF(AND($D$3,$F$3), SXS_Transit_temp!V27+SXS_Transit_temp!V53,IF(AND($D$3,NOT($F$3)), SXS_Transit_temp!V27,IF(AND(NOT($D$3),$F$3), SXS_Transit_temp!V53,0)))</f>
        <v>0</v>
      </c>
      <c r="X31" s="225">
        <f>IF(AND($D$3,$F$3), SXS_Transit_temp!W27+SXS_Transit_temp!W53,IF(AND($D$3,NOT($F$3)), SXS_Transit_temp!W27,IF(AND(NOT($D$3),$F$3), SXS_Transit_temp!W53,0)))</f>
        <v>0</v>
      </c>
      <c r="Y31" s="225">
        <f>IF(AND($D$3,$F$3), SXS_Transit_temp!X27+SXS_Transit_temp!X53,IF(AND($D$3,NOT($F$3)), SXS_Transit_temp!X27,IF(AND(NOT($D$3),$F$3), SXS_Transit_temp!X53,0)))</f>
        <v>0</v>
      </c>
      <c r="Z31" s="228">
        <f>IF(AND($D$3,$F$3), SXS_Transit_temp!Y27+SXS_Transit_temp!Y53,IF(AND($D$3,NOT($F$3)), SXS_Transit_temp!Y27,IF(AND(NOT($D$3),$F$3), SXS_Transit_temp!Y53,0)))</f>
        <v>415.61423000000002</v>
      </c>
      <c r="AA31" s="227">
        <f>IF(AND($D$3,$F$3), SXS_Transit_temp!Z27+SXS_Transit_temp!Z53,IF(AND($D$3,NOT($F$3)), SXS_Transit_temp!Z27,IF(AND(NOT($D$3),$F$3), SXS_Transit_temp!Z53,0)))</f>
        <v>4798.9841900000001</v>
      </c>
      <c r="AB31" s="226">
        <f t="shared" si="1"/>
        <v>19810.209079999997</v>
      </c>
      <c r="AD31" s="223" t="s">
        <v>477</v>
      </c>
      <c r="AE31" s="234">
        <f t="shared" si="2"/>
        <v>0.56050044475350891</v>
      </c>
      <c r="AF31" s="234">
        <f t="shared" si="2"/>
        <v>0</v>
      </c>
      <c r="AG31" s="234">
        <f t="shared" si="2"/>
        <v>0</v>
      </c>
      <c r="AH31" s="234">
        <f t="shared" si="2"/>
        <v>0</v>
      </c>
      <c r="AI31" s="234">
        <f t="shared" si="2"/>
        <v>0</v>
      </c>
      <c r="AJ31" s="234">
        <f t="shared" si="2"/>
        <v>0</v>
      </c>
      <c r="AK31" s="234">
        <f t="shared" si="2"/>
        <v>0</v>
      </c>
      <c r="AL31" s="234">
        <f t="shared" si="2"/>
        <v>0</v>
      </c>
      <c r="AM31" s="234">
        <f t="shared" si="2"/>
        <v>0</v>
      </c>
      <c r="AN31" s="234">
        <f t="shared" si="2"/>
        <v>0</v>
      </c>
      <c r="AO31" s="234">
        <f t="shared" si="2"/>
        <v>0</v>
      </c>
      <c r="AP31" s="234">
        <f t="shared" si="2"/>
        <v>5.5768438159260462E-2</v>
      </c>
      <c r="AQ31" s="234">
        <f t="shared" si="2"/>
        <v>2.9085229624441707E-2</v>
      </c>
      <c r="AR31" s="234">
        <f t="shared" si="2"/>
        <v>1.0659797135265775E-2</v>
      </c>
      <c r="AS31" s="234">
        <f t="shared" si="2"/>
        <v>8.075825669175625E-2</v>
      </c>
      <c r="AT31" s="234">
        <f t="shared" si="2"/>
        <v>0</v>
      </c>
      <c r="AU31" s="234">
        <f t="shared" si="4"/>
        <v>0</v>
      </c>
      <c r="AV31" s="234">
        <f t="shared" si="4"/>
        <v>0</v>
      </c>
      <c r="AW31" s="234">
        <f t="shared" si="4"/>
        <v>0</v>
      </c>
      <c r="AX31" s="234">
        <f t="shared" si="4"/>
        <v>0</v>
      </c>
      <c r="AY31" s="234">
        <f t="shared" si="4"/>
        <v>0</v>
      </c>
      <c r="AZ31" s="234">
        <f t="shared" si="4"/>
        <v>0</v>
      </c>
      <c r="BA31" s="234">
        <f t="shared" si="4"/>
        <v>0</v>
      </c>
      <c r="BB31" s="236">
        <f t="shared" si="4"/>
        <v>2.0979800279826228E-2</v>
      </c>
      <c r="BC31" s="235">
        <f t="shared" si="4"/>
        <v>0.24224803335594078</v>
      </c>
      <c r="BD31" s="237">
        <f t="shared" si="3"/>
        <v>1.0000000000000002</v>
      </c>
    </row>
    <row r="32" spans="2:56" x14ac:dyDescent="0.25">
      <c r="B32" s="229" t="s">
        <v>29</v>
      </c>
      <c r="C32" s="230">
        <f>SUM(C7:C31)</f>
        <v>674881.47068999999</v>
      </c>
      <c r="D32" s="230">
        <f t="shared" ref="D32:AA32" si="5">SUM(D7:D31)</f>
        <v>305137.07474000007</v>
      </c>
      <c r="E32" s="230">
        <f t="shared" si="5"/>
        <v>70893.464260000008</v>
      </c>
      <c r="F32" s="230">
        <f t="shared" si="5"/>
        <v>24411.256999999994</v>
      </c>
      <c r="G32" s="230">
        <f t="shared" si="5"/>
        <v>48121.390019999999</v>
      </c>
      <c r="H32" s="230">
        <f t="shared" si="5"/>
        <v>45557.644200000002</v>
      </c>
      <c r="I32" s="230">
        <f t="shared" si="5"/>
        <v>50007.479220000001</v>
      </c>
      <c r="J32" s="230">
        <f t="shared" si="5"/>
        <v>141526.93609000003</v>
      </c>
      <c r="K32" s="230">
        <f t="shared" si="5"/>
        <v>21961.682919999999</v>
      </c>
      <c r="L32" s="230">
        <f t="shared" si="5"/>
        <v>17873.917050000004</v>
      </c>
      <c r="M32" s="230">
        <f t="shared" si="5"/>
        <v>24871.587079999998</v>
      </c>
      <c r="N32" s="230">
        <f t="shared" si="5"/>
        <v>21732.638489999998</v>
      </c>
      <c r="O32" s="230">
        <f t="shared" si="5"/>
        <v>54034.661080000005</v>
      </c>
      <c r="P32" s="230">
        <f t="shared" si="5"/>
        <v>18001.705030000001</v>
      </c>
      <c r="Q32" s="230">
        <f t="shared" si="5"/>
        <v>17365.164659999999</v>
      </c>
      <c r="R32" s="230">
        <f t="shared" si="5"/>
        <v>0</v>
      </c>
      <c r="S32" s="230">
        <f t="shared" si="5"/>
        <v>0</v>
      </c>
      <c r="T32" s="230">
        <f t="shared" si="5"/>
        <v>2935.1819500000001</v>
      </c>
      <c r="U32" s="230">
        <f t="shared" si="5"/>
        <v>0</v>
      </c>
      <c r="V32" s="230">
        <f t="shared" si="5"/>
        <v>41858.96845</v>
      </c>
      <c r="W32" s="230">
        <f t="shared" si="5"/>
        <v>20762.358450000003</v>
      </c>
      <c r="X32" s="230">
        <f t="shared" si="5"/>
        <v>1294.0731600000001</v>
      </c>
      <c r="Y32" s="230">
        <f t="shared" si="5"/>
        <v>7255.9467799999993</v>
      </c>
      <c r="Z32" s="230">
        <f t="shared" si="5"/>
        <v>14352.451289999999</v>
      </c>
      <c r="AA32" s="230">
        <f t="shared" si="5"/>
        <v>21133.990350000004</v>
      </c>
      <c r="AB32" s="231">
        <f>SUM(AB7:AB31)</f>
        <v>1645971.0429599998</v>
      </c>
      <c r="AD32" s="229" t="s">
        <v>29</v>
      </c>
      <c r="AE32" s="238">
        <f t="shared" ref="AE32:AT32" si="6">IF($AB32&gt;0,C32/$AB32,"")</f>
        <v>0.41002025738942532</v>
      </c>
      <c r="AF32" s="238">
        <f t="shared" si="6"/>
        <v>0.18538423020569231</v>
      </c>
      <c r="AG32" s="238">
        <f t="shared" si="6"/>
        <v>4.3070906115401722E-2</v>
      </c>
      <c r="AH32" s="238">
        <f t="shared" si="6"/>
        <v>1.4830915224426117E-2</v>
      </c>
      <c r="AI32" s="238">
        <f t="shared" si="6"/>
        <v>2.92358667096973E-2</v>
      </c>
      <c r="AJ32" s="238">
        <f t="shared" si="6"/>
        <v>2.7678278056503539E-2</v>
      </c>
      <c r="AK32" s="238">
        <f t="shared" si="6"/>
        <v>3.038174907990485E-2</v>
      </c>
      <c r="AL32" s="238">
        <f t="shared" si="6"/>
        <v>8.5983855363268025E-2</v>
      </c>
      <c r="AM32" s="238">
        <f t="shared" si="6"/>
        <v>1.3342690938539015E-2</v>
      </c>
      <c r="AN32" s="238">
        <f t="shared" si="6"/>
        <v>1.0859192891909444E-2</v>
      </c>
      <c r="AO32" s="238">
        <f t="shared" si="6"/>
        <v>1.511058604972337E-2</v>
      </c>
      <c r="AP32" s="238">
        <f t="shared" si="6"/>
        <v>1.3203536345887066E-2</v>
      </c>
      <c r="AQ32" s="238">
        <f t="shared" si="6"/>
        <v>3.2828439668554456E-2</v>
      </c>
      <c r="AR32" s="238">
        <f t="shared" si="6"/>
        <v>1.0936829725526027E-2</v>
      </c>
      <c r="AS32" s="238">
        <f t="shared" si="6"/>
        <v>1.0550103377743326E-2</v>
      </c>
      <c r="AT32" s="238">
        <f t="shared" si="6"/>
        <v>0</v>
      </c>
      <c r="AU32" s="238">
        <f t="shared" si="4"/>
        <v>0</v>
      </c>
      <c r="AV32" s="238">
        <f t="shared" si="4"/>
        <v>1.7832524834225352E-3</v>
      </c>
      <c r="AW32" s="238">
        <f t="shared" si="4"/>
        <v>0</v>
      </c>
      <c r="AX32" s="238">
        <f t="shared" si="4"/>
        <v>2.5431169417612441E-2</v>
      </c>
      <c r="AY32" s="238">
        <f t="shared" si="4"/>
        <v>1.2614048429832899E-2</v>
      </c>
      <c r="AZ32" s="238">
        <f t="shared" si="4"/>
        <v>7.8620651653313963E-4</v>
      </c>
      <c r="BA32" s="238">
        <f t="shared" si="4"/>
        <v>4.4083076740836277E-3</v>
      </c>
      <c r="BB32" s="238">
        <f t="shared" si="4"/>
        <v>8.7197471373430414E-3</v>
      </c>
      <c r="BC32" s="238">
        <f t="shared" si="4"/>
        <v>1.2839831198970612E-2</v>
      </c>
      <c r="BD32" s="239">
        <f t="shared" si="3"/>
        <v>1.0000000000000002</v>
      </c>
    </row>
    <row r="33" spans="2:56" ht="23.25" x14ac:dyDescent="0.35">
      <c r="B33" s="232" t="s">
        <v>522</v>
      </c>
    </row>
    <row r="34" spans="2:56" ht="18.75" x14ac:dyDescent="0.3">
      <c r="B34" s="373" t="s">
        <v>454</v>
      </c>
      <c r="C34" s="375" t="s">
        <v>455</v>
      </c>
      <c r="D34" s="375"/>
      <c r="E34" s="375"/>
      <c r="F34" s="375"/>
      <c r="G34" s="375"/>
      <c r="H34" s="375"/>
      <c r="I34" s="375"/>
      <c r="J34" s="375"/>
      <c r="K34" s="375"/>
      <c r="L34" s="375"/>
      <c r="M34" s="375"/>
      <c r="N34" s="375"/>
      <c r="O34" s="375"/>
      <c r="P34" s="375"/>
      <c r="Q34" s="375"/>
      <c r="R34" s="375"/>
      <c r="S34" s="375"/>
      <c r="T34" s="375"/>
      <c r="U34" s="375"/>
      <c r="V34" s="376"/>
      <c r="W34" s="376"/>
      <c r="X34" s="376"/>
      <c r="Y34" s="376"/>
      <c r="Z34" s="379"/>
      <c r="AA34" s="257"/>
      <c r="AB34" s="377" t="s">
        <v>29</v>
      </c>
      <c r="AD34" s="373" t="s">
        <v>454</v>
      </c>
      <c r="AE34" s="375" t="s">
        <v>455</v>
      </c>
      <c r="AF34" s="375"/>
      <c r="AG34" s="375"/>
      <c r="AH34" s="375"/>
      <c r="AI34" s="375"/>
      <c r="AJ34" s="375"/>
      <c r="AK34" s="375"/>
      <c r="AL34" s="375"/>
      <c r="AM34" s="375"/>
      <c r="AN34" s="375"/>
      <c r="AO34" s="375"/>
      <c r="AP34" s="375"/>
      <c r="AQ34" s="375"/>
      <c r="AR34" s="375"/>
      <c r="AS34" s="375"/>
      <c r="AT34" s="375"/>
      <c r="AU34" s="375"/>
      <c r="AV34" s="375"/>
      <c r="AW34" s="375"/>
      <c r="AX34" s="376"/>
      <c r="AY34" s="376"/>
      <c r="AZ34" s="376"/>
      <c r="BA34" s="376"/>
      <c r="BB34" s="379"/>
      <c r="BC34" s="257"/>
      <c r="BD34" s="377" t="s">
        <v>29</v>
      </c>
    </row>
    <row r="35" spans="2:56" x14ac:dyDescent="0.25">
      <c r="B35" s="374"/>
      <c r="C35" s="220">
        <v>1</v>
      </c>
      <c r="D35" s="220" t="s">
        <v>456</v>
      </c>
      <c r="E35" s="220" t="s">
        <v>457</v>
      </c>
      <c r="F35" s="220" t="s">
        <v>458</v>
      </c>
      <c r="G35" s="220" t="s">
        <v>47</v>
      </c>
      <c r="H35" s="220" t="s">
        <v>459</v>
      </c>
      <c r="I35" s="220" t="s">
        <v>460</v>
      </c>
      <c r="J35" s="220" t="s">
        <v>49</v>
      </c>
      <c r="K35" s="220" t="s">
        <v>461</v>
      </c>
      <c r="L35" s="220" t="s">
        <v>462</v>
      </c>
      <c r="M35" s="220" t="s">
        <v>463</v>
      </c>
      <c r="N35" s="220" t="s">
        <v>464</v>
      </c>
      <c r="O35" s="220" t="s">
        <v>465</v>
      </c>
      <c r="P35" s="220" t="s">
        <v>466</v>
      </c>
      <c r="Q35" s="220" t="s">
        <v>467</v>
      </c>
      <c r="R35" s="220" t="s">
        <v>468</v>
      </c>
      <c r="S35" s="220" t="s">
        <v>469</v>
      </c>
      <c r="T35" s="220" t="s">
        <v>470</v>
      </c>
      <c r="U35" s="220" t="s">
        <v>471</v>
      </c>
      <c r="V35" s="221" t="s">
        <v>472</v>
      </c>
      <c r="W35" s="220" t="s">
        <v>473</v>
      </c>
      <c r="X35" s="220" t="s">
        <v>474</v>
      </c>
      <c r="Y35" s="220" t="s">
        <v>475</v>
      </c>
      <c r="Z35" s="222" t="s">
        <v>476</v>
      </c>
      <c r="AA35" s="222" t="s">
        <v>477</v>
      </c>
      <c r="AB35" s="378"/>
      <c r="AD35" s="374"/>
      <c r="AE35" s="220">
        <v>1</v>
      </c>
      <c r="AF35" s="220" t="s">
        <v>456</v>
      </c>
      <c r="AG35" s="220" t="s">
        <v>457</v>
      </c>
      <c r="AH35" s="220" t="s">
        <v>458</v>
      </c>
      <c r="AI35" s="220" t="s">
        <v>47</v>
      </c>
      <c r="AJ35" s="220" t="s">
        <v>459</v>
      </c>
      <c r="AK35" s="220" t="s">
        <v>460</v>
      </c>
      <c r="AL35" s="220" t="s">
        <v>49</v>
      </c>
      <c r="AM35" s="220" t="s">
        <v>461</v>
      </c>
      <c r="AN35" s="220" t="s">
        <v>462</v>
      </c>
      <c r="AO35" s="220" t="s">
        <v>463</v>
      </c>
      <c r="AP35" s="220" t="s">
        <v>464</v>
      </c>
      <c r="AQ35" s="220" t="s">
        <v>465</v>
      </c>
      <c r="AR35" s="220" t="s">
        <v>466</v>
      </c>
      <c r="AS35" s="220" t="s">
        <v>467</v>
      </c>
      <c r="AT35" s="220" t="s">
        <v>468</v>
      </c>
      <c r="AU35" s="220" t="s">
        <v>469</v>
      </c>
      <c r="AV35" s="220" t="s">
        <v>470</v>
      </c>
      <c r="AW35" s="220" t="s">
        <v>471</v>
      </c>
      <c r="AX35" s="221" t="s">
        <v>472</v>
      </c>
      <c r="AY35" s="220" t="s">
        <v>473</v>
      </c>
      <c r="AZ35" s="220" t="s">
        <v>474</v>
      </c>
      <c r="BA35" s="220" t="s">
        <v>475</v>
      </c>
      <c r="BB35" s="222" t="s">
        <v>476</v>
      </c>
      <c r="BC35" s="222" t="s">
        <v>477</v>
      </c>
      <c r="BD35" s="378"/>
    </row>
    <row r="36" spans="2:56" x14ac:dyDescent="0.25">
      <c r="B36" s="223">
        <v>1</v>
      </c>
      <c r="C36" s="224">
        <f>Index!$B$2*IF(AND($D$3,$F$3),SXS_Transit_temp!AB3+SXS_Transit_temp!AB29,IF(AND($D$3,NOT($F$3)), SXS_Transit_temp!AB3,IF(AND(NOT($D$3),$F$3), SXS_Transit_temp!AB29,0)))</f>
        <v>200245</v>
      </c>
      <c r="D36" s="225">
        <f>Index!$B$2*IF(AND($D$3,$F$3),SXS_Transit_temp!AC3+SXS_Transit_temp!AC29,IF(AND($D$3,NOT($F$3)), SXS_Transit_temp!AC3,IF(AND(NOT($D$3),$F$3), SXS_Transit_temp!AC29,0)))</f>
        <v>39175</v>
      </c>
      <c r="E36" s="225">
        <f>Index!$B$2*IF(AND($D$3,$F$3),SXS_Transit_temp!AD3+SXS_Transit_temp!AD29,IF(AND($D$3,NOT($F$3)), SXS_Transit_temp!AD3,IF(AND(NOT($D$3),$F$3), SXS_Transit_temp!AD29,0)))</f>
        <v>14190</v>
      </c>
      <c r="F36" s="225">
        <f>Index!$B$2*IF(AND($D$3,$F$3),SXS_Transit_temp!AE3+SXS_Transit_temp!AE29,IF(AND($D$3,NOT($F$3)), SXS_Transit_temp!AE3,IF(AND(NOT($D$3),$F$3), SXS_Transit_temp!AE29,0)))</f>
        <v>8035</v>
      </c>
      <c r="G36" s="225">
        <f>Index!$B$2*IF(AND($D$3,$F$3),SXS_Transit_temp!AF3+SXS_Transit_temp!AF29,IF(AND($D$3,NOT($F$3)), SXS_Transit_temp!AF3,IF(AND(NOT($D$3),$F$3), SXS_Transit_temp!AF29,0)))</f>
        <v>9490</v>
      </c>
      <c r="H36" s="225">
        <f>Index!$B$2*IF(AND($D$3,$F$3),SXS_Transit_temp!AG3+SXS_Transit_temp!AG29,IF(AND($D$3,NOT($F$3)), SXS_Transit_temp!AG3,IF(AND(NOT($D$3),$F$3), SXS_Transit_temp!AG29,0)))</f>
        <v>7285</v>
      </c>
      <c r="I36" s="225">
        <f>Index!$B$2*IF(AND($D$3,$F$3),SXS_Transit_temp!AH3+SXS_Transit_temp!AH29,IF(AND($D$3,NOT($F$3)), SXS_Transit_temp!AH3,IF(AND(NOT($D$3),$F$3), SXS_Transit_temp!AH29,0)))</f>
        <v>8125</v>
      </c>
      <c r="J36" s="225">
        <f>Index!$B$2*IF(AND($D$3,$F$3),SXS_Transit_temp!AI3+SXS_Transit_temp!AI29,IF(AND($D$3,NOT($F$3)), SXS_Transit_temp!AI3,IF(AND(NOT($D$3),$F$3), SXS_Transit_temp!AI29,0)))</f>
        <v>15995</v>
      </c>
      <c r="K36" s="225">
        <f>Index!$B$2*IF(AND($D$3,$F$3),SXS_Transit_temp!AJ3+SXS_Transit_temp!AJ29,IF(AND($D$3,NOT($F$3)), SXS_Transit_temp!AJ3,IF(AND(NOT($D$3),$F$3), SXS_Transit_temp!AJ29,0)))</f>
        <v>240</v>
      </c>
      <c r="L36" s="225">
        <f>Index!$B$2*IF(AND($D$3,$F$3),SXS_Transit_temp!AK3+SXS_Transit_temp!AK29,IF(AND($D$3,NOT($F$3)), SXS_Transit_temp!AK3,IF(AND(NOT($D$3),$F$3), SXS_Transit_temp!AK29,0)))</f>
        <v>100</v>
      </c>
      <c r="M36" s="225">
        <f>Index!$B$2*IF(AND($D$3,$F$3),SXS_Transit_temp!AL3+SXS_Transit_temp!AL29,IF(AND($D$3,NOT($F$3)), SXS_Transit_temp!AL3,IF(AND(NOT($D$3),$F$3), SXS_Transit_temp!AL29,0)))</f>
        <v>100</v>
      </c>
      <c r="N36" s="225">
        <f>Index!$B$2*IF(AND($D$3,$F$3),SXS_Transit_temp!AM3+SXS_Transit_temp!AM29,IF(AND($D$3,NOT($F$3)), SXS_Transit_temp!AM3,IF(AND(NOT($D$3),$F$3), SXS_Transit_temp!AM29,0)))</f>
        <v>355</v>
      </c>
      <c r="O36" s="225">
        <f>Index!$B$2*IF(AND($D$3,$F$3),SXS_Transit_temp!AN3+SXS_Transit_temp!AN29,IF(AND($D$3,NOT($F$3)), SXS_Transit_temp!AN3,IF(AND(NOT($D$3),$F$3), SXS_Transit_temp!AN29,0)))</f>
        <v>275</v>
      </c>
      <c r="P36" s="225">
        <f>Index!$B$2*IF(AND($D$3,$F$3),SXS_Transit_temp!AO3+SXS_Transit_temp!AO29,IF(AND($D$3,NOT($F$3)), SXS_Transit_temp!AO3,IF(AND(NOT($D$3),$F$3), SXS_Transit_temp!AO29,0)))</f>
        <v>320</v>
      </c>
      <c r="Q36" s="225">
        <f>Index!$B$2*IF(AND($D$3,$F$3),SXS_Transit_temp!AP3+SXS_Transit_temp!AP29,IF(AND($D$3,NOT($F$3)), SXS_Transit_temp!AP3,IF(AND(NOT($D$3),$F$3), SXS_Transit_temp!AP29,0)))</f>
        <v>125</v>
      </c>
      <c r="R36" s="225">
        <f>Index!$B$2*IF(AND($D$3,$F$3),SXS_Transit_temp!AQ3+SXS_Transit_temp!AQ29,IF(AND($D$3,NOT($F$3)), SXS_Transit_temp!AQ3,IF(AND(NOT($D$3),$F$3), SXS_Transit_temp!AQ29,0)))</f>
        <v>5</v>
      </c>
      <c r="S36" s="225">
        <f>Index!$B$2*IF(AND($D$3,$F$3),SXS_Transit_temp!AR3+SXS_Transit_temp!AR29,IF(AND($D$3,NOT($F$3)), SXS_Transit_temp!AR3,IF(AND(NOT($D$3),$F$3), SXS_Transit_temp!AR29,0)))</f>
        <v>0</v>
      </c>
      <c r="T36" s="225">
        <f>Index!$B$2*IF(AND($D$3,$F$3),SXS_Transit_temp!AS3+SXS_Transit_temp!AS29,IF(AND($D$3,NOT($F$3)), SXS_Transit_temp!AS3,IF(AND(NOT($D$3),$F$3), SXS_Transit_temp!AS29,0)))</f>
        <v>15</v>
      </c>
      <c r="U36" s="225">
        <f>Index!$B$2*IF(AND($D$3,$F$3),SXS_Transit_temp!AT3+SXS_Transit_temp!AT29,IF(AND($D$3,NOT($F$3)), SXS_Transit_temp!AT3,IF(AND(NOT($D$3),$F$3), SXS_Transit_temp!AT29,0)))</f>
        <v>0</v>
      </c>
      <c r="V36" s="225">
        <f>Index!$B$2*IF(AND($D$3,$F$3),SXS_Transit_temp!AU3+SXS_Transit_temp!AU29,IF(AND($D$3,NOT($F$3)), SXS_Transit_temp!AU3,IF(AND(NOT($D$3),$F$3), SXS_Transit_temp!AU29,0)))</f>
        <v>25</v>
      </c>
      <c r="W36" s="225">
        <f>Index!$B$2*IF(AND($D$3,$F$3),SXS_Transit_temp!AV3+SXS_Transit_temp!AV29,IF(AND($D$3,NOT($F$3)), SXS_Transit_temp!AV3,IF(AND(NOT($D$3),$F$3), SXS_Transit_temp!AV29,0)))</f>
        <v>55</v>
      </c>
      <c r="X36" s="225">
        <f>Index!$B$2*IF(AND($D$3,$F$3),SXS_Transit_temp!AW3+SXS_Transit_temp!AW29,IF(AND($D$3,NOT($F$3)), SXS_Transit_temp!AW3,IF(AND(NOT($D$3),$F$3), SXS_Transit_temp!AW29,0)))</f>
        <v>0</v>
      </c>
      <c r="Y36" s="225">
        <f>Index!$B$2*IF(AND($D$3,$F$3),SXS_Transit_temp!AX3+SXS_Transit_temp!AX29,IF(AND($D$3,NOT($F$3)), SXS_Transit_temp!AX3,IF(AND(NOT($D$3),$F$3), SXS_Transit_temp!AX29,0)))</f>
        <v>0</v>
      </c>
      <c r="Z36" s="225">
        <f>Index!$B$2*IF(AND($D$3,$F$3),SXS_Transit_temp!AY3+SXS_Transit_temp!AY29,IF(AND($D$3,NOT($F$3)), SXS_Transit_temp!AY3,IF(AND(NOT($D$3),$F$3), SXS_Transit_temp!AY29,0)))</f>
        <v>20</v>
      </c>
      <c r="AA36" s="225">
        <f>Index!$B$2*IF(AND($D$3,$F$3),SXS_Transit_temp!AZ3+SXS_Transit_temp!AZ29,IF(AND($D$3,NOT($F$3)), SXS_Transit_temp!AZ3,IF(AND(NOT($D$3),$F$3), SXS_Transit_temp!AZ29,0)))</f>
        <v>15</v>
      </c>
      <c r="AB36" s="226">
        <f>SUM(C36:AA36)</f>
        <v>304190</v>
      </c>
      <c r="AD36" s="223">
        <v>1</v>
      </c>
      <c r="AE36" s="233">
        <f t="shared" ref="AE36:AE61" si="7">IF($AB36&gt;0,C36/$AB36,"")</f>
        <v>0.65828922712778193</v>
      </c>
      <c r="AF36" s="234">
        <f t="shared" ref="AF36:AU51" si="8">IF($AB36&gt;0,D36/$AB36,"")</f>
        <v>0.12878464117821098</v>
      </c>
      <c r="AG36" s="234">
        <f t="shared" si="8"/>
        <v>4.6648476281271577E-2</v>
      </c>
      <c r="AH36" s="234">
        <f t="shared" si="8"/>
        <v>2.6414412045103388E-2</v>
      </c>
      <c r="AI36" s="234">
        <f t="shared" si="8"/>
        <v>3.1197606758933561E-2</v>
      </c>
      <c r="AJ36" s="234">
        <f t="shared" si="8"/>
        <v>2.3948847759623918E-2</v>
      </c>
      <c r="AK36" s="234">
        <f t="shared" si="8"/>
        <v>2.6710279759360925E-2</v>
      </c>
      <c r="AL36" s="234">
        <f t="shared" si="8"/>
        <v>5.2582267661658834E-2</v>
      </c>
      <c r="AM36" s="234">
        <f t="shared" si="8"/>
        <v>7.8898057135343039E-4</v>
      </c>
      <c r="AN36" s="234">
        <f t="shared" si="8"/>
        <v>3.2874190473059601E-4</v>
      </c>
      <c r="AO36" s="234">
        <f t="shared" si="8"/>
        <v>3.2874190473059601E-4</v>
      </c>
      <c r="AP36" s="234">
        <f t="shared" si="8"/>
        <v>1.1670337617936159E-3</v>
      </c>
      <c r="AQ36" s="234">
        <f t="shared" si="8"/>
        <v>9.0404023800913903E-4</v>
      </c>
      <c r="AR36" s="234">
        <f t="shared" si="8"/>
        <v>1.0519740951379073E-3</v>
      </c>
      <c r="AS36" s="234">
        <f t="shared" si="8"/>
        <v>4.1092738091324502E-4</v>
      </c>
      <c r="AT36" s="234">
        <f t="shared" si="8"/>
        <v>1.6437095236529802E-5</v>
      </c>
      <c r="AU36" s="234">
        <f t="shared" si="8"/>
        <v>0</v>
      </c>
      <c r="AV36" s="234">
        <f t="shared" ref="AV36:BC61" si="9">IF($AB36&gt;0,T36/$AB36,"")</f>
        <v>4.9311285709589399E-5</v>
      </c>
      <c r="AW36" s="234">
        <f t="shared" si="9"/>
        <v>0</v>
      </c>
      <c r="AX36" s="234">
        <f t="shared" si="9"/>
        <v>8.2185476182649003E-5</v>
      </c>
      <c r="AY36" s="234">
        <f t="shared" si="9"/>
        <v>1.808080476018278E-4</v>
      </c>
      <c r="AZ36" s="234">
        <f t="shared" si="9"/>
        <v>0</v>
      </c>
      <c r="BA36" s="234">
        <f t="shared" si="9"/>
        <v>0</v>
      </c>
      <c r="BB36" s="234">
        <f t="shared" si="9"/>
        <v>6.5748380946119208E-5</v>
      </c>
      <c r="BC36" s="234">
        <f t="shared" si="9"/>
        <v>4.9311285709589399E-5</v>
      </c>
      <c r="BD36" s="237">
        <f>SUM(AE36:BC36)</f>
        <v>1</v>
      </c>
    </row>
    <row r="37" spans="2:56" x14ac:dyDescent="0.25">
      <c r="B37" s="223" t="s">
        <v>456</v>
      </c>
      <c r="C37" s="225">
        <f>Index!$B$2*(IF(AND($D$3,$F$3),SXS_Transit_temp!AB4+SXS_Transit_temp!AB30,IF(AND($D$3,NOT($F$3)), SXS_Transit_temp!AB4,IF(AND(NOT($D$3),$F$3), SXS_Transit_temp!AB30,0))))</f>
        <v>106680</v>
      </c>
      <c r="D37" s="224">
        <f>Index!$B$2*IF(AND($D$3,$F$3),SXS_Transit_temp!AC4+SXS_Transit_temp!AC30,IF(AND($D$3,NOT($F$3)), SXS_Transit_temp!AC4,IF(AND(NOT($D$3),$F$3), SXS_Transit_temp!AC30,0)))</f>
        <v>49830</v>
      </c>
      <c r="E37" s="225">
        <f>Index!$B$2*IF(AND($D$3,$F$3),SXS_Transit_temp!AD4+SXS_Transit_temp!AD30,IF(AND($D$3,NOT($F$3)), SXS_Transit_temp!AD4,IF(AND(NOT($D$3),$F$3), SXS_Transit_temp!AD30,0)))</f>
        <v>9235</v>
      </c>
      <c r="F37" s="225">
        <f>Index!$B$2*IF(AND($D$3,$F$3),SXS_Transit_temp!AE4+SXS_Transit_temp!AE30,IF(AND($D$3,NOT($F$3)), SXS_Transit_temp!AE4,IF(AND(NOT($D$3),$F$3), SXS_Transit_temp!AE30,0)))</f>
        <v>2805</v>
      </c>
      <c r="G37" s="225">
        <f>Index!$B$2*IF(AND($D$3,$F$3),SXS_Transit_temp!AF4+SXS_Transit_temp!AF30,IF(AND($D$3,NOT($F$3)), SXS_Transit_temp!AF4,IF(AND(NOT($D$3),$F$3), SXS_Transit_temp!AF30,0)))</f>
        <v>1500</v>
      </c>
      <c r="H37" s="225">
        <f>Index!$B$2*IF(AND($D$3,$F$3),SXS_Transit_temp!AG4+SXS_Transit_temp!AG30,IF(AND($D$3,NOT($F$3)), SXS_Transit_temp!AG4,IF(AND(NOT($D$3),$F$3), SXS_Transit_temp!AG30,0)))</f>
        <v>620</v>
      </c>
      <c r="I37" s="225">
        <f>Index!$B$2*IF(AND($D$3,$F$3),SXS_Transit_temp!AH4+SXS_Transit_temp!AH30,IF(AND($D$3,NOT($F$3)), SXS_Transit_temp!AH4,IF(AND(NOT($D$3),$F$3), SXS_Transit_temp!AH30,0)))</f>
        <v>760</v>
      </c>
      <c r="J37" s="225">
        <f>Index!$B$2*IF(AND($D$3,$F$3),SXS_Transit_temp!AI4+SXS_Transit_temp!AI30,IF(AND($D$3,NOT($F$3)), SXS_Transit_temp!AI4,IF(AND(NOT($D$3),$F$3), SXS_Transit_temp!AI30,0)))</f>
        <v>2135</v>
      </c>
      <c r="K37" s="225">
        <f>Index!$B$2*IF(AND($D$3,$F$3),SXS_Transit_temp!AJ4+SXS_Transit_temp!AJ30,IF(AND($D$3,NOT($F$3)), SXS_Transit_temp!AJ4,IF(AND(NOT($D$3),$F$3), SXS_Transit_temp!AJ30,0)))</f>
        <v>1390</v>
      </c>
      <c r="L37" s="225">
        <f>Index!$B$2*IF(AND($D$3,$F$3),SXS_Transit_temp!AK4+SXS_Transit_temp!AK30,IF(AND($D$3,NOT($F$3)), SXS_Transit_temp!AK4,IF(AND(NOT($D$3),$F$3), SXS_Transit_temp!AK30,0)))</f>
        <v>50</v>
      </c>
      <c r="M37" s="225">
        <f>Index!$B$2*IF(AND($D$3,$F$3),SXS_Transit_temp!AL4+SXS_Transit_temp!AL30,IF(AND($D$3,NOT($F$3)), SXS_Transit_temp!AL4,IF(AND(NOT($D$3),$F$3), SXS_Transit_temp!AL30,0)))</f>
        <v>45</v>
      </c>
      <c r="N37" s="225">
        <f>Index!$B$2*IF(AND($D$3,$F$3),SXS_Transit_temp!AM4+SXS_Transit_temp!AM30,IF(AND($D$3,NOT($F$3)), SXS_Transit_temp!AM4,IF(AND(NOT($D$3),$F$3), SXS_Transit_temp!AM30,0)))</f>
        <v>15</v>
      </c>
      <c r="O37" s="225">
        <f>Index!$B$2*IF(AND($D$3,$F$3),SXS_Transit_temp!AN4+SXS_Transit_temp!AN30,IF(AND($D$3,NOT($F$3)), SXS_Transit_temp!AN4,IF(AND(NOT($D$3),$F$3), SXS_Transit_temp!AN30,0)))</f>
        <v>25</v>
      </c>
      <c r="P37" s="225">
        <f>Index!$B$2*IF(AND($D$3,$F$3),SXS_Transit_temp!AO4+SXS_Transit_temp!AO30,IF(AND($D$3,NOT($F$3)), SXS_Transit_temp!AO4,IF(AND(NOT($D$3),$F$3), SXS_Transit_temp!AO30,0)))</f>
        <v>10</v>
      </c>
      <c r="Q37" s="225">
        <f>Index!$B$2*IF(AND($D$3,$F$3),SXS_Transit_temp!AP4+SXS_Transit_temp!AP30,IF(AND($D$3,NOT($F$3)), SXS_Transit_temp!AP4,IF(AND(NOT($D$3),$F$3), SXS_Transit_temp!AP30,0)))</f>
        <v>0</v>
      </c>
      <c r="R37" s="225">
        <f>Index!$B$2*IF(AND($D$3,$F$3),SXS_Transit_temp!AQ4+SXS_Transit_temp!AQ30,IF(AND($D$3,NOT($F$3)), SXS_Transit_temp!AQ4,IF(AND(NOT($D$3),$F$3), SXS_Transit_temp!AQ30,0)))</f>
        <v>0</v>
      </c>
      <c r="S37" s="225">
        <f>Index!$B$2*IF(AND($D$3,$F$3),SXS_Transit_temp!AR4+SXS_Transit_temp!AR30,IF(AND($D$3,NOT($F$3)), SXS_Transit_temp!AR4,IF(AND(NOT($D$3),$F$3), SXS_Transit_temp!AR30,0)))</f>
        <v>0</v>
      </c>
      <c r="T37" s="225">
        <f>Index!$B$2*IF(AND($D$3,$F$3),SXS_Transit_temp!AS4+SXS_Transit_temp!AS30,IF(AND($D$3,NOT($F$3)), SXS_Transit_temp!AS4,IF(AND(NOT($D$3),$F$3), SXS_Transit_temp!AS30,0)))</f>
        <v>0</v>
      </c>
      <c r="U37" s="225">
        <f>Index!$B$2*IF(AND($D$3,$F$3),SXS_Transit_temp!AT4+SXS_Transit_temp!AT30,IF(AND($D$3,NOT($F$3)), SXS_Transit_temp!AT4,IF(AND(NOT($D$3),$F$3), SXS_Transit_temp!AT30,0)))</f>
        <v>0</v>
      </c>
      <c r="V37" s="225">
        <f>Index!$B$2*IF(AND($D$3,$F$3),SXS_Transit_temp!AU4+SXS_Transit_temp!AU30,IF(AND($D$3,NOT($F$3)), SXS_Transit_temp!AU4,IF(AND(NOT($D$3),$F$3), SXS_Transit_temp!AU30,0)))</f>
        <v>20</v>
      </c>
      <c r="W37" s="225">
        <f>Index!$B$2*IF(AND($D$3,$F$3),SXS_Transit_temp!AV4+SXS_Transit_temp!AV30,IF(AND($D$3,NOT($F$3)), SXS_Transit_temp!AV4,IF(AND(NOT($D$3),$F$3), SXS_Transit_temp!AV30,0)))</f>
        <v>75</v>
      </c>
      <c r="X37" s="225">
        <f>Index!$B$2*IF(AND($D$3,$F$3),SXS_Transit_temp!AW4+SXS_Transit_temp!AW30,IF(AND($D$3,NOT($F$3)), SXS_Transit_temp!AW4,IF(AND(NOT($D$3),$F$3), SXS_Transit_temp!AW30,0)))</f>
        <v>0</v>
      </c>
      <c r="Y37" s="225">
        <f>Index!$B$2*IF(AND($D$3,$F$3),SXS_Transit_temp!AX4+SXS_Transit_temp!AX30,IF(AND($D$3,NOT($F$3)), SXS_Transit_temp!AX4,IF(AND(NOT($D$3),$F$3), SXS_Transit_temp!AX30,0)))</f>
        <v>10</v>
      </c>
      <c r="Z37" s="225">
        <f>Index!$B$2*IF(AND($D$3,$F$3),SXS_Transit_temp!AY4+SXS_Transit_temp!AY30,IF(AND($D$3,NOT($F$3)), SXS_Transit_temp!AY4,IF(AND(NOT($D$3),$F$3), SXS_Transit_temp!AY30,0)))</f>
        <v>0</v>
      </c>
      <c r="AA37" s="225">
        <f>Index!$B$2*IF(AND($D$3,$F$3),SXS_Transit_temp!AZ4+SXS_Transit_temp!AZ30,IF(AND($D$3,NOT($F$3)), SXS_Transit_temp!AZ4,IF(AND(NOT($D$3),$F$3), SXS_Transit_temp!AZ30,0)))</f>
        <v>0</v>
      </c>
      <c r="AB37" s="226">
        <f t="shared" ref="AB37:AB60" si="10">SUM(C37:AA37)</f>
        <v>175205</v>
      </c>
      <c r="AD37" s="223" t="s">
        <v>456</v>
      </c>
      <c r="AE37" s="234">
        <f t="shared" si="7"/>
        <v>0.6088867326845695</v>
      </c>
      <c r="AF37" s="233">
        <f t="shared" si="8"/>
        <v>0.28440969150423789</v>
      </c>
      <c r="AG37" s="234">
        <f t="shared" si="8"/>
        <v>5.2709682942838391E-2</v>
      </c>
      <c r="AH37" s="234">
        <f t="shared" si="8"/>
        <v>1.6009817071430611E-2</v>
      </c>
      <c r="AI37" s="234">
        <f t="shared" si="8"/>
        <v>8.5613995034388296E-3</v>
      </c>
      <c r="AJ37" s="234">
        <f t="shared" si="8"/>
        <v>3.538711794754716E-3</v>
      </c>
      <c r="AK37" s="234">
        <f t="shared" si="8"/>
        <v>4.337775748409007E-3</v>
      </c>
      <c r="AL37" s="234">
        <f t="shared" si="8"/>
        <v>1.2185725293227933E-2</v>
      </c>
      <c r="AM37" s="234">
        <f t="shared" si="8"/>
        <v>7.9335635398533142E-3</v>
      </c>
      <c r="AN37" s="234">
        <f t="shared" si="8"/>
        <v>2.8537998344796097E-4</v>
      </c>
      <c r="AO37" s="234">
        <f t="shared" si="8"/>
        <v>2.5684198510316484E-4</v>
      </c>
      <c r="AP37" s="234">
        <f t="shared" si="8"/>
        <v>8.5613995034388294E-5</v>
      </c>
      <c r="AQ37" s="234">
        <f t="shared" si="8"/>
        <v>1.4268999172398049E-4</v>
      </c>
      <c r="AR37" s="234">
        <f t="shared" si="8"/>
        <v>5.7075996689592192E-5</v>
      </c>
      <c r="AS37" s="234">
        <f t="shared" si="8"/>
        <v>0</v>
      </c>
      <c r="AT37" s="234">
        <f t="shared" si="8"/>
        <v>0</v>
      </c>
      <c r="AU37" s="234">
        <f t="shared" si="8"/>
        <v>0</v>
      </c>
      <c r="AV37" s="234">
        <f t="shared" si="9"/>
        <v>0</v>
      </c>
      <c r="AW37" s="234">
        <f t="shared" si="9"/>
        <v>0</v>
      </c>
      <c r="AX37" s="234">
        <f t="shared" si="9"/>
        <v>1.1415199337918438E-4</v>
      </c>
      <c r="AY37" s="234">
        <f t="shared" si="9"/>
        <v>4.2806997517194146E-4</v>
      </c>
      <c r="AZ37" s="234">
        <f t="shared" si="9"/>
        <v>0</v>
      </c>
      <c r="BA37" s="234">
        <f t="shared" si="9"/>
        <v>5.7075996689592192E-5</v>
      </c>
      <c r="BB37" s="234">
        <f t="shared" si="9"/>
        <v>0</v>
      </c>
      <c r="BC37" s="234">
        <f t="shared" si="9"/>
        <v>0</v>
      </c>
      <c r="BD37" s="237">
        <f t="shared" ref="BD37:BD61" si="11">SUM(AE37:BC37)</f>
        <v>0.99999999999999978</v>
      </c>
    </row>
    <row r="38" spans="2:56" x14ac:dyDescent="0.25">
      <c r="B38" s="223" t="s">
        <v>457</v>
      </c>
      <c r="C38" s="225">
        <f>Index!$B$2*IF(AND($D$3,$F$3),SXS_Transit_temp!AB5+SXS_Transit_temp!AB31,IF(AND($D$3,NOT($F$3)), SXS_Transit_temp!AB5,IF(AND(NOT($D$3),$F$3), SXS_Transit_temp!AB31,0)))</f>
        <v>43510</v>
      </c>
      <c r="D38" s="225">
        <f>Index!$B$2*IF(AND($D$3,$F$3),SXS_Transit_temp!AC5+SXS_Transit_temp!AC31,IF(AND($D$3,NOT($F$3)), SXS_Transit_temp!AC5,IF(AND(NOT($D$3),$F$3), SXS_Transit_temp!AC31,0)))</f>
        <v>9260</v>
      </c>
      <c r="E38" s="224">
        <f>Index!$B$2*IF(AND($D$3,$F$3),SXS_Transit_temp!AD5+SXS_Transit_temp!AD31,IF(AND($D$3,NOT($F$3)), SXS_Transit_temp!AD5,IF(AND(NOT($D$3),$F$3), SXS_Transit_temp!AD31,0)))</f>
        <v>14315</v>
      </c>
      <c r="F38" s="225">
        <f>Index!$B$2*IF(AND($D$3,$F$3),SXS_Transit_temp!AE5+SXS_Transit_temp!AE31,IF(AND($D$3,NOT($F$3)), SXS_Transit_temp!AE5,IF(AND(NOT($D$3),$F$3), SXS_Transit_temp!AE31,0)))</f>
        <v>3355</v>
      </c>
      <c r="G38" s="225">
        <f>Index!$B$2*IF(AND($D$3,$F$3),SXS_Transit_temp!AF5+SXS_Transit_temp!AF31,IF(AND($D$3,NOT($F$3)), SXS_Transit_temp!AF5,IF(AND(NOT($D$3),$F$3), SXS_Transit_temp!AF31,0)))</f>
        <v>1860</v>
      </c>
      <c r="H38" s="225">
        <f>Index!$B$2*IF(AND($D$3,$F$3),SXS_Transit_temp!AG5+SXS_Transit_temp!AG31,IF(AND($D$3,NOT($F$3)), SXS_Transit_temp!AG5,IF(AND(NOT($D$3),$F$3), SXS_Transit_temp!AG31,0)))</f>
        <v>690</v>
      </c>
      <c r="I38" s="225">
        <f>Index!$B$2*IF(AND($D$3,$F$3),SXS_Transit_temp!AH5+SXS_Transit_temp!AH31,IF(AND($D$3,NOT($F$3)), SXS_Transit_temp!AH5,IF(AND(NOT($D$3),$F$3), SXS_Transit_temp!AH31,0)))</f>
        <v>375</v>
      </c>
      <c r="J38" s="225">
        <f>Index!$B$2*IF(AND($D$3,$F$3),SXS_Transit_temp!AI5+SXS_Transit_temp!AI31,IF(AND($D$3,NOT($F$3)), SXS_Transit_temp!AI5,IF(AND(NOT($D$3),$F$3), SXS_Transit_temp!AI31,0)))</f>
        <v>665</v>
      </c>
      <c r="K38" s="225">
        <f>Index!$B$2*IF(AND($D$3,$F$3),SXS_Transit_temp!AJ5+SXS_Transit_temp!AJ31,IF(AND($D$3,NOT($F$3)), SXS_Transit_temp!AJ5,IF(AND(NOT($D$3),$F$3), SXS_Transit_temp!AJ31,0)))</f>
        <v>215</v>
      </c>
      <c r="L38" s="225">
        <f>Index!$B$2*IF(AND($D$3,$F$3),SXS_Transit_temp!AK5+SXS_Transit_temp!AK31,IF(AND($D$3,NOT($F$3)), SXS_Transit_temp!AK5,IF(AND(NOT($D$3),$F$3), SXS_Transit_temp!AK31,0)))</f>
        <v>530</v>
      </c>
      <c r="M38" s="225">
        <f>Index!$B$2*IF(AND($D$3,$F$3),SXS_Transit_temp!AL5+SXS_Transit_temp!AL31,IF(AND($D$3,NOT($F$3)), SXS_Transit_temp!AL5,IF(AND(NOT($D$3),$F$3), SXS_Transit_temp!AL31,0)))</f>
        <v>205</v>
      </c>
      <c r="N38" s="225">
        <f>Index!$B$2*IF(AND($D$3,$F$3),SXS_Transit_temp!AM5+SXS_Transit_temp!AM31,IF(AND($D$3,NOT($F$3)), SXS_Transit_temp!AM5,IF(AND(NOT($D$3),$F$3), SXS_Transit_temp!AM31,0)))</f>
        <v>60</v>
      </c>
      <c r="O38" s="225">
        <f>Index!$B$2*IF(AND($D$3,$F$3),SXS_Transit_temp!AN5+SXS_Transit_temp!AN31,IF(AND($D$3,NOT($F$3)), SXS_Transit_temp!AN5,IF(AND(NOT($D$3),$F$3), SXS_Transit_temp!AN31,0)))</f>
        <v>35</v>
      </c>
      <c r="P38" s="225">
        <f>Index!$B$2*IF(AND($D$3,$F$3),SXS_Transit_temp!AO5+SXS_Transit_temp!AO31,IF(AND($D$3,NOT($F$3)), SXS_Transit_temp!AO5,IF(AND(NOT($D$3),$F$3), SXS_Transit_temp!AO31,0)))</f>
        <v>5</v>
      </c>
      <c r="Q38" s="225">
        <f>Index!$B$2*IF(AND($D$3,$F$3),SXS_Transit_temp!AP5+SXS_Transit_temp!AP31,IF(AND($D$3,NOT($F$3)), SXS_Transit_temp!AP5,IF(AND(NOT($D$3),$F$3), SXS_Transit_temp!AP31,0)))</f>
        <v>10</v>
      </c>
      <c r="R38" s="225">
        <f>Index!$B$2*IF(AND($D$3,$F$3),SXS_Transit_temp!AQ5+SXS_Transit_temp!AQ31,IF(AND($D$3,NOT($F$3)), SXS_Transit_temp!AQ5,IF(AND(NOT($D$3),$F$3), SXS_Transit_temp!AQ31,0)))</f>
        <v>0</v>
      </c>
      <c r="S38" s="225">
        <f>Index!$B$2*IF(AND($D$3,$F$3),SXS_Transit_temp!AR5+SXS_Transit_temp!AR31,IF(AND($D$3,NOT($F$3)), SXS_Transit_temp!AR5,IF(AND(NOT($D$3),$F$3), SXS_Transit_temp!AR31,0)))</f>
        <v>0</v>
      </c>
      <c r="T38" s="225">
        <f>Index!$B$2*IF(AND($D$3,$F$3),SXS_Transit_temp!AS5+SXS_Transit_temp!AS31,IF(AND($D$3,NOT($F$3)), SXS_Transit_temp!AS5,IF(AND(NOT($D$3),$F$3), SXS_Transit_temp!AS31,0)))</f>
        <v>0</v>
      </c>
      <c r="U38" s="225">
        <f>Index!$B$2*IF(AND($D$3,$F$3),SXS_Transit_temp!AT5+SXS_Transit_temp!AT31,IF(AND($D$3,NOT($F$3)), SXS_Transit_temp!AT5,IF(AND(NOT($D$3),$F$3), SXS_Transit_temp!AT31,0)))</f>
        <v>0</v>
      </c>
      <c r="V38" s="225">
        <f>Index!$B$2*IF(AND($D$3,$F$3),SXS_Transit_temp!AU5+SXS_Transit_temp!AU31,IF(AND($D$3,NOT($F$3)), SXS_Transit_temp!AU5,IF(AND(NOT($D$3),$F$3), SXS_Transit_temp!AU31,0)))</f>
        <v>40</v>
      </c>
      <c r="W38" s="225">
        <f>Index!$B$2*IF(AND($D$3,$F$3),SXS_Transit_temp!AV5+SXS_Transit_temp!AV31,IF(AND($D$3,NOT($F$3)), SXS_Transit_temp!AV5,IF(AND(NOT($D$3),$F$3), SXS_Transit_temp!AV31,0)))</f>
        <v>20</v>
      </c>
      <c r="X38" s="225">
        <f>Index!$B$2*IF(AND($D$3,$F$3),SXS_Transit_temp!AW5+SXS_Transit_temp!AW31,IF(AND($D$3,NOT($F$3)), SXS_Transit_temp!AW5,IF(AND(NOT($D$3),$F$3), SXS_Transit_temp!AW31,0)))</f>
        <v>0</v>
      </c>
      <c r="Y38" s="225">
        <f>Index!$B$2*IF(AND($D$3,$F$3),SXS_Transit_temp!AX5+SXS_Transit_temp!AX31,IF(AND($D$3,NOT($F$3)), SXS_Transit_temp!AX5,IF(AND(NOT($D$3),$F$3), SXS_Transit_temp!AX31,0)))</f>
        <v>0</v>
      </c>
      <c r="Z38" s="225">
        <f>Index!$B$2*IF(AND($D$3,$F$3),SXS_Transit_temp!AY5+SXS_Transit_temp!AY31,IF(AND($D$3,NOT($F$3)), SXS_Transit_temp!AY5,IF(AND(NOT($D$3),$F$3), SXS_Transit_temp!AY31,0)))</f>
        <v>0</v>
      </c>
      <c r="AA38" s="225">
        <f>Index!$B$2*IF(AND($D$3,$F$3),SXS_Transit_temp!AZ5+SXS_Transit_temp!AZ31,IF(AND($D$3,NOT($F$3)), SXS_Transit_temp!AZ5,IF(AND(NOT($D$3),$F$3), SXS_Transit_temp!AZ31,0)))</f>
        <v>5</v>
      </c>
      <c r="AB38" s="226">
        <f t="shared" si="10"/>
        <v>75155</v>
      </c>
      <c r="AD38" s="223" t="s">
        <v>457</v>
      </c>
      <c r="AE38" s="234">
        <f t="shared" si="7"/>
        <v>0.57893686381478282</v>
      </c>
      <c r="AF38" s="234">
        <f t="shared" si="8"/>
        <v>0.12321202847448606</v>
      </c>
      <c r="AG38" s="233">
        <f t="shared" si="8"/>
        <v>0.19047302242033132</v>
      </c>
      <c r="AH38" s="234">
        <f t="shared" si="8"/>
        <v>4.4641075111436362E-2</v>
      </c>
      <c r="AI38" s="234">
        <f t="shared" si="8"/>
        <v>2.474885237176502E-2</v>
      </c>
      <c r="AJ38" s="234">
        <f t="shared" si="8"/>
        <v>9.1810258798483129E-3</v>
      </c>
      <c r="AK38" s="234">
        <f t="shared" si="8"/>
        <v>4.9896879781784311E-3</v>
      </c>
      <c r="AL38" s="234">
        <f t="shared" si="8"/>
        <v>8.8483800146364183E-3</v>
      </c>
      <c r="AM38" s="234">
        <f t="shared" si="8"/>
        <v>2.8607544408223006E-3</v>
      </c>
      <c r="AN38" s="234">
        <f t="shared" si="8"/>
        <v>7.0520923424921824E-3</v>
      </c>
      <c r="AO38" s="234">
        <f t="shared" si="8"/>
        <v>2.7276960947375424E-3</v>
      </c>
      <c r="AP38" s="234">
        <f t="shared" si="8"/>
        <v>7.9835007650854903E-4</v>
      </c>
      <c r="AQ38" s="234">
        <f t="shared" si="8"/>
        <v>4.6570421129665357E-4</v>
      </c>
      <c r="AR38" s="234">
        <f t="shared" si="8"/>
        <v>6.6529173042379077E-5</v>
      </c>
      <c r="AS38" s="234">
        <f t="shared" si="8"/>
        <v>1.3305834608475815E-4</v>
      </c>
      <c r="AT38" s="234">
        <f t="shared" si="8"/>
        <v>0</v>
      </c>
      <c r="AU38" s="234">
        <f t="shared" si="8"/>
        <v>0</v>
      </c>
      <c r="AV38" s="234">
        <f t="shared" si="9"/>
        <v>0</v>
      </c>
      <c r="AW38" s="234">
        <f t="shared" si="9"/>
        <v>0</v>
      </c>
      <c r="AX38" s="234">
        <f t="shared" si="9"/>
        <v>5.3223338433903262E-4</v>
      </c>
      <c r="AY38" s="234">
        <f t="shared" si="9"/>
        <v>2.6611669216951631E-4</v>
      </c>
      <c r="AZ38" s="234">
        <f t="shared" si="9"/>
        <v>0</v>
      </c>
      <c r="BA38" s="234">
        <f t="shared" si="9"/>
        <v>0</v>
      </c>
      <c r="BB38" s="234">
        <f t="shared" si="9"/>
        <v>0</v>
      </c>
      <c r="BC38" s="234">
        <f t="shared" si="9"/>
        <v>6.6529173042379077E-5</v>
      </c>
      <c r="BD38" s="237">
        <f t="shared" si="11"/>
        <v>1</v>
      </c>
    </row>
    <row r="39" spans="2:56" x14ac:dyDescent="0.25">
      <c r="B39" s="223" t="s">
        <v>458</v>
      </c>
      <c r="C39" s="225">
        <f>Index!$B$2*IF(AND($D$3,$F$3),SXS_Transit_temp!AB6+SXS_Transit_temp!AB32,IF(AND($D$3,NOT($F$3)), SXS_Transit_temp!AB6,IF(AND(NOT($D$3),$F$3), SXS_Transit_temp!AB32,0)))</f>
        <v>18870</v>
      </c>
      <c r="D39" s="225">
        <f>Index!$B$2*IF(AND($D$3,$F$3),SXS_Transit_temp!AC6+SXS_Transit_temp!AC32,IF(AND($D$3,NOT($F$3)), SXS_Transit_temp!AC6,IF(AND(NOT($D$3),$F$3), SXS_Transit_temp!AC32,0)))</f>
        <v>2745</v>
      </c>
      <c r="E39" s="225">
        <f>Index!$B$2*IF(AND($D$3,$F$3),SXS_Transit_temp!AD6+SXS_Transit_temp!AD32,IF(AND($D$3,NOT($F$3)), SXS_Transit_temp!AD6,IF(AND(NOT($D$3),$F$3), SXS_Transit_temp!AD32,0)))</f>
        <v>4150</v>
      </c>
      <c r="F39" s="224">
        <f>Index!$B$2*IF(AND($D$3,$F$3),SXS_Transit_temp!AE6+SXS_Transit_temp!AE32,IF(AND($D$3,NOT($F$3)), SXS_Transit_temp!AE6,IF(AND(NOT($D$3),$F$3), SXS_Transit_temp!AE32,0)))</f>
        <v>4245</v>
      </c>
      <c r="G39" s="225">
        <f>Index!$B$2*IF(AND($D$3,$F$3),SXS_Transit_temp!AF6+SXS_Transit_temp!AF32,IF(AND($D$3,NOT($F$3)), SXS_Transit_temp!AF6,IF(AND(NOT($D$3),$F$3), SXS_Transit_temp!AF32,0)))</f>
        <v>2555</v>
      </c>
      <c r="H39" s="225">
        <f>Index!$B$2*IF(AND($D$3,$F$3),SXS_Transit_temp!AG6+SXS_Transit_temp!AG32,IF(AND($D$3,NOT($F$3)), SXS_Transit_temp!AG6,IF(AND(NOT($D$3),$F$3), SXS_Transit_temp!AG32,0)))</f>
        <v>560</v>
      </c>
      <c r="I39" s="225">
        <f>Index!$B$2*IF(AND($D$3,$F$3),SXS_Transit_temp!AH6+SXS_Transit_temp!AH32,IF(AND($D$3,NOT($F$3)), SXS_Transit_temp!AH6,IF(AND(NOT($D$3),$F$3), SXS_Transit_temp!AH32,0)))</f>
        <v>230</v>
      </c>
      <c r="J39" s="225">
        <f>Index!$B$2*IF(AND($D$3,$F$3),SXS_Transit_temp!AI6+SXS_Transit_temp!AI32,IF(AND($D$3,NOT($F$3)), SXS_Transit_temp!AI6,IF(AND(NOT($D$3),$F$3), SXS_Transit_temp!AI32,0)))</f>
        <v>285</v>
      </c>
      <c r="K39" s="225">
        <f>Index!$B$2*IF(AND($D$3,$F$3),SXS_Transit_temp!AJ6+SXS_Transit_temp!AJ32,IF(AND($D$3,NOT($F$3)), SXS_Transit_temp!AJ6,IF(AND(NOT($D$3),$F$3), SXS_Transit_temp!AJ32,0)))</f>
        <v>10</v>
      </c>
      <c r="L39" s="225">
        <f>Index!$B$2*IF(AND($D$3,$F$3),SXS_Transit_temp!AK6+SXS_Transit_temp!AK32,IF(AND($D$3,NOT($F$3)), SXS_Transit_temp!AK6,IF(AND(NOT($D$3),$F$3), SXS_Transit_temp!AK32,0)))</f>
        <v>10</v>
      </c>
      <c r="M39" s="225">
        <f>Index!$B$2*IF(AND($D$3,$F$3),SXS_Transit_temp!AL6+SXS_Transit_temp!AL32,IF(AND($D$3,NOT($F$3)), SXS_Transit_temp!AL6,IF(AND(NOT($D$3),$F$3), SXS_Transit_temp!AL32,0)))</f>
        <v>75</v>
      </c>
      <c r="N39" s="225">
        <f>Index!$B$2*IF(AND($D$3,$F$3),SXS_Transit_temp!AM6+SXS_Transit_temp!AM32,IF(AND($D$3,NOT($F$3)), SXS_Transit_temp!AM6,IF(AND(NOT($D$3),$F$3), SXS_Transit_temp!AM32,0)))</f>
        <v>145</v>
      </c>
      <c r="O39" s="225">
        <f>Index!$B$2*IF(AND($D$3,$F$3),SXS_Transit_temp!AN6+SXS_Transit_temp!AN32,IF(AND($D$3,NOT($F$3)), SXS_Transit_temp!AN6,IF(AND(NOT($D$3),$F$3), SXS_Transit_temp!AN32,0)))</f>
        <v>20</v>
      </c>
      <c r="P39" s="225">
        <f>Index!$B$2*IF(AND($D$3,$F$3),SXS_Transit_temp!AO6+SXS_Transit_temp!AO32,IF(AND($D$3,NOT($F$3)), SXS_Transit_temp!AO6,IF(AND(NOT($D$3),$F$3), SXS_Transit_temp!AO32,0)))</f>
        <v>15</v>
      </c>
      <c r="Q39" s="225">
        <f>Index!$B$2*IF(AND($D$3,$F$3),SXS_Transit_temp!AP6+SXS_Transit_temp!AP32,IF(AND($D$3,NOT($F$3)), SXS_Transit_temp!AP6,IF(AND(NOT($D$3),$F$3), SXS_Transit_temp!AP32,0)))</f>
        <v>0</v>
      </c>
      <c r="R39" s="225">
        <f>Index!$B$2*IF(AND($D$3,$F$3),SXS_Transit_temp!AQ6+SXS_Transit_temp!AQ32,IF(AND($D$3,NOT($F$3)), SXS_Transit_temp!AQ6,IF(AND(NOT($D$3),$F$3), SXS_Transit_temp!AQ32,0)))</f>
        <v>0</v>
      </c>
      <c r="S39" s="225">
        <f>Index!$B$2*IF(AND($D$3,$F$3),SXS_Transit_temp!AR6+SXS_Transit_temp!AR32,IF(AND($D$3,NOT($F$3)), SXS_Transit_temp!AR6,IF(AND(NOT($D$3),$F$3), SXS_Transit_temp!AR32,0)))</f>
        <v>0</v>
      </c>
      <c r="T39" s="225">
        <f>Index!$B$2*IF(AND($D$3,$F$3),SXS_Transit_temp!AS6+SXS_Transit_temp!AS32,IF(AND($D$3,NOT($F$3)), SXS_Transit_temp!AS6,IF(AND(NOT($D$3),$F$3), SXS_Transit_temp!AS32,0)))</f>
        <v>0</v>
      </c>
      <c r="U39" s="225">
        <f>Index!$B$2*IF(AND($D$3,$F$3),SXS_Transit_temp!AT6+SXS_Transit_temp!AT32,IF(AND($D$3,NOT($F$3)), SXS_Transit_temp!AT6,IF(AND(NOT($D$3),$F$3), SXS_Transit_temp!AT32,0)))</f>
        <v>0</v>
      </c>
      <c r="V39" s="225">
        <f>Index!$B$2*IF(AND($D$3,$F$3),SXS_Transit_temp!AU6+SXS_Transit_temp!AU32,IF(AND($D$3,NOT($F$3)), SXS_Transit_temp!AU6,IF(AND(NOT($D$3),$F$3), SXS_Transit_temp!AU32,0)))</f>
        <v>0</v>
      </c>
      <c r="W39" s="225">
        <f>Index!$B$2*IF(AND($D$3,$F$3),SXS_Transit_temp!AV6+SXS_Transit_temp!AV32,IF(AND($D$3,NOT($F$3)), SXS_Transit_temp!AV6,IF(AND(NOT($D$3),$F$3), SXS_Transit_temp!AV32,0)))</f>
        <v>15</v>
      </c>
      <c r="X39" s="225">
        <f>Index!$B$2*IF(AND($D$3,$F$3),SXS_Transit_temp!AW6+SXS_Transit_temp!AW32,IF(AND($D$3,NOT($F$3)), SXS_Transit_temp!AW6,IF(AND(NOT($D$3),$F$3), SXS_Transit_temp!AW32,0)))</f>
        <v>0</v>
      </c>
      <c r="Y39" s="225">
        <f>Index!$B$2*IF(AND($D$3,$F$3),SXS_Transit_temp!AX6+SXS_Transit_temp!AX32,IF(AND($D$3,NOT($F$3)), SXS_Transit_temp!AX6,IF(AND(NOT($D$3),$F$3), SXS_Transit_temp!AX32,0)))</f>
        <v>5</v>
      </c>
      <c r="Z39" s="225">
        <f>Index!$B$2*IF(AND($D$3,$F$3),SXS_Transit_temp!AY6+SXS_Transit_temp!AY32,IF(AND($D$3,NOT($F$3)), SXS_Transit_temp!AY6,IF(AND(NOT($D$3),$F$3), SXS_Transit_temp!AY32,0)))</f>
        <v>0</v>
      </c>
      <c r="AA39" s="225">
        <f>Index!$B$2*IF(AND($D$3,$F$3),SXS_Transit_temp!AZ6+SXS_Transit_temp!AZ32,IF(AND($D$3,NOT($F$3)), SXS_Transit_temp!AZ6,IF(AND(NOT($D$3),$F$3), SXS_Transit_temp!AZ32,0)))</f>
        <v>0</v>
      </c>
      <c r="AB39" s="226">
        <f t="shared" si="10"/>
        <v>33935</v>
      </c>
      <c r="AD39" s="223" t="s">
        <v>458</v>
      </c>
      <c r="AE39" s="234">
        <f t="shared" si="7"/>
        <v>0.5560630617356711</v>
      </c>
      <c r="AF39" s="234">
        <f t="shared" si="8"/>
        <v>8.0889936643583321E-2</v>
      </c>
      <c r="AG39" s="234">
        <f t="shared" si="8"/>
        <v>0.12229261824075438</v>
      </c>
      <c r="AH39" s="233">
        <f t="shared" si="8"/>
        <v>0.12509208781494033</v>
      </c>
      <c r="AI39" s="234">
        <f t="shared" si="8"/>
        <v>7.529099749521144E-2</v>
      </c>
      <c r="AJ39" s="234">
        <f t="shared" si="8"/>
        <v>1.6502136437306615E-2</v>
      </c>
      <c r="AK39" s="234">
        <f t="shared" si="8"/>
        <v>6.7776631796080747E-3</v>
      </c>
      <c r="AL39" s="234">
        <f t="shared" si="8"/>
        <v>8.3984087225578308E-3</v>
      </c>
      <c r="AM39" s="234">
        <f t="shared" si="8"/>
        <v>2.9468100780904668E-4</v>
      </c>
      <c r="AN39" s="234">
        <f t="shared" si="8"/>
        <v>2.9468100780904668E-4</v>
      </c>
      <c r="AO39" s="234">
        <f t="shared" si="8"/>
        <v>2.2101075585678502E-3</v>
      </c>
      <c r="AP39" s="234">
        <f t="shared" si="8"/>
        <v>4.2728746132311771E-3</v>
      </c>
      <c r="AQ39" s="234">
        <f t="shared" si="8"/>
        <v>5.8936201561809337E-4</v>
      </c>
      <c r="AR39" s="234">
        <f t="shared" si="8"/>
        <v>4.4202151171357008E-4</v>
      </c>
      <c r="AS39" s="234">
        <f t="shared" si="8"/>
        <v>0</v>
      </c>
      <c r="AT39" s="234">
        <f t="shared" si="8"/>
        <v>0</v>
      </c>
      <c r="AU39" s="234">
        <f t="shared" si="8"/>
        <v>0</v>
      </c>
      <c r="AV39" s="234">
        <f t="shared" si="9"/>
        <v>0</v>
      </c>
      <c r="AW39" s="234">
        <f t="shared" si="9"/>
        <v>0</v>
      </c>
      <c r="AX39" s="234">
        <f t="shared" si="9"/>
        <v>0</v>
      </c>
      <c r="AY39" s="234">
        <f t="shared" si="9"/>
        <v>4.4202151171357008E-4</v>
      </c>
      <c r="AZ39" s="234">
        <f t="shared" si="9"/>
        <v>0</v>
      </c>
      <c r="BA39" s="234">
        <f t="shared" si="9"/>
        <v>1.4734050390452334E-4</v>
      </c>
      <c r="BB39" s="234">
        <f t="shared" si="9"/>
        <v>0</v>
      </c>
      <c r="BC39" s="234">
        <f t="shared" si="9"/>
        <v>0</v>
      </c>
      <c r="BD39" s="237">
        <f t="shared" si="11"/>
        <v>0.99999999999999989</v>
      </c>
    </row>
    <row r="40" spans="2:56" x14ac:dyDescent="0.25">
      <c r="B40" s="223" t="s">
        <v>47</v>
      </c>
      <c r="C40" s="225">
        <f>Index!$B$2*IF(AND($D$3,$F$3),SXS_Transit_temp!AB7+SXS_Transit_temp!AB33,IF(AND($D$3,NOT($F$3)), SXS_Transit_temp!AB7,IF(AND(NOT($D$3),$F$3), SXS_Transit_temp!AB33,0)))</f>
        <v>27165</v>
      </c>
      <c r="D40" s="225">
        <f>Index!$B$2*IF(AND($D$3,$F$3),SXS_Transit_temp!AC7+SXS_Transit_temp!AC33,IF(AND($D$3,NOT($F$3)), SXS_Transit_temp!AC7,IF(AND(NOT($D$3),$F$3), SXS_Transit_temp!AC33,0)))</f>
        <v>1785</v>
      </c>
      <c r="E40" s="225">
        <f>Index!$B$2*IF(AND($D$3,$F$3),SXS_Transit_temp!AD7+SXS_Transit_temp!AD33,IF(AND($D$3,NOT($F$3)), SXS_Transit_temp!AD7,IF(AND(NOT($D$3),$F$3), SXS_Transit_temp!AD33,0)))</f>
        <v>2065</v>
      </c>
      <c r="F40" s="225">
        <f>Index!$B$2*IF(AND($D$3,$F$3),SXS_Transit_temp!AE7+SXS_Transit_temp!AE33,IF(AND($D$3,NOT($F$3)), SXS_Transit_temp!AE7,IF(AND(NOT($D$3),$F$3), SXS_Transit_temp!AE33,0)))</f>
        <v>2505</v>
      </c>
      <c r="G40" s="224">
        <f>Index!$B$2*IF(AND($D$3,$F$3),SXS_Transit_temp!AF7+SXS_Transit_temp!AF33,IF(AND($D$3,NOT($F$3)), SXS_Transit_temp!AF7,IF(AND(NOT($D$3),$F$3), SXS_Transit_temp!AF33,0)))</f>
        <v>8100</v>
      </c>
      <c r="H40" s="225">
        <f>Index!$B$2*IF(AND($D$3,$F$3),SXS_Transit_temp!AG7+SXS_Transit_temp!AG33,IF(AND($D$3,NOT($F$3)), SXS_Transit_temp!AG7,IF(AND(NOT($D$3),$F$3), SXS_Transit_temp!AG33,0)))</f>
        <v>2505</v>
      </c>
      <c r="I40" s="225">
        <f>Index!$B$2*IF(AND($D$3,$F$3),SXS_Transit_temp!AH7+SXS_Transit_temp!AH33,IF(AND($D$3,NOT($F$3)), SXS_Transit_temp!AH7,IF(AND(NOT($D$3),$F$3), SXS_Transit_temp!AH33,0)))</f>
        <v>815</v>
      </c>
      <c r="J40" s="225">
        <f>Index!$B$2*IF(AND($D$3,$F$3),SXS_Transit_temp!AI7+SXS_Transit_temp!AI33,IF(AND($D$3,NOT($F$3)), SXS_Transit_temp!AI7,IF(AND(NOT($D$3),$F$3), SXS_Transit_temp!AI33,0)))</f>
        <v>615</v>
      </c>
      <c r="K40" s="225">
        <f>Index!$B$2*IF(AND($D$3,$F$3),SXS_Transit_temp!AJ7+SXS_Transit_temp!AJ33,IF(AND($D$3,NOT($F$3)), SXS_Transit_temp!AJ7,IF(AND(NOT($D$3),$F$3), SXS_Transit_temp!AJ33,0)))</f>
        <v>20</v>
      </c>
      <c r="L40" s="225">
        <f>Index!$B$2*IF(AND($D$3,$F$3),SXS_Transit_temp!AK7+SXS_Transit_temp!AK33,IF(AND($D$3,NOT($F$3)), SXS_Transit_temp!AK7,IF(AND(NOT($D$3),$F$3), SXS_Transit_temp!AK33,0)))</f>
        <v>35</v>
      </c>
      <c r="M40" s="225">
        <f>Index!$B$2*IF(AND($D$3,$F$3),SXS_Transit_temp!AL7+SXS_Transit_temp!AL33,IF(AND($D$3,NOT($F$3)), SXS_Transit_temp!AL7,IF(AND(NOT($D$3),$F$3), SXS_Transit_temp!AL33,0)))</f>
        <v>35</v>
      </c>
      <c r="N40" s="225">
        <f>Index!$B$2*IF(AND($D$3,$F$3),SXS_Transit_temp!AM7+SXS_Transit_temp!AM33,IF(AND($D$3,NOT($F$3)), SXS_Transit_temp!AM7,IF(AND(NOT($D$3),$F$3), SXS_Transit_temp!AM33,0)))</f>
        <v>460</v>
      </c>
      <c r="O40" s="225">
        <f>Index!$B$2*IF(AND($D$3,$F$3),SXS_Transit_temp!AN7+SXS_Transit_temp!AN33,IF(AND($D$3,NOT($F$3)), SXS_Transit_temp!AN7,IF(AND(NOT($D$3),$F$3), SXS_Transit_temp!AN33,0)))</f>
        <v>85</v>
      </c>
      <c r="P40" s="225">
        <f>Index!$B$2*IF(AND($D$3,$F$3),SXS_Transit_temp!AO7+SXS_Transit_temp!AO33,IF(AND($D$3,NOT($F$3)), SXS_Transit_temp!AO7,IF(AND(NOT($D$3),$F$3), SXS_Transit_temp!AO33,0)))</f>
        <v>40</v>
      </c>
      <c r="Q40" s="225">
        <f>Index!$B$2*IF(AND($D$3,$F$3),SXS_Transit_temp!AP7+SXS_Transit_temp!AP33,IF(AND($D$3,NOT($F$3)), SXS_Transit_temp!AP7,IF(AND(NOT($D$3),$F$3), SXS_Transit_temp!AP33,0)))</f>
        <v>0</v>
      </c>
      <c r="R40" s="225">
        <f>Index!$B$2*IF(AND($D$3,$F$3),SXS_Transit_temp!AQ7+SXS_Transit_temp!AQ33,IF(AND($D$3,NOT($F$3)), SXS_Transit_temp!AQ7,IF(AND(NOT($D$3),$F$3), SXS_Transit_temp!AQ33,0)))</f>
        <v>0</v>
      </c>
      <c r="S40" s="225">
        <f>Index!$B$2*IF(AND($D$3,$F$3),SXS_Transit_temp!AR7+SXS_Transit_temp!AR33,IF(AND($D$3,NOT($F$3)), SXS_Transit_temp!AR7,IF(AND(NOT($D$3),$F$3), SXS_Transit_temp!AR33,0)))</f>
        <v>0</v>
      </c>
      <c r="T40" s="225">
        <f>Index!$B$2*IF(AND($D$3,$F$3),SXS_Transit_temp!AS7+SXS_Transit_temp!AS33,IF(AND($D$3,NOT($F$3)), SXS_Transit_temp!AS7,IF(AND(NOT($D$3),$F$3), SXS_Transit_temp!AS33,0)))</f>
        <v>0</v>
      </c>
      <c r="U40" s="225">
        <f>Index!$B$2*IF(AND($D$3,$F$3),SXS_Transit_temp!AT7+SXS_Transit_temp!AT33,IF(AND($D$3,NOT($F$3)), SXS_Transit_temp!AT7,IF(AND(NOT($D$3),$F$3), SXS_Transit_temp!AT33,0)))</f>
        <v>0</v>
      </c>
      <c r="V40" s="225">
        <f>Index!$B$2*IF(AND($D$3,$F$3),SXS_Transit_temp!AU7+SXS_Transit_temp!AU33,IF(AND($D$3,NOT($F$3)), SXS_Transit_temp!AU7,IF(AND(NOT($D$3),$F$3), SXS_Transit_temp!AU33,0)))</f>
        <v>0</v>
      </c>
      <c r="W40" s="225">
        <f>Index!$B$2*IF(AND($D$3,$F$3),SXS_Transit_temp!AV7+SXS_Transit_temp!AV33,IF(AND($D$3,NOT($F$3)), SXS_Transit_temp!AV7,IF(AND(NOT($D$3),$F$3), SXS_Transit_temp!AV33,0)))</f>
        <v>20</v>
      </c>
      <c r="X40" s="225">
        <f>Index!$B$2*IF(AND($D$3,$F$3),SXS_Transit_temp!AW7+SXS_Transit_temp!AW33,IF(AND($D$3,NOT($F$3)), SXS_Transit_temp!AW7,IF(AND(NOT($D$3),$F$3), SXS_Transit_temp!AW33,0)))</f>
        <v>0</v>
      </c>
      <c r="Y40" s="225">
        <f>Index!$B$2*IF(AND($D$3,$F$3),SXS_Transit_temp!AX7+SXS_Transit_temp!AX33,IF(AND($D$3,NOT($F$3)), SXS_Transit_temp!AX7,IF(AND(NOT($D$3),$F$3), SXS_Transit_temp!AX33,0)))</f>
        <v>0</v>
      </c>
      <c r="Z40" s="225">
        <f>Index!$B$2*IF(AND($D$3,$F$3),SXS_Transit_temp!AY7+SXS_Transit_temp!AY33,IF(AND($D$3,NOT($F$3)), SXS_Transit_temp!AY7,IF(AND(NOT($D$3),$F$3), SXS_Transit_temp!AY33,0)))</f>
        <v>0</v>
      </c>
      <c r="AA40" s="225">
        <f>Index!$B$2*IF(AND($D$3,$F$3),SXS_Transit_temp!AZ7+SXS_Transit_temp!AZ33,IF(AND($D$3,NOT($F$3)), SXS_Transit_temp!AZ7,IF(AND(NOT($D$3),$F$3), SXS_Transit_temp!AZ33,0)))</f>
        <v>5</v>
      </c>
      <c r="AB40" s="226">
        <f t="shared" si="10"/>
        <v>46255</v>
      </c>
      <c r="AD40" s="223" t="s">
        <v>47</v>
      </c>
      <c r="AE40" s="234">
        <f t="shared" si="7"/>
        <v>0.5872878607718085</v>
      </c>
      <c r="AF40" s="234">
        <f t="shared" si="8"/>
        <v>3.859042265701005E-2</v>
      </c>
      <c r="AG40" s="234">
        <f t="shared" si="8"/>
        <v>4.4643822289482216E-2</v>
      </c>
      <c r="AH40" s="234">
        <f t="shared" si="8"/>
        <v>5.4156307426224189E-2</v>
      </c>
      <c r="AI40" s="233">
        <f t="shared" si="8"/>
        <v>0.17511620365365907</v>
      </c>
      <c r="AJ40" s="234">
        <f t="shared" si="8"/>
        <v>5.4156307426224189E-2</v>
      </c>
      <c r="AK40" s="234">
        <f t="shared" si="8"/>
        <v>1.7619716787374336E-2</v>
      </c>
      <c r="AL40" s="234">
        <f t="shared" si="8"/>
        <v>1.3295859907037078E-2</v>
      </c>
      <c r="AM40" s="234">
        <f t="shared" si="8"/>
        <v>4.323856880337261E-4</v>
      </c>
      <c r="AN40" s="234">
        <f t="shared" si="8"/>
        <v>7.5667495405902063E-4</v>
      </c>
      <c r="AO40" s="234">
        <f t="shared" si="8"/>
        <v>7.5667495405902063E-4</v>
      </c>
      <c r="AP40" s="234">
        <f t="shared" si="8"/>
        <v>9.9448708247757006E-3</v>
      </c>
      <c r="AQ40" s="234">
        <f t="shared" si="8"/>
        <v>1.8376391741433359E-3</v>
      </c>
      <c r="AR40" s="234">
        <f t="shared" si="8"/>
        <v>8.6477137606745221E-4</v>
      </c>
      <c r="AS40" s="234">
        <f t="shared" si="8"/>
        <v>0</v>
      </c>
      <c r="AT40" s="234">
        <f t="shared" si="8"/>
        <v>0</v>
      </c>
      <c r="AU40" s="234">
        <f t="shared" si="8"/>
        <v>0</v>
      </c>
      <c r="AV40" s="234">
        <f t="shared" si="9"/>
        <v>0</v>
      </c>
      <c r="AW40" s="234">
        <f t="shared" si="9"/>
        <v>0</v>
      </c>
      <c r="AX40" s="234">
        <f t="shared" si="9"/>
        <v>0</v>
      </c>
      <c r="AY40" s="234">
        <f t="shared" si="9"/>
        <v>4.323856880337261E-4</v>
      </c>
      <c r="AZ40" s="234">
        <f t="shared" si="9"/>
        <v>0</v>
      </c>
      <c r="BA40" s="234">
        <f t="shared" si="9"/>
        <v>0</v>
      </c>
      <c r="BB40" s="234">
        <f t="shared" si="9"/>
        <v>0</v>
      </c>
      <c r="BC40" s="234">
        <f t="shared" si="9"/>
        <v>1.0809642200843153E-4</v>
      </c>
      <c r="BD40" s="237">
        <f t="shared" si="11"/>
        <v>1.0000000000000002</v>
      </c>
    </row>
    <row r="41" spans="2:56" x14ac:dyDescent="0.25">
      <c r="B41" s="223" t="s">
        <v>459</v>
      </c>
      <c r="C41" s="225">
        <f>Index!$B$2*IF(AND($D$3,$F$3),SXS_Transit_temp!AB8+SXS_Transit_temp!AB34,IF(AND($D$3,NOT($F$3)), SXS_Transit_temp!AB8,IF(AND(NOT($D$3),$F$3), SXS_Transit_temp!AB34,0)))</f>
        <v>23265</v>
      </c>
      <c r="D41" s="225">
        <f>Index!$B$2*IF(AND($D$3,$F$3),SXS_Transit_temp!AC8+SXS_Transit_temp!AC34,IF(AND($D$3,NOT($F$3)), SXS_Transit_temp!AC8,IF(AND(NOT($D$3),$F$3), SXS_Transit_temp!AC34,0)))</f>
        <v>785</v>
      </c>
      <c r="E41" s="225">
        <f>Index!$B$2*IF(AND($D$3,$F$3),SXS_Transit_temp!AD8+SXS_Transit_temp!AD34,IF(AND($D$3,NOT($F$3)), SXS_Transit_temp!AD8,IF(AND(NOT($D$3),$F$3), SXS_Transit_temp!AD34,0)))</f>
        <v>910</v>
      </c>
      <c r="F41" s="225">
        <f>Index!$B$2*IF(AND($D$3,$F$3),SXS_Transit_temp!AE8+SXS_Transit_temp!AE34,IF(AND($D$3,NOT($F$3)), SXS_Transit_temp!AE8,IF(AND(NOT($D$3),$F$3), SXS_Transit_temp!AE34,0)))</f>
        <v>760</v>
      </c>
      <c r="G41" s="225">
        <f>Index!$B$2*IF(AND($D$3,$F$3),SXS_Transit_temp!AF8+SXS_Transit_temp!AF34,IF(AND($D$3,NOT($F$3)), SXS_Transit_temp!AF8,IF(AND(NOT($D$3),$F$3), SXS_Transit_temp!AF34,0)))</f>
        <v>2655</v>
      </c>
      <c r="H41" s="224">
        <f>Index!$B$2*IF(AND($D$3,$F$3),SXS_Transit_temp!AG8+SXS_Transit_temp!AG34,IF(AND($D$3,NOT($F$3)), SXS_Transit_temp!AG8,IF(AND(NOT($D$3),$F$3), SXS_Transit_temp!AG34,0)))</f>
        <v>5440</v>
      </c>
      <c r="I41" s="225">
        <f>Index!$B$2*IF(AND($D$3,$F$3),SXS_Transit_temp!AH8+SXS_Transit_temp!AH34,IF(AND($D$3,NOT($F$3)), SXS_Transit_temp!AH8,IF(AND(NOT($D$3),$F$3), SXS_Transit_temp!AH34,0)))</f>
        <v>1715</v>
      </c>
      <c r="J41" s="225">
        <f>Index!$B$2*IF(AND($D$3,$F$3),SXS_Transit_temp!AI8+SXS_Transit_temp!AI34,IF(AND($D$3,NOT($F$3)), SXS_Transit_temp!AI8,IF(AND(NOT($D$3),$F$3), SXS_Transit_temp!AI34,0)))</f>
        <v>760</v>
      </c>
      <c r="K41" s="225">
        <f>Index!$B$2*IF(AND($D$3,$F$3),SXS_Transit_temp!AJ8+SXS_Transit_temp!AJ34,IF(AND($D$3,NOT($F$3)), SXS_Transit_temp!AJ8,IF(AND(NOT($D$3),$F$3), SXS_Transit_temp!AJ34,0)))</f>
        <v>5</v>
      </c>
      <c r="L41" s="225">
        <f>Index!$B$2*IF(AND($D$3,$F$3),SXS_Transit_temp!AK8+SXS_Transit_temp!AK34,IF(AND($D$3,NOT($F$3)), SXS_Transit_temp!AK8,IF(AND(NOT($D$3),$F$3), SXS_Transit_temp!AK34,0)))</f>
        <v>10</v>
      </c>
      <c r="M41" s="225">
        <f>Index!$B$2*IF(AND($D$3,$F$3),SXS_Transit_temp!AL8+SXS_Transit_temp!AL34,IF(AND($D$3,NOT($F$3)), SXS_Transit_temp!AL8,IF(AND(NOT($D$3),$F$3), SXS_Transit_temp!AL34,0)))</f>
        <v>20</v>
      </c>
      <c r="N41" s="225">
        <f>Index!$B$2*IF(AND($D$3,$F$3),SXS_Transit_temp!AM8+SXS_Transit_temp!AM34,IF(AND($D$3,NOT($F$3)), SXS_Transit_temp!AM8,IF(AND(NOT($D$3),$F$3), SXS_Transit_temp!AM34,0)))</f>
        <v>125</v>
      </c>
      <c r="O41" s="225">
        <f>Index!$B$2*IF(AND($D$3,$F$3),SXS_Transit_temp!AN8+SXS_Transit_temp!AN34,IF(AND($D$3,NOT($F$3)), SXS_Transit_temp!AN8,IF(AND(NOT($D$3),$F$3), SXS_Transit_temp!AN34,0)))</f>
        <v>265</v>
      </c>
      <c r="P41" s="225">
        <f>Index!$B$2*IF(AND($D$3,$F$3),SXS_Transit_temp!AO8+SXS_Transit_temp!AO34,IF(AND($D$3,NOT($F$3)), SXS_Transit_temp!AO8,IF(AND(NOT($D$3),$F$3), SXS_Transit_temp!AO34,0)))</f>
        <v>35</v>
      </c>
      <c r="Q41" s="225">
        <f>Index!$B$2*IF(AND($D$3,$F$3),SXS_Transit_temp!AP8+SXS_Transit_temp!AP34,IF(AND($D$3,NOT($F$3)), SXS_Transit_temp!AP8,IF(AND(NOT($D$3),$F$3), SXS_Transit_temp!AP34,0)))</f>
        <v>0</v>
      </c>
      <c r="R41" s="225">
        <f>Index!$B$2*IF(AND($D$3,$F$3),SXS_Transit_temp!AQ8+SXS_Transit_temp!AQ34,IF(AND($D$3,NOT($F$3)), SXS_Transit_temp!AQ8,IF(AND(NOT($D$3),$F$3), SXS_Transit_temp!AQ34,0)))</f>
        <v>0</v>
      </c>
      <c r="S41" s="225">
        <f>Index!$B$2*IF(AND($D$3,$F$3),SXS_Transit_temp!AR8+SXS_Transit_temp!AR34,IF(AND($D$3,NOT($F$3)), SXS_Transit_temp!AR8,IF(AND(NOT($D$3),$F$3), SXS_Transit_temp!AR34,0)))</f>
        <v>0</v>
      </c>
      <c r="T41" s="225">
        <f>Index!$B$2*IF(AND($D$3,$F$3),SXS_Transit_temp!AS8+SXS_Transit_temp!AS34,IF(AND($D$3,NOT($F$3)), SXS_Transit_temp!AS8,IF(AND(NOT($D$3),$F$3), SXS_Transit_temp!AS34,0)))</f>
        <v>0</v>
      </c>
      <c r="U41" s="225">
        <f>Index!$B$2*IF(AND($D$3,$F$3),SXS_Transit_temp!AT8+SXS_Transit_temp!AT34,IF(AND($D$3,NOT($F$3)), SXS_Transit_temp!AT8,IF(AND(NOT($D$3),$F$3), SXS_Transit_temp!AT34,0)))</f>
        <v>0</v>
      </c>
      <c r="V41" s="225">
        <f>Index!$B$2*IF(AND($D$3,$F$3),SXS_Transit_temp!AU8+SXS_Transit_temp!AU34,IF(AND($D$3,NOT($F$3)), SXS_Transit_temp!AU8,IF(AND(NOT($D$3),$F$3), SXS_Transit_temp!AU34,0)))</f>
        <v>0</v>
      </c>
      <c r="W41" s="225">
        <f>Index!$B$2*IF(AND($D$3,$F$3),SXS_Transit_temp!AV8+SXS_Transit_temp!AV34,IF(AND($D$3,NOT($F$3)), SXS_Transit_temp!AV8,IF(AND(NOT($D$3),$F$3), SXS_Transit_temp!AV34,0)))</f>
        <v>10</v>
      </c>
      <c r="X41" s="225">
        <f>Index!$B$2*IF(AND($D$3,$F$3),SXS_Transit_temp!AW8+SXS_Transit_temp!AW34,IF(AND($D$3,NOT($F$3)), SXS_Transit_temp!AW8,IF(AND(NOT($D$3),$F$3), SXS_Transit_temp!AW34,0)))</f>
        <v>0</v>
      </c>
      <c r="Y41" s="225">
        <f>Index!$B$2*IF(AND($D$3,$F$3),SXS_Transit_temp!AX8+SXS_Transit_temp!AX34,IF(AND($D$3,NOT($F$3)), SXS_Transit_temp!AX8,IF(AND(NOT($D$3),$F$3), SXS_Transit_temp!AX34,0)))</f>
        <v>0</v>
      </c>
      <c r="Z41" s="225">
        <f>Index!$B$2*IF(AND($D$3,$F$3),SXS_Transit_temp!AY8+SXS_Transit_temp!AY34,IF(AND($D$3,NOT($F$3)), SXS_Transit_temp!AY8,IF(AND(NOT($D$3),$F$3), SXS_Transit_temp!AY34,0)))</f>
        <v>0</v>
      </c>
      <c r="AA41" s="225">
        <f>Index!$B$2*IF(AND($D$3,$F$3),SXS_Transit_temp!AZ8+SXS_Transit_temp!AZ34,IF(AND($D$3,NOT($F$3)), SXS_Transit_temp!AZ8,IF(AND(NOT($D$3),$F$3), SXS_Transit_temp!AZ34,0)))</f>
        <v>0</v>
      </c>
      <c r="AB41" s="226">
        <f t="shared" si="10"/>
        <v>36760</v>
      </c>
      <c r="AD41" s="223" t="s">
        <v>459</v>
      </c>
      <c r="AE41" s="234">
        <f t="shared" si="7"/>
        <v>0.63288900979325358</v>
      </c>
      <c r="AF41" s="234">
        <f t="shared" si="8"/>
        <v>2.1354733405875952E-2</v>
      </c>
      <c r="AG41" s="234">
        <f t="shared" si="8"/>
        <v>2.4755168661588684E-2</v>
      </c>
      <c r="AH41" s="234">
        <f t="shared" si="8"/>
        <v>2.0674646354733407E-2</v>
      </c>
      <c r="AI41" s="234">
        <f t="shared" si="8"/>
        <v>7.2225244831338409E-2</v>
      </c>
      <c r="AJ41" s="233">
        <f t="shared" si="8"/>
        <v>0.14798694232861806</v>
      </c>
      <c r="AK41" s="234">
        <f t="shared" si="8"/>
        <v>4.6653971708378671E-2</v>
      </c>
      <c r="AL41" s="234">
        <f t="shared" si="8"/>
        <v>2.0674646354733407E-2</v>
      </c>
      <c r="AM41" s="234">
        <f t="shared" si="8"/>
        <v>1.3601741022850925E-4</v>
      </c>
      <c r="AN41" s="234">
        <f t="shared" si="8"/>
        <v>2.720348204570185E-4</v>
      </c>
      <c r="AO41" s="234">
        <f t="shared" si="8"/>
        <v>5.4406964091403701E-4</v>
      </c>
      <c r="AP41" s="234">
        <f t="shared" si="8"/>
        <v>3.4004352557127312E-3</v>
      </c>
      <c r="AQ41" s="234">
        <f t="shared" si="8"/>
        <v>7.2089227421109903E-3</v>
      </c>
      <c r="AR41" s="234">
        <f t="shared" si="8"/>
        <v>9.5212187159956477E-4</v>
      </c>
      <c r="AS41" s="234">
        <f t="shared" si="8"/>
        <v>0</v>
      </c>
      <c r="AT41" s="234">
        <f t="shared" si="8"/>
        <v>0</v>
      </c>
      <c r="AU41" s="234">
        <f t="shared" si="8"/>
        <v>0</v>
      </c>
      <c r="AV41" s="234">
        <f t="shared" si="9"/>
        <v>0</v>
      </c>
      <c r="AW41" s="234">
        <f t="shared" si="9"/>
        <v>0</v>
      </c>
      <c r="AX41" s="234">
        <f t="shared" si="9"/>
        <v>0</v>
      </c>
      <c r="AY41" s="234">
        <f t="shared" si="9"/>
        <v>2.720348204570185E-4</v>
      </c>
      <c r="AZ41" s="234">
        <f t="shared" si="9"/>
        <v>0</v>
      </c>
      <c r="BA41" s="234">
        <f t="shared" si="9"/>
        <v>0</v>
      </c>
      <c r="BB41" s="234">
        <f t="shared" si="9"/>
        <v>0</v>
      </c>
      <c r="BC41" s="234">
        <f t="shared" si="9"/>
        <v>0</v>
      </c>
      <c r="BD41" s="237">
        <f t="shared" si="11"/>
        <v>1</v>
      </c>
    </row>
    <row r="42" spans="2:56" x14ac:dyDescent="0.25">
      <c r="B42" s="223" t="s">
        <v>460</v>
      </c>
      <c r="C42" s="225">
        <f>Index!$B$2*IF(AND($D$3,$F$3),SXS_Transit_temp!AB9+SXS_Transit_temp!AB35,IF(AND($D$3,NOT($F$3)), SXS_Transit_temp!AB9,IF(AND(NOT($D$3),$F$3), SXS_Transit_temp!AB35,0)))</f>
        <v>29475</v>
      </c>
      <c r="D42" s="225">
        <f>Index!$B$2*IF(AND($D$3,$F$3),SXS_Transit_temp!AC9+SXS_Transit_temp!AC35,IF(AND($D$3,NOT($F$3)), SXS_Transit_temp!AC9,IF(AND(NOT($D$3),$F$3), SXS_Transit_temp!AC35,0)))</f>
        <v>1000</v>
      </c>
      <c r="E42" s="225">
        <f>Index!$B$2*IF(AND($D$3,$F$3),SXS_Transit_temp!AD9+SXS_Transit_temp!AD35,IF(AND($D$3,NOT($F$3)), SXS_Transit_temp!AD9,IF(AND(NOT($D$3),$F$3), SXS_Transit_temp!AD35,0)))</f>
        <v>410</v>
      </c>
      <c r="F42" s="225">
        <f>Index!$B$2*IF(AND($D$3,$F$3),SXS_Transit_temp!AE9+SXS_Transit_temp!AE35,IF(AND($D$3,NOT($F$3)), SXS_Transit_temp!AE9,IF(AND(NOT($D$3),$F$3), SXS_Transit_temp!AE35,0)))</f>
        <v>305</v>
      </c>
      <c r="G42" s="225">
        <f>Index!$B$2*IF(AND($D$3,$F$3),SXS_Transit_temp!AF9+SXS_Transit_temp!AF35,IF(AND($D$3,NOT($F$3)), SXS_Transit_temp!AF9,IF(AND(NOT($D$3),$F$3), SXS_Transit_temp!AF35,0)))</f>
        <v>865</v>
      </c>
      <c r="H42" s="225">
        <f>Index!$B$2*IF(AND($D$3,$F$3),SXS_Transit_temp!AG9+SXS_Transit_temp!AG35,IF(AND($D$3,NOT($F$3)), SXS_Transit_temp!AG9,IF(AND(NOT($D$3),$F$3), SXS_Transit_temp!AG35,0)))</f>
        <v>1745</v>
      </c>
      <c r="I42" s="224">
        <f>Index!$B$2*IF(AND($D$3,$F$3),SXS_Transit_temp!AH9+SXS_Transit_temp!AH35,IF(AND($D$3,NOT($F$3)), SXS_Transit_temp!AH9,IF(AND(NOT($D$3),$F$3), SXS_Transit_temp!AH35,0)))</f>
        <v>13035</v>
      </c>
      <c r="J42" s="225">
        <f>Index!$B$2*IF(AND($D$3,$F$3),SXS_Transit_temp!AI9+SXS_Transit_temp!AI35,IF(AND($D$3,NOT($F$3)), SXS_Transit_temp!AI9,IF(AND(NOT($D$3),$F$3), SXS_Transit_temp!AI35,0)))</f>
        <v>4545</v>
      </c>
      <c r="K42" s="225">
        <f>Index!$B$2*IF(AND($D$3,$F$3),SXS_Transit_temp!AJ9+SXS_Transit_temp!AJ35,IF(AND($D$3,NOT($F$3)), SXS_Transit_temp!AJ9,IF(AND(NOT($D$3),$F$3), SXS_Transit_temp!AJ35,0)))</f>
        <v>0</v>
      </c>
      <c r="L42" s="225">
        <f>Index!$B$2*IF(AND($D$3,$F$3),SXS_Transit_temp!AK9+SXS_Transit_temp!AK35,IF(AND($D$3,NOT($F$3)), SXS_Transit_temp!AK9,IF(AND(NOT($D$3),$F$3), SXS_Transit_temp!AK35,0)))</f>
        <v>10</v>
      </c>
      <c r="M42" s="225">
        <f>Index!$B$2*IF(AND($D$3,$F$3),SXS_Transit_temp!AL9+SXS_Transit_temp!AL35,IF(AND($D$3,NOT($F$3)), SXS_Transit_temp!AL9,IF(AND(NOT($D$3),$F$3), SXS_Transit_temp!AL35,0)))</f>
        <v>0</v>
      </c>
      <c r="N42" s="225">
        <f>Index!$B$2*IF(AND($D$3,$F$3),SXS_Transit_temp!AM9+SXS_Transit_temp!AM35,IF(AND($D$3,NOT($F$3)), SXS_Transit_temp!AM9,IF(AND(NOT($D$3),$F$3), SXS_Transit_temp!AM35,0)))</f>
        <v>25</v>
      </c>
      <c r="O42" s="225">
        <f>Index!$B$2*IF(AND($D$3,$F$3),SXS_Transit_temp!AN9+SXS_Transit_temp!AN35,IF(AND($D$3,NOT($F$3)), SXS_Transit_temp!AN9,IF(AND(NOT($D$3),$F$3), SXS_Transit_temp!AN35,0)))</f>
        <v>30</v>
      </c>
      <c r="P42" s="225">
        <f>Index!$B$2*IF(AND($D$3,$F$3),SXS_Transit_temp!AO9+SXS_Transit_temp!AO35,IF(AND($D$3,NOT($F$3)), SXS_Transit_temp!AO9,IF(AND(NOT($D$3),$F$3), SXS_Transit_temp!AO35,0)))</f>
        <v>830</v>
      </c>
      <c r="Q42" s="225">
        <f>Index!$B$2*IF(AND($D$3,$F$3),SXS_Transit_temp!AP9+SXS_Transit_temp!AP35,IF(AND($D$3,NOT($F$3)), SXS_Transit_temp!AP9,IF(AND(NOT($D$3),$F$3), SXS_Transit_temp!AP35,0)))</f>
        <v>15</v>
      </c>
      <c r="R42" s="225">
        <f>Index!$B$2*IF(AND($D$3,$F$3),SXS_Transit_temp!AQ9+SXS_Transit_temp!AQ35,IF(AND($D$3,NOT($F$3)), SXS_Transit_temp!AQ9,IF(AND(NOT($D$3),$F$3), SXS_Transit_temp!AQ35,0)))</f>
        <v>0</v>
      </c>
      <c r="S42" s="225">
        <f>Index!$B$2*IF(AND($D$3,$F$3),SXS_Transit_temp!AR9+SXS_Transit_temp!AR35,IF(AND($D$3,NOT($F$3)), SXS_Transit_temp!AR9,IF(AND(NOT($D$3),$F$3), SXS_Transit_temp!AR35,0)))</f>
        <v>0</v>
      </c>
      <c r="T42" s="225">
        <f>Index!$B$2*IF(AND($D$3,$F$3),SXS_Transit_temp!AS9+SXS_Transit_temp!AS35,IF(AND($D$3,NOT($F$3)), SXS_Transit_temp!AS9,IF(AND(NOT($D$3),$F$3), SXS_Transit_temp!AS35,0)))</f>
        <v>5</v>
      </c>
      <c r="U42" s="225">
        <f>Index!$B$2*IF(AND($D$3,$F$3),SXS_Transit_temp!AT9+SXS_Transit_temp!AT35,IF(AND($D$3,NOT($F$3)), SXS_Transit_temp!AT9,IF(AND(NOT($D$3),$F$3), SXS_Transit_temp!AT35,0)))</f>
        <v>0</v>
      </c>
      <c r="V42" s="225">
        <f>Index!$B$2*IF(AND($D$3,$F$3),SXS_Transit_temp!AU9+SXS_Transit_temp!AU35,IF(AND($D$3,NOT($F$3)), SXS_Transit_temp!AU9,IF(AND(NOT($D$3),$F$3), SXS_Transit_temp!AU35,0)))</f>
        <v>0</v>
      </c>
      <c r="W42" s="225">
        <f>Index!$B$2*IF(AND($D$3,$F$3),SXS_Transit_temp!AV9+SXS_Transit_temp!AV35,IF(AND($D$3,NOT($F$3)), SXS_Transit_temp!AV9,IF(AND(NOT($D$3),$F$3), SXS_Transit_temp!AV35,0)))</f>
        <v>5</v>
      </c>
      <c r="X42" s="225">
        <f>Index!$B$2*IF(AND($D$3,$F$3),SXS_Transit_temp!AW9+SXS_Transit_temp!AW35,IF(AND($D$3,NOT($F$3)), SXS_Transit_temp!AW9,IF(AND(NOT($D$3),$F$3), SXS_Transit_temp!AW35,0)))</f>
        <v>0</v>
      </c>
      <c r="Y42" s="225">
        <f>Index!$B$2*IF(AND($D$3,$F$3),SXS_Transit_temp!AX9+SXS_Transit_temp!AX35,IF(AND($D$3,NOT($F$3)), SXS_Transit_temp!AX9,IF(AND(NOT($D$3),$F$3), SXS_Transit_temp!AX35,0)))</f>
        <v>0</v>
      </c>
      <c r="Z42" s="225">
        <f>Index!$B$2*IF(AND($D$3,$F$3),SXS_Transit_temp!AY9+SXS_Transit_temp!AY35,IF(AND($D$3,NOT($F$3)), SXS_Transit_temp!AY9,IF(AND(NOT($D$3),$F$3), SXS_Transit_temp!AY35,0)))</f>
        <v>0</v>
      </c>
      <c r="AA42" s="225">
        <f>Index!$B$2*IF(AND($D$3,$F$3),SXS_Transit_temp!AZ9+SXS_Transit_temp!AZ35,IF(AND($D$3,NOT($F$3)), SXS_Transit_temp!AZ9,IF(AND(NOT($D$3),$F$3), SXS_Transit_temp!AZ35,0)))</f>
        <v>0</v>
      </c>
      <c r="AB42" s="226">
        <f t="shared" si="10"/>
        <v>52300</v>
      </c>
      <c r="AD42" s="223" t="s">
        <v>460</v>
      </c>
      <c r="AE42" s="234">
        <f t="shared" si="7"/>
        <v>0.56357552581261949</v>
      </c>
      <c r="AF42" s="234">
        <f t="shared" si="8"/>
        <v>1.9120458891013385E-2</v>
      </c>
      <c r="AG42" s="234">
        <f t="shared" si="8"/>
        <v>7.839388145315488E-3</v>
      </c>
      <c r="AH42" s="234">
        <f t="shared" si="8"/>
        <v>5.8317399617590819E-3</v>
      </c>
      <c r="AI42" s="234">
        <f t="shared" si="8"/>
        <v>1.6539196940726579E-2</v>
      </c>
      <c r="AJ42" s="234">
        <f t="shared" si="8"/>
        <v>3.3365200764818359E-2</v>
      </c>
      <c r="AK42" s="233">
        <f t="shared" si="8"/>
        <v>0.24923518164435945</v>
      </c>
      <c r="AL42" s="234">
        <f t="shared" si="8"/>
        <v>8.6902485659655831E-2</v>
      </c>
      <c r="AM42" s="234">
        <f t="shared" si="8"/>
        <v>0</v>
      </c>
      <c r="AN42" s="234">
        <f t="shared" si="8"/>
        <v>1.9120458891013384E-4</v>
      </c>
      <c r="AO42" s="234">
        <f t="shared" si="8"/>
        <v>0</v>
      </c>
      <c r="AP42" s="234">
        <f t="shared" si="8"/>
        <v>4.7801147227533459E-4</v>
      </c>
      <c r="AQ42" s="234">
        <f t="shared" si="8"/>
        <v>5.7361376673040155E-4</v>
      </c>
      <c r="AR42" s="234">
        <f t="shared" si="8"/>
        <v>1.5869980879541109E-2</v>
      </c>
      <c r="AS42" s="234">
        <f t="shared" si="8"/>
        <v>2.8680688336520078E-4</v>
      </c>
      <c r="AT42" s="234">
        <f t="shared" si="8"/>
        <v>0</v>
      </c>
      <c r="AU42" s="234">
        <f t="shared" si="8"/>
        <v>0</v>
      </c>
      <c r="AV42" s="234">
        <f t="shared" si="9"/>
        <v>9.5602294455066921E-5</v>
      </c>
      <c r="AW42" s="234">
        <f t="shared" si="9"/>
        <v>0</v>
      </c>
      <c r="AX42" s="234">
        <f t="shared" si="9"/>
        <v>0</v>
      </c>
      <c r="AY42" s="234">
        <f t="shared" si="9"/>
        <v>9.5602294455066921E-5</v>
      </c>
      <c r="AZ42" s="234">
        <f t="shared" si="9"/>
        <v>0</v>
      </c>
      <c r="BA42" s="234">
        <f t="shared" si="9"/>
        <v>0</v>
      </c>
      <c r="BB42" s="234">
        <f t="shared" si="9"/>
        <v>0</v>
      </c>
      <c r="BC42" s="234">
        <f t="shared" si="9"/>
        <v>0</v>
      </c>
      <c r="BD42" s="237">
        <f t="shared" si="11"/>
        <v>0.99999999999999989</v>
      </c>
    </row>
    <row r="43" spans="2:56" x14ac:dyDescent="0.25">
      <c r="B43" s="223" t="s">
        <v>49</v>
      </c>
      <c r="C43" s="225">
        <f>Index!$B$2*IF(AND($D$3,$F$3),SXS_Transit_temp!AB10+SXS_Transit_temp!AB36,IF(AND($D$3,NOT($F$3)), SXS_Transit_temp!AB10,IF(AND(NOT($D$3),$F$3), SXS_Transit_temp!AB36,0)))</f>
        <v>71670</v>
      </c>
      <c r="D43" s="225">
        <f>Index!$B$2*IF(AND($D$3,$F$3),SXS_Transit_temp!AC10+SXS_Transit_temp!AC36,IF(AND($D$3,NOT($F$3)), SXS_Transit_temp!AC10,IF(AND(NOT($D$3),$F$3), SXS_Transit_temp!AC36,0)))</f>
        <v>2790</v>
      </c>
      <c r="E43" s="225">
        <f>Index!$B$2*IF(AND($D$3,$F$3),SXS_Transit_temp!AD10+SXS_Transit_temp!AD36,IF(AND($D$3,NOT($F$3)), SXS_Transit_temp!AD10,IF(AND(NOT($D$3),$F$3), SXS_Transit_temp!AD36,0)))</f>
        <v>965</v>
      </c>
      <c r="F43" s="225">
        <f>Index!$B$2*IF(AND($D$3,$F$3),SXS_Transit_temp!AE10+SXS_Transit_temp!AE36,IF(AND($D$3,NOT($F$3)), SXS_Transit_temp!AE10,IF(AND(NOT($D$3),$F$3), SXS_Transit_temp!AE36,0)))</f>
        <v>460</v>
      </c>
      <c r="G43" s="225">
        <f>Index!$B$2*IF(AND($D$3,$F$3),SXS_Transit_temp!AF10+SXS_Transit_temp!AF36,IF(AND($D$3,NOT($F$3)), SXS_Transit_temp!AF10,IF(AND(NOT($D$3),$F$3), SXS_Transit_temp!AF36,0)))</f>
        <v>940</v>
      </c>
      <c r="H43" s="225">
        <f>Index!$B$2*IF(AND($D$3,$F$3),SXS_Transit_temp!AG10+SXS_Transit_temp!AG36,IF(AND($D$3,NOT($F$3)), SXS_Transit_temp!AG10,IF(AND(NOT($D$3),$F$3), SXS_Transit_temp!AG36,0)))</f>
        <v>1005</v>
      </c>
      <c r="I43" s="225">
        <f>Index!$B$2*IF(AND($D$3,$F$3),SXS_Transit_temp!AH10+SXS_Transit_temp!AH36,IF(AND($D$3,NOT($F$3)), SXS_Transit_temp!AH10,IF(AND(NOT($D$3),$F$3), SXS_Transit_temp!AH36,0)))</f>
        <v>7275</v>
      </c>
      <c r="J43" s="224">
        <f>Index!$B$2*IF(AND($D$3,$F$3),SXS_Transit_temp!AI10+SXS_Transit_temp!AI36,IF(AND($D$3,NOT($F$3)), SXS_Transit_temp!AI10,IF(AND(NOT($D$3),$F$3), SXS_Transit_temp!AI36,0)))</f>
        <v>31520</v>
      </c>
      <c r="K43" s="225">
        <f>Index!$B$2*IF(AND($D$3,$F$3),SXS_Transit_temp!AJ10+SXS_Transit_temp!AJ36,IF(AND($D$3,NOT($F$3)), SXS_Transit_temp!AJ10,IF(AND(NOT($D$3),$F$3), SXS_Transit_temp!AJ36,0)))</f>
        <v>20</v>
      </c>
      <c r="L43" s="225">
        <f>Index!$B$2*IF(AND($D$3,$F$3),SXS_Transit_temp!AK10+SXS_Transit_temp!AK36,IF(AND($D$3,NOT($F$3)), SXS_Transit_temp!AK10,IF(AND(NOT($D$3),$F$3), SXS_Transit_temp!AK36,0)))</f>
        <v>15</v>
      </c>
      <c r="M43" s="225">
        <f>Index!$B$2*IF(AND($D$3,$F$3),SXS_Transit_temp!AL10+SXS_Transit_temp!AL36,IF(AND($D$3,NOT($F$3)), SXS_Transit_temp!AL10,IF(AND(NOT($D$3),$F$3), SXS_Transit_temp!AL36,0)))</f>
        <v>0</v>
      </c>
      <c r="N43" s="225">
        <f>Index!$B$2*IF(AND($D$3,$F$3),SXS_Transit_temp!AM10+SXS_Transit_temp!AM36,IF(AND($D$3,NOT($F$3)), SXS_Transit_temp!AM10,IF(AND(NOT($D$3),$F$3), SXS_Transit_temp!AM36,0)))</f>
        <v>50</v>
      </c>
      <c r="O43" s="225">
        <f>Index!$B$2*IF(AND($D$3,$F$3),SXS_Transit_temp!AN10+SXS_Transit_temp!AN36,IF(AND($D$3,NOT($F$3)), SXS_Transit_temp!AN10,IF(AND(NOT($D$3),$F$3), SXS_Transit_temp!AN36,0)))</f>
        <v>20</v>
      </c>
      <c r="P43" s="225">
        <f>Index!$B$2*IF(AND($D$3,$F$3),SXS_Transit_temp!AO10+SXS_Transit_temp!AO36,IF(AND($D$3,NOT($F$3)), SXS_Transit_temp!AO10,IF(AND(NOT($D$3),$F$3), SXS_Transit_temp!AO36,0)))</f>
        <v>770</v>
      </c>
      <c r="Q43" s="225">
        <f>Index!$B$2*IF(AND($D$3,$F$3),SXS_Transit_temp!AP10+SXS_Transit_temp!AP36,IF(AND($D$3,NOT($F$3)), SXS_Transit_temp!AP10,IF(AND(NOT($D$3),$F$3), SXS_Transit_temp!AP36,0)))</f>
        <v>270</v>
      </c>
      <c r="R43" s="225">
        <f>Index!$B$2*IF(AND($D$3,$F$3),SXS_Transit_temp!AQ10+SXS_Transit_temp!AQ36,IF(AND($D$3,NOT($F$3)), SXS_Transit_temp!AQ10,IF(AND(NOT($D$3),$F$3), SXS_Transit_temp!AQ36,0)))</f>
        <v>0</v>
      </c>
      <c r="S43" s="225">
        <f>Index!$B$2*IF(AND($D$3,$F$3),SXS_Transit_temp!AR10+SXS_Transit_temp!AR36,IF(AND($D$3,NOT($F$3)), SXS_Transit_temp!AR10,IF(AND(NOT($D$3),$F$3), SXS_Transit_temp!AR36,0)))</f>
        <v>0</v>
      </c>
      <c r="T43" s="225">
        <f>Index!$B$2*IF(AND($D$3,$F$3),SXS_Transit_temp!AS10+SXS_Transit_temp!AS36,IF(AND($D$3,NOT($F$3)), SXS_Transit_temp!AS10,IF(AND(NOT($D$3),$F$3), SXS_Transit_temp!AS36,0)))</f>
        <v>135</v>
      </c>
      <c r="U43" s="225">
        <f>Index!$B$2*IF(AND($D$3,$F$3),SXS_Transit_temp!AT10+SXS_Transit_temp!AT36,IF(AND($D$3,NOT($F$3)), SXS_Transit_temp!AT10,IF(AND(NOT($D$3),$F$3), SXS_Transit_temp!AT36,0)))</f>
        <v>0</v>
      </c>
      <c r="V43" s="225">
        <f>Index!$B$2*IF(AND($D$3,$F$3),SXS_Transit_temp!AU10+SXS_Transit_temp!AU36,IF(AND($D$3,NOT($F$3)), SXS_Transit_temp!AU10,IF(AND(NOT($D$3),$F$3), SXS_Transit_temp!AU36,0)))</f>
        <v>0</v>
      </c>
      <c r="W43" s="225">
        <f>Index!$B$2*IF(AND($D$3,$F$3),SXS_Transit_temp!AV10+SXS_Transit_temp!AV36,IF(AND($D$3,NOT($F$3)), SXS_Transit_temp!AV10,IF(AND(NOT($D$3),$F$3), SXS_Transit_temp!AV36,0)))</f>
        <v>0</v>
      </c>
      <c r="X43" s="225">
        <f>Index!$B$2*IF(AND($D$3,$F$3),SXS_Transit_temp!AW10+SXS_Transit_temp!AW36,IF(AND($D$3,NOT($F$3)), SXS_Transit_temp!AW10,IF(AND(NOT($D$3),$F$3), SXS_Transit_temp!AW36,0)))</f>
        <v>0</v>
      </c>
      <c r="Y43" s="225">
        <f>Index!$B$2*IF(AND($D$3,$F$3),SXS_Transit_temp!AX10+SXS_Transit_temp!AX36,IF(AND($D$3,NOT($F$3)), SXS_Transit_temp!AX10,IF(AND(NOT($D$3),$F$3), SXS_Transit_temp!AX36,0)))</f>
        <v>0</v>
      </c>
      <c r="Z43" s="225">
        <f>Index!$B$2*IF(AND($D$3,$F$3),SXS_Transit_temp!AY10+SXS_Transit_temp!AY36,IF(AND($D$3,NOT($F$3)), SXS_Transit_temp!AY10,IF(AND(NOT($D$3),$F$3), SXS_Transit_temp!AY36,0)))</f>
        <v>5</v>
      </c>
      <c r="AA43" s="225">
        <f>Index!$B$2*IF(AND($D$3,$F$3),SXS_Transit_temp!AZ10+SXS_Transit_temp!AZ36,IF(AND($D$3,NOT($F$3)), SXS_Transit_temp!AZ10,IF(AND(NOT($D$3),$F$3), SXS_Transit_temp!AZ36,0)))</f>
        <v>25</v>
      </c>
      <c r="AB43" s="226">
        <f t="shared" si="10"/>
        <v>117935</v>
      </c>
      <c r="AD43" s="223" t="s">
        <v>49</v>
      </c>
      <c r="AE43" s="234">
        <f t="shared" si="7"/>
        <v>0.60770763556196206</v>
      </c>
      <c r="AF43" s="234">
        <f t="shared" si="8"/>
        <v>2.3657099249586637E-2</v>
      </c>
      <c r="AG43" s="234">
        <f t="shared" si="8"/>
        <v>8.1824733963624038E-3</v>
      </c>
      <c r="AH43" s="234">
        <f t="shared" si="8"/>
        <v>3.9004536397167933E-3</v>
      </c>
      <c r="AI43" s="234">
        <f t="shared" si="8"/>
        <v>7.9704922202908386E-3</v>
      </c>
      <c r="AJ43" s="234">
        <f t="shared" si="8"/>
        <v>8.5216432780769076E-3</v>
      </c>
      <c r="AK43" s="234">
        <f t="shared" si="8"/>
        <v>6.1686522236825372E-2</v>
      </c>
      <c r="AL43" s="233">
        <f t="shared" si="8"/>
        <v>0.26726586679102898</v>
      </c>
      <c r="AM43" s="234">
        <f t="shared" si="8"/>
        <v>1.6958494085725188E-4</v>
      </c>
      <c r="AN43" s="234">
        <f t="shared" si="8"/>
        <v>1.2718870564293891E-4</v>
      </c>
      <c r="AO43" s="234">
        <f t="shared" si="8"/>
        <v>0</v>
      </c>
      <c r="AP43" s="234">
        <f t="shared" si="8"/>
        <v>4.2396235214312971E-4</v>
      </c>
      <c r="AQ43" s="234">
        <f t="shared" si="8"/>
        <v>1.6958494085725188E-4</v>
      </c>
      <c r="AR43" s="234">
        <f t="shared" si="8"/>
        <v>6.5290202230041975E-3</v>
      </c>
      <c r="AS43" s="234">
        <f t="shared" si="8"/>
        <v>2.2893967015729004E-3</v>
      </c>
      <c r="AT43" s="234">
        <f t="shared" si="8"/>
        <v>0</v>
      </c>
      <c r="AU43" s="234">
        <f t="shared" si="8"/>
        <v>0</v>
      </c>
      <c r="AV43" s="234">
        <f t="shared" si="9"/>
        <v>1.1446983507864502E-3</v>
      </c>
      <c r="AW43" s="234">
        <f t="shared" si="9"/>
        <v>0</v>
      </c>
      <c r="AX43" s="234">
        <f t="shared" si="9"/>
        <v>0</v>
      </c>
      <c r="AY43" s="234">
        <f t="shared" si="9"/>
        <v>0</v>
      </c>
      <c r="AZ43" s="234">
        <f t="shared" si="9"/>
        <v>0</v>
      </c>
      <c r="BA43" s="234">
        <f t="shared" si="9"/>
        <v>0</v>
      </c>
      <c r="BB43" s="234">
        <f t="shared" si="9"/>
        <v>4.2396235214312971E-5</v>
      </c>
      <c r="BC43" s="234">
        <f t="shared" si="9"/>
        <v>2.1198117607156486E-4</v>
      </c>
      <c r="BD43" s="237">
        <f t="shared" si="11"/>
        <v>1</v>
      </c>
    </row>
    <row r="44" spans="2:56" x14ac:dyDescent="0.25">
      <c r="B44" s="223" t="s">
        <v>461</v>
      </c>
      <c r="C44" s="225">
        <f>Index!$B$2*IF(AND($D$3,$F$3),SXS_Transit_temp!AB11+SXS_Transit_temp!AB37,IF(AND($D$3,NOT($F$3)), SXS_Transit_temp!AB11,IF(AND(NOT($D$3),$F$3), SXS_Transit_temp!AB37,0)))</f>
        <v>2830</v>
      </c>
      <c r="D44" s="225">
        <f>Index!$B$2*IF(AND($D$3,$F$3),SXS_Transit_temp!AC11+SXS_Transit_temp!AC37,IF(AND($D$3,NOT($F$3)), SXS_Transit_temp!AC11,IF(AND(NOT($D$3),$F$3), SXS_Transit_temp!AC37,0)))</f>
        <v>1015</v>
      </c>
      <c r="E44" s="225">
        <f>Index!$B$2*IF(AND($D$3,$F$3),SXS_Transit_temp!AD11+SXS_Transit_temp!AD37,IF(AND($D$3,NOT($F$3)), SXS_Transit_temp!AD11,IF(AND(NOT($D$3),$F$3), SXS_Transit_temp!AD37,0)))</f>
        <v>220</v>
      </c>
      <c r="F44" s="225">
        <f>Index!$B$2*IF(AND($D$3,$F$3),SXS_Transit_temp!AE11+SXS_Transit_temp!AE37,IF(AND($D$3,NOT($F$3)), SXS_Transit_temp!AE11,IF(AND(NOT($D$3),$F$3), SXS_Transit_temp!AE37,0)))</f>
        <v>30</v>
      </c>
      <c r="G44" s="225">
        <f>Index!$B$2*IF(AND($D$3,$F$3),SXS_Transit_temp!AF11+SXS_Transit_temp!AF37,IF(AND($D$3,NOT($F$3)), SXS_Transit_temp!AF11,IF(AND(NOT($D$3),$F$3), SXS_Transit_temp!AF37,0)))</f>
        <v>55</v>
      </c>
      <c r="H44" s="225">
        <f>Index!$B$2*IF(AND($D$3,$F$3),SXS_Transit_temp!AG11+SXS_Transit_temp!AG37,IF(AND($D$3,NOT($F$3)), SXS_Transit_temp!AG11,IF(AND(NOT($D$3),$F$3), SXS_Transit_temp!AG37,0)))</f>
        <v>5</v>
      </c>
      <c r="I44" s="225">
        <f>Index!$B$2*IF(AND($D$3,$F$3),SXS_Transit_temp!AH11+SXS_Transit_temp!AH37,IF(AND($D$3,NOT($F$3)), SXS_Transit_temp!AH11,IF(AND(NOT($D$3),$F$3), SXS_Transit_temp!AH37,0)))</f>
        <v>5</v>
      </c>
      <c r="J44" s="225">
        <f>Index!$B$2*IF(AND($D$3,$F$3),SXS_Transit_temp!AI11+SXS_Transit_temp!AI37,IF(AND($D$3,NOT($F$3)), SXS_Transit_temp!AI11,IF(AND(NOT($D$3),$F$3), SXS_Transit_temp!AI37,0)))</f>
        <v>40</v>
      </c>
      <c r="K44" s="224">
        <f>Index!$B$2*IF(AND($D$3,$F$3),SXS_Transit_temp!AJ11+SXS_Transit_temp!AJ37,IF(AND($D$3,NOT($F$3)), SXS_Transit_temp!AJ11,IF(AND(NOT($D$3),$F$3), SXS_Transit_temp!AJ37,0)))</f>
        <v>955</v>
      </c>
      <c r="L44" s="225">
        <f>Index!$B$2*IF(AND($D$3,$F$3),SXS_Transit_temp!AK11+SXS_Transit_temp!AK37,IF(AND($D$3,NOT($F$3)), SXS_Transit_temp!AK11,IF(AND(NOT($D$3),$F$3), SXS_Transit_temp!AK37,0)))</f>
        <v>45</v>
      </c>
      <c r="M44" s="225">
        <f>Index!$B$2*IF(AND($D$3,$F$3),SXS_Transit_temp!AL11+SXS_Transit_temp!AL37,IF(AND($D$3,NOT($F$3)), SXS_Transit_temp!AL11,IF(AND(NOT($D$3),$F$3), SXS_Transit_temp!AL37,0)))</f>
        <v>0</v>
      </c>
      <c r="N44" s="225">
        <f>Index!$B$2*IF(AND($D$3,$F$3),SXS_Transit_temp!AM11+SXS_Transit_temp!AM37,IF(AND($D$3,NOT($F$3)), SXS_Transit_temp!AM11,IF(AND(NOT($D$3),$F$3), SXS_Transit_temp!AM37,0)))</f>
        <v>0</v>
      </c>
      <c r="O44" s="225">
        <f>Index!$B$2*IF(AND($D$3,$F$3),SXS_Transit_temp!AN11+SXS_Transit_temp!AN37,IF(AND($D$3,NOT($F$3)), SXS_Transit_temp!AN11,IF(AND(NOT($D$3),$F$3), SXS_Transit_temp!AN37,0)))</f>
        <v>0</v>
      </c>
      <c r="P44" s="225">
        <f>Index!$B$2*IF(AND($D$3,$F$3),SXS_Transit_temp!AO11+SXS_Transit_temp!AO37,IF(AND($D$3,NOT($F$3)), SXS_Transit_temp!AO11,IF(AND(NOT($D$3),$F$3), SXS_Transit_temp!AO37,0)))</f>
        <v>0</v>
      </c>
      <c r="Q44" s="225">
        <f>Index!$B$2*IF(AND($D$3,$F$3),SXS_Transit_temp!AP11+SXS_Transit_temp!AP37,IF(AND($D$3,NOT($F$3)), SXS_Transit_temp!AP11,IF(AND(NOT($D$3),$F$3), SXS_Transit_temp!AP37,0)))</f>
        <v>0</v>
      </c>
      <c r="R44" s="225">
        <f>Index!$B$2*IF(AND($D$3,$F$3),SXS_Transit_temp!AQ11+SXS_Transit_temp!AQ37,IF(AND($D$3,NOT($F$3)), SXS_Transit_temp!AQ11,IF(AND(NOT($D$3),$F$3), SXS_Transit_temp!AQ37,0)))</f>
        <v>0</v>
      </c>
      <c r="S44" s="225">
        <f>Index!$B$2*IF(AND($D$3,$F$3),SXS_Transit_temp!AR11+SXS_Transit_temp!AR37,IF(AND($D$3,NOT($F$3)), SXS_Transit_temp!AR11,IF(AND(NOT($D$3),$F$3), SXS_Transit_temp!AR37,0)))</f>
        <v>0</v>
      </c>
      <c r="T44" s="225">
        <f>Index!$B$2*IF(AND($D$3,$F$3),SXS_Transit_temp!AS11+SXS_Transit_temp!AS37,IF(AND($D$3,NOT($F$3)), SXS_Transit_temp!AS11,IF(AND(NOT($D$3),$F$3), SXS_Transit_temp!AS37,0)))</f>
        <v>0</v>
      </c>
      <c r="U44" s="225">
        <f>Index!$B$2*IF(AND($D$3,$F$3),SXS_Transit_temp!AT11+SXS_Transit_temp!AT37,IF(AND($D$3,NOT($F$3)), SXS_Transit_temp!AT11,IF(AND(NOT($D$3),$F$3), SXS_Transit_temp!AT37,0)))</f>
        <v>0</v>
      </c>
      <c r="V44" s="225">
        <f>Index!$B$2*IF(AND($D$3,$F$3),SXS_Transit_temp!AU11+SXS_Transit_temp!AU37,IF(AND($D$3,NOT($F$3)), SXS_Transit_temp!AU11,IF(AND(NOT($D$3),$F$3), SXS_Transit_temp!AU37,0)))</f>
        <v>70</v>
      </c>
      <c r="W44" s="225">
        <f>Index!$B$2*IF(AND($D$3,$F$3),SXS_Transit_temp!AV11+SXS_Transit_temp!AV37,IF(AND($D$3,NOT($F$3)), SXS_Transit_temp!AV11,IF(AND(NOT($D$3),$F$3), SXS_Transit_temp!AV37,0)))</f>
        <v>160</v>
      </c>
      <c r="X44" s="225">
        <f>Index!$B$2*IF(AND($D$3,$F$3),SXS_Transit_temp!AW11+SXS_Transit_temp!AW37,IF(AND($D$3,NOT($F$3)), SXS_Transit_temp!AW11,IF(AND(NOT($D$3),$F$3), SXS_Transit_temp!AW37,0)))</f>
        <v>0</v>
      </c>
      <c r="Y44" s="225">
        <f>Index!$B$2*IF(AND($D$3,$F$3),SXS_Transit_temp!AX11+SXS_Transit_temp!AX37,IF(AND($D$3,NOT($F$3)), SXS_Transit_temp!AX11,IF(AND(NOT($D$3),$F$3), SXS_Transit_temp!AX37,0)))</f>
        <v>0</v>
      </c>
      <c r="Z44" s="225">
        <f>Index!$B$2*IF(AND($D$3,$F$3),SXS_Transit_temp!AY11+SXS_Transit_temp!AY37,IF(AND($D$3,NOT($F$3)), SXS_Transit_temp!AY11,IF(AND(NOT($D$3),$F$3), SXS_Transit_temp!AY37,0)))</f>
        <v>0</v>
      </c>
      <c r="AA44" s="225">
        <f>Index!$B$2*IF(AND($D$3,$F$3),SXS_Transit_temp!AZ11+SXS_Transit_temp!AZ37,IF(AND($D$3,NOT($F$3)), SXS_Transit_temp!AZ11,IF(AND(NOT($D$3),$F$3), SXS_Transit_temp!AZ37,0)))</f>
        <v>0</v>
      </c>
      <c r="AB44" s="226">
        <f t="shared" si="10"/>
        <v>5430</v>
      </c>
      <c r="AD44" s="223" t="s">
        <v>461</v>
      </c>
      <c r="AE44" s="234">
        <f t="shared" si="7"/>
        <v>0.52117863720073665</v>
      </c>
      <c r="AF44" s="234">
        <f t="shared" si="8"/>
        <v>0.1869244935543278</v>
      </c>
      <c r="AG44" s="234">
        <f t="shared" si="8"/>
        <v>4.0515653775322284E-2</v>
      </c>
      <c r="AH44" s="234">
        <f t="shared" si="8"/>
        <v>5.5248618784530384E-3</v>
      </c>
      <c r="AI44" s="234">
        <f t="shared" si="8"/>
        <v>1.0128913443830571E-2</v>
      </c>
      <c r="AJ44" s="234">
        <f t="shared" si="8"/>
        <v>9.2081031307550648E-4</v>
      </c>
      <c r="AK44" s="234">
        <f t="shared" si="8"/>
        <v>9.2081031307550648E-4</v>
      </c>
      <c r="AL44" s="234">
        <f t="shared" si="8"/>
        <v>7.3664825046040518E-3</v>
      </c>
      <c r="AM44" s="233">
        <f t="shared" si="8"/>
        <v>0.17587476979742173</v>
      </c>
      <c r="AN44" s="234">
        <f t="shared" si="8"/>
        <v>8.2872928176795577E-3</v>
      </c>
      <c r="AO44" s="234">
        <f t="shared" si="8"/>
        <v>0</v>
      </c>
      <c r="AP44" s="234">
        <f t="shared" si="8"/>
        <v>0</v>
      </c>
      <c r="AQ44" s="234">
        <f t="shared" si="8"/>
        <v>0</v>
      </c>
      <c r="AR44" s="234">
        <f t="shared" si="8"/>
        <v>0</v>
      </c>
      <c r="AS44" s="234">
        <f t="shared" si="8"/>
        <v>0</v>
      </c>
      <c r="AT44" s="234">
        <f t="shared" si="8"/>
        <v>0</v>
      </c>
      <c r="AU44" s="234">
        <f t="shared" si="8"/>
        <v>0</v>
      </c>
      <c r="AV44" s="234">
        <f t="shared" si="9"/>
        <v>0</v>
      </c>
      <c r="AW44" s="234">
        <f t="shared" si="9"/>
        <v>0</v>
      </c>
      <c r="AX44" s="234">
        <f t="shared" si="9"/>
        <v>1.289134438305709E-2</v>
      </c>
      <c r="AY44" s="234">
        <f t="shared" si="9"/>
        <v>2.9465930018416207E-2</v>
      </c>
      <c r="AZ44" s="234">
        <f t="shared" si="9"/>
        <v>0</v>
      </c>
      <c r="BA44" s="234">
        <f t="shared" si="9"/>
        <v>0</v>
      </c>
      <c r="BB44" s="234">
        <f t="shared" si="9"/>
        <v>0</v>
      </c>
      <c r="BC44" s="234">
        <f t="shared" si="9"/>
        <v>0</v>
      </c>
      <c r="BD44" s="237">
        <f t="shared" si="11"/>
        <v>1.0000000000000002</v>
      </c>
    </row>
    <row r="45" spans="2:56" x14ac:dyDescent="0.25">
      <c r="B45" s="223" t="s">
        <v>462</v>
      </c>
      <c r="C45" s="225">
        <f>Index!$B$2*IF(AND($D$3,$F$3),SXS_Transit_temp!AB12+SXS_Transit_temp!AB38,IF(AND($D$3,NOT($F$3)), SXS_Transit_temp!AB12,IF(AND(NOT($D$3),$F$3), SXS_Transit_temp!AB38,0)))</f>
        <v>2220</v>
      </c>
      <c r="D45" s="225">
        <f>Index!$B$2*IF(AND($D$3,$F$3),SXS_Transit_temp!AC12+SXS_Transit_temp!AC38,IF(AND($D$3,NOT($F$3)), SXS_Transit_temp!AC12,IF(AND(NOT($D$3),$F$3), SXS_Transit_temp!AC38,0)))</f>
        <v>155</v>
      </c>
      <c r="E45" s="225">
        <f>Index!$B$2*IF(AND($D$3,$F$3),SXS_Transit_temp!AD12+SXS_Transit_temp!AD38,IF(AND($D$3,NOT($F$3)), SXS_Transit_temp!AD12,IF(AND(NOT($D$3),$F$3), SXS_Transit_temp!AD38,0)))</f>
        <v>680</v>
      </c>
      <c r="F45" s="225">
        <f>Index!$B$2*IF(AND($D$3,$F$3),SXS_Transit_temp!AE12+SXS_Transit_temp!AE38,IF(AND($D$3,NOT($F$3)), SXS_Transit_temp!AE12,IF(AND(NOT($D$3),$F$3), SXS_Transit_temp!AE38,0)))</f>
        <v>35</v>
      </c>
      <c r="G45" s="225">
        <f>Index!$B$2*IF(AND($D$3,$F$3),SXS_Transit_temp!AF12+SXS_Transit_temp!AF38,IF(AND($D$3,NOT($F$3)), SXS_Transit_temp!AF12,IF(AND(NOT($D$3),$F$3), SXS_Transit_temp!AF38,0)))</f>
        <v>15</v>
      </c>
      <c r="H45" s="225">
        <f>Index!$B$2*IF(AND($D$3,$F$3),SXS_Transit_temp!AG12+SXS_Transit_temp!AG38,IF(AND($D$3,NOT($F$3)), SXS_Transit_temp!AG12,IF(AND(NOT($D$3),$F$3), SXS_Transit_temp!AG38,0)))</f>
        <v>25</v>
      </c>
      <c r="I45" s="225">
        <f>Index!$B$2*IF(AND($D$3,$F$3),SXS_Transit_temp!AH12+SXS_Transit_temp!AH38,IF(AND($D$3,NOT($F$3)), SXS_Transit_temp!AH12,IF(AND(NOT($D$3),$F$3), SXS_Transit_temp!AH38,0)))</f>
        <v>0</v>
      </c>
      <c r="J45" s="225">
        <f>Index!$B$2*IF(AND($D$3,$F$3),SXS_Transit_temp!AI12+SXS_Transit_temp!AI38,IF(AND($D$3,NOT($F$3)), SXS_Transit_temp!AI12,IF(AND(NOT($D$3),$F$3), SXS_Transit_temp!AI38,0)))</f>
        <v>20</v>
      </c>
      <c r="K45" s="225">
        <f>Index!$B$2*IF(AND($D$3,$F$3),SXS_Transit_temp!AJ12+SXS_Transit_temp!AJ38,IF(AND($D$3,NOT($F$3)), SXS_Transit_temp!AJ12,IF(AND(NOT($D$3),$F$3), SXS_Transit_temp!AJ38,0)))</f>
        <v>65</v>
      </c>
      <c r="L45" s="224">
        <f>Index!$B$2*IF(AND($D$3,$F$3),SXS_Transit_temp!AK12+SXS_Transit_temp!AK38,IF(AND($D$3,NOT($F$3)), SXS_Transit_temp!AK12,IF(AND(NOT($D$3),$F$3), SXS_Transit_temp!AK38,0)))</f>
        <v>1175</v>
      </c>
      <c r="M45" s="225">
        <f>Index!$B$2*IF(AND($D$3,$F$3),SXS_Transit_temp!AL12+SXS_Transit_temp!AL38,IF(AND($D$3,NOT($F$3)), SXS_Transit_temp!AL12,IF(AND(NOT($D$3),$F$3), SXS_Transit_temp!AL38,0)))</f>
        <v>340</v>
      </c>
      <c r="N45" s="225">
        <f>Index!$B$2*IF(AND($D$3,$F$3),SXS_Transit_temp!AM12+SXS_Transit_temp!AM38,IF(AND($D$3,NOT($F$3)), SXS_Transit_temp!AM12,IF(AND(NOT($D$3),$F$3), SXS_Transit_temp!AM38,0)))</f>
        <v>5</v>
      </c>
      <c r="O45" s="225">
        <f>Index!$B$2*IF(AND($D$3,$F$3),SXS_Transit_temp!AN12+SXS_Transit_temp!AN38,IF(AND($D$3,NOT($F$3)), SXS_Transit_temp!AN12,IF(AND(NOT($D$3),$F$3), SXS_Transit_temp!AN38,0)))</f>
        <v>0</v>
      </c>
      <c r="P45" s="225">
        <f>Index!$B$2*IF(AND($D$3,$F$3),SXS_Transit_temp!AO12+SXS_Transit_temp!AO38,IF(AND($D$3,NOT($F$3)), SXS_Transit_temp!AO12,IF(AND(NOT($D$3),$F$3), SXS_Transit_temp!AO38,0)))</f>
        <v>0</v>
      </c>
      <c r="Q45" s="225">
        <f>Index!$B$2*IF(AND($D$3,$F$3),SXS_Transit_temp!AP12+SXS_Transit_temp!AP38,IF(AND($D$3,NOT($F$3)), SXS_Transit_temp!AP12,IF(AND(NOT($D$3),$F$3), SXS_Transit_temp!AP38,0)))</f>
        <v>0</v>
      </c>
      <c r="R45" s="225">
        <f>Index!$B$2*IF(AND($D$3,$F$3),SXS_Transit_temp!AQ12+SXS_Transit_temp!AQ38,IF(AND($D$3,NOT($F$3)), SXS_Transit_temp!AQ12,IF(AND(NOT($D$3),$F$3), SXS_Transit_temp!AQ38,0)))</f>
        <v>0</v>
      </c>
      <c r="S45" s="225">
        <f>Index!$B$2*IF(AND($D$3,$F$3),SXS_Transit_temp!AR12+SXS_Transit_temp!AR38,IF(AND($D$3,NOT($F$3)), SXS_Transit_temp!AR12,IF(AND(NOT($D$3),$F$3), SXS_Transit_temp!AR38,0)))</f>
        <v>0</v>
      </c>
      <c r="T45" s="225">
        <f>Index!$B$2*IF(AND($D$3,$F$3),SXS_Transit_temp!AS12+SXS_Transit_temp!AS38,IF(AND($D$3,NOT($F$3)), SXS_Transit_temp!AS12,IF(AND(NOT($D$3),$F$3), SXS_Transit_temp!AS38,0)))</f>
        <v>0</v>
      </c>
      <c r="U45" s="225">
        <f>Index!$B$2*IF(AND($D$3,$F$3),SXS_Transit_temp!AT12+SXS_Transit_temp!AT38,IF(AND($D$3,NOT($F$3)), SXS_Transit_temp!AT12,IF(AND(NOT($D$3),$F$3), SXS_Transit_temp!AT38,0)))</f>
        <v>0</v>
      </c>
      <c r="V45" s="225">
        <f>Index!$B$2*IF(AND($D$3,$F$3),SXS_Transit_temp!AU12+SXS_Transit_temp!AU38,IF(AND($D$3,NOT($F$3)), SXS_Transit_temp!AU12,IF(AND(NOT($D$3),$F$3), SXS_Transit_temp!AU38,0)))</f>
        <v>125</v>
      </c>
      <c r="W45" s="225">
        <f>Index!$B$2*IF(AND($D$3,$F$3),SXS_Transit_temp!AV12+SXS_Transit_temp!AV38,IF(AND($D$3,NOT($F$3)), SXS_Transit_temp!AV12,IF(AND(NOT($D$3),$F$3), SXS_Transit_temp!AV38,0)))</f>
        <v>55</v>
      </c>
      <c r="X45" s="225">
        <f>Index!$B$2*IF(AND($D$3,$F$3),SXS_Transit_temp!AW12+SXS_Transit_temp!AW38,IF(AND($D$3,NOT($F$3)), SXS_Transit_temp!AW12,IF(AND(NOT($D$3),$F$3), SXS_Transit_temp!AW38,0)))</f>
        <v>0</v>
      </c>
      <c r="Y45" s="225">
        <f>Index!$B$2*IF(AND($D$3,$F$3),SXS_Transit_temp!AX12+SXS_Transit_temp!AX38,IF(AND($D$3,NOT($F$3)), SXS_Transit_temp!AX12,IF(AND(NOT($D$3),$F$3), SXS_Transit_temp!AX38,0)))</f>
        <v>0</v>
      </c>
      <c r="Z45" s="225">
        <f>Index!$B$2*IF(AND($D$3,$F$3),SXS_Transit_temp!AY12+SXS_Transit_temp!AY38,IF(AND($D$3,NOT($F$3)), SXS_Transit_temp!AY12,IF(AND(NOT($D$3),$F$3), SXS_Transit_temp!AY38,0)))</f>
        <v>0</v>
      </c>
      <c r="AA45" s="225">
        <f>Index!$B$2*IF(AND($D$3,$F$3),SXS_Transit_temp!AZ12+SXS_Transit_temp!AZ38,IF(AND($D$3,NOT($F$3)), SXS_Transit_temp!AZ12,IF(AND(NOT($D$3),$F$3), SXS_Transit_temp!AZ38,0)))</f>
        <v>0</v>
      </c>
      <c r="AB45" s="226">
        <f t="shared" si="10"/>
        <v>4915</v>
      </c>
      <c r="AD45" s="223" t="s">
        <v>462</v>
      </c>
      <c r="AE45" s="234">
        <f t="shared" si="7"/>
        <v>0.45167853509664291</v>
      </c>
      <c r="AF45" s="234">
        <f t="shared" si="8"/>
        <v>3.1536113936927769E-2</v>
      </c>
      <c r="AG45" s="234">
        <f t="shared" si="8"/>
        <v>0.13835198372329605</v>
      </c>
      <c r="AH45" s="234">
        <f t="shared" si="8"/>
        <v>7.1210579857578843E-3</v>
      </c>
      <c r="AI45" s="234">
        <f t="shared" si="8"/>
        <v>3.0518819938962359E-3</v>
      </c>
      <c r="AJ45" s="234">
        <f t="shared" si="8"/>
        <v>5.0864699898270603E-3</v>
      </c>
      <c r="AK45" s="234">
        <f t="shared" si="8"/>
        <v>0</v>
      </c>
      <c r="AL45" s="234">
        <f t="shared" si="8"/>
        <v>4.0691759918616479E-3</v>
      </c>
      <c r="AM45" s="234">
        <f t="shared" si="8"/>
        <v>1.3224821973550356E-2</v>
      </c>
      <c r="AN45" s="233">
        <f t="shared" si="8"/>
        <v>0.23906408952187183</v>
      </c>
      <c r="AO45" s="234">
        <f t="shared" si="8"/>
        <v>6.9175991861648023E-2</v>
      </c>
      <c r="AP45" s="234">
        <f t="shared" si="8"/>
        <v>1.017293997965412E-3</v>
      </c>
      <c r="AQ45" s="234">
        <f t="shared" si="8"/>
        <v>0</v>
      </c>
      <c r="AR45" s="234">
        <f t="shared" si="8"/>
        <v>0</v>
      </c>
      <c r="AS45" s="234">
        <f t="shared" si="8"/>
        <v>0</v>
      </c>
      <c r="AT45" s="234">
        <f t="shared" si="8"/>
        <v>0</v>
      </c>
      <c r="AU45" s="234">
        <f t="shared" si="8"/>
        <v>0</v>
      </c>
      <c r="AV45" s="234">
        <f t="shared" si="9"/>
        <v>0</v>
      </c>
      <c r="AW45" s="234">
        <f t="shared" si="9"/>
        <v>0</v>
      </c>
      <c r="AX45" s="234">
        <f t="shared" si="9"/>
        <v>2.5432349949135302E-2</v>
      </c>
      <c r="AY45" s="234">
        <f t="shared" si="9"/>
        <v>1.1190233977619531E-2</v>
      </c>
      <c r="AZ45" s="234">
        <f t="shared" si="9"/>
        <v>0</v>
      </c>
      <c r="BA45" s="234">
        <f t="shared" si="9"/>
        <v>0</v>
      </c>
      <c r="BB45" s="234">
        <f t="shared" si="9"/>
        <v>0</v>
      </c>
      <c r="BC45" s="234">
        <f t="shared" si="9"/>
        <v>0</v>
      </c>
      <c r="BD45" s="237">
        <f t="shared" si="11"/>
        <v>1.0000000000000002</v>
      </c>
    </row>
    <row r="46" spans="2:56" x14ac:dyDescent="0.25">
      <c r="B46" s="223" t="s">
        <v>463</v>
      </c>
      <c r="C46" s="225">
        <f>Index!$B$2*IF(AND($D$3,$F$3),SXS_Transit_temp!AB13+SXS_Transit_temp!AB39,IF(AND($D$3,NOT($F$3)), SXS_Transit_temp!AB13,IF(AND(NOT($D$3),$F$3), SXS_Transit_temp!AB39,0)))</f>
        <v>2805</v>
      </c>
      <c r="D46" s="225">
        <f>Index!$B$2*IF(AND($D$3,$F$3),SXS_Transit_temp!AC13+SXS_Transit_temp!AC39,IF(AND($D$3,NOT($F$3)), SXS_Transit_temp!AC13,IF(AND(NOT($D$3),$F$3), SXS_Transit_temp!AC39,0)))</f>
        <v>70</v>
      </c>
      <c r="E46" s="225">
        <f>Index!$B$2*IF(AND($D$3,$F$3),SXS_Transit_temp!AD13+SXS_Transit_temp!AD39,IF(AND($D$3,NOT($F$3)), SXS_Transit_temp!AD13,IF(AND(NOT($D$3),$F$3), SXS_Transit_temp!AD39,0)))</f>
        <v>90</v>
      </c>
      <c r="F46" s="225">
        <f>Index!$B$2*IF(AND($D$3,$F$3),SXS_Transit_temp!AE13+SXS_Transit_temp!AE39,IF(AND($D$3,NOT($F$3)), SXS_Transit_temp!AE13,IF(AND(NOT($D$3),$F$3), SXS_Transit_temp!AE39,0)))</f>
        <v>70</v>
      </c>
      <c r="G46" s="225">
        <f>Index!$B$2*IF(AND($D$3,$F$3),SXS_Transit_temp!AF13+SXS_Transit_temp!AF39,IF(AND($D$3,NOT($F$3)), SXS_Transit_temp!AF13,IF(AND(NOT($D$3),$F$3), SXS_Transit_temp!AF39,0)))</f>
        <v>40</v>
      </c>
      <c r="H46" s="225">
        <f>Index!$B$2*IF(AND($D$3,$F$3),SXS_Transit_temp!AG13+SXS_Transit_temp!AG39,IF(AND($D$3,NOT($F$3)), SXS_Transit_temp!AG13,IF(AND(NOT($D$3),$F$3), SXS_Transit_temp!AG39,0)))</f>
        <v>5</v>
      </c>
      <c r="I46" s="225">
        <f>Index!$B$2*IF(AND($D$3,$F$3),SXS_Transit_temp!AH13+SXS_Transit_temp!AH39,IF(AND($D$3,NOT($F$3)), SXS_Transit_temp!AH13,IF(AND(NOT($D$3),$F$3), SXS_Transit_temp!AH39,0)))</f>
        <v>15</v>
      </c>
      <c r="J46" s="225">
        <f>Index!$B$2*IF(AND($D$3,$F$3),SXS_Transit_temp!AI13+SXS_Transit_temp!AI39,IF(AND($D$3,NOT($F$3)), SXS_Transit_temp!AI13,IF(AND(NOT($D$3),$F$3), SXS_Transit_temp!AI39,0)))</f>
        <v>60</v>
      </c>
      <c r="K46" s="225">
        <f>Index!$B$2*IF(AND($D$3,$F$3),SXS_Transit_temp!AJ13+SXS_Transit_temp!AJ39,IF(AND($D$3,NOT($F$3)), SXS_Transit_temp!AJ13,IF(AND(NOT($D$3),$F$3), SXS_Transit_temp!AJ39,0)))</f>
        <v>5</v>
      </c>
      <c r="L46" s="225">
        <f>Index!$B$2*IF(AND($D$3,$F$3),SXS_Transit_temp!AK13+SXS_Transit_temp!AK39,IF(AND($D$3,NOT($F$3)), SXS_Transit_temp!AK13,IF(AND(NOT($D$3),$F$3), SXS_Transit_temp!AK39,0)))</f>
        <v>250</v>
      </c>
      <c r="M46" s="224">
        <f>Index!$B$2*IF(AND($D$3,$F$3),SXS_Transit_temp!AL13+SXS_Transit_temp!AL39,IF(AND($D$3,NOT($F$3)), SXS_Transit_temp!AL13,IF(AND(NOT($D$3),$F$3), SXS_Transit_temp!AL39,0)))</f>
        <v>1010</v>
      </c>
      <c r="N46" s="225">
        <f>Index!$B$2*IF(AND($D$3,$F$3),SXS_Transit_temp!AM13+SXS_Transit_temp!AM39,IF(AND($D$3,NOT($F$3)), SXS_Transit_temp!AM13,IF(AND(NOT($D$3),$F$3), SXS_Transit_temp!AM39,0)))</f>
        <v>215</v>
      </c>
      <c r="O46" s="225">
        <f>Index!$B$2*IF(AND($D$3,$F$3),SXS_Transit_temp!AN13+SXS_Transit_temp!AN39,IF(AND($D$3,NOT($F$3)), SXS_Transit_temp!AN13,IF(AND(NOT($D$3),$F$3), SXS_Transit_temp!AN39,0)))</f>
        <v>35</v>
      </c>
      <c r="P46" s="225">
        <f>Index!$B$2*IF(AND($D$3,$F$3),SXS_Transit_temp!AO13+SXS_Transit_temp!AO39,IF(AND($D$3,NOT($F$3)), SXS_Transit_temp!AO13,IF(AND(NOT($D$3),$F$3), SXS_Transit_temp!AO39,0)))</f>
        <v>0</v>
      </c>
      <c r="Q46" s="225">
        <f>Index!$B$2*IF(AND($D$3,$F$3),SXS_Transit_temp!AP13+SXS_Transit_temp!AP39,IF(AND($D$3,NOT($F$3)), SXS_Transit_temp!AP13,IF(AND(NOT($D$3),$F$3), SXS_Transit_temp!AP39,0)))</f>
        <v>0</v>
      </c>
      <c r="R46" s="225">
        <f>Index!$B$2*IF(AND($D$3,$F$3),SXS_Transit_temp!AQ13+SXS_Transit_temp!AQ39,IF(AND($D$3,NOT($F$3)), SXS_Transit_temp!AQ13,IF(AND(NOT($D$3),$F$3), SXS_Transit_temp!AQ39,0)))</f>
        <v>0</v>
      </c>
      <c r="S46" s="225">
        <f>Index!$B$2*IF(AND($D$3,$F$3),SXS_Transit_temp!AR13+SXS_Transit_temp!AR39,IF(AND($D$3,NOT($F$3)), SXS_Transit_temp!AR13,IF(AND(NOT($D$3),$F$3), SXS_Transit_temp!AR39,0)))</f>
        <v>0</v>
      </c>
      <c r="T46" s="225">
        <f>Index!$B$2*IF(AND($D$3,$F$3),SXS_Transit_temp!AS13+SXS_Transit_temp!AS39,IF(AND($D$3,NOT($F$3)), SXS_Transit_temp!AS13,IF(AND(NOT($D$3),$F$3), SXS_Transit_temp!AS39,0)))</f>
        <v>0</v>
      </c>
      <c r="U46" s="225">
        <f>Index!$B$2*IF(AND($D$3,$F$3),SXS_Transit_temp!AT13+SXS_Transit_temp!AT39,IF(AND($D$3,NOT($F$3)), SXS_Transit_temp!AT13,IF(AND(NOT($D$3),$F$3), SXS_Transit_temp!AT39,0)))</f>
        <v>0</v>
      </c>
      <c r="V46" s="225">
        <f>Index!$B$2*IF(AND($D$3,$F$3),SXS_Transit_temp!AU13+SXS_Transit_temp!AU39,IF(AND($D$3,NOT($F$3)), SXS_Transit_temp!AU13,IF(AND(NOT($D$3),$F$3), SXS_Transit_temp!AU39,0)))</f>
        <v>5</v>
      </c>
      <c r="W46" s="225">
        <f>Index!$B$2*IF(AND($D$3,$F$3),SXS_Transit_temp!AV13+SXS_Transit_temp!AV39,IF(AND($D$3,NOT($F$3)), SXS_Transit_temp!AV13,IF(AND(NOT($D$3),$F$3), SXS_Transit_temp!AV39,0)))</f>
        <v>5</v>
      </c>
      <c r="X46" s="225">
        <f>Index!$B$2*IF(AND($D$3,$F$3),SXS_Transit_temp!AW13+SXS_Transit_temp!AW39,IF(AND($D$3,NOT($F$3)), SXS_Transit_temp!AW13,IF(AND(NOT($D$3),$F$3), SXS_Transit_temp!AW39,0)))</f>
        <v>195</v>
      </c>
      <c r="Y46" s="225">
        <f>Index!$B$2*IF(AND($D$3,$F$3),SXS_Transit_temp!AX13+SXS_Transit_temp!AX39,IF(AND($D$3,NOT($F$3)), SXS_Transit_temp!AX13,IF(AND(NOT($D$3),$F$3), SXS_Transit_temp!AX39,0)))</f>
        <v>20</v>
      </c>
      <c r="Z46" s="225">
        <f>Index!$B$2*IF(AND($D$3,$F$3),SXS_Transit_temp!AY13+SXS_Transit_temp!AY39,IF(AND($D$3,NOT($F$3)), SXS_Transit_temp!AY13,IF(AND(NOT($D$3),$F$3), SXS_Transit_temp!AY39,0)))</f>
        <v>0</v>
      </c>
      <c r="AA46" s="225">
        <f>Index!$B$2*IF(AND($D$3,$F$3),SXS_Transit_temp!AZ13+SXS_Transit_temp!AZ39,IF(AND($D$3,NOT($F$3)), SXS_Transit_temp!AZ13,IF(AND(NOT($D$3),$F$3), SXS_Transit_temp!AZ39,0)))</f>
        <v>0</v>
      </c>
      <c r="AB46" s="226">
        <f t="shared" si="10"/>
        <v>4895</v>
      </c>
      <c r="AD46" s="223" t="s">
        <v>463</v>
      </c>
      <c r="AE46" s="234">
        <f t="shared" si="7"/>
        <v>0.5730337078651685</v>
      </c>
      <c r="AF46" s="234">
        <f t="shared" si="8"/>
        <v>1.4300306435137897E-2</v>
      </c>
      <c r="AG46" s="234">
        <f t="shared" si="8"/>
        <v>1.8386108273748723E-2</v>
      </c>
      <c r="AH46" s="234">
        <f t="shared" si="8"/>
        <v>1.4300306435137897E-2</v>
      </c>
      <c r="AI46" s="234">
        <f t="shared" si="8"/>
        <v>8.171603677221655E-3</v>
      </c>
      <c r="AJ46" s="234">
        <f t="shared" si="8"/>
        <v>1.0214504596527069E-3</v>
      </c>
      <c r="AK46" s="234">
        <f t="shared" si="8"/>
        <v>3.0643513789581204E-3</v>
      </c>
      <c r="AL46" s="234">
        <f t="shared" si="8"/>
        <v>1.2257405515832482E-2</v>
      </c>
      <c r="AM46" s="234">
        <f t="shared" si="8"/>
        <v>1.0214504596527069E-3</v>
      </c>
      <c r="AN46" s="234">
        <f t="shared" si="8"/>
        <v>5.1072522982635343E-2</v>
      </c>
      <c r="AO46" s="233">
        <f t="shared" si="8"/>
        <v>0.20633299284984677</v>
      </c>
      <c r="AP46" s="234">
        <f t="shared" si="8"/>
        <v>4.3922369765066395E-2</v>
      </c>
      <c r="AQ46" s="234">
        <f t="shared" si="8"/>
        <v>7.1501532175689483E-3</v>
      </c>
      <c r="AR46" s="234">
        <f t="shared" si="8"/>
        <v>0</v>
      </c>
      <c r="AS46" s="234">
        <f t="shared" si="8"/>
        <v>0</v>
      </c>
      <c r="AT46" s="234">
        <f t="shared" si="8"/>
        <v>0</v>
      </c>
      <c r="AU46" s="234">
        <f t="shared" si="8"/>
        <v>0</v>
      </c>
      <c r="AV46" s="234">
        <f t="shared" si="9"/>
        <v>0</v>
      </c>
      <c r="AW46" s="234">
        <f t="shared" si="9"/>
        <v>0</v>
      </c>
      <c r="AX46" s="234">
        <f t="shared" si="9"/>
        <v>1.0214504596527069E-3</v>
      </c>
      <c r="AY46" s="234">
        <f t="shared" si="9"/>
        <v>1.0214504596527069E-3</v>
      </c>
      <c r="AZ46" s="234">
        <f t="shared" si="9"/>
        <v>3.9836567926455568E-2</v>
      </c>
      <c r="BA46" s="234">
        <f t="shared" si="9"/>
        <v>4.0858018386108275E-3</v>
      </c>
      <c r="BB46" s="234">
        <f t="shared" si="9"/>
        <v>0</v>
      </c>
      <c r="BC46" s="234">
        <f t="shared" si="9"/>
        <v>0</v>
      </c>
      <c r="BD46" s="237">
        <f t="shared" si="11"/>
        <v>1</v>
      </c>
    </row>
    <row r="47" spans="2:56" x14ac:dyDescent="0.25">
      <c r="B47" s="223" t="s">
        <v>464</v>
      </c>
      <c r="C47" s="225">
        <f>Index!$B$2*IF(AND($D$3,$F$3),SXS_Transit_temp!AB14+SXS_Transit_temp!AB40,IF(AND($D$3,NOT($F$3)), SXS_Transit_temp!AB14,IF(AND(NOT($D$3),$F$3), SXS_Transit_temp!AB40,0)))</f>
        <v>4735</v>
      </c>
      <c r="D47" s="225">
        <f>Index!$B$2*IF(AND($D$3,$F$3),SXS_Transit_temp!AC14+SXS_Transit_temp!AC40,IF(AND($D$3,NOT($F$3)), SXS_Transit_temp!AC14,IF(AND(NOT($D$3),$F$3), SXS_Transit_temp!AC40,0)))</f>
        <v>70</v>
      </c>
      <c r="E47" s="225">
        <f>Index!$B$2*IF(AND($D$3,$F$3),SXS_Transit_temp!AD14+SXS_Transit_temp!AD40,IF(AND($D$3,NOT($F$3)), SXS_Transit_temp!AD14,IF(AND(NOT($D$3),$F$3), SXS_Transit_temp!AD40,0)))</f>
        <v>30</v>
      </c>
      <c r="F47" s="225">
        <f>Index!$B$2*IF(AND($D$3,$F$3),SXS_Transit_temp!AE14+SXS_Transit_temp!AE40,IF(AND($D$3,NOT($F$3)), SXS_Transit_temp!AE14,IF(AND(NOT($D$3),$F$3), SXS_Transit_temp!AE40,0)))</f>
        <v>40</v>
      </c>
      <c r="G47" s="225">
        <f>Index!$B$2*IF(AND($D$3,$F$3),SXS_Transit_temp!AF14+SXS_Transit_temp!AF40,IF(AND($D$3,NOT($F$3)), SXS_Transit_temp!AF14,IF(AND(NOT($D$3),$F$3), SXS_Transit_temp!AF40,0)))</f>
        <v>280</v>
      </c>
      <c r="H47" s="225">
        <f>Index!$B$2*IF(AND($D$3,$F$3),SXS_Transit_temp!AG14+SXS_Transit_temp!AG40,IF(AND($D$3,NOT($F$3)), SXS_Transit_temp!AG14,IF(AND(NOT($D$3),$F$3), SXS_Transit_temp!AG40,0)))</f>
        <v>60</v>
      </c>
      <c r="I47" s="225">
        <f>Index!$B$2*IF(AND($D$3,$F$3),SXS_Transit_temp!AH14+SXS_Transit_temp!AH40,IF(AND($D$3,NOT($F$3)), SXS_Transit_temp!AH14,IF(AND(NOT($D$3),$F$3), SXS_Transit_temp!AH40,0)))</f>
        <v>25</v>
      </c>
      <c r="J47" s="225">
        <f>Index!$B$2*IF(AND($D$3,$F$3),SXS_Transit_temp!AI14+SXS_Transit_temp!AI40,IF(AND($D$3,NOT($F$3)), SXS_Transit_temp!AI14,IF(AND(NOT($D$3),$F$3), SXS_Transit_temp!AI40,0)))</f>
        <v>20</v>
      </c>
      <c r="K47" s="225">
        <f>Index!$B$2*IF(AND($D$3,$F$3),SXS_Transit_temp!AJ14+SXS_Transit_temp!AJ40,IF(AND($D$3,NOT($F$3)), SXS_Transit_temp!AJ14,IF(AND(NOT($D$3),$F$3), SXS_Transit_temp!AJ40,0)))</f>
        <v>10</v>
      </c>
      <c r="L47" s="225">
        <f>Index!$B$2*IF(AND($D$3,$F$3),SXS_Transit_temp!AK14+SXS_Transit_temp!AK40,IF(AND($D$3,NOT($F$3)), SXS_Transit_temp!AK14,IF(AND(NOT($D$3),$F$3), SXS_Transit_temp!AK40,0)))</f>
        <v>5</v>
      </c>
      <c r="M47" s="225">
        <f>Index!$B$2*IF(AND($D$3,$F$3),SXS_Transit_temp!AL14+SXS_Transit_temp!AL40,IF(AND($D$3,NOT($F$3)), SXS_Transit_temp!AL14,IF(AND(NOT($D$3),$F$3), SXS_Transit_temp!AL40,0)))</f>
        <v>230</v>
      </c>
      <c r="N47" s="224">
        <f>Index!$B$2*IF(AND($D$3,$F$3),SXS_Transit_temp!AM14+SXS_Transit_temp!AM40,IF(AND($D$3,NOT($F$3)), SXS_Transit_temp!AM14,IF(AND(NOT($D$3),$F$3), SXS_Transit_temp!AM40,0)))</f>
        <v>2150</v>
      </c>
      <c r="O47" s="225">
        <f>Index!$B$2*IF(AND($D$3,$F$3),SXS_Transit_temp!AN14+SXS_Transit_temp!AN40,IF(AND($D$3,NOT($F$3)), SXS_Transit_temp!AN14,IF(AND(NOT($D$3),$F$3), SXS_Transit_temp!AN40,0)))</f>
        <v>560</v>
      </c>
      <c r="P47" s="225">
        <f>Index!$B$2*IF(AND($D$3,$F$3),SXS_Transit_temp!AO14+SXS_Transit_temp!AO40,IF(AND($D$3,NOT($F$3)), SXS_Transit_temp!AO14,IF(AND(NOT($D$3),$F$3), SXS_Transit_temp!AO40,0)))</f>
        <v>0</v>
      </c>
      <c r="Q47" s="225">
        <f>Index!$B$2*IF(AND($D$3,$F$3),SXS_Transit_temp!AP14+SXS_Transit_temp!AP40,IF(AND($D$3,NOT($F$3)), SXS_Transit_temp!AP14,IF(AND(NOT($D$3),$F$3), SXS_Transit_temp!AP40,0)))</f>
        <v>0</v>
      </c>
      <c r="R47" s="225">
        <f>Index!$B$2*IF(AND($D$3,$F$3),SXS_Transit_temp!AQ14+SXS_Transit_temp!AQ40,IF(AND($D$3,NOT($F$3)), SXS_Transit_temp!AQ14,IF(AND(NOT($D$3),$F$3), SXS_Transit_temp!AQ40,0)))</f>
        <v>0</v>
      </c>
      <c r="S47" s="225">
        <f>Index!$B$2*IF(AND($D$3,$F$3),SXS_Transit_temp!AR14+SXS_Transit_temp!AR40,IF(AND($D$3,NOT($F$3)), SXS_Transit_temp!AR14,IF(AND(NOT($D$3),$F$3), SXS_Transit_temp!AR40,0)))</f>
        <v>0</v>
      </c>
      <c r="T47" s="225">
        <f>Index!$B$2*IF(AND($D$3,$F$3),SXS_Transit_temp!AS14+SXS_Transit_temp!AS40,IF(AND($D$3,NOT($F$3)), SXS_Transit_temp!AS14,IF(AND(NOT($D$3),$F$3), SXS_Transit_temp!AS40,0)))</f>
        <v>0</v>
      </c>
      <c r="U47" s="225">
        <f>Index!$B$2*IF(AND($D$3,$F$3),SXS_Transit_temp!AT14+SXS_Transit_temp!AT40,IF(AND($D$3,NOT($F$3)), SXS_Transit_temp!AT14,IF(AND(NOT($D$3),$F$3), SXS_Transit_temp!AT40,0)))</f>
        <v>0</v>
      </c>
      <c r="V47" s="225">
        <f>Index!$B$2*IF(AND($D$3,$F$3),SXS_Transit_temp!AU14+SXS_Transit_temp!AU40,IF(AND($D$3,NOT($F$3)), SXS_Transit_temp!AU14,IF(AND(NOT($D$3),$F$3), SXS_Transit_temp!AU40,0)))</f>
        <v>0</v>
      </c>
      <c r="W47" s="225">
        <f>Index!$B$2*IF(AND($D$3,$F$3),SXS_Transit_temp!AV14+SXS_Transit_temp!AV40,IF(AND($D$3,NOT($F$3)), SXS_Transit_temp!AV14,IF(AND(NOT($D$3),$F$3), SXS_Transit_temp!AV40,0)))</f>
        <v>0</v>
      </c>
      <c r="X47" s="225">
        <f>Index!$B$2*IF(AND($D$3,$F$3),SXS_Transit_temp!AW14+SXS_Transit_temp!AW40,IF(AND($D$3,NOT($F$3)), SXS_Transit_temp!AW14,IF(AND(NOT($D$3),$F$3), SXS_Transit_temp!AW40,0)))</f>
        <v>0</v>
      </c>
      <c r="Y47" s="225">
        <f>Index!$B$2*IF(AND($D$3,$F$3),SXS_Transit_temp!AX14+SXS_Transit_temp!AX40,IF(AND($D$3,NOT($F$3)), SXS_Transit_temp!AX14,IF(AND(NOT($D$3),$F$3), SXS_Transit_temp!AX40,0)))</f>
        <v>15</v>
      </c>
      <c r="Z47" s="225">
        <f>Index!$B$2*IF(AND($D$3,$F$3),SXS_Transit_temp!AY14+SXS_Transit_temp!AY40,IF(AND($D$3,NOT($F$3)), SXS_Transit_temp!AY14,IF(AND(NOT($D$3),$F$3), SXS_Transit_temp!AY40,0)))</f>
        <v>25</v>
      </c>
      <c r="AA47" s="225">
        <f>Index!$B$2*IF(AND($D$3,$F$3),SXS_Transit_temp!AZ14+SXS_Transit_temp!AZ40,IF(AND($D$3,NOT($F$3)), SXS_Transit_temp!AZ14,IF(AND(NOT($D$3),$F$3), SXS_Transit_temp!AZ40,0)))</f>
        <v>0</v>
      </c>
      <c r="AB47" s="226">
        <f t="shared" si="10"/>
        <v>8255</v>
      </c>
      <c r="AD47" s="223" t="s">
        <v>464</v>
      </c>
      <c r="AE47" s="234">
        <f t="shared" si="7"/>
        <v>0.57359176256814048</v>
      </c>
      <c r="AF47" s="234">
        <f t="shared" si="8"/>
        <v>8.4797092671108423E-3</v>
      </c>
      <c r="AG47" s="234">
        <f t="shared" si="8"/>
        <v>3.6341611144760752E-3</v>
      </c>
      <c r="AH47" s="234">
        <f t="shared" si="8"/>
        <v>4.8455481526347667E-3</v>
      </c>
      <c r="AI47" s="234">
        <f t="shared" si="8"/>
        <v>3.3918837068443369E-2</v>
      </c>
      <c r="AJ47" s="234">
        <f t="shared" si="8"/>
        <v>7.2683222289521504E-3</v>
      </c>
      <c r="AK47" s="234">
        <f t="shared" si="8"/>
        <v>3.0284675953967293E-3</v>
      </c>
      <c r="AL47" s="234">
        <f t="shared" si="8"/>
        <v>2.4227740763173833E-3</v>
      </c>
      <c r="AM47" s="234">
        <f t="shared" si="8"/>
        <v>1.2113870381586917E-3</v>
      </c>
      <c r="AN47" s="234">
        <f t="shared" si="8"/>
        <v>6.0569351907934583E-4</v>
      </c>
      <c r="AO47" s="234">
        <f t="shared" si="8"/>
        <v>2.7861901877649909E-2</v>
      </c>
      <c r="AP47" s="233">
        <f t="shared" si="8"/>
        <v>0.26044821320411871</v>
      </c>
      <c r="AQ47" s="234">
        <f t="shared" si="8"/>
        <v>6.7837674136886739E-2</v>
      </c>
      <c r="AR47" s="234">
        <f t="shared" si="8"/>
        <v>0</v>
      </c>
      <c r="AS47" s="234">
        <f t="shared" si="8"/>
        <v>0</v>
      </c>
      <c r="AT47" s="234">
        <f t="shared" si="8"/>
        <v>0</v>
      </c>
      <c r="AU47" s="234">
        <f t="shared" si="8"/>
        <v>0</v>
      </c>
      <c r="AV47" s="234">
        <f t="shared" si="9"/>
        <v>0</v>
      </c>
      <c r="AW47" s="234">
        <f t="shared" si="9"/>
        <v>0</v>
      </c>
      <c r="AX47" s="234">
        <f t="shared" si="9"/>
        <v>0</v>
      </c>
      <c r="AY47" s="234">
        <f t="shared" si="9"/>
        <v>0</v>
      </c>
      <c r="AZ47" s="234">
        <f t="shared" si="9"/>
        <v>0</v>
      </c>
      <c r="BA47" s="234">
        <f t="shared" si="9"/>
        <v>1.8170805572380376E-3</v>
      </c>
      <c r="BB47" s="234">
        <f t="shared" si="9"/>
        <v>3.0284675953967293E-3</v>
      </c>
      <c r="BC47" s="234">
        <f t="shared" si="9"/>
        <v>0</v>
      </c>
      <c r="BD47" s="237">
        <f t="shared" si="11"/>
        <v>1</v>
      </c>
    </row>
    <row r="48" spans="2:56" x14ac:dyDescent="0.25">
      <c r="B48" s="223" t="s">
        <v>465</v>
      </c>
      <c r="C48" s="225">
        <f>Index!$B$2*IF(AND($D$3,$F$3),SXS_Transit_temp!AB15+SXS_Transit_temp!AB41,IF(AND($D$3,NOT($F$3)), SXS_Transit_temp!AB15,IF(AND(NOT($D$3),$F$3), SXS_Transit_temp!AB41,0)))</f>
        <v>6505</v>
      </c>
      <c r="D48" s="225">
        <f>Index!$B$2*IF(AND($D$3,$F$3),SXS_Transit_temp!AC15+SXS_Transit_temp!AC41,IF(AND($D$3,NOT($F$3)), SXS_Transit_temp!AC15,IF(AND(NOT($D$3),$F$3), SXS_Transit_temp!AC41,0)))</f>
        <v>55</v>
      </c>
      <c r="E48" s="225">
        <f>Index!$B$2*IF(AND($D$3,$F$3),SXS_Transit_temp!AD15+SXS_Transit_temp!AD41,IF(AND($D$3,NOT($F$3)), SXS_Transit_temp!AD15,IF(AND(NOT($D$3),$F$3), SXS_Transit_temp!AD41,0)))</f>
        <v>30</v>
      </c>
      <c r="F48" s="225">
        <f>Index!$B$2*IF(AND($D$3,$F$3),SXS_Transit_temp!AE15+SXS_Transit_temp!AE41,IF(AND($D$3,NOT($F$3)), SXS_Transit_temp!AE15,IF(AND(NOT($D$3),$F$3), SXS_Transit_temp!AE41,0)))</f>
        <v>30</v>
      </c>
      <c r="G48" s="225">
        <f>Index!$B$2*IF(AND($D$3,$F$3),SXS_Transit_temp!AF15+SXS_Transit_temp!AF41,IF(AND($D$3,NOT($F$3)), SXS_Transit_temp!AF15,IF(AND(NOT($D$3),$F$3), SXS_Transit_temp!AF41,0)))</f>
        <v>80</v>
      </c>
      <c r="H48" s="225">
        <f>Index!$B$2*IF(AND($D$3,$F$3),SXS_Transit_temp!AG15+SXS_Transit_temp!AG41,IF(AND($D$3,NOT($F$3)), SXS_Transit_temp!AG15,IF(AND(NOT($D$3),$F$3), SXS_Transit_temp!AG41,0)))</f>
        <v>175</v>
      </c>
      <c r="I48" s="225">
        <f>Index!$B$2*IF(AND($D$3,$F$3),SXS_Transit_temp!AH15+SXS_Transit_temp!AH41,IF(AND($D$3,NOT($F$3)), SXS_Transit_temp!AH15,IF(AND(NOT($D$3),$F$3), SXS_Transit_temp!AH41,0)))</f>
        <v>30</v>
      </c>
      <c r="J48" s="225">
        <f>Index!$B$2*IF(AND($D$3,$F$3),SXS_Transit_temp!AI15+SXS_Transit_temp!AI41,IF(AND($D$3,NOT($F$3)), SXS_Transit_temp!AI15,IF(AND(NOT($D$3),$F$3), SXS_Transit_temp!AI41,0)))</f>
        <v>35</v>
      </c>
      <c r="K48" s="225">
        <f>Index!$B$2*IF(AND($D$3,$F$3),SXS_Transit_temp!AJ15+SXS_Transit_temp!AJ41,IF(AND($D$3,NOT($F$3)), SXS_Transit_temp!AJ15,IF(AND(NOT($D$3),$F$3), SXS_Transit_temp!AJ41,0)))</f>
        <v>0</v>
      </c>
      <c r="L48" s="225">
        <f>Index!$B$2*IF(AND($D$3,$F$3),SXS_Transit_temp!AK15+SXS_Transit_temp!AK41,IF(AND($D$3,NOT($F$3)), SXS_Transit_temp!AK15,IF(AND(NOT($D$3),$F$3), SXS_Transit_temp!AK41,0)))</f>
        <v>10</v>
      </c>
      <c r="M48" s="225">
        <f>Index!$B$2*IF(AND($D$3,$F$3),SXS_Transit_temp!AL15+SXS_Transit_temp!AL41,IF(AND($D$3,NOT($F$3)), SXS_Transit_temp!AL15,IF(AND(NOT($D$3),$F$3), SXS_Transit_temp!AL41,0)))</f>
        <v>30</v>
      </c>
      <c r="N48" s="225">
        <f>Index!$B$2*IF(AND($D$3,$F$3),SXS_Transit_temp!AM15+SXS_Transit_temp!AM41,IF(AND($D$3,NOT($F$3)), SXS_Transit_temp!AM15,IF(AND(NOT($D$3),$F$3), SXS_Transit_temp!AM41,0)))</f>
        <v>380</v>
      </c>
      <c r="O48" s="224">
        <f>Index!$B$2*IF(AND($D$3,$F$3),SXS_Transit_temp!AN15+SXS_Transit_temp!AN41,IF(AND($D$3,NOT($F$3)), SXS_Transit_temp!AN15,IF(AND(NOT($D$3),$F$3), SXS_Transit_temp!AN41,0)))</f>
        <v>4185</v>
      </c>
      <c r="P48" s="225">
        <f>Index!$B$2*IF(AND($D$3,$F$3),SXS_Transit_temp!AO15+SXS_Transit_temp!AO41,IF(AND($D$3,NOT($F$3)), SXS_Transit_temp!AO15,IF(AND(NOT($D$3),$F$3), SXS_Transit_temp!AO41,0)))</f>
        <v>85</v>
      </c>
      <c r="Q48" s="225">
        <f>Index!$B$2*IF(AND($D$3,$F$3),SXS_Transit_temp!AP15+SXS_Transit_temp!AP41,IF(AND($D$3,NOT($F$3)), SXS_Transit_temp!AP15,IF(AND(NOT($D$3),$F$3), SXS_Transit_temp!AP41,0)))</f>
        <v>0</v>
      </c>
      <c r="R48" s="225">
        <f>Index!$B$2*IF(AND($D$3,$F$3),SXS_Transit_temp!AQ15+SXS_Transit_temp!AQ41,IF(AND($D$3,NOT($F$3)), SXS_Transit_temp!AQ15,IF(AND(NOT($D$3),$F$3), SXS_Transit_temp!AQ41,0)))</f>
        <v>0</v>
      </c>
      <c r="S48" s="225">
        <f>Index!$B$2*IF(AND($D$3,$F$3),SXS_Transit_temp!AR15+SXS_Transit_temp!AR41,IF(AND($D$3,NOT($F$3)), SXS_Transit_temp!AR15,IF(AND(NOT($D$3),$F$3), SXS_Transit_temp!AR41,0)))</f>
        <v>0</v>
      </c>
      <c r="T48" s="225">
        <f>Index!$B$2*IF(AND($D$3,$F$3),SXS_Transit_temp!AS15+SXS_Transit_temp!AS41,IF(AND($D$3,NOT($F$3)), SXS_Transit_temp!AS15,IF(AND(NOT($D$3),$F$3), SXS_Transit_temp!AS41,0)))</f>
        <v>0</v>
      </c>
      <c r="U48" s="225">
        <f>Index!$B$2*IF(AND($D$3,$F$3),SXS_Transit_temp!AT15+SXS_Transit_temp!AT41,IF(AND($D$3,NOT($F$3)), SXS_Transit_temp!AT15,IF(AND(NOT($D$3),$F$3), SXS_Transit_temp!AT41,0)))</f>
        <v>0</v>
      </c>
      <c r="V48" s="225">
        <f>Index!$B$2*IF(AND($D$3,$F$3),SXS_Transit_temp!AU15+SXS_Transit_temp!AU41,IF(AND($D$3,NOT($F$3)), SXS_Transit_temp!AU15,IF(AND(NOT($D$3),$F$3), SXS_Transit_temp!AU41,0)))</f>
        <v>0</v>
      </c>
      <c r="W48" s="225">
        <f>Index!$B$2*IF(AND($D$3,$F$3),SXS_Transit_temp!AV15+SXS_Transit_temp!AV41,IF(AND($D$3,NOT($F$3)), SXS_Transit_temp!AV15,IF(AND(NOT($D$3),$F$3), SXS_Transit_temp!AV41,0)))</f>
        <v>0</v>
      </c>
      <c r="X48" s="225">
        <f>Index!$B$2*IF(AND($D$3,$F$3),SXS_Transit_temp!AW15+SXS_Transit_temp!AW41,IF(AND($D$3,NOT($F$3)), SXS_Transit_temp!AW15,IF(AND(NOT($D$3),$F$3), SXS_Transit_temp!AW41,0)))</f>
        <v>0</v>
      </c>
      <c r="Y48" s="225">
        <f>Index!$B$2*IF(AND($D$3,$F$3),SXS_Transit_temp!AX15+SXS_Transit_temp!AX41,IF(AND($D$3,NOT($F$3)), SXS_Transit_temp!AX15,IF(AND(NOT($D$3),$F$3), SXS_Transit_temp!AX41,0)))</f>
        <v>0</v>
      </c>
      <c r="Z48" s="225">
        <f>Index!$B$2*IF(AND($D$3,$F$3),SXS_Transit_temp!AY15+SXS_Transit_temp!AY41,IF(AND($D$3,NOT($F$3)), SXS_Transit_temp!AY15,IF(AND(NOT($D$3),$F$3), SXS_Transit_temp!AY41,0)))</f>
        <v>155</v>
      </c>
      <c r="AA48" s="225">
        <f>Index!$B$2*IF(AND($D$3,$F$3),SXS_Transit_temp!AZ15+SXS_Transit_temp!AZ41,IF(AND($D$3,NOT($F$3)), SXS_Transit_temp!AZ15,IF(AND(NOT($D$3),$F$3), SXS_Transit_temp!AZ41,0)))</f>
        <v>10</v>
      </c>
      <c r="AB48" s="226">
        <f t="shared" si="10"/>
        <v>11795</v>
      </c>
      <c r="AD48" s="223" t="s">
        <v>465</v>
      </c>
      <c r="AE48" s="234">
        <f t="shared" si="7"/>
        <v>0.55150487494701139</v>
      </c>
      <c r="AF48" s="234">
        <f t="shared" si="8"/>
        <v>4.6629927935565915E-3</v>
      </c>
      <c r="AG48" s="234">
        <f t="shared" si="8"/>
        <v>2.5434506146672321E-3</v>
      </c>
      <c r="AH48" s="234">
        <f t="shared" si="8"/>
        <v>2.5434506146672321E-3</v>
      </c>
      <c r="AI48" s="234">
        <f t="shared" si="8"/>
        <v>6.7825349724459517E-3</v>
      </c>
      <c r="AJ48" s="234">
        <f t="shared" si="8"/>
        <v>1.483679525222552E-2</v>
      </c>
      <c r="AK48" s="234">
        <f t="shared" si="8"/>
        <v>2.5434506146672321E-3</v>
      </c>
      <c r="AL48" s="234">
        <f t="shared" si="8"/>
        <v>2.967359050445104E-3</v>
      </c>
      <c r="AM48" s="234">
        <f t="shared" si="8"/>
        <v>0</v>
      </c>
      <c r="AN48" s="234">
        <f t="shared" si="8"/>
        <v>8.4781687155574396E-4</v>
      </c>
      <c r="AO48" s="234">
        <f t="shared" si="8"/>
        <v>2.5434506146672321E-3</v>
      </c>
      <c r="AP48" s="234">
        <f t="shared" si="8"/>
        <v>3.2217041119118273E-2</v>
      </c>
      <c r="AQ48" s="233">
        <f t="shared" si="8"/>
        <v>0.35481136074607883</v>
      </c>
      <c r="AR48" s="234">
        <f t="shared" si="8"/>
        <v>7.2064434082238235E-3</v>
      </c>
      <c r="AS48" s="234">
        <f t="shared" si="8"/>
        <v>0</v>
      </c>
      <c r="AT48" s="234">
        <f t="shared" si="8"/>
        <v>0</v>
      </c>
      <c r="AU48" s="234">
        <f t="shared" si="8"/>
        <v>0</v>
      </c>
      <c r="AV48" s="234">
        <f t="shared" si="9"/>
        <v>0</v>
      </c>
      <c r="AW48" s="234">
        <f t="shared" si="9"/>
        <v>0</v>
      </c>
      <c r="AX48" s="234">
        <f t="shared" si="9"/>
        <v>0</v>
      </c>
      <c r="AY48" s="234">
        <f t="shared" si="9"/>
        <v>0</v>
      </c>
      <c r="AZ48" s="234">
        <f t="shared" si="9"/>
        <v>0</v>
      </c>
      <c r="BA48" s="234">
        <f t="shared" si="9"/>
        <v>0</v>
      </c>
      <c r="BB48" s="234">
        <f t="shared" si="9"/>
        <v>1.3141161509114031E-2</v>
      </c>
      <c r="BC48" s="234">
        <f t="shared" si="9"/>
        <v>8.4781687155574396E-4</v>
      </c>
      <c r="BD48" s="237">
        <f t="shared" si="11"/>
        <v>1</v>
      </c>
    </row>
    <row r="49" spans="2:56" x14ac:dyDescent="0.25">
      <c r="B49" s="223" t="s">
        <v>466</v>
      </c>
      <c r="C49" s="225">
        <f>Index!$B$2*IF(AND($D$3,$F$3),SXS_Transit_temp!AB16+SXS_Transit_temp!AB42,IF(AND($D$3,NOT($F$3)), SXS_Transit_temp!AB16,IF(AND(NOT($D$3),$F$3), SXS_Transit_temp!AB42,0)))</f>
        <v>4605</v>
      </c>
      <c r="D49" s="225">
        <f>Index!$B$2*IF(AND($D$3,$F$3),SXS_Transit_temp!AC16+SXS_Transit_temp!AC42,IF(AND($D$3,NOT($F$3)), SXS_Transit_temp!AC16,IF(AND(NOT($D$3),$F$3), SXS_Transit_temp!AC42,0)))</f>
        <v>45</v>
      </c>
      <c r="E49" s="225">
        <f>Index!$B$2*IF(AND($D$3,$F$3),SXS_Transit_temp!AD16+SXS_Transit_temp!AD42,IF(AND($D$3,NOT($F$3)), SXS_Transit_temp!AD16,IF(AND(NOT($D$3),$F$3), SXS_Transit_temp!AD42,0)))</f>
        <v>35</v>
      </c>
      <c r="F49" s="225">
        <f>Index!$B$2*IF(AND($D$3,$F$3),SXS_Transit_temp!AE16+SXS_Transit_temp!AE42,IF(AND($D$3,NOT($F$3)), SXS_Transit_temp!AE16,IF(AND(NOT($D$3),$F$3), SXS_Transit_temp!AE42,0)))</f>
        <v>0</v>
      </c>
      <c r="G49" s="225">
        <f>Index!$B$2*IF(AND($D$3,$F$3),SXS_Transit_temp!AF16+SXS_Transit_temp!AF42,IF(AND($D$3,NOT($F$3)), SXS_Transit_temp!AF16,IF(AND(NOT($D$3),$F$3), SXS_Transit_temp!AF42,0)))</f>
        <v>30</v>
      </c>
      <c r="H49" s="225">
        <f>Index!$B$2*IF(AND($D$3,$F$3),SXS_Transit_temp!AG16+SXS_Transit_temp!AG42,IF(AND($D$3,NOT($F$3)), SXS_Transit_temp!AG16,IF(AND(NOT($D$3),$F$3), SXS_Transit_temp!AG42,0)))</f>
        <v>55</v>
      </c>
      <c r="I49" s="225">
        <f>Index!$B$2*IF(AND($D$3,$F$3),SXS_Transit_temp!AH16+SXS_Transit_temp!AH42,IF(AND($D$3,NOT($F$3)), SXS_Transit_temp!AH16,IF(AND(NOT($D$3),$F$3), SXS_Transit_temp!AH42,0)))</f>
        <v>910</v>
      </c>
      <c r="J49" s="225">
        <f>Index!$B$2*IF(AND($D$3,$F$3),SXS_Transit_temp!AI16+SXS_Transit_temp!AI42,IF(AND($D$3,NOT($F$3)), SXS_Transit_temp!AI16,IF(AND(NOT($D$3),$F$3), SXS_Transit_temp!AI42,0)))</f>
        <v>470</v>
      </c>
      <c r="K49" s="225">
        <f>Index!$B$2*IF(AND($D$3,$F$3),SXS_Transit_temp!AJ16+SXS_Transit_temp!AJ42,IF(AND($D$3,NOT($F$3)), SXS_Transit_temp!AJ16,IF(AND(NOT($D$3),$F$3), SXS_Transit_temp!AJ42,0)))</f>
        <v>0</v>
      </c>
      <c r="L49" s="225">
        <f>Index!$B$2*IF(AND($D$3,$F$3),SXS_Transit_temp!AK16+SXS_Transit_temp!AK42,IF(AND($D$3,NOT($F$3)), SXS_Transit_temp!AK16,IF(AND(NOT($D$3),$F$3), SXS_Transit_temp!AK42,0)))</f>
        <v>0</v>
      </c>
      <c r="M49" s="225">
        <f>Index!$B$2*IF(AND($D$3,$F$3),SXS_Transit_temp!AL16+SXS_Transit_temp!AL42,IF(AND($D$3,NOT($F$3)), SXS_Transit_temp!AL16,IF(AND(NOT($D$3),$F$3), SXS_Transit_temp!AL42,0)))</f>
        <v>0</v>
      </c>
      <c r="N49" s="225">
        <f>Index!$B$2*IF(AND($D$3,$F$3),SXS_Transit_temp!AM16+SXS_Transit_temp!AM42,IF(AND($D$3,NOT($F$3)), SXS_Transit_temp!AM16,IF(AND(NOT($D$3),$F$3), SXS_Transit_temp!AM42,0)))</f>
        <v>0</v>
      </c>
      <c r="O49" s="225">
        <f>Index!$B$2*IF(AND($D$3,$F$3),SXS_Transit_temp!AN16+SXS_Transit_temp!AN42,IF(AND($D$3,NOT($F$3)), SXS_Transit_temp!AN16,IF(AND(NOT($D$3),$F$3), SXS_Transit_temp!AN42,0)))</f>
        <v>40</v>
      </c>
      <c r="P49" s="224">
        <f>Index!$B$2*IF(AND($D$3,$F$3),SXS_Transit_temp!AO16+SXS_Transit_temp!AO42,IF(AND($D$3,NOT($F$3)), SXS_Transit_temp!AO16,IF(AND(NOT($D$3),$F$3), SXS_Transit_temp!AO42,0)))</f>
        <v>1550</v>
      </c>
      <c r="Q49" s="225">
        <f>Index!$B$2*IF(AND($D$3,$F$3),SXS_Transit_temp!AP16+SXS_Transit_temp!AP42,IF(AND($D$3,NOT($F$3)), SXS_Transit_temp!AP16,IF(AND(NOT($D$3),$F$3), SXS_Transit_temp!AP42,0)))</f>
        <v>55</v>
      </c>
      <c r="R49" s="225">
        <f>Index!$B$2*IF(AND($D$3,$F$3),SXS_Transit_temp!AQ16+SXS_Transit_temp!AQ42,IF(AND($D$3,NOT($F$3)), SXS_Transit_temp!AQ16,IF(AND(NOT($D$3),$F$3), SXS_Transit_temp!AQ42,0)))</f>
        <v>0</v>
      </c>
      <c r="S49" s="225">
        <f>Index!$B$2*IF(AND($D$3,$F$3),SXS_Transit_temp!AR16+SXS_Transit_temp!AR42,IF(AND($D$3,NOT($F$3)), SXS_Transit_temp!AR16,IF(AND(NOT($D$3),$F$3), SXS_Transit_temp!AR42,0)))</f>
        <v>0</v>
      </c>
      <c r="T49" s="225">
        <f>Index!$B$2*IF(AND($D$3,$F$3),SXS_Transit_temp!AS16+SXS_Transit_temp!AS42,IF(AND($D$3,NOT($F$3)), SXS_Transit_temp!AS16,IF(AND(NOT($D$3),$F$3), SXS_Transit_temp!AS42,0)))</f>
        <v>0</v>
      </c>
      <c r="U49" s="225">
        <f>Index!$B$2*IF(AND($D$3,$F$3),SXS_Transit_temp!AT16+SXS_Transit_temp!AT42,IF(AND($D$3,NOT($F$3)), SXS_Transit_temp!AT16,IF(AND(NOT($D$3),$F$3), SXS_Transit_temp!AT42,0)))</f>
        <v>0</v>
      </c>
      <c r="V49" s="225">
        <f>Index!$B$2*IF(AND($D$3,$F$3),SXS_Transit_temp!AU16+SXS_Transit_temp!AU42,IF(AND($D$3,NOT($F$3)), SXS_Transit_temp!AU16,IF(AND(NOT($D$3),$F$3), SXS_Transit_temp!AU42,0)))</f>
        <v>0</v>
      </c>
      <c r="W49" s="225">
        <f>Index!$B$2*IF(AND($D$3,$F$3),SXS_Transit_temp!AV16+SXS_Transit_temp!AV42,IF(AND($D$3,NOT($F$3)), SXS_Transit_temp!AV16,IF(AND(NOT($D$3),$F$3), SXS_Transit_temp!AV42,0)))</f>
        <v>0</v>
      </c>
      <c r="X49" s="225">
        <f>Index!$B$2*IF(AND($D$3,$F$3),SXS_Transit_temp!AW16+SXS_Transit_temp!AW42,IF(AND($D$3,NOT($F$3)), SXS_Transit_temp!AW16,IF(AND(NOT($D$3),$F$3), SXS_Transit_temp!AW42,0)))</f>
        <v>0</v>
      </c>
      <c r="Y49" s="225">
        <f>Index!$B$2*IF(AND($D$3,$F$3),SXS_Transit_temp!AX16+SXS_Transit_temp!AX42,IF(AND($D$3,NOT($F$3)), SXS_Transit_temp!AX16,IF(AND(NOT($D$3),$F$3), SXS_Transit_temp!AX42,0)))</f>
        <v>0</v>
      </c>
      <c r="Z49" s="225">
        <f>Index!$B$2*IF(AND($D$3,$F$3),SXS_Transit_temp!AY16+SXS_Transit_temp!AY42,IF(AND($D$3,NOT($F$3)), SXS_Transit_temp!AY16,IF(AND(NOT($D$3),$F$3), SXS_Transit_temp!AY42,0)))</f>
        <v>0</v>
      </c>
      <c r="AA49" s="225">
        <f>Index!$B$2*IF(AND($D$3,$F$3),SXS_Transit_temp!AZ16+SXS_Transit_temp!AZ42,IF(AND($D$3,NOT($F$3)), SXS_Transit_temp!AZ16,IF(AND(NOT($D$3),$F$3), SXS_Transit_temp!AZ42,0)))</f>
        <v>85</v>
      </c>
      <c r="AB49" s="226">
        <f t="shared" si="10"/>
        <v>7880</v>
      </c>
      <c r="AD49" s="223" t="s">
        <v>466</v>
      </c>
      <c r="AE49" s="234">
        <f t="shared" si="7"/>
        <v>0.58439086294416243</v>
      </c>
      <c r="AF49" s="234">
        <f t="shared" si="8"/>
        <v>5.7106598984771571E-3</v>
      </c>
      <c r="AG49" s="234">
        <f t="shared" si="8"/>
        <v>4.4416243654822338E-3</v>
      </c>
      <c r="AH49" s="234">
        <f t="shared" si="8"/>
        <v>0</v>
      </c>
      <c r="AI49" s="234">
        <f t="shared" si="8"/>
        <v>3.8071065989847717E-3</v>
      </c>
      <c r="AJ49" s="234">
        <f t="shared" si="8"/>
        <v>6.9796954314720813E-3</v>
      </c>
      <c r="AK49" s="234">
        <f t="shared" si="8"/>
        <v>0.11548223350253807</v>
      </c>
      <c r="AL49" s="234">
        <f t="shared" si="8"/>
        <v>5.964467005076142E-2</v>
      </c>
      <c r="AM49" s="234">
        <f t="shared" si="8"/>
        <v>0</v>
      </c>
      <c r="AN49" s="234">
        <f t="shared" si="8"/>
        <v>0</v>
      </c>
      <c r="AO49" s="234">
        <f t="shared" si="8"/>
        <v>0</v>
      </c>
      <c r="AP49" s="234">
        <f t="shared" si="8"/>
        <v>0</v>
      </c>
      <c r="AQ49" s="234">
        <f t="shared" si="8"/>
        <v>5.076142131979695E-3</v>
      </c>
      <c r="AR49" s="233">
        <f t="shared" si="8"/>
        <v>0.1967005076142132</v>
      </c>
      <c r="AS49" s="234">
        <f t="shared" si="8"/>
        <v>6.9796954314720813E-3</v>
      </c>
      <c r="AT49" s="234">
        <f t="shared" si="8"/>
        <v>0</v>
      </c>
      <c r="AU49" s="234">
        <f t="shared" si="8"/>
        <v>0</v>
      </c>
      <c r="AV49" s="234">
        <f t="shared" si="9"/>
        <v>0</v>
      </c>
      <c r="AW49" s="234">
        <f t="shared" si="9"/>
        <v>0</v>
      </c>
      <c r="AX49" s="234">
        <f t="shared" si="9"/>
        <v>0</v>
      </c>
      <c r="AY49" s="234">
        <f t="shared" si="9"/>
        <v>0</v>
      </c>
      <c r="AZ49" s="234">
        <f t="shared" si="9"/>
        <v>0</v>
      </c>
      <c r="BA49" s="234">
        <f t="shared" si="9"/>
        <v>0</v>
      </c>
      <c r="BB49" s="234">
        <f t="shared" si="9"/>
        <v>0</v>
      </c>
      <c r="BC49" s="234">
        <f t="shared" si="9"/>
        <v>1.0786802030456852E-2</v>
      </c>
      <c r="BD49" s="237">
        <f t="shared" si="11"/>
        <v>1</v>
      </c>
    </row>
    <row r="50" spans="2:56" x14ac:dyDescent="0.25">
      <c r="B50" s="223" t="s">
        <v>467</v>
      </c>
      <c r="C50" s="225">
        <f>Index!$B$2*IF(AND($D$3,$F$3),SXS_Transit_temp!AB17+SXS_Transit_temp!AB43,IF(AND($D$3,NOT($F$3)), SXS_Transit_temp!AB17,IF(AND(NOT($D$3),$F$3), SXS_Transit_temp!AB43,0)))</f>
        <v>5455</v>
      </c>
      <c r="D50" s="225">
        <f>Index!$B$2*IF(AND($D$3,$F$3),SXS_Transit_temp!AC17+SXS_Transit_temp!AC43,IF(AND($D$3,NOT($F$3)), SXS_Transit_temp!AC17,IF(AND(NOT($D$3),$F$3), SXS_Transit_temp!AC43,0)))</f>
        <v>50</v>
      </c>
      <c r="E50" s="225">
        <f>Index!$B$2*IF(AND($D$3,$F$3),SXS_Transit_temp!AD17+SXS_Transit_temp!AD43,IF(AND($D$3,NOT($F$3)), SXS_Transit_temp!AD17,IF(AND(NOT($D$3),$F$3), SXS_Transit_temp!AD43,0)))</f>
        <v>20</v>
      </c>
      <c r="F50" s="225">
        <f>Index!$B$2*IF(AND($D$3,$F$3),SXS_Transit_temp!AE17+SXS_Transit_temp!AE43,IF(AND($D$3,NOT($F$3)), SXS_Transit_temp!AE17,IF(AND(NOT($D$3),$F$3), SXS_Transit_temp!AE43,0)))</f>
        <v>5</v>
      </c>
      <c r="G50" s="225">
        <f>Index!$B$2*IF(AND($D$3,$F$3),SXS_Transit_temp!AF17+SXS_Transit_temp!AF43,IF(AND($D$3,NOT($F$3)), SXS_Transit_temp!AF17,IF(AND(NOT($D$3),$F$3), SXS_Transit_temp!AF43,0)))</f>
        <v>40</v>
      </c>
      <c r="H50" s="225">
        <f>Index!$B$2*IF(AND($D$3,$F$3),SXS_Transit_temp!AG17+SXS_Transit_temp!AG43,IF(AND($D$3,NOT($F$3)), SXS_Transit_temp!AG17,IF(AND(NOT($D$3),$F$3), SXS_Transit_temp!AG43,0)))</f>
        <v>20</v>
      </c>
      <c r="I50" s="225">
        <f>Index!$B$2*IF(AND($D$3,$F$3),SXS_Transit_temp!AH17+SXS_Transit_temp!AH43,IF(AND($D$3,NOT($F$3)), SXS_Transit_temp!AH17,IF(AND(NOT($D$3),$F$3), SXS_Transit_temp!AH43,0)))</f>
        <v>65</v>
      </c>
      <c r="J50" s="225">
        <f>Index!$B$2*IF(AND($D$3,$F$3),SXS_Transit_temp!AI17+SXS_Transit_temp!AI43,IF(AND($D$3,NOT($F$3)), SXS_Transit_temp!AI17,IF(AND(NOT($D$3),$F$3), SXS_Transit_temp!AI43,0)))</f>
        <v>560</v>
      </c>
      <c r="K50" s="225">
        <f>Index!$B$2*IF(AND($D$3,$F$3),SXS_Transit_temp!AJ17+SXS_Transit_temp!AJ43,IF(AND($D$3,NOT($F$3)), SXS_Transit_temp!AJ17,IF(AND(NOT($D$3),$F$3), SXS_Transit_temp!AJ43,0)))</f>
        <v>0</v>
      </c>
      <c r="L50" s="225">
        <f>Index!$B$2*IF(AND($D$3,$F$3),SXS_Transit_temp!AK17+SXS_Transit_temp!AK43,IF(AND($D$3,NOT($F$3)), SXS_Transit_temp!AK17,IF(AND(NOT($D$3),$F$3), SXS_Transit_temp!AK43,0)))</f>
        <v>5</v>
      </c>
      <c r="M50" s="225">
        <f>Index!$B$2*IF(AND($D$3,$F$3),SXS_Transit_temp!AL17+SXS_Transit_temp!AL43,IF(AND($D$3,NOT($F$3)), SXS_Transit_temp!AL17,IF(AND(NOT($D$3),$F$3), SXS_Transit_temp!AL43,0)))</f>
        <v>0</v>
      </c>
      <c r="N50" s="225">
        <f>Index!$B$2*IF(AND($D$3,$F$3),SXS_Transit_temp!AM17+SXS_Transit_temp!AM43,IF(AND($D$3,NOT($F$3)), SXS_Transit_temp!AM17,IF(AND(NOT($D$3),$F$3), SXS_Transit_temp!AM43,0)))</f>
        <v>0</v>
      </c>
      <c r="O50" s="225">
        <f>Index!$B$2*IF(AND($D$3,$F$3),SXS_Transit_temp!AN17+SXS_Transit_temp!AN43,IF(AND($D$3,NOT($F$3)), SXS_Transit_temp!AN17,IF(AND(NOT($D$3),$F$3), SXS_Transit_temp!AN43,0)))</f>
        <v>0</v>
      </c>
      <c r="P50" s="225">
        <f>Index!$B$2*IF(AND($D$3,$F$3),SXS_Transit_temp!AO17+SXS_Transit_temp!AO43,IF(AND($D$3,NOT($F$3)), SXS_Transit_temp!AO17,IF(AND(NOT($D$3),$F$3), SXS_Transit_temp!AO43,0)))</f>
        <v>130</v>
      </c>
      <c r="Q50" s="224">
        <f>Index!$B$2*IF(AND($D$3,$F$3),SXS_Transit_temp!AP17+SXS_Transit_temp!AP43,IF(AND($D$3,NOT($F$3)), SXS_Transit_temp!AP17,IF(AND(NOT($D$3),$F$3), SXS_Transit_temp!AP43,0)))</f>
        <v>1250</v>
      </c>
      <c r="R50" s="225">
        <f>Index!$B$2*IF(AND($D$3,$F$3),SXS_Transit_temp!AQ17+SXS_Transit_temp!AQ43,IF(AND($D$3,NOT($F$3)), SXS_Transit_temp!AQ17,IF(AND(NOT($D$3),$F$3), SXS_Transit_temp!AQ43,0)))</f>
        <v>0</v>
      </c>
      <c r="S50" s="225">
        <f>Index!$B$2*IF(AND($D$3,$F$3),SXS_Transit_temp!AR17+SXS_Transit_temp!AR43,IF(AND($D$3,NOT($F$3)), SXS_Transit_temp!AR17,IF(AND(NOT($D$3),$F$3), SXS_Transit_temp!AR43,0)))</f>
        <v>0</v>
      </c>
      <c r="T50" s="225">
        <f>Index!$B$2*IF(AND($D$3,$F$3),SXS_Transit_temp!AS17+SXS_Transit_temp!AS43,IF(AND($D$3,NOT($F$3)), SXS_Transit_temp!AS17,IF(AND(NOT($D$3),$F$3), SXS_Transit_temp!AS43,0)))</f>
        <v>160</v>
      </c>
      <c r="U50" s="225">
        <f>Index!$B$2*IF(AND($D$3,$F$3),SXS_Transit_temp!AT17+SXS_Transit_temp!AT43,IF(AND($D$3,NOT($F$3)), SXS_Transit_temp!AT17,IF(AND(NOT($D$3),$F$3), SXS_Transit_temp!AT43,0)))</f>
        <v>0</v>
      </c>
      <c r="V50" s="225">
        <f>Index!$B$2*IF(AND($D$3,$F$3),SXS_Transit_temp!AU17+SXS_Transit_temp!AU43,IF(AND($D$3,NOT($F$3)), SXS_Transit_temp!AU17,IF(AND(NOT($D$3),$F$3), SXS_Transit_temp!AU43,0)))</f>
        <v>0</v>
      </c>
      <c r="W50" s="225">
        <f>Index!$B$2*IF(AND($D$3,$F$3),SXS_Transit_temp!AV17+SXS_Transit_temp!AV43,IF(AND($D$3,NOT($F$3)), SXS_Transit_temp!AV17,IF(AND(NOT($D$3),$F$3), SXS_Transit_temp!AV43,0)))</f>
        <v>5</v>
      </c>
      <c r="X50" s="225">
        <f>Index!$B$2*IF(AND($D$3,$F$3),SXS_Transit_temp!AW17+SXS_Transit_temp!AW43,IF(AND($D$3,NOT($F$3)), SXS_Transit_temp!AW17,IF(AND(NOT($D$3),$F$3), SXS_Transit_temp!AW43,0)))</f>
        <v>0</v>
      </c>
      <c r="Y50" s="225">
        <f>Index!$B$2*IF(AND($D$3,$F$3),SXS_Transit_temp!AX17+SXS_Transit_temp!AX43,IF(AND($D$3,NOT($F$3)), SXS_Transit_temp!AX17,IF(AND(NOT($D$3),$F$3), SXS_Transit_temp!AX43,0)))</f>
        <v>0</v>
      </c>
      <c r="Z50" s="225">
        <f>Index!$B$2*IF(AND($D$3,$F$3),SXS_Transit_temp!AY17+SXS_Transit_temp!AY43,IF(AND($D$3,NOT($F$3)), SXS_Transit_temp!AY17,IF(AND(NOT($D$3),$F$3), SXS_Transit_temp!AY43,0)))</f>
        <v>0</v>
      </c>
      <c r="AA50" s="225">
        <f>Index!$B$2*IF(AND($D$3,$F$3),SXS_Transit_temp!AZ17+SXS_Transit_temp!AZ43,IF(AND($D$3,NOT($F$3)), SXS_Transit_temp!AZ17,IF(AND(NOT($D$3),$F$3), SXS_Transit_temp!AZ43,0)))</f>
        <v>5</v>
      </c>
      <c r="AB50" s="226">
        <f t="shared" si="10"/>
        <v>7770</v>
      </c>
      <c r="AD50" s="223" t="s">
        <v>467</v>
      </c>
      <c r="AE50" s="234">
        <f t="shared" si="7"/>
        <v>0.70205920205920203</v>
      </c>
      <c r="AF50" s="234">
        <f t="shared" si="8"/>
        <v>6.4350064350064346E-3</v>
      </c>
      <c r="AG50" s="234">
        <f t="shared" si="8"/>
        <v>2.5740025740025739E-3</v>
      </c>
      <c r="AH50" s="234">
        <f t="shared" si="8"/>
        <v>6.4350064350064348E-4</v>
      </c>
      <c r="AI50" s="234">
        <f t="shared" si="8"/>
        <v>5.1480051480051478E-3</v>
      </c>
      <c r="AJ50" s="234">
        <f t="shared" si="8"/>
        <v>2.5740025740025739E-3</v>
      </c>
      <c r="AK50" s="234">
        <f t="shared" si="8"/>
        <v>8.3655083655083656E-3</v>
      </c>
      <c r="AL50" s="234">
        <f t="shared" si="8"/>
        <v>7.2072072072072071E-2</v>
      </c>
      <c r="AM50" s="234">
        <f t="shared" si="8"/>
        <v>0</v>
      </c>
      <c r="AN50" s="234">
        <f t="shared" si="8"/>
        <v>6.4350064350064348E-4</v>
      </c>
      <c r="AO50" s="234">
        <f t="shared" si="8"/>
        <v>0</v>
      </c>
      <c r="AP50" s="234">
        <f t="shared" si="8"/>
        <v>0</v>
      </c>
      <c r="AQ50" s="234">
        <f t="shared" si="8"/>
        <v>0</v>
      </c>
      <c r="AR50" s="234">
        <f t="shared" si="8"/>
        <v>1.6731016731016731E-2</v>
      </c>
      <c r="AS50" s="233">
        <f t="shared" si="8"/>
        <v>0.16087516087516088</v>
      </c>
      <c r="AT50" s="234">
        <f t="shared" si="8"/>
        <v>0</v>
      </c>
      <c r="AU50" s="234">
        <f t="shared" si="8"/>
        <v>0</v>
      </c>
      <c r="AV50" s="234">
        <f t="shared" si="9"/>
        <v>2.0592020592020591E-2</v>
      </c>
      <c r="AW50" s="234">
        <f t="shared" si="9"/>
        <v>0</v>
      </c>
      <c r="AX50" s="234">
        <f t="shared" si="9"/>
        <v>0</v>
      </c>
      <c r="AY50" s="234">
        <f t="shared" si="9"/>
        <v>6.4350064350064348E-4</v>
      </c>
      <c r="AZ50" s="234">
        <f t="shared" si="9"/>
        <v>0</v>
      </c>
      <c r="BA50" s="234">
        <f t="shared" si="9"/>
        <v>0</v>
      </c>
      <c r="BB50" s="234">
        <f t="shared" si="9"/>
        <v>0</v>
      </c>
      <c r="BC50" s="234">
        <f t="shared" si="9"/>
        <v>6.4350064350064348E-4</v>
      </c>
      <c r="BD50" s="237">
        <f t="shared" si="11"/>
        <v>0.99999999999999967</v>
      </c>
    </row>
    <row r="51" spans="2:56" x14ac:dyDescent="0.25">
      <c r="B51" s="223" t="s">
        <v>468</v>
      </c>
      <c r="C51" s="225">
        <f>Index!$B$2*IF(AND($D$3,$F$3),SXS_Transit_temp!AB18+SXS_Transit_temp!AB44,IF(AND($D$3,NOT($F$3)), SXS_Transit_temp!AB18,IF(AND(NOT($D$3),$F$3), SXS_Transit_temp!AB44,0)))</f>
        <v>175</v>
      </c>
      <c r="D51" s="225">
        <f>Index!$B$2*IF(AND($D$3,$F$3),SXS_Transit_temp!AC18+SXS_Transit_temp!AC44,IF(AND($D$3,NOT($F$3)), SXS_Transit_temp!AC18,IF(AND(NOT($D$3),$F$3), SXS_Transit_temp!AC44,0)))</f>
        <v>5</v>
      </c>
      <c r="E51" s="225">
        <f>Index!$B$2*IF(AND($D$3,$F$3),SXS_Transit_temp!AD18+SXS_Transit_temp!AD44,IF(AND($D$3,NOT($F$3)), SXS_Transit_temp!AD18,IF(AND(NOT($D$3),$F$3), SXS_Transit_temp!AD44,0)))</f>
        <v>0</v>
      </c>
      <c r="F51" s="225">
        <f>Index!$B$2*IF(AND($D$3,$F$3),SXS_Transit_temp!AE18+SXS_Transit_temp!AE44,IF(AND($D$3,NOT($F$3)), SXS_Transit_temp!AE18,IF(AND(NOT($D$3),$F$3), SXS_Transit_temp!AE44,0)))</f>
        <v>0</v>
      </c>
      <c r="G51" s="225">
        <f>Index!$B$2*IF(AND($D$3,$F$3),SXS_Transit_temp!AF18+SXS_Transit_temp!AF44,IF(AND($D$3,NOT($F$3)), SXS_Transit_temp!AF18,IF(AND(NOT($D$3),$F$3), SXS_Transit_temp!AF44,0)))</f>
        <v>0</v>
      </c>
      <c r="H51" s="225">
        <f>Index!$B$2*IF(AND($D$3,$F$3),SXS_Transit_temp!AG18+SXS_Transit_temp!AG44,IF(AND($D$3,NOT($F$3)), SXS_Transit_temp!AG18,IF(AND(NOT($D$3),$F$3), SXS_Transit_temp!AG44,0)))</f>
        <v>0</v>
      </c>
      <c r="I51" s="225">
        <f>Index!$B$2*IF(AND($D$3,$F$3),SXS_Transit_temp!AH18+SXS_Transit_temp!AH44,IF(AND($D$3,NOT($F$3)), SXS_Transit_temp!AH18,IF(AND(NOT($D$3),$F$3), SXS_Transit_temp!AH44,0)))</f>
        <v>0</v>
      </c>
      <c r="J51" s="225">
        <f>Index!$B$2*IF(AND($D$3,$F$3),SXS_Transit_temp!AI18+SXS_Transit_temp!AI44,IF(AND($D$3,NOT($F$3)), SXS_Transit_temp!AI18,IF(AND(NOT($D$3),$F$3), SXS_Transit_temp!AI44,0)))</f>
        <v>0</v>
      </c>
      <c r="K51" s="225">
        <f>Index!$B$2*IF(AND($D$3,$F$3),SXS_Transit_temp!AJ18+SXS_Transit_temp!AJ44,IF(AND($D$3,NOT($F$3)), SXS_Transit_temp!AJ18,IF(AND(NOT($D$3),$F$3), SXS_Transit_temp!AJ44,0)))</f>
        <v>15</v>
      </c>
      <c r="L51" s="225">
        <f>Index!$B$2*IF(AND($D$3,$F$3),SXS_Transit_temp!AK18+SXS_Transit_temp!AK44,IF(AND($D$3,NOT($F$3)), SXS_Transit_temp!AK18,IF(AND(NOT($D$3),$F$3), SXS_Transit_temp!AK44,0)))</f>
        <v>0</v>
      </c>
      <c r="M51" s="225">
        <f>Index!$B$2*IF(AND($D$3,$F$3),SXS_Transit_temp!AL18+SXS_Transit_temp!AL44,IF(AND($D$3,NOT($F$3)), SXS_Transit_temp!AL18,IF(AND(NOT($D$3),$F$3), SXS_Transit_temp!AL44,0)))</f>
        <v>0</v>
      </c>
      <c r="N51" s="225">
        <f>Index!$B$2*IF(AND($D$3,$F$3),SXS_Transit_temp!AM18+SXS_Transit_temp!AM44,IF(AND($D$3,NOT($F$3)), SXS_Transit_temp!AM18,IF(AND(NOT($D$3),$F$3), SXS_Transit_temp!AM44,0)))</f>
        <v>0</v>
      </c>
      <c r="O51" s="225">
        <f>Index!$B$2*IF(AND($D$3,$F$3),SXS_Transit_temp!AN18+SXS_Transit_temp!AN44,IF(AND($D$3,NOT($F$3)), SXS_Transit_temp!AN18,IF(AND(NOT($D$3),$F$3), SXS_Transit_temp!AN44,0)))</f>
        <v>0</v>
      </c>
      <c r="P51" s="225">
        <f>Index!$B$2*IF(AND($D$3,$F$3),SXS_Transit_temp!AO18+SXS_Transit_temp!AO44,IF(AND($D$3,NOT($F$3)), SXS_Transit_temp!AO18,IF(AND(NOT($D$3),$F$3), SXS_Transit_temp!AO44,0)))</f>
        <v>0</v>
      </c>
      <c r="Q51" s="225">
        <f>Index!$B$2*IF(AND($D$3,$F$3),SXS_Transit_temp!AP18+SXS_Transit_temp!AP44,IF(AND($D$3,NOT($F$3)), SXS_Transit_temp!AP18,IF(AND(NOT($D$3),$F$3), SXS_Transit_temp!AP44,0)))</f>
        <v>0</v>
      </c>
      <c r="R51" s="224">
        <f>Index!$B$2*IF(AND($D$3,$F$3),SXS_Transit_temp!AQ18+SXS_Transit_temp!AQ44,IF(AND($D$3,NOT($F$3)), SXS_Transit_temp!AQ18,IF(AND(NOT($D$3),$F$3), SXS_Transit_temp!AQ44,0)))</f>
        <v>0</v>
      </c>
      <c r="S51" s="225">
        <f>Index!$B$2*IF(AND($D$3,$F$3),SXS_Transit_temp!AR18+SXS_Transit_temp!AR44,IF(AND($D$3,NOT($F$3)), SXS_Transit_temp!AR18,IF(AND(NOT($D$3),$F$3), SXS_Transit_temp!AR44,0)))</f>
        <v>0</v>
      </c>
      <c r="T51" s="225">
        <f>Index!$B$2*IF(AND($D$3,$F$3),SXS_Transit_temp!AS18+SXS_Transit_temp!AS44,IF(AND($D$3,NOT($F$3)), SXS_Transit_temp!AS18,IF(AND(NOT($D$3),$F$3), SXS_Transit_temp!AS44,0)))</f>
        <v>0</v>
      </c>
      <c r="U51" s="225">
        <f>Index!$B$2*IF(AND($D$3,$F$3),SXS_Transit_temp!AT18+SXS_Transit_temp!AT44,IF(AND($D$3,NOT($F$3)), SXS_Transit_temp!AT18,IF(AND(NOT($D$3),$F$3), SXS_Transit_temp!AT44,0)))</f>
        <v>0</v>
      </c>
      <c r="V51" s="225">
        <f>Index!$B$2*IF(AND($D$3,$F$3),SXS_Transit_temp!AU18+SXS_Transit_temp!AU44,IF(AND($D$3,NOT($F$3)), SXS_Transit_temp!AU18,IF(AND(NOT($D$3),$F$3), SXS_Transit_temp!AU44,0)))</f>
        <v>10</v>
      </c>
      <c r="W51" s="225">
        <f>Index!$B$2*IF(AND($D$3,$F$3),SXS_Transit_temp!AV18+SXS_Transit_temp!AV44,IF(AND($D$3,NOT($F$3)), SXS_Transit_temp!AV18,IF(AND(NOT($D$3),$F$3), SXS_Transit_temp!AV44,0)))</f>
        <v>70</v>
      </c>
      <c r="X51" s="225">
        <f>Index!$B$2*IF(AND($D$3,$F$3),SXS_Transit_temp!AW18+SXS_Transit_temp!AW44,IF(AND($D$3,NOT($F$3)), SXS_Transit_temp!AW18,IF(AND(NOT($D$3),$F$3), SXS_Transit_temp!AW44,0)))</f>
        <v>0</v>
      </c>
      <c r="Y51" s="225">
        <f>Index!$B$2*IF(AND($D$3,$F$3),SXS_Transit_temp!AX18+SXS_Transit_temp!AX44,IF(AND($D$3,NOT($F$3)), SXS_Transit_temp!AX18,IF(AND(NOT($D$3),$F$3), SXS_Transit_temp!AX44,0)))</f>
        <v>0</v>
      </c>
      <c r="Z51" s="225">
        <f>Index!$B$2*IF(AND($D$3,$F$3),SXS_Transit_temp!AY18+SXS_Transit_temp!AY44,IF(AND($D$3,NOT($F$3)), SXS_Transit_temp!AY18,IF(AND(NOT($D$3),$F$3), SXS_Transit_temp!AY44,0)))</f>
        <v>0</v>
      </c>
      <c r="AA51" s="225">
        <f>Index!$B$2*IF(AND($D$3,$F$3),SXS_Transit_temp!AZ18+SXS_Transit_temp!AZ44,IF(AND($D$3,NOT($F$3)), SXS_Transit_temp!AZ18,IF(AND(NOT($D$3),$F$3), SXS_Transit_temp!AZ44,0)))</f>
        <v>0</v>
      </c>
      <c r="AB51" s="226">
        <f t="shared" si="10"/>
        <v>275</v>
      </c>
      <c r="AD51" s="223" t="s">
        <v>468</v>
      </c>
      <c r="AE51" s="234">
        <f t="shared" si="7"/>
        <v>0.63636363636363635</v>
      </c>
      <c r="AF51" s="234">
        <f t="shared" si="8"/>
        <v>1.8181818181818181E-2</v>
      </c>
      <c r="AG51" s="234">
        <f t="shared" si="8"/>
        <v>0</v>
      </c>
      <c r="AH51" s="234">
        <f t="shared" si="8"/>
        <v>0</v>
      </c>
      <c r="AI51" s="234">
        <f t="shared" si="8"/>
        <v>0</v>
      </c>
      <c r="AJ51" s="234">
        <f t="shared" si="8"/>
        <v>0</v>
      </c>
      <c r="AK51" s="234">
        <f t="shared" si="8"/>
        <v>0</v>
      </c>
      <c r="AL51" s="234">
        <f t="shared" si="8"/>
        <v>0</v>
      </c>
      <c r="AM51" s="234">
        <f t="shared" si="8"/>
        <v>5.4545454545454543E-2</v>
      </c>
      <c r="AN51" s="234">
        <f t="shared" si="8"/>
        <v>0</v>
      </c>
      <c r="AO51" s="234">
        <f t="shared" si="8"/>
        <v>0</v>
      </c>
      <c r="AP51" s="234">
        <f t="shared" si="8"/>
        <v>0</v>
      </c>
      <c r="AQ51" s="234">
        <f t="shared" si="8"/>
        <v>0</v>
      </c>
      <c r="AR51" s="234">
        <f t="shared" si="8"/>
        <v>0</v>
      </c>
      <c r="AS51" s="234">
        <f t="shared" si="8"/>
        <v>0</v>
      </c>
      <c r="AT51" s="233">
        <f t="shared" si="8"/>
        <v>0</v>
      </c>
      <c r="AU51" s="234">
        <f t="shared" ref="AU51:AU61" si="12">IF($AB51&gt;0,S51/$AB51,"")</f>
        <v>0</v>
      </c>
      <c r="AV51" s="234">
        <f t="shared" si="9"/>
        <v>0</v>
      </c>
      <c r="AW51" s="234">
        <f t="shared" si="9"/>
        <v>0</v>
      </c>
      <c r="AX51" s="234">
        <f t="shared" si="9"/>
        <v>3.6363636363636362E-2</v>
      </c>
      <c r="AY51" s="234">
        <f t="shared" si="9"/>
        <v>0.25454545454545452</v>
      </c>
      <c r="AZ51" s="234">
        <f t="shared" si="9"/>
        <v>0</v>
      </c>
      <c r="BA51" s="234">
        <f t="shared" si="9"/>
        <v>0</v>
      </c>
      <c r="BB51" s="234">
        <f t="shared" si="9"/>
        <v>0</v>
      </c>
      <c r="BC51" s="234">
        <f t="shared" si="9"/>
        <v>0</v>
      </c>
      <c r="BD51" s="237">
        <f t="shared" si="11"/>
        <v>1</v>
      </c>
    </row>
    <row r="52" spans="2:56" x14ac:dyDescent="0.25">
      <c r="B52" s="223" t="s">
        <v>469</v>
      </c>
      <c r="C52" s="225">
        <f>Index!$B$2*IF(AND($D$3,$F$3),SXS_Transit_temp!AB19+SXS_Transit_temp!AB45,IF(AND($D$3,NOT($F$3)), SXS_Transit_temp!AB19,IF(AND(NOT($D$3),$F$3), SXS_Transit_temp!AB45,0)))</f>
        <v>10</v>
      </c>
      <c r="D52" s="225">
        <f>Index!$B$2*IF(AND($D$3,$F$3),SXS_Transit_temp!AC19+SXS_Transit_temp!AC45,IF(AND($D$3,NOT($F$3)), SXS_Transit_temp!AC19,IF(AND(NOT($D$3),$F$3), SXS_Transit_temp!AC45,0)))</f>
        <v>0</v>
      </c>
      <c r="E52" s="225">
        <f>Index!$B$2*IF(AND($D$3,$F$3),SXS_Transit_temp!AD19+SXS_Transit_temp!AD45,IF(AND($D$3,NOT($F$3)), SXS_Transit_temp!AD19,IF(AND(NOT($D$3),$F$3), SXS_Transit_temp!AD45,0)))</f>
        <v>0</v>
      </c>
      <c r="F52" s="225">
        <f>Index!$B$2*IF(AND($D$3,$F$3),SXS_Transit_temp!AE19+SXS_Transit_temp!AE45,IF(AND($D$3,NOT($F$3)), SXS_Transit_temp!AE19,IF(AND(NOT($D$3),$F$3), SXS_Transit_temp!AE45,0)))</f>
        <v>0</v>
      </c>
      <c r="G52" s="225">
        <f>Index!$B$2*IF(AND($D$3,$F$3),SXS_Transit_temp!AF19+SXS_Transit_temp!AF45,IF(AND($D$3,NOT($F$3)), SXS_Transit_temp!AF19,IF(AND(NOT($D$3),$F$3), SXS_Transit_temp!AF45,0)))</f>
        <v>0</v>
      </c>
      <c r="H52" s="225">
        <f>Index!$B$2*IF(AND($D$3,$F$3),SXS_Transit_temp!AG19+SXS_Transit_temp!AG45,IF(AND($D$3,NOT($F$3)), SXS_Transit_temp!AG19,IF(AND(NOT($D$3),$F$3), SXS_Transit_temp!AG45,0)))</f>
        <v>0</v>
      </c>
      <c r="I52" s="225">
        <f>Index!$B$2*IF(AND($D$3,$F$3),SXS_Transit_temp!AH19+SXS_Transit_temp!AH45,IF(AND($D$3,NOT($F$3)), SXS_Transit_temp!AH19,IF(AND(NOT($D$3),$F$3), SXS_Transit_temp!AH45,0)))</f>
        <v>0</v>
      </c>
      <c r="J52" s="225">
        <f>Index!$B$2*IF(AND($D$3,$F$3),SXS_Transit_temp!AI19+SXS_Transit_temp!AI45,IF(AND($D$3,NOT($F$3)), SXS_Transit_temp!AI19,IF(AND(NOT($D$3),$F$3), SXS_Transit_temp!AI45,0)))</f>
        <v>20</v>
      </c>
      <c r="K52" s="225">
        <f>Index!$B$2*IF(AND($D$3,$F$3),SXS_Transit_temp!AJ19+SXS_Transit_temp!AJ45,IF(AND($D$3,NOT($F$3)), SXS_Transit_temp!AJ19,IF(AND(NOT($D$3),$F$3), SXS_Transit_temp!AJ45,0)))</f>
        <v>0</v>
      </c>
      <c r="L52" s="225">
        <f>Index!$B$2*IF(AND($D$3,$F$3),SXS_Transit_temp!AK19+SXS_Transit_temp!AK45,IF(AND($D$3,NOT($F$3)), SXS_Transit_temp!AK19,IF(AND(NOT($D$3),$F$3), SXS_Transit_temp!AK45,0)))</f>
        <v>0</v>
      </c>
      <c r="M52" s="225">
        <f>Index!$B$2*IF(AND($D$3,$F$3),SXS_Transit_temp!AL19+SXS_Transit_temp!AL45,IF(AND($D$3,NOT($F$3)), SXS_Transit_temp!AL19,IF(AND(NOT($D$3),$F$3), SXS_Transit_temp!AL45,0)))</f>
        <v>0</v>
      </c>
      <c r="N52" s="225">
        <f>Index!$B$2*IF(AND($D$3,$F$3),SXS_Transit_temp!AM19+SXS_Transit_temp!AM45,IF(AND($D$3,NOT($F$3)), SXS_Transit_temp!AM19,IF(AND(NOT($D$3),$F$3), SXS_Transit_temp!AM45,0)))</f>
        <v>0</v>
      </c>
      <c r="O52" s="225">
        <f>Index!$B$2*IF(AND($D$3,$F$3),SXS_Transit_temp!AN19+SXS_Transit_temp!AN45,IF(AND($D$3,NOT($F$3)), SXS_Transit_temp!AN19,IF(AND(NOT($D$3),$F$3), SXS_Transit_temp!AN45,0)))</f>
        <v>0</v>
      </c>
      <c r="P52" s="225">
        <f>Index!$B$2*IF(AND($D$3,$F$3),SXS_Transit_temp!AO19+SXS_Transit_temp!AO45,IF(AND($D$3,NOT($F$3)), SXS_Transit_temp!AO19,IF(AND(NOT($D$3),$F$3), SXS_Transit_temp!AO45,0)))</f>
        <v>0</v>
      </c>
      <c r="Q52" s="225">
        <f>Index!$B$2*IF(AND($D$3,$F$3),SXS_Transit_temp!AP19+SXS_Transit_temp!AP45,IF(AND($D$3,NOT($F$3)), SXS_Transit_temp!AP19,IF(AND(NOT($D$3),$F$3), SXS_Transit_temp!AP45,0)))</f>
        <v>0</v>
      </c>
      <c r="R52" s="225">
        <f>Index!$B$2*IF(AND($D$3,$F$3),SXS_Transit_temp!AQ19+SXS_Transit_temp!AQ45,IF(AND($D$3,NOT($F$3)), SXS_Transit_temp!AQ19,IF(AND(NOT($D$3),$F$3), SXS_Transit_temp!AQ45,0)))</f>
        <v>0</v>
      </c>
      <c r="S52" s="224">
        <f>Index!$B$2*IF(AND($D$3,$F$3),SXS_Transit_temp!AR19+SXS_Transit_temp!AR45,IF(AND($D$3,NOT($F$3)), SXS_Transit_temp!AR19,IF(AND(NOT($D$3),$F$3), SXS_Transit_temp!AR45,0)))</f>
        <v>0</v>
      </c>
      <c r="T52" s="225">
        <f>Index!$B$2*IF(AND($D$3,$F$3),SXS_Transit_temp!AS19+SXS_Transit_temp!AS45,IF(AND($D$3,NOT($F$3)), SXS_Transit_temp!AS19,IF(AND(NOT($D$3),$F$3), SXS_Transit_temp!AS45,0)))</f>
        <v>0</v>
      </c>
      <c r="U52" s="225">
        <f>Index!$B$2*IF(AND($D$3,$F$3),SXS_Transit_temp!AT19+SXS_Transit_temp!AT45,IF(AND($D$3,NOT($F$3)), SXS_Transit_temp!AT19,IF(AND(NOT($D$3),$F$3), SXS_Transit_temp!AT45,0)))</f>
        <v>0</v>
      </c>
      <c r="V52" s="225">
        <f>Index!$B$2*IF(AND($D$3,$F$3),SXS_Transit_temp!AU19+SXS_Transit_temp!AU45,IF(AND($D$3,NOT($F$3)), SXS_Transit_temp!AU19,IF(AND(NOT($D$3),$F$3), SXS_Transit_temp!AU45,0)))</f>
        <v>0</v>
      </c>
      <c r="W52" s="225">
        <f>Index!$B$2*IF(AND($D$3,$F$3),SXS_Transit_temp!AV19+SXS_Transit_temp!AV45,IF(AND($D$3,NOT($F$3)), SXS_Transit_temp!AV19,IF(AND(NOT($D$3),$F$3), SXS_Transit_temp!AV45,0)))</f>
        <v>0</v>
      </c>
      <c r="X52" s="225">
        <f>Index!$B$2*IF(AND($D$3,$F$3),SXS_Transit_temp!AW19+SXS_Transit_temp!AW45,IF(AND($D$3,NOT($F$3)), SXS_Transit_temp!AW19,IF(AND(NOT($D$3),$F$3), SXS_Transit_temp!AW45,0)))</f>
        <v>0</v>
      </c>
      <c r="Y52" s="225">
        <f>Index!$B$2*IF(AND($D$3,$F$3),SXS_Transit_temp!AX19+SXS_Transit_temp!AX45,IF(AND($D$3,NOT($F$3)), SXS_Transit_temp!AX19,IF(AND(NOT($D$3),$F$3), SXS_Transit_temp!AX45,0)))</f>
        <v>0</v>
      </c>
      <c r="Z52" s="225">
        <f>Index!$B$2*IF(AND($D$3,$F$3),SXS_Transit_temp!AY19+SXS_Transit_temp!AY45,IF(AND($D$3,NOT($F$3)), SXS_Transit_temp!AY19,IF(AND(NOT($D$3),$F$3), SXS_Transit_temp!AY45,0)))</f>
        <v>0</v>
      </c>
      <c r="AA52" s="225">
        <f>Index!$B$2*IF(AND($D$3,$F$3),SXS_Transit_temp!AZ19+SXS_Transit_temp!AZ45,IF(AND($D$3,NOT($F$3)), SXS_Transit_temp!AZ19,IF(AND(NOT($D$3),$F$3), SXS_Transit_temp!AZ45,0)))</f>
        <v>0</v>
      </c>
      <c r="AB52" s="226">
        <f t="shared" si="10"/>
        <v>30</v>
      </c>
      <c r="AD52" s="223" t="s">
        <v>469</v>
      </c>
      <c r="AE52" s="234">
        <f t="shared" si="7"/>
        <v>0.33333333333333331</v>
      </c>
      <c r="AF52" s="234">
        <f t="shared" ref="AF52:AF61" si="13">IF($AB52&gt;0,D52/$AB52,"")</f>
        <v>0</v>
      </c>
      <c r="AG52" s="234">
        <f t="shared" ref="AG52:AG61" si="14">IF($AB52&gt;0,E52/$AB52,"")</f>
        <v>0</v>
      </c>
      <c r="AH52" s="234">
        <f t="shared" ref="AH52:AH61" si="15">IF($AB52&gt;0,F52/$AB52,"")</f>
        <v>0</v>
      </c>
      <c r="AI52" s="234">
        <f t="shared" ref="AI52:AI61" si="16">IF($AB52&gt;0,G52/$AB52,"")</f>
        <v>0</v>
      </c>
      <c r="AJ52" s="234">
        <f t="shared" ref="AJ52:AJ61" si="17">IF($AB52&gt;0,H52/$AB52,"")</f>
        <v>0</v>
      </c>
      <c r="AK52" s="234">
        <f t="shared" ref="AK52:AK61" si="18">IF($AB52&gt;0,I52/$AB52,"")</f>
        <v>0</v>
      </c>
      <c r="AL52" s="234">
        <f t="shared" ref="AL52:AL61" si="19">IF($AB52&gt;0,J52/$AB52,"")</f>
        <v>0.66666666666666663</v>
      </c>
      <c r="AM52" s="234">
        <f t="shared" ref="AM52:AM61" si="20">IF($AB52&gt;0,K52/$AB52,"")</f>
        <v>0</v>
      </c>
      <c r="AN52" s="234">
        <f t="shared" ref="AN52:AN61" si="21">IF($AB52&gt;0,L52/$AB52,"")</f>
        <v>0</v>
      </c>
      <c r="AO52" s="234">
        <f t="shared" ref="AO52:AO61" si="22">IF($AB52&gt;0,M52/$AB52,"")</f>
        <v>0</v>
      </c>
      <c r="AP52" s="234">
        <f t="shared" ref="AP52:AP61" si="23">IF($AB52&gt;0,N52/$AB52,"")</f>
        <v>0</v>
      </c>
      <c r="AQ52" s="234">
        <f t="shared" ref="AQ52:AQ61" si="24">IF($AB52&gt;0,O52/$AB52,"")</f>
        <v>0</v>
      </c>
      <c r="AR52" s="234">
        <f t="shared" ref="AR52:AR61" si="25">IF($AB52&gt;0,P52/$AB52,"")</f>
        <v>0</v>
      </c>
      <c r="AS52" s="234">
        <f t="shared" ref="AS52:AS61" si="26">IF($AB52&gt;0,Q52/$AB52,"")</f>
        <v>0</v>
      </c>
      <c r="AT52" s="234">
        <f t="shared" ref="AT52:AT61" si="27">IF($AB52&gt;0,R52/$AB52,"")</f>
        <v>0</v>
      </c>
      <c r="AU52" s="233">
        <f t="shared" si="12"/>
        <v>0</v>
      </c>
      <c r="AV52" s="234">
        <f t="shared" si="9"/>
        <v>0</v>
      </c>
      <c r="AW52" s="234">
        <f t="shared" si="9"/>
        <v>0</v>
      </c>
      <c r="AX52" s="234">
        <f t="shared" si="9"/>
        <v>0</v>
      </c>
      <c r="AY52" s="234">
        <f t="shared" si="9"/>
        <v>0</v>
      </c>
      <c r="AZ52" s="234">
        <f t="shared" si="9"/>
        <v>0</v>
      </c>
      <c r="BA52" s="234">
        <f t="shared" si="9"/>
        <v>0</v>
      </c>
      <c r="BB52" s="234">
        <f t="shared" si="9"/>
        <v>0</v>
      </c>
      <c r="BC52" s="234">
        <f t="shared" si="9"/>
        <v>0</v>
      </c>
      <c r="BD52" s="237">
        <f t="shared" si="11"/>
        <v>1</v>
      </c>
    </row>
    <row r="53" spans="2:56" x14ac:dyDescent="0.25">
      <c r="B53" s="223" t="s">
        <v>470</v>
      </c>
      <c r="C53" s="225">
        <f>Index!$B$2*IF(AND($D$3,$F$3),SXS_Transit_temp!AB20+SXS_Transit_temp!AB46,IF(AND($D$3,NOT($F$3)), SXS_Transit_temp!AB20,IF(AND(NOT($D$3),$F$3), SXS_Transit_temp!AB46,0)))</f>
        <v>2230</v>
      </c>
      <c r="D53" s="225">
        <f>Index!$B$2*IF(AND($D$3,$F$3),SXS_Transit_temp!AC20+SXS_Transit_temp!AC46,IF(AND($D$3,NOT($F$3)), SXS_Transit_temp!AC20,IF(AND(NOT($D$3),$F$3), SXS_Transit_temp!AC46,0)))</f>
        <v>10</v>
      </c>
      <c r="E53" s="225">
        <f>Index!$B$2*IF(AND($D$3,$F$3),SXS_Transit_temp!AD20+SXS_Transit_temp!AD46,IF(AND($D$3,NOT($F$3)), SXS_Transit_temp!AD20,IF(AND(NOT($D$3),$F$3), SXS_Transit_temp!AD46,0)))</f>
        <v>5</v>
      </c>
      <c r="F53" s="225">
        <f>Index!$B$2*IF(AND($D$3,$F$3),SXS_Transit_temp!AE20+SXS_Transit_temp!AE46,IF(AND($D$3,NOT($F$3)), SXS_Transit_temp!AE20,IF(AND(NOT($D$3),$F$3), SXS_Transit_temp!AE46,0)))</f>
        <v>10</v>
      </c>
      <c r="G53" s="225">
        <f>Index!$B$2*IF(AND($D$3,$F$3),SXS_Transit_temp!AF20+SXS_Transit_temp!AF46,IF(AND($D$3,NOT($F$3)), SXS_Transit_temp!AF20,IF(AND(NOT($D$3),$F$3), SXS_Transit_temp!AF46,0)))</f>
        <v>0</v>
      </c>
      <c r="H53" s="225">
        <f>Index!$B$2*IF(AND($D$3,$F$3),SXS_Transit_temp!AG20+SXS_Transit_temp!AG46,IF(AND($D$3,NOT($F$3)), SXS_Transit_temp!AG20,IF(AND(NOT($D$3),$F$3), SXS_Transit_temp!AG46,0)))</f>
        <v>0</v>
      </c>
      <c r="I53" s="225">
        <f>Index!$B$2*IF(AND($D$3,$F$3),SXS_Transit_temp!AH20+SXS_Transit_temp!AH46,IF(AND($D$3,NOT($F$3)), SXS_Transit_temp!AH20,IF(AND(NOT($D$3),$F$3), SXS_Transit_temp!AH46,0)))</f>
        <v>0</v>
      </c>
      <c r="J53" s="225">
        <f>Index!$B$2*IF(AND($D$3,$F$3),SXS_Transit_temp!AI20+SXS_Transit_temp!AI46,IF(AND($D$3,NOT($F$3)), SXS_Transit_temp!AI20,IF(AND(NOT($D$3),$F$3), SXS_Transit_temp!AI46,0)))</f>
        <v>135</v>
      </c>
      <c r="K53" s="225">
        <f>Index!$B$2*IF(AND($D$3,$F$3),SXS_Transit_temp!AJ20+SXS_Transit_temp!AJ46,IF(AND($D$3,NOT($F$3)), SXS_Transit_temp!AJ20,IF(AND(NOT($D$3),$F$3), SXS_Transit_temp!AJ46,0)))</f>
        <v>0</v>
      </c>
      <c r="L53" s="225">
        <f>Index!$B$2*IF(AND($D$3,$F$3),SXS_Transit_temp!AK20+SXS_Transit_temp!AK46,IF(AND($D$3,NOT($F$3)), SXS_Transit_temp!AK20,IF(AND(NOT($D$3),$F$3), SXS_Transit_temp!AK46,0)))</f>
        <v>0</v>
      </c>
      <c r="M53" s="225">
        <f>Index!$B$2*IF(AND($D$3,$F$3),SXS_Transit_temp!AL20+SXS_Transit_temp!AL46,IF(AND($D$3,NOT($F$3)), SXS_Transit_temp!AL20,IF(AND(NOT($D$3),$F$3), SXS_Transit_temp!AL46,0)))</f>
        <v>0</v>
      </c>
      <c r="N53" s="225">
        <f>Index!$B$2*IF(AND($D$3,$F$3),SXS_Transit_temp!AM20+SXS_Transit_temp!AM46,IF(AND($D$3,NOT($F$3)), SXS_Transit_temp!AM20,IF(AND(NOT($D$3),$F$3), SXS_Transit_temp!AM46,0)))</f>
        <v>0</v>
      </c>
      <c r="O53" s="225">
        <f>Index!$B$2*IF(AND($D$3,$F$3),SXS_Transit_temp!AN20+SXS_Transit_temp!AN46,IF(AND($D$3,NOT($F$3)), SXS_Transit_temp!AN20,IF(AND(NOT($D$3),$F$3), SXS_Transit_temp!AN46,0)))</f>
        <v>0</v>
      </c>
      <c r="P53" s="225">
        <f>Index!$B$2*IF(AND($D$3,$F$3),SXS_Transit_temp!AO20+SXS_Transit_temp!AO46,IF(AND($D$3,NOT($F$3)), SXS_Transit_temp!AO20,IF(AND(NOT($D$3),$F$3), SXS_Transit_temp!AO46,0)))</f>
        <v>5</v>
      </c>
      <c r="Q53" s="225">
        <f>Index!$B$2*IF(AND($D$3,$F$3),SXS_Transit_temp!AP20+SXS_Transit_temp!AP46,IF(AND($D$3,NOT($F$3)), SXS_Transit_temp!AP20,IF(AND(NOT($D$3),$F$3), SXS_Transit_temp!AP46,0)))</f>
        <v>10</v>
      </c>
      <c r="R53" s="225">
        <f>Index!$B$2*IF(AND($D$3,$F$3),SXS_Transit_temp!AQ20+SXS_Transit_temp!AQ46,IF(AND($D$3,NOT($F$3)), SXS_Transit_temp!AQ20,IF(AND(NOT($D$3),$F$3), SXS_Transit_temp!AQ46,0)))</f>
        <v>0</v>
      </c>
      <c r="S53" s="225">
        <f>Index!$B$2*IF(AND($D$3,$F$3),SXS_Transit_temp!AR20+SXS_Transit_temp!AR46,IF(AND($D$3,NOT($F$3)), SXS_Transit_temp!AR20,IF(AND(NOT($D$3),$F$3), SXS_Transit_temp!AR46,0)))</f>
        <v>0</v>
      </c>
      <c r="T53" s="224">
        <f>Index!$B$2*IF(AND($D$3,$F$3),SXS_Transit_temp!AS20+SXS_Transit_temp!AS46,IF(AND($D$3,NOT($F$3)), SXS_Transit_temp!AS20,IF(AND(NOT($D$3),$F$3), SXS_Transit_temp!AS46,0)))</f>
        <v>100</v>
      </c>
      <c r="U53" s="225">
        <f>Index!$B$2*IF(AND($D$3,$F$3),SXS_Transit_temp!AT20+SXS_Transit_temp!AT46,IF(AND($D$3,NOT($F$3)), SXS_Transit_temp!AT20,IF(AND(NOT($D$3),$F$3), SXS_Transit_temp!AT46,0)))</f>
        <v>10</v>
      </c>
      <c r="V53" s="225">
        <f>Index!$B$2*IF(AND($D$3,$F$3),SXS_Transit_temp!AU20+SXS_Transit_temp!AU46,IF(AND($D$3,NOT($F$3)), SXS_Transit_temp!AU20,IF(AND(NOT($D$3),$F$3), SXS_Transit_temp!AU46,0)))</f>
        <v>10</v>
      </c>
      <c r="W53" s="225">
        <f>Index!$B$2*IF(AND($D$3,$F$3),SXS_Transit_temp!AV20+SXS_Transit_temp!AV46,IF(AND($D$3,NOT($F$3)), SXS_Transit_temp!AV20,IF(AND(NOT($D$3),$F$3), SXS_Transit_temp!AV46,0)))</f>
        <v>0</v>
      </c>
      <c r="X53" s="225">
        <f>Index!$B$2*IF(AND($D$3,$F$3),SXS_Transit_temp!AW20+SXS_Transit_temp!AW46,IF(AND($D$3,NOT($F$3)), SXS_Transit_temp!AW20,IF(AND(NOT($D$3),$F$3), SXS_Transit_temp!AW46,0)))</f>
        <v>0</v>
      </c>
      <c r="Y53" s="225">
        <f>Index!$B$2*IF(AND($D$3,$F$3),SXS_Transit_temp!AX20+SXS_Transit_temp!AX46,IF(AND($D$3,NOT($F$3)), SXS_Transit_temp!AX20,IF(AND(NOT($D$3),$F$3), SXS_Transit_temp!AX46,0)))</f>
        <v>0</v>
      </c>
      <c r="Z53" s="225">
        <f>Index!$B$2*IF(AND($D$3,$F$3),SXS_Transit_temp!AY20+SXS_Transit_temp!AY46,IF(AND($D$3,NOT($F$3)), SXS_Transit_temp!AY20,IF(AND(NOT($D$3),$F$3), SXS_Transit_temp!AY46,0)))</f>
        <v>0</v>
      </c>
      <c r="AA53" s="225">
        <f>Index!$B$2*IF(AND($D$3,$F$3),SXS_Transit_temp!AZ20+SXS_Transit_temp!AZ46,IF(AND($D$3,NOT($F$3)), SXS_Transit_temp!AZ20,IF(AND(NOT($D$3),$F$3), SXS_Transit_temp!AZ46,0)))</f>
        <v>0</v>
      </c>
      <c r="AB53" s="226">
        <f t="shared" si="10"/>
        <v>2525</v>
      </c>
      <c r="AD53" s="223" t="s">
        <v>470</v>
      </c>
      <c r="AE53" s="234">
        <f t="shared" si="7"/>
        <v>0.88316831683168318</v>
      </c>
      <c r="AF53" s="234">
        <f t="shared" si="13"/>
        <v>3.9603960396039604E-3</v>
      </c>
      <c r="AG53" s="234">
        <f t="shared" si="14"/>
        <v>1.9801980198019802E-3</v>
      </c>
      <c r="AH53" s="234">
        <f t="shared" si="15"/>
        <v>3.9603960396039604E-3</v>
      </c>
      <c r="AI53" s="234">
        <f t="shared" si="16"/>
        <v>0</v>
      </c>
      <c r="AJ53" s="234">
        <f t="shared" si="17"/>
        <v>0</v>
      </c>
      <c r="AK53" s="234">
        <f t="shared" si="18"/>
        <v>0</v>
      </c>
      <c r="AL53" s="234">
        <f t="shared" si="19"/>
        <v>5.3465346534653464E-2</v>
      </c>
      <c r="AM53" s="234">
        <f t="shared" si="20"/>
        <v>0</v>
      </c>
      <c r="AN53" s="234">
        <f t="shared" si="21"/>
        <v>0</v>
      </c>
      <c r="AO53" s="234">
        <f t="shared" si="22"/>
        <v>0</v>
      </c>
      <c r="AP53" s="234">
        <f t="shared" si="23"/>
        <v>0</v>
      </c>
      <c r="AQ53" s="234">
        <f t="shared" si="24"/>
        <v>0</v>
      </c>
      <c r="AR53" s="234">
        <f t="shared" si="25"/>
        <v>1.9801980198019802E-3</v>
      </c>
      <c r="AS53" s="234">
        <f t="shared" si="26"/>
        <v>3.9603960396039604E-3</v>
      </c>
      <c r="AT53" s="234">
        <f t="shared" si="27"/>
        <v>0</v>
      </c>
      <c r="AU53" s="234">
        <f t="shared" si="12"/>
        <v>0</v>
      </c>
      <c r="AV53" s="233">
        <f t="shared" si="9"/>
        <v>3.9603960396039604E-2</v>
      </c>
      <c r="AW53" s="234">
        <f t="shared" si="9"/>
        <v>3.9603960396039604E-3</v>
      </c>
      <c r="AX53" s="234">
        <f t="shared" si="9"/>
        <v>3.9603960396039604E-3</v>
      </c>
      <c r="AY53" s="234">
        <f t="shared" si="9"/>
        <v>0</v>
      </c>
      <c r="AZ53" s="234">
        <f t="shared" si="9"/>
        <v>0</v>
      </c>
      <c r="BA53" s="234">
        <f t="shared" si="9"/>
        <v>0</v>
      </c>
      <c r="BB53" s="234">
        <f t="shared" si="9"/>
        <v>0</v>
      </c>
      <c r="BC53" s="234">
        <f t="shared" si="9"/>
        <v>0</v>
      </c>
      <c r="BD53" s="237">
        <f t="shared" si="11"/>
        <v>1</v>
      </c>
    </row>
    <row r="54" spans="2:56" x14ac:dyDescent="0.25">
      <c r="B54" s="223" t="s">
        <v>471</v>
      </c>
      <c r="C54" s="225">
        <f>Index!$B$2*IF(AND($D$3,$F$3),SXS_Transit_temp!AB21+SXS_Transit_temp!AB47,IF(AND($D$3,NOT($F$3)), SXS_Transit_temp!AB21,IF(AND(NOT($D$3),$F$3), SXS_Transit_temp!AB47,0)))</f>
        <v>190</v>
      </c>
      <c r="D54" s="225">
        <f>Index!$B$2*IF(AND($D$3,$F$3),SXS_Transit_temp!AC21+SXS_Transit_temp!AC47,IF(AND($D$3,NOT($F$3)), SXS_Transit_temp!AC21,IF(AND(NOT($D$3),$F$3), SXS_Transit_temp!AC47,0)))</f>
        <v>10</v>
      </c>
      <c r="E54" s="225">
        <f>Index!$B$2*IF(AND($D$3,$F$3),SXS_Transit_temp!AD21+SXS_Transit_temp!AD47,IF(AND($D$3,NOT($F$3)), SXS_Transit_temp!AD21,IF(AND(NOT($D$3),$F$3), SXS_Transit_temp!AD47,0)))</f>
        <v>0</v>
      </c>
      <c r="F54" s="225">
        <f>Index!$B$2*IF(AND($D$3,$F$3),SXS_Transit_temp!AE21+SXS_Transit_temp!AE47,IF(AND($D$3,NOT($F$3)), SXS_Transit_temp!AE21,IF(AND(NOT($D$3),$F$3), SXS_Transit_temp!AE47,0)))</f>
        <v>0</v>
      </c>
      <c r="G54" s="225">
        <f>Index!$B$2*IF(AND($D$3,$F$3),SXS_Transit_temp!AF21+SXS_Transit_temp!AF47,IF(AND($D$3,NOT($F$3)), SXS_Transit_temp!AF21,IF(AND(NOT($D$3),$F$3), SXS_Transit_temp!AF47,0)))</f>
        <v>0</v>
      </c>
      <c r="H54" s="225">
        <f>Index!$B$2*IF(AND($D$3,$F$3),SXS_Transit_temp!AG21+SXS_Transit_temp!AG47,IF(AND($D$3,NOT($F$3)), SXS_Transit_temp!AG21,IF(AND(NOT($D$3),$F$3), SXS_Transit_temp!AG47,0)))</f>
        <v>0</v>
      </c>
      <c r="I54" s="225">
        <f>Index!$B$2*IF(AND($D$3,$F$3),SXS_Transit_temp!AH21+SXS_Transit_temp!AH47,IF(AND($D$3,NOT($F$3)), SXS_Transit_temp!AH21,IF(AND(NOT($D$3),$F$3), SXS_Transit_temp!AH47,0)))</f>
        <v>0</v>
      </c>
      <c r="J54" s="225">
        <f>Index!$B$2*IF(AND($D$3,$F$3),SXS_Transit_temp!AI21+SXS_Transit_temp!AI47,IF(AND($D$3,NOT($F$3)), SXS_Transit_temp!AI21,IF(AND(NOT($D$3),$F$3), SXS_Transit_temp!AI47,0)))</f>
        <v>20</v>
      </c>
      <c r="K54" s="225">
        <f>Index!$B$2*IF(AND($D$3,$F$3),SXS_Transit_temp!AJ21+SXS_Transit_temp!AJ47,IF(AND($D$3,NOT($F$3)), SXS_Transit_temp!AJ21,IF(AND(NOT($D$3),$F$3), SXS_Transit_temp!AJ47,0)))</f>
        <v>0</v>
      </c>
      <c r="L54" s="225">
        <f>Index!$B$2*IF(AND($D$3,$F$3),SXS_Transit_temp!AK21+SXS_Transit_temp!AK47,IF(AND($D$3,NOT($F$3)), SXS_Transit_temp!AK21,IF(AND(NOT($D$3),$F$3), SXS_Transit_temp!AK47,0)))</f>
        <v>0</v>
      </c>
      <c r="M54" s="225">
        <f>Index!$B$2*IF(AND($D$3,$F$3),SXS_Transit_temp!AL21+SXS_Transit_temp!AL47,IF(AND($D$3,NOT($F$3)), SXS_Transit_temp!AL21,IF(AND(NOT($D$3),$F$3), SXS_Transit_temp!AL47,0)))</f>
        <v>0</v>
      </c>
      <c r="N54" s="225">
        <f>Index!$B$2*IF(AND($D$3,$F$3),SXS_Transit_temp!AM21+SXS_Transit_temp!AM47,IF(AND($D$3,NOT($F$3)), SXS_Transit_temp!AM21,IF(AND(NOT($D$3),$F$3), SXS_Transit_temp!AM47,0)))</f>
        <v>0</v>
      </c>
      <c r="O54" s="225">
        <f>Index!$B$2*IF(AND($D$3,$F$3),SXS_Transit_temp!AN21+SXS_Transit_temp!AN47,IF(AND($D$3,NOT($F$3)), SXS_Transit_temp!AN21,IF(AND(NOT($D$3),$F$3), SXS_Transit_temp!AN47,0)))</f>
        <v>0</v>
      </c>
      <c r="P54" s="225">
        <f>Index!$B$2*IF(AND($D$3,$F$3),SXS_Transit_temp!AO21+SXS_Transit_temp!AO47,IF(AND($D$3,NOT($F$3)), SXS_Transit_temp!AO21,IF(AND(NOT($D$3),$F$3), SXS_Transit_temp!AO47,0)))</f>
        <v>0</v>
      </c>
      <c r="Q54" s="225">
        <f>Index!$B$2*IF(AND($D$3,$F$3),SXS_Transit_temp!AP21+SXS_Transit_temp!AP47,IF(AND($D$3,NOT($F$3)), SXS_Transit_temp!AP21,IF(AND(NOT($D$3),$F$3), SXS_Transit_temp!AP47,0)))</f>
        <v>0</v>
      </c>
      <c r="R54" s="225">
        <f>Index!$B$2*IF(AND($D$3,$F$3),SXS_Transit_temp!AQ21+SXS_Transit_temp!AQ47,IF(AND($D$3,NOT($F$3)), SXS_Transit_temp!AQ21,IF(AND(NOT($D$3),$F$3), SXS_Transit_temp!AQ47,0)))</f>
        <v>0</v>
      </c>
      <c r="S54" s="225">
        <f>Index!$B$2*IF(AND($D$3,$F$3),SXS_Transit_temp!AR21+SXS_Transit_temp!AR47,IF(AND($D$3,NOT($F$3)), SXS_Transit_temp!AR21,IF(AND(NOT($D$3),$F$3), SXS_Transit_temp!AR47,0)))</f>
        <v>0</v>
      </c>
      <c r="T54" s="225">
        <f>Index!$B$2*IF(AND($D$3,$F$3),SXS_Transit_temp!AS21+SXS_Transit_temp!AS47,IF(AND($D$3,NOT($F$3)), SXS_Transit_temp!AS21,IF(AND(NOT($D$3),$F$3), SXS_Transit_temp!AS47,0)))</f>
        <v>10</v>
      </c>
      <c r="U54" s="224">
        <f>Index!$B$2*IF(AND($D$3,$F$3),SXS_Transit_temp!AT21+SXS_Transit_temp!AT47,IF(AND($D$3,NOT($F$3)), SXS_Transit_temp!AT21,IF(AND(NOT($D$3),$F$3), SXS_Transit_temp!AT47,0)))</f>
        <v>30</v>
      </c>
      <c r="V54" s="225">
        <f>Index!$B$2*IF(AND($D$3,$F$3),SXS_Transit_temp!AU21+SXS_Transit_temp!AU47,IF(AND($D$3,NOT($F$3)), SXS_Transit_temp!AU21,IF(AND(NOT($D$3),$F$3), SXS_Transit_temp!AU47,0)))</f>
        <v>10</v>
      </c>
      <c r="W54" s="225">
        <f>Index!$B$2*IF(AND($D$3,$F$3),SXS_Transit_temp!AV21+SXS_Transit_temp!AV47,IF(AND($D$3,NOT($F$3)), SXS_Transit_temp!AV21,IF(AND(NOT($D$3),$F$3), SXS_Transit_temp!AV47,0)))</f>
        <v>30</v>
      </c>
      <c r="X54" s="225">
        <f>Index!$B$2*IF(AND($D$3,$F$3),SXS_Transit_temp!AW21+SXS_Transit_temp!AW47,IF(AND($D$3,NOT($F$3)), SXS_Transit_temp!AW21,IF(AND(NOT($D$3),$F$3), SXS_Transit_temp!AW47,0)))</f>
        <v>0</v>
      </c>
      <c r="Y54" s="225">
        <f>Index!$B$2*IF(AND($D$3,$F$3),SXS_Transit_temp!AX21+SXS_Transit_temp!AX47,IF(AND($D$3,NOT($F$3)), SXS_Transit_temp!AX21,IF(AND(NOT($D$3),$F$3), SXS_Transit_temp!AX47,0)))</f>
        <v>0</v>
      </c>
      <c r="Z54" s="225">
        <f>Index!$B$2*IF(AND($D$3,$F$3),SXS_Transit_temp!AY21+SXS_Transit_temp!AY47,IF(AND($D$3,NOT($F$3)), SXS_Transit_temp!AY21,IF(AND(NOT($D$3),$F$3), SXS_Transit_temp!AY47,0)))</f>
        <v>0</v>
      </c>
      <c r="AA54" s="225">
        <f>Index!$B$2*IF(AND($D$3,$F$3),SXS_Transit_temp!AZ21+SXS_Transit_temp!AZ47,IF(AND($D$3,NOT($F$3)), SXS_Transit_temp!AZ21,IF(AND(NOT($D$3),$F$3), SXS_Transit_temp!AZ47,0)))</f>
        <v>0</v>
      </c>
      <c r="AB54" s="226">
        <f t="shared" si="10"/>
        <v>300</v>
      </c>
      <c r="AD54" s="223" t="s">
        <v>471</v>
      </c>
      <c r="AE54" s="234">
        <f t="shared" si="7"/>
        <v>0.6333333333333333</v>
      </c>
      <c r="AF54" s="234">
        <f t="shared" si="13"/>
        <v>3.3333333333333333E-2</v>
      </c>
      <c r="AG54" s="234">
        <f t="shared" si="14"/>
        <v>0</v>
      </c>
      <c r="AH54" s="234">
        <f t="shared" si="15"/>
        <v>0</v>
      </c>
      <c r="AI54" s="234">
        <f t="shared" si="16"/>
        <v>0</v>
      </c>
      <c r="AJ54" s="234">
        <f t="shared" si="17"/>
        <v>0</v>
      </c>
      <c r="AK54" s="234">
        <f t="shared" si="18"/>
        <v>0</v>
      </c>
      <c r="AL54" s="234">
        <f t="shared" si="19"/>
        <v>6.6666666666666666E-2</v>
      </c>
      <c r="AM54" s="234">
        <f t="shared" si="20"/>
        <v>0</v>
      </c>
      <c r="AN54" s="234">
        <f t="shared" si="21"/>
        <v>0</v>
      </c>
      <c r="AO54" s="234">
        <f t="shared" si="22"/>
        <v>0</v>
      </c>
      <c r="AP54" s="234">
        <f t="shared" si="23"/>
        <v>0</v>
      </c>
      <c r="AQ54" s="234">
        <f t="shared" si="24"/>
        <v>0</v>
      </c>
      <c r="AR54" s="234">
        <f t="shared" si="25"/>
        <v>0</v>
      </c>
      <c r="AS54" s="234">
        <f t="shared" si="26"/>
        <v>0</v>
      </c>
      <c r="AT54" s="234">
        <f t="shared" si="27"/>
        <v>0</v>
      </c>
      <c r="AU54" s="234">
        <f t="shared" si="12"/>
        <v>0</v>
      </c>
      <c r="AV54" s="234">
        <f t="shared" si="9"/>
        <v>3.3333333333333333E-2</v>
      </c>
      <c r="AW54" s="233">
        <f t="shared" si="9"/>
        <v>0.1</v>
      </c>
      <c r="AX54" s="234">
        <f t="shared" si="9"/>
        <v>3.3333333333333333E-2</v>
      </c>
      <c r="AY54" s="234">
        <f t="shared" si="9"/>
        <v>0.1</v>
      </c>
      <c r="AZ54" s="234">
        <f t="shared" si="9"/>
        <v>0</v>
      </c>
      <c r="BA54" s="234">
        <f t="shared" si="9"/>
        <v>0</v>
      </c>
      <c r="BB54" s="234">
        <f t="shared" si="9"/>
        <v>0</v>
      </c>
      <c r="BC54" s="234">
        <f t="shared" si="9"/>
        <v>0</v>
      </c>
      <c r="BD54" s="237">
        <f t="shared" si="11"/>
        <v>0.99999999999999989</v>
      </c>
    </row>
    <row r="55" spans="2:56" x14ac:dyDescent="0.25">
      <c r="B55" s="223" t="s">
        <v>472</v>
      </c>
      <c r="C55" s="225">
        <f>Index!$B$2*IF(AND($D$3,$F$3),SXS_Transit_temp!AB22+SXS_Transit_temp!AB48,IF(AND($D$3,NOT($F$3)), SXS_Transit_temp!AB22,IF(AND(NOT($D$3),$F$3), SXS_Transit_temp!AB48,0)))</f>
        <v>1800</v>
      </c>
      <c r="D55" s="225">
        <f>Index!$B$2*IF(AND($D$3,$F$3),SXS_Transit_temp!AC22+SXS_Transit_temp!AC48,IF(AND($D$3,NOT($F$3)), SXS_Transit_temp!AC22,IF(AND(NOT($D$3),$F$3), SXS_Transit_temp!AC48,0)))</f>
        <v>60</v>
      </c>
      <c r="E55" s="225">
        <f>Index!$B$2*IF(AND($D$3,$F$3),SXS_Transit_temp!AD22+SXS_Transit_temp!AD48,IF(AND($D$3,NOT($F$3)), SXS_Transit_temp!AD22,IF(AND(NOT($D$3),$F$3), SXS_Transit_temp!AD48,0)))</f>
        <v>105</v>
      </c>
      <c r="F55" s="225">
        <f>Index!$B$2*IF(AND($D$3,$F$3),SXS_Transit_temp!AE22+SXS_Transit_temp!AE48,IF(AND($D$3,NOT($F$3)), SXS_Transit_temp!AE22,IF(AND(NOT($D$3),$F$3), SXS_Transit_temp!AE48,0)))</f>
        <v>20</v>
      </c>
      <c r="G55" s="225">
        <f>Index!$B$2*IF(AND($D$3,$F$3),SXS_Transit_temp!AF22+SXS_Transit_temp!AF48,IF(AND($D$3,NOT($F$3)), SXS_Transit_temp!AF22,IF(AND(NOT($D$3),$F$3), SXS_Transit_temp!AF48,0)))</f>
        <v>10</v>
      </c>
      <c r="H55" s="225">
        <f>Index!$B$2*IF(AND($D$3,$F$3),SXS_Transit_temp!AG22+SXS_Transit_temp!AG48,IF(AND($D$3,NOT($F$3)), SXS_Transit_temp!AG22,IF(AND(NOT($D$3),$F$3), SXS_Transit_temp!AG48,0)))</f>
        <v>10</v>
      </c>
      <c r="I55" s="225">
        <f>Index!$B$2*IF(AND($D$3,$F$3),SXS_Transit_temp!AH22+SXS_Transit_temp!AH48,IF(AND($D$3,NOT($F$3)), SXS_Transit_temp!AH22,IF(AND(NOT($D$3),$F$3), SXS_Transit_temp!AH48,0)))</f>
        <v>0</v>
      </c>
      <c r="J55" s="225">
        <f>Index!$B$2*IF(AND($D$3,$F$3),SXS_Transit_temp!AI22+SXS_Transit_temp!AI48,IF(AND($D$3,NOT($F$3)), SXS_Transit_temp!AI22,IF(AND(NOT($D$3),$F$3), SXS_Transit_temp!AI48,0)))</f>
        <v>20</v>
      </c>
      <c r="K55" s="225">
        <f>Index!$B$2*IF(AND($D$3,$F$3),SXS_Transit_temp!AJ22+SXS_Transit_temp!AJ48,IF(AND($D$3,NOT($F$3)), SXS_Transit_temp!AJ22,IF(AND(NOT($D$3),$F$3), SXS_Transit_temp!AJ48,0)))</f>
        <v>45</v>
      </c>
      <c r="L55" s="225">
        <f>Index!$B$2*IF(AND($D$3,$F$3),SXS_Transit_temp!AK22+SXS_Transit_temp!AK48,IF(AND($D$3,NOT($F$3)), SXS_Transit_temp!AK22,IF(AND(NOT($D$3),$F$3), SXS_Transit_temp!AK48,0)))</f>
        <v>160</v>
      </c>
      <c r="M55" s="225">
        <f>Index!$B$2*IF(AND($D$3,$F$3),SXS_Transit_temp!AL22+SXS_Transit_temp!AL48,IF(AND($D$3,NOT($F$3)), SXS_Transit_temp!AL22,IF(AND(NOT($D$3),$F$3), SXS_Transit_temp!AL48,0)))</f>
        <v>0</v>
      </c>
      <c r="N55" s="225">
        <f>Index!$B$2*IF(AND($D$3,$F$3),SXS_Transit_temp!AM22+SXS_Transit_temp!AM48,IF(AND($D$3,NOT($F$3)), SXS_Transit_temp!AM22,IF(AND(NOT($D$3),$F$3), SXS_Transit_temp!AM48,0)))</f>
        <v>15</v>
      </c>
      <c r="O55" s="225">
        <f>Index!$B$2*IF(AND($D$3,$F$3),SXS_Transit_temp!AN22+SXS_Transit_temp!AN48,IF(AND($D$3,NOT($F$3)), SXS_Transit_temp!AN22,IF(AND(NOT($D$3),$F$3), SXS_Transit_temp!AN48,0)))</f>
        <v>0</v>
      </c>
      <c r="P55" s="225">
        <f>Index!$B$2*IF(AND($D$3,$F$3),SXS_Transit_temp!AO22+SXS_Transit_temp!AO48,IF(AND($D$3,NOT($F$3)), SXS_Transit_temp!AO22,IF(AND(NOT($D$3),$F$3), SXS_Transit_temp!AO48,0)))</f>
        <v>0</v>
      </c>
      <c r="Q55" s="225">
        <f>Index!$B$2*IF(AND($D$3,$F$3),SXS_Transit_temp!AP22+SXS_Transit_temp!AP48,IF(AND($D$3,NOT($F$3)), SXS_Transit_temp!AP22,IF(AND(NOT($D$3),$F$3), SXS_Transit_temp!AP48,0)))</f>
        <v>0</v>
      </c>
      <c r="R55" s="225">
        <f>Index!$B$2*IF(AND($D$3,$F$3),SXS_Transit_temp!AQ22+SXS_Transit_temp!AQ48,IF(AND($D$3,NOT($F$3)), SXS_Transit_temp!AQ22,IF(AND(NOT($D$3),$F$3), SXS_Transit_temp!AQ48,0)))</f>
        <v>0</v>
      </c>
      <c r="S55" s="225">
        <f>Index!$B$2*IF(AND($D$3,$F$3),SXS_Transit_temp!AR22+SXS_Transit_temp!AR48,IF(AND($D$3,NOT($F$3)), SXS_Transit_temp!AR22,IF(AND(NOT($D$3),$F$3), SXS_Transit_temp!AR48,0)))</f>
        <v>0</v>
      </c>
      <c r="T55" s="225">
        <f>Index!$B$2*IF(AND($D$3,$F$3),SXS_Transit_temp!AS22+SXS_Transit_temp!AS48,IF(AND($D$3,NOT($F$3)), SXS_Transit_temp!AS22,IF(AND(NOT($D$3),$F$3), SXS_Transit_temp!AS48,0)))</f>
        <v>0</v>
      </c>
      <c r="U55" s="225">
        <f>Index!$B$2*IF(AND($D$3,$F$3),SXS_Transit_temp!AT22+SXS_Transit_temp!AT48,IF(AND($D$3,NOT($F$3)), SXS_Transit_temp!AT22,IF(AND(NOT($D$3),$F$3), SXS_Transit_temp!AT48,0)))</f>
        <v>0</v>
      </c>
      <c r="V55" s="224">
        <f>Index!$B$2*IF(AND($D$3,$F$3),SXS_Transit_temp!AU22+SXS_Transit_temp!AU48,IF(AND($D$3,NOT($F$3)), SXS_Transit_temp!AU22,IF(AND(NOT($D$3),$F$3), SXS_Transit_temp!AU48,0)))</f>
        <v>1905</v>
      </c>
      <c r="W55" s="225">
        <f>Index!$B$2*IF(AND($D$3,$F$3),SXS_Transit_temp!AV22+SXS_Transit_temp!AV48,IF(AND($D$3,NOT($F$3)), SXS_Transit_temp!AV22,IF(AND(NOT($D$3),$F$3), SXS_Transit_temp!AV48,0)))</f>
        <v>315</v>
      </c>
      <c r="X55" s="225">
        <f>Index!$B$2*IF(AND($D$3,$F$3),SXS_Transit_temp!AW22+SXS_Transit_temp!AW48,IF(AND($D$3,NOT($F$3)), SXS_Transit_temp!AW22,IF(AND(NOT($D$3),$F$3), SXS_Transit_temp!AW48,0)))</f>
        <v>20</v>
      </c>
      <c r="Y55" s="225">
        <f>Index!$B$2*IF(AND($D$3,$F$3),SXS_Transit_temp!AX22+SXS_Transit_temp!AX48,IF(AND($D$3,NOT($F$3)), SXS_Transit_temp!AX22,IF(AND(NOT($D$3),$F$3), SXS_Transit_temp!AX48,0)))</f>
        <v>20</v>
      </c>
      <c r="Z55" s="225">
        <f>Index!$B$2*IF(AND($D$3,$F$3),SXS_Transit_temp!AY22+SXS_Transit_temp!AY48,IF(AND($D$3,NOT($F$3)), SXS_Transit_temp!AY22,IF(AND(NOT($D$3),$F$3), SXS_Transit_temp!AY48,0)))</f>
        <v>0</v>
      </c>
      <c r="AA55" s="225">
        <f>Index!$B$2*IF(AND($D$3,$F$3),SXS_Transit_temp!AZ22+SXS_Transit_temp!AZ48,IF(AND($D$3,NOT($F$3)), SXS_Transit_temp!AZ22,IF(AND(NOT($D$3),$F$3), SXS_Transit_temp!AZ48,0)))</f>
        <v>0</v>
      </c>
      <c r="AB55" s="226">
        <f t="shared" si="10"/>
        <v>4505</v>
      </c>
      <c r="AD55" s="223" t="s">
        <v>472</v>
      </c>
      <c r="AE55" s="234">
        <f t="shared" si="7"/>
        <v>0.3995560488346282</v>
      </c>
      <c r="AF55" s="234">
        <f t="shared" si="13"/>
        <v>1.3318534961154272E-2</v>
      </c>
      <c r="AG55" s="234">
        <f t="shared" si="14"/>
        <v>2.3307436182019976E-2</v>
      </c>
      <c r="AH55" s="234">
        <f t="shared" si="15"/>
        <v>4.4395116537180911E-3</v>
      </c>
      <c r="AI55" s="234">
        <f t="shared" si="16"/>
        <v>2.2197558268590455E-3</v>
      </c>
      <c r="AJ55" s="234">
        <f t="shared" si="17"/>
        <v>2.2197558268590455E-3</v>
      </c>
      <c r="AK55" s="234">
        <f t="shared" si="18"/>
        <v>0</v>
      </c>
      <c r="AL55" s="234">
        <f t="shared" si="19"/>
        <v>4.4395116537180911E-3</v>
      </c>
      <c r="AM55" s="234">
        <f t="shared" si="20"/>
        <v>9.9889012208657056E-3</v>
      </c>
      <c r="AN55" s="234">
        <f t="shared" si="21"/>
        <v>3.5516093229744729E-2</v>
      </c>
      <c r="AO55" s="234">
        <f t="shared" si="22"/>
        <v>0</v>
      </c>
      <c r="AP55" s="234">
        <f t="shared" si="23"/>
        <v>3.3296337402885681E-3</v>
      </c>
      <c r="AQ55" s="234">
        <f t="shared" si="24"/>
        <v>0</v>
      </c>
      <c r="AR55" s="234">
        <f t="shared" si="25"/>
        <v>0</v>
      </c>
      <c r="AS55" s="234">
        <f t="shared" si="26"/>
        <v>0</v>
      </c>
      <c r="AT55" s="234">
        <f t="shared" si="27"/>
        <v>0</v>
      </c>
      <c r="AU55" s="234">
        <f t="shared" si="12"/>
        <v>0</v>
      </c>
      <c r="AV55" s="234">
        <f t="shared" si="9"/>
        <v>0</v>
      </c>
      <c r="AW55" s="234">
        <f t="shared" si="9"/>
        <v>0</v>
      </c>
      <c r="AX55" s="233">
        <f t="shared" si="9"/>
        <v>0.42286348501664817</v>
      </c>
      <c r="AY55" s="234">
        <f t="shared" si="9"/>
        <v>6.9922308546059936E-2</v>
      </c>
      <c r="AZ55" s="234">
        <f t="shared" si="9"/>
        <v>4.4395116537180911E-3</v>
      </c>
      <c r="BA55" s="234">
        <f t="shared" si="9"/>
        <v>4.4395116537180911E-3</v>
      </c>
      <c r="BB55" s="234">
        <f t="shared" si="9"/>
        <v>0</v>
      </c>
      <c r="BC55" s="234">
        <f t="shared" si="9"/>
        <v>0</v>
      </c>
      <c r="BD55" s="237">
        <f t="shared" si="11"/>
        <v>1</v>
      </c>
    </row>
    <row r="56" spans="2:56" x14ac:dyDescent="0.25">
      <c r="B56" s="223" t="s">
        <v>473</v>
      </c>
      <c r="C56" s="225">
        <f>Index!$B$2*IF(AND($D$3,$F$3),SXS_Transit_temp!AB23+SXS_Transit_temp!AB49,IF(AND($D$3,NOT($F$3)), SXS_Transit_temp!AB23,IF(AND(NOT($D$3),$F$3), SXS_Transit_temp!AB49,0)))</f>
        <v>1820</v>
      </c>
      <c r="D56" s="225">
        <f>Index!$B$2*IF(AND($D$3,$F$3),SXS_Transit_temp!AC23+SXS_Transit_temp!AC49,IF(AND($D$3,NOT($F$3)), SXS_Transit_temp!AC23,IF(AND(NOT($D$3),$F$3), SXS_Transit_temp!AC49,0)))</f>
        <v>175</v>
      </c>
      <c r="E56" s="225">
        <f>Index!$B$2*IF(AND($D$3,$F$3),SXS_Transit_temp!AD23+SXS_Transit_temp!AD49,IF(AND($D$3,NOT($F$3)), SXS_Transit_temp!AD23,IF(AND(NOT($D$3),$F$3), SXS_Transit_temp!AD49,0)))</f>
        <v>55</v>
      </c>
      <c r="F56" s="225">
        <f>Index!$B$2*IF(AND($D$3,$F$3),SXS_Transit_temp!AE23+SXS_Transit_temp!AE49,IF(AND($D$3,NOT($F$3)), SXS_Transit_temp!AE23,IF(AND(NOT($D$3),$F$3), SXS_Transit_temp!AE49,0)))</f>
        <v>10</v>
      </c>
      <c r="G56" s="225">
        <f>Index!$B$2*IF(AND($D$3,$F$3),SXS_Transit_temp!AF23+SXS_Transit_temp!AF49,IF(AND($D$3,NOT($F$3)), SXS_Transit_temp!AF23,IF(AND(NOT($D$3),$F$3), SXS_Transit_temp!AF49,0)))</f>
        <v>20</v>
      </c>
      <c r="H56" s="225">
        <f>Index!$B$2*IF(AND($D$3,$F$3),SXS_Transit_temp!AG23+SXS_Transit_temp!AG49,IF(AND($D$3,NOT($F$3)), SXS_Transit_temp!AG23,IF(AND(NOT($D$3),$F$3), SXS_Transit_temp!AG49,0)))</f>
        <v>5</v>
      </c>
      <c r="I56" s="225">
        <f>Index!$B$2*IF(AND($D$3,$F$3),SXS_Transit_temp!AH23+SXS_Transit_temp!AH49,IF(AND($D$3,NOT($F$3)), SXS_Transit_temp!AH23,IF(AND(NOT($D$3),$F$3), SXS_Transit_temp!AH49,0)))</f>
        <v>5</v>
      </c>
      <c r="J56" s="225">
        <f>Index!$B$2*IF(AND($D$3,$F$3),SXS_Transit_temp!AI23+SXS_Transit_temp!AI49,IF(AND($D$3,NOT($F$3)), SXS_Transit_temp!AI23,IF(AND(NOT($D$3),$F$3), SXS_Transit_temp!AI49,0)))</f>
        <v>10</v>
      </c>
      <c r="K56" s="225">
        <f>Index!$B$2*IF(AND($D$3,$F$3),SXS_Transit_temp!AJ23+SXS_Transit_temp!AJ49,IF(AND($D$3,NOT($F$3)), SXS_Transit_temp!AJ23,IF(AND(NOT($D$3),$F$3), SXS_Transit_temp!AJ49,0)))</f>
        <v>250</v>
      </c>
      <c r="L56" s="225">
        <f>Index!$B$2*IF(AND($D$3,$F$3),SXS_Transit_temp!AK23+SXS_Transit_temp!AK49,IF(AND($D$3,NOT($F$3)), SXS_Transit_temp!AK23,IF(AND(NOT($D$3),$F$3), SXS_Transit_temp!AK49,0)))</f>
        <v>15</v>
      </c>
      <c r="M56" s="225">
        <f>Index!$B$2*IF(AND($D$3,$F$3),SXS_Transit_temp!AL23+SXS_Transit_temp!AL49,IF(AND($D$3,NOT($F$3)), SXS_Transit_temp!AL23,IF(AND(NOT($D$3),$F$3), SXS_Transit_temp!AL49,0)))</f>
        <v>0</v>
      </c>
      <c r="N56" s="225">
        <f>Index!$B$2*IF(AND($D$3,$F$3),SXS_Transit_temp!AM23+SXS_Transit_temp!AM49,IF(AND($D$3,NOT($F$3)), SXS_Transit_temp!AM23,IF(AND(NOT($D$3),$F$3), SXS_Transit_temp!AM49,0)))</f>
        <v>0</v>
      </c>
      <c r="O56" s="225">
        <f>Index!$B$2*IF(AND($D$3,$F$3),SXS_Transit_temp!AN23+SXS_Transit_temp!AN49,IF(AND($D$3,NOT($F$3)), SXS_Transit_temp!AN23,IF(AND(NOT($D$3),$F$3), SXS_Transit_temp!AN49,0)))</f>
        <v>0</v>
      </c>
      <c r="P56" s="225">
        <f>Index!$B$2*IF(AND($D$3,$F$3),SXS_Transit_temp!AO23+SXS_Transit_temp!AO49,IF(AND($D$3,NOT($F$3)), SXS_Transit_temp!AO23,IF(AND(NOT($D$3),$F$3), SXS_Transit_temp!AO49,0)))</f>
        <v>0</v>
      </c>
      <c r="Q56" s="225">
        <f>Index!$B$2*IF(AND($D$3,$F$3),SXS_Transit_temp!AP23+SXS_Transit_temp!AP49,IF(AND($D$3,NOT($F$3)), SXS_Transit_temp!AP23,IF(AND(NOT($D$3),$F$3), SXS_Transit_temp!AP49,0)))</f>
        <v>0</v>
      </c>
      <c r="R56" s="225">
        <f>Index!$B$2*IF(AND($D$3,$F$3),SXS_Transit_temp!AQ23+SXS_Transit_temp!AQ49,IF(AND($D$3,NOT($F$3)), SXS_Transit_temp!AQ23,IF(AND(NOT($D$3),$F$3), SXS_Transit_temp!AQ49,0)))</f>
        <v>10</v>
      </c>
      <c r="S56" s="225">
        <f>Index!$B$2*IF(AND($D$3,$F$3),SXS_Transit_temp!AR23+SXS_Transit_temp!AR49,IF(AND($D$3,NOT($F$3)), SXS_Transit_temp!AR23,IF(AND(NOT($D$3),$F$3), SXS_Transit_temp!AR49,0)))</f>
        <v>0</v>
      </c>
      <c r="T56" s="225">
        <f>Index!$B$2*IF(AND($D$3,$F$3),SXS_Transit_temp!AS23+SXS_Transit_temp!AS49,IF(AND($D$3,NOT($F$3)), SXS_Transit_temp!AS23,IF(AND(NOT($D$3),$F$3), SXS_Transit_temp!AS49,0)))</f>
        <v>0</v>
      </c>
      <c r="U56" s="225">
        <f>Index!$B$2*IF(AND($D$3,$F$3),SXS_Transit_temp!AT23+SXS_Transit_temp!AT49,IF(AND($D$3,NOT($F$3)), SXS_Transit_temp!AT23,IF(AND(NOT($D$3),$F$3), SXS_Transit_temp!AT49,0)))</f>
        <v>0</v>
      </c>
      <c r="V56" s="225">
        <f>Index!$B$2*IF(AND($D$3,$F$3),SXS_Transit_temp!AU23+SXS_Transit_temp!AU49,IF(AND($D$3,NOT($F$3)), SXS_Transit_temp!AU23,IF(AND(NOT($D$3),$F$3), SXS_Transit_temp!AU49,0)))</f>
        <v>545</v>
      </c>
      <c r="W56" s="224">
        <f>Index!$B$2*IF(AND($D$3,$F$3),SXS_Transit_temp!AV23+SXS_Transit_temp!AV49,IF(AND($D$3,NOT($F$3)), SXS_Transit_temp!AV23,IF(AND(NOT($D$3),$F$3), SXS_Transit_temp!AV49,0)))</f>
        <v>3125</v>
      </c>
      <c r="X56" s="225">
        <f>Index!$B$2*IF(AND($D$3,$F$3),SXS_Transit_temp!AW23+SXS_Transit_temp!AW49,IF(AND($D$3,NOT($F$3)), SXS_Transit_temp!AW23,IF(AND(NOT($D$3),$F$3), SXS_Transit_temp!AW49,0)))</f>
        <v>0</v>
      </c>
      <c r="Y56" s="225">
        <f>Index!$B$2*IF(AND($D$3,$F$3),SXS_Transit_temp!AX23+SXS_Transit_temp!AX49,IF(AND($D$3,NOT($F$3)), SXS_Transit_temp!AX23,IF(AND(NOT($D$3),$F$3), SXS_Transit_temp!AX49,0)))</f>
        <v>10</v>
      </c>
      <c r="Z56" s="225">
        <f>Index!$B$2*IF(AND($D$3,$F$3),SXS_Transit_temp!AY23+SXS_Transit_temp!AY49,IF(AND($D$3,NOT($F$3)), SXS_Transit_temp!AY23,IF(AND(NOT($D$3),$F$3), SXS_Transit_temp!AY49,0)))</f>
        <v>10</v>
      </c>
      <c r="AA56" s="225">
        <f>Index!$B$2*IF(AND($D$3,$F$3),SXS_Transit_temp!AZ23+SXS_Transit_temp!AZ49,IF(AND($D$3,NOT($F$3)), SXS_Transit_temp!AZ23,IF(AND(NOT($D$3),$F$3), SXS_Transit_temp!AZ49,0)))</f>
        <v>0</v>
      </c>
      <c r="AB56" s="226">
        <f t="shared" si="10"/>
        <v>6065</v>
      </c>
      <c r="AD56" s="223" t="s">
        <v>473</v>
      </c>
      <c r="AE56" s="234">
        <f t="shared" si="7"/>
        <v>0.30008244023083264</v>
      </c>
      <c r="AF56" s="234">
        <f t="shared" si="13"/>
        <v>2.8854080791426217E-2</v>
      </c>
      <c r="AG56" s="234">
        <f t="shared" si="14"/>
        <v>9.0684253915910961E-3</v>
      </c>
      <c r="AH56" s="234">
        <f t="shared" si="15"/>
        <v>1.6488046166529267E-3</v>
      </c>
      <c r="AI56" s="234">
        <f t="shared" si="16"/>
        <v>3.2976092333058533E-3</v>
      </c>
      <c r="AJ56" s="234">
        <f t="shared" si="17"/>
        <v>8.2440230832646333E-4</v>
      </c>
      <c r="AK56" s="234">
        <f t="shared" si="18"/>
        <v>8.2440230832646333E-4</v>
      </c>
      <c r="AL56" s="234">
        <f t="shared" si="19"/>
        <v>1.6488046166529267E-3</v>
      </c>
      <c r="AM56" s="234">
        <f t="shared" si="20"/>
        <v>4.1220115416323165E-2</v>
      </c>
      <c r="AN56" s="234">
        <f t="shared" si="21"/>
        <v>2.4732069249793899E-3</v>
      </c>
      <c r="AO56" s="234">
        <f t="shared" si="22"/>
        <v>0</v>
      </c>
      <c r="AP56" s="234">
        <f t="shared" si="23"/>
        <v>0</v>
      </c>
      <c r="AQ56" s="234">
        <f t="shared" si="24"/>
        <v>0</v>
      </c>
      <c r="AR56" s="234">
        <f t="shared" si="25"/>
        <v>0</v>
      </c>
      <c r="AS56" s="234">
        <f t="shared" si="26"/>
        <v>0</v>
      </c>
      <c r="AT56" s="234">
        <f t="shared" si="27"/>
        <v>1.6488046166529267E-3</v>
      </c>
      <c r="AU56" s="234">
        <f t="shared" si="12"/>
        <v>0</v>
      </c>
      <c r="AV56" s="234">
        <f t="shared" si="9"/>
        <v>0</v>
      </c>
      <c r="AW56" s="234">
        <f t="shared" si="9"/>
        <v>0</v>
      </c>
      <c r="AX56" s="234">
        <f t="shared" si="9"/>
        <v>8.9859851607584501E-2</v>
      </c>
      <c r="AY56" s="233">
        <f t="shared" si="9"/>
        <v>0.51525144270403955</v>
      </c>
      <c r="AZ56" s="234">
        <f t="shared" si="9"/>
        <v>0</v>
      </c>
      <c r="BA56" s="234">
        <f t="shared" si="9"/>
        <v>1.6488046166529267E-3</v>
      </c>
      <c r="BB56" s="234">
        <f t="shared" si="9"/>
        <v>1.6488046166529267E-3</v>
      </c>
      <c r="BC56" s="234">
        <f t="shared" si="9"/>
        <v>0</v>
      </c>
      <c r="BD56" s="237">
        <f t="shared" si="11"/>
        <v>0.99999999999999989</v>
      </c>
    </row>
    <row r="57" spans="2:56" x14ac:dyDescent="0.25">
      <c r="B57" s="223" t="s">
        <v>474</v>
      </c>
      <c r="C57" s="225">
        <f>Index!$B$2*IF(AND($D$3,$F$3),SXS_Transit_temp!AB24+SXS_Transit_temp!AB50,IF(AND($D$3,NOT($F$3)), SXS_Transit_temp!AB24,IF(AND(NOT($D$3),$F$3), SXS_Transit_temp!AB50,0)))</f>
        <v>430</v>
      </c>
      <c r="D57" s="225">
        <f>Index!$B$2*IF(AND($D$3,$F$3),SXS_Transit_temp!AC24+SXS_Transit_temp!AC50,IF(AND($D$3,NOT($F$3)), SXS_Transit_temp!AC24,IF(AND(NOT($D$3),$F$3), SXS_Transit_temp!AC50,0)))</f>
        <v>5</v>
      </c>
      <c r="E57" s="225">
        <f>Index!$B$2*IF(AND($D$3,$F$3),SXS_Transit_temp!AD24+SXS_Transit_temp!AD50,IF(AND($D$3,NOT($F$3)), SXS_Transit_temp!AD24,IF(AND(NOT($D$3),$F$3), SXS_Transit_temp!AD50,0)))</f>
        <v>40</v>
      </c>
      <c r="F57" s="225">
        <f>Index!$B$2*IF(AND($D$3,$F$3),SXS_Transit_temp!AE24+SXS_Transit_temp!AE50,IF(AND($D$3,NOT($F$3)), SXS_Transit_temp!AE24,IF(AND(NOT($D$3),$F$3), SXS_Transit_temp!AE50,0)))</f>
        <v>0</v>
      </c>
      <c r="G57" s="225">
        <f>Index!$B$2*IF(AND($D$3,$F$3),SXS_Transit_temp!AF24+SXS_Transit_temp!AF50,IF(AND($D$3,NOT($F$3)), SXS_Transit_temp!AF24,IF(AND(NOT($D$3),$F$3), SXS_Transit_temp!AF50,0)))</f>
        <v>15</v>
      </c>
      <c r="H57" s="225">
        <f>Index!$B$2*IF(AND($D$3,$F$3),SXS_Transit_temp!AG24+SXS_Transit_temp!AG50,IF(AND($D$3,NOT($F$3)), SXS_Transit_temp!AG24,IF(AND(NOT($D$3),$F$3), SXS_Transit_temp!AG50,0)))</f>
        <v>5</v>
      </c>
      <c r="I57" s="225">
        <f>Index!$B$2*IF(AND($D$3,$F$3),SXS_Transit_temp!AH24+SXS_Transit_temp!AH50,IF(AND($D$3,NOT($F$3)), SXS_Transit_temp!AH24,IF(AND(NOT($D$3),$F$3), SXS_Transit_temp!AH50,0)))</f>
        <v>0</v>
      </c>
      <c r="J57" s="225">
        <f>Index!$B$2*IF(AND($D$3,$F$3),SXS_Transit_temp!AI24+SXS_Transit_temp!AI50,IF(AND($D$3,NOT($F$3)), SXS_Transit_temp!AI24,IF(AND(NOT($D$3),$F$3), SXS_Transit_temp!AI50,0)))</f>
        <v>5</v>
      </c>
      <c r="K57" s="225">
        <f>Index!$B$2*IF(AND($D$3,$F$3),SXS_Transit_temp!AJ24+SXS_Transit_temp!AJ50,IF(AND($D$3,NOT($F$3)), SXS_Transit_temp!AJ24,IF(AND(NOT($D$3),$F$3), SXS_Transit_temp!AJ50,0)))</f>
        <v>0</v>
      </c>
      <c r="L57" s="225">
        <f>Index!$B$2*IF(AND($D$3,$F$3),SXS_Transit_temp!AK24+SXS_Transit_temp!AK50,IF(AND($D$3,NOT($F$3)), SXS_Transit_temp!AK24,IF(AND(NOT($D$3),$F$3), SXS_Transit_temp!AK50,0)))</f>
        <v>15</v>
      </c>
      <c r="M57" s="225">
        <f>Index!$B$2*IF(AND($D$3,$F$3),SXS_Transit_temp!AL24+SXS_Transit_temp!AL50,IF(AND($D$3,NOT($F$3)), SXS_Transit_temp!AL24,IF(AND(NOT($D$3),$F$3), SXS_Transit_temp!AL50,0)))</f>
        <v>460</v>
      </c>
      <c r="N57" s="225">
        <f>Index!$B$2*IF(AND($D$3,$F$3),SXS_Transit_temp!AM24+SXS_Transit_temp!AM50,IF(AND($D$3,NOT($F$3)), SXS_Transit_temp!AM24,IF(AND(NOT($D$3),$F$3), SXS_Transit_temp!AM50,0)))</f>
        <v>0</v>
      </c>
      <c r="O57" s="225">
        <f>Index!$B$2*IF(AND($D$3,$F$3),SXS_Transit_temp!AN24+SXS_Transit_temp!AN50,IF(AND($D$3,NOT($F$3)), SXS_Transit_temp!AN24,IF(AND(NOT($D$3),$F$3), SXS_Transit_temp!AN50,0)))</f>
        <v>0</v>
      </c>
      <c r="P57" s="225">
        <f>Index!$B$2*IF(AND($D$3,$F$3),SXS_Transit_temp!AO24+SXS_Transit_temp!AO50,IF(AND($D$3,NOT($F$3)), SXS_Transit_temp!AO24,IF(AND(NOT($D$3),$F$3), SXS_Transit_temp!AO50,0)))</f>
        <v>0</v>
      </c>
      <c r="Q57" s="225">
        <f>Index!$B$2*IF(AND($D$3,$F$3),SXS_Transit_temp!AP24+SXS_Transit_temp!AP50,IF(AND($D$3,NOT($F$3)), SXS_Transit_temp!AP24,IF(AND(NOT($D$3),$F$3), SXS_Transit_temp!AP50,0)))</f>
        <v>0</v>
      </c>
      <c r="R57" s="225">
        <f>Index!$B$2*IF(AND($D$3,$F$3),SXS_Transit_temp!AQ24+SXS_Transit_temp!AQ50,IF(AND($D$3,NOT($F$3)), SXS_Transit_temp!AQ24,IF(AND(NOT($D$3),$F$3), SXS_Transit_temp!AQ50,0)))</f>
        <v>0</v>
      </c>
      <c r="S57" s="225">
        <f>Index!$B$2*IF(AND($D$3,$F$3),SXS_Transit_temp!AR24+SXS_Transit_temp!AR50,IF(AND($D$3,NOT($F$3)), SXS_Transit_temp!AR24,IF(AND(NOT($D$3),$F$3), SXS_Transit_temp!AR50,0)))</f>
        <v>0</v>
      </c>
      <c r="T57" s="225">
        <f>Index!$B$2*IF(AND($D$3,$F$3),SXS_Transit_temp!AS24+SXS_Transit_temp!AS50,IF(AND($D$3,NOT($F$3)), SXS_Transit_temp!AS24,IF(AND(NOT($D$3),$F$3), SXS_Transit_temp!AS50,0)))</f>
        <v>0</v>
      </c>
      <c r="U57" s="225">
        <f>Index!$B$2*IF(AND($D$3,$F$3),SXS_Transit_temp!AT24+SXS_Transit_temp!AT50,IF(AND($D$3,NOT($F$3)), SXS_Transit_temp!AT24,IF(AND(NOT($D$3),$F$3), SXS_Transit_temp!AT50,0)))</f>
        <v>0</v>
      </c>
      <c r="V57" s="225">
        <f>Index!$B$2*IF(AND($D$3,$F$3),SXS_Transit_temp!AU24+SXS_Transit_temp!AU50,IF(AND($D$3,NOT($F$3)), SXS_Transit_temp!AU24,IF(AND(NOT($D$3),$F$3), SXS_Transit_temp!AU50,0)))</f>
        <v>5</v>
      </c>
      <c r="W57" s="225">
        <f>Index!$B$2*IF(AND($D$3,$F$3),SXS_Transit_temp!AV24+SXS_Transit_temp!AV50,IF(AND($D$3,NOT($F$3)), SXS_Transit_temp!AV24,IF(AND(NOT($D$3),$F$3), SXS_Transit_temp!AV50,0)))</f>
        <v>5</v>
      </c>
      <c r="X57" s="224">
        <f>Index!$B$2*IF(AND($D$3,$F$3),SXS_Transit_temp!AW24+SXS_Transit_temp!AW50,IF(AND($D$3,NOT($F$3)), SXS_Transit_temp!AW24,IF(AND(NOT($D$3),$F$3), SXS_Transit_temp!AW50,0)))</f>
        <v>1815</v>
      </c>
      <c r="Y57" s="225">
        <f>Index!$B$2*IF(AND($D$3,$F$3),SXS_Transit_temp!AX24+SXS_Transit_temp!AX50,IF(AND($D$3,NOT($F$3)), SXS_Transit_temp!AX24,IF(AND(NOT($D$3),$F$3), SXS_Transit_temp!AX50,0)))</f>
        <v>30</v>
      </c>
      <c r="Z57" s="225">
        <f>Index!$B$2*IF(AND($D$3,$F$3),SXS_Transit_temp!AY24+SXS_Transit_temp!AY50,IF(AND($D$3,NOT($F$3)), SXS_Transit_temp!AY24,IF(AND(NOT($D$3),$F$3), SXS_Transit_temp!AY50,0)))</f>
        <v>0</v>
      </c>
      <c r="AA57" s="225">
        <f>Index!$B$2*IF(AND($D$3,$F$3),SXS_Transit_temp!AZ24+SXS_Transit_temp!AZ50,IF(AND($D$3,NOT($F$3)), SXS_Transit_temp!AZ24,IF(AND(NOT($D$3),$F$3), SXS_Transit_temp!AZ50,0)))</f>
        <v>20</v>
      </c>
      <c r="AB57" s="226">
        <f t="shared" si="10"/>
        <v>2850</v>
      </c>
      <c r="AD57" s="223" t="s">
        <v>474</v>
      </c>
      <c r="AE57" s="234">
        <f t="shared" si="7"/>
        <v>0.15087719298245614</v>
      </c>
      <c r="AF57" s="234">
        <f t="shared" si="13"/>
        <v>1.7543859649122807E-3</v>
      </c>
      <c r="AG57" s="234">
        <f t="shared" si="14"/>
        <v>1.4035087719298246E-2</v>
      </c>
      <c r="AH57" s="234">
        <f t="shared" si="15"/>
        <v>0</v>
      </c>
      <c r="AI57" s="234">
        <f t="shared" si="16"/>
        <v>5.263157894736842E-3</v>
      </c>
      <c r="AJ57" s="234">
        <f t="shared" si="17"/>
        <v>1.7543859649122807E-3</v>
      </c>
      <c r="AK57" s="234">
        <f t="shared" si="18"/>
        <v>0</v>
      </c>
      <c r="AL57" s="234">
        <f t="shared" si="19"/>
        <v>1.7543859649122807E-3</v>
      </c>
      <c r="AM57" s="234">
        <f t="shared" si="20"/>
        <v>0</v>
      </c>
      <c r="AN57" s="234">
        <f t="shared" si="21"/>
        <v>5.263157894736842E-3</v>
      </c>
      <c r="AO57" s="234">
        <f t="shared" si="22"/>
        <v>0.16140350877192983</v>
      </c>
      <c r="AP57" s="234">
        <f t="shared" si="23"/>
        <v>0</v>
      </c>
      <c r="AQ57" s="234">
        <f t="shared" si="24"/>
        <v>0</v>
      </c>
      <c r="AR57" s="234">
        <f t="shared" si="25"/>
        <v>0</v>
      </c>
      <c r="AS57" s="234">
        <f t="shared" si="26"/>
        <v>0</v>
      </c>
      <c r="AT57" s="234">
        <f t="shared" si="27"/>
        <v>0</v>
      </c>
      <c r="AU57" s="234">
        <f t="shared" si="12"/>
        <v>0</v>
      </c>
      <c r="AV57" s="234">
        <f t="shared" si="9"/>
        <v>0</v>
      </c>
      <c r="AW57" s="234">
        <f t="shared" si="9"/>
        <v>0</v>
      </c>
      <c r="AX57" s="234">
        <f t="shared" si="9"/>
        <v>1.7543859649122807E-3</v>
      </c>
      <c r="AY57" s="234">
        <f t="shared" si="9"/>
        <v>1.7543859649122807E-3</v>
      </c>
      <c r="AZ57" s="233">
        <f t="shared" si="9"/>
        <v>0.63684210526315788</v>
      </c>
      <c r="BA57" s="234">
        <f t="shared" si="9"/>
        <v>1.0526315789473684E-2</v>
      </c>
      <c r="BB57" s="234">
        <f t="shared" si="9"/>
        <v>0</v>
      </c>
      <c r="BC57" s="234">
        <f t="shared" si="9"/>
        <v>7.0175438596491229E-3</v>
      </c>
      <c r="BD57" s="237">
        <f t="shared" si="11"/>
        <v>1</v>
      </c>
    </row>
    <row r="58" spans="2:56" x14ac:dyDescent="0.25">
      <c r="B58" s="223" t="s">
        <v>475</v>
      </c>
      <c r="C58" s="225">
        <f>Index!$B$2*IF(AND($D$3,$F$3),SXS_Transit_temp!AB25+SXS_Transit_temp!AB51,IF(AND($D$3,NOT($F$3)), SXS_Transit_temp!AB25,IF(AND(NOT($D$3),$F$3), SXS_Transit_temp!AB51,0)))</f>
        <v>795</v>
      </c>
      <c r="D58" s="225">
        <f>Index!$B$2*IF(AND($D$3,$F$3),SXS_Transit_temp!AC25+SXS_Transit_temp!AC51,IF(AND($D$3,NOT($F$3)), SXS_Transit_temp!AC25,IF(AND(NOT($D$3),$F$3), SXS_Transit_temp!AC51,0)))</f>
        <v>0</v>
      </c>
      <c r="E58" s="225">
        <f>Index!$B$2*IF(AND($D$3,$F$3),SXS_Transit_temp!AD25+SXS_Transit_temp!AD51,IF(AND($D$3,NOT($F$3)), SXS_Transit_temp!AD25,IF(AND(NOT($D$3),$F$3), SXS_Transit_temp!AD51,0)))</f>
        <v>0</v>
      </c>
      <c r="F58" s="225">
        <f>Index!$B$2*IF(AND($D$3,$F$3),SXS_Transit_temp!AE25+SXS_Transit_temp!AE51,IF(AND($D$3,NOT($F$3)), SXS_Transit_temp!AE25,IF(AND(NOT($D$3),$F$3), SXS_Transit_temp!AE51,0)))</f>
        <v>5</v>
      </c>
      <c r="G58" s="225">
        <f>Index!$B$2*IF(AND($D$3,$F$3),SXS_Transit_temp!AF25+SXS_Transit_temp!AF51,IF(AND($D$3,NOT($F$3)), SXS_Transit_temp!AF25,IF(AND(NOT($D$3),$F$3), SXS_Transit_temp!AF51,0)))</f>
        <v>5</v>
      </c>
      <c r="H58" s="225">
        <f>Index!$B$2*IF(AND($D$3,$F$3),SXS_Transit_temp!AG25+SXS_Transit_temp!AG51,IF(AND($D$3,NOT($F$3)), SXS_Transit_temp!AG25,IF(AND(NOT($D$3),$F$3), SXS_Transit_temp!AG51,0)))</f>
        <v>10</v>
      </c>
      <c r="I58" s="225">
        <f>Index!$B$2*IF(AND($D$3,$F$3),SXS_Transit_temp!AH25+SXS_Transit_temp!AH51,IF(AND($D$3,NOT($F$3)), SXS_Transit_temp!AH25,IF(AND(NOT($D$3),$F$3), SXS_Transit_temp!AH51,0)))</f>
        <v>0</v>
      </c>
      <c r="J58" s="225">
        <f>Index!$B$2*IF(AND($D$3,$F$3),SXS_Transit_temp!AI25+SXS_Transit_temp!AI51,IF(AND($D$3,NOT($F$3)), SXS_Transit_temp!AI25,IF(AND(NOT($D$3),$F$3), SXS_Transit_temp!AI51,0)))</f>
        <v>0</v>
      </c>
      <c r="K58" s="225">
        <f>Index!$B$2*IF(AND($D$3,$F$3),SXS_Transit_temp!AJ25+SXS_Transit_temp!AJ51,IF(AND($D$3,NOT($F$3)), SXS_Transit_temp!AJ25,IF(AND(NOT($D$3),$F$3), SXS_Transit_temp!AJ51,0)))</f>
        <v>0</v>
      </c>
      <c r="L58" s="225">
        <f>Index!$B$2*IF(AND($D$3,$F$3),SXS_Transit_temp!AK25+SXS_Transit_temp!AK51,IF(AND($D$3,NOT($F$3)), SXS_Transit_temp!AK25,IF(AND(NOT($D$3),$F$3), SXS_Transit_temp!AK51,0)))</f>
        <v>0</v>
      </c>
      <c r="M58" s="225">
        <f>Index!$B$2*IF(AND($D$3,$F$3),SXS_Transit_temp!AL25+SXS_Transit_temp!AL51,IF(AND($D$3,NOT($F$3)), SXS_Transit_temp!AL25,IF(AND(NOT($D$3),$F$3), SXS_Transit_temp!AL51,0)))</f>
        <v>0</v>
      </c>
      <c r="N58" s="225">
        <f>Index!$B$2*IF(AND($D$3,$F$3),SXS_Transit_temp!AM25+SXS_Transit_temp!AM51,IF(AND($D$3,NOT($F$3)), SXS_Transit_temp!AM25,IF(AND(NOT($D$3),$F$3), SXS_Transit_temp!AM51,0)))</f>
        <v>100</v>
      </c>
      <c r="O58" s="225">
        <f>Index!$B$2*IF(AND($D$3,$F$3),SXS_Transit_temp!AN25+SXS_Transit_temp!AN51,IF(AND($D$3,NOT($F$3)), SXS_Transit_temp!AN25,IF(AND(NOT($D$3),$F$3), SXS_Transit_temp!AN51,0)))</f>
        <v>20</v>
      </c>
      <c r="P58" s="225">
        <f>Index!$B$2*IF(AND($D$3,$F$3),SXS_Transit_temp!AO25+SXS_Transit_temp!AO51,IF(AND($D$3,NOT($F$3)), SXS_Transit_temp!AO25,IF(AND(NOT($D$3),$F$3), SXS_Transit_temp!AO51,0)))</f>
        <v>0</v>
      </c>
      <c r="Q58" s="225">
        <f>Index!$B$2*IF(AND($D$3,$F$3),SXS_Transit_temp!AP25+SXS_Transit_temp!AP51,IF(AND($D$3,NOT($F$3)), SXS_Transit_temp!AP25,IF(AND(NOT($D$3),$F$3), SXS_Transit_temp!AP51,0)))</f>
        <v>0</v>
      </c>
      <c r="R58" s="225">
        <f>Index!$B$2*IF(AND($D$3,$F$3),SXS_Transit_temp!AQ25+SXS_Transit_temp!AQ51,IF(AND($D$3,NOT($F$3)), SXS_Transit_temp!AQ25,IF(AND(NOT($D$3),$F$3), SXS_Transit_temp!AQ51,0)))</f>
        <v>0</v>
      </c>
      <c r="S58" s="225">
        <f>Index!$B$2*IF(AND($D$3,$F$3),SXS_Transit_temp!AR25+SXS_Transit_temp!AR51,IF(AND($D$3,NOT($F$3)), SXS_Transit_temp!AR25,IF(AND(NOT($D$3),$F$3), SXS_Transit_temp!AR51,0)))</f>
        <v>0</v>
      </c>
      <c r="T58" s="225">
        <f>Index!$B$2*IF(AND($D$3,$F$3),SXS_Transit_temp!AS25+SXS_Transit_temp!AS51,IF(AND($D$3,NOT($F$3)), SXS_Transit_temp!AS25,IF(AND(NOT($D$3),$F$3), SXS_Transit_temp!AS51,0)))</f>
        <v>0</v>
      </c>
      <c r="U58" s="225">
        <f>Index!$B$2*IF(AND($D$3,$F$3),SXS_Transit_temp!AT25+SXS_Transit_temp!AT51,IF(AND($D$3,NOT($F$3)), SXS_Transit_temp!AT25,IF(AND(NOT($D$3),$F$3), SXS_Transit_temp!AT51,0)))</f>
        <v>0</v>
      </c>
      <c r="V58" s="225">
        <f>Index!$B$2*IF(AND($D$3,$F$3),SXS_Transit_temp!AU25+SXS_Transit_temp!AU51,IF(AND($D$3,NOT($F$3)), SXS_Transit_temp!AU25,IF(AND(NOT($D$3),$F$3), SXS_Transit_temp!AU51,0)))</f>
        <v>0</v>
      </c>
      <c r="W58" s="225">
        <f>Index!$B$2*IF(AND($D$3,$F$3),SXS_Transit_temp!AV25+SXS_Transit_temp!AV51,IF(AND($D$3,NOT($F$3)), SXS_Transit_temp!AV25,IF(AND(NOT($D$3),$F$3), SXS_Transit_temp!AV51,0)))</f>
        <v>0</v>
      </c>
      <c r="X58" s="225">
        <f>Index!$B$2*IF(AND($D$3,$F$3),SXS_Transit_temp!AW25+SXS_Transit_temp!AW51,IF(AND($D$3,NOT($F$3)), SXS_Transit_temp!AW25,IF(AND(NOT($D$3),$F$3), SXS_Transit_temp!AW51,0)))</f>
        <v>25</v>
      </c>
      <c r="Y58" s="224">
        <f>Index!$B$2*IF(AND($D$3,$F$3),SXS_Transit_temp!AX25+SXS_Transit_temp!AX51,IF(AND($D$3,NOT($F$3)), SXS_Transit_temp!AX25,IF(AND(NOT($D$3),$F$3), SXS_Transit_temp!AX51,0)))</f>
        <v>460</v>
      </c>
      <c r="Z58" s="225">
        <f>Index!$B$2*IF(AND($D$3,$F$3),SXS_Transit_temp!AY25+SXS_Transit_temp!AY51,IF(AND($D$3,NOT($F$3)), SXS_Transit_temp!AY25,IF(AND(NOT($D$3),$F$3), SXS_Transit_temp!AY51,0)))</f>
        <v>50</v>
      </c>
      <c r="AA58" s="225">
        <f>Index!$B$2*IF(AND($D$3,$F$3),SXS_Transit_temp!AZ25+SXS_Transit_temp!AZ51,IF(AND($D$3,NOT($F$3)), SXS_Transit_temp!AZ25,IF(AND(NOT($D$3),$F$3), SXS_Transit_temp!AZ51,0)))</f>
        <v>0</v>
      </c>
      <c r="AB58" s="226">
        <f t="shared" si="10"/>
        <v>1470</v>
      </c>
      <c r="AD58" s="223" t="s">
        <v>475</v>
      </c>
      <c r="AE58" s="234">
        <f t="shared" si="7"/>
        <v>0.54081632653061229</v>
      </c>
      <c r="AF58" s="234">
        <f t="shared" si="13"/>
        <v>0</v>
      </c>
      <c r="AG58" s="234">
        <f t="shared" si="14"/>
        <v>0</v>
      </c>
      <c r="AH58" s="234">
        <f t="shared" si="15"/>
        <v>3.4013605442176869E-3</v>
      </c>
      <c r="AI58" s="234">
        <f t="shared" si="16"/>
        <v>3.4013605442176869E-3</v>
      </c>
      <c r="AJ58" s="234">
        <f t="shared" si="17"/>
        <v>6.8027210884353739E-3</v>
      </c>
      <c r="AK58" s="234">
        <f t="shared" si="18"/>
        <v>0</v>
      </c>
      <c r="AL58" s="234">
        <f t="shared" si="19"/>
        <v>0</v>
      </c>
      <c r="AM58" s="234">
        <f t="shared" si="20"/>
        <v>0</v>
      </c>
      <c r="AN58" s="234">
        <f t="shared" si="21"/>
        <v>0</v>
      </c>
      <c r="AO58" s="234">
        <f t="shared" si="22"/>
        <v>0</v>
      </c>
      <c r="AP58" s="234">
        <f t="shared" si="23"/>
        <v>6.8027210884353748E-2</v>
      </c>
      <c r="AQ58" s="234">
        <f t="shared" si="24"/>
        <v>1.3605442176870748E-2</v>
      </c>
      <c r="AR58" s="234">
        <f t="shared" si="25"/>
        <v>0</v>
      </c>
      <c r="AS58" s="234">
        <f t="shared" si="26"/>
        <v>0</v>
      </c>
      <c r="AT58" s="234">
        <f t="shared" si="27"/>
        <v>0</v>
      </c>
      <c r="AU58" s="234">
        <f t="shared" si="12"/>
        <v>0</v>
      </c>
      <c r="AV58" s="234">
        <f t="shared" si="9"/>
        <v>0</v>
      </c>
      <c r="AW58" s="234">
        <f t="shared" si="9"/>
        <v>0</v>
      </c>
      <c r="AX58" s="234">
        <f t="shared" si="9"/>
        <v>0</v>
      </c>
      <c r="AY58" s="234">
        <f t="shared" si="9"/>
        <v>0</v>
      </c>
      <c r="AZ58" s="234">
        <f t="shared" si="9"/>
        <v>1.7006802721088437E-2</v>
      </c>
      <c r="BA58" s="233">
        <f t="shared" si="9"/>
        <v>0.31292517006802723</v>
      </c>
      <c r="BB58" s="234">
        <f t="shared" si="9"/>
        <v>3.4013605442176874E-2</v>
      </c>
      <c r="BC58" s="234">
        <f t="shared" si="9"/>
        <v>0</v>
      </c>
      <c r="BD58" s="237">
        <f t="shared" si="11"/>
        <v>1</v>
      </c>
    </row>
    <row r="59" spans="2:56" x14ac:dyDescent="0.25">
      <c r="B59" s="223" t="s">
        <v>476</v>
      </c>
      <c r="C59" s="225">
        <f>Index!$B$2*IF(AND($D$3,$F$3),SXS_Transit_temp!AB26+SXS_Transit_temp!AB52,IF(AND($D$3,NOT($F$3)), SXS_Transit_temp!AB26,IF(AND(NOT($D$3),$F$3), SXS_Transit_temp!AB52,0)))</f>
        <v>905</v>
      </c>
      <c r="D59" s="225">
        <f>Index!$B$2*IF(AND($D$3,$F$3),SXS_Transit_temp!AC26+SXS_Transit_temp!AC52,IF(AND($D$3,NOT($F$3)), SXS_Transit_temp!AC26,IF(AND(NOT($D$3),$F$3), SXS_Transit_temp!AC52,0)))</f>
        <v>10</v>
      </c>
      <c r="E59" s="225">
        <f>Index!$B$2*IF(AND($D$3,$F$3),SXS_Transit_temp!AD26+SXS_Transit_temp!AD52,IF(AND($D$3,NOT($F$3)), SXS_Transit_temp!AD26,IF(AND(NOT($D$3),$F$3), SXS_Transit_temp!AD52,0)))</f>
        <v>5</v>
      </c>
      <c r="F59" s="225">
        <f>Index!$B$2*IF(AND($D$3,$F$3),SXS_Transit_temp!AE26+SXS_Transit_temp!AE52,IF(AND($D$3,NOT($F$3)), SXS_Transit_temp!AE26,IF(AND(NOT($D$3),$F$3), SXS_Transit_temp!AE52,0)))</f>
        <v>0</v>
      </c>
      <c r="G59" s="225">
        <f>Index!$B$2*IF(AND($D$3,$F$3),SXS_Transit_temp!AF26+SXS_Transit_temp!AF52,IF(AND($D$3,NOT($F$3)), SXS_Transit_temp!AF26,IF(AND(NOT($D$3),$F$3), SXS_Transit_temp!AF52,0)))</f>
        <v>5</v>
      </c>
      <c r="H59" s="225">
        <f>Index!$B$2*IF(AND($D$3,$F$3),SXS_Transit_temp!AG26+SXS_Transit_temp!AG52,IF(AND($D$3,NOT($F$3)), SXS_Transit_temp!AG26,IF(AND(NOT($D$3),$F$3), SXS_Transit_temp!AG52,0)))</f>
        <v>25</v>
      </c>
      <c r="I59" s="225">
        <f>Index!$B$2*IF(AND($D$3,$F$3),SXS_Transit_temp!AH26+SXS_Transit_temp!AH52,IF(AND($D$3,NOT($F$3)), SXS_Transit_temp!AH26,IF(AND(NOT($D$3),$F$3), SXS_Transit_temp!AH52,0)))</f>
        <v>5</v>
      </c>
      <c r="J59" s="225">
        <f>Index!$B$2*IF(AND($D$3,$F$3),SXS_Transit_temp!AI26+SXS_Transit_temp!AI52,IF(AND($D$3,NOT($F$3)), SXS_Transit_temp!AI26,IF(AND(NOT($D$3),$F$3), SXS_Transit_temp!AI52,0)))</f>
        <v>5</v>
      </c>
      <c r="K59" s="225">
        <f>Index!$B$2*IF(AND($D$3,$F$3),SXS_Transit_temp!AJ26+SXS_Transit_temp!AJ52,IF(AND($D$3,NOT($F$3)), SXS_Transit_temp!AJ26,IF(AND(NOT($D$3),$F$3), SXS_Transit_temp!AJ52,0)))</f>
        <v>0</v>
      </c>
      <c r="L59" s="225">
        <f>Index!$B$2*IF(AND($D$3,$F$3),SXS_Transit_temp!AK26+SXS_Transit_temp!AK52,IF(AND($D$3,NOT($F$3)), SXS_Transit_temp!AK26,IF(AND(NOT($D$3),$F$3), SXS_Transit_temp!AK52,0)))</f>
        <v>0</v>
      </c>
      <c r="M59" s="225">
        <f>Index!$B$2*IF(AND($D$3,$F$3),SXS_Transit_temp!AL26+SXS_Transit_temp!AL52,IF(AND($D$3,NOT($F$3)), SXS_Transit_temp!AL26,IF(AND(NOT($D$3),$F$3), SXS_Transit_temp!AL52,0)))</f>
        <v>0</v>
      </c>
      <c r="N59" s="225">
        <f>Index!$B$2*IF(AND($D$3,$F$3),SXS_Transit_temp!AM26+SXS_Transit_temp!AM52,IF(AND($D$3,NOT($F$3)), SXS_Transit_temp!AM26,IF(AND(NOT($D$3),$F$3), SXS_Transit_temp!AM52,0)))</f>
        <v>25</v>
      </c>
      <c r="O59" s="225">
        <f>Index!$B$2*IF(AND($D$3,$F$3),SXS_Transit_temp!AN26+SXS_Transit_temp!AN52,IF(AND($D$3,NOT($F$3)), SXS_Transit_temp!AN26,IF(AND(NOT($D$3),$F$3), SXS_Transit_temp!AN52,0)))</f>
        <v>720</v>
      </c>
      <c r="P59" s="225">
        <f>Index!$B$2*IF(AND($D$3,$F$3),SXS_Transit_temp!AO26+SXS_Transit_temp!AO52,IF(AND($D$3,NOT($F$3)), SXS_Transit_temp!AO26,IF(AND(NOT($D$3),$F$3), SXS_Transit_temp!AO52,0)))</f>
        <v>0</v>
      </c>
      <c r="Q59" s="225">
        <f>Index!$B$2*IF(AND($D$3,$F$3),SXS_Transit_temp!AP26+SXS_Transit_temp!AP52,IF(AND($D$3,NOT($F$3)), SXS_Transit_temp!AP26,IF(AND(NOT($D$3),$F$3), SXS_Transit_temp!AP52,0)))</f>
        <v>0</v>
      </c>
      <c r="R59" s="225">
        <f>Index!$B$2*IF(AND($D$3,$F$3),SXS_Transit_temp!AQ26+SXS_Transit_temp!AQ52,IF(AND($D$3,NOT($F$3)), SXS_Transit_temp!AQ26,IF(AND(NOT($D$3),$F$3), SXS_Transit_temp!AQ52,0)))</f>
        <v>0</v>
      </c>
      <c r="S59" s="225">
        <f>Index!$B$2*IF(AND($D$3,$F$3),SXS_Transit_temp!AR26+SXS_Transit_temp!AR52,IF(AND($D$3,NOT($F$3)), SXS_Transit_temp!AR26,IF(AND(NOT($D$3),$F$3), SXS_Transit_temp!AR52,0)))</f>
        <v>0</v>
      </c>
      <c r="T59" s="225">
        <f>Index!$B$2*IF(AND($D$3,$F$3),SXS_Transit_temp!AS26+SXS_Transit_temp!AS52,IF(AND($D$3,NOT($F$3)), SXS_Transit_temp!AS26,IF(AND(NOT($D$3),$F$3), SXS_Transit_temp!AS52,0)))</f>
        <v>0</v>
      </c>
      <c r="U59" s="225">
        <f>Index!$B$2*IF(AND($D$3,$F$3),SXS_Transit_temp!AT26+SXS_Transit_temp!AT52,IF(AND($D$3,NOT($F$3)), SXS_Transit_temp!AT26,IF(AND(NOT($D$3),$F$3), SXS_Transit_temp!AT52,0)))</f>
        <v>0</v>
      </c>
      <c r="V59" s="225">
        <f>Index!$B$2*IF(AND($D$3,$F$3),SXS_Transit_temp!AU26+SXS_Transit_temp!AU52,IF(AND($D$3,NOT($F$3)), SXS_Transit_temp!AU26,IF(AND(NOT($D$3),$F$3), SXS_Transit_temp!AU52,0)))</f>
        <v>0</v>
      </c>
      <c r="W59" s="225">
        <f>Index!$B$2*IF(AND($D$3,$F$3),SXS_Transit_temp!AV26+SXS_Transit_temp!AV52,IF(AND($D$3,NOT($F$3)), SXS_Transit_temp!AV26,IF(AND(NOT($D$3),$F$3), SXS_Transit_temp!AV52,0)))</f>
        <v>0</v>
      </c>
      <c r="X59" s="225">
        <f>Index!$B$2*IF(AND($D$3,$F$3),SXS_Transit_temp!AW26+SXS_Transit_temp!AW52,IF(AND($D$3,NOT($F$3)), SXS_Transit_temp!AW26,IF(AND(NOT($D$3),$F$3), SXS_Transit_temp!AW52,0)))</f>
        <v>0</v>
      </c>
      <c r="Y59" s="225">
        <f>Index!$B$2*IF(AND($D$3,$F$3),SXS_Transit_temp!AX26+SXS_Transit_temp!AX52,IF(AND($D$3,NOT($F$3)), SXS_Transit_temp!AX26,IF(AND(NOT($D$3),$F$3), SXS_Transit_temp!AX52,0)))</f>
        <v>155</v>
      </c>
      <c r="Z59" s="227">
        <f>Index!$B$2*IF(AND($D$3,$F$3),SXS_Transit_temp!AY26+SXS_Transit_temp!AY52,IF(AND($D$3,NOT($F$3)), SXS_Transit_temp!AY26,IF(AND(NOT($D$3),$F$3), SXS_Transit_temp!AY52,0)))</f>
        <v>2130</v>
      </c>
      <c r="AA59" s="228">
        <f>Index!$B$2*IF(AND($D$3,$F$3),SXS_Transit_temp!AZ26+SXS_Transit_temp!AZ52,IF(AND($D$3,NOT($F$3)), SXS_Transit_temp!AZ26,IF(AND(NOT($D$3),$F$3), SXS_Transit_temp!AZ52,0)))</f>
        <v>0</v>
      </c>
      <c r="AB59" s="226">
        <f t="shared" si="10"/>
        <v>3990</v>
      </c>
      <c r="AD59" s="223" t="s">
        <v>476</v>
      </c>
      <c r="AE59" s="234">
        <f t="shared" si="7"/>
        <v>0.22681704260651628</v>
      </c>
      <c r="AF59" s="234">
        <f t="shared" si="13"/>
        <v>2.5062656641604009E-3</v>
      </c>
      <c r="AG59" s="234">
        <f t="shared" si="14"/>
        <v>1.2531328320802004E-3</v>
      </c>
      <c r="AH59" s="234">
        <f t="shared" si="15"/>
        <v>0</v>
      </c>
      <c r="AI59" s="234">
        <f t="shared" si="16"/>
        <v>1.2531328320802004E-3</v>
      </c>
      <c r="AJ59" s="234">
        <f t="shared" si="17"/>
        <v>6.2656641604010022E-3</v>
      </c>
      <c r="AK59" s="234">
        <f t="shared" si="18"/>
        <v>1.2531328320802004E-3</v>
      </c>
      <c r="AL59" s="234">
        <f t="shared" si="19"/>
        <v>1.2531328320802004E-3</v>
      </c>
      <c r="AM59" s="234">
        <f t="shared" si="20"/>
        <v>0</v>
      </c>
      <c r="AN59" s="234">
        <f t="shared" si="21"/>
        <v>0</v>
      </c>
      <c r="AO59" s="234">
        <f t="shared" si="22"/>
        <v>0</v>
      </c>
      <c r="AP59" s="234">
        <f t="shared" si="23"/>
        <v>6.2656641604010022E-3</v>
      </c>
      <c r="AQ59" s="234">
        <f t="shared" si="24"/>
        <v>0.18045112781954886</v>
      </c>
      <c r="AR59" s="234">
        <f t="shared" si="25"/>
        <v>0</v>
      </c>
      <c r="AS59" s="234">
        <f t="shared" si="26"/>
        <v>0</v>
      </c>
      <c r="AT59" s="234">
        <f t="shared" si="27"/>
        <v>0</v>
      </c>
      <c r="AU59" s="234">
        <f t="shared" si="12"/>
        <v>0</v>
      </c>
      <c r="AV59" s="234">
        <f t="shared" si="9"/>
        <v>0</v>
      </c>
      <c r="AW59" s="234">
        <f t="shared" si="9"/>
        <v>0</v>
      </c>
      <c r="AX59" s="234">
        <f t="shared" si="9"/>
        <v>0</v>
      </c>
      <c r="AY59" s="234">
        <f t="shared" si="9"/>
        <v>0</v>
      </c>
      <c r="AZ59" s="234">
        <f t="shared" si="9"/>
        <v>0</v>
      </c>
      <c r="BA59" s="234">
        <f t="shared" si="9"/>
        <v>3.8847117794486213E-2</v>
      </c>
      <c r="BB59" s="235">
        <f t="shared" si="9"/>
        <v>0.53383458646616544</v>
      </c>
      <c r="BC59" s="236">
        <f t="shared" si="9"/>
        <v>0</v>
      </c>
      <c r="BD59" s="237">
        <f t="shared" si="11"/>
        <v>1</v>
      </c>
    </row>
    <row r="60" spans="2:56" x14ac:dyDescent="0.25">
      <c r="B60" s="223" t="s">
        <v>477</v>
      </c>
      <c r="C60" s="225">
        <f>Index!$B$2*IF(AND($D$3,$F$3),SXS_Transit_temp!AB27+SXS_Transit_temp!AB53,IF(AND($D$3,NOT($F$3)), SXS_Transit_temp!AB27,IF(AND(NOT($D$3),$F$3), SXS_Transit_temp!AB53,0)))</f>
        <v>1405</v>
      </c>
      <c r="D60" s="225">
        <f>Index!$B$2*IF(AND($D$3,$F$3),SXS_Transit_temp!AC27+SXS_Transit_temp!AC53,IF(AND($D$3,NOT($F$3)), SXS_Transit_temp!AC27,IF(AND(NOT($D$3),$F$3), SXS_Transit_temp!AC53,0)))</f>
        <v>10</v>
      </c>
      <c r="E60" s="225">
        <f>Index!$B$2*IF(AND($D$3,$F$3),SXS_Transit_temp!AD27+SXS_Transit_temp!AD53,IF(AND($D$3,NOT($F$3)), SXS_Transit_temp!AD27,IF(AND(NOT($D$3),$F$3), SXS_Transit_temp!AD53,0)))</f>
        <v>10</v>
      </c>
      <c r="F60" s="225">
        <f>Index!$B$2*IF(AND($D$3,$F$3),SXS_Transit_temp!AE27+SXS_Transit_temp!AE53,IF(AND($D$3,NOT($F$3)), SXS_Transit_temp!AE27,IF(AND(NOT($D$3),$F$3), SXS_Transit_temp!AE53,0)))</f>
        <v>5</v>
      </c>
      <c r="G60" s="225">
        <f>Index!$B$2*IF(AND($D$3,$F$3),SXS_Transit_temp!AF27+SXS_Transit_temp!AF53,IF(AND($D$3,NOT($F$3)), SXS_Transit_temp!AF27,IF(AND(NOT($D$3),$F$3), SXS_Transit_temp!AF53,0)))</f>
        <v>0</v>
      </c>
      <c r="H60" s="225">
        <f>Index!$B$2*IF(AND($D$3,$F$3),SXS_Transit_temp!AG27+SXS_Transit_temp!AG53,IF(AND($D$3,NOT($F$3)), SXS_Transit_temp!AG27,IF(AND(NOT($D$3),$F$3), SXS_Transit_temp!AG53,0)))</f>
        <v>5</v>
      </c>
      <c r="I60" s="225">
        <f>Index!$B$2*IF(AND($D$3,$F$3),SXS_Transit_temp!AH27+SXS_Transit_temp!AH53,IF(AND($D$3,NOT($F$3)), SXS_Transit_temp!AH27,IF(AND(NOT($D$3),$F$3), SXS_Transit_temp!AH53,0)))</f>
        <v>5</v>
      </c>
      <c r="J60" s="225">
        <f>Index!$B$2*IF(AND($D$3,$F$3),SXS_Transit_temp!AI27+SXS_Transit_temp!AI53,IF(AND($D$3,NOT($F$3)), SXS_Transit_temp!AI27,IF(AND(NOT($D$3),$F$3), SXS_Transit_temp!AI53,0)))</f>
        <v>15</v>
      </c>
      <c r="K60" s="225">
        <f>Index!$B$2*IF(AND($D$3,$F$3),SXS_Transit_temp!AJ27+SXS_Transit_temp!AJ53,IF(AND($D$3,NOT($F$3)), SXS_Transit_temp!AJ27,IF(AND(NOT($D$3),$F$3), SXS_Transit_temp!AJ53,0)))</f>
        <v>0</v>
      </c>
      <c r="L60" s="225">
        <f>Index!$B$2*IF(AND($D$3,$F$3),SXS_Transit_temp!AK27+SXS_Transit_temp!AK53,IF(AND($D$3,NOT($F$3)), SXS_Transit_temp!AK27,IF(AND(NOT($D$3),$F$3), SXS_Transit_temp!AK53,0)))</f>
        <v>0</v>
      </c>
      <c r="M60" s="225">
        <f>Index!$B$2*IF(AND($D$3,$F$3),SXS_Transit_temp!AL27+SXS_Transit_temp!AL53,IF(AND($D$3,NOT($F$3)), SXS_Transit_temp!AL27,IF(AND(NOT($D$3),$F$3), SXS_Transit_temp!AL53,0)))</f>
        <v>0</v>
      </c>
      <c r="N60" s="225">
        <f>Index!$B$2*IF(AND($D$3,$F$3),SXS_Transit_temp!AM27+SXS_Transit_temp!AM53,IF(AND($D$3,NOT($F$3)), SXS_Transit_temp!AM27,IF(AND(NOT($D$3),$F$3), SXS_Transit_temp!AM53,0)))</f>
        <v>0</v>
      </c>
      <c r="O60" s="225">
        <f>Index!$B$2*IF(AND($D$3,$F$3),SXS_Transit_temp!AN27+SXS_Transit_temp!AN53,IF(AND($D$3,NOT($F$3)), SXS_Transit_temp!AN27,IF(AND(NOT($D$3),$F$3), SXS_Transit_temp!AN53,0)))</f>
        <v>40</v>
      </c>
      <c r="P60" s="225">
        <f>Index!$B$2*IF(AND($D$3,$F$3),SXS_Transit_temp!AO27+SXS_Transit_temp!AO53,IF(AND($D$3,NOT($F$3)), SXS_Transit_temp!AO27,IF(AND(NOT($D$3),$F$3), SXS_Transit_temp!AO53,0)))</f>
        <v>135</v>
      </c>
      <c r="Q60" s="225">
        <f>Index!$B$2*IF(AND($D$3,$F$3),SXS_Transit_temp!AP27+SXS_Transit_temp!AP53,IF(AND($D$3,NOT($F$3)), SXS_Transit_temp!AP27,IF(AND(NOT($D$3),$F$3), SXS_Transit_temp!AP53,0)))</f>
        <v>10</v>
      </c>
      <c r="R60" s="225">
        <f>Index!$B$2*IF(AND($D$3,$F$3),SXS_Transit_temp!AQ27+SXS_Transit_temp!AQ53,IF(AND($D$3,NOT($F$3)), SXS_Transit_temp!AQ27,IF(AND(NOT($D$3),$F$3), SXS_Transit_temp!AQ53,0)))</f>
        <v>0</v>
      </c>
      <c r="S60" s="225">
        <f>Index!$B$2*IF(AND($D$3,$F$3),SXS_Transit_temp!AR27+SXS_Transit_temp!AR53,IF(AND($D$3,NOT($F$3)), SXS_Transit_temp!AR27,IF(AND(NOT($D$3),$F$3), SXS_Transit_temp!AR53,0)))</f>
        <v>0</v>
      </c>
      <c r="T60" s="225">
        <f>Index!$B$2*IF(AND($D$3,$F$3),SXS_Transit_temp!AS27+SXS_Transit_temp!AS53,IF(AND($D$3,NOT($F$3)), SXS_Transit_temp!AS27,IF(AND(NOT($D$3),$F$3), SXS_Transit_temp!AS53,0)))</f>
        <v>0</v>
      </c>
      <c r="U60" s="225">
        <f>Index!$B$2*IF(AND($D$3,$F$3),SXS_Transit_temp!AT27+SXS_Transit_temp!AT53,IF(AND($D$3,NOT($F$3)), SXS_Transit_temp!AT27,IF(AND(NOT($D$3),$F$3), SXS_Transit_temp!AT53,0)))</f>
        <v>0</v>
      </c>
      <c r="V60" s="225">
        <f>Index!$B$2*IF(AND($D$3,$F$3),SXS_Transit_temp!AU27+SXS_Transit_temp!AU53,IF(AND($D$3,NOT($F$3)), SXS_Transit_temp!AU27,IF(AND(NOT($D$3),$F$3), SXS_Transit_temp!AU53,0)))</f>
        <v>0</v>
      </c>
      <c r="W60" s="225">
        <f>Index!$B$2*IF(AND($D$3,$F$3),SXS_Transit_temp!AV27+SXS_Transit_temp!AV53,IF(AND($D$3,NOT($F$3)), SXS_Transit_temp!AV27,IF(AND(NOT($D$3),$F$3), SXS_Transit_temp!AV53,0)))</f>
        <v>0</v>
      </c>
      <c r="X60" s="225">
        <f>Index!$B$2*IF(AND($D$3,$F$3),SXS_Transit_temp!AW27+SXS_Transit_temp!AW53,IF(AND($D$3,NOT($F$3)), SXS_Transit_temp!AW27,IF(AND(NOT($D$3),$F$3), SXS_Transit_temp!AW53,0)))</f>
        <v>0</v>
      </c>
      <c r="Y60" s="225">
        <f>Index!$B$2*IF(AND($D$3,$F$3),SXS_Transit_temp!AX27+SXS_Transit_temp!AX53,IF(AND($D$3,NOT($F$3)), SXS_Transit_temp!AX27,IF(AND(NOT($D$3),$F$3), SXS_Transit_temp!AX53,0)))</f>
        <v>0</v>
      </c>
      <c r="Z60" s="228">
        <f>Index!$B$2*IF(AND($D$3,$F$3),SXS_Transit_temp!AY27+SXS_Transit_temp!AY53,IF(AND($D$3,NOT($F$3)), SXS_Transit_temp!AY27,IF(AND(NOT($D$3),$F$3), SXS_Transit_temp!AY53,0)))</f>
        <v>0</v>
      </c>
      <c r="AA60" s="227">
        <f>Index!$B$2*IF(AND($D$3,$F$3),SXS_Transit_temp!AZ27+SXS_Transit_temp!AZ53,IF(AND($D$3,NOT($F$3)), SXS_Transit_temp!AZ27,IF(AND(NOT($D$3),$F$3), SXS_Transit_temp!AZ53,0)))</f>
        <v>1980</v>
      </c>
      <c r="AB60" s="226">
        <f t="shared" si="10"/>
        <v>3620</v>
      </c>
      <c r="AD60" s="223" t="s">
        <v>477</v>
      </c>
      <c r="AE60" s="234">
        <f t="shared" si="7"/>
        <v>0.38812154696132595</v>
      </c>
      <c r="AF60" s="234">
        <f t="shared" si="13"/>
        <v>2.7624309392265192E-3</v>
      </c>
      <c r="AG60" s="234">
        <f t="shared" si="14"/>
        <v>2.7624309392265192E-3</v>
      </c>
      <c r="AH60" s="234">
        <f t="shared" si="15"/>
        <v>1.3812154696132596E-3</v>
      </c>
      <c r="AI60" s="234">
        <f t="shared" si="16"/>
        <v>0</v>
      </c>
      <c r="AJ60" s="234">
        <f t="shared" si="17"/>
        <v>1.3812154696132596E-3</v>
      </c>
      <c r="AK60" s="234">
        <f t="shared" si="18"/>
        <v>1.3812154696132596E-3</v>
      </c>
      <c r="AL60" s="234">
        <f t="shared" si="19"/>
        <v>4.1436464088397788E-3</v>
      </c>
      <c r="AM60" s="234">
        <f t="shared" si="20"/>
        <v>0</v>
      </c>
      <c r="AN60" s="234">
        <f t="shared" si="21"/>
        <v>0</v>
      </c>
      <c r="AO60" s="234">
        <f t="shared" si="22"/>
        <v>0</v>
      </c>
      <c r="AP60" s="234">
        <f t="shared" si="23"/>
        <v>0</v>
      </c>
      <c r="AQ60" s="234">
        <f t="shared" si="24"/>
        <v>1.1049723756906077E-2</v>
      </c>
      <c r="AR60" s="234">
        <f t="shared" si="25"/>
        <v>3.7292817679558013E-2</v>
      </c>
      <c r="AS60" s="234">
        <f t="shared" si="26"/>
        <v>2.7624309392265192E-3</v>
      </c>
      <c r="AT60" s="234">
        <f t="shared" si="27"/>
        <v>0</v>
      </c>
      <c r="AU60" s="234">
        <f t="shared" si="12"/>
        <v>0</v>
      </c>
      <c r="AV60" s="234">
        <f t="shared" si="9"/>
        <v>0</v>
      </c>
      <c r="AW60" s="234">
        <f t="shared" si="9"/>
        <v>0</v>
      </c>
      <c r="AX60" s="234">
        <f t="shared" si="9"/>
        <v>0</v>
      </c>
      <c r="AY60" s="234">
        <f t="shared" si="9"/>
        <v>0</v>
      </c>
      <c r="AZ60" s="234">
        <f t="shared" si="9"/>
        <v>0</v>
      </c>
      <c r="BA60" s="234">
        <f t="shared" si="9"/>
        <v>0</v>
      </c>
      <c r="BB60" s="236">
        <f t="shared" si="9"/>
        <v>0</v>
      </c>
      <c r="BC60" s="235">
        <f t="shared" si="9"/>
        <v>0.54696132596685088</v>
      </c>
      <c r="BD60" s="237">
        <f t="shared" si="11"/>
        <v>1</v>
      </c>
    </row>
    <row r="61" spans="2:56" ht="15.75" thickBot="1" x14ac:dyDescent="0.3">
      <c r="B61" s="229" t="s">
        <v>29</v>
      </c>
      <c r="C61" s="230">
        <f>SUM(C36:C60)</f>
        <v>559795</v>
      </c>
      <c r="D61" s="230">
        <f t="shared" ref="D61:AA61" si="28">SUM(D36:D60)</f>
        <v>109115</v>
      </c>
      <c r="E61" s="230">
        <f t="shared" si="28"/>
        <v>47565</v>
      </c>
      <c r="F61" s="230">
        <f t="shared" si="28"/>
        <v>22730</v>
      </c>
      <c r="G61" s="230">
        <f t="shared" si="28"/>
        <v>28560</v>
      </c>
      <c r="H61" s="230">
        <f t="shared" si="28"/>
        <v>20255</v>
      </c>
      <c r="I61" s="230">
        <f t="shared" si="28"/>
        <v>33395</v>
      </c>
      <c r="J61" s="230">
        <f t="shared" si="28"/>
        <v>57955</v>
      </c>
      <c r="K61" s="230">
        <f t="shared" si="28"/>
        <v>3245</v>
      </c>
      <c r="L61" s="230">
        <f t="shared" si="28"/>
        <v>2440</v>
      </c>
      <c r="M61" s="230">
        <f t="shared" si="28"/>
        <v>2550</v>
      </c>
      <c r="N61" s="230">
        <f t="shared" si="28"/>
        <v>4125</v>
      </c>
      <c r="O61" s="230">
        <f t="shared" si="28"/>
        <v>6355</v>
      </c>
      <c r="P61" s="230">
        <f t="shared" si="28"/>
        <v>3930</v>
      </c>
      <c r="Q61" s="230">
        <f t="shared" si="28"/>
        <v>1745</v>
      </c>
      <c r="R61" s="230">
        <f t="shared" si="28"/>
        <v>15</v>
      </c>
      <c r="S61" s="230">
        <f t="shared" si="28"/>
        <v>0</v>
      </c>
      <c r="T61" s="230">
        <f t="shared" si="28"/>
        <v>425</v>
      </c>
      <c r="U61" s="230">
        <f t="shared" si="28"/>
        <v>40</v>
      </c>
      <c r="V61" s="230">
        <f t="shared" si="28"/>
        <v>2770</v>
      </c>
      <c r="W61" s="230">
        <f t="shared" si="28"/>
        <v>3970</v>
      </c>
      <c r="X61" s="230">
        <f t="shared" si="28"/>
        <v>2055</v>
      </c>
      <c r="Y61" s="230">
        <f t="shared" si="28"/>
        <v>725</v>
      </c>
      <c r="Z61" s="230">
        <f t="shared" si="28"/>
        <v>2395</v>
      </c>
      <c r="AA61" s="230">
        <f t="shared" si="28"/>
        <v>2150</v>
      </c>
      <c r="AB61" s="231">
        <f>SUM(AB36:AB60)</f>
        <v>918305</v>
      </c>
      <c r="AD61" s="229" t="s">
        <v>29</v>
      </c>
      <c r="AE61" s="238">
        <f t="shared" si="7"/>
        <v>0.6095959403466169</v>
      </c>
      <c r="AF61" s="238">
        <f t="shared" si="13"/>
        <v>0.11882217781673844</v>
      </c>
      <c r="AG61" s="238">
        <f t="shared" si="14"/>
        <v>5.1796516407947253E-2</v>
      </c>
      <c r="AH61" s="238">
        <f t="shared" si="15"/>
        <v>2.4752124838697383E-2</v>
      </c>
      <c r="AI61" s="238">
        <f t="shared" si="16"/>
        <v>3.1100778063933007E-2</v>
      </c>
      <c r="AJ61" s="238">
        <f t="shared" si="17"/>
        <v>2.2056941865719996E-2</v>
      </c>
      <c r="AK61" s="238">
        <f t="shared" si="18"/>
        <v>3.6365913285890852E-2</v>
      </c>
      <c r="AL61" s="238">
        <f t="shared" si="19"/>
        <v>6.3110840080365452E-2</v>
      </c>
      <c r="AM61" s="238">
        <f t="shared" si="20"/>
        <v>3.5336843423481304E-3</v>
      </c>
      <c r="AN61" s="238">
        <f t="shared" si="21"/>
        <v>2.6570692743696266E-3</v>
      </c>
      <c r="AO61" s="238">
        <f t="shared" si="22"/>
        <v>2.7768551842797329E-3</v>
      </c>
      <c r="AP61" s="238">
        <f t="shared" si="23"/>
        <v>4.4919716216289792E-3</v>
      </c>
      <c r="AQ61" s="238">
        <f t="shared" si="24"/>
        <v>6.92035870435204E-3</v>
      </c>
      <c r="AR61" s="238">
        <f t="shared" si="25"/>
        <v>4.2796238722428818E-3</v>
      </c>
      <c r="AS61" s="238">
        <f t="shared" si="26"/>
        <v>1.9002401163012289E-3</v>
      </c>
      <c r="AT61" s="238">
        <f t="shared" si="27"/>
        <v>1.6334442260469017E-5</v>
      </c>
      <c r="AU61" s="238">
        <f t="shared" si="12"/>
        <v>0</v>
      </c>
      <c r="AV61" s="238">
        <f t="shared" si="9"/>
        <v>4.6280919737995549E-4</v>
      </c>
      <c r="AW61" s="238">
        <f t="shared" si="9"/>
        <v>4.3558512694584045E-5</v>
      </c>
      <c r="AX61" s="238">
        <f t="shared" si="9"/>
        <v>3.0164270040999451E-3</v>
      </c>
      <c r="AY61" s="238">
        <f t="shared" si="9"/>
        <v>4.3231823849374665E-3</v>
      </c>
      <c r="AZ61" s="238">
        <f t="shared" si="9"/>
        <v>2.2378185896842553E-3</v>
      </c>
      <c r="BA61" s="238">
        <f t="shared" si="9"/>
        <v>7.8949804258933584E-4</v>
      </c>
      <c r="BB61" s="238">
        <f t="shared" si="9"/>
        <v>2.6080659475882194E-3</v>
      </c>
      <c r="BC61" s="238">
        <f t="shared" si="9"/>
        <v>2.3412700573338923E-3</v>
      </c>
      <c r="BD61" s="239">
        <f t="shared" si="11"/>
        <v>1</v>
      </c>
    </row>
    <row r="62" spans="2:56" ht="24.75" thickTop="1" thickBot="1" x14ac:dyDescent="0.4">
      <c r="B62" s="232" t="s">
        <v>480</v>
      </c>
      <c r="E62" s="274" t="s">
        <v>516</v>
      </c>
      <c r="F62" s="275">
        <v>0</v>
      </c>
      <c r="AD62" s="240" t="s">
        <v>140</v>
      </c>
    </row>
    <row r="63" spans="2:56" ht="19.5" thickTop="1" x14ac:dyDescent="0.3">
      <c r="B63" s="373" t="s">
        <v>454</v>
      </c>
      <c r="C63" s="375" t="s">
        <v>455</v>
      </c>
      <c r="D63" s="375"/>
      <c r="E63" s="375"/>
      <c r="F63" s="375"/>
      <c r="G63" s="375"/>
      <c r="H63" s="375"/>
      <c r="I63" s="375"/>
      <c r="J63" s="375"/>
      <c r="K63" s="375"/>
      <c r="L63" s="375"/>
      <c r="M63" s="375"/>
      <c r="N63" s="375"/>
      <c r="O63" s="375"/>
      <c r="P63" s="375"/>
      <c r="Q63" s="375"/>
      <c r="R63" s="375"/>
      <c r="S63" s="375"/>
      <c r="T63" s="375"/>
      <c r="U63" s="375"/>
      <c r="V63" s="376"/>
      <c r="W63" s="376"/>
      <c r="X63" s="376"/>
      <c r="Y63" s="376"/>
      <c r="Z63" s="379"/>
      <c r="AA63" s="257"/>
      <c r="AB63" s="377" t="s">
        <v>29</v>
      </c>
      <c r="AD63" s="373" t="s">
        <v>454</v>
      </c>
      <c r="AE63" s="375" t="s">
        <v>455</v>
      </c>
      <c r="AF63" s="375"/>
      <c r="AG63" s="375"/>
      <c r="AH63" s="375"/>
      <c r="AI63" s="375"/>
      <c r="AJ63" s="375"/>
      <c r="AK63" s="375"/>
      <c r="AL63" s="375"/>
      <c r="AM63" s="375"/>
      <c r="AN63" s="375"/>
      <c r="AO63" s="375"/>
      <c r="AP63" s="375"/>
      <c r="AQ63" s="375"/>
      <c r="AR63" s="375"/>
      <c r="AS63" s="375"/>
      <c r="AT63" s="375"/>
      <c r="AU63" s="375"/>
      <c r="AV63" s="375"/>
      <c r="AW63" s="375"/>
      <c r="AX63" s="376"/>
      <c r="AY63" s="376"/>
      <c r="AZ63" s="376"/>
      <c r="BA63" s="376"/>
      <c r="BB63" s="379"/>
      <c r="BC63" s="257"/>
      <c r="BD63" s="377" t="s">
        <v>29</v>
      </c>
    </row>
    <row r="64" spans="2:56" x14ac:dyDescent="0.25">
      <c r="B64" s="374"/>
      <c r="C64" s="220">
        <v>1</v>
      </c>
      <c r="D64" s="220" t="s">
        <v>456</v>
      </c>
      <c r="E64" s="220" t="s">
        <v>457</v>
      </c>
      <c r="F64" s="220" t="s">
        <v>458</v>
      </c>
      <c r="G64" s="220" t="s">
        <v>47</v>
      </c>
      <c r="H64" s="220" t="s">
        <v>459</v>
      </c>
      <c r="I64" s="220" t="s">
        <v>460</v>
      </c>
      <c r="J64" s="220" t="s">
        <v>49</v>
      </c>
      <c r="K64" s="220" t="s">
        <v>461</v>
      </c>
      <c r="L64" s="220" t="s">
        <v>462</v>
      </c>
      <c r="M64" s="220" t="s">
        <v>463</v>
      </c>
      <c r="N64" s="220" t="s">
        <v>464</v>
      </c>
      <c r="O64" s="220" t="s">
        <v>465</v>
      </c>
      <c r="P64" s="220" t="s">
        <v>466</v>
      </c>
      <c r="Q64" s="220" t="s">
        <v>467</v>
      </c>
      <c r="R64" s="220" t="s">
        <v>468</v>
      </c>
      <c r="S64" s="220" t="s">
        <v>469</v>
      </c>
      <c r="T64" s="220" t="s">
        <v>470</v>
      </c>
      <c r="U64" s="220" t="s">
        <v>471</v>
      </c>
      <c r="V64" s="221" t="s">
        <v>472</v>
      </c>
      <c r="W64" s="220" t="s">
        <v>473</v>
      </c>
      <c r="X64" s="220" t="s">
        <v>474</v>
      </c>
      <c r="Y64" s="220" t="s">
        <v>475</v>
      </c>
      <c r="Z64" s="222" t="s">
        <v>476</v>
      </c>
      <c r="AA64" s="222" t="s">
        <v>477</v>
      </c>
      <c r="AB64" s="378"/>
      <c r="AD64" s="374"/>
      <c r="AE64" s="220">
        <v>1</v>
      </c>
      <c r="AF64" s="220" t="s">
        <v>456</v>
      </c>
      <c r="AG64" s="220" t="s">
        <v>457</v>
      </c>
      <c r="AH64" s="220" t="s">
        <v>458</v>
      </c>
      <c r="AI64" s="220" t="s">
        <v>47</v>
      </c>
      <c r="AJ64" s="220" t="s">
        <v>459</v>
      </c>
      <c r="AK64" s="220" t="s">
        <v>460</v>
      </c>
      <c r="AL64" s="220" t="s">
        <v>49</v>
      </c>
      <c r="AM64" s="220" t="s">
        <v>461</v>
      </c>
      <c r="AN64" s="220" t="s">
        <v>462</v>
      </c>
      <c r="AO64" s="220" t="s">
        <v>463</v>
      </c>
      <c r="AP64" s="220" t="s">
        <v>464</v>
      </c>
      <c r="AQ64" s="220" t="s">
        <v>465</v>
      </c>
      <c r="AR64" s="220" t="s">
        <v>466</v>
      </c>
      <c r="AS64" s="220" t="s">
        <v>467</v>
      </c>
      <c r="AT64" s="220" t="s">
        <v>468</v>
      </c>
      <c r="AU64" s="220" t="s">
        <v>469</v>
      </c>
      <c r="AV64" s="220" t="s">
        <v>470</v>
      </c>
      <c r="AW64" s="220" t="s">
        <v>471</v>
      </c>
      <c r="AX64" s="221" t="s">
        <v>472</v>
      </c>
      <c r="AY64" s="220" t="s">
        <v>473</v>
      </c>
      <c r="AZ64" s="220" t="s">
        <v>474</v>
      </c>
      <c r="BA64" s="220" t="s">
        <v>475</v>
      </c>
      <c r="BB64" s="222" t="s">
        <v>476</v>
      </c>
      <c r="BC64" s="222" t="s">
        <v>477</v>
      </c>
      <c r="BD64" s="378"/>
    </row>
    <row r="65" spans="2:56" x14ac:dyDescent="0.25">
      <c r="B65" s="223">
        <v>1</v>
      </c>
      <c r="C65" s="224">
        <f>IF(ABS(C36-C7)&gt;$F$62,C36-C7,0)</f>
        <v>50873.855119999993</v>
      </c>
      <c r="D65" s="225">
        <f t="shared" ref="D65:AA65" si="29">IF(ABS(D36-D7)&gt;$F$62,D36-D7,0)</f>
        <v>-126251.35223000002</v>
      </c>
      <c r="E65" s="225">
        <f t="shared" si="29"/>
        <v>-18751.764519999997</v>
      </c>
      <c r="F65" s="225">
        <f t="shared" si="29"/>
        <v>427.24842999999964</v>
      </c>
      <c r="G65" s="225">
        <f t="shared" si="29"/>
        <v>-15902.57661</v>
      </c>
      <c r="H65" s="225">
        <f t="shared" si="29"/>
        <v>-10317.273509999999</v>
      </c>
      <c r="I65" s="225">
        <f t="shared" si="29"/>
        <v>-9740.1434599999993</v>
      </c>
      <c r="J65" s="225">
        <f t="shared" si="29"/>
        <v>-43056.003320000003</v>
      </c>
      <c r="K65" s="225">
        <f t="shared" si="29"/>
        <v>-16459.265920000002</v>
      </c>
      <c r="L65" s="225">
        <f t="shared" si="29"/>
        <v>-12143.632210000002</v>
      </c>
      <c r="M65" s="225">
        <f t="shared" si="29"/>
        <v>-16228.021359999999</v>
      </c>
      <c r="N65" s="225">
        <f t="shared" si="29"/>
        <v>-12922.59635</v>
      </c>
      <c r="O65" s="225">
        <f t="shared" si="29"/>
        <v>-44571.624839999997</v>
      </c>
      <c r="P65" s="225">
        <f t="shared" si="29"/>
        <v>-15978.991309999999</v>
      </c>
      <c r="Q65" s="225">
        <f t="shared" si="29"/>
        <v>-12412.72616</v>
      </c>
      <c r="R65" s="225">
        <f t="shared" si="29"/>
        <v>5</v>
      </c>
      <c r="S65" s="225">
        <f t="shared" si="29"/>
        <v>0</v>
      </c>
      <c r="T65" s="225">
        <f t="shared" si="29"/>
        <v>-124.98264</v>
      </c>
      <c r="U65" s="225">
        <f t="shared" si="29"/>
        <v>0</v>
      </c>
      <c r="V65" s="225">
        <f t="shared" si="29"/>
        <v>-22842.49223</v>
      </c>
      <c r="W65" s="225">
        <f t="shared" si="29"/>
        <v>-13780.53541</v>
      </c>
      <c r="X65" s="225">
        <f t="shared" si="29"/>
        <v>-1164.2630200000001</v>
      </c>
      <c r="Y65" s="225">
        <f t="shared" si="29"/>
        <v>-6757.7532599999995</v>
      </c>
      <c r="Z65" s="225">
        <f t="shared" si="29"/>
        <v>-7375.0577899999998</v>
      </c>
      <c r="AA65" s="225">
        <f t="shared" si="29"/>
        <v>-13087.74128</v>
      </c>
      <c r="AB65" s="226">
        <f>SUM(C65:AA65)</f>
        <v>-368562.69388000009</v>
      </c>
      <c r="AD65" s="223">
        <v>1</v>
      </c>
      <c r="AE65" s="233">
        <f t="shared" ref="AE65:BC65" si="30">AE36-AE7</f>
        <v>0.4362594288990681</v>
      </c>
      <c r="AF65" s="234">
        <f t="shared" si="30"/>
        <v>-0.11711010400062805</v>
      </c>
      <c r="AG65" s="234">
        <f t="shared" si="30"/>
        <v>-2.3171611954263469E-3</v>
      </c>
      <c r="AH65" s="234">
        <f t="shared" si="30"/>
        <v>1.5106019467552429E-2</v>
      </c>
      <c r="AI65" s="234">
        <f t="shared" si="30"/>
        <v>-6.5466889399095653E-3</v>
      </c>
      <c r="AJ65" s="234">
        <f t="shared" si="30"/>
        <v>-2.2157052330687467E-3</v>
      </c>
      <c r="AK65" s="234">
        <f t="shared" si="30"/>
        <v>1.5498890357039732E-4</v>
      </c>
      <c r="AL65" s="234">
        <f t="shared" si="30"/>
        <v>-3.5192933920117443E-2</v>
      </c>
      <c r="AM65" s="234">
        <f t="shared" si="30"/>
        <v>-2.4033314563117907E-2</v>
      </c>
      <c r="AN65" s="234">
        <f t="shared" si="30"/>
        <v>-1.7870564201926072E-2</v>
      </c>
      <c r="AO65" s="234">
        <f t="shared" si="30"/>
        <v>-2.3941724060750118E-2</v>
      </c>
      <c r="AP65" s="234">
        <f t="shared" si="30"/>
        <v>-1.8569187989208921E-2</v>
      </c>
      <c r="AQ65" s="234">
        <f t="shared" si="30"/>
        <v>-6.5757342537515487E-2</v>
      </c>
      <c r="AR65" s="234">
        <f t="shared" si="30"/>
        <v>-2.3175340723919934E-2</v>
      </c>
      <c r="AS65" s="234">
        <f t="shared" si="30"/>
        <v>-1.8225528889058051E-2</v>
      </c>
      <c r="AT65" s="234">
        <f t="shared" si="30"/>
        <v>1.6437095236529802E-5</v>
      </c>
      <c r="AU65" s="234">
        <f t="shared" si="30"/>
        <v>0</v>
      </c>
      <c r="AV65" s="234">
        <f t="shared" si="30"/>
        <v>-1.5876315423456189E-4</v>
      </c>
      <c r="AW65" s="234">
        <f t="shared" si="30"/>
        <v>0</v>
      </c>
      <c r="AX65" s="234">
        <f t="shared" si="30"/>
        <v>-3.3908748247345369E-2</v>
      </c>
      <c r="AY65" s="234">
        <f t="shared" si="30"/>
        <v>-2.0384751237201088E-2</v>
      </c>
      <c r="AZ65" s="234">
        <f t="shared" si="30"/>
        <v>-1.7305958498438538E-3</v>
      </c>
      <c r="BA65" s="234">
        <f t="shared" si="30"/>
        <v>-1.0044929320201866E-2</v>
      </c>
      <c r="BB65" s="234">
        <f t="shared" si="30"/>
        <v>-1.0926489713783936E-2</v>
      </c>
      <c r="BC65" s="234">
        <f t="shared" si="30"/>
        <v>-1.9427000588170717E-2</v>
      </c>
      <c r="BD65" s="237">
        <f>SUM(AE65:BC65)</f>
        <v>-5.9674487573602164E-16</v>
      </c>
    </row>
    <row r="66" spans="2:56" x14ac:dyDescent="0.25">
      <c r="B66" s="223" t="s">
        <v>456</v>
      </c>
      <c r="C66" s="225">
        <f t="shared" ref="C66:AA66" si="31">IF(ABS(C37-C8)&gt;$F$62,C37-C8,0)</f>
        <v>-60605.179429999989</v>
      </c>
      <c r="D66" s="224">
        <f t="shared" si="31"/>
        <v>-62036.535109999997</v>
      </c>
      <c r="E66" s="225">
        <f t="shared" si="31"/>
        <v>1588.6107100000008</v>
      </c>
      <c r="F66" s="225">
        <f t="shared" si="31"/>
        <v>1553.58942</v>
      </c>
      <c r="G66" s="225">
        <f t="shared" si="31"/>
        <v>556.87498000000005</v>
      </c>
      <c r="H66" s="225">
        <f t="shared" si="31"/>
        <v>-2891.1117199999999</v>
      </c>
      <c r="I66" s="225">
        <f t="shared" si="31"/>
        <v>-73.774919999999952</v>
      </c>
      <c r="J66" s="225">
        <f t="shared" si="31"/>
        <v>-5320.8145500000001</v>
      </c>
      <c r="K66" s="225">
        <f t="shared" si="31"/>
        <v>-241.28628000000003</v>
      </c>
      <c r="L66" s="225">
        <f t="shared" si="31"/>
        <v>-34.101759999999999</v>
      </c>
      <c r="M66" s="225">
        <f t="shared" si="31"/>
        <v>45</v>
      </c>
      <c r="N66" s="225">
        <f t="shared" si="31"/>
        <v>-2679.4718499999999</v>
      </c>
      <c r="O66" s="225">
        <f t="shared" si="31"/>
        <v>17.46058</v>
      </c>
      <c r="P66" s="225">
        <f t="shared" si="31"/>
        <v>10</v>
      </c>
      <c r="Q66" s="225">
        <f t="shared" si="31"/>
        <v>0</v>
      </c>
      <c r="R66" s="225">
        <f t="shared" si="31"/>
        <v>0</v>
      </c>
      <c r="S66" s="225">
        <f t="shared" si="31"/>
        <v>0</v>
      </c>
      <c r="T66" s="225">
        <f t="shared" si="31"/>
        <v>-149.19650999999999</v>
      </c>
      <c r="U66" s="225">
        <f t="shared" si="31"/>
        <v>0</v>
      </c>
      <c r="V66" s="225">
        <f t="shared" si="31"/>
        <v>-796.58906999999999</v>
      </c>
      <c r="W66" s="225">
        <f t="shared" si="31"/>
        <v>-665.51200999999992</v>
      </c>
      <c r="X66" s="225">
        <f t="shared" si="31"/>
        <v>0</v>
      </c>
      <c r="Y66" s="225">
        <f t="shared" si="31"/>
        <v>10</v>
      </c>
      <c r="Z66" s="225">
        <f t="shared" si="31"/>
        <v>0</v>
      </c>
      <c r="AA66" s="225">
        <f t="shared" si="31"/>
        <v>0</v>
      </c>
      <c r="AB66" s="226">
        <f t="shared" ref="AB66:AB89" si="32">SUM(C66:AA66)</f>
        <v>-131712.03751999998</v>
      </c>
      <c r="AD66" s="223" t="s">
        <v>456</v>
      </c>
      <c r="AE66" s="234">
        <f t="shared" ref="AE66:BC66" si="33">AE37-AE8</f>
        <v>6.3836575867846523E-2</v>
      </c>
      <c r="AF66" s="233">
        <f t="shared" si="33"/>
        <v>-8.0074913240815893E-2</v>
      </c>
      <c r="AG66" s="234">
        <f t="shared" si="33"/>
        <v>2.7796144900813825E-2</v>
      </c>
      <c r="AH66" s="234">
        <f t="shared" si="33"/>
        <v>1.1932459261281498E-2</v>
      </c>
      <c r="AI66" s="234">
        <f t="shared" si="33"/>
        <v>5.4885006262022007E-3</v>
      </c>
      <c r="AJ66" s="234">
        <f t="shared" si="33"/>
        <v>-7.901225682718175E-3</v>
      </c>
      <c r="AK66" s="234">
        <f t="shared" si="33"/>
        <v>1.6211624031962375E-3</v>
      </c>
      <c r="AL66" s="234">
        <f t="shared" si="33"/>
        <v>-1.2106880325038372E-2</v>
      </c>
      <c r="AM66" s="234">
        <f t="shared" si="33"/>
        <v>2.6184911242540364E-3</v>
      </c>
      <c r="AN66" s="234">
        <f t="shared" si="33"/>
        <v>1.1358832065905158E-5</v>
      </c>
      <c r="AO66" s="234">
        <f t="shared" si="33"/>
        <v>2.5684198510316484E-4</v>
      </c>
      <c r="AP66" s="234">
        <f t="shared" si="33"/>
        <v>-8.6935397195078284E-3</v>
      </c>
      <c r="AQ66" s="234">
        <f t="shared" si="33"/>
        <v>1.1812498203627716E-4</v>
      </c>
      <c r="AR66" s="234">
        <f t="shared" si="33"/>
        <v>5.7075996689592192E-5</v>
      </c>
      <c r="AS66" s="234">
        <f t="shared" si="33"/>
        <v>0</v>
      </c>
      <c r="AT66" s="234">
        <f t="shared" si="33"/>
        <v>0</v>
      </c>
      <c r="AU66" s="234">
        <f t="shared" si="33"/>
        <v>0</v>
      </c>
      <c r="AV66" s="234">
        <f t="shared" si="33"/>
        <v>-4.8611348267128303E-4</v>
      </c>
      <c r="AW66" s="234">
        <f t="shared" si="33"/>
        <v>0</v>
      </c>
      <c r="AX66" s="234">
        <f t="shared" si="33"/>
        <v>-2.5464662525101073E-3</v>
      </c>
      <c r="AY66" s="234">
        <f t="shared" si="33"/>
        <v>-1.9846732729175208E-3</v>
      </c>
      <c r="AZ66" s="234">
        <f t="shared" si="33"/>
        <v>0</v>
      </c>
      <c r="BA66" s="234">
        <f t="shared" si="33"/>
        <v>5.7075996689592192E-5</v>
      </c>
      <c r="BB66" s="234">
        <f t="shared" si="33"/>
        <v>0</v>
      </c>
      <c r="BC66" s="234">
        <f t="shared" si="33"/>
        <v>0</v>
      </c>
      <c r="BD66" s="237">
        <f t="shared" ref="BD66:BD90" si="34">SUM(AE66:BC66)</f>
        <v>-3.2305158981921211E-16</v>
      </c>
    </row>
    <row r="67" spans="2:56" x14ac:dyDescent="0.25">
      <c r="B67" s="223" t="s">
        <v>457</v>
      </c>
      <c r="C67" s="225">
        <f t="shared" ref="C67:AA67" si="35">IF(ABS(C38-C9)&gt;$F$62,C38-C9,0)</f>
        <v>7109.0937800000029</v>
      </c>
      <c r="D67" s="225">
        <f t="shared" si="35"/>
        <v>286.0933299999997</v>
      </c>
      <c r="E67" s="224">
        <f t="shared" si="35"/>
        <v>1370.2236900000007</v>
      </c>
      <c r="F67" s="225">
        <f t="shared" si="35"/>
        <v>-1853.1118000000006</v>
      </c>
      <c r="G67" s="225">
        <f t="shared" si="35"/>
        <v>-647.40981999999985</v>
      </c>
      <c r="H67" s="225">
        <f t="shared" si="35"/>
        <v>-74.921979999999962</v>
      </c>
      <c r="I67" s="225">
        <f t="shared" si="35"/>
        <v>-882.42122000000018</v>
      </c>
      <c r="J67" s="225">
        <f t="shared" si="35"/>
        <v>-51.838510000000042</v>
      </c>
      <c r="K67" s="225">
        <f t="shared" si="35"/>
        <v>215</v>
      </c>
      <c r="L67" s="225">
        <f t="shared" si="35"/>
        <v>530</v>
      </c>
      <c r="M67" s="225">
        <f t="shared" si="35"/>
        <v>-3247.93849</v>
      </c>
      <c r="N67" s="225">
        <f t="shared" si="35"/>
        <v>60</v>
      </c>
      <c r="O67" s="225">
        <f t="shared" si="35"/>
        <v>35</v>
      </c>
      <c r="P67" s="225">
        <f t="shared" si="35"/>
        <v>5</v>
      </c>
      <c r="Q67" s="225">
        <f t="shared" si="35"/>
        <v>10</v>
      </c>
      <c r="R67" s="225">
        <f t="shared" si="35"/>
        <v>0</v>
      </c>
      <c r="S67" s="225">
        <f t="shared" si="35"/>
        <v>0</v>
      </c>
      <c r="T67" s="225">
        <f t="shared" si="35"/>
        <v>-1586.5626600000001</v>
      </c>
      <c r="U67" s="225">
        <f t="shared" si="35"/>
        <v>0</v>
      </c>
      <c r="V67" s="225">
        <f t="shared" si="35"/>
        <v>-938.88949000000002</v>
      </c>
      <c r="W67" s="225">
        <f t="shared" si="35"/>
        <v>20</v>
      </c>
      <c r="X67" s="225">
        <f t="shared" si="35"/>
        <v>0</v>
      </c>
      <c r="Y67" s="225">
        <f t="shared" si="35"/>
        <v>0</v>
      </c>
      <c r="Z67" s="225">
        <f t="shared" si="35"/>
        <v>0</v>
      </c>
      <c r="AA67" s="225">
        <f t="shared" si="35"/>
        <v>5</v>
      </c>
      <c r="AB67" s="226">
        <f t="shared" si="32"/>
        <v>362.31683000000294</v>
      </c>
      <c r="AD67" s="223" t="s">
        <v>457</v>
      </c>
      <c r="AE67" s="234">
        <f t="shared" ref="AE67:BC67" si="36">AE38-AE9</f>
        <v>9.2246125132998014E-2</v>
      </c>
      <c r="AF67" s="234">
        <f t="shared" si="36"/>
        <v>3.2282775291862104E-3</v>
      </c>
      <c r="AG67" s="233">
        <f t="shared" si="36"/>
        <v>1.7397585608187882E-2</v>
      </c>
      <c r="AH67" s="234">
        <f t="shared" si="36"/>
        <v>-2.4992899486883963E-2</v>
      </c>
      <c r="AI67" s="234">
        <f t="shared" si="36"/>
        <v>-8.7759486345150121E-3</v>
      </c>
      <c r="AJ67" s="234">
        <f t="shared" si="36"/>
        <v>-1.0462042124505661E-3</v>
      </c>
      <c r="AK67" s="234">
        <f t="shared" si="36"/>
        <v>-1.1822400674155985E-2</v>
      </c>
      <c r="AL67" s="234">
        <f t="shared" si="36"/>
        <v>-7.359600520337687E-4</v>
      </c>
      <c r="AM67" s="234">
        <f t="shared" si="36"/>
        <v>2.8607544408223006E-3</v>
      </c>
      <c r="AN67" s="234">
        <f t="shared" si="36"/>
        <v>7.0520923424921824E-3</v>
      </c>
      <c r="AO67" s="234">
        <f t="shared" si="36"/>
        <v>-4.3439099153825003E-2</v>
      </c>
      <c r="AP67" s="234">
        <f t="shared" si="36"/>
        <v>7.9835007650854903E-4</v>
      </c>
      <c r="AQ67" s="234">
        <f t="shared" si="36"/>
        <v>4.6570421129665357E-4</v>
      </c>
      <c r="AR67" s="234">
        <f t="shared" si="36"/>
        <v>6.6529173042379077E-5</v>
      </c>
      <c r="AS67" s="234">
        <f t="shared" si="36"/>
        <v>1.3305834608475815E-4</v>
      </c>
      <c r="AT67" s="234">
        <f t="shared" si="36"/>
        <v>0</v>
      </c>
      <c r="AU67" s="234">
        <f t="shared" si="36"/>
        <v>0</v>
      </c>
      <c r="AV67" s="234">
        <f t="shared" si="36"/>
        <v>-2.1212805755261153E-2</v>
      </c>
      <c r="AW67" s="234">
        <f t="shared" si="36"/>
        <v>0</v>
      </c>
      <c r="AX67" s="234">
        <f t="shared" si="36"/>
        <v>-1.2555804756705239E-2</v>
      </c>
      <c r="AY67" s="234">
        <f t="shared" si="36"/>
        <v>2.6611669216951631E-4</v>
      </c>
      <c r="AZ67" s="234">
        <f t="shared" si="36"/>
        <v>0</v>
      </c>
      <c r="BA67" s="234">
        <f t="shared" si="36"/>
        <v>0</v>
      </c>
      <c r="BB67" s="234">
        <f t="shared" si="36"/>
        <v>0</v>
      </c>
      <c r="BC67" s="234">
        <f t="shared" si="36"/>
        <v>6.6529173042379077E-5</v>
      </c>
      <c r="BD67" s="237">
        <f t="shared" si="34"/>
        <v>1.3083609716468825E-16</v>
      </c>
    </row>
    <row r="68" spans="2:56" x14ac:dyDescent="0.25">
      <c r="B68" s="223" t="s">
        <v>458</v>
      </c>
      <c r="C68" s="225">
        <f t="shared" ref="C68:AA68" si="37">IF(ABS(C39-C10)&gt;$F$62,C39-C10,0)</f>
        <v>10104.44859</v>
      </c>
      <c r="D68" s="225">
        <f t="shared" si="37"/>
        <v>498.41404000000011</v>
      </c>
      <c r="E68" s="225">
        <f t="shared" si="37"/>
        <v>-2183.3351300000004</v>
      </c>
      <c r="F68" s="224">
        <f t="shared" si="37"/>
        <v>-975.19868000000042</v>
      </c>
      <c r="G68" s="225">
        <f t="shared" si="37"/>
        <v>-585.95032999999967</v>
      </c>
      <c r="H68" s="225">
        <f t="shared" si="37"/>
        <v>560</v>
      </c>
      <c r="I68" s="225">
        <f t="shared" si="37"/>
        <v>230</v>
      </c>
      <c r="J68" s="225">
        <f t="shared" si="37"/>
        <v>-966.89383999999995</v>
      </c>
      <c r="K68" s="225">
        <f t="shared" si="37"/>
        <v>10</v>
      </c>
      <c r="L68" s="225">
        <f t="shared" si="37"/>
        <v>-1510.7427700000001</v>
      </c>
      <c r="M68" s="225">
        <f t="shared" si="37"/>
        <v>75</v>
      </c>
      <c r="N68" s="225">
        <f t="shared" si="37"/>
        <v>-15.276749999999993</v>
      </c>
      <c r="O68" s="225">
        <f t="shared" si="37"/>
        <v>-221.44669999999999</v>
      </c>
      <c r="P68" s="225">
        <f t="shared" si="37"/>
        <v>-228.99341000000001</v>
      </c>
      <c r="Q68" s="225">
        <f t="shared" si="37"/>
        <v>0</v>
      </c>
      <c r="R68" s="225">
        <f t="shared" si="37"/>
        <v>0</v>
      </c>
      <c r="S68" s="225">
        <f t="shared" si="37"/>
        <v>0</v>
      </c>
      <c r="T68" s="225">
        <f t="shared" si="37"/>
        <v>0</v>
      </c>
      <c r="U68" s="225">
        <f t="shared" si="37"/>
        <v>0</v>
      </c>
      <c r="V68" s="225">
        <f t="shared" si="37"/>
        <v>-139.71608000000001</v>
      </c>
      <c r="W68" s="225">
        <f t="shared" si="37"/>
        <v>15</v>
      </c>
      <c r="X68" s="225">
        <f t="shared" si="37"/>
        <v>-36.45082</v>
      </c>
      <c r="Y68" s="225">
        <f t="shared" si="37"/>
        <v>5</v>
      </c>
      <c r="Z68" s="225">
        <f t="shared" si="37"/>
        <v>0</v>
      </c>
      <c r="AA68" s="225">
        <f t="shared" si="37"/>
        <v>0</v>
      </c>
      <c r="AB68" s="226">
        <f t="shared" si="32"/>
        <v>4633.8581199999999</v>
      </c>
      <c r="AD68" s="223" t="s">
        <v>458</v>
      </c>
      <c r="AE68" s="234">
        <f t="shared" ref="AE68:BC68" si="38">AE39-AE10</f>
        <v>0.25690914323316116</v>
      </c>
      <c r="AF68" s="234">
        <f t="shared" si="38"/>
        <v>4.21763598033012E-3</v>
      </c>
      <c r="AG68" s="234">
        <f t="shared" si="38"/>
        <v>-9.3853740694251064E-2</v>
      </c>
      <c r="AH68" s="233">
        <f t="shared" si="38"/>
        <v>-5.3064746528882212E-2</v>
      </c>
      <c r="AI68" s="234">
        <f t="shared" si="38"/>
        <v>-3.1904494846467901E-2</v>
      </c>
      <c r="AJ68" s="234">
        <f t="shared" si="38"/>
        <v>1.6502136437306615E-2</v>
      </c>
      <c r="AK68" s="234">
        <f t="shared" si="38"/>
        <v>6.7776631796080747E-3</v>
      </c>
      <c r="AL68" s="234">
        <f t="shared" si="38"/>
        <v>-3.4326678413193069E-2</v>
      </c>
      <c r="AM68" s="234">
        <f t="shared" si="38"/>
        <v>2.9468100780904668E-4</v>
      </c>
      <c r="AN68" s="234">
        <f t="shared" si="38"/>
        <v>-5.1605779944465621E-2</v>
      </c>
      <c r="AO68" s="234">
        <f t="shared" si="38"/>
        <v>2.2101075585678502E-3</v>
      </c>
      <c r="AP68" s="234">
        <f t="shared" si="38"/>
        <v>-1.1971084562477519E-3</v>
      </c>
      <c r="AQ68" s="234">
        <f t="shared" si="38"/>
        <v>-7.6508185544368786E-3</v>
      </c>
      <c r="AR68" s="234">
        <f t="shared" si="38"/>
        <v>-7.8850741011212977E-3</v>
      </c>
      <c r="AS68" s="234">
        <f t="shared" si="38"/>
        <v>0</v>
      </c>
      <c r="AT68" s="234">
        <f t="shared" si="38"/>
        <v>0</v>
      </c>
      <c r="AU68" s="234">
        <f t="shared" si="38"/>
        <v>0</v>
      </c>
      <c r="AV68" s="234">
        <f t="shared" si="38"/>
        <v>0</v>
      </c>
      <c r="AW68" s="234">
        <f t="shared" si="38"/>
        <v>0</v>
      </c>
      <c r="AX68" s="234">
        <f t="shared" si="38"/>
        <v>-4.7682810646832033E-3</v>
      </c>
      <c r="AY68" s="234">
        <f t="shared" si="38"/>
        <v>4.4202151171357008E-4</v>
      </c>
      <c r="AZ68" s="234">
        <f t="shared" si="38"/>
        <v>-1.2440068086520594E-3</v>
      </c>
      <c r="BA68" s="234">
        <f t="shared" si="38"/>
        <v>1.4734050390452334E-4</v>
      </c>
      <c r="BB68" s="234">
        <f t="shared" si="38"/>
        <v>0</v>
      </c>
      <c r="BC68" s="234">
        <f t="shared" si="38"/>
        <v>0</v>
      </c>
      <c r="BD68" s="237">
        <f t="shared" si="34"/>
        <v>-1.2744796537567105E-16</v>
      </c>
    </row>
    <row r="69" spans="2:56" x14ac:dyDescent="0.25">
      <c r="B69" s="223" t="s">
        <v>47</v>
      </c>
      <c r="C69" s="225">
        <f t="shared" ref="C69:AA69" si="39">IF(ABS(C40-C11)&gt;$F$62,C40-C11,0)</f>
        <v>-3033.0489999999991</v>
      </c>
      <c r="D69" s="225">
        <f t="shared" si="39"/>
        <v>85.744410000000016</v>
      </c>
      <c r="E69" s="225">
        <f t="shared" si="39"/>
        <v>-2843.7822099999994</v>
      </c>
      <c r="F69" s="225">
        <f t="shared" si="39"/>
        <v>401.79384000000027</v>
      </c>
      <c r="G69" s="224">
        <f t="shared" si="39"/>
        <v>-1571.7292500000003</v>
      </c>
      <c r="H69" s="225">
        <f t="shared" si="39"/>
        <v>323.15304999999989</v>
      </c>
      <c r="I69" s="225">
        <f t="shared" si="39"/>
        <v>790.97042999999996</v>
      </c>
      <c r="J69" s="225">
        <f t="shared" si="39"/>
        <v>-4096.6301400000002</v>
      </c>
      <c r="K69" s="225">
        <f t="shared" si="39"/>
        <v>20</v>
      </c>
      <c r="L69" s="225">
        <f t="shared" si="39"/>
        <v>35</v>
      </c>
      <c r="M69" s="225">
        <f t="shared" si="39"/>
        <v>-414.85316</v>
      </c>
      <c r="N69" s="225">
        <f t="shared" si="39"/>
        <v>-165.11752000000001</v>
      </c>
      <c r="O69" s="225">
        <f t="shared" si="39"/>
        <v>13.103229999999996</v>
      </c>
      <c r="P69" s="225">
        <f t="shared" si="39"/>
        <v>-151.37289000000001</v>
      </c>
      <c r="Q69" s="225">
        <f t="shared" si="39"/>
        <v>0</v>
      </c>
      <c r="R69" s="225">
        <f t="shared" si="39"/>
        <v>0</v>
      </c>
      <c r="S69" s="225">
        <f t="shared" si="39"/>
        <v>0</v>
      </c>
      <c r="T69" s="225">
        <f t="shared" si="39"/>
        <v>0</v>
      </c>
      <c r="U69" s="225">
        <f t="shared" si="39"/>
        <v>0</v>
      </c>
      <c r="V69" s="225">
        <f t="shared" si="39"/>
        <v>-1328.2579800000001</v>
      </c>
      <c r="W69" s="225">
        <f t="shared" si="39"/>
        <v>20</v>
      </c>
      <c r="X69" s="225">
        <f t="shared" si="39"/>
        <v>0</v>
      </c>
      <c r="Y69" s="225">
        <f t="shared" si="39"/>
        <v>0</v>
      </c>
      <c r="Z69" s="225">
        <f t="shared" si="39"/>
        <v>0</v>
      </c>
      <c r="AA69" s="225">
        <f t="shared" si="39"/>
        <v>5</v>
      </c>
      <c r="AB69" s="226">
        <f t="shared" si="32"/>
        <v>-11910.027189999999</v>
      </c>
      <c r="AD69" s="223" t="s">
        <v>47</v>
      </c>
      <c r="AE69" s="234">
        <f t="shared" ref="AE69:BC69" si="40">AE40-AE11</f>
        <v>6.8109061089380196E-2</v>
      </c>
      <c r="AF69" s="234">
        <f t="shared" si="40"/>
        <v>9.3760360729676015E-3</v>
      </c>
      <c r="AG69" s="234">
        <f t="shared" si="40"/>
        <v>-3.9750227660243248E-2</v>
      </c>
      <c r="AH69" s="234">
        <f t="shared" si="40"/>
        <v>1.7997016154344701E-2</v>
      </c>
      <c r="AI69" s="233">
        <f t="shared" si="40"/>
        <v>8.8353693233209629E-3</v>
      </c>
      <c r="AJ69" s="234">
        <f t="shared" si="40"/>
        <v>1.6644987387245277E-2</v>
      </c>
      <c r="AK69" s="234">
        <f t="shared" si="40"/>
        <v>1.7206589326408731E-2</v>
      </c>
      <c r="AL69" s="234">
        <f t="shared" si="40"/>
        <v>-6.770866063774221E-2</v>
      </c>
      <c r="AM69" s="234">
        <f t="shared" si="40"/>
        <v>4.323856880337261E-4</v>
      </c>
      <c r="AN69" s="234">
        <f t="shared" si="40"/>
        <v>7.5667495405902063E-4</v>
      </c>
      <c r="AO69" s="234">
        <f t="shared" si="40"/>
        <v>-6.9774082525132768E-3</v>
      </c>
      <c r="AP69" s="234">
        <f t="shared" si="40"/>
        <v>-8.0243817171133519E-4</v>
      </c>
      <c r="AQ69" s="234">
        <f t="shared" si="40"/>
        <v>6.0155671233781921E-4</v>
      </c>
      <c r="AR69" s="234">
        <f t="shared" si="40"/>
        <v>-2.4253996982942518E-3</v>
      </c>
      <c r="AS69" s="234">
        <f t="shared" si="40"/>
        <v>0</v>
      </c>
      <c r="AT69" s="234">
        <f t="shared" si="40"/>
        <v>0</v>
      </c>
      <c r="AU69" s="234">
        <f t="shared" si="40"/>
        <v>0</v>
      </c>
      <c r="AV69" s="234">
        <f t="shared" si="40"/>
        <v>0</v>
      </c>
      <c r="AW69" s="234">
        <f t="shared" si="40"/>
        <v>0</v>
      </c>
      <c r="AX69" s="234">
        <f t="shared" si="40"/>
        <v>-2.2836024397635983E-2</v>
      </c>
      <c r="AY69" s="234">
        <f t="shared" si="40"/>
        <v>4.323856880337261E-4</v>
      </c>
      <c r="AZ69" s="234">
        <f t="shared" si="40"/>
        <v>0</v>
      </c>
      <c r="BA69" s="234">
        <f t="shared" si="40"/>
        <v>0</v>
      </c>
      <c r="BB69" s="234">
        <f t="shared" si="40"/>
        <v>0</v>
      </c>
      <c r="BC69" s="234">
        <f t="shared" si="40"/>
        <v>1.0809642200843153E-4</v>
      </c>
      <c r="BD69" s="237">
        <f t="shared" si="34"/>
        <v>-1.0077659193252764E-16</v>
      </c>
    </row>
    <row r="70" spans="2:56" x14ac:dyDescent="0.25">
      <c r="B70" s="223" t="s">
        <v>459</v>
      </c>
      <c r="C70" s="225">
        <f t="shared" ref="C70:AA70" si="41">IF(ABS(C41-C12)&gt;$F$62,C41-C12,0)</f>
        <v>6679.4274900000019</v>
      </c>
      <c r="D70" s="225">
        <f t="shared" si="41"/>
        <v>-1607.2621300000001</v>
      </c>
      <c r="E70" s="225">
        <f t="shared" si="41"/>
        <v>357.97463000000005</v>
      </c>
      <c r="F70" s="225">
        <f t="shared" si="41"/>
        <v>760</v>
      </c>
      <c r="G70" s="225">
        <f t="shared" si="41"/>
        <v>1499.19893</v>
      </c>
      <c r="H70" s="224">
        <f t="shared" si="41"/>
        <v>-12332.34346</v>
      </c>
      <c r="I70" s="225">
        <f t="shared" si="41"/>
        <v>1033.7150099999999</v>
      </c>
      <c r="J70" s="225">
        <f t="shared" si="41"/>
        <v>590.43006000000003</v>
      </c>
      <c r="K70" s="225">
        <f t="shared" si="41"/>
        <v>5</v>
      </c>
      <c r="L70" s="225">
        <f t="shared" si="41"/>
        <v>10</v>
      </c>
      <c r="M70" s="225">
        <f t="shared" si="41"/>
        <v>20</v>
      </c>
      <c r="N70" s="225">
        <f t="shared" si="41"/>
        <v>125</v>
      </c>
      <c r="O70" s="225">
        <f t="shared" si="41"/>
        <v>265</v>
      </c>
      <c r="P70" s="225">
        <f t="shared" si="41"/>
        <v>-293.74176</v>
      </c>
      <c r="Q70" s="225">
        <f t="shared" si="41"/>
        <v>0</v>
      </c>
      <c r="R70" s="225">
        <f t="shared" si="41"/>
        <v>0</v>
      </c>
      <c r="S70" s="225">
        <f t="shared" si="41"/>
        <v>0</v>
      </c>
      <c r="T70" s="225">
        <f t="shared" si="41"/>
        <v>0</v>
      </c>
      <c r="U70" s="225">
        <f t="shared" si="41"/>
        <v>0</v>
      </c>
      <c r="V70" s="225">
        <f t="shared" si="41"/>
        <v>0</v>
      </c>
      <c r="W70" s="225">
        <f t="shared" si="41"/>
        <v>10</v>
      </c>
      <c r="X70" s="225">
        <f t="shared" si="41"/>
        <v>0</v>
      </c>
      <c r="Y70" s="225">
        <f t="shared" si="41"/>
        <v>0</v>
      </c>
      <c r="Z70" s="225">
        <f t="shared" si="41"/>
        <v>0</v>
      </c>
      <c r="AA70" s="225">
        <f t="shared" si="41"/>
        <v>0</v>
      </c>
      <c r="AB70" s="226">
        <f t="shared" si="32"/>
        <v>-2877.6012299999979</v>
      </c>
      <c r="AD70" s="223" t="s">
        <v>459</v>
      </c>
      <c r="AE70" s="234">
        <f t="shared" ref="AE70:BC70" si="42">AE41-AE12</f>
        <v>0.21445873158945822</v>
      </c>
      <c r="AF70" s="234">
        <f t="shared" si="42"/>
        <v>-3.8998619364356772E-2</v>
      </c>
      <c r="AG70" s="234">
        <f t="shared" si="42"/>
        <v>1.0828357934652068E-2</v>
      </c>
      <c r="AH70" s="234">
        <f t="shared" si="42"/>
        <v>2.0674646354733407E-2</v>
      </c>
      <c r="AI70" s="234">
        <f t="shared" si="42"/>
        <v>4.3066036550963867E-2</v>
      </c>
      <c r="AJ70" s="233">
        <f t="shared" si="42"/>
        <v>-0.30038386994316191</v>
      </c>
      <c r="AK70" s="234">
        <f t="shared" si="42"/>
        <v>2.9466125601173659E-2</v>
      </c>
      <c r="AL70" s="234">
        <f t="shared" si="42"/>
        <v>1.6396639241839303E-2</v>
      </c>
      <c r="AM70" s="234">
        <f t="shared" si="42"/>
        <v>1.3601741022850925E-4</v>
      </c>
      <c r="AN70" s="234">
        <f t="shared" si="42"/>
        <v>2.720348204570185E-4</v>
      </c>
      <c r="AO70" s="234">
        <f t="shared" si="42"/>
        <v>5.4406964091403701E-4</v>
      </c>
      <c r="AP70" s="234">
        <f t="shared" si="42"/>
        <v>3.4004352557127312E-3</v>
      </c>
      <c r="AQ70" s="234">
        <f t="shared" si="42"/>
        <v>7.2089227421109903E-3</v>
      </c>
      <c r="AR70" s="234">
        <f t="shared" si="42"/>
        <v>-7.341562655182282E-3</v>
      </c>
      <c r="AS70" s="234">
        <f t="shared" si="42"/>
        <v>0</v>
      </c>
      <c r="AT70" s="234">
        <f t="shared" si="42"/>
        <v>0</v>
      </c>
      <c r="AU70" s="234">
        <f t="shared" si="42"/>
        <v>0</v>
      </c>
      <c r="AV70" s="234">
        <f t="shared" si="42"/>
        <v>0</v>
      </c>
      <c r="AW70" s="234">
        <f t="shared" si="42"/>
        <v>0</v>
      </c>
      <c r="AX70" s="234">
        <f t="shared" si="42"/>
        <v>0</v>
      </c>
      <c r="AY70" s="234">
        <f t="shared" si="42"/>
        <v>2.720348204570185E-4</v>
      </c>
      <c r="AZ70" s="234">
        <f t="shared" si="42"/>
        <v>0</v>
      </c>
      <c r="BA70" s="234">
        <f t="shared" si="42"/>
        <v>0</v>
      </c>
      <c r="BB70" s="234">
        <f t="shared" si="42"/>
        <v>0</v>
      </c>
      <c r="BC70" s="234">
        <f t="shared" si="42"/>
        <v>0</v>
      </c>
      <c r="BD70" s="237">
        <f t="shared" si="34"/>
        <v>-1.6284716630732277E-16</v>
      </c>
    </row>
    <row r="71" spans="2:56" x14ac:dyDescent="0.25">
      <c r="B71" s="223" t="s">
        <v>460</v>
      </c>
      <c r="C71" s="225">
        <f t="shared" ref="C71:AA71" si="43">IF(ABS(C42-C13)&gt;$F$62,C42-C13,0)</f>
        <v>15613.396820000002</v>
      </c>
      <c r="D71" s="225">
        <f t="shared" si="43"/>
        <v>-68.825710000000072</v>
      </c>
      <c r="E71" s="225">
        <f t="shared" si="43"/>
        <v>-2484.4488700000002</v>
      </c>
      <c r="F71" s="225">
        <f t="shared" si="43"/>
        <v>305</v>
      </c>
      <c r="G71" s="225">
        <f t="shared" si="43"/>
        <v>803.17201999999997</v>
      </c>
      <c r="H71" s="225">
        <f t="shared" si="43"/>
        <v>218.94021999999995</v>
      </c>
      <c r="I71" s="224">
        <f t="shared" si="43"/>
        <v>-9562.0887599999987</v>
      </c>
      <c r="J71" s="225">
        <f t="shared" si="43"/>
        <v>1317.3459800000001</v>
      </c>
      <c r="K71" s="225">
        <f t="shared" si="43"/>
        <v>-664.22867999999994</v>
      </c>
      <c r="L71" s="225">
        <f t="shared" si="43"/>
        <v>-199.01035999999999</v>
      </c>
      <c r="M71" s="225">
        <f t="shared" si="43"/>
        <v>0</v>
      </c>
      <c r="N71" s="225">
        <f t="shared" si="43"/>
        <v>25</v>
      </c>
      <c r="O71" s="225">
        <f t="shared" si="43"/>
        <v>30</v>
      </c>
      <c r="P71" s="225">
        <f t="shared" si="43"/>
        <v>683.93360000000007</v>
      </c>
      <c r="Q71" s="225">
        <f t="shared" si="43"/>
        <v>-113.31186</v>
      </c>
      <c r="R71" s="225">
        <f t="shared" si="43"/>
        <v>0</v>
      </c>
      <c r="S71" s="225">
        <f t="shared" si="43"/>
        <v>0</v>
      </c>
      <c r="T71" s="225">
        <f t="shared" si="43"/>
        <v>-841.46168999999998</v>
      </c>
      <c r="U71" s="225">
        <f t="shared" si="43"/>
        <v>0</v>
      </c>
      <c r="V71" s="225">
        <f t="shared" si="43"/>
        <v>-88.062920000000005</v>
      </c>
      <c r="W71" s="225">
        <f t="shared" si="43"/>
        <v>5</v>
      </c>
      <c r="X71" s="225">
        <f t="shared" si="43"/>
        <v>0</v>
      </c>
      <c r="Y71" s="225">
        <f t="shared" si="43"/>
        <v>0</v>
      </c>
      <c r="Z71" s="225">
        <f t="shared" si="43"/>
        <v>0</v>
      </c>
      <c r="AA71" s="225">
        <f t="shared" si="43"/>
        <v>0</v>
      </c>
      <c r="AB71" s="226">
        <f t="shared" si="32"/>
        <v>4980.349790000002</v>
      </c>
      <c r="AD71" s="223" t="s">
        <v>460</v>
      </c>
      <c r="AE71" s="234">
        <f t="shared" ref="AE71:BC71" si="44">AE42-AE13</f>
        <v>0.27064007260272566</v>
      </c>
      <c r="AF71" s="234">
        <f t="shared" si="44"/>
        <v>-3.466895522145963E-3</v>
      </c>
      <c r="AG71" s="234">
        <f t="shared" si="44"/>
        <v>-5.3328622546959664E-2</v>
      </c>
      <c r="AH71" s="234">
        <f t="shared" si="44"/>
        <v>5.8317399617590819E-3</v>
      </c>
      <c r="AI71" s="234">
        <f t="shared" si="44"/>
        <v>1.5232594298365246E-2</v>
      </c>
      <c r="AJ71" s="234">
        <f t="shared" si="44"/>
        <v>1.1151783486023636E-3</v>
      </c>
      <c r="AK71" s="233">
        <f t="shared" si="44"/>
        <v>-0.22830614969930688</v>
      </c>
      <c r="AL71" s="234">
        <f t="shared" si="44"/>
        <v>1.8692893964113166E-2</v>
      </c>
      <c r="AM71" s="234">
        <f t="shared" si="44"/>
        <v>-1.4037058115438676E-2</v>
      </c>
      <c r="AN71" s="234">
        <f t="shared" si="44"/>
        <v>-4.2257841054786109E-3</v>
      </c>
      <c r="AO71" s="234">
        <f t="shared" si="44"/>
        <v>0</v>
      </c>
      <c r="AP71" s="234">
        <f t="shared" si="44"/>
        <v>4.7801147227533459E-4</v>
      </c>
      <c r="AQ71" s="234">
        <f t="shared" si="44"/>
        <v>5.7361376673040155E-4</v>
      </c>
      <c r="AR71" s="234">
        <f t="shared" si="44"/>
        <v>1.2783178687391093E-2</v>
      </c>
      <c r="AS71" s="234">
        <f t="shared" si="44"/>
        <v>-2.42479092918338E-3</v>
      </c>
      <c r="AT71" s="234">
        <f t="shared" si="44"/>
        <v>0</v>
      </c>
      <c r="AU71" s="234">
        <f t="shared" si="44"/>
        <v>0</v>
      </c>
      <c r="AV71" s="234">
        <f t="shared" si="44"/>
        <v>-1.7792562268120635E-2</v>
      </c>
      <c r="AW71" s="234">
        <f t="shared" si="44"/>
        <v>0</v>
      </c>
      <c r="AX71" s="234">
        <f t="shared" si="44"/>
        <v>-1.861022209783575E-3</v>
      </c>
      <c r="AY71" s="234">
        <f t="shared" si="44"/>
        <v>9.5602294455066921E-5</v>
      </c>
      <c r="AZ71" s="234">
        <f t="shared" si="44"/>
        <v>0</v>
      </c>
      <c r="BA71" s="234">
        <f t="shared" si="44"/>
        <v>0</v>
      </c>
      <c r="BB71" s="234">
        <f t="shared" si="44"/>
        <v>0</v>
      </c>
      <c r="BC71" s="234">
        <f t="shared" si="44"/>
        <v>0</v>
      </c>
      <c r="BD71" s="237">
        <f t="shared" si="34"/>
        <v>3.1292785203362872E-17</v>
      </c>
    </row>
    <row r="72" spans="2:56" x14ac:dyDescent="0.25">
      <c r="B72" s="223" t="s">
        <v>49</v>
      </c>
      <c r="C72" s="225">
        <f t="shared" ref="C72:AA72" si="45">IF(ABS(C43-C14)&gt;$F$62,C43-C14,0)</f>
        <v>6108.5927500000107</v>
      </c>
      <c r="D72" s="225">
        <f t="shared" si="45"/>
        <v>-2532.7771700000003</v>
      </c>
      <c r="E72" s="225">
        <f t="shared" si="45"/>
        <v>476.63706000000002</v>
      </c>
      <c r="F72" s="225">
        <f t="shared" si="45"/>
        <v>130.95141999999998</v>
      </c>
      <c r="G72" s="225">
        <f t="shared" si="45"/>
        <v>-2524.1896599999995</v>
      </c>
      <c r="H72" s="225">
        <f t="shared" si="45"/>
        <v>876.51525000000004</v>
      </c>
      <c r="I72" s="225">
        <f t="shared" si="45"/>
        <v>4046.3481499999998</v>
      </c>
      <c r="J72" s="224">
        <f t="shared" si="45"/>
        <v>-25584.20233</v>
      </c>
      <c r="K72" s="225">
        <f t="shared" si="45"/>
        <v>-811.89806999999996</v>
      </c>
      <c r="L72" s="225">
        <f t="shared" si="45"/>
        <v>-76.409630000000007</v>
      </c>
      <c r="M72" s="225">
        <f t="shared" si="45"/>
        <v>0</v>
      </c>
      <c r="N72" s="225">
        <f t="shared" si="45"/>
        <v>-550.81861000000004</v>
      </c>
      <c r="O72" s="225">
        <f t="shared" si="45"/>
        <v>-169.87280999999999</v>
      </c>
      <c r="P72" s="225">
        <f t="shared" si="45"/>
        <v>616.05360999999994</v>
      </c>
      <c r="Q72" s="225">
        <f t="shared" si="45"/>
        <v>-2083.5046000000002</v>
      </c>
      <c r="R72" s="225">
        <f t="shared" si="45"/>
        <v>0</v>
      </c>
      <c r="S72" s="225">
        <f t="shared" si="45"/>
        <v>0</v>
      </c>
      <c r="T72" s="225">
        <f t="shared" si="45"/>
        <v>-49.58141999999998</v>
      </c>
      <c r="U72" s="225">
        <f t="shared" si="45"/>
        <v>0</v>
      </c>
      <c r="V72" s="225">
        <f t="shared" si="45"/>
        <v>0</v>
      </c>
      <c r="W72" s="225">
        <f t="shared" si="45"/>
        <v>0</v>
      </c>
      <c r="X72" s="225">
        <f t="shared" si="45"/>
        <v>0</v>
      </c>
      <c r="Y72" s="225">
        <f t="shared" si="45"/>
        <v>0</v>
      </c>
      <c r="Z72" s="225">
        <f t="shared" si="45"/>
        <v>-1120.3487700000001</v>
      </c>
      <c r="AA72" s="225">
        <f t="shared" si="45"/>
        <v>25</v>
      </c>
      <c r="AB72" s="226">
        <f t="shared" si="32"/>
        <v>-23223.504829999987</v>
      </c>
      <c r="AD72" s="223" t="s">
        <v>49</v>
      </c>
      <c r="AE72" s="234">
        <f t="shared" ref="AE72:BC72" si="46">AE43-AE14</f>
        <v>0.14325522917697742</v>
      </c>
      <c r="AF72" s="234">
        <f t="shared" si="46"/>
        <v>-1.4050704303662433E-2</v>
      </c>
      <c r="AG72" s="234">
        <f t="shared" si="46"/>
        <v>4.7227956349115783E-3</v>
      </c>
      <c r="AH72" s="234">
        <f t="shared" si="46"/>
        <v>1.5693962202840803E-3</v>
      </c>
      <c r="AI72" s="234">
        <f t="shared" si="46"/>
        <v>-1.6570640913500793E-2</v>
      </c>
      <c r="AJ72" s="234">
        <f t="shared" si="46"/>
        <v>7.6114271337876446E-3</v>
      </c>
      <c r="AK72" s="234">
        <f t="shared" si="46"/>
        <v>3.8813994266312157E-2</v>
      </c>
      <c r="AL72" s="233">
        <f t="shared" si="46"/>
        <v>-0.13727371372359692</v>
      </c>
      <c r="AM72" s="234">
        <f t="shared" si="46"/>
        <v>-5.7237763624653588E-3</v>
      </c>
      <c r="AN72" s="234">
        <f t="shared" si="46"/>
        <v>-5.2037858128806418E-4</v>
      </c>
      <c r="AO72" s="234">
        <f t="shared" si="46"/>
        <v>0</v>
      </c>
      <c r="AP72" s="234">
        <f t="shared" si="46"/>
        <v>-3.8323777863669643E-3</v>
      </c>
      <c r="AQ72" s="234">
        <f t="shared" si="46"/>
        <v>-1.1755186377664206E-3</v>
      </c>
      <c r="AR72" s="234">
        <f t="shared" si="46"/>
        <v>5.4384278411608172E-3</v>
      </c>
      <c r="AS72" s="234">
        <f t="shared" si="46"/>
        <v>-1.4383382617210425E-2</v>
      </c>
      <c r="AT72" s="234">
        <f t="shared" si="46"/>
        <v>0</v>
      </c>
      <c r="AU72" s="234">
        <f t="shared" si="46"/>
        <v>0</v>
      </c>
      <c r="AV72" s="234">
        <f t="shared" si="46"/>
        <v>-1.6291977836768788E-4</v>
      </c>
      <c r="AW72" s="234">
        <f t="shared" si="46"/>
        <v>0</v>
      </c>
      <c r="AX72" s="234">
        <f t="shared" si="46"/>
        <v>0</v>
      </c>
      <c r="AY72" s="234">
        <f t="shared" si="46"/>
        <v>0</v>
      </c>
      <c r="AZ72" s="234">
        <f t="shared" si="46"/>
        <v>0</v>
      </c>
      <c r="BA72" s="234">
        <f t="shared" si="46"/>
        <v>0</v>
      </c>
      <c r="BB72" s="234">
        <f t="shared" si="46"/>
        <v>-7.9298387452799886E-3</v>
      </c>
      <c r="BC72" s="234">
        <f t="shared" si="46"/>
        <v>2.1198117607156486E-4</v>
      </c>
      <c r="BD72" s="237">
        <f t="shared" si="34"/>
        <v>1.8778381627448937E-16</v>
      </c>
    </row>
    <row r="73" spans="2:56" x14ac:dyDescent="0.25">
      <c r="B73" s="223" t="s">
        <v>461</v>
      </c>
      <c r="C73" s="225">
        <f t="shared" ref="C73:AA73" si="47">IF(ABS(C44-C15)&gt;$F$62,C44-C15,0)</f>
        <v>-10918.271500000001</v>
      </c>
      <c r="D73" s="225">
        <f t="shared" si="47"/>
        <v>-2505.43932</v>
      </c>
      <c r="E73" s="225">
        <f t="shared" si="47"/>
        <v>220</v>
      </c>
      <c r="F73" s="225">
        <f t="shared" si="47"/>
        <v>30</v>
      </c>
      <c r="G73" s="225">
        <f t="shared" si="47"/>
        <v>55</v>
      </c>
      <c r="H73" s="225">
        <f t="shared" si="47"/>
        <v>5</v>
      </c>
      <c r="I73" s="225">
        <f t="shared" si="47"/>
        <v>-823.13722000000007</v>
      </c>
      <c r="J73" s="225">
        <f t="shared" si="47"/>
        <v>-1405.58347</v>
      </c>
      <c r="K73" s="224">
        <f t="shared" si="47"/>
        <v>-136.89579000000003</v>
      </c>
      <c r="L73" s="225">
        <f t="shared" si="47"/>
        <v>27.180620000000001</v>
      </c>
      <c r="M73" s="225">
        <f t="shared" si="47"/>
        <v>0</v>
      </c>
      <c r="N73" s="225">
        <f t="shared" si="47"/>
        <v>0</v>
      </c>
      <c r="O73" s="225">
        <f t="shared" si="47"/>
        <v>0</v>
      </c>
      <c r="P73" s="225">
        <f t="shared" si="47"/>
        <v>0</v>
      </c>
      <c r="Q73" s="225">
        <f t="shared" si="47"/>
        <v>0</v>
      </c>
      <c r="R73" s="225">
        <f t="shared" si="47"/>
        <v>0</v>
      </c>
      <c r="S73" s="225">
        <f t="shared" si="47"/>
        <v>0</v>
      </c>
      <c r="T73" s="225">
        <f t="shared" si="47"/>
        <v>0</v>
      </c>
      <c r="U73" s="225">
        <f t="shared" si="47"/>
        <v>0</v>
      </c>
      <c r="V73" s="225">
        <f t="shared" si="47"/>
        <v>-1442.0752799999998</v>
      </c>
      <c r="W73" s="225">
        <f t="shared" si="47"/>
        <v>160</v>
      </c>
      <c r="X73" s="225">
        <f t="shared" si="47"/>
        <v>0</v>
      </c>
      <c r="Y73" s="225">
        <f t="shared" si="47"/>
        <v>0</v>
      </c>
      <c r="Z73" s="225">
        <f t="shared" si="47"/>
        <v>0</v>
      </c>
      <c r="AA73" s="225">
        <f t="shared" si="47"/>
        <v>0</v>
      </c>
      <c r="AB73" s="226">
        <f t="shared" si="32"/>
        <v>-16734.221960000003</v>
      </c>
      <c r="AD73" s="223" t="s">
        <v>461</v>
      </c>
      <c r="AE73" s="234">
        <f t="shared" ref="AE73:BC73" si="48">AE44-AE15</f>
        <v>-9.9112547611058033E-2</v>
      </c>
      <c r="AF73" s="234">
        <f t="shared" si="48"/>
        <v>2.809016468172526E-2</v>
      </c>
      <c r="AG73" s="234">
        <f t="shared" si="48"/>
        <v>4.0515653775322284E-2</v>
      </c>
      <c r="AH73" s="234">
        <f t="shared" si="48"/>
        <v>5.5248618784530384E-3</v>
      </c>
      <c r="AI73" s="234">
        <f t="shared" si="48"/>
        <v>1.0128913443830571E-2</v>
      </c>
      <c r="AJ73" s="234">
        <f t="shared" si="48"/>
        <v>9.2081031307550648E-4</v>
      </c>
      <c r="AK73" s="234">
        <f t="shared" si="48"/>
        <v>-3.6442884270679689E-2</v>
      </c>
      <c r="AL73" s="234">
        <f t="shared" si="48"/>
        <v>-5.7855002490847594E-2</v>
      </c>
      <c r="AM73" s="233">
        <f t="shared" si="48"/>
        <v>0.12661087991351083</v>
      </c>
      <c r="AN73" s="234">
        <f t="shared" si="48"/>
        <v>7.4833223452596903E-3</v>
      </c>
      <c r="AO73" s="234">
        <f t="shared" si="48"/>
        <v>0</v>
      </c>
      <c r="AP73" s="234">
        <f t="shared" si="48"/>
        <v>0</v>
      </c>
      <c r="AQ73" s="234">
        <f t="shared" si="48"/>
        <v>0</v>
      </c>
      <c r="AR73" s="234">
        <f t="shared" si="48"/>
        <v>0</v>
      </c>
      <c r="AS73" s="234">
        <f t="shared" si="48"/>
        <v>0</v>
      </c>
      <c r="AT73" s="234">
        <f t="shared" si="48"/>
        <v>0</v>
      </c>
      <c r="AU73" s="234">
        <f t="shared" si="48"/>
        <v>0</v>
      </c>
      <c r="AV73" s="234">
        <f t="shared" si="48"/>
        <v>0</v>
      </c>
      <c r="AW73" s="234">
        <f t="shared" si="48"/>
        <v>0</v>
      </c>
      <c r="AX73" s="234">
        <f t="shared" si="48"/>
        <v>-5.5330101997007934E-2</v>
      </c>
      <c r="AY73" s="234">
        <f t="shared" si="48"/>
        <v>2.9465930018416207E-2</v>
      </c>
      <c r="AZ73" s="234">
        <f t="shared" si="48"/>
        <v>0</v>
      </c>
      <c r="BA73" s="234">
        <f t="shared" si="48"/>
        <v>0</v>
      </c>
      <c r="BB73" s="234">
        <f t="shared" si="48"/>
        <v>0</v>
      </c>
      <c r="BC73" s="234">
        <f t="shared" si="48"/>
        <v>0</v>
      </c>
      <c r="BD73" s="237">
        <f t="shared" si="34"/>
        <v>1.3183898417423734E-16</v>
      </c>
    </row>
    <row r="74" spans="2:56" x14ac:dyDescent="0.25">
      <c r="B74" s="223" t="s">
        <v>462</v>
      </c>
      <c r="C74" s="225">
        <f t="shared" ref="C74:AA74" si="49">IF(ABS(C45-C16)&gt;$F$62,C45-C16,0)</f>
        <v>-11074.777960000001</v>
      </c>
      <c r="D74" s="225">
        <f t="shared" si="49"/>
        <v>-7.6496899999999926</v>
      </c>
      <c r="E74" s="225">
        <f t="shared" si="49"/>
        <v>680</v>
      </c>
      <c r="F74" s="225">
        <f t="shared" si="49"/>
        <v>-1281.5356099999999</v>
      </c>
      <c r="G74" s="225">
        <f t="shared" si="49"/>
        <v>15</v>
      </c>
      <c r="H74" s="225">
        <f t="shared" si="49"/>
        <v>-1701.00279</v>
      </c>
      <c r="I74" s="225">
        <f t="shared" si="49"/>
        <v>-1093.8781300000001</v>
      </c>
      <c r="J74" s="225">
        <f t="shared" si="49"/>
        <v>-496.26886000000002</v>
      </c>
      <c r="K74" s="225">
        <f t="shared" si="49"/>
        <v>65</v>
      </c>
      <c r="L74" s="224">
        <f t="shared" si="49"/>
        <v>-839.36977000000002</v>
      </c>
      <c r="M74" s="225">
        <f t="shared" si="49"/>
        <v>186.92925</v>
      </c>
      <c r="N74" s="225">
        <f t="shared" si="49"/>
        <v>5</v>
      </c>
      <c r="O74" s="225">
        <f t="shared" si="49"/>
        <v>0</v>
      </c>
      <c r="P74" s="225">
        <f t="shared" si="49"/>
        <v>0</v>
      </c>
      <c r="Q74" s="225">
        <f t="shared" si="49"/>
        <v>0</v>
      </c>
      <c r="R74" s="225">
        <f t="shared" si="49"/>
        <v>0</v>
      </c>
      <c r="S74" s="225">
        <f t="shared" si="49"/>
        <v>0</v>
      </c>
      <c r="T74" s="225">
        <f t="shared" si="49"/>
        <v>0</v>
      </c>
      <c r="U74" s="225">
        <f t="shared" si="49"/>
        <v>0</v>
      </c>
      <c r="V74" s="225">
        <f t="shared" si="49"/>
        <v>-452.21716000000004</v>
      </c>
      <c r="W74" s="225">
        <f t="shared" si="49"/>
        <v>55</v>
      </c>
      <c r="X74" s="225">
        <f t="shared" si="49"/>
        <v>0</v>
      </c>
      <c r="Y74" s="225">
        <f t="shared" si="49"/>
        <v>0</v>
      </c>
      <c r="Z74" s="225">
        <f t="shared" si="49"/>
        <v>0</v>
      </c>
      <c r="AA74" s="225">
        <f t="shared" si="49"/>
        <v>0</v>
      </c>
      <c r="AB74" s="226">
        <f t="shared" si="32"/>
        <v>-15939.77072</v>
      </c>
      <c r="AD74" s="223" t="s">
        <v>462</v>
      </c>
      <c r="AE74" s="234">
        <f t="shared" ref="AE74:BC74" si="50">AE45-AE16</f>
        <v>-0.1858148297788641</v>
      </c>
      <c r="AF74" s="234">
        <f t="shared" si="50"/>
        <v>2.3736954109962287E-2</v>
      </c>
      <c r="AG74" s="234">
        <f t="shared" si="50"/>
        <v>0.13835198372329605</v>
      </c>
      <c r="AH74" s="234">
        <f t="shared" si="50"/>
        <v>-5.6007692153768933E-2</v>
      </c>
      <c r="AI74" s="234">
        <f t="shared" si="50"/>
        <v>3.0518819938962359E-3</v>
      </c>
      <c r="AJ74" s="234">
        <f t="shared" si="50"/>
        <v>-7.76765012829638E-2</v>
      </c>
      <c r="AK74" s="234">
        <f t="shared" si="50"/>
        <v>-5.2452177234965064E-2</v>
      </c>
      <c r="AL74" s="234">
        <f t="shared" si="50"/>
        <v>-2.068625608320266E-2</v>
      </c>
      <c r="AM74" s="234">
        <f t="shared" si="50"/>
        <v>1.3224821973550356E-2</v>
      </c>
      <c r="AN74" s="233">
        <f t="shared" si="50"/>
        <v>0.14247373151480955</v>
      </c>
      <c r="AO74" s="234">
        <f t="shared" si="50"/>
        <v>6.1836148520517296E-2</v>
      </c>
      <c r="AP74" s="234">
        <f t="shared" si="50"/>
        <v>1.017293997965412E-3</v>
      </c>
      <c r="AQ74" s="234">
        <f t="shared" si="50"/>
        <v>0</v>
      </c>
      <c r="AR74" s="234">
        <f t="shared" si="50"/>
        <v>0</v>
      </c>
      <c r="AS74" s="234">
        <f t="shared" si="50"/>
        <v>0</v>
      </c>
      <c r="AT74" s="234">
        <f t="shared" si="50"/>
        <v>0</v>
      </c>
      <c r="AU74" s="234">
        <f t="shared" si="50"/>
        <v>0</v>
      </c>
      <c r="AV74" s="234">
        <f t="shared" si="50"/>
        <v>0</v>
      </c>
      <c r="AW74" s="234">
        <f t="shared" si="50"/>
        <v>0</v>
      </c>
      <c r="AX74" s="234">
        <f t="shared" si="50"/>
        <v>-2.2455932778521412E-3</v>
      </c>
      <c r="AY74" s="234">
        <f t="shared" si="50"/>
        <v>1.1190233977619531E-2</v>
      </c>
      <c r="AZ74" s="234">
        <f t="shared" si="50"/>
        <v>0</v>
      </c>
      <c r="BA74" s="234">
        <f t="shared" si="50"/>
        <v>0</v>
      </c>
      <c r="BB74" s="234">
        <f t="shared" si="50"/>
        <v>0</v>
      </c>
      <c r="BC74" s="234">
        <f t="shared" si="50"/>
        <v>0</v>
      </c>
      <c r="BD74" s="237">
        <f t="shared" si="34"/>
        <v>2.9490299091605721E-17</v>
      </c>
    </row>
    <row r="75" spans="2:56" x14ac:dyDescent="0.25">
      <c r="B75" s="223" t="s">
        <v>463</v>
      </c>
      <c r="C75" s="225">
        <f t="shared" ref="C75:AA75" si="51">IF(ABS(C46-C17)&gt;$F$62,C46-C17,0)</f>
        <v>-11160.488229999999</v>
      </c>
      <c r="D75" s="225">
        <f t="shared" si="51"/>
        <v>70</v>
      </c>
      <c r="E75" s="225">
        <f t="shared" si="51"/>
        <v>-1517.89797</v>
      </c>
      <c r="F75" s="225">
        <f t="shared" si="51"/>
        <v>70</v>
      </c>
      <c r="G75" s="225">
        <f t="shared" si="51"/>
        <v>-674.81709999999998</v>
      </c>
      <c r="H75" s="225">
        <f t="shared" si="51"/>
        <v>5</v>
      </c>
      <c r="I75" s="225">
        <f t="shared" si="51"/>
        <v>15</v>
      </c>
      <c r="J75" s="225">
        <f t="shared" si="51"/>
        <v>60</v>
      </c>
      <c r="K75" s="225">
        <f t="shared" si="51"/>
        <v>5</v>
      </c>
      <c r="L75" s="225">
        <f t="shared" si="51"/>
        <v>43.76400000000001</v>
      </c>
      <c r="M75" s="224">
        <f t="shared" si="51"/>
        <v>647.42954000000009</v>
      </c>
      <c r="N75" s="225">
        <f t="shared" si="51"/>
        <v>180.12433999999999</v>
      </c>
      <c r="O75" s="225">
        <f t="shared" si="51"/>
        <v>-1995.7731699999999</v>
      </c>
      <c r="P75" s="225">
        <f t="shared" si="51"/>
        <v>0</v>
      </c>
      <c r="Q75" s="225">
        <f t="shared" si="51"/>
        <v>0</v>
      </c>
      <c r="R75" s="225">
        <f t="shared" si="51"/>
        <v>0</v>
      </c>
      <c r="S75" s="225">
        <f t="shared" si="51"/>
        <v>0</v>
      </c>
      <c r="T75" s="225">
        <f t="shared" si="51"/>
        <v>0</v>
      </c>
      <c r="U75" s="225">
        <f t="shared" si="51"/>
        <v>0</v>
      </c>
      <c r="V75" s="225">
        <f t="shared" si="51"/>
        <v>-1875.9345800000001</v>
      </c>
      <c r="W75" s="225">
        <f t="shared" si="51"/>
        <v>5</v>
      </c>
      <c r="X75" s="225">
        <f t="shared" si="51"/>
        <v>195</v>
      </c>
      <c r="Y75" s="225">
        <f t="shared" si="51"/>
        <v>20</v>
      </c>
      <c r="Z75" s="225">
        <f t="shared" si="51"/>
        <v>0</v>
      </c>
      <c r="AA75" s="225">
        <f t="shared" si="51"/>
        <v>0</v>
      </c>
      <c r="AB75" s="226">
        <f t="shared" si="32"/>
        <v>-15908.59317</v>
      </c>
      <c r="AD75" s="223" t="s">
        <v>463</v>
      </c>
      <c r="AE75" s="234">
        <f t="shared" ref="AE75:BC75" si="52">AE46-AE17</f>
        <v>-9.8268029093380171E-2</v>
      </c>
      <c r="AF75" s="234">
        <f t="shared" si="52"/>
        <v>1.4300306435137897E-2</v>
      </c>
      <c r="AG75" s="234">
        <f t="shared" si="52"/>
        <v>-5.8903327106995175E-2</v>
      </c>
      <c r="AH75" s="234">
        <f t="shared" si="52"/>
        <v>1.4300306435137897E-2</v>
      </c>
      <c r="AI75" s="234">
        <f t="shared" si="52"/>
        <v>-2.6188667366282892E-2</v>
      </c>
      <c r="AJ75" s="234">
        <f t="shared" si="52"/>
        <v>1.0214504596527069E-3</v>
      </c>
      <c r="AK75" s="234">
        <f t="shared" si="52"/>
        <v>3.0643513789581204E-3</v>
      </c>
      <c r="AL75" s="234">
        <f t="shared" si="52"/>
        <v>1.2257405515832482E-2</v>
      </c>
      <c r="AM75" s="234">
        <f t="shared" si="52"/>
        <v>1.0214504596527069E-3</v>
      </c>
      <c r="AN75" s="234">
        <f t="shared" si="52"/>
        <v>4.1159043214274729E-2</v>
      </c>
      <c r="AO75" s="233">
        <f t="shared" si="52"/>
        <v>0.18890473144148354</v>
      </c>
      <c r="AP75" s="234">
        <f t="shared" si="52"/>
        <v>4.224594494195974E-2</v>
      </c>
      <c r="AQ75" s="234">
        <f t="shared" si="52"/>
        <v>-9.0466309160117497E-2</v>
      </c>
      <c r="AR75" s="234">
        <f t="shared" si="52"/>
        <v>0</v>
      </c>
      <c r="AS75" s="234">
        <f t="shared" si="52"/>
        <v>0</v>
      </c>
      <c r="AT75" s="234">
        <f t="shared" si="52"/>
        <v>0</v>
      </c>
      <c r="AU75" s="234">
        <f t="shared" si="52"/>
        <v>0</v>
      </c>
      <c r="AV75" s="234">
        <f t="shared" si="52"/>
        <v>0</v>
      </c>
      <c r="AW75" s="234">
        <f t="shared" si="52"/>
        <v>0</v>
      </c>
      <c r="AX75" s="234">
        <f t="shared" si="52"/>
        <v>-8.9392477780033203E-2</v>
      </c>
      <c r="AY75" s="234">
        <f t="shared" si="52"/>
        <v>1.0214504596527069E-3</v>
      </c>
      <c r="AZ75" s="234">
        <f t="shared" si="52"/>
        <v>3.9836567926455568E-2</v>
      </c>
      <c r="BA75" s="234">
        <f t="shared" si="52"/>
        <v>4.0858018386108275E-3</v>
      </c>
      <c r="BB75" s="234">
        <f t="shared" si="52"/>
        <v>0</v>
      </c>
      <c r="BC75" s="234">
        <f t="shared" si="52"/>
        <v>0</v>
      </c>
      <c r="BD75" s="237">
        <f t="shared" si="34"/>
        <v>-2.688821387764051E-17</v>
      </c>
    </row>
    <row r="76" spans="2:56" x14ac:dyDescent="0.25">
      <c r="B76" s="223" t="s">
        <v>464</v>
      </c>
      <c r="C76" s="225">
        <f t="shared" ref="C76:AA76" si="53">IF(ABS(C47-C18)&gt;$F$62,C47-C18,0)</f>
        <v>-13625.010689999999</v>
      </c>
      <c r="D76" s="225">
        <f t="shared" si="53"/>
        <v>-1162.87312</v>
      </c>
      <c r="E76" s="225">
        <f t="shared" si="53"/>
        <v>30</v>
      </c>
      <c r="F76" s="225">
        <f t="shared" si="53"/>
        <v>-120.01455999999999</v>
      </c>
      <c r="G76" s="225">
        <f t="shared" si="53"/>
        <v>-598.68217000000004</v>
      </c>
      <c r="H76" s="225">
        <f t="shared" si="53"/>
        <v>60</v>
      </c>
      <c r="I76" s="225">
        <f t="shared" si="53"/>
        <v>25</v>
      </c>
      <c r="J76" s="225">
        <f t="shared" si="53"/>
        <v>-286.95483000000002</v>
      </c>
      <c r="K76" s="225">
        <f t="shared" si="53"/>
        <v>10</v>
      </c>
      <c r="L76" s="225">
        <f t="shared" si="53"/>
        <v>5</v>
      </c>
      <c r="M76" s="225">
        <f t="shared" si="53"/>
        <v>-1650.9345800000001</v>
      </c>
      <c r="N76" s="224">
        <f t="shared" si="53"/>
        <v>-354.86416999999983</v>
      </c>
      <c r="O76" s="225">
        <f t="shared" si="53"/>
        <v>-709.32031000000006</v>
      </c>
      <c r="P76" s="225">
        <f t="shared" si="53"/>
        <v>0</v>
      </c>
      <c r="Q76" s="225">
        <f t="shared" si="53"/>
        <v>0</v>
      </c>
      <c r="R76" s="225">
        <f t="shared" si="53"/>
        <v>0</v>
      </c>
      <c r="S76" s="225">
        <f t="shared" si="53"/>
        <v>0</v>
      </c>
      <c r="T76" s="225">
        <f t="shared" si="53"/>
        <v>0</v>
      </c>
      <c r="U76" s="225">
        <f t="shared" si="53"/>
        <v>0</v>
      </c>
      <c r="V76" s="225">
        <f t="shared" si="53"/>
        <v>0</v>
      </c>
      <c r="W76" s="225">
        <f t="shared" si="53"/>
        <v>0</v>
      </c>
      <c r="X76" s="225">
        <f t="shared" si="53"/>
        <v>0</v>
      </c>
      <c r="Y76" s="225">
        <f t="shared" si="53"/>
        <v>-293.32069999999999</v>
      </c>
      <c r="Z76" s="225">
        <f t="shared" si="53"/>
        <v>25</v>
      </c>
      <c r="AA76" s="225">
        <f t="shared" si="53"/>
        <v>-203.84465</v>
      </c>
      <c r="AB76" s="226">
        <f t="shared" si="32"/>
        <v>-18850.819779999998</v>
      </c>
      <c r="AD76" s="223" t="s">
        <v>464</v>
      </c>
      <c r="AE76" s="234">
        <f t="shared" ref="AE76:BC76" si="54">AE47-AE18</f>
        <v>-0.1037539454390719</v>
      </c>
      <c r="AF76" s="234">
        <f t="shared" si="54"/>
        <v>-3.7003996077586913E-2</v>
      </c>
      <c r="AG76" s="234">
        <f t="shared" si="54"/>
        <v>3.6341611144760752E-3</v>
      </c>
      <c r="AH76" s="234">
        <f t="shared" si="54"/>
        <v>-1.0577804055395398E-3</v>
      </c>
      <c r="AI76" s="234">
        <f t="shared" si="54"/>
        <v>1.5021023180583348E-3</v>
      </c>
      <c r="AJ76" s="234">
        <f t="shared" si="54"/>
        <v>7.2683222289521504E-3</v>
      </c>
      <c r="AK76" s="234">
        <f t="shared" si="54"/>
        <v>3.0284675953967293E-3</v>
      </c>
      <c r="AL76" s="234">
        <f t="shared" si="54"/>
        <v>-8.9015404986096704E-3</v>
      </c>
      <c r="AM76" s="234">
        <f t="shared" si="54"/>
        <v>1.2113870381586917E-3</v>
      </c>
      <c r="AN76" s="234">
        <f t="shared" si="54"/>
        <v>6.0569351907934583E-4</v>
      </c>
      <c r="AO76" s="234">
        <f t="shared" si="54"/>
        <v>-4.1530376063629915E-2</v>
      </c>
      <c r="AP76" s="233">
        <f t="shared" si="54"/>
        <v>0.16803764638377072</v>
      </c>
      <c r="AQ76" s="234">
        <f t="shared" si="54"/>
        <v>2.1009342793203607E-2</v>
      </c>
      <c r="AR76" s="234">
        <f t="shared" si="54"/>
        <v>0</v>
      </c>
      <c r="AS76" s="234">
        <f t="shared" si="54"/>
        <v>0</v>
      </c>
      <c r="AT76" s="234">
        <f t="shared" si="54"/>
        <v>0</v>
      </c>
      <c r="AU76" s="234">
        <f t="shared" si="54"/>
        <v>0</v>
      </c>
      <c r="AV76" s="234">
        <f t="shared" si="54"/>
        <v>0</v>
      </c>
      <c r="AW76" s="234">
        <f t="shared" si="54"/>
        <v>0</v>
      </c>
      <c r="AX76" s="234">
        <f t="shared" si="54"/>
        <v>0</v>
      </c>
      <c r="AY76" s="234">
        <f t="shared" si="54"/>
        <v>0</v>
      </c>
      <c r="AZ76" s="234">
        <f t="shared" si="54"/>
        <v>0</v>
      </c>
      <c r="BA76" s="234">
        <f t="shared" si="54"/>
        <v>-9.5576243032839871E-3</v>
      </c>
      <c r="BB76" s="234">
        <f t="shared" si="54"/>
        <v>3.0284675953967293E-3</v>
      </c>
      <c r="BC76" s="234">
        <f t="shared" si="54"/>
        <v>-7.5203277987706011E-3</v>
      </c>
      <c r="BD76" s="237">
        <f t="shared" si="34"/>
        <v>-1.3530843112619095E-16</v>
      </c>
    </row>
    <row r="77" spans="2:56" x14ac:dyDescent="0.25">
      <c r="B77" s="223" t="s">
        <v>465</v>
      </c>
      <c r="C77" s="225">
        <f t="shared" ref="C77:AA77" si="55">IF(ABS(C48-C19)&gt;$F$62,C48-C19,0)</f>
        <v>-39119.963469999995</v>
      </c>
      <c r="D77" s="225">
        <f t="shared" si="55"/>
        <v>-20.228570000000005</v>
      </c>
      <c r="E77" s="225">
        <f t="shared" si="55"/>
        <v>30</v>
      </c>
      <c r="F77" s="225">
        <f t="shared" si="55"/>
        <v>-211.44669999999999</v>
      </c>
      <c r="G77" s="225">
        <f t="shared" si="55"/>
        <v>-26.179249999999996</v>
      </c>
      <c r="H77" s="225">
        <f t="shared" si="55"/>
        <v>175</v>
      </c>
      <c r="I77" s="225">
        <f t="shared" si="55"/>
        <v>-334.91388000000001</v>
      </c>
      <c r="J77" s="225">
        <f t="shared" si="55"/>
        <v>35</v>
      </c>
      <c r="K77" s="225">
        <f t="shared" si="55"/>
        <v>0</v>
      </c>
      <c r="L77" s="225">
        <f t="shared" si="55"/>
        <v>10</v>
      </c>
      <c r="M77" s="225">
        <f t="shared" si="55"/>
        <v>-2214.1982800000001</v>
      </c>
      <c r="N77" s="225">
        <f t="shared" si="55"/>
        <v>-349.83316000000002</v>
      </c>
      <c r="O77" s="224">
        <f t="shared" si="55"/>
        <v>312.3463899999997</v>
      </c>
      <c r="P77" s="225">
        <f t="shared" si="55"/>
        <v>-327.41602999999998</v>
      </c>
      <c r="Q77" s="225">
        <f t="shared" si="55"/>
        <v>0</v>
      </c>
      <c r="R77" s="225">
        <f t="shared" si="55"/>
        <v>0</v>
      </c>
      <c r="S77" s="225">
        <f t="shared" si="55"/>
        <v>0</v>
      </c>
      <c r="T77" s="225">
        <f t="shared" si="55"/>
        <v>0</v>
      </c>
      <c r="U77" s="225">
        <f t="shared" si="55"/>
        <v>0</v>
      </c>
      <c r="V77" s="225">
        <f t="shared" si="55"/>
        <v>0</v>
      </c>
      <c r="W77" s="225">
        <f t="shared" si="55"/>
        <v>-210.92605</v>
      </c>
      <c r="X77" s="225">
        <f t="shared" si="55"/>
        <v>0</v>
      </c>
      <c r="Y77" s="225">
        <f t="shared" si="55"/>
        <v>0</v>
      </c>
      <c r="Z77" s="225">
        <f t="shared" si="55"/>
        <v>-793.17646999999988</v>
      </c>
      <c r="AA77" s="225">
        <f t="shared" si="55"/>
        <v>-860.68579</v>
      </c>
      <c r="AB77" s="226">
        <f t="shared" si="32"/>
        <v>-43906.62126</v>
      </c>
      <c r="AD77" s="223" t="s">
        <v>465</v>
      </c>
      <c r="AE77" s="234">
        <f t="shared" ref="AE77:BC77" si="56">AE48-AE19</f>
        <v>-0.26759091504867094</v>
      </c>
      <c r="AF77" s="234">
        <f t="shared" si="56"/>
        <v>3.3124294114091754E-3</v>
      </c>
      <c r="AG77" s="234">
        <f t="shared" si="56"/>
        <v>2.5434506146672321E-3</v>
      </c>
      <c r="AH77" s="234">
        <f t="shared" si="56"/>
        <v>-1.7911934143277691E-3</v>
      </c>
      <c r="AI77" s="234">
        <f t="shared" si="56"/>
        <v>4.876320259154499E-3</v>
      </c>
      <c r="AJ77" s="234">
        <f t="shared" si="56"/>
        <v>1.483679525222552E-2</v>
      </c>
      <c r="AK77" s="234">
        <f t="shared" si="56"/>
        <v>-4.0077748567904367E-3</v>
      </c>
      <c r="AL77" s="234">
        <f t="shared" si="56"/>
        <v>2.967359050445104E-3</v>
      </c>
      <c r="AM77" s="234">
        <f t="shared" si="56"/>
        <v>0</v>
      </c>
      <c r="AN77" s="234">
        <f t="shared" si="56"/>
        <v>8.4781687155574396E-4</v>
      </c>
      <c r="AO77" s="234">
        <f t="shared" si="56"/>
        <v>-3.7746189601094063E-2</v>
      </c>
      <c r="AP77" s="234">
        <f t="shared" si="56"/>
        <v>1.9114493231089349E-2</v>
      </c>
      <c r="AQ77" s="233">
        <f t="shared" si="56"/>
        <v>0.2852863896160015</v>
      </c>
      <c r="AR77" s="234">
        <f t="shared" si="56"/>
        <v>-1.9757860533578617E-4</v>
      </c>
      <c r="AS77" s="234">
        <f t="shared" si="56"/>
        <v>0</v>
      </c>
      <c r="AT77" s="234">
        <f t="shared" si="56"/>
        <v>0</v>
      </c>
      <c r="AU77" s="234">
        <f t="shared" si="56"/>
        <v>0</v>
      </c>
      <c r="AV77" s="234">
        <f t="shared" si="56"/>
        <v>0</v>
      </c>
      <c r="AW77" s="234">
        <f t="shared" si="56"/>
        <v>0</v>
      </c>
      <c r="AX77" s="234">
        <f t="shared" si="56"/>
        <v>0</v>
      </c>
      <c r="AY77" s="234">
        <f t="shared" si="56"/>
        <v>-3.7867129399242194E-3</v>
      </c>
      <c r="AZ77" s="234">
        <f t="shared" si="56"/>
        <v>0</v>
      </c>
      <c r="BA77" s="234">
        <f t="shared" si="56"/>
        <v>0</v>
      </c>
      <c r="BB77" s="234">
        <f t="shared" si="56"/>
        <v>-3.881259895357668E-3</v>
      </c>
      <c r="BC77" s="234">
        <f t="shared" si="56"/>
        <v>-1.4783429945047237E-2</v>
      </c>
      <c r="BD77" s="237">
        <f t="shared" si="34"/>
        <v>0</v>
      </c>
    </row>
    <row r="78" spans="2:56" x14ac:dyDescent="0.25">
      <c r="B78" s="223" t="s">
        <v>466</v>
      </c>
      <c r="C78" s="225">
        <f t="shared" ref="C78:AA78" si="57">IF(ABS(C49-C20)&gt;$F$62,C49-C20,0)</f>
        <v>-11337.84086</v>
      </c>
      <c r="D78" s="225">
        <f t="shared" si="57"/>
        <v>45</v>
      </c>
      <c r="E78" s="225">
        <f t="shared" si="57"/>
        <v>35</v>
      </c>
      <c r="F78" s="225">
        <f t="shared" si="57"/>
        <v>-83.996650000000002</v>
      </c>
      <c r="G78" s="225">
        <f t="shared" si="57"/>
        <v>30</v>
      </c>
      <c r="H78" s="225">
        <f t="shared" si="57"/>
        <v>-289.59926000000002</v>
      </c>
      <c r="I78" s="225">
        <f t="shared" si="57"/>
        <v>609.98721</v>
      </c>
      <c r="J78" s="225">
        <f t="shared" si="57"/>
        <v>452.18061999999998</v>
      </c>
      <c r="K78" s="225">
        <f t="shared" si="57"/>
        <v>0</v>
      </c>
      <c r="L78" s="225">
        <f t="shared" si="57"/>
        <v>0</v>
      </c>
      <c r="M78" s="225">
        <f t="shared" si="57"/>
        <v>0</v>
      </c>
      <c r="N78" s="225">
        <f t="shared" si="57"/>
        <v>0</v>
      </c>
      <c r="O78" s="225">
        <f t="shared" si="57"/>
        <v>-147.56626</v>
      </c>
      <c r="P78" s="224">
        <f t="shared" si="57"/>
        <v>1550</v>
      </c>
      <c r="Q78" s="225">
        <f t="shared" si="57"/>
        <v>55</v>
      </c>
      <c r="R78" s="225">
        <f t="shared" si="57"/>
        <v>0</v>
      </c>
      <c r="S78" s="225">
        <f t="shared" si="57"/>
        <v>0</v>
      </c>
      <c r="T78" s="225">
        <f t="shared" si="57"/>
        <v>-28.397030000000001</v>
      </c>
      <c r="U78" s="225">
        <f t="shared" si="57"/>
        <v>0</v>
      </c>
      <c r="V78" s="225">
        <f t="shared" si="57"/>
        <v>0</v>
      </c>
      <c r="W78" s="225">
        <f t="shared" si="57"/>
        <v>0</v>
      </c>
      <c r="X78" s="225">
        <f t="shared" si="57"/>
        <v>0</v>
      </c>
      <c r="Y78" s="225">
        <f t="shared" si="57"/>
        <v>0</v>
      </c>
      <c r="Z78" s="225">
        <f t="shared" si="57"/>
        <v>0</v>
      </c>
      <c r="AA78" s="225">
        <f t="shared" si="57"/>
        <v>-140.54621999999998</v>
      </c>
      <c r="AB78" s="226">
        <f t="shared" si="32"/>
        <v>-9250.7784500000016</v>
      </c>
      <c r="AD78" s="223" t="s">
        <v>466</v>
      </c>
      <c r="AE78" s="234">
        <f t="shared" ref="AE78:BC78" si="58">AE49-AE20</f>
        <v>-0.34626391766214437</v>
      </c>
      <c r="AF78" s="234">
        <f t="shared" si="58"/>
        <v>5.7106598984771571E-3</v>
      </c>
      <c r="AG78" s="234">
        <f t="shared" si="58"/>
        <v>4.4416243654822338E-3</v>
      </c>
      <c r="AH78" s="234">
        <f t="shared" si="58"/>
        <v>-4.903259372897908E-3</v>
      </c>
      <c r="AI78" s="234">
        <f t="shared" si="58"/>
        <v>3.8071065989847717E-3</v>
      </c>
      <c r="AJ78" s="234">
        <f t="shared" si="58"/>
        <v>-1.3136101466245664E-2</v>
      </c>
      <c r="AK78" s="234">
        <f t="shared" si="58"/>
        <v>9.79691478668996E-2</v>
      </c>
      <c r="AL78" s="234">
        <f t="shared" si="58"/>
        <v>5.8604473304769415E-2</v>
      </c>
      <c r="AM78" s="234">
        <f t="shared" si="58"/>
        <v>0</v>
      </c>
      <c r="AN78" s="234">
        <f t="shared" si="58"/>
        <v>0</v>
      </c>
      <c r="AO78" s="234">
        <f t="shared" si="58"/>
        <v>0</v>
      </c>
      <c r="AP78" s="234">
        <f t="shared" si="58"/>
        <v>0</v>
      </c>
      <c r="AQ78" s="234">
        <f t="shared" si="58"/>
        <v>-5.8729376513736407E-3</v>
      </c>
      <c r="AR78" s="233">
        <f t="shared" si="58"/>
        <v>0.1967005076142132</v>
      </c>
      <c r="AS78" s="234">
        <f t="shared" si="58"/>
        <v>6.9796954314720813E-3</v>
      </c>
      <c r="AT78" s="234">
        <f t="shared" si="58"/>
        <v>0</v>
      </c>
      <c r="AU78" s="234">
        <f t="shared" si="58"/>
        <v>0</v>
      </c>
      <c r="AV78" s="234">
        <f t="shared" si="58"/>
        <v>-1.6576613889954311E-3</v>
      </c>
      <c r="AW78" s="234">
        <f t="shared" si="58"/>
        <v>0</v>
      </c>
      <c r="AX78" s="234">
        <f t="shared" si="58"/>
        <v>0</v>
      </c>
      <c r="AY78" s="234">
        <f t="shared" si="58"/>
        <v>0</v>
      </c>
      <c r="AZ78" s="234">
        <f t="shared" si="58"/>
        <v>0</v>
      </c>
      <c r="BA78" s="234">
        <f t="shared" si="58"/>
        <v>0</v>
      </c>
      <c r="BB78" s="234">
        <f t="shared" si="58"/>
        <v>0</v>
      </c>
      <c r="BC78" s="234">
        <f t="shared" si="58"/>
        <v>-2.3793375386413611E-3</v>
      </c>
      <c r="BD78" s="237">
        <f t="shared" si="34"/>
        <v>1.5612511283791264E-17</v>
      </c>
    </row>
    <row r="79" spans="2:56" x14ac:dyDescent="0.25">
      <c r="B79" s="223" t="s">
        <v>467</v>
      </c>
      <c r="C79" s="225">
        <f t="shared" ref="C79:AA79" si="59">IF(ABS(C50-C21)&gt;$F$62,C50-C21,0)</f>
        <v>-6636.6790800000017</v>
      </c>
      <c r="D79" s="225">
        <f t="shared" si="59"/>
        <v>50</v>
      </c>
      <c r="E79" s="225">
        <f t="shared" si="59"/>
        <v>20</v>
      </c>
      <c r="F79" s="225">
        <f t="shared" si="59"/>
        <v>5</v>
      </c>
      <c r="G79" s="225">
        <f t="shared" si="59"/>
        <v>40</v>
      </c>
      <c r="H79" s="225">
        <f t="shared" si="59"/>
        <v>20</v>
      </c>
      <c r="I79" s="225">
        <f t="shared" si="59"/>
        <v>-63.311859999999996</v>
      </c>
      <c r="J79" s="225">
        <f t="shared" si="59"/>
        <v>-3581.5166799999997</v>
      </c>
      <c r="K79" s="225">
        <f t="shared" si="59"/>
        <v>0</v>
      </c>
      <c r="L79" s="225">
        <f t="shared" si="59"/>
        <v>5</v>
      </c>
      <c r="M79" s="225">
        <f t="shared" si="59"/>
        <v>0</v>
      </c>
      <c r="N79" s="225">
        <f t="shared" si="59"/>
        <v>0</v>
      </c>
      <c r="O79" s="225">
        <f t="shared" si="59"/>
        <v>0</v>
      </c>
      <c r="P79" s="225">
        <f t="shared" si="59"/>
        <v>130</v>
      </c>
      <c r="Q79" s="224">
        <f t="shared" si="59"/>
        <v>504.21591000000001</v>
      </c>
      <c r="R79" s="225">
        <f t="shared" si="59"/>
        <v>0</v>
      </c>
      <c r="S79" s="225">
        <f t="shared" si="59"/>
        <v>0</v>
      </c>
      <c r="T79" s="225">
        <f t="shared" si="59"/>
        <v>160</v>
      </c>
      <c r="U79" s="225">
        <f t="shared" si="59"/>
        <v>0</v>
      </c>
      <c r="V79" s="225">
        <f t="shared" si="59"/>
        <v>0</v>
      </c>
      <c r="W79" s="225">
        <f t="shared" si="59"/>
        <v>5</v>
      </c>
      <c r="X79" s="225">
        <f t="shared" si="59"/>
        <v>0</v>
      </c>
      <c r="Y79" s="225">
        <f t="shared" si="59"/>
        <v>0</v>
      </c>
      <c r="Z79" s="225">
        <f t="shared" si="59"/>
        <v>0</v>
      </c>
      <c r="AA79" s="225">
        <f t="shared" si="59"/>
        <v>-1594.8379500000001</v>
      </c>
      <c r="AB79" s="226">
        <f t="shared" si="32"/>
        <v>-10937.129659999999</v>
      </c>
      <c r="AD79" s="223" t="s">
        <v>467</v>
      </c>
      <c r="AE79" s="234">
        <f t="shared" ref="AE79:BC79" si="60">AE50-AE21</f>
        <v>5.5691784942577427E-2</v>
      </c>
      <c r="AF79" s="234">
        <f t="shared" si="60"/>
        <v>6.4350064350064346E-3</v>
      </c>
      <c r="AG79" s="234">
        <f t="shared" si="60"/>
        <v>2.5740025740025739E-3</v>
      </c>
      <c r="AH79" s="234">
        <f t="shared" si="60"/>
        <v>6.4350064350064348E-4</v>
      </c>
      <c r="AI79" s="234">
        <f t="shared" si="60"/>
        <v>5.1480051480051478E-3</v>
      </c>
      <c r="AJ79" s="234">
        <f t="shared" si="60"/>
        <v>2.5740025740025739E-3</v>
      </c>
      <c r="AK79" s="234">
        <f t="shared" si="60"/>
        <v>1.5065266653729757E-3</v>
      </c>
      <c r="AL79" s="234">
        <f t="shared" si="60"/>
        <v>-0.14931500094616235</v>
      </c>
      <c r="AM79" s="234">
        <f t="shared" si="60"/>
        <v>0</v>
      </c>
      <c r="AN79" s="234">
        <f t="shared" si="60"/>
        <v>6.4350064350064348E-4</v>
      </c>
      <c r="AO79" s="234">
        <f t="shared" si="60"/>
        <v>0</v>
      </c>
      <c r="AP79" s="234">
        <f t="shared" si="60"/>
        <v>0</v>
      </c>
      <c r="AQ79" s="234">
        <f t="shared" si="60"/>
        <v>0</v>
      </c>
      <c r="AR79" s="234">
        <f t="shared" si="60"/>
        <v>1.6731016731016731E-2</v>
      </c>
      <c r="AS79" s="233">
        <f t="shared" si="60"/>
        <v>0.12100885837154099</v>
      </c>
      <c r="AT79" s="234">
        <f t="shared" si="60"/>
        <v>0</v>
      </c>
      <c r="AU79" s="234">
        <f t="shared" si="60"/>
        <v>0</v>
      </c>
      <c r="AV79" s="234">
        <f t="shared" si="60"/>
        <v>2.0592020592020591E-2</v>
      </c>
      <c r="AW79" s="234">
        <f t="shared" si="60"/>
        <v>0</v>
      </c>
      <c r="AX79" s="234">
        <f t="shared" si="60"/>
        <v>0</v>
      </c>
      <c r="AY79" s="234">
        <f t="shared" si="60"/>
        <v>6.4350064350064348E-4</v>
      </c>
      <c r="AZ79" s="234">
        <f t="shared" si="60"/>
        <v>0</v>
      </c>
      <c r="BA79" s="234">
        <f t="shared" si="60"/>
        <v>0</v>
      </c>
      <c r="BB79" s="234">
        <f t="shared" si="60"/>
        <v>0</v>
      </c>
      <c r="BC79" s="234">
        <f t="shared" si="60"/>
        <v>-8.4876725017884971E-2</v>
      </c>
      <c r="BD79" s="237">
        <f t="shared" si="34"/>
        <v>0</v>
      </c>
    </row>
    <row r="80" spans="2:56" x14ac:dyDescent="0.25">
      <c r="B80" s="223" t="s">
        <v>468</v>
      </c>
      <c r="C80" s="225">
        <f t="shared" ref="C80:AA80" si="61">IF(ABS(C51-C22)&gt;$F$62,C51-C22,0)</f>
        <v>175</v>
      </c>
      <c r="D80" s="225">
        <f t="shared" si="61"/>
        <v>5</v>
      </c>
      <c r="E80" s="225">
        <f t="shared" si="61"/>
        <v>0</v>
      </c>
      <c r="F80" s="225">
        <f t="shared" si="61"/>
        <v>0</v>
      </c>
      <c r="G80" s="225">
        <f t="shared" si="61"/>
        <v>0</v>
      </c>
      <c r="H80" s="225">
        <f t="shared" si="61"/>
        <v>0</v>
      </c>
      <c r="I80" s="225">
        <f t="shared" si="61"/>
        <v>0</v>
      </c>
      <c r="J80" s="225">
        <f t="shared" si="61"/>
        <v>0</v>
      </c>
      <c r="K80" s="225">
        <f t="shared" si="61"/>
        <v>15</v>
      </c>
      <c r="L80" s="225">
        <f t="shared" si="61"/>
        <v>0</v>
      </c>
      <c r="M80" s="225">
        <f t="shared" si="61"/>
        <v>0</v>
      </c>
      <c r="N80" s="225">
        <f t="shared" si="61"/>
        <v>0</v>
      </c>
      <c r="O80" s="225">
        <f t="shared" si="61"/>
        <v>0</v>
      </c>
      <c r="P80" s="225">
        <f t="shared" si="61"/>
        <v>0</v>
      </c>
      <c r="Q80" s="225">
        <f t="shared" si="61"/>
        <v>0</v>
      </c>
      <c r="R80" s="224">
        <f t="shared" si="61"/>
        <v>0</v>
      </c>
      <c r="S80" s="225">
        <f t="shared" si="61"/>
        <v>0</v>
      </c>
      <c r="T80" s="225">
        <f t="shared" si="61"/>
        <v>0</v>
      </c>
      <c r="U80" s="225">
        <f t="shared" si="61"/>
        <v>0</v>
      </c>
      <c r="V80" s="225">
        <f t="shared" si="61"/>
        <v>10</v>
      </c>
      <c r="W80" s="225">
        <f t="shared" si="61"/>
        <v>70</v>
      </c>
      <c r="X80" s="225">
        <f t="shared" si="61"/>
        <v>0</v>
      </c>
      <c r="Y80" s="225">
        <f t="shared" si="61"/>
        <v>0</v>
      </c>
      <c r="Z80" s="225">
        <f t="shared" si="61"/>
        <v>0</v>
      </c>
      <c r="AA80" s="225">
        <f t="shared" si="61"/>
        <v>0</v>
      </c>
      <c r="AB80" s="226">
        <f t="shared" si="32"/>
        <v>275</v>
      </c>
      <c r="AD80" s="223" t="s">
        <v>468</v>
      </c>
      <c r="AE80" s="234" t="e">
        <f t="shared" ref="AE80:BC80" si="62">AE51-AE22</f>
        <v>#VALUE!</v>
      </c>
      <c r="AF80" s="234" t="e">
        <f t="shared" si="62"/>
        <v>#VALUE!</v>
      </c>
      <c r="AG80" s="234" t="e">
        <f t="shared" si="62"/>
        <v>#VALUE!</v>
      </c>
      <c r="AH80" s="234" t="e">
        <f t="shared" si="62"/>
        <v>#VALUE!</v>
      </c>
      <c r="AI80" s="234" t="e">
        <f t="shared" si="62"/>
        <v>#VALUE!</v>
      </c>
      <c r="AJ80" s="234" t="e">
        <f t="shared" si="62"/>
        <v>#VALUE!</v>
      </c>
      <c r="AK80" s="234" t="e">
        <f t="shared" si="62"/>
        <v>#VALUE!</v>
      </c>
      <c r="AL80" s="234" t="e">
        <f t="shared" si="62"/>
        <v>#VALUE!</v>
      </c>
      <c r="AM80" s="234" t="e">
        <f t="shared" si="62"/>
        <v>#VALUE!</v>
      </c>
      <c r="AN80" s="234" t="e">
        <f t="shared" si="62"/>
        <v>#VALUE!</v>
      </c>
      <c r="AO80" s="234" t="e">
        <f t="shared" si="62"/>
        <v>#VALUE!</v>
      </c>
      <c r="AP80" s="234" t="e">
        <f t="shared" si="62"/>
        <v>#VALUE!</v>
      </c>
      <c r="AQ80" s="234" t="e">
        <f t="shared" si="62"/>
        <v>#VALUE!</v>
      </c>
      <c r="AR80" s="234" t="e">
        <f t="shared" si="62"/>
        <v>#VALUE!</v>
      </c>
      <c r="AS80" s="234" t="e">
        <f t="shared" si="62"/>
        <v>#VALUE!</v>
      </c>
      <c r="AT80" s="233" t="e">
        <f t="shared" si="62"/>
        <v>#VALUE!</v>
      </c>
      <c r="AU80" s="234" t="e">
        <f t="shared" si="62"/>
        <v>#VALUE!</v>
      </c>
      <c r="AV80" s="234" t="e">
        <f t="shared" si="62"/>
        <v>#VALUE!</v>
      </c>
      <c r="AW80" s="234" t="e">
        <f t="shared" si="62"/>
        <v>#VALUE!</v>
      </c>
      <c r="AX80" s="234" t="e">
        <f t="shared" si="62"/>
        <v>#VALUE!</v>
      </c>
      <c r="AY80" s="234" t="e">
        <f t="shared" si="62"/>
        <v>#VALUE!</v>
      </c>
      <c r="AZ80" s="234" t="e">
        <f t="shared" si="62"/>
        <v>#VALUE!</v>
      </c>
      <c r="BA80" s="234" t="e">
        <f t="shared" si="62"/>
        <v>#VALUE!</v>
      </c>
      <c r="BB80" s="234" t="e">
        <f t="shared" si="62"/>
        <v>#VALUE!</v>
      </c>
      <c r="BC80" s="234" t="e">
        <f t="shared" si="62"/>
        <v>#VALUE!</v>
      </c>
      <c r="BD80" s="237" t="e">
        <f t="shared" si="34"/>
        <v>#VALUE!</v>
      </c>
    </row>
    <row r="81" spans="2:56" x14ac:dyDescent="0.25">
      <c r="B81" s="223" t="s">
        <v>469</v>
      </c>
      <c r="C81" s="225">
        <f t="shared" ref="C81:AA81" si="63">IF(ABS(C52-C23)&gt;$F$62,C52-C23,0)</f>
        <v>10</v>
      </c>
      <c r="D81" s="225">
        <f t="shared" si="63"/>
        <v>0</v>
      </c>
      <c r="E81" s="225">
        <f t="shared" si="63"/>
        <v>0</v>
      </c>
      <c r="F81" s="225">
        <f t="shared" si="63"/>
        <v>0</v>
      </c>
      <c r="G81" s="225">
        <f t="shared" si="63"/>
        <v>0</v>
      </c>
      <c r="H81" s="225">
        <f t="shared" si="63"/>
        <v>0</v>
      </c>
      <c r="I81" s="225">
        <f t="shared" si="63"/>
        <v>0</v>
      </c>
      <c r="J81" s="225">
        <f t="shared" si="63"/>
        <v>20</v>
      </c>
      <c r="K81" s="225">
        <f t="shared" si="63"/>
        <v>0</v>
      </c>
      <c r="L81" s="225">
        <f t="shared" si="63"/>
        <v>0</v>
      </c>
      <c r="M81" s="225">
        <f t="shared" si="63"/>
        <v>0</v>
      </c>
      <c r="N81" s="225">
        <f t="shared" si="63"/>
        <v>0</v>
      </c>
      <c r="O81" s="225">
        <f t="shared" si="63"/>
        <v>0</v>
      </c>
      <c r="P81" s="225">
        <f t="shared" si="63"/>
        <v>0</v>
      </c>
      <c r="Q81" s="225">
        <f t="shared" si="63"/>
        <v>0</v>
      </c>
      <c r="R81" s="225">
        <f t="shared" si="63"/>
        <v>0</v>
      </c>
      <c r="S81" s="224">
        <f t="shared" si="63"/>
        <v>0</v>
      </c>
      <c r="T81" s="225">
        <f t="shared" si="63"/>
        <v>0</v>
      </c>
      <c r="U81" s="225">
        <f t="shared" si="63"/>
        <v>0</v>
      </c>
      <c r="V81" s="225">
        <f t="shared" si="63"/>
        <v>0</v>
      </c>
      <c r="W81" s="225">
        <f t="shared" si="63"/>
        <v>0</v>
      </c>
      <c r="X81" s="225">
        <f t="shared" si="63"/>
        <v>0</v>
      </c>
      <c r="Y81" s="225">
        <f t="shared" si="63"/>
        <v>0</v>
      </c>
      <c r="Z81" s="225">
        <f t="shared" si="63"/>
        <v>0</v>
      </c>
      <c r="AA81" s="225">
        <f t="shared" si="63"/>
        <v>0</v>
      </c>
      <c r="AB81" s="226">
        <f t="shared" si="32"/>
        <v>30</v>
      </c>
      <c r="AD81" s="223" t="s">
        <v>469</v>
      </c>
      <c r="AE81" s="234" t="e">
        <f t="shared" ref="AE81:BC81" si="64">AE52-AE23</f>
        <v>#VALUE!</v>
      </c>
      <c r="AF81" s="234" t="e">
        <f t="shared" si="64"/>
        <v>#VALUE!</v>
      </c>
      <c r="AG81" s="234" t="e">
        <f t="shared" si="64"/>
        <v>#VALUE!</v>
      </c>
      <c r="AH81" s="234" t="e">
        <f t="shared" si="64"/>
        <v>#VALUE!</v>
      </c>
      <c r="AI81" s="234" t="e">
        <f t="shared" si="64"/>
        <v>#VALUE!</v>
      </c>
      <c r="AJ81" s="234" t="e">
        <f t="shared" si="64"/>
        <v>#VALUE!</v>
      </c>
      <c r="AK81" s="234" t="e">
        <f t="shared" si="64"/>
        <v>#VALUE!</v>
      </c>
      <c r="AL81" s="234" t="e">
        <f t="shared" si="64"/>
        <v>#VALUE!</v>
      </c>
      <c r="AM81" s="234" t="e">
        <f t="shared" si="64"/>
        <v>#VALUE!</v>
      </c>
      <c r="AN81" s="234" t="e">
        <f t="shared" si="64"/>
        <v>#VALUE!</v>
      </c>
      <c r="AO81" s="234" t="e">
        <f t="shared" si="64"/>
        <v>#VALUE!</v>
      </c>
      <c r="AP81" s="234" t="e">
        <f t="shared" si="64"/>
        <v>#VALUE!</v>
      </c>
      <c r="AQ81" s="234" t="e">
        <f t="shared" si="64"/>
        <v>#VALUE!</v>
      </c>
      <c r="AR81" s="234" t="e">
        <f t="shared" si="64"/>
        <v>#VALUE!</v>
      </c>
      <c r="AS81" s="234" t="e">
        <f t="shared" si="64"/>
        <v>#VALUE!</v>
      </c>
      <c r="AT81" s="234" t="e">
        <f t="shared" si="64"/>
        <v>#VALUE!</v>
      </c>
      <c r="AU81" s="233" t="e">
        <f t="shared" si="64"/>
        <v>#VALUE!</v>
      </c>
      <c r="AV81" s="234" t="e">
        <f t="shared" si="64"/>
        <v>#VALUE!</v>
      </c>
      <c r="AW81" s="234" t="e">
        <f t="shared" si="64"/>
        <v>#VALUE!</v>
      </c>
      <c r="AX81" s="234" t="e">
        <f t="shared" si="64"/>
        <v>#VALUE!</v>
      </c>
      <c r="AY81" s="234" t="e">
        <f t="shared" si="64"/>
        <v>#VALUE!</v>
      </c>
      <c r="AZ81" s="234" t="e">
        <f t="shared" si="64"/>
        <v>#VALUE!</v>
      </c>
      <c r="BA81" s="234" t="e">
        <f t="shared" si="64"/>
        <v>#VALUE!</v>
      </c>
      <c r="BB81" s="234" t="e">
        <f t="shared" si="64"/>
        <v>#VALUE!</v>
      </c>
      <c r="BC81" s="234" t="e">
        <f t="shared" si="64"/>
        <v>#VALUE!</v>
      </c>
      <c r="BD81" s="237" t="e">
        <f t="shared" si="34"/>
        <v>#VALUE!</v>
      </c>
    </row>
    <row r="82" spans="2:56" x14ac:dyDescent="0.25">
      <c r="B82" s="223" t="s">
        <v>470</v>
      </c>
      <c r="C82" s="225">
        <f t="shared" ref="C82:AA82" si="65">IF(ABS(C53-C24)&gt;$F$62,C53-C24,0)</f>
        <v>2036.3440399999999</v>
      </c>
      <c r="D82" s="225">
        <f t="shared" si="65"/>
        <v>-94.647109999999998</v>
      </c>
      <c r="E82" s="225">
        <f t="shared" si="65"/>
        <v>5</v>
      </c>
      <c r="F82" s="225">
        <f t="shared" si="65"/>
        <v>10</v>
      </c>
      <c r="G82" s="225">
        <f t="shared" si="65"/>
        <v>0</v>
      </c>
      <c r="H82" s="225">
        <f t="shared" si="65"/>
        <v>0</v>
      </c>
      <c r="I82" s="225">
        <f t="shared" si="65"/>
        <v>-804.70657000000006</v>
      </c>
      <c r="J82" s="225">
        <f t="shared" si="65"/>
        <v>-255.52954999999997</v>
      </c>
      <c r="K82" s="225">
        <f t="shared" si="65"/>
        <v>0</v>
      </c>
      <c r="L82" s="225">
        <f t="shared" si="65"/>
        <v>0</v>
      </c>
      <c r="M82" s="225">
        <f t="shared" si="65"/>
        <v>0</v>
      </c>
      <c r="N82" s="225">
        <f t="shared" si="65"/>
        <v>0</v>
      </c>
      <c r="O82" s="225">
        <f t="shared" si="65"/>
        <v>0</v>
      </c>
      <c r="P82" s="225">
        <f t="shared" si="65"/>
        <v>-10.00403</v>
      </c>
      <c r="Q82" s="225">
        <f t="shared" si="65"/>
        <v>10</v>
      </c>
      <c r="R82" s="225">
        <f t="shared" si="65"/>
        <v>0</v>
      </c>
      <c r="S82" s="225">
        <f t="shared" si="65"/>
        <v>0</v>
      </c>
      <c r="T82" s="224">
        <f t="shared" si="65"/>
        <v>100</v>
      </c>
      <c r="U82" s="225">
        <f t="shared" si="65"/>
        <v>10</v>
      </c>
      <c r="V82" s="225">
        <f t="shared" si="65"/>
        <v>10</v>
      </c>
      <c r="W82" s="225">
        <f t="shared" si="65"/>
        <v>0</v>
      </c>
      <c r="X82" s="225">
        <f t="shared" si="65"/>
        <v>0</v>
      </c>
      <c r="Y82" s="225">
        <f t="shared" si="65"/>
        <v>0</v>
      </c>
      <c r="Z82" s="225">
        <f t="shared" si="65"/>
        <v>0</v>
      </c>
      <c r="AA82" s="225">
        <f t="shared" si="65"/>
        <v>0</v>
      </c>
      <c r="AB82" s="226">
        <f t="shared" si="32"/>
        <v>1016.45678</v>
      </c>
      <c r="AD82" s="223" t="s">
        <v>470</v>
      </c>
      <c r="AE82" s="234">
        <f t="shared" ref="AE82:BC82" si="66">AE53-AE24</f>
        <v>0.75479548837536625</v>
      </c>
      <c r="AF82" s="234">
        <f t="shared" si="66"/>
        <v>-6.5409250525775842E-2</v>
      </c>
      <c r="AG82" s="234">
        <f t="shared" si="66"/>
        <v>1.9801980198019802E-3</v>
      </c>
      <c r="AH82" s="234">
        <f t="shared" si="66"/>
        <v>3.9603960396039604E-3</v>
      </c>
      <c r="AI82" s="234">
        <f t="shared" si="66"/>
        <v>0</v>
      </c>
      <c r="AJ82" s="234">
        <f t="shared" si="66"/>
        <v>0</v>
      </c>
      <c r="AK82" s="234">
        <f t="shared" si="66"/>
        <v>-0.53343289030857199</v>
      </c>
      <c r="AL82" s="234">
        <f t="shared" si="66"/>
        <v>-0.20541324893575008</v>
      </c>
      <c r="AM82" s="234">
        <f t="shared" si="66"/>
        <v>0</v>
      </c>
      <c r="AN82" s="234">
        <f t="shared" si="66"/>
        <v>0</v>
      </c>
      <c r="AO82" s="234">
        <f t="shared" si="66"/>
        <v>0</v>
      </c>
      <c r="AP82" s="234">
        <f t="shared" si="66"/>
        <v>0</v>
      </c>
      <c r="AQ82" s="234">
        <f t="shared" si="66"/>
        <v>0</v>
      </c>
      <c r="AR82" s="234">
        <f t="shared" si="66"/>
        <v>-7.9658411795256994E-3</v>
      </c>
      <c r="AS82" s="234">
        <f t="shared" si="66"/>
        <v>3.9603960396039604E-3</v>
      </c>
      <c r="AT82" s="234">
        <f t="shared" si="66"/>
        <v>0</v>
      </c>
      <c r="AU82" s="234">
        <f t="shared" si="66"/>
        <v>0</v>
      </c>
      <c r="AV82" s="233">
        <f t="shared" si="66"/>
        <v>3.9603960396039604E-2</v>
      </c>
      <c r="AW82" s="234">
        <f t="shared" si="66"/>
        <v>3.9603960396039604E-3</v>
      </c>
      <c r="AX82" s="234">
        <f t="shared" si="66"/>
        <v>3.9603960396039604E-3</v>
      </c>
      <c r="AY82" s="234">
        <f t="shared" si="66"/>
        <v>0</v>
      </c>
      <c r="AZ82" s="234">
        <f t="shared" si="66"/>
        <v>0</v>
      </c>
      <c r="BA82" s="234">
        <f t="shared" si="66"/>
        <v>0</v>
      </c>
      <c r="BB82" s="234">
        <f t="shared" si="66"/>
        <v>0</v>
      </c>
      <c r="BC82" s="234">
        <f t="shared" si="66"/>
        <v>0</v>
      </c>
      <c r="BD82" s="237">
        <f t="shared" si="34"/>
        <v>6.9388939039072284E-17</v>
      </c>
    </row>
    <row r="83" spans="2:56" x14ac:dyDescent="0.25">
      <c r="B83" s="223" t="s">
        <v>471</v>
      </c>
      <c r="C83" s="225">
        <f t="shared" ref="C83:AA83" si="67">IF(ABS(C54-C25)&gt;$F$62,C54-C25,0)</f>
        <v>190</v>
      </c>
      <c r="D83" s="225">
        <f t="shared" si="67"/>
        <v>10</v>
      </c>
      <c r="E83" s="225">
        <f t="shared" si="67"/>
        <v>0</v>
      </c>
      <c r="F83" s="225">
        <f t="shared" si="67"/>
        <v>0</v>
      </c>
      <c r="G83" s="225">
        <f t="shared" si="67"/>
        <v>0</v>
      </c>
      <c r="H83" s="225">
        <f t="shared" si="67"/>
        <v>0</v>
      </c>
      <c r="I83" s="225">
        <f t="shared" si="67"/>
        <v>0</v>
      </c>
      <c r="J83" s="225">
        <f t="shared" si="67"/>
        <v>20</v>
      </c>
      <c r="K83" s="225">
        <f t="shared" si="67"/>
        <v>0</v>
      </c>
      <c r="L83" s="225">
        <f t="shared" si="67"/>
        <v>0</v>
      </c>
      <c r="M83" s="225">
        <f t="shared" si="67"/>
        <v>0</v>
      </c>
      <c r="N83" s="225">
        <f t="shared" si="67"/>
        <v>0</v>
      </c>
      <c r="O83" s="225">
        <f t="shared" si="67"/>
        <v>0</v>
      </c>
      <c r="P83" s="225">
        <f t="shared" si="67"/>
        <v>0</v>
      </c>
      <c r="Q83" s="225">
        <f t="shared" si="67"/>
        <v>0</v>
      </c>
      <c r="R83" s="225">
        <f t="shared" si="67"/>
        <v>0</v>
      </c>
      <c r="S83" s="225">
        <f t="shared" si="67"/>
        <v>0</v>
      </c>
      <c r="T83" s="225">
        <f t="shared" si="67"/>
        <v>10</v>
      </c>
      <c r="U83" s="224">
        <f t="shared" si="67"/>
        <v>30</v>
      </c>
      <c r="V83" s="225">
        <f t="shared" si="67"/>
        <v>10</v>
      </c>
      <c r="W83" s="225">
        <f t="shared" si="67"/>
        <v>30</v>
      </c>
      <c r="X83" s="225">
        <f t="shared" si="67"/>
        <v>0</v>
      </c>
      <c r="Y83" s="225">
        <f t="shared" si="67"/>
        <v>0</v>
      </c>
      <c r="Z83" s="225">
        <f t="shared" si="67"/>
        <v>0</v>
      </c>
      <c r="AA83" s="225">
        <f t="shared" si="67"/>
        <v>0</v>
      </c>
      <c r="AB83" s="226">
        <f t="shared" si="32"/>
        <v>300</v>
      </c>
      <c r="AD83" s="223" t="s">
        <v>471</v>
      </c>
      <c r="AE83" s="234" t="e">
        <f t="shared" ref="AE83:BC83" si="68">AE54-AE25</f>
        <v>#VALUE!</v>
      </c>
      <c r="AF83" s="234" t="e">
        <f t="shared" si="68"/>
        <v>#VALUE!</v>
      </c>
      <c r="AG83" s="234" t="e">
        <f t="shared" si="68"/>
        <v>#VALUE!</v>
      </c>
      <c r="AH83" s="234" t="e">
        <f t="shared" si="68"/>
        <v>#VALUE!</v>
      </c>
      <c r="AI83" s="234" t="e">
        <f t="shared" si="68"/>
        <v>#VALUE!</v>
      </c>
      <c r="AJ83" s="234" t="e">
        <f t="shared" si="68"/>
        <v>#VALUE!</v>
      </c>
      <c r="AK83" s="234" t="e">
        <f t="shared" si="68"/>
        <v>#VALUE!</v>
      </c>
      <c r="AL83" s="234" t="e">
        <f t="shared" si="68"/>
        <v>#VALUE!</v>
      </c>
      <c r="AM83" s="234" t="e">
        <f t="shared" si="68"/>
        <v>#VALUE!</v>
      </c>
      <c r="AN83" s="234" t="e">
        <f t="shared" si="68"/>
        <v>#VALUE!</v>
      </c>
      <c r="AO83" s="234" t="e">
        <f t="shared" si="68"/>
        <v>#VALUE!</v>
      </c>
      <c r="AP83" s="234" t="e">
        <f t="shared" si="68"/>
        <v>#VALUE!</v>
      </c>
      <c r="AQ83" s="234" t="e">
        <f t="shared" si="68"/>
        <v>#VALUE!</v>
      </c>
      <c r="AR83" s="234" t="e">
        <f t="shared" si="68"/>
        <v>#VALUE!</v>
      </c>
      <c r="AS83" s="234" t="e">
        <f t="shared" si="68"/>
        <v>#VALUE!</v>
      </c>
      <c r="AT83" s="234" t="e">
        <f t="shared" si="68"/>
        <v>#VALUE!</v>
      </c>
      <c r="AU83" s="234" t="e">
        <f t="shared" si="68"/>
        <v>#VALUE!</v>
      </c>
      <c r="AV83" s="234" t="e">
        <f t="shared" si="68"/>
        <v>#VALUE!</v>
      </c>
      <c r="AW83" s="233" t="e">
        <f t="shared" si="68"/>
        <v>#VALUE!</v>
      </c>
      <c r="AX83" s="234" t="e">
        <f t="shared" si="68"/>
        <v>#VALUE!</v>
      </c>
      <c r="AY83" s="234" t="e">
        <f t="shared" si="68"/>
        <v>#VALUE!</v>
      </c>
      <c r="AZ83" s="234" t="e">
        <f t="shared" si="68"/>
        <v>#VALUE!</v>
      </c>
      <c r="BA83" s="234" t="e">
        <f t="shared" si="68"/>
        <v>#VALUE!</v>
      </c>
      <c r="BB83" s="234" t="e">
        <f t="shared" si="68"/>
        <v>#VALUE!</v>
      </c>
      <c r="BC83" s="234" t="e">
        <f t="shared" si="68"/>
        <v>#VALUE!</v>
      </c>
      <c r="BD83" s="237" t="e">
        <f t="shared" si="34"/>
        <v>#VALUE!</v>
      </c>
    </row>
    <row r="84" spans="2:56" x14ac:dyDescent="0.25">
      <c r="B84" s="223" t="s">
        <v>472</v>
      </c>
      <c r="C84" s="225">
        <f t="shared" ref="C84:AA84" si="69">IF(ABS(C55-C26)&gt;$F$62,C55-C26,0)</f>
        <v>-16721.43648</v>
      </c>
      <c r="D84" s="225">
        <f t="shared" si="69"/>
        <v>-522.65425000000005</v>
      </c>
      <c r="E84" s="225">
        <f t="shared" si="69"/>
        <v>-470.68164999999999</v>
      </c>
      <c r="F84" s="225">
        <f t="shared" si="69"/>
        <v>-843.78243999999995</v>
      </c>
      <c r="G84" s="225">
        <f t="shared" si="69"/>
        <v>-74.101759999999999</v>
      </c>
      <c r="H84" s="225">
        <f t="shared" si="69"/>
        <v>10</v>
      </c>
      <c r="I84" s="225">
        <f t="shared" si="69"/>
        <v>-0.124</v>
      </c>
      <c r="J84" s="225">
        <f t="shared" si="69"/>
        <v>20</v>
      </c>
      <c r="K84" s="225">
        <f t="shared" si="69"/>
        <v>-998.10817999999995</v>
      </c>
      <c r="L84" s="225">
        <f t="shared" si="69"/>
        <v>-1326.5951700000001</v>
      </c>
      <c r="M84" s="225">
        <f t="shared" si="69"/>
        <v>0</v>
      </c>
      <c r="N84" s="225">
        <f t="shared" si="69"/>
        <v>15</v>
      </c>
      <c r="O84" s="225">
        <f t="shared" si="69"/>
        <v>0</v>
      </c>
      <c r="P84" s="225">
        <f t="shared" si="69"/>
        <v>0</v>
      </c>
      <c r="Q84" s="225">
        <f t="shared" si="69"/>
        <v>0</v>
      </c>
      <c r="R84" s="225">
        <f t="shared" si="69"/>
        <v>0</v>
      </c>
      <c r="S84" s="225">
        <f t="shared" si="69"/>
        <v>0</v>
      </c>
      <c r="T84" s="225">
        <f t="shared" si="69"/>
        <v>0</v>
      </c>
      <c r="U84" s="225">
        <f t="shared" si="69"/>
        <v>0</v>
      </c>
      <c r="V84" s="224">
        <f t="shared" si="69"/>
        <v>-7186.2579600000008</v>
      </c>
      <c r="W84" s="225">
        <f t="shared" si="69"/>
        <v>-2248.61816</v>
      </c>
      <c r="X84" s="225">
        <f t="shared" si="69"/>
        <v>20</v>
      </c>
      <c r="Y84" s="225">
        <f t="shared" si="69"/>
        <v>20</v>
      </c>
      <c r="Z84" s="225">
        <f t="shared" si="69"/>
        <v>0</v>
      </c>
      <c r="AA84" s="225">
        <f t="shared" si="69"/>
        <v>0</v>
      </c>
      <c r="AB84" s="226">
        <f t="shared" si="32"/>
        <v>-30307.360049999996</v>
      </c>
      <c r="AD84" s="223" t="s">
        <v>472</v>
      </c>
      <c r="AE84" s="234">
        <f t="shared" ref="AE84:BC84" si="70">AE55-AE26</f>
        <v>-0.13248017201906265</v>
      </c>
      <c r="AF84" s="234">
        <f t="shared" si="70"/>
        <v>-3.4184587147456213E-3</v>
      </c>
      <c r="AG84" s="234">
        <f t="shared" si="70"/>
        <v>6.7707334369844496E-3</v>
      </c>
      <c r="AH84" s="234">
        <f t="shared" si="70"/>
        <v>-2.0373010070157394E-2</v>
      </c>
      <c r="AI84" s="234">
        <f t="shared" si="70"/>
        <v>-1.9610336450882069E-4</v>
      </c>
      <c r="AJ84" s="234">
        <f t="shared" si="70"/>
        <v>2.2197558268590455E-3</v>
      </c>
      <c r="AK84" s="234">
        <f t="shared" si="70"/>
        <v>-3.5619532781432329E-6</v>
      </c>
      <c r="AL84" s="234">
        <f t="shared" si="70"/>
        <v>4.4395116537180911E-3</v>
      </c>
      <c r="AM84" s="234">
        <f t="shared" si="70"/>
        <v>-1.9974829434045754E-2</v>
      </c>
      <c r="AN84" s="234">
        <f t="shared" si="70"/>
        <v>-7.1869917626213725E-3</v>
      </c>
      <c r="AO84" s="234">
        <f t="shared" si="70"/>
        <v>0</v>
      </c>
      <c r="AP84" s="234">
        <f t="shared" si="70"/>
        <v>3.3296337402885681E-3</v>
      </c>
      <c r="AQ84" s="234">
        <f t="shared" si="70"/>
        <v>0</v>
      </c>
      <c r="AR84" s="234">
        <f t="shared" si="70"/>
        <v>0</v>
      </c>
      <c r="AS84" s="234">
        <f t="shared" si="70"/>
        <v>0</v>
      </c>
      <c r="AT84" s="234">
        <f t="shared" si="70"/>
        <v>0</v>
      </c>
      <c r="AU84" s="234">
        <f t="shared" si="70"/>
        <v>0</v>
      </c>
      <c r="AV84" s="234">
        <f t="shared" si="70"/>
        <v>0</v>
      </c>
      <c r="AW84" s="234">
        <f t="shared" si="70"/>
        <v>0</v>
      </c>
      <c r="AX84" s="233">
        <f t="shared" si="70"/>
        <v>0.16171319394352107</v>
      </c>
      <c r="AY84" s="234">
        <f t="shared" si="70"/>
        <v>-3.7187245903878285E-3</v>
      </c>
      <c r="AZ84" s="234">
        <f t="shared" si="70"/>
        <v>4.4395116537180911E-3</v>
      </c>
      <c r="BA84" s="234">
        <f t="shared" si="70"/>
        <v>4.4395116537180911E-3</v>
      </c>
      <c r="BB84" s="234">
        <f t="shared" si="70"/>
        <v>0</v>
      </c>
      <c r="BC84" s="234">
        <f t="shared" si="70"/>
        <v>0</v>
      </c>
      <c r="BD84" s="237">
        <f t="shared" si="34"/>
        <v>-1.5785983631388945E-16</v>
      </c>
    </row>
    <row r="85" spans="2:56" x14ac:dyDescent="0.25">
      <c r="B85" s="223" t="s">
        <v>473</v>
      </c>
      <c r="C85" s="225">
        <f t="shared" ref="C85:AA85" si="71">IF(ABS(C56-C27)&gt;$F$62,C56-C27,0)</f>
        <v>-10137.801439999999</v>
      </c>
      <c r="D85" s="225">
        <f t="shared" si="71"/>
        <v>-287.08211</v>
      </c>
      <c r="E85" s="225">
        <f t="shared" si="71"/>
        <v>55</v>
      </c>
      <c r="F85" s="225">
        <f t="shared" si="71"/>
        <v>10</v>
      </c>
      <c r="G85" s="225">
        <f t="shared" si="71"/>
        <v>20</v>
      </c>
      <c r="H85" s="225">
        <f t="shared" si="71"/>
        <v>5</v>
      </c>
      <c r="I85" s="225">
        <f t="shared" si="71"/>
        <v>5</v>
      </c>
      <c r="J85" s="225">
        <f t="shared" si="71"/>
        <v>10</v>
      </c>
      <c r="K85" s="225">
        <f t="shared" si="71"/>
        <v>250</v>
      </c>
      <c r="L85" s="225">
        <f t="shared" si="71"/>
        <v>15</v>
      </c>
      <c r="M85" s="225">
        <f t="shared" si="71"/>
        <v>0</v>
      </c>
      <c r="N85" s="225">
        <f t="shared" si="71"/>
        <v>0</v>
      </c>
      <c r="O85" s="225">
        <f t="shared" si="71"/>
        <v>-123.82885</v>
      </c>
      <c r="P85" s="225">
        <f t="shared" si="71"/>
        <v>0</v>
      </c>
      <c r="Q85" s="225">
        <f t="shared" si="71"/>
        <v>0</v>
      </c>
      <c r="R85" s="225">
        <f t="shared" si="71"/>
        <v>10</v>
      </c>
      <c r="S85" s="225">
        <f t="shared" si="71"/>
        <v>0</v>
      </c>
      <c r="T85" s="225">
        <f t="shared" si="71"/>
        <v>0</v>
      </c>
      <c r="U85" s="225">
        <f t="shared" si="71"/>
        <v>0</v>
      </c>
      <c r="V85" s="225">
        <f t="shared" si="71"/>
        <v>-2033.4757</v>
      </c>
      <c r="W85" s="224">
        <f t="shared" si="71"/>
        <v>-286.76681999999983</v>
      </c>
      <c r="X85" s="225">
        <f t="shared" si="71"/>
        <v>0</v>
      </c>
      <c r="Y85" s="225">
        <f t="shared" si="71"/>
        <v>10</v>
      </c>
      <c r="Z85" s="225">
        <f t="shared" si="71"/>
        <v>10</v>
      </c>
      <c r="AA85" s="225">
        <f t="shared" si="71"/>
        <v>0</v>
      </c>
      <c r="AB85" s="226">
        <f t="shared" si="32"/>
        <v>-12468.95492</v>
      </c>
      <c r="AD85" s="223" t="s">
        <v>473</v>
      </c>
      <c r="AE85" s="234">
        <f t="shared" ref="AE85:BC85" si="72">AE56-AE27</f>
        <v>-0.34510103472713927</v>
      </c>
      <c r="AF85" s="234">
        <f t="shared" si="72"/>
        <v>3.9224290206880154E-3</v>
      </c>
      <c r="AG85" s="234">
        <f t="shared" si="72"/>
        <v>9.0684253915910961E-3</v>
      </c>
      <c r="AH85" s="234">
        <f t="shared" si="72"/>
        <v>1.6488046166529267E-3</v>
      </c>
      <c r="AI85" s="234">
        <f t="shared" si="72"/>
        <v>3.2976092333058533E-3</v>
      </c>
      <c r="AJ85" s="234">
        <f t="shared" si="72"/>
        <v>8.2440230832646333E-4</v>
      </c>
      <c r="AK85" s="234">
        <f t="shared" si="72"/>
        <v>8.2440230832646333E-4</v>
      </c>
      <c r="AL85" s="234">
        <f t="shared" si="72"/>
        <v>1.6488046166529267E-3</v>
      </c>
      <c r="AM85" s="234">
        <f t="shared" si="72"/>
        <v>4.1220115416323165E-2</v>
      </c>
      <c r="AN85" s="234">
        <f t="shared" si="72"/>
        <v>2.4732069249793899E-3</v>
      </c>
      <c r="AO85" s="234">
        <f t="shared" si="72"/>
        <v>0</v>
      </c>
      <c r="AP85" s="234">
        <f t="shared" si="72"/>
        <v>0</v>
      </c>
      <c r="AQ85" s="234">
        <f t="shared" si="72"/>
        <v>-6.6811886904060737E-3</v>
      </c>
      <c r="AR85" s="234">
        <f t="shared" si="72"/>
        <v>0</v>
      </c>
      <c r="AS85" s="234">
        <f t="shared" si="72"/>
        <v>0</v>
      </c>
      <c r="AT85" s="234">
        <f t="shared" si="72"/>
        <v>1.6488046166529267E-3</v>
      </c>
      <c r="AU85" s="234">
        <f t="shared" si="72"/>
        <v>0</v>
      </c>
      <c r="AV85" s="234">
        <f t="shared" si="72"/>
        <v>0</v>
      </c>
      <c r="AW85" s="234">
        <f t="shared" si="72"/>
        <v>0</v>
      </c>
      <c r="AX85" s="234">
        <f t="shared" si="72"/>
        <v>-4.9261869100690525E-2</v>
      </c>
      <c r="AY85" s="233">
        <f t="shared" si="72"/>
        <v>0.33116947883143077</v>
      </c>
      <c r="AZ85" s="234">
        <f t="shared" si="72"/>
        <v>0</v>
      </c>
      <c r="BA85" s="234">
        <f t="shared" si="72"/>
        <v>1.6488046166529267E-3</v>
      </c>
      <c r="BB85" s="234">
        <f t="shared" si="72"/>
        <v>1.6488046166529267E-3</v>
      </c>
      <c r="BC85" s="234">
        <f t="shared" si="72"/>
        <v>0</v>
      </c>
      <c r="BD85" s="237">
        <f t="shared" si="34"/>
        <v>-1.1145598333150986E-16</v>
      </c>
    </row>
    <row r="86" spans="2:56" x14ac:dyDescent="0.25">
      <c r="B86" s="223" t="s">
        <v>474</v>
      </c>
      <c r="C86" s="225">
        <f t="shared" ref="C86:AA86" si="73">IF(ABS(C57-C28)&gt;$F$62,C57-C28,0)</f>
        <v>277.29227000000003</v>
      </c>
      <c r="D86" s="225">
        <f t="shared" si="73"/>
        <v>5</v>
      </c>
      <c r="E86" s="225">
        <f t="shared" si="73"/>
        <v>40</v>
      </c>
      <c r="F86" s="225">
        <f t="shared" si="73"/>
        <v>-25.75367</v>
      </c>
      <c r="G86" s="225">
        <f t="shared" si="73"/>
        <v>15</v>
      </c>
      <c r="H86" s="225">
        <f t="shared" si="73"/>
        <v>5</v>
      </c>
      <c r="I86" s="225">
        <f t="shared" si="73"/>
        <v>0</v>
      </c>
      <c r="J86" s="225">
        <f t="shared" si="73"/>
        <v>5</v>
      </c>
      <c r="K86" s="225">
        <f t="shared" si="73"/>
        <v>0</v>
      </c>
      <c r="L86" s="225">
        <f t="shared" si="73"/>
        <v>15</v>
      </c>
      <c r="M86" s="225">
        <f t="shared" si="73"/>
        <v>460</v>
      </c>
      <c r="N86" s="225">
        <f t="shared" si="73"/>
        <v>0</v>
      </c>
      <c r="O86" s="225">
        <f t="shared" si="73"/>
        <v>0</v>
      </c>
      <c r="P86" s="225">
        <f t="shared" si="73"/>
        <v>0</v>
      </c>
      <c r="Q86" s="225">
        <f t="shared" si="73"/>
        <v>0</v>
      </c>
      <c r="R86" s="225">
        <f t="shared" si="73"/>
        <v>0</v>
      </c>
      <c r="S86" s="225">
        <f t="shared" si="73"/>
        <v>0</v>
      </c>
      <c r="T86" s="225">
        <f t="shared" si="73"/>
        <v>0</v>
      </c>
      <c r="U86" s="225">
        <f t="shared" si="73"/>
        <v>0</v>
      </c>
      <c r="V86" s="225">
        <f t="shared" si="73"/>
        <v>5</v>
      </c>
      <c r="W86" s="225">
        <f t="shared" si="73"/>
        <v>5</v>
      </c>
      <c r="X86" s="224">
        <f t="shared" si="73"/>
        <v>1721.64068</v>
      </c>
      <c r="Y86" s="225">
        <f t="shared" si="73"/>
        <v>30</v>
      </c>
      <c r="Z86" s="225">
        <f t="shared" si="73"/>
        <v>0</v>
      </c>
      <c r="AA86" s="225">
        <f t="shared" si="73"/>
        <v>20</v>
      </c>
      <c r="AB86" s="226">
        <f t="shared" si="32"/>
        <v>2578.1792800000003</v>
      </c>
      <c r="AD86" s="223" t="s">
        <v>474</v>
      </c>
      <c r="AE86" s="234">
        <f t="shared" ref="AE86:BC86" si="74">AE57-AE28</f>
        <v>-0.41091857446308666</v>
      </c>
      <c r="AF86" s="234">
        <f t="shared" si="74"/>
        <v>1.7543859649122807E-3</v>
      </c>
      <c r="AG86" s="234">
        <f t="shared" si="74"/>
        <v>1.4035087719298246E-2</v>
      </c>
      <c r="AH86" s="234">
        <f t="shared" si="74"/>
        <v>-9.4745058434103191E-2</v>
      </c>
      <c r="AI86" s="234">
        <f t="shared" si="74"/>
        <v>5.263157894736842E-3</v>
      </c>
      <c r="AJ86" s="234">
        <f t="shared" si="74"/>
        <v>1.7543859649122807E-3</v>
      </c>
      <c r="AK86" s="234">
        <f t="shared" si="74"/>
        <v>0</v>
      </c>
      <c r="AL86" s="234">
        <f t="shared" si="74"/>
        <v>1.7543859649122807E-3</v>
      </c>
      <c r="AM86" s="234">
        <f t="shared" si="74"/>
        <v>0</v>
      </c>
      <c r="AN86" s="234">
        <f t="shared" si="74"/>
        <v>5.263157894736842E-3</v>
      </c>
      <c r="AO86" s="234">
        <f t="shared" si="74"/>
        <v>0.16140350877192983</v>
      </c>
      <c r="AP86" s="234">
        <f t="shared" si="74"/>
        <v>0</v>
      </c>
      <c r="AQ86" s="234">
        <f t="shared" si="74"/>
        <v>0</v>
      </c>
      <c r="AR86" s="234">
        <f t="shared" si="74"/>
        <v>0</v>
      </c>
      <c r="AS86" s="234">
        <f t="shared" si="74"/>
        <v>0</v>
      </c>
      <c r="AT86" s="234">
        <f t="shared" si="74"/>
        <v>0</v>
      </c>
      <c r="AU86" s="234">
        <f t="shared" si="74"/>
        <v>0</v>
      </c>
      <c r="AV86" s="234">
        <f t="shared" si="74"/>
        <v>0</v>
      </c>
      <c r="AW86" s="234">
        <f t="shared" si="74"/>
        <v>0</v>
      </c>
      <c r="AX86" s="234">
        <f t="shared" si="74"/>
        <v>1.7543859649122807E-3</v>
      </c>
      <c r="AY86" s="234">
        <f t="shared" si="74"/>
        <v>1.7543859649122807E-3</v>
      </c>
      <c r="AZ86" s="233">
        <f t="shared" si="74"/>
        <v>0.29338293114280384</v>
      </c>
      <c r="BA86" s="234">
        <f t="shared" si="74"/>
        <v>1.0526315789473684E-2</v>
      </c>
      <c r="BB86" s="234">
        <f t="shared" si="74"/>
        <v>0</v>
      </c>
      <c r="BC86" s="234">
        <f t="shared" si="74"/>
        <v>7.0175438596491229E-3</v>
      </c>
      <c r="BD86" s="237">
        <f t="shared" si="34"/>
        <v>0</v>
      </c>
    </row>
    <row r="87" spans="2:56" x14ac:dyDescent="0.25">
      <c r="B87" s="223" t="s">
        <v>475</v>
      </c>
      <c r="C87" s="225">
        <f t="shared" ref="C87:AA87" si="75">IF(ABS(C58-C29)&gt;$F$62,C58-C29,0)</f>
        <v>-4596.31682</v>
      </c>
      <c r="D87" s="225">
        <f t="shared" si="75"/>
        <v>0</v>
      </c>
      <c r="E87" s="225">
        <f t="shared" si="75"/>
        <v>0</v>
      </c>
      <c r="F87" s="225">
        <f t="shared" si="75"/>
        <v>5</v>
      </c>
      <c r="G87" s="225">
        <f t="shared" si="75"/>
        <v>5</v>
      </c>
      <c r="H87" s="225">
        <f t="shared" si="75"/>
        <v>10</v>
      </c>
      <c r="I87" s="225">
        <f t="shared" si="75"/>
        <v>0</v>
      </c>
      <c r="J87" s="225">
        <f t="shared" si="75"/>
        <v>0</v>
      </c>
      <c r="K87" s="225">
        <f t="shared" si="75"/>
        <v>0</v>
      </c>
      <c r="L87" s="225">
        <f t="shared" si="75"/>
        <v>0</v>
      </c>
      <c r="M87" s="225">
        <f t="shared" si="75"/>
        <v>0</v>
      </c>
      <c r="N87" s="225">
        <f t="shared" si="75"/>
        <v>100</v>
      </c>
      <c r="O87" s="225">
        <f t="shared" si="75"/>
        <v>20</v>
      </c>
      <c r="P87" s="225">
        <f t="shared" si="75"/>
        <v>0</v>
      </c>
      <c r="Q87" s="225">
        <f t="shared" si="75"/>
        <v>0</v>
      </c>
      <c r="R87" s="225">
        <f t="shared" si="75"/>
        <v>0</v>
      </c>
      <c r="S87" s="225">
        <f t="shared" si="75"/>
        <v>0</v>
      </c>
      <c r="T87" s="225">
        <f t="shared" si="75"/>
        <v>0</v>
      </c>
      <c r="U87" s="225">
        <f t="shared" si="75"/>
        <v>0</v>
      </c>
      <c r="V87" s="225">
        <f t="shared" si="75"/>
        <v>0</v>
      </c>
      <c r="W87" s="225">
        <f t="shared" si="75"/>
        <v>0</v>
      </c>
      <c r="X87" s="225">
        <f t="shared" si="75"/>
        <v>25</v>
      </c>
      <c r="Y87" s="224">
        <f t="shared" si="75"/>
        <v>270.12718000000001</v>
      </c>
      <c r="Z87" s="225">
        <f t="shared" si="75"/>
        <v>50</v>
      </c>
      <c r="AA87" s="225">
        <f t="shared" si="75"/>
        <v>0</v>
      </c>
      <c r="AB87" s="226">
        <f t="shared" si="32"/>
        <v>-4111.1896399999996</v>
      </c>
      <c r="AD87" s="223" t="s">
        <v>475</v>
      </c>
      <c r="AE87" s="234">
        <f t="shared" ref="AE87:BC87" si="76">AE58-AE29</f>
        <v>-0.42516353936765527</v>
      </c>
      <c r="AF87" s="234">
        <f t="shared" si="76"/>
        <v>0</v>
      </c>
      <c r="AG87" s="234">
        <f t="shared" si="76"/>
        <v>0</v>
      </c>
      <c r="AH87" s="234">
        <f t="shared" si="76"/>
        <v>3.4013605442176869E-3</v>
      </c>
      <c r="AI87" s="234">
        <f t="shared" si="76"/>
        <v>3.4013605442176869E-3</v>
      </c>
      <c r="AJ87" s="234">
        <f t="shared" si="76"/>
        <v>6.8027210884353739E-3</v>
      </c>
      <c r="AK87" s="234">
        <f t="shared" si="76"/>
        <v>0</v>
      </c>
      <c r="AL87" s="234">
        <f t="shared" si="76"/>
        <v>0</v>
      </c>
      <c r="AM87" s="234">
        <f t="shared" si="76"/>
        <v>0</v>
      </c>
      <c r="AN87" s="234">
        <f t="shared" si="76"/>
        <v>0</v>
      </c>
      <c r="AO87" s="234">
        <f t="shared" si="76"/>
        <v>0</v>
      </c>
      <c r="AP87" s="234">
        <f t="shared" si="76"/>
        <v>6.8027210884353748E-2</v>
      </c>
      <c r="AQ87" s="234">
        <f t="shared" si="76"/>
        <v>1.3605442176870748E-2</v>
      </c>
      <c r="AR87" s="234">
        <f t="shared" si="76"/>
        <v>0</v>
      </c>
      <c r="AS87" s="234">
        <f t="shared" si="76"/>
        <v>0</v>
      </c>
      <c r="AT87" s="234">
        <f t="shared" si="76"/>
        <v>0</v>
      </c>
      <c r="AU87" s="234">
        <f t="shared" si="76"/>
        <v>0</v>
      </c>
      <c r="AV87" s="234">
        <f t="shared" si="76"/>
        <v>0</v>
      </c>
      <c r="AW87" s="234">
        <f t="shared" si="76"/>
        <v>0</v>
      </c>
      <c r="AX87" s="234">
        <f t="shared" si="76"/>
        <v>0</v>
      </c>
      <c r="AY87" s="234">
        <f t="shared" si="76"/>
        <v>0</v>
      </c>
      <c r="AZ87" s="234">
        <f t="shared" si="76"/>
        <v>1.7006802721088437E-2</v>
      </c>
      <c r="BA87" s="233">
        <f t="shared" si="76"/>
        <v>0.27890503596629473</v>
      </c>
      <c r="BB87" s="234">
        <f t="shared" si="76"/>
        <v>3.4013605442176874E-2</v>
      </c>
      <c r="BC87" s="234">
        <f t="shared" si="76"/>
        <v>0</v>
      </c>
      <c r="BD87" s="237">
        <f t="shared" si="34"/>
        <v>7.6327832942979512E-17</v>
      </c>
    </row>
    <row r="88" spans="2:56" x14ac:dyDescent="0.25">
      <c r="B88" s="223" t="s">
        <v>476</v>
      </c>
      <c r="C88" s="225">
        <f t="shared" ref="C88:AA88" si="77">IF(ABS(C59-C30)&gt;$F$62,C59-C30,0)</f>
        <v>-5598.47559</v>
      </c>
      <c r="D88" s="225">
        <f t="shared" si="77"/>
        <v>10</v>
      </c>
      <c r="E88" s="225">
        <f t="shared" si="77"/>
        <v>5</v>
      </c>
      <c r="F88" s="225">
        <f t="shared" si="77"/>
        <v>0</v>
      </c>
      <c r="G88" s="225">
        <f t="shared" si="77"/>
        <v>5</v>
      </c>
      <c r="H88" s="225">
        <f t="shared" si="77"/>
        <v>25</v>
      </c>
      <c r="I88" s="225">
        <f t="shared" si="77"/>
        <v>5</v>
      </c>
      <c r="J88" s="225">
        <f t="shared" si="77"/>
        <v>-1014.65667</v>
      </c>
      <c r="K88" s="225">
        <f t="shared" si="77"/>
        <v>0</v>
      </c>
      <c r="L88" s="225">
        <f t="shared" si="77"/>
        <v>0</v>
      </c>
      <c r="M88" s="225">
        <f t="shared" si="77"/>
        <v>0</v>
      </c>
      <c r="N88" s="225">
        <f t="shared" si="77"/>
        <v>25</v>
      </c>
      <c r="O88" s="225">
        <f t="shared" si="77"/>
        <v>103.04614000000004</v>
      </c>
      <c r="P88" s="225">
        <f t="shared" si="77"/>
        <v>0</v>
      </c>
      <c r="Q88" s="225">
        <f t="shared" si="77"/>
        <v>0</v>
      </c>
      <c r="R88" s="225">
        <f t="shared" si="77"/>
        <v>0</v>
      </c>
      <c r="S88" s="225">
        <f t="shared" si="77"/>
        <v>0</v>
      </c>
      <c r="T88" s="225">
        <f t="shared" si="77"/>
        <v>0</v>
      </c>
      <c r="U88" s="225">
        <f t="shared" si="77"/>
        <v>0</v>
      </c>
      <c r="V88" s="225">
        <f t="shared" si="77"/>
        <v>0</v>
      </c>
      <c r="W88" s="225">
        <f t="shared" si="77"/>
        <v>0</v>
      </c>
      <c r="X88" s="225">
        <f t="shared" si="77"/>
        <v>0</v>
      </c>
      <c r="Y88" s="225">
        <f t="shared" si="77"/>
        <v>155</v>
      </c>
      <c r="Z88" s="227">
        <f t="shared" si="77"/>
        <v>-2338.2540300000001</v>
      </c>
      <c r="AA88" s="228">
        <f t="shared" si="77"/>
        <v>-332.35026999999997</v>
      </c>
      <c r="AB88" s="226">
        <f t="shared" si="32"/>
        <v>-8950.6904200000008</v>
      </c>
      <c r="AD88" s="223" t="s">
        <v>476</v>
      </c>
      <c r="AE88" s="234">
        <f t="shared" ref="AE88:BC88" si="78">AE59-AE30</f>
        <v>-0.27574312836773074</v>
      </c>
      <c r="AF88" s="234">
        <f t="shared" si="78"/>
        <v>2.5062656641604009E-3</v>
      </c>
      <c r="AG88" s="234">
        <f t="shared" si="78"/>
        <v>1.2531328320802004E-3</v>
      </c>
      <c r="AH88" s="234">
        <f t="shared" si="78"/>
        <v>0</v>
      </c>
      <c r="AI88" s="234">
        <f t="shared" si="78"/>
        <v>1.2531328320802004E-3</v>
      </c>
      <c r="AJ88" s="234">
        <f t="shared" si="78"/>
        <v>6.2656641604010022E-3</v>
      </c>
      <c r="AK88" s="234">
        <f t="shared" si="78"/>
        <v>1.2531328320802004E-3</v>
      </c>
      <c r="AL88" s="234">
        <f t="shared" si="78"/>
        <v>-7.7541478344469367E-2</v>
      </c>
      <c r="AM88" s="234">
        <f t="shared" si="78"/>
        <v>0</v>
      </c>
      <c r="AN88" s="234">
        <f t="shared" si="78"/>
        <v>0</v>
      </c>
      <c r="AO88" s="234">
        <f t="shared" si="78"/>
        <v>0</v>
      </c>
      <c r="AP88" s="234">
        <f t="shared" si="78"/>
        <v>6.2656641604010022E-3</v>
      </c>
      <c r="AQ88" s="234">
        <f t="shared" si="78"/>
        <v>0.13277562983788863</v>
      </c>
      <c r="AR88" s="234">
        <f t="shared" si="78"/>
        <v>0</v>
      </c>
      <c r="AS88" s="234">
        <f t="shared" si="78"/>
        <v>0</v>
      </c>
      <c r="AT88" s="234">
        <f t="shared" si="78"/>
        <v>0</v>
      </c>
      <c r="AU88" s="234">
        <f t="shared" si="78"/>
        <v>0</v>
      </c>
      <c r="AV88" s="234">
        <f t="shared" si="78"/>
        <v>0</v>
      </c>
      <c r="AW88" s="234">
        <f t="shared" si="78"/>
        <v>0</v>
      </c>
      <c r="AX88" s="234">
        <f t="shared" si="78"/>
        <v>0</v>
      </c>
      <c r="AY88" s="234">
        <f t="shared" si="78"/>
        <v>0</v>
      </c>
      <c r="AZ88" s="234">
        <f t="shared" si="78"/>
        <v>0</v>
      </c>
      <c r="BA88" s="234">
        <f t="shared" si="78"/>
        <v>3.8847117794486213E-2</v>
      </c>
      <c r="BB88" s="235">
        <f t="shared" si="78"/>
        <v>0.18854744296922676</v>
      </c>
      <c r="BC88" s="236">
        <f t="shared" si="78"/>
        <v>-2.5682576370604494E-2</v>
      </c>
      <c r="BD88" s="237">
        <f t="shared" si="34"/>
        <v>-4.5102810375396984E-17</v>
      </c>
    </row>
    <row r="89" spans="2:56" x14ac:dyDescent="0.25">
      <c r="B89" s="223" t="s">
        <v>477</v>
      </c>
      <c r="C89" s="225">
        <f t="shared" ref="C89:AA89" si="79">IF(ABS(C60-C31)&gt;$F$62,C60-C31,0)</f>
        <v>-9698.6309999999994</v>
      </c>
      <c r="D89" s="225">
        <f t="shared" si="79"/>
        <v>10</v>
      </c>
      <c r="E89" s="225">
        <f t="shared" si="79"/>
        <v>10</v>
      </c>
      <c r="F89" s="225">
        <f t="shared" si="79"/>
        <v>5</v>
      </c>
      <c r="G89" s="225">
        <f t="shared" si="79"/>
        <v>0</v>
      </c>
      <c r="H89" s="225">
        <f t="shared" si="79"/>
        <v>5</v>
      </c>
      <c r="I89" s="225">
        <f t="shared" si="79"/>
        <v>5</v>
      </c>
      <c r="J89" s="225">
        <f t="shared" si="79"/>
        <v>15</v>
      </c>
      <c r="K89" s="225">
        <f t="shared" si="79"/>
        <v>0</v>
      </c>
      <c r="L89" s="225">
        <f t="shared" si="79"/>
        <v>0</v>
      </c>
      <c r="M89" s="225">
        <f t="shared" si="79"/>
        <v>0</v>
      </c>
      <c r="N89" s="225">
        <f t="shared" si="79"/>
        <v>-1104.78442</v>
      </c>
      <c r="O89" s="225">
        <f t="shared" si="79"/>
        <v>-536.18448000000001</v>
      </c>
      <c r="P89" s="225">
        <f t="shared" si="79"/>
        <v>-76.172809999999998</v>
      </c>
      <c r="Q89" s="225">
        <f t="shared" si="79"/>
        <v>-1589.8379500000001</v>
      </c>
      <c r="R89" s="225">
        <f t="shared" si="79"/>
        <v>0</v>
      </c>
      <c r="S89" s="225">
        <f t="shared" si="79"/>
        <v>0</v>
      </c>
      <c r="T89" s="225">
        <f t="shared" si="79"/>
        <v>0</v>
      </c>
      <c r="U89" s="225">
        <f t="shared" si="79"/>
        <v>0</v>
      </c>
      <c r="V89" s="225">
        <f t="shared" si="79"/>
        <v>0</v>
      </c>
      <c r="W89" s="225">
        <f t="shared" si="79"/>
        <v>0</v>
      </c>
      <c r="X89" s="225">
        <f t="shared" si="79"/>
        <v>0</v>
      </c>
      <c r="Y89" s="225">
        <f t="shared" si="79"/>
        <v>0</v>
      </c>
      <c r="Z89" s="228">
        <f t="shared" si="79"/>
        <v>-415.61423000000002</v>
      </c>
      <c r="AA89" s="227">
        <f t="shared" si="79"/>
        <v>-2818.9841900000001</v>
      </c>
      <c r="AB89" s="226">
        <f t="shared" si="32"/>
        <v>-16190.209079999997</v>
      </c>
      <c r="AD89" s="223" t="s">
        <v>477</v>
      </c>
      <c r="AE89" s="234">
        <f t="shared" ref="AE89:BC89" si="80">AE60-AE31</f>
        <v>-0.17237889779218296</v>
      </c>
      <c r="AF89" s="234">
        <f t="shared" si="80"/>
        <v>2.7624309392265192E-3</v>
      </c>
      <c r="AG89" s="234">
        <f t="shared" si="80"/>
        <v>2.7624309392265192E-3</v>
      </c>
      <c r="AH89" s="234">
        <f t="shared" si="80"/>
        <v>1.3812154696132596E-3</v>
      </c>
      <c r="AI89" s="234">
        <f t="shared" si="80"/>
        <v>0</v>
      </c>
      <c r="AJ89" s="234">
        <f t="shared" si="80"/>
        <v>1.3812154696132596E-3</v>
      </c>
      <c r="AK89" s="234">
        <f t="shared" si="80"/>
        <v>1.3812154696132596E-3</v>
      </c>
      <c r="AL89" s="234">
        <f t="shared" si="80"/>
        <v>4.1436464088397788E-3</v>
      </c>
      <c r="AM89" s="234">
        <f t="shared" si="80"/>
        <v>0</v>
      </c>
      <c r="AN89" s="234">
        <f t="shared" si="80"/>
        <v>0</v>
      </c>
      <c r="AO89" s="234">
        <f t="shared" si="80"/>
        <v>0</v>
      </c>
      <c r="AP89" s="234">
        <f t="shared" si="80"/>
        <v>-5.5768438159260462E-2</v>
      </c>
      <c r="AQ89" s="234">
        <f t="shared" si="80"/>
        <v>-1.803550586753563E-2</v>
      </c>
      <c r="AR89" s="234">
        <f t="shared" si="80"/>
        <v>2.6633020544292237E-2</v>
      </c>
      <c r="AS89" s="234">
        <f t="shared" si="80"/>
        <v>-7.7995825752529724E-2</v>
      </c>
      <c r="AT89" s="234">
        <f t="shared" si="80"/>
        <v>0</v>
      </c>
      <c r="AU89" s="234">
        <f t="shared" si="80"/>
        <v>0</v>
      </c>
      <c r="AV89" s="234">
        <f t="shared" si="80"/>
        <v>0</v>
      </c>
      <c r="AW89" s="234">
        <f t="shared" si="80"/>
        <v>0</v>
      </c>
      <c r="AX89" s="234">
        <f t="shared" si="80"/>
        <v>0</v>
      </c>
      <c r="AY89" s="234">
        <f t="shared" si="80"/>
        <v>0</v>
      </c>
      <c r="AZ89" s="234">
        <f t="shared" si="80"/>
        <v>0</v>
      </c>
      <c r="BA89" s="234">
        <f t="shared" si="80"/>
        <v>0</v>
      </c>
      <c r="BB89" s="236">
        <f t="shared" si="80"/>
        <v>-2.0979800279826228E-2</v>
      </c>
      <c r="BC89" s="235">
        <f t="shared" si="80"/>
        <v>0.30471329261091007</v>
      </c>
      <c r="BD89" s="237">
        <f t="shared" si="34"/>
        <v>0</v>
      </c>
    </row>
    <row r="90" spans="2:56" x14ac:dyDescent="0.25">
      <c r="B90" s="229" t="s">
        <v>29</v>
      </c>
      <c r="C90" s="230">
        <f>SUM(C65:C89)</f>
        <v>-115086.47068999997</v>
      </c>
      <c r="D90" s="230">
        <f t="shared" ref="D90:AA90" si="81">SUM(D65:D89)</f>
        <v>-196022.07473999995</v>
      </c>
      <c r="E90" s="230">
        <f t="shared" si="81"/>
        <v>-23328.464259999993</v>
      </c>
      <c r="F90" s="230">
        <f t="shared" si="81"/>
        <v>-1681.257000000001</v>
      </c>
      <c r="G90" s="230">
        <f t="shared" si="81"/>
        <v>-19561.390020000003</v>
      </c>
      <c r="H90" s="230">
        <f t="shared" si="81"/>
        <v>-25302.644199999995</v>
      </c>
      <c r="I90" s="230">
        <f t="shared" si="81"/>
        <v>-16612.479219999997</v>
      </c>
      <c r="J90" s="230">
        <f t="shared" si="81"/>
        <v>-83571.936090000003</v>
      </c>
      <c r="K90" s="230">
        <f t="shared" si="81"/>
        <v>-18716.682919999999</v>
      </c>
      <c r="L90" s="230">
        <f t="shared" si="81"/>
        <v>-15433.917050000004</v>
      </c>
      <c r="M90" s="230">
        <f t="shared" si="81"/>
        <v>-22321.587079999998</v>
      </c>
      <c r="N90" s="230">
        <f t="shared" si="81"/>
        <v>-17607.638489999998</v>
      </c>
      <c r="O90" s="230">
        <f t="shared" si="81"/>
        <v>-47679.661080000005</v>
      </c>
      <c r="P90" s="230">
        <f t="shared" si="81"/>
        <v>-14071.705030000001</v>
      </c>
      <c r="Q90" s="230">
        <f t="shared" si="81"/>
        <v>-15620.164659999999</v>
      </c>
      <c r="R90" s="230">
        <f t="shared" si="81"/>
        <v>15</v>
      </c>
      <c r="S90" s="230">
        <f t="shared" si="81"/>
        <v>0</v>
      </c>
      <c r="T90" s="230">
        <f t="shared" si="81"/>
        <v>-2510.1819500000001</v>
      </c>
      <c r="U90" s="230">
        <f t="shared" si="81"/>
        <v>40</v>
      </c>
      <c r="V90" s="230">
        <f t="shared" si="81"/>
        <v>-39088.96845</v>
      </c>
      <c r="W90" s="230">
        <f t="shared" si="81"/>
        <v>-16792.358450000003</v>
      </c>
      <c r="X90" s="230">
        <f t="shared" si="81"/>
        <v>760.92683999999986</v>
      </c>
      <c r="Y90" s="230">
        <f t="shared" si="81"/>
        <v>-6530.9467799999993</v>
      </c>
      <c r="Z90" s="230">
        <f t="shared" si="81"/>
        <v>-11957.451289999999</v>
      </c>
      <c r="AA90" s="230">
        <f t="shared" si="81"/>
        <v>-18983.990350000004</v>
      </c>
      <c r="AB90" s="231">
        <f>SUM(AB65:AB89)</f>
        <v>-727666.04295999999</v>
      </c>
      <c r="AD90" s="229" t="s">
        <v>29</v>
      </c>
      <c r="AE90" s="238">
        <f t="shared" ref="AE90:BC90" si="82">AE61-AE32</f>
        <v>0.19957568295719158</v>
      </c>
      <c r="AF90" s="238">
        <f t="shared" si="82"/>
        <v>-6.6562052388953866E-2</v>
      </c>
      <c r="AG90" s="238">
        <f t="shared" si="82"/>
        <v>8.7256102925455312E-3</v>
      </c>
      <c r="AH90" s="238">
        <f t="shared" si="82"/>
        <v>9.9212096142712661E-3</v>
      </c>
      <c r="AI90" s="238">
        <f t="shared" si="82"/>
        <v>1.8649113542357071E-3</v>
      </c>
      <c r="AJ90" s="238">
        <f t="shared" si="82"/>
        <v>-5.6213361907835428E-3</v>
      </c>
      <c r="AK90" s="238">
        <f t="shared" si="82"/>
        <v>5.9841642059860027E-3</v>
      </c>
      <c r="AL90" s="238">
        <f t="shared" si="82"/>
        <v>-2.2873015282902573E-2</v>
      </c>
      <c r="AM90" s="238">
        <f t="shared" si="82"/>
        <v>-9.8090065961908834E-3</v>
      </c>
      <c r="AN90" s="238">
        <f t="shared" si="82"/>
        <v>-8.2021236175398166E-3</v>
      </c>
      <c r="AO90" s="238">
        <f t="shared" si="82"/>
        <v>-1.2333730865443638E-2</v>
      </c>
      <c r="AP90" s="238">
        <f t="shared" si="82"/>
        <v>-8.7115647242580856E-3</v>
      </c>
      <c r="AQ90" s="238">
        <f t="shared" si="82"/>
        <v>-2.5908080964202416E-2</v>
      </c>
      <c r="AR90" s="238">
        <f t="shared" si="82"/>
        <v>-6.6572058532831449E-3</v>
      </c>
      <c r="AS90" s="238">
        <f t="shared" si="82"/>
        <v>-8.6498632614420978E-3</v>
      </c>
      <c r="AT90" s="238">
        <f t="shared" si="82"/>
        <v>1.6334442260469017E-5</v>
      </c>
      <c r="AU90" s="238">
        <f t="shared" si="82"/>
        <v>0</v>
      </c>
      <c r="AV90" s="238">
        <f t="shared" si="82"/>
        <v>-1.3204432860425797E-3</v>
      </c>
      <c r="AW90" s="238">
        <f t="shared" si="82"/>
        <v>4.3558512694584045E-5</v>
      </c>
      <c r="AX90" s="238">
        <f t="shared" si="82"/>
        <v>-2.2414742413512496E-2</v>
      </c>
      <c r="AY90" s="238">
        <f t="shared" si="82"/>
        <v>-8.290866044895432E-3</v>
      </c>
      <c r="AZ90" s="238">
        <f t="shared" si="82"/>
        <v>1.4516120731511157E-3</v>
      </c>
      <c r="BA90" s="238">
        <f t="shared" si="82"/>
        <v>-3.6188096314942919E-3</v>
      </c>
      <c r="BB90" s="238">
        <f t="shared" si="82"/>
        <v>-6.111681189754822E-3</v>
      </c>
      <c r="BC90" s="238">
        <f t="shared" si="82"/>
        <v>-1.049856114163672E-2</v>
      </c>
      <c r="BD90" s="239">
        <f t="shared" si="34"/>
        <v>-1.3010426069826053E-16</v>
      </c>
    </row>
    <row r="91" spans="2:56" ht="23.25" x14ac:dyDescent="0.35">
      <c r="B91" s="232" t="s">
        <v>515</v>
      </c>
    </row>
    <row r="92" spans="2:56" ht="18.75" x14ac:dyDescent="0.3">
      <c r="B92" s="373" t="s">
        <v>454</v>
      </c>
      <c r="C92" s="375" t="s">
        <v>455</v>
      </c>
      <c r="D92" s="375"/>
      <c r="E92" s="375"/>
      <c r="F92" s="375"/>
      <c r="G92" s="375"/>
      <c r="H92" s="375"/>
      <c r="I92" s="375"/>
      <c r="J92" s="375"/>
      <c r="K92" s="375"/>
      <c r="L92" s="375"/>
      <c r="M92" s="375"/>
      <c r="N92" s="375"/>
      <c r="O92" s="375"/>
      <c r="P92" s="375"/>
      <c r="Q92" s="375"/>
      <c r="R92" s="375"/>
      <c r="S92" s="375"/>
      <c r="T92" s="375"/>
      <c r="U92" s="375"/>
      <c r="V92" s="376"/>
      <c r="W92" s="376"/>
      <c r="X92" s="376"/>
      <c r="Y92" s="376"/>
      <c r="Z92" s="379"/>
      <c r="AA92" s="257"/>
      <c r="AB92" s="377" t="s">
        <v>29</v>
      </c>
    </row>
    <row r="93" spans="2:56" x14ac:dyDescent="0.25">
      <c r="B93" s="374"/>
      <c r="C93" s="220">
        <v>1</v>
      </c>
      <c r="D93" s="220" t="s">
        <v>456</v>
      </c>
      <c r="E93" s="220" t="s">
        <v>457</v>
      </c>
      <c r="F93" s="220" t="s">
        <v>458</v>
      </c>
      <c r="G93" s="220" t="s">
        <v>47</v>
      </c>
      <c r="H93" s="220" t="s">
        <v>459</v>
      </c>
      <c r="I93" s="220" t="s">
        <v>460</v>
      </c>
      <c r="J93" s="220" t="s">
        <v>49</v>
      </c>
      <c r="K93" s="220" t="s">
        <v>461</v>
      </c>
      <c r="L93" s="220" t="s">
        <v>462</v>
      </c>
      <c r="M93" s="220" t="s">
        <v>463</v>
      </c>
      <c r="N93" s="220" t="s">
        <v>464</v>
      </c>
      <c r="O93" s="220" t="s">
        <v>465</v>
      </c>
      <c r="P93" s="220" t="s">
        <v>466</v>
      </c>
      <c r="Q93" s="220" t="s">
        <v>467</v>
      </c>
      <c r="R93" s="220" t="s">
        <v>468</v>
      </c>
      <c r="S93" s="220" t="s">
        <v>469</v>
      </c>
      <c r="T93" s="220" t="s">
        <v>470</v>
      </c>
      <c r="U93" s="220" t="s">
        <v>471</v>
      </c>
      <c r="V93" s="221" t="s">
        <v>472</v>
      </c>
      <c r="W93" s="220" t="s">
        <v>473</v>
      </c>
      <c r="X93" s="220" t="s">
        <v>474</v>
      </c>
      <c r="Y93" s="220" t="s">
        <v>475</v>
      </c>
      <c r="Z93" s="222" t="s">
        <v>476</v>
      </c>
      <c r="AA93" s="222" t="s">
        <v>477</v>
      </c>
      <c r="AB93" s="378"/>
    </row>
    <row r="94" spans="2:56" x14ac:dyDescent="0.25">
      <c r="B94" s="223">
        <v>1</v>
      </c>
      <c r="C94" s="267">
        <f>IF(C7&gt;0,C65/C7,"")</f>
        <v>0.34058689957066618</v>
      </c>
      <c r="D94" s="268">
        <f t="shared" ref="D94:AB94" si="83">IF(D7&gt;0,D65/D7,"")</f>
        <v>-0.76318766948609762</v>
      </c>
      <c r="E94" s="268">
        <f t="shared" si="83"/>
        <v>-0.56923983257227162</v>
      </c>
      <c r="F94" s="268">
        <f t="shared" si="83"/>
        <v>5.6159619050231369E-2</v>
      </c>
      <c r="G94" s="268">
        <f t="shared" si="83"/>
        <v>-0.62626872625983587</v>
      </c>
      <c r="H94" s="268">
        <f t="shared" si="83"/>
        <v>-0.58613300742876595</v>
      </c>
      <c r="I94" s="268">
        <f t="shared" si="83"/>
        <v>-0.54520376406761861</v>
      </c>
      <c r="J94" s="268">
        <f t="shared" si="83"/>
        <v>-0.72913246006469379</v>
      </c>
      <c r="K94" s="268">
        <f t="shared" si="83"/>
        <v>-0.98562811077147039</v>
      </c>
      <c r="L94" s="268">
        <f t="shared" si="83"/>
        <v>-0.99183248906167532</v>
      </c>
      <c r="M94" s="268">
        <f t="shared" si="83"/>
        <v>-0.99387555921227677</v>
      </c>
      <c r="N94" s="268">
        <f t="shared" si="83"/>
        <v>-0.97326323299472794</v>
      </c>
      <c r="O94" s="268">
        <f t="shared" si="83"/>
        <v>-0.99386798892935369</v>
      </c>
      <c r="P94" s="268">
        <f t="shared" si="83"/>
        <v>-0.98036688320683574</v>
      </c>
      <c r="Q94" s="268">
        <f t="shared" si="83"/>
        <v>-0.99003009011324583</v>
      </c>
      <c r="R94" s="268" t="str">
        <f t="shared" si="83"/>
        <v/>
      </c>
      <c r="S94" s="268" t="str">
        <f t="shared" si="83"/>
        <v/>
      </c>
      <c r="T94" s="268">
        <f t="shared" si="83"/>
        <v>-0.89284385549522427</v>
      </c>
      <c r="U94" s="268" t="str">
        <f t="shared" si="83"/>
        <v/>
      </c>
      <c r="V94" s="268">
        <f t="shared" si="83"/>
        <v>-0.99890674500952914</v>
      </c>
      <c r="W94" s="268">
        <f t="shared" si="83"/>
        <v>-0.99602472919405438</v>
      </c>
      <c r="X94" s="268">
        <f t="shared" si="83"/>
        <v>-1</v>
      </c>
      <c r="Y94" s="268">
        <f t="shared" si="83"/>
        <v>-1</v>
      </c>
      <c r="Z94" s="268">
        <f t="shared" si="83"/>
        <v>-0.99729549104713622</v>
      </c>
      <c r="AA94" s="268">
        <f t="shared" si="83"/>
        <v>-0.998855201390346</v>
      </c>
      <c r="AB94" s="269">
        <f t="shared" si="83"/>
        <v>-0.54784276188382142</v>
      </c>
    </row>
    <row r="95" spans="2:56" x14ac:dyDescent="0.25">
      <c r="B95" s="223" t="s">
        <v>456</v>
      </c>
      <c r="C95" s="268">
        <f t="shared" ref="C95:AB95" si="84">IF(C8&gt;0,C66/C8,"")</f>
        <v>-0.36228660325142586</v>
      </c>
      <c r="D95" s="267">
        <f t="shared" si="84"/>
        <v>-0.55455847496303134</v>
      </c>
      <c r="E95" s="268">
        <f t="shared" si="84"/>
        <v>0.20775959080158224</v>
      </c>
      <c r="F95" s="268">
        <f t="shared" si="84"/>
        <v>1.2414705811421221</v>
      </c>
      <c r="G95" s="268">
        <f t="shared" si="84"/>
        <v>0.59045722273384293</v>
      </c>
      <c r="H95" s="268">
        <f t="shared" si="84"/>
        <v>-0.82341775214147839</v>
      </c>
      <c r="I95" s="268">
        <f t="shared" si="84"/>
        <v>-8.8483016495626843E-2</v>
      </c>
      <c r="J95" s="268">
        <f t="shared" si="84"/>
        <v>-0.71364631111968846</v>
      </c>
      <c r="K95" s="268">
        <f t="shared" si="84"/>
        <v>-0.1479116712732973</v>
      </c>
      <c r="L95" s="268">
        <f t="shared" si="84"/>
        <v>-0.40548212070710526</v>
      </c>
      <c r="M95" s="268" t="str">
        <f t="shared" si="84"/>
        <v/>
      </c>
      <c r="N95" s="268">
        <f t="shared" si="84"/>
        <v>-0.99443304631295371</v>
      </c>
      <c r="O95" s="268">
        <f t="shared" si="84"/>
        <v>2.3159049369845426</v>
      </c>
      <c r="P95" s="268" t="str">
        <f t="shared" si="84"/>
        <v/>
      </c>
      <c r="Q95" s="268" t="str">
        <f t="shared" si="84"/>
        <v/>
      </c>
      <c r="R95" s="268" t="str">
        <f t="shared" si="84"/>
        <v/>
      </c>
      <c r="S95" s="268" t="str">
        <f t="shared" si="84"/>
        <v/>
      </c>
      <c r="T95" s="268">
        <f t="shared" si="84"/>
        <v>-1</v>
      </c>
      <c r="U95" s="268" t="str">
        <f t="shared" si="84"/>
        <v/>
      </c>
      <c r="V95" s="268">
        <f t="shared" si="84"/>
        <v>-0.97550787693006957</v>
      </c>
      <c r="W95" s="268">
        <f t="shared" si="84"/>
        <v>-0.89871872570979638</v>
      </c>
      <c r="X95" s="268" t="str">
        <f t="shared" si="84"/>
        <v/>
      </c>
      <c r="Y95" s="268" t="str">
        <f t="shared" si="84"/>
        <v/>
      </c>
      <c r="Z95" s="268" t="str">
        <f t="shared" si="84"/>
        <v/>
      </c>
      <c r="AA95" s="268" t="str">
        <f t="shared" si="84"/>
        <v/>
      </c>
      <c r="AB95" s="269">
        <f t="shared" si="84"/>
        <v>-0.42914540875371615</v>
      </c>
    </row>
    <row r="96" spans="2:56" x14ac:dyDescent="0.25">
      <c r="B96" s="223" t="s">
        <v>457</v>
      </c>
      <c r="C96" s="268">
        <f t="shared" ref="C96:AB96" si="85">IF(C9&gt;0,C67/C9,"")</f>
        <v>0.19529991195916999</v>
      </c>
      <c r="D96" s="268">
        <f t="shared" si="85"/>
        <v>3.1880577826423916E-2</v>
      </c>
      <c r="E96" s="267">
        <f t="shared" si="85"/>
        <v>0.10585147685723129</v>
      </c>
      <c r="F96" s="268">
        <f t="shared" si="85"/>
        <v>-0.35581259987544822</v>
      </c>
      <c r="G96" s="268">
        <f t="shared" si="85"/>
        <v>-0.25819864580413898</v>
      </c>
      <c r="H96" s="268">
        <f t="shared" si="85"/>
        <v>-9.7947218094059693E-2</v>
      </c>
      <c r="I96" s="268">
        <f t="shared" si="85"/>
        <v>-0.70177058090366895</v>
      </c>
      <c r="J96" s="268">
        <f t="shared" si="85"/>
        <v>-7.2315464748120242E-2</v>
      </c>
      <c r="K96" s="268" t="str">
        <f t="shared" si="85"/>
        <v/>
      </c>
      <c r="L96" s="268" t="str">
        <f t="shared" si="85"/>
        <v/>
      </c>
      <c r="M96" s="268">
        <f t="shared" si="85"/>
        <v>-0.94063027748866734</v>
      </c>
      <c r="N96" s="268" t="str">
        <f t="shared" si="85"/>
        <v/>
      </c>
      <c r="O96" s="268" t="str">
        <f t="shared" si="85"/>
        <v/>
      </c>
      <c r="P96" s="268" t="str">
        <f t="shared" si="85"/>
        <v/>
      </c>
      <c r="Q96" s="268" t="str">
        <f t="shared" si="85"/>
        <v/>
      </c>
      <c r="R96" s="268" t="str">
        <f t="shared" si="85"/>
        <v/>
      </c>
      <c r="S96" s="268" t="str">
        <f t="shared" si="85"/>
        <v/>
      </c>
      <c r="T96" s="268">
        <f t="shared" si="85"/>
        <v>-1</v>
      </c>
      <c r="U96" s="268" t="str">
        <f t="shared" si="85"/>
        <v/>
      </c>
      <c r="V96" s="268">
        <f t="shared" si="85"/>
        <v>-0.95913736902007196</v>
      </c>
      <c r="W96" s="268" t="str">
        <f t="shared" si="85"/>
        <v/>
      </c>
      <c r="X96" s="268" t="str">
        <f t="shared" si="85"/>
        <v/>
      </c>
      <c r="Y96" s="268" t="str">
        <f t="shared" si="85"/>
        <v/>
      </c>
      <c r="Z96" s="268" t="str">
        <f t="shared" si="85"/>
        <v/>
      </c>
      <c r="AA96" s="268" t="str">
        <f t="shared" si="85"/>
        <v/>
      </c>
      <c r="AB96" s="269">
        <f t="shared" si="85"/>
        <v>4.8442817484763189E-3</v>
      </c>
    </row>
    <row r="97" spans="2:28" x14ac:dyDescent="0.25">
      <c r="B97" s="223" t="s">
        <v>458</v>
      </c>
      <c r="C97" s="268">
        <f t="shared" ref="C97:AB97" si="86">IF(C10&gt;0,C68/C10,"")</f>
        <v>1.15274534565761</v>
      </c>
      <c r="D97" s="268">
        <f t="shared" si="86"/>
        <v>0.22185398149643923</v>
      </c>
      <c r="E97" s="268">
        <f t="shared" si="86"/>
        <v>-0.34473702799302208</v>
      </c>
      <c r="F97" s="267">
        <f t="shared" si="86"/>
        <v>-0.18681256016868697</v>
      </c>
      <c r="G97" s="268">
        <f t="shared" si="86"/>
        <v>-0.18655192487555183</v>
      </c>
      <c r="H97" s="268" t="str">
        <f t="shared" si="86"/>
        <v/>
      </c>
      <c r="I97" s="268" t="str">
        <f t="shared" si="86"/>
        <v/>
      </c>
      <c r="J97" s="268">
        <f t="shared" si="86"/>
        <v>-0.77234491384668846</v>
      </c>
      <c r="K97" s="268" t="str">
        <f t="shared" si="86"/>
        <v/>
      </c>
      <c r="L97" s="268">
        <f t="shared" si="86"/>
        <v>-0.99342426595919309</v>
      </c>
      <c r="M97" s="268" t="str">
        <f t="shared" si="86"/>
        <v/>
      </c>
      <c r="N97" s="268">
        <f t="shared" si="86"/>
        <v>-9.5314822642710142E-2</v>
      </c>
      <c r="O97" s="268">
        <f t="shared" si="86"/>
        <v>-0.91716598321699982</v>
      </c>
      <c r="P97" s="268">
        <f t="shared" si="86"/>
        <v>-0.9385229297791281</v>
      </c>
      <c r="Q97" s="268" t="str">
        <f t="shared" si="86"/>
        <v/>
      </c>
      <c r="R97" s="268" t="str">
        <f t="shared" si="86"/>
        <v/>
      </c>
      <c r="S97" s="268" t="str">
        <f t="shared" si="86"/>
        <v/>
      </c>
      <c r="T97" s="268" t="str">
        <f t="shared" si="86"/>
        <v/>
      </c>
      <c r="U97" s="268" t="str">
        <f t="shared" si="86"/>
        <v/>
      </c>
      <c r="V97" s="268">
        <f t="shared" si="86"/>
        <v>-1</v>
      </c>
      <c r="W97" s="268" t="str">
        <f t="shared" si="86"/>
        <v/>
      </c>
      <c r="X97" s="268">
        <f t="shared" si="86"/>
        <v>-1</v>
      </c>
      <c r="Y97" s="268" t="str">
        <f t="shared" si="86"/>
        <v/>
      </c>
      <c r="Z97" s="268" t="str">
        <f t="shared" si="86"/>
        <v/>
      </c>
      <c r="AA97" s="268" t="str">
        <f t="shared" si="86"/>
        <v/>
      </c>
      <c r="AB97" s="269">
        <f t="shared" si="86"/>
        <v>0.15814599099849141</v>
      </c>
    </row>
    <row r="98" spans="2:28" x14ac:dyDescent="0.25">
      <c r="B98" s="223" t="s">
        <v>47</v>
      </c>
      <c r="C98" s="268">
        <f t="shared" ref="C98:AB98" si="87">IF(C11&gt;0,C69/C11,"")</f>
        <v>-0.10043857469070268</v>
      </c>
      <c r="D98" s="268">
        <f t="shared" si="87"/>
        <v>5.0459984068670929E-2</v>
      </c>
      <c r="E98" s="268">
        <f t="shared" si="87"/>
        <v>-0.57932539850856402</v>
      </c>
      <c r="F98" s="268">
        <f t="shared" si="87"/>
        <v>0.19103873297898685</v>
      </c>
      <c r="G98" s="267">
        <f t="shared" si="87"/>
        <v>-0.16250757329667809</v>
      </c>
      <c r="H98" s="268">
        <f t="shared" si="87"/>
        <v>0.14810986169309442</v>
      </c>
      <c r="I98" s="268">
        <f t="shared" si="87"/>
        <v>32.916545323116473</v>
      </c>
      <c r="J98" s="268">
        <f t="shared" si="87"/>
        <v>-0.86947192760762837</v>
      </c>
      <c r="K98" s="268" t="str">
        <f t="shared" si="87"/>
        <v/>
      </c>
      <c r="L98" s="268" t="str">
        <f t="shared" si="87"/>
        <v/>
      </c>
      <c r="M98" s="268">
        <f t="shared" si="87"/>
        <v>-0.92219683418473708</v>
      </c>
      <c r="N98" s="268">
        <f t="shared" si="87"/>
        <v>-0.26413836553485176</v>
      </c>
      <c r="O98" s="268">
        <f t="shared" si="87"/>
        <v>0.18225060736386345</v>
      </c>
      <c r="P98" s="268">
        <f t="shared" si="87"/>
        <v>-0.79098397897424244</v>
      </c>
      <c r="Q98" s="268" t="str">
        <f t="shared" si="87"/>
        <v/>
      </c>
      <c r="R98" s="268" t="str">
        <f t="shared" si="87"/>
        <v/>
      </c>
      <c r="S98" s="268" t="str">
        <f t="shared" si="87"/>
        <v/>
      </c>
      <c r="T98" s="268" t="str">
        <f t="shared" si="87"/>
        <v/>
      </c>
      <c r="U98" s="268" t="str">
        <f t="shared" si="87"/>
        <v/>
      </c>
      <c r="V98" s="268">
        <f t="shared" si="87"/>
        <v>-1</v>
      </c>
      <c r="W98" s="268" t="str">
        <f t="shared" si="87"/>
        <v/>
      </c>
      <c r="X98" s="268" t="str">
        <f t="shared" si="87"/>
        <v/>
      </c>
      <c r="Y98" s="268" t="str">
        <f t="shared" si="87"/>
        <v/>
      </c>
      <c r="Z98" s="268" t="str">
        <f t="shared" si="87"/>
        <v/>
      </c>
      <c r="AA98" s="268" t="str">
        <f t="shared" si="87"/>
        <v/>
      </c>
      <c r="AB98" s="269">
        <f t="shared" si="87"/>
        <v>-0.20476268585064167</v>
      </c>
    </row>
    <row r="99" spans="2:28" x14ac:dyDescent="0.25">
      <c r="B99" s="223" t="s">
        <v>459</v>
      </c>
      <c r="C99" s="268">
        <f t="shared" ref="C99:AB99" si="88">IF(C12&gt;0,C70/C12,"")</f>
        <v>0.40272516887630805</v>
      </c>
      <c r="D99" s="268">
        <f t="shared" si="88"/>
        <v>-0.67185870220668498</v>
      </c>
      <c r="E99" s="268">
        <f t="shared" si="88"/>
        <v>0.64847496048958775</v>
      </c>
      <c r="F99" s="268" t="str">
        <f t="shared" si="88"/>
        <v/>
      </c>
      <c r="G99" s="268">
        <f t="shared" si="88"/>
        <v>1.2971081000989211</v>
      </c>
      <c r="H99" s="267">
        <f t="shared" si="88"/>
        <v>-0.69390643320371659</v>
      </c>
      <c r="I99" s="268">
        <f t="shared" si="88"/>
        <v>1.5173019003398267</v>
      </c>
      <c r="J99" s="268">
        <f t="shared" si="88"/>
        <v>3.4819264546534603</v>
      </c>
      <c r="K99" s="268" t="str">
        <f t="shared" si="88"/>
        <v/>
      </c>
      <c r="L99" s="268" t="str">
        <f t="shared" si="88"/>
        <v/>
      </c>
      <c r="M99" s="268" t="str">
        <f t="shared" si="88"/>
        <v/>
      </c>
      <c r="N99" s="268" t="str">
        <f t="shared" si="88"/>
        <v/>
      </c>
      <c r="O99" s="268" t="str">
        <f t="shared" si="88"/>
        <v/>
      </c>
      <c r="P99" s="268">
        <f t="shared" si="88"/>
        <v>-0.89353345312746391</v>
      </c>
      <c r="Q99" s="268" t="str">
        <f t="shared" si="88"/>
        <v/>
      </c>
      <c r="R99" s="268" t="str">
        <f t="shared" si="88"/>
        <v/>
      </c>
      <c r="S99" s="268" t="str">
        <f t="shared" si="88"/>
        <v/>
      </c>
      <c r="T99" s="268" t="str">
        <f t="shared" si="88"/>
        <v/>
      </c>
      <c r="U99" s="268" t="str">
        <f t="shared" si="88"/>
        <v/>
      </c>
      <c r="V99" s="268" t="str">
        <f t="shared" si="88"/>
        <v/>
      </c>
      <c r="W99" s="268" t="str">
        <f t="shared" si="88"/>
        <v/>
      </c>
      <c r="X99" s="268" t="str">
        <f t="shared" si="88"/>
        <v/>
      </c>
      <c r="Y99" s="268" t="str">
        <f t="shared" si="88"/>
        <v/>
      </c>
      <c r="Z99" s="268" t="str">
        <f t="shared" si="88"/>
        <v/>
      </c>
      <c r="AA99" s="268" t="str">
        <f t="shared" si="88"/>
        <v/>
      </c>
      <c r="AB99" s="269">
        <f t="shared" si="88"/>
        <v>-7.2597764261830899E-2</v>
      </c>
    </row>
    <row r="100" spans="2:28" x14ac:dyDescent="0.25">
      <c r="B100" s="223" t="s">
        <v>460</v>
      </c>
      <c r="C100" s="268">
        <f t="shared" ref="C100:AB100" si="89">IF(C13&gt;0,C71/C13,"")</f>
        <v>1.1263774194984568</v>
      </c>
      <c r="D100" s="268">
        <f t="shared" si="89"/>
        <v>-6.4393763507054919E-2</v>
      </c>
      <c r="E100" s="268">
        <f t="shared" si="89"/>
        <v>-0.85834954479607029</v>
      </c>
      <c r="F100" s="268" t="str">
        <f t="shared" si="89"/>
        <v/>
      </c>
      <c r="G100" s="268">
        <f t="shared" si="89"/>
        <v>12.990429575735776</v>
      </c>
      <c r="H100" s="268">
        <f t="shared" si="89"/>
        <v>0.14346765629325475</v>
      </c>
      <c r="I100" s="267">
        <f t="shared" si="89"/>
        <v>-0.4231557817715984</v>
      </c>
      <c r="J100" s="268">
        <f t="shared" si="89"/>
        <v>0.40814349116637977</v>
      </c>
      <c r="K100" s="268">
        <f t="shared" si="89"/>
        <v>-1</v>
      </c>
      <c r="L100" s="268">
        <f t="shared" si="89"/>
        <v>-0.95215548167086073</v>
      </c>
      <c r="M100" s="268" t="str">
        <f t="shared" si="89"/>
        <v/>
      </c>
      <c r="N100" s="268" t="str">
        <f t="shared" si="89"/>
        <v/>
      </c>
      <c r="O100" s="268" t="str">
        <f t="shared" si="89"/>
        <v/>
      </c>
      <c r="P100" s="268">
        <f t="shared" si="89"/>
        <v>4.6823472064759599</v>
      </c>
      <c r="Q100" s="268">
        <f t="shared" si="89"/>
        <v>-0.88309732241431149</v>
      </c>
      <c r="R100" s="268" t="str">
        <f t="shared" si="89"/>
        <v/>
      </c>
      <c r="S100" s="268" t="str">
        <f t="shared" si="89"/>
        <v/>
      </c>
      <c r="T100" s="268">
        <f t="shared" si="89"/>
        <v>-0.99409305812765136</v>
      </c>
      <c r="U100" s="268" t="str">
        <f t="shared" si="89"/>
        <v/>
      </c>
      <c r="V100" s="268">
        <f t="shared" si="89"/>
        <v>-1</v>
      </c>
      <c r="W100" s="268" t="str">
        <f t="shared" si="89"/>
        <v/>
      </c>
      <c r="X100" s="268" t="str">
        <f t="shared" si="89"/>
        <v/>
      </c>
      <c r="Y100" s="268" t="str">
        <f t="shared" si="89"/>
        <v/>
      </c>
      <c r="Z100" s="268" t="str">
        <f t="shared" si="89"/>
        <v/>
      </c>
      <c r="AA100" s="268" t="str">
        <f t="shared" si="89"/>
        <v/>
      </c>
      <c r="AB100" s="269">
        <f t="shared" si="89"/>
        <v>0.10524908294752169</v>
      </c>
    </row>
    <row r="101" spans="2:28" x14ac:dyDescent="0.25">
      <c r="B101" s="223" t="s">
        <v>49</v>
      </c>
      <c r="C101" s="268">
        <f t="shared" ref="C101:AB101" si="90">IF(C14&gt;0,C72/C14,"")</f>
        <v>9.3173606336828765E-2</v>
      </c>
      <c r="D101" s="268">
        <f t="shared" si="90"/>
        <v>-0.47583753538944412</v>
      </c>
      <c r="E101" s="268">
        <f t="shared" si="90"/>
        <v>0.97598941475780299</v>
      </c>
      <c r="F101" s="268">
        <f t="shared" si="90"/>
        <v>0.39796986815746166</v>
      </c>
      <c r="G101" s="268">
        <f t="shared" si="90"/>
        <v>-0.72865227015313005</v>
      </c>
      <c r="H101" s="268">
        <f t="shared" si="90"/>
        <v>6.8219399578549211</v>
      </c>
      <c r="I101" s="268">
        <f t="shared" si="90"/>
        <v>1.2532624568982251</v>
      </c>
      <c r="J101" s="267">
        <f t="shared" si="90"/>
        <v>-0.44802661251007797</v>
      </c>
      <c r="K101" s="268">
        <f t="shared" si="90"/>
        <v>-0.97595859310023403</v>
      </c>
      <c r="L101" s="268">
        <f t="shared" si="90"/>
        <v>-0.83590350382120571</v>
      </c>
      <c r="M101" s="268" t="str">
        <f t="shared" si="90"/>
        <v/>
      </c>
      <c r="N101" s="268">
        <f t="shared" si="90"/>
        <v>-0.91678020759044065</v>
      </c>
      <c r="O101" s="268">
        <f t="shared" si="90"/>
        <v>-0.89466632952869873</v>
      </c>
      <c r="P101" s="268">
        <f t="shared" si="90"/>
        <v>4.0017411905534122</v>
      </c>
      <c r="Q101" s="268">
        <f t="shared" si="90"/>
        <v>-0.88527747088320963</v>
      </c>
      <c r="R101" s="268" t="str">
        <f t="shared" si="90"/>
        <v/>
      </c>
      <c r="S101" s="268" t="str">
        <f t="shared" si="90"/>
        <v/>
      </c>
      <c r="T101" s="268">
        <f t="shared" si="90"/>
        <v>-0.26861544352622263</v>
      </c>
      <c r="U101" s="268" t="str">
        <f t="shared" si="90"/>
        <v/>
      </c>
      <c r="V101" s="268" t="str">
        <f t="shared" si="90"/>
        <v/>
      </c>
      <c r="W101" s="268" t="str">
        <f t="shared" si="90"/>
        <v/>
      </c>
      <c r="X101" s="268" t="str">
        <f t="shared" si="90"/>
        <v/>
      </c>
      <c r="Y101" s="268" t="str">
        <f t="shared" si="90"/>
        <v/>
      </c>
      <c r="Z101" s="268">
        <f t="shared" si="90"/>
        <v>-0.995556932985318</v>
      </c>
      <c r="AA101" s="268" t="str">
        <f t="shared" si="90"/>
        <v/>
      </c>
      <c r="AB101" s="269">
        <f t="shared" si="90"/>
        <v>-0.16452076237254365</v>
      </c>
    </row>
    <row r="102" spans="2:28" x14ac:dyDescent="0.25">
      <c r="B102" s="223" t="s">
        <v>461</v>
      </c>
      <c r="C102" s="268">
        <f t="shared" ref="C102:AB102" si="91">IF(C15&gt;0,C73/C15,"")</f>
        <v>-0.7941559417123818</v>
      </c>
      <c r="D102" s="268">
        <f t="shared" si="91"/>
        <v>-0.71168371111137341</v>
      </c>
      <c r="E102" s="268" t="str">
        <f t="shared" si="91"/>
        <v/>
      </c>
      <c r="F102" s="268" t="str">
        <f t="shared" si="91"/>
        <v/>
      </c>
      <c r="G102" s="268" t="str">
        <f t="shared" si="91"/>
        <v/>
      </c>
      <c r="H102" s="268" t="str">
        <f t="shared" si="91"/>
        <v/>
      </c>
      <c r="I102" s="268">
        <f t="shared" si="91"/>
        <v>-0.99396235324382598</v>
      </c>
      <c r="J102" s="268">
        <f t="shared" si="91"/>
        <v>-0.97232951204125206</v>
      </c>
      <c r="K102" s="267">
        <f t="shared" si="91"/>
        <v>-0.12537440958536897</v>
      </c>
      <c r="L102" s="268">
        <f t="shared" si="91"/>
        <v>1.5253403878249414</v>
      </c>
      <c r="M102" s="268" t="str">
        <f t="shared" si="91"/>
        <v/>
      </c>
      <c r="N102" s="268" t="str">
        <f t="shared" si="91"/>
        <v/>
      </c>
      <c r="O102" s="268" t="str">
        <f t="shared" si="91"/>
        <v/>
      </c>
      <c r="P102" s="268" t="str">
        <f t="shared" si="91"/>
        <v/>
      </c>
      <c r="Q102" s="268" t="str">
        <f t="shared" si="91"/>
        <v/>
      </c>
      <c r="R102" s="268" t="str">
        <f t="shared" si="91"/>
        <v/>
      </c>
      <c r="S102" s="268" t="str">
        <f t="shared" si="91"/>
        <v/>
      </c>
      <c r="T102" s="268" t="str">
        <f t="shared" si="91"/>
        <v/>
      </c>
      <c r="U102" s="268" t="str">
        <f t="shared" si="91"/>
        <v/>
      </c>
      <c r="V102" s="268">
        <f t="shared" si="91"/>
        <v>-0.95370600860560328</v>
      </c>
      <c r="W102" s="268" t="str">
        <f t="shared" si="91"/>
        <v/>
      </c>
      <c r="X102" s="268" t="str">
        <f t="shared" si="91"/>
        <v/>
      </c>
      <c r="Y102" s="268" t="str">
        <f t="shared" si="91"/>
        <v/>
      </c>
      <c r="Z102" s="268" t="str">
        <f t="shared" si="91"/>
        <v/>
      </c>
      <c r="AA102" s="268" t="str">
        <f t="shared" si="91"/>
        <v/>
      </c>
      <c r="AB102" s="269">
        <f t="shared" si="91"/>
        <v>-0.75501057470911559</v>
      </c>
    </row>
    <row r="103" spans="2:28" x14ac:dyDescent="0.25">
      <c r="B103" s="223" t="s">
        <v>462</v>
      </c>
      <c r="C103" s="268">
        <f t="shared" ref="C103:AB103" si="92">IF(C16&gt;0,C74/C16,"")</f>
        <v>-0.8330171435221172</v>
      </c>
      <c r="D103" s="268">
        <f t="shared" si="92"/>
        <v>-4.7031691237776063E-2</v>
      </c>
      <c r="E103" s="268" t="str">
        <f t="shared" si="92"/>
        <v/>
      </c>
      <c r="F103" s="268">
        <f t="shared" si="92"/>
        <v>-0.97341507534308169</v>
      </c>
      <c r="G103" s="268" t="str">
        <f t="shared" si="92"/>
        <v/>
      </c>
      <c r="H103" s="268">
        <f t="shared" si="92"/>
        <v>-0.98551566651870826</v>
      </c>
      <c r="I103" s="268">
        <f t="shared" si="92"/>
        <v>-1</v>
      </c>
      <c r="J103" s="268">
        <f t="shared" si="92"/>
        <v>-0.96126049516137779</v>
      </c>
      <c r="K103" s="268" t="str">
        <f t="shared" si="92"/>
        <v/>
      </c>
      <c r="L103" s="267">
        <f t="shared" si="92"/>
        <v>-0.41669100802679343</v>
      </c>
      <c r="M103" s="268">
        <f t="shared" si="92"/>
        <v>1.2211951009582169</v>
      </c>
      <c r="N103" s="268" t="str">
        <f t="shared" si="92"/>
        <v/>
      </c>
      <c r="O103" s="268" t="str">
        <f t="shared" si="92"/>
        <v/>
      </c>
      <c r="P103" s="268" t="str">
        <f t="shared" si="92"/>
        <v/>
      </c>
      <c r="Q103" s="268" t="str">
        <f t="shared" si="92"/>
        <v/>
      </c>
      <c r="R103" s="268" t="str">
        <f t="shared" si="92"/>
        <v/>
      </c>
      <c r="S103" s="268" t="str">
        <f t="shared" si="92"/>
        <v/>
      </c>
      <c r="T103" s="268" t="str">
        <f t="shared" si="92"/>
        <v/>
      </c>
      <c r="U103" s="268" t="str">
        <f t="shared" si="92"/>
        <v/>
      </c>
      <c r="V103" s="268">
        <f t="shared" si="92"/>
        <v>-0.78344372159691167</v>
      </c>
      <c r="W103" s="268" t="str">
        <f t="shared" si="92"/>
        <v/>
      </c>
      <c r="X103" s="268" t="str">
        <f t="shared" si="92"/>
        <v/>
      </c>
      <c r="Y103" s="268" t="str">
        <f t="shared" si="92"/>
        <v/>
      </c>
      <c r="Z103" s="268" t="str">
        <f t="shared" si="92"/>
        <v/>
      </c>
      <c r="AA103" s="268" t="str">
        <f t="shared" si="92"/>
        <v/>
      </c>
      <c r="AB103" s="269">
        <f t="shared" si="92"/>
        <v>-0.76432251085424541</v>
      </c>
    </row>
    <row r="104" spans="2:28" x14ac:dyDescent="0.25">
      <c r="B104" s="223" t="s">
        <v>463</v>
      </c>
      <c r="C104" s="268">
        <f t="shared" ref="C104:AB104" si="93">IF(C17&gt;0,C75/C17,"")</f>
        <v>-0.79914773090607516</v>
      </c>
      <c r="D104" s="268" t="str">
        <f t="shared" si="93"/>
        <v/>
      </c>
      <c r="E104" s="268">
        <f t="shared" si="93"/>
        <v>-0.94402629913140568</v>
      </c>
      <c r="F104" s="268" t="str">
        <f t="shared" si="93"/>
        <v/>
      </c>
      <c r="G104" s="268">
        <f t="shared" si="93"/>
        <v>-0.94404162967002325</v>
      </c>
      <c r="H104" s="268" t="str">
        <f t="shared" si="93"/>
        <v/>
      </c>
      <c r="I104" s="268" t="str">
        <f t="shared" si="93"/>
        <v/>
      </c>
      <c r="J104" s="268" t="str">
        <f t="shared" si="93"/>
        <v/>
      </c>
      <c r="K104" s="268" t="str">
        <f t="shared" si="93"/>
        <v/>
      </c>
      <c r="L104" s="268">
        <f t="shared" si="93"/>
        <v>0.21220349502511693</v>
      </c>
      <c r="M104" s="267">
        <f t="shared" si="93"/>
        <v>1.7856654400361247</v>
      </c>
      <c r="N104" s="268">
        <f t="shared" si="93"/>
        <v>5.1647578855855336</v>
      </c>
      <c r="O104" s="268">
        <f t="shared" si="93"/>
        <v>-0.98276518494677567</v>
      </c>
      <c r="P104" s="268" t="str">
        <f t="shared" si="93"/>
        <v/>
      </c>
      <c r="Q104" s="268" t="str">
        <f t="shared" si="93"/>
        <v/>
      </c>
      <c r="R104" s="268" t="str">
        <f t="shared" si="93"/>
        <v/>
      </c>
      <c r="S104" s="268" t="str">
        <f t="shared" si="93"/>
        <v/>
      </c>
      <c r="T104" s="268" t="str">
        <f t="shared" si="93"/>
        <v/>
      </c>
      <c r="U104" s="268" t="str">
        <f t="shared" si="93"/>
        <v/>
      </c>
      <c r="V104" s="268">
        <f t="shared" si="93"/>
        <v>-0.99734174699473066</v>
      </c>
      <c r="W104" s="268" t="str">
        <f t="shared" si="93"/>
        <v/>
      </c>
      <c r="X104" s="268" t="str">
        <f t="shared" si="93"/>
        <v/>
      </c>
      <c r="Y104" s="268" t="str">
        <f t="shared" si="93"/>
        <v/>
      </c>
      <c r="Z104" s="268" t="str">
        <f t="shared" si="93"/>
        <v/>
      </c>
      <c r="AA104" s="268" t="str">
        <f t="shared" si="93"/>
        <v/>
      </c>
      <c r="AB104" s="269">
        <f t="shared" si="93"/>
        <v>-0.76470410856433801</v>
      </c>
    </row>
    <row r="105" spans="2:28" x14ac:dyDescent="0.25">
      <c r="B105" s="223" t="s">
        <v>464</v>
      </c>
      <c r="C105" s="268">
        <f t="shared" ref="C105:AB105" si="94">IF(C18&gt;0,C76/C18,"")</f>
        <v>-0.74210254667340825</v>
      </c>
      <c r="D105" s="268">
        <f t="shared" si="94"/>
        <v>-0.94322205678391302</v>
      </c>
      <c r="E105" s="268" t="str">
        <f t="shared" si="94"/>
        <v/>
      </c>
      <c r="F105" s="268">
        <f t="shared" si="94"/>
        <v>-0.75002274792993839</v>
      </c>
      <c r="G105" s="268">
        <f t="shared" si="94"/>
        <v>-0.68134097907096491</v>
      </c>
      <c r="H105" s="268" t="str">
        <f t="shared" si="94"/>
        <v/>
      </c>
      <c r="I105" s="268" t="str">
        <f t="shared" si="94"/>
        <v/>
      </c>
      <c r="J105" s="268">
        <f t="shared" si="94"/>
        <v>-0.93484383353733191</v>
      </c>
      <c r="K105" s="268" t="str">
        <f t="shared" si="94"/>
        <v/>
      </c>
      <c r="L105" s="268" t="str">
        <f t="shared" si="94"/>
        <v/>
      </c>
      <c r="M105" s="268">
        <f t="shared" si="94"/>
        <v>-0.87772036175761092</v>
      </c>
      <c r="N105" s="267">
        <f t="shared" si="94"/>
        <v>-0.14167002516547628</v>
      </c>
      <c r="O105" s="268">
        <f t="shared" si="94"/>
        <v>-0.55881900290400299</v>
      </c>
      <c r="P105" s="268" t="str">
        <f t="shared" si="94"/>
        <v/>
      </c>
      <c r="Q105" s="268" t="str">
        <f t="shared" si="94"/>
        <v/>
      </c>
      <c r="R105" s="268" t="str">
        <f t="shared" si="94"/>
        <v/>
      </c>
      <c r="S105" s="268" t="str">
        <f t="shared" si="94"/>
        <v/>
      </c>
      <c r="T105" s="268" t="str">
        <f t="shared" si="94"/>
        <v/>
      </c>
      <c r="U105" s="268" t="str">
        <f t="shared" si="94"/>
        <v/>
      </c>
      <c r="V105" s="268" t="str">
        <f t="shared" si="94"/>
        <v/>
      </c>
      <c r="W105" s="268" t="str">
        <f t="shared" si="94"/>
        <v/>
      </c>
      <c r="X105" s="268" t="str">
        <f t="shared" si="94"/>
        <v/>
      </c>
      <c r="Y105" s="268">
        <f t="shared" si="94"/>
        <v>-0.95134935798991116</v>
      </c>
      <c r="Z105" s="268" t="str">
        <f t="shared" si="94"/>
        <v/>
      </c>
      <c r="AA105" s="268">
        <f t="shared" si="94"/>
        <v>-1</v>
      </c>
      <c r="AB105" s="269">
        <f t="shared" si="94"/>
        <v>-0.69545285599179907</v>
      </c>
    </row>
    <row r="106" spans="2:28" x14ac:dyDescent="0.25">
      <c r="B106" s="223" t="s">
        <v>465</v>
      </c>
      <c r="C106" s="268">
        <f t="shared" ref="C106:AB106" si="95">IF(C19&gt;0,C77/C19,"")</f>
        <v>-0.85742454338013296</v>
      </c>
      <c r="D106" s="268">
        <f t="shared" si="95"/>
        <v>-0.26889478292622077</v>
      </c>
      <c r="E106" s="268" t="str">
        <f t="shared" si="95"/>
        <v/>
      </c>
      <c r="F106" s="268">
        <f t="shared" si="95"/>
        <v>-0.87574897482549974</v>
      </c>
      <c r="G106" s="268">
        <f t="shared" si="95"/>
        <v>-0.24655711921114529</v>
      </c>
      <c r="H106" s="268" t="str">
        <f t="shared" si="95"/>
        <v/>
      </c>
      <c r="I106" s="268">
        <f t="shared" si="95"/>
        <v>-0.91778882184475963</v>
      </c>
      <c r="J106" s="268" t="str">
        <f t="shared" si="95"/>
        <v/>
      </c>
      <c r="K106" s="268" t="str">
        <f t="shared" si="95"/>
        <v/>
      </c>
      <c r="L106" s="268" t="str">
        <f t="shared" si="95"/>
        <v/>
      </c>
      <c r="M106" s="268">
        <f t="shared" si="95"/>
        <v>-0.98663219722278728</v>
      </c>
      <c r="N106" s="268">
        <f t="shared" si="95"/>
        <v>-0.47933305743466081</v>
      </c>
      <c r="O106" s="267">
        <f t="shared" si="95"/>
        <v>8.0654357826751177E-2</v>
      </c>
      <c r="P106" s="268">
        <f t="shared" si="95"/>
        <v>-0.79389743895260323</v>
      </c>
      <c r="Q106" s="268" t="str">
        <f t="shared" si="95"/>
        <v/>
      </c>
      <c r="R106" s="268" t="str">
        <f t="shared" si="95"/>
        <v/>
      </c>
      <c r="S106" s="268" t="str">
        <f t="shared" si="95"/>
        <v/>
      </c>
      <c r="T106" s="268" t="str">
        <f t="shared" si="95"/>
        <v/>
      </c>
      <c r="U106" s="268" t="str">
        <f t="shared" si="95"/>
        <v/>
      </c>
      <c r="V106" s="268" t="str">
        <f t="shared" si="95"/>
        <v/>
      </c>
      <c r="W106" s="268">
        <f t="shared" si="95"/>
        <v>-1</v>
      </c>
      <c r="X106" s="268" t="str">
        <f t="shared" si="95"/>
        <v/>
      </c>
      <c r="Y106" s="268" t="str">
        <f t="shared" si="95"/>
        <v/>
      </c>
      <c r="Z106" s="268">
        <f t="shared" si="95"/>
        <v>-0.83652832051400727</v>
      </c>
      <c r="AA106" s="268">
        <f t="shared" si="95"/>
        <v>-0.98851480049995988</v>
      </c>
      <c r="AB106" s="269">
        <f t="shared" si="95"/>
        <v>-0.78824673800886058</v>
      </c>
    </row>
    <row r="107" spans="2:28" x14ac:dyDescent="0.25">
      <c r="B107" s="223" t="s">
        <v>466</v>
      </c>
      <c r="C107" s="268">
        <f t="shared" ref="C107:AB107" si="96">IF(C20&gt;0,C78/C20,"")</f>
        <v>-0.71115561897417068</v>
      </c>
      <c r="D107" s="268" t="str">
        <f t="shared" si="96"/>
        <v/>
      </c>
      <c r="E107" s="268" t="str">
        <f t="shared" si="96"/>
        <v/>
      </c>
      <c r="F107" s="268">
        <f t="shared" si="96"/>
        <v>-1</v>
      </c>
      <c r="G107" s="268" t="str">
        <f t="shared" si="96"/>
        <v/>
      </c>
      <c r="H107" s="268">
        <f t="shared" si="96"/>
        <v>-0.84039431773591156</v>
      </c>
      <c r="I107" s="268">
        <f t="shared" si="96"/>
        <v>2.0332040177353772</v>
      </c>
      <c r="J107" s="268">
        <f t="shared" si="96"/>
        <v>25.375777383949387</v>
      </c>
      <c r="K107" s="268" t="str">
        <f t="shared" si="96"/>
        <v/>
      </c>
      <c r="L107" s="268" t="str">
        <f t="shared" si="96"/>
        <v/>
      </c>
      <c r="M107" s="268" t="str">
        <f t="shared" si="96"/>
        <v/>
      </c>
      <c r="N107" s="268" t="str">
        <f t="shared" si="96"/>
        <v/>
      </c>
      <c r="O107" s="268">
        <f t="shared" si="96"/>
        <v>-0.78674202919011127</v>
      </c>
      <c r="P107" s="267" t="str">
        <f t="shared" si="96"/>
        <v/>
      </c>
      <c r="Q107" s="268" t="str">
        <f t="shared" si="96"/>
        <v/>
      </c>
      <c r="R107" s="268" t="str">
        <f t="shared" si="96"/>
        <v/>
      </c>
      <c r="S107" s="268" t="str">
        <f t="shared" si="96"/>
        <v/>
      </c>
      <c r="T107" s="268">
        <f t="shared" si="96"/>
        <v>-1</v>
      </c>
      <c r="U107" s="268" t="str">
        <f t="shared" si="96"/>
        <v/>
      </c>
      <c r="V107" s="268" t="str">
        <f t="shared" si="96"/>
        <v/>
      </c>
      <c r="W107" s="268" t="str">
        <f t="shared" si="96"/>
        <v/>
      </c>
      <c r="X107" s="268" t="str">
        <f t="shared" si="96"/>
        <v/>
      </c>
      <c r="Y107" s="268" t="str">
        <f t="shared" si="96"/>
        <v/>
      </c>
      <c r="Z107" s="268" t="str">
        <f t="shared" si="96"/>
        <v/>
      </c>
      <c r="AA107" s="268">
        <f t="shared" si="96"/>
        <v>-0.62313711132024285</v>
      </c>
      <c r="AB107" s="269">
        <f t="shared" si="96"/>
        <v>-0.54000922824379882</v>
      </c>
    </row>
    <row r="108" spans="2:28" x14ac:dyDescent="0.25">
      <c r="B108" s="223" t="s">
        <v>467</v>
      </c>
      <c r="C108" s="268">
        <f t="shared" ref="C108:AB108" si="97">IF(C21&gt;0,C79/C21,"")</f>
        <v>-0.54886331634266305</v>
      </c>
      <c r="D108" s="268" t="str">
        <f t="shared" si="97"/>
        <v/>
      </c>
      <c r="E108" s="268" t="str">
        <f t="shared" si="97"/>
        <v/>
      </c>
      <c r="F108" s="268" t="str">
        <f t="shared" si="97"/>
        <v/>
      </c>
      <c r="G108" s="268" t="str">
        <f t="shared" si="97"/>
        <v/>
      </c>
      <c r="H108" s="268" t="str">
        <f t="shared" si="97"/>
        <v/>
      </c>
      <c r="I108" s="268">
        <f t="shared" si="97"/>
        <v>-0.49342173046201648</v>
      </c>
      <c r="J108" s="268">
        <f t="shared" si="97"/>
        <v>-0.86478383566476424</v>
      </c>
      <c r="K108" s="268" t="str">
        <f t="shared" si="97"/>
        <v/>
      </c>
      <c r="L108" s="268" t="str">
        <f t="shared" si="97"/>
        <v/>
      </c>
      <c r="M108" s="268" t="str">
        <f t="shared" si="97"/>
        <v/>
      </c>
      <c r="N108" s="268" t="str">
        <f t="shared" si="97"/>
        <v/>
      </c>
      <c r="O108" s="268" t="str">
        <f t="shared" si="97"/>
        <v/>
      </c>
      <c r="P108" s="268" t="str">
        <f t="shared" si="97"/>
        <v/>
      </c>
      <c r="Q108" s="267">
        <f t="shared" si="97"/>
        <v>0.67608831666012081</v>
      </c>
      <c r="R108" s="268" t="str">
        <f t="shared" si="97"/>
        <v/>
      </c>
      <c r="S108" s="268" t="str">
        <f t="shared" si="97"/>
        <v/>
      </c>
      <c r="T108" s="268" t="str">
        <f t="shared" si="97"/>
        <v/>
      </c>
      <c r="U108" s="268" t="str">
        <f t="shared" si="97"/>
        <v/>
      </c>
      <c r="V108" s="268" t="str">
        <f t="shared" si="97"/>
        <v/>
      </c>
      <c r="W108" s="268" t="str">
        <f t="shared" si="97"/>
        <v/>
      </c>
      <c r="X108" s="268" t="str">
        <f t="shared" si="97"/>
        <v/>
      </c>
      <c r="Y108" s="268" t="str">
        <f t="shared" si="97"/>
        <v/>
      </c>
      <c r="Z108" s="268" t="str">
        <f t="shared" si="97"/>
        <v/>
      </c>
      <c r="AA108" s="268">
        <f t="shared" si="97"/>
        <v>-0.99687468346403463</v>
      </c>
      <c r="AB108" s="269">
        <f t="shared" si="97"/>
        <v>-0.58465033699884017</v>
      </c>
    </row>
    <row r="109" spans="2:28" x14ac:dyDescent="0.25">
      <c r="B109" s="223" t="s">
        <v>468</v>
      </c>
      <c r="C109" s="268" t="str">
        <f t="shared" ref="C109:AB109" si="98">IF(C22&gt;0,C80/C22,"")</f>
        <v/>
      </c>
      <c r="D109" s="268" t="str">
        <f t="shared" si="98"/>
        <v/>
      </c>
      <c r="E109" s="268" t="str">
        <f t="shared" si="98"/>
        <v/>
      </c>
      <c r="F109" s="268" t="str">
        <f t="shared" si="98"/>
        <v/>
      </c>
      <c r="G109" s="268" t="str">
        <f t="shared" si="98"/>
        <v/>
      </c>
      <c r="H109" s="268" t="str">
        <f t="shared" si="98"/>
        <v/>
      </c>
      <c r="I109" s="268" t="str">
        <f t="shared" si="98"/>
        <v/>
      </c>
      <c r="J109" s="268" t="str">
        <f t="shared" si="98"/>
        <v/>
      </c>
      <c r="K109" s="268" t="str">
        <f t="shared" si="98"/>
        <v/>
      </c>
      <c r="L109" s="268" t="str">
        <f t="shared" si="98"/>
        <v/>
      </c>
      <c r="M109" s="268" t="str">
        <f t="shared" si="98"/>
        <v/>
      </c>
      <c r="N109" s="268" t="str">
        <f t="shared" si="98"/>
        <v/>
      </c>
      <c r="O109" s="268" t="str">
        <f t="shared" si="98"/>
        <v/>
      </c>
      <c r="P109" s="268" t="str">
        <f t="shared" si="98"/>
        <v/>
      </c>
      <c r="Q109" s="268" t="str">
        <f t="shared" si="98"/>
        <v/>
      </c>
      <c r="R109" s="267" t="str">
        <f t="shared" si="98"/>
        <v/>
      </c>
      <c r="S109" s="268" t="str">
        <f t="shared" si="98"/>
        <v/>
      </c>
      <c r="T109" s="268" t="str">
        <f t="shared" si="98"/>
        <v/>
      </c>
      <c r="U109" s="268" t="str">
        <f t="shared" si="98"/>
        <v/>
      </c>
      <c r="V109" s="268" t="str">
        <f t="shared" si="98"/>
        <v/>
      </c>
      <c r="W109" s="268" t="str">
        <f t="shared" si="98"/>
        <v/>
      </c>
      <c r="X109" s="268" t="str">
        <f t="shared" si="98"/>
        <v/>
      </c>
      <c r="Y109" s="268" t="str">
        <f t="shared" si="98"/>
        <v/>
      </c>
      <c r="Z109" s="268" t="str">
        <f t="shared" si="98"/>
        <v/>
      </c>
      <c r="AA109" s="268" t="str">
        <f t="shared" si="98"/>
        <v/>
      </c>
      <c r="AB109" s="269" t="str">
        <f t="shared" si="98"/>
        <v/>
      </c>
    </row>
    <row r="110" spans="2:28" x14ac:dyDescent="0.25">
      <c r="B110" s="223" t="s">
        <v>469</v>
      </c>
      <c r="C110" s="268" t="str">
        <f t="shared" ref="C110:AB110" si="99">IF(C23&gt;0,C81/C23,"")</f>
        <v/>
      </c>
      <c r="D110" s="268" t="str">
        <f t="shared" si="99"/>
        <v/>
      </c>
      <c r="E110" s="268" t="str">
        <f t="shared" si="99"/>
        <v/>
      </c>
      <c r="F110" s="268" t="str">
        <f t="shared" si="99"/>
        <v/>
      </c>
      <c r="G110" s="268" t="str">
        <f t="shared" si="99"/>
        <v/>
      </c>
      <c r="H110" s="268" t="str">
        <f t="shared" si="99"/>
        <v/>
      </c>
      <c r="I110" s="268" t="str">
        <f t="shared" si="99"/>
        <v/>
      </c>
      <c r="J110" s="268" t="str">
        <f t="shared" si="99"/>
        <v/>
      </c>
      <c r="K110" s="268" t="str">
        <f t="shared" si="99"/>
        <v/>
      </c>
      <c r="L110" s="268" t="str">
        <f t="shared" si="99"/>
        <v/>
      </c>
      <c r="M110" s="268" t="str">
        <f t="shared" si="99"/>
        <v/>
      </c>
      <c r="N110" s="268" t="str">
        <f t="shared" si="99"/>
        <v/>
      </c>
      <c r="O110" s="268" t="str">
        <f t="shared" si="99"/>
        <v/>
      </c>
      <c r="P110" s="268" t="str">
        <f t="shared" si="99"/>
        <v/>
      </c>
      <c r="Q110" s="268" t="str">
        <f t="shared" si="99"/>
        <v/>
      </c>
      <c r="R110" s="268" t="str">
        <f t="shared" si="99"/>
        <v/>
      </c>
      <c r="S110" s="267" t="str">
        <f t="shared" si="99"/>
        <v/>
      </c>
      <c r="T110" s="268" t="str">
        <f t="shared" si="99"/>
        <v/>
      </c>
      <c r="U110" s="268" t="str">
        <f t="shared" si="99"/>
        <v/>
      </c>
      <c r="V110" s="268" t="str">
        <f t="shared" si="99"/>
        <v/>
      </c>
      <c r="W110" s="268" t="str">
        <f t="shared" si="99"/>
        <v/>
      </c>
      <c r="X110" s="268" t="str">
        <f t="shared" si="99"/>
        <v/>
      </c>
      <c r="Y110" s="268" t="str">
        <f t="shared" si="99"/>
        <v/>
      </c>
      <c r="Z110" s="268" t="str">
        <f t="shared" si="99"/>
        <v/>
      </c>
      <c r="AA110" s="268" t="str">
        <f t="shared" si="99"/>
        <v/>
      </c>
      <c r="AB110" s="269" t="str">
        <f t="shared" si="99"/>
        <v/>
      </c>
    </row>
    <row r="111" spans="2:28" x14ac:dyDescent="0.25">
      <c r="B111" s="223" t="s">
        <v>470</v>
      </c>
      <c r="C111" s="268">
        <f t="shared" ref="C111:AB111" si="100">IF(C24&gt;0,C82/C24,"")</f>
        <v>10.515266558282017</v>
      </c>
      <c r="D111" s="268">
        <f t="shared" si="100"/>
        <v>-0.90444074375298089</v>
      </c>
      <c r="E111" s="268" t="str">
        <f t="shared" si="100"/>
        <v/>
      </c>
      <c r="F111" s="268" t="str">
        <f t="shared" si="100"/>
        <v/>
      </c>
      <c r="G111" s="268" t="str">
        <f t="shared" si="100"/>
        <v/>
      </c>
      <c r="H111" s="268" t="str">
        <f t="shared" si="100"/>
        <v/>
      </c>
      <c r="I111" s="268">
        <f t="shared" si="100"/>
        <v>-1</v>
      </c>
      <c r="J111" s="268">
        <f t="shared" si="100"/>
        <v>-0.65431553130870634</v>
      </c>
      <c r="K111" s="268" t="str">
        <f t="shared" si="100"/>
        <v/>
      </c>
      <c r="L111" s="268" t="str">
        <f t="shared" si="100"/>
        <v/>
      </c>
      <c r="M111" s="268" t="str">
        <f t="shared" si="100"/>
        <v/>
      </c>
      <c r="N111" s="268" t="str">
        <f t="shared" si="100"/>
        <v/>
      </c>
      <c r="O111" s="268" t="str">
        <f t="shared" si="100"/>
        <v/>
      </c>
      <c r="P111" s="268">
        <f t="shared" si="100"/>
        <v>-0.66675619816809217</v>
      </c>
      <c r="Q111" s="268" t="str">
        <f t="shared" si="100"/>
        <v/>
      </c>
      <c r="R111" s="268" t="str">
        <f t="shared" si="100"/>
        <v/>
      </c>
      <c r="S111" s="268" t="str">
        <f t="shared" si="100"/>
        <v/>
      </c>
      <c r="T111" s="267" t="str">
        <f t="shared" si="100"/>
        <v/>
      </c>
      <c r="U111" s="268" t="str">
        <f t="shared" si="100"/>
        <v/>
      </c>
      <c r="V111" s="268" t="str">
        <f t="shared" si="100"/>
        <v/>
      </c>
      <c r="W111" s="268" t="str">
        <f t="shared" si="100"/>
        <v/>
      </c>
      <c r="X111" s="268" t="str">
        <f t="shared" si="100"/>
        <v/>
      </c>
      <c r="Y111" s="268" t="str">
        <f t="shared" si="100"/>
        <v/>
      </c>
      <c r="Z111" s="268" t="str">
        <f t="shared" si="100"/>
        <v/>
      </c>
      <c r="AA111" s="268" t="str">
        <f t="shared" si="100"/>
        <v/>
      </c>
      <c r="AB111" s="269">
        <f t="shared" si="100"/>
        <v>0.673800237556336</v>
      </c>
    </row>
    <row r="112" spans="2:28" x14ac:dyDescent="0.25">
      <c r="B112" s="223" t="s">
        <v>471</v>
      </c>
      <c r="C112" s="268" t="str">
        <f t="shared" ref="C112:AB112" si="101">IF(C25&gt;0,C83/C25,"")</f>
        <v/>
      </c>
      <c r="D112" s="268" t="str">
        <f t="shared" si="101"/>
        <v/>
      </c>
      <c r="E112" s="268" t="str">
        <f t="shared" si="101"/>
        <v/>
      </c>
      <c r="F112" s="268" t="str">
        <f t="shared" si="101"/>
        <v/>
      </c>
      <c r="G112" s="268" t="str">
        <f t="shared" si="101"/>
        <v/>
      </c>
      <c r="H112" s="268" t="str">
        <f t="shared" si="101"/>
        <v/>
      </c>
      <c r="I112" s="268" t="str">
        <f t="shared" si="101"/>
        <v/>
      </c>
      <c r="J112" s="268" t="str">
        <f t="shared" si="101"/>
        <v/>
      </c>
      <c r="K112" s="268" t="str">
        <f t="shared" si="101"/>
        <v/>
      </c>
      <c r="L112" s="268" t="str">
        <f t="shared" si="101"/>
        <v/>
      </c>
      <c r="M112" s="268" t="str">
        <f t="shared" si="101"/>
        <v/>
      </c>
      <c r="N112" s="268" t="str">
        <f t="shared" si="101"/>
        <v/>
      </c>
      <c r="O112" s="268" t="str">
        <f t="shared" si="101"/>
        <v/>
      </c>
      <c r="P112" s="268" t="str">
        <f t="shared" si="101"/>
        <v/>
      </c>
      <c r="Q112" s="268" t="str">
        <f t="shared" si="101"/>
        <v/>
      </c>
      <c r="R112" s="268" t="str">
        <f t="shared" si="101"/>
        <v/>
      </c>
      <c r="S112" s="268" t="str">
        <f t="shared" si="101"/>
        <v/>
      </c>
      <c r="T112" s="268" t="str">
        <f t="shared" si="101"/>
        <v/>
      </c>
      <c r="U112" s="267" t="str">
        <f t="shared" si="101"/>
        <v/>
      </c>
      <c r="V112" s="268" t="str">
        <f t="shared" si="101"/>
        <v/>
      </c>
      <c r="W112" s="268" t="str">
        <f t="shared" si="101"/>
        <v/>
      </c>
      <c r="X112" s="268" t="str">
        <f t="shared" si="101"/>
        <v/>
      </c>
      <c r="Y112" s="268" t="str">
        <f t="shared" si="101"/>
        <v/>
      </c>
      <c r="Z112" s="268" t="str">
        <f t="shared" si="101"/>
        <v/>
      </c>
      <c r="AA112" s="268" t="str">
        <f t="shared" si="101"/>
        <v/>
      </c>
      <c r="AB112" s="269" t="str">
        <f t="shared" si="101"/>
        <v/>
      </c>
    </row>
    <row r="113" spans="2:28" x14ac:dyDescent="0.25">
      <c r="B113" s="223" t="s">
        <v>472</v>
      </c>
      <c r="C113" s="268">
        <f t="shared" ref="C113:AB113" si="102">IF(C26&gt;0,C84/C26,"")</f>
        <v>-0.90281531338329546</v>
      </c>
      <c r="D113" s="268">
        <f t="shared" si="102"/>
        <v>-0.89702297717728829</v>
      </c>
      <c r="E113" s="268">
        <f t="shared" si="102"/>
        <v>-0.81760752665991698</v>
      </c>
      <c r="F113" s="268">
        <f t="shared" si="102"/>
        <v>-0.97684602155144529</v>
      </c>
      <c r="G113" s="268">
        <f t="shared" si="102"/>
        <v>-0.88109642414142109</v>
      </c>
      <c r="H113" s="268" t="str">
        <f t="shared" si="102"/>
        <v/>
      </c>
      <c r="I113" s="268">
        <f t="shared" si="102"/>
        <v>-1</v>
      </c>
      <c r="J113" s="268" t="str">
        <f t="shared" si="102"/>
        <v/>
      </c>
      <c r="K113" s="268">
        <f t="shared" si="102"/>
        <v>-0.9568596998251897</v>
      </c>
      <c r="L113" s="268">
        <f t="shared" si="102"/>
        <v>-0.89237150555251699</v>
      </c>
      <c r="M113" s="268" t="str">
        <f t="shared" si="102"/>
        <v/>
      </c>
      <c r="N113" s="268" t="str">
        <f t="shared" si="102"/>
        <v/>
      </c>
      <c r="O113" s="268" t="str">
        <f t="shared" si="102"/>
        <v/>
      </c>
      <c r="P113" s="268" t="str">
        <f t="shared" si="102"/>
        <v/>
      </c>
      <c r="Q113" s="268" t="str">
        <f t="shared" si="102"/>
        <v/>
      </c>
      <c r="R113" s="268" t="str">
        <f t="shared" si="102"/>
        <v/>
      </c>
      <c r="S113" s="268" t="str">
        <f t="shared" si="102"/>
        <v/>
      </c>
      <c r="T113" s="268" t="str">
        <f t="shared" si="102"/>
        <v/>
      </c>
      <c r="U113" s="268" t="str">
        <f t="shared" si="102"/>
        <v/>
      </c>
      <c r="V113" s="267">
        <f t="shared" si="102"/>
        <v>-0.79045804129839037</v>
      </c>
      <c r="W113" s="268">
        <f t="shared" si="102"/>
        <v>-0.87712678708751224</v>
      </c>
      <c r="X113" s="268" t="str">
        <f t="shared" si="102"/>
        <v/>
      </c>
      <c r="Y113" s="268" t="str">
        <f t="shared" si="102"/>
        <v/>
      </c>
      <c r="Z113" s="268" t="str">
        <f t="shared" si="102"/>
        <v/>
      </c>
      <c r="AA113" s="268" t="str">
        <f t="shared" si="102"/>
        <v/>
      </c>
      <c r="AB113" s="269">
        <f t="shared" si="102"/>
        <v>-0.87059193937068335</v>
      </c>
    </row>
    <row r="114" spans="2:28" x14ac:dyDescent="0.25">
      <c r="B114" s="223" t="s">
        <v>473</v>
      </c>
      <c r="C114" s="268">
        <f t="shared" ref="C114:AB114" si="103">IF(C27&gt;0,C85/C27,"")</f>
        <v>-0.84779810827833912</v>
      </c>
      <c r="D114" s="268">
        <f t="shared" si="103"/>
        <v>-0.62127943018611997</v>
      </c>
      <c r="E114" s="268" t="str">
        <f t="shared" si="103"/>
        <v/>
      </c>
      <c r="F114" s="268" t="str">
        <f t="shared" si="103"/>
        <v/>
      </c>
      <c r="G114" s="268" t="str">
        <f t="shared" si="103"/>
        <v/>
      </c>
      <c r="H114" s="268" t="str">
        <f t="shared" si="103"/>
        <v/>
      </c>
      <c r="I114" s="268" t="str">
        <f t="shared" si="103"/>
        <v/>
      </c>
      <c r="J114" s="268" t="str">
        <f t="shared" si="103"/>
        <v/>
      </c>
      <c r="K114" s="268" t="str">
        <f t="shared" si="103"/>
        <v/>
      </c>
      <c r="L114" s="268" t="str">
        <f t="shared" si="103"/>
        <v/>
      </c>
      <c r="M114" s="268" t="str">
        <f t="shared" si="103"/>
        <v/>
      </c>
      <c r="N114" s="268" t="str">
        <f t="shared" si="103"/>
        <v/>
      </c>
      <c r="O114" s="268">
        <f t="shared" si="103"/>
        <v>-1</v>
      </c>
      <c r="P114" s="268" t="str">
        <f t="shared" si="103"/>
        <v/>
      </c>
      <c r="Q114" s="268" t="str">
        <f t="shared" si="103"/>
        <v/>
      </c>
      <c r="R114" s="268" t="str">
        <f t="shared" si="103"/>
        <v/>
      </c>
      <c r="S114" s="268" t="str">
        <f t="shared" si="103"/>
        <v/>
      </c>
      <c r="T114" s="268" t="str">
        <f t="shared" si="103"/>
        <v/>
      </c>
      <c r="U114" s="268" t="str">
        <f t="shared" si="103"/>
        <v/>
      </c>
      <c r="V114" s="268">
        <f t="shared" si="103"/>
        <v>-0.78863481242037692</v>
      </c>
      <c r="W114" s="267">
        <f t="shared" si="103"/>
        <v>-8.4052291709666091E-2</v>
      </c>
      <c r="X114" s="268" t="str">
        <f t="shared" si="103"/>
        <v/>
      </c>
      <c r="Y114" s="268" t="str">
        <f t="shared" si="103"/>
        <v/>
      </c>
      <c r="Z114" s="268" t="str">
        <f t="shared" si="103"/>
        <v/>
      </c>
      <c r="AA114" s="268" t="str">
        <f t="shared" si="103"/>
        <v/>
      </c>
      <c r="AB114" s="269">
        <f t="shared" si="103"/>
        <v>-0.67276277372104454</v>
      </c>
    </row>
    <row r="115" spans="2:28" x14ac:dyDescent="0.25">
      <c r="B115" s="223" t="s">
        <v>474</v>
      </c>
      <c r="C115" s="268">
        <f t="shared" ref="C115:AB115" si="104">IF(C28&gt;0,C86/C28,"")</f>
        <v>1.8158365002216983</v>
      </c>
      <c r="D115" s="268" t="str">
        <f t="shared" si="104"/>
        <v/>
      </c>
      <c r="E115" s="268" t="str">
        <f t="shared" si="104"/>
        <v/>
      </c>
      <c r="F115" s="268">
        <f t="shared" si="104"/>
        <v>-1</v>
      </c>
      <c r="G115" s="268" t="str">
        <f t="shared" si="104"/>
        <v/>
      </c>
      <c r="H115" s="268" t="str">
        <f t="shared" si="104"/>
        <v/>
      </c>
      <c r="I115" s="268" t="str">
        <f t="shared" si="104"/>
        <v/>
      </c>
      <c r="J115" s="268" t="str">
        <f t="shared" si="104"/>
        <v/>
      </c>
      <c r="K115" s="268" t="str">
        <f t="shared" si="104"/>
        <v/>
      </c>
      <c r="L115" s="268" t="str">
        <f t="shared" si="104"/>
        <v/>
      </c>
      <c r="M115" s="268" t="str">
        <f t="shared" si="104"/>
        <v/>
      </c>
      <c r="N115" s="268" t="str">
        <f t="shared" si="104"/>
        <v/>
      </c>
      <c r="O115" s="268" t="str">
        <f t="shared" si="104"/>
        <v/>
      </c>
      <c r="P115" s="268" t="str">
        <f t="shared" si="104"/>
        <v/>
      </c>
      <c r="Q115" s="268" t="str">
        <f t="shared" si="104"/>
        <v/>
      </c>
      <c r="R115" s="268" t="str">
        <f t="shared" si="104"/>
        <v/>
      </c>
      <c r="S115" s="268" t="str">
        <f t="shared" si="104"/>
        <v/>
      </c>
      <c r="T115" s="268" t="str">
        <f t="shared" si="104"/>
        <v/>
      </c>
      <c r="U115" s="268" t="str">
        <f t="shared" si="104"/>
        <v/>
      </c>
      <c r="V115" s="268" t="str">
        <f t="shared" si="104"/>
        <v/>
      </c>
      <c r="W115" s="268" t="str">
        <f t="shared" si="104"/>
        <v/>
      </c>
      <c r="X115" s="267">
        <f t="shared" si="104"/>
        <v>18.441015637217582</v>
      </c>
      <c r="Y115" s="268" t="str">
        <f t="shared" si="104"/>
        <v/>
      </c>
      <c r="Z115" s="268" t="str">
        <f t="shared" si="104"/>
        <v/>
      </c>
      <c r="AA115" s="268" t="str">
        <f t="shared" si="104"/>
        <v/>
      </c>
      <c r="AB115" s="269">
        <f t="shared" si="104"/>
        <v>9.4848519274027385</v>
      </c>
    </row>
    <row r="116" spans="2:28" x14ac:dyDescent="0.25">
      <c r="B116" s="223" t="s">
        <v>475</v>
      </c>
      <c r="C116" s="268">
        <f t="shared" ref="C116:AB116" si="105">IF(C29&gt;0,C87/C29,"")</f>
        <v>-0.85254066371117099</v>
      </c>
      <c r="D116" s="268" t="str">
        <f t="shared" si="105"/>
        <v/>
      </c>
      <c r="E116" s="268" t="str">
        <f t="shared" si="105"/>
        <v/>
      </c>
      <c r="F116" s="268" t="str">
        <f t="shared" si="105"/>
        <v/>
      </c>
      <c r="G116" s="268" t="str">
        <f t="shared" si="105"/>
        <v/>
      </c>
      <c r="H116" s="268" t="str">
        <f t="shared" si="105"/>
        <v/>
      </c>
      <c r="I116" s="268" t="str">
        <f t="shared" si="105"/>
        <v/>
      </c>
      <c r="J116" s="268" t="str">
        <f t="shared" si="105"/>
        <v/>
      </c>
      <c r="K116" s="268" t="str">
        <f t="shared" si="105"/>
        <v/>
      </c>
      <c r="L116" s="268" t="str">
        <f t="shared" si="105"/>
        <v/>
      </c>
      <c r="M116" s="268" t="str">
        <f t="shared" si="105"/>
        <v/>
      </c>
      <c r="N116" s="268" t="str">
        <f t="shared" si="105"/>
        <v/>
      </c>
      <c r="O116" s="268" t="str">
        <f t="shared" si="105"/>
        <v/>
      </c>
      <c r="P116" s="268" t="str">
        <f t="shared" si="105"/>
        <v/>
      </c>
      <c r="Q116" s="268" t="str">
        <f t="shared" si="105"/>
        <v/>
      </c>
      <c r="R116" s="268" t="str">
        <f t="shared" si="105"/>
        <v/>
      </c>
      <c r="S116" s="268" t="str">
        <f t="shared" si="105"/>
        <v/>
      </c>
      <c r="T116" s="268" t="str">
        <f t="shared" si="105"/>
        <v/>
      </c>
      <c r="U116" s="268" t="str">
        <f t="shared" si="105"/>
        <v/>
      </c>
      <c r="V116" s="268" t="str">
        <f t="shared" si="105"/>
        <v/>
      </c>
      <c r="W116" s="268" t="str">
        <f t="shared" si="105"/>
        <v/>
      </c>
      <c r="X116" s="268" t="str">
        <f t="shared" si="105"/>
        <v/>
      </c>
      <c r="Y116" s="267">
        <f t="shared" si="105"/>
        <v>1.422674293245342</v>
      </c>
      <c r="Z116" s="268" t="str">
        <f t="shared" si="105"/>
        <v/>
      </c>
      <c r="AA116" s="268" t="str">
        <f t="shared" si="105"/>
        <v/>
      </c>
      <c r="AB116" s="269">
        <f t="shared" si="105"/>
        <v>-0.73661529264932846</v>
      </c>
    </row>
    <row r="117" spans="2:28" x14ac:dyDescent="0.25">
      <c r="B117" s="223" t="s">
        <v>476</v>
      </c>
      <c r="C117" s="268">
        <f t="shared" ref="C117:AB117" si="106">IF(C30&gt;0,C88/C30,"")</f>
        <v>-0.86084363853205448</v>
      </c>
      <c r="D117" s="268" t="str">
        <f t="shared" si="106"/>
        <v/>
      </c>
      <c r="E117" s="268" t="str">
        <f t="shared" si="106"/>
        <v/>
      </c>
      <c r="F117" s="268" t="str">
        <f t="shared" si="106"/>
        <v/>
      </c>
      <c r="G117" s="268" t="str">
        <f t="shared" si="106"/>
        <v/>
      </c>
      <c r="H117" s="268" t="str">
        <f t="shared" si="106"/>
        <v/>
      </c>
      <c r="I117" s="268" t="str">
        <f t="shared" si="106"/>
        <v/>
      </c>
      <c r="J117" s="268">
        <f t="shared" si="106"/>
        <v>-0.99509638866972738</v>
      </c>
      <c r="K117" s="268" t="str">
        <f t="shared" si="106"/>
        <v/>
      </c>
      <c r="L117" s="268" t="str">
        <f t="shared" si="106"/>
        <v/>
      </c>
      <c r="M117" s="268" t="str">
        <f t="shared" si="106"/>
        <v/>
      </c>
      <c r="N117" s="268" t="str">
        <f t="shared" si="106"/>
        <v/>
      </c>
      <c r="O117" s="268">
        <f t="shared" si="106"/>
        <v>0.16702406238288231</v>
      </c>
      <c r="P117" s="268" t="str">
        <f t="shared" si="106"/>
        <v/>
      </c>
      <c r="Q117" s="268" t="str">
        <f t="shared" si="106"/>
        <v/>
      </c>
      <c r="R117" s="268" t="str">
        <f t="shared" si="106"/>
        <v/>
      </c>
      <c r="S117" s="268" t="str">
        <f t="shared" si="106"/>
        <v/>
      </c>
      <c r="T117" s="268" t="str">
        <f t="shared" si="106"/>
        <v/>
      </c>
      <c r="U117" s="268" t="str">
        <f t="shared" si="106"/>
        <v/>
      </c>
      <c r="V117" s="268" t="str">
        <f t="shared" si="106"/>
        <v/>
      </c>
      <c r="W117" s="268" t="str">
        <f t="shared" si="106"/>
        <v/>
      </c>
      <c r="X117" s="268" t="str">
        <f t="shared" si="106"/>
        <v/>
      </c>
      <c r="Y117" s="268" t="str">
        <f t="shared" si="106"/>
        <v/>
      </c>
      <c r="Z117" s="272">
        <f t="shared" si="106"/>
        <v>-0.52330373660514551</v>
      </c>
      <c r="AA117" s="273">
        <f t="shared" si="106"/>
        <v>-1</v>
      </c>
      <c r="AB117" s="269">
        <f t="shared" si="106"/>
        <v>-0.69167023779245929</v>
      </c>
    </row>
    <row r="118" spans="2:28" x14ac:dyDescent="0.25">
      <c r="B118" s="223" t="s">
        <v>477</v>
      </c>
      <c r="C118" s="268">
        <f t="shared" ref="C118:AB118" si="107">IF(C31&gt;0,C89/C31,"")</f>
        <v>-0.87346481524827324</v>
      </c>
      <c r="D118" s="268" t="str">
        <f t="shared" si="107"/>
        <v/>
      </c>
      <c r="E118" s="268" t="str">
        <f t="shared" si="107"/>
        <v/>
      </c>
      <c r="F118" s="268" t="str">
        <f t="shared" si="107"/>
        <v/>
      </c>
      <c r="G118" s="268" t="str">
        <f t="shared" si="107"/>
        <v/>
      </c>
      <c r="H118" s="268" t="str">
        <f t="shared" si="107"/>
        <v/>
      </c>
      <c r="I118" s="268" t="str">
        <f t="shared" si="107"/>
        <v/>
      </c>
      <c r="J118" s="268" t="str">
        <f t="shared" si="107"/>
        <v/>
      </c>
      <c r="K118" s="268" t="str">
        <f t="shared" si="107"/>
        <v/>
      </c>
      <c r="L118" s="268" t="str">
        <f t="shared" si="107"/>
        <v/>
      </c>
      <c r="M118" s="268" t="str">
        <f t="shared" si="107"/>
        <v/>
      </c>
      <c r="N118" s="268">
        <f t="shared" si="107"/>
        <v>-1</v>
      </c>
      <c r="O118" s="268">
        <f t="shared" si="107"/>
        <v>-0.9305777899467198</v>
      </c>
      <c r="P118" s="268">
        <f t="shared" si="107"/>
        <v>-0.36071315241768104</v>
      </c>
      <c r="Q118" s="268">
        <f t="shared" si="107"/>
        <v>-0.99374936692806914</v>
      </c>
      <c r="R118" s="268" t="str">
        <f t="shared" si="107"/>
        <v/>
      </c>
      <c r="S118" s="268" t="str">
        <f t="shared" si="107"/>
        <v/>
      </c>
      <c r="T118" s="268" t="str">
        <f t="shared" si="107"/>
        <v/>
      </c>
      <c r="U118" s="268" t="str">
        <f t="shared" si="107"/>
        <v/>
      </c>
      <c r="V118" s="268" t="str">
        <f t="shared" si="107"/>
        <v/>
      </c>
      <c r="W118" s="268" t="str">
        <f t="shared" si="107"/>
        <v/>
      </c>
      <c r="X118" s="268" t="str">
        <f t="shared" si="107"/>
        <v/>
      </c>
      <c r="Y118" s="268" t="str">
        <f t="shared" si="107"/>
        <v/>
      </c>
      <c r="Z118" s="273">
        <f t="shared" si="107"/>
        <v>-1</v>
      </c>
      <c r="AA118" s="272">
        <f t="shared" si="107"/>
        <v>-0.58741268534998026</v>
      </c>
      <c r="AB118" s="269">
        <f t="shared" si="107"/>
        <v>-0.81726593670055292</v>
      </c>
    </row>
    <row r="119" spans="2:28" x14ac:dyDescent="0.25">
      <c r="B119" s="229" t="s">
        <v>29</v>
      </c>
      <c r="C119" s="270">
        <f t="shared" ref="C119:AB119" si="108">IF(C32&gt;0,C90/C32,"")</f>
        <v>-0.17052841971247984</v>
      </c>
      <c r="D119" s="270">
        <f t="shared" si="108"/>
        <v>-0.64240661318204495</v>
      </c>
      <c r="E119" s="270">
        <f t="shared" si="108"/>
        <v>-0.32906368031957689</v>
      </c>
      <c r="F119" s="270">
        <f t="shared" si="108"/>
        <v>-6.8872201050523593E-2</v>
      </c>
      <c r="G119" s="270">
        <f t="shared" si="108"/>
        <v>-0.40650093465442261</v>
      </c>
      <c r="H119" s="270">
        <f t="shared" si="108"/>
        <v>-0.55539843300325864</v>
      </c>
      <c r="I119" s="270">
        <f t="shared" si="108"/>
        <v>-0.33219989247840348</v>
      </c>
      <c r="J119" s="270">
        <f t="shared" si="108"/>
        <v>-0.59050198074559324</v>
      </c>
      <c r="K119" s="270">
        <f t="shared" si="108"/>
        <v>-0.85224265317823833</v>
      </c>
      <c r="L119" s="270">
        <f t="shared" si="108"/>
        <v>-0.86348823298360333</v>
      </c>
      <c r="M119" s="270">
        <f t="shared" si="108"/>
        <v>-0.89747337024380991</v>
      </c>
      <c r="N119" s="270">
        <f t="shared" si="108"/>
        <v>-0.8101933181330897</v>
      </c>
      <c r="O119" s="270">
        <f t="shared" si="108"/>
        <v>-0.88239030516743278</v>
      </c>
      <c r="P119" s="270">
        <f t="shared" si="108"/>
        <v>-0.78168734609023871</v>
      </c>
      <c r="Q119" s="270">
        <f t="shared" si="108"/>
        <v>-0.89951146250749114</v>
      </c>
      <c r="R119" s="270" t="str">
        <f t="shared" si="108"/>
        <v/>
      </c>
      <c r="S119" s="270" t="str">
        <f t="shared" si="108"/>
        <v/>
      </c>
      <c r="T119" s="270">
        <f t="shared" si="108"/>
        <v>-0.85520488772425163</v>
      </c>
      <c r="U119" s="270" t="str">
        <f t="shared" si="108"/>
        <v/>
      </c>
      <c r="V119" s="270">
        <f t="shared" si="108"/>
        <v>-0.93382541179177103</v>
      </c>
      <c r="W119" s="270">
        <f t="shared" si="108"/>
        <v>-0.80878858201198245</v>
      </c>
      <c r="X119" s="270">
        <f t="shared" si="108"/>
        <v>0.58800913543404287</v>
      </c>
      <c r="Y119" s="270">
        <f t="shared" si="108"/>
        <v>-0.90008195732659435</v>
      </c>
      <c r="Z119" s="270">
        <f t="shared" si="108"/>
        <v>-0.8331295503738303</v>
      </c>
      <c r="AA119" s="270">
        <f t="shared" si="108"/>
        <v>-0.89826814698058199</v>
      </c>
      <c r="AB119" s="271">
        <f t="shared" si="108"/>
        <v>-0.44208921297389048</v>
      </c>
    </row>
  </sheetData>
  <mergeCells count="23">
    <mergeCell ref="BD5:BD6"/>
    <mergeCell ref="B5:B6"/>
    <mergeCell ref="C5:Z5"/>
    <mergeCell ref="AB5:AB6"/>
    <mergeCell ref="AD5:AD6"/>
    <mergeCell ref="AE5:BB5"/>
    <mergeCell ref="AD63:AD64"/>
    <mergeCell ref="AE63:BB63"/>
    <mergeCell ref="BD63:BD64"/>
    <mergeCell ref="B34:B35"/>
    <mergeCell ref="C34:Z34"/>
    <mergeCell ref="AB34:AB35"/>
    <mergeCell ref="AD34:AD35"/>
    <mergeCell ref="AE34:BB34"/>
    <mergeCell ref="BD34:BD35"/>
    <mergeCell ref="A1:B1"/>
    <mergeCell ref="B92:B93"/>
    <mergeCell ref="C92:Z92"/>
    <mergeCell ref="AB92:AB93"/>
    <mergeCell ref="B63:B64"/>
    <mergeCell ref="C63:Z63"/>
    <mergeCell ref="AB63:AB64"/>
    <mergeCell ref="D2:F2"/>
  </mergeCells>
  <conditionalFormatting sqref="AE65:BC89">
    <cfRule type="colorScale" priority="4">
      <colorScale>
        <cfvo type="min"/>
        <cfvo type="percentile" val="50"/>
        <cfvo type="max"/>
        <color rgb="FFF8696B"/>
        <color rgb="FFFFEB84"/>
        <color rgb="FF63BE7B"/>
      </colorScale>
    </cfRule>
  </conditionalFormatting>
  <conditionalFormatting sqref="AE36:BC60">
    <cfRule type="colorScale" priority="3">
      <colorScale>
        <cfvo type="min"/>
        <cfvo type="max"/>
        <color rgb="FFFCFCFF"/>
        <color rgb="FF63BE7B"/>
      </colorScale>
    </cfRule>
  </conditionalFormatting>
  <conditionalFormatting sqref="AE7:BC31">
    <cfRule type="colorScale" priority="2">
      <colorScale>
        <cfvo type="min"/>
        <cfvo type="max"/>
        <color rgb="FFFCFCFF"/>
        <color rgb="FF63BE7B"/>
      </colorScale>
    </cfRule>
  </conditionalFormatting>
  <conditionalFormatting sqref="C94:AA118">
    <cfRule type="colorScale" priority="1">
      <colorScale>
        <cfvo type="min"/>
        <cfvo type="percentile" val="50"/>
        <cfvo type="max"/>
        <color rgb="FFF8696B"/>
        <color rgb="FFFFEB84"/>
        <color rgb="FF63BE7B"/>
      </colorScale>
    </cfRule>
  </conditionalFormatting>
  <hyperlinks>
    <hyperlink ref="A1" location="Index!A1" display="Index"/>
  </hyperlinks>
  <pageMargins left="0.7" right="0.7" top="0.75" bottom="0.75" header="0.3" footer="0.3"/>
  <pageSetup orientation="portrait" r:id="rId1"/>
  <drawing r:id="rId2"/>
  <legacyDrawing r:id="rId3"/>
  <controls>
    <mc:AlternateContent xmlns:mc="http://schemas.openxmlformats.org/markup-compatibility/2006">
      <mc:Choice Requires="x14">
        <control shapeId="4100" r:id="rId4" name="CheckBox2">
          <controlPr defaultSize="0" autoLine="0" linkedCell="F3" r:id="rId5">
            <anchor moveWithCells="1">
              <from>
                <xdr:col>4</xdr:col>
                <xdr:colOff>647700</xdr:colOff>
                <xdr:row>1</xdr:row>
                <xdr:rowOff>228600</xdr:rowOff>
              </from>
              <to>
                <xdr:col>6</xdr:col>
                <xdr:colOff>114300</xdr:colOff>
                <xdr:row>3</xdr:row>
                <xdr:rowOff>76200</xdr:rowOff>
              </to>
            </anchor>
          </controlPr>
        </control>
      </mc:Choice>
      <mc:Fallback>
        <control shapeId="4100" r:id="rId4" name="CheckBox2"/>
      </mc:Fallback>
    </mc:AlternateContent>
    <mc:AlternateContent xmlns:mc="http://schemas.openxmlformats.org/markup-compatibility/2006">
      <mc:Choice Requires="x14">
        <control shapeId="4097" r:id="rId6" name="CheckBox1">
          <controlPr defaultSize="0" autoLine="0" linkedCell="D3" r:id="rId7">
            <anchor moveWithCells="1">
              <from>
                <xdr:col>2</xdr:col>
                <xdr:colOff>809625</xdr:colOff>
                <xdr:row>1</xdr:row>
                <xdr:rowOff>209550</xdr:rowOff>
              </from>
              <to>
                <xdr:col>4</xdr:col>
                <xdr:colOff>38100</xdr:colOff>
                <xdr:row>3</xdr:row>
                <xdr:rowOff>114300</xdr:rowOff>
              </to>
            </anchor>
          </controlPr>
        </control>
      </mc:Choice>
      <mc:Fallback>
        <control shapeId="4097" r:id="rId6" name="CheckBox1"/>
      </mc:Fallback>
    </mc:AlternateContent>
  </control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B105"/>
  <sheetViews>
    <sheetView topLeftCell="AB9" zoomScale="96" zoomScaleNormal="96" workbookViewId="0">
      <selection activeCell="AB29" sqref="AB29:AZ53"/>
    </sheetView>
  </sheetViews>
  <sheetFormatPr defaultRowHeight="15" x14ac:dyDescent="0.25"/>
  <sheetData>
    <row r="1" spans="1:80" x14ac:dyDescent="0.25">
      <c r="A1" t="s">
        <v>7</v>
      </c>
      <c r="AA1" t="s">
        <v>3</v>
      </c>
    </row>
    <row r="2" spans="1:80" x14ac:dyDescent="0.25">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B2">
        <v>1</v>
      </c>
      <c r="AC2">
        <v>2</v>
      </c>
      <c r="AD2">
        <v>3</v>
      </c>
      <c r="AE2">
        <v>4</v>
      </c>
      <c r="AF2">
        <v>5</v>
      </c>
      <c r="AG2">
        <v>6</v>
      </c>
      <c r="AH2">
        <v>7</v>
      </c>
      <c r="AI2">
        <v>8</v>
      </c>
      <c r="AJ2">
        <v>9</v>
      </c>
      <c r="AK2">
        <v>10</v>
      </c>
      <c r="AL2">
        <v>11</v>
      </c>
      <c r="AM2">
        <v>12</v>
      </c>
      <c r="AN2">
        <v>13</v>
      </c>
      <c r="AO2">
        <v>14</v>
      </c>
      <c r="AP2">
        <v>15</v>
      </c>
      <c r="AQ2">
        <v>16</v>
      </c>
      <c r="AR2">
        <v>17</v>
      </c>
      <c r="AS2">
        <v>18</v>
      </c>
      <c r="AT2">
        <v>19</v>
      </c>
      <c r="AU2">
        <v>20</v>
      </c>
      <c r="AV2">
        <v>21</v>
      </c>
      <c r="AW2">
        <v>22</v>
      </c>
      <c r="AX2">
        <v>23</v>
      </c>
      <c r="AY2">
        <v>24</v>
      </c>
      <c r="AZ2">
        <v>25</v>
      </c>
      <c r="BD2">
        <v>1</v>
      </c>
      <c r="BE2">
        <v>2</v>
      </c>
      <c r="BF2">
        <v>3</v>
      </c>
      <c r="BG2">
        <v>4</v>
      </c>
      <c r="BH2">
        <v>5</v>
      </c>
      <c r="BI2">
        <v>6</v>
      </c>
      <c r="BJ2">
        <v>7</v>
      </c>
      <c r="BK2">
        <v>8</v>
      </c>
      <c r="BL2">
        <v>9</v>
      </c>
      <c r="BM2">
        <v>10</v>
      </c>
      <c r="BN2">
        <v>11</v>
      </c>
      <c r="BO2">
        <v>12</v>
      </c>
      <c r="BP2">
        <v>13</v>
      </c>
      <c r="BQ2">
        <v>14</v>
      </c>
      <c r="BR2">
        <v>15</v>
      </c>
      <c r="BS2">
        <v>16</v>
      </c>
      <c r="BT2">
        <v>17</v>
      </c>
      <c r="BU2">
        <v>18</v>
      </c>
      <c r="BV2">
        <v>19</v>
      </c>
      <c r="BW2">
        <v>20</v>
      </c>
      <c r="BX2">
        <v>21</v>
      </c>
      <c r="BY2">
        <v>22</v>
      </c>
      <c r="BZ2">
        <v>23</v>
      </c>
      <c r="CA2">
        <v>24</v>
      </c>
      <c r="CB2">
        <v>25</v>
      </c>
    </row>
    <row r="3" spans="1:80" x14ac:dyDescent="0.25">
      <c r="A3">
        <v>1</v>
      </c>
      <c r="B3">
        <f>IF(ISNA(VLOOKUP($A3,SXS_Transit_input!$A$5:$W$26,MATCH(SXS_Transit_temp!B$2,SXS_Transit_input!$B$4:$W$4,0)+1,FALSE)),0,VLOOKUP($A3,SXS_Transit_input!$A$5:$W$26,MATCH(SXS_Transit_temp!B$2,SXS_Transit_input!$B$4:$W$4,0)+1,FALSE))+IF(ISNA(VLOOKUP($A3,SXS_Transit_input!$A$53:$R$69,MATCH(SXS_Transit_temp!B$2,SXS_Transit_input!$B$52:$R$52,0)+1,FALSE)),0,VLOOKUP($A3,SXS_Transit_input!$A$53:$R$69,MATCH(SXS_Transit_temp!B$2,SXS_Transit_input!$B$52:$R$52,0)+1,FALSE))</f>
        <v>114169.48982</v>
      </c>
      <c r="C3">
        <f>IF(ISNA(VLOOKUP($A3,SXS_Transit_input!$A$5:$W$26,MATCH(SXS_Transit_temp!C$2,SXS_Transit_input!$B$4:$W$4,0)+1,FALSE)),0,VLOOKUP($A3,SXS_Transit_input!$A$5:$W$26,MATCH(SXS_Transit_temp!C$2,SXS_Transit_input!$B$4:$W$4,0)+1,FALSE))+IF(ISNA(VLOOKUP($A3,SXS_Transit_input!$A$53:$R$69,MATCH(SXS_Transit_temp!C$2,SXS_Transit_input!$B$52:$R$52,0)+1,FALSE)),0,VLOOKUP($A3,SXS_Transit_input!$A$53:$R$69,MATCH(SXS_Transit_temp!C$2,SXS_Transit_input!$B$52:$R$52,0)+1,FALSE))</f>
        <v>133194.31599</v>
      </c>
      <c r="D3">
        <f>IF(ISNA(VLOOKUP($A3,SXS_Transit_input!$A$5:$W$26,MATCH(SXS_Transit_temp!D$2,SXS_Transit_input!$B$4:$W$4,0)+1,FALSE)),0,VLOOKUP($A3,SXS_Transit_input!$A$5:$W$26,MATCH(SXS_Transit_temp!D$2,SXS_Transit_input!$B$4:$W$4,0)+1,FALSE))+IF(ISNA(VLOOKUP($A3,SXS_Transit_input!$A$53:$R$69,MATCH(SXS_Transit_temp!D$2,SXS_Transit_input!$B$52:$R$52,0)+1,FALSE)),0,VLOOKUP($A3,SXS_Transit_input!$A$53:$R$69,MATCH(SXS_Transit_temp!D$2,SXS_Transit_input!$B$52:$R$52,0)+1,FALSE))</f>
        <v>21831.221310000001</v>
      </c>
      <c r="E3">
        <f>IF(ISNA(VLOOKUP($A3,SXS_Transit_input!$A$5:$W$26,MATCH(SXS_Transit_temp!E$2,SXS_Transit_input!$B$4:$W$4,0)+1,FALSE)),0,VLOOKUP($A3,SXS_Transit_input!$A$5:$W$26,MATCH(SXS_Transit_temp!E$2,SXS_Transit_input!$B$4:$W$4,0)+1,FALSE))+IF(ISNA(VLOOKUP($A3,SXS_Transit_input!$A$53:$R$69,MATCH(SXS_Transit_temp!E$2,SXS_Transit_input!$B$52:$R$52,0)+1,FALSE)),0,VLOOKUP($A3,SXS_Transit_input!$A$53:$R$69,MATCH(SXS_Transit_temp!E$2,SXS_Transit_input!$B$52:$R$52,0)+1,FALSE))</f>
        <v>6114.9969300000002</v>
      </c>
      <c r="F3">
        <f>IF(ISNA(VLOOKUP($A3,SXS_Transit_input!$A$5:$W$26,MATCH(SXS_Transit_temp!F$2,SXS_Transit_input!$B$4:$W$4,0)+1,FALSE)),0,VLOOKUP($A3,SXS_Transit_input!$A$5:$W$26,MATCH(SXS_Transit_temp!F$2,SXS_Transit_input!$B$4:$W$4,0)+1,FALSE))+IF(ISNA(VLOOKUP($A3,SXS_Transit_input!$A$53:$R$69,MATCH(SXS_Transit_temp!F$2,SXS_Transit_input!$B$52:$R$52,0)+1,FALSE)),0,VLOOKUP($A3,SXS_Transit_input!$A$53:$R$69,MATCH(SXS_Transit_temp!F$2,SXS_Transit_input!$B$52:$R$52,0)+1,FALSE))</f>
        <v>21759.53614</v>
      </c>
      <c r="G3">
        <f>IF(ISNA(VLOOKUP($A3,SXS_Transit_input!$A$5:$W$26,MATCH(SXS_Transit_temp!G$2,SXS_Transit_input!$B$4:$W$4,0)+1,FALSE)),0,VLOOKUP($A3,SXS_Transit_input!$A$5:$W$26,MATCH(SXS_Transit_temp!G$2,SXS_Transit_input!$B$4:$W$4,0)+1,FALSE))+IF(ISNA(VLOOKUP($A3,SXS_Transit_input!$A$53:$R$69,MATCH(SXS_Transit_temp!G$2,SXS_Transit_input!$B$52:$R$52,0)+1,FALSE)),0,VLOOKUP($A3,SXS_Transit_input!$A$53:$R$69,MATCH(SXS_Transit_temp!G$2,SXS_Transit_input!$B$52:$R$52,0)+1,FALSE))</f>
        <v>13873.25265</v>
      </c>
      <c r="H3">
        <f>IF(ISNA(VLOOKUP($A3,SXS_Transit_input!$A$5:$W$26,MATCH(SXS_Transit_temp!H$2,SXS_Transit_input!$B$4:$W$4,0)+1,FALSE)),0,VLOOKUP($A3,SXS_Transit_input!$A$5:$W$26,MATCH(SXS_Transit_temp!H$2,SXS_Transit_input!$B$4:$W$4,0)+1,FALSE))+IF(ISNA(VLOOKUP($A3,SXS_Transit_input!$A$53:$R$69,MATCH(SXS_Transit_temp!H$2,SXS_Transit_input!$B$52:$R$52,0)+1,FALSE)),0,VLOOKUP($A3,SXS_Transit_input!$A$53:$R$69,MATCH(SXS_Transit_temp!H$2,SXS_Transit_input!$B$52:$R$52,0)+1,FALSE))</f>
        <v>12929.127339999999</v>
      </c>
      <c r="I3">
        <f>IF(ISNA(VLOOKUP($A3,SXS_Transit_input!$A$5:$W$26,MATCH(SXS_Transit_temp!I$2,SXS_Transit_input!$B$4:$W$4,0)+1,FALSE)),0,VLOOKUP($A3,SXS_Transit_input!$A$5:$W$26,MATCH(SXS_Transit_temp!I$2,SXS_Transit_input!$B$4:$W$4,0)+1,FALSE))+IF(ISNA(VLOOKUP($A3,SXS_Transit_input!$A$53:$R$69,MATCH(SXS_Transit_temp!I$2,SXS_Transit_input!$B$52:$R$52,0)+1,FALSE)),0,VLOOKUP($A3,SXS_Transit_input!$A$53:$R$69,MATCH(SXS_Transit_temp!I$2,SXS_Transit_input!$B$52:$R$52,0)+1,FALSE))</f>
        <v>44839.558600000004</v>
      </c>
      <c r="J3">
        <f>IF(ISNA(VLOOKUP($A3,SXS_Transit_input!$A$5:$W$26,MATCH(SXS_Transit_temp!J$2,SXS_Transit_input!$B$4:$W$4,0)+1,FALSE)),0,VLOOKUP($A3,SXS_Transit_input!$A$5:$W$26,MATCH(SXS_Transit_temp!J$2,SXS_Transit_input!$B$4:$W$4,0)+1,FALSE))+IF(ISNA(VLOOKUP($A3,SXS_Transit_input!$A$53:$R$69,MATCH(SXS_Transit_temp!J$2,SXS_Transit_input!$B$52:$R$52,0)+1,FALSE)),0,VLOOKUP($A3,SXS_Transit_input!$A$53:$R$69,MATCH(SXS_Transit_temp!J$2,SXS_Transit_input!$B$52:$R$52,0)+1,FALSE))</f>
        <v>11223.19224</v>
      </c>
      <c r="K3">
        <f>IF(ISNA(VLOOKUP($A3,SXS_Transit_input!$A$5:$W$26,MATCH(SXS_Transit_temp!K$2,SXS_Transit_input!$B$4:$W$4,0)+1,FALSE)),0,VLOOKUP($A3,SXS_Transit_input!$A$5:$W$26,MATCH(SXS_Transit_temp!K$2,SXS_Transit_input!$B$4:$W$4,0)+1,FALSE))+IF(ISNA(VLOOKUP($A3,SXS_Transit_input!$A$53:$R$69,MATCH(SXS_Transit_temp!K$2,SXS_Transit_input!$B$52:$R$52,0)+1,FALSE)),0,VLOOKUP($A3,SXS_Transit_input!$A$53:$R$69,MATCH(SXS_Transit_temp!K$2,SXS_Transit_input!$B$52:$R$52,0)+1,FALSE))</f>
        <v>9331.8160500000013</v>
      </c>
      <c r="L3">
        <f>IF(ISNA(VLOOKUP($A3,SXS_Transit_input!$A$5:$W$26,MATCH(SXS_Transit_temp!L$2,SXS_Transit_input!$B$4:$W$4,0)+1,FALSE)),0,VLOOKUP($A3,SXS_Transit_input!$A$5:$W$26,MATCH(SXS_Transit_temp!L$2,SXS_Transit_input!$B$4:$W$4,0)+1,FALSE))+IF(ISNA(VLOOKUP($A3,SXS_Transit_input!$A$53:$R$69,MATCH(SXS_Transit_temp!L$2,SXS_Transit_input!$B$52:$R$52,0)+1,FALSE)),0,VLOOKUP($A3,SXS_Transit_input!$A$53:$R$69,MATCH(SXS_Transit_temp!L$2,SXS_Transit_input!$B$52:$R$52,0)+1,FALSE))</f>
        <v>13103.137299999999</v>
      </c>
      <c r="M3">
        <f>IF(ISNA(VLOOKUP($A3,SXS_Transit_input!$A$5:$W$26,MATCH(SXS_Transit_temp!M$2,SXS_Transit_input!$B$4:$W$4,0)+1,FALSE)),0,VLOOKUP($A3,SXS_Transit_input!$A$5:$W$26,MATCH(SXS_Transit_temp!M$2,SXS_Transit_input!$B$4:$W$4,0)+1,FALSE))+IF(ISNA(VLOOKUP($A3,SXS_Transit_input!$A$53:$R$69,MATCH(SXS_Transit_temp!M$2,SXS_Transit_input!$B$52:$R$52,0)+1,FALSE)),0,VLOOKUP($A3,SXS_Transit_input!$A$53:$R$69,MATCH(SXS_Transit_temp!M$2,SXS_Transit_input!$B$52:$R$52,0)+1,FALSE))</f>
        <v>11946.94</v>
      </c>
      <c r="N3">
        <f>IF(ISNA(VLOOKUP($A3,SXS_Transit_input!$A$5:$W$26,MATCH(SXS_Transit_temp!N$2,SXS_Transit_input!$B$4:$W$4,0)+1,FALSE)),0,VLOOKUP($A3,SXS_Transit_input!$A$5:$W$26,MATCH(SXS_Transit_temp!N$2,SXS_Transit_input!$B$4:$W$4,0)+1,FALSE))+IF(ISNA(VLOOKUP($A3,SXS_Transit_input!$A$53:$R$69,MATCH(SXS_Transit_temp!N$2,SXS_Transit_input!$B$52:$R$52,0)+1,FALSE)),0,VLOOKUP($A3,SXS_Transit_input!$A$53:$R$69,MATCH(SXS_Transit_temp!N$2,SXS_Transit_input!$B$52:$R$52,0)+1,FALSE))</f>
        <v>38157.862429999994</v>
      </c>
      <c r="O3">
        <f>IF(ISNA(VLOOKUP($A3,SXS_Transit_input!$A$5:$W$26,MATCH(SXS_Transit_temp!O$2,SXS_Transit_input!$B$4:$W$4,0)+1,FALSE)),0,VLOOKUP($A3,SXS_Transit_input!$A$5:$W$26,MATCH(SXS_Transit_temp!O$2,SXS_Transit_input!$B$4:$W$4,0)+1,FALSE))+IF(ISNA(VLOOKUP($A3,SXS_Transit_input!$A$53:$R$69,MATCH(SXS_Transit_temp!O$2,SXS_Transit_input!$B$52:$R$52,0)+1,FALSE)),0,VLOOKUP($A3,SXS_Transit_input!$A$53:$R$69,MATCH(SXS_Transit_temp!O$2,SXS_Transit_input!$B$52:$R$52,0)+1,FALSE))</f>
        <v>12487.11218</v>
      </c>
      <c r="P3">
        <f>IF(ISNA(VLOOKUP($A3,SXS_Transit_input!$A$5:$W$26,MATCH(SXS_Transit_temp!P$2,SXS_Transit_input!$B$4:$W$4,0)+1,FALSE)),0,VLOOKUP($A3,SXS_Transit_input!$A$5:$W$26,MATCH(SXS_Transit_temp!P$2,SXS_Transit_input!$B$4:$W$4,0)+1,FALSE))+IF(ISNA(VLOOKUP($A3,SXS_Transit_input!$A$53:$R$69,MATCH(SXS_Transit_temp!P$2,SXS_Transit_input!$B$52:$R$52,0)+1,FALSE)),0,VLOOKUP($A3,SXS_Transit_input!$A$53:$R$69,MATCH(SXS_Transit_temp!P$2,SXS_Transit_input!$B$52:$R$52,0)+1,FALSE))</f>
        <v>10689.96694</v>
      </c>
      <c r="Q3">
        <f>IF(ISNA(VLOOKUP($A3,SXS_Transit_input!$A$5:$W$26,MATCH(SXS_Transit_temp!Q$2,SXS_Transit_input!$B$4:$W$4,0)+1,FALSE)),0,VLOOKUP($A3,SXS_Transit_input!$A$5:$W$26,MATCH(SXS_Transit_temp!Q$2,SXS_Transit_input!$B$4:$W$4,0)+1,FALSE))+IF(ISNA(VLOOKUP($A3,SXS_Transit_input!$A$53:$R$69,MATCH(SXS_Transit_temp!Q$2,SXS_Transit_input!$B$52:$R$52,0)+1,FALSE)),0,VLOOKUP($A3,SXS_Transit_input!$A$53:$R$69,MATCH(SXS_Transit_temp!Q$2,SXS_Transit_input!$B$52:$R$52,0)+1,FALSE))</f>
        <v>0</v>
      </c>
      <c r="R3">
        <f>IF(ISNA(VLOOKUP($A3,SXS_Transit_input!$A$5:$W$26,MATCH(SXS_Transit_temp!R$2,SXS_Transit_input!$B$4:$W$4,0)+1,FALSE)),0,VLOOKUP($A3,SXS_Transit_input!$A$5:$W$26,MATCH(SXS_Transit_temp!R$2,SXS_Transit_input!$B$4:$W$4,0)+1,FALSE))+IF(ISNA(VLOOKUP($A3,SXS_Transit_input!$A$53:$R$69,MATCH(SXS_Transit_temp!R$2,SXS_Transit_input!$B$52:$R$52,0)+1,FALSE)),0,VLOOKUP($A3,SXS_Transit_input!$A$53:$R$69,MATCH(SXS_Transit_temp!R$2,SXS_Transit_input!$B$52:$R$52,0)+1,FALSE))</f>
        <v>0</v>
      </c>
      <c r="S3">
        <f>IF(ISNA(VLOOKUP($A3,SXS_Transit_input!$A$5:$W$26,MATCH(SXS_Transit_temp!S$2,SXS_Transit_input!$B$4:$W$4,0)+1,FALSE)),0,VLOOKUP($A3,SXS_Transit_input!$A$5:$W$26,MATCH(SXS_Transit_temp!S$2,SXS_Transit_input!$B$4:$W$4,0)+1,FALSE))+IF(ISNA(VLOOKUP($A3,SXS_Transit_input!$A$53:$R$69,MATCH(SXS_Transit_temp!S$2,SXS_Transit_input!$B$52:$R$52,0)+1,FALSE)),0,VLOOKUP($A3,SXS_Transit_input!$A$53:$R$69,MATCH(SXS_Transit_temp!S$2,SXS_Transit_input!$B$52:$R$52,0)+1,FALSE))</f>
        <v>139.98264</v>
      </c>
      <c r="T3">
        <f>IF(ISNA(VLOOKUP($A3,SXS_Transit_input!$A$5:$W$26,MATCH(SXS_Transit_temp!T$2,SXS_Transit_input!$B$4:$W$4,0)+1,FALSE)),0,VLOOKUP($A3,SXS_Transit_input!$A$5:$W$26,MATCH(SXS_Transit_temp!T$2,SXS_Transit_input!$B$4:$W$4,0)+1,FALSE))+IF(ISNA(VLOOKUP($A3,SXS_Transit_input!$A$53:$R$69,MATCH(SXS_Transit_temp!T$2,SXS_Transit_input!$B$52:$R$52,0)+1,FALSE)),0,VLOOKUP($A3,SXS_Transit_input!$A$53:$R$69,MATCH(SXS_Transit_temp!T$2,SXS_Transit_input!$B$52:$R$52,0)+1,FALSE))</f>
        <v>0</v>
      </c>
      <c r="U3">
        <f>IF(ISNA(VLOOKUP($A3,SXS_Transit_input!$A$5:$W$26,MATCH(SXS_Transit_temp!U$2,SXS_Transit_input!$B$4:$W$4,0)+1,FALSE)),0,VLOOKUP($A3,SXS_Transit_input!$A$5:$W$26,MATCH(SXS_Transit_temp!U$2,SXS_Transit_input!$B$4:$W$4,0)+1,FALSE))+IF(ISNA(VLOOKUP($A3,SXS_Transit_input!$A$53:$R$69,MATCH(SXS_Transit_temp!U$2,SXS_Transit_input!$B$52:$R$52,0)+1,FALSE)),0,VLOOKUP($A3,SXS_Transit_input!$A$53:$R$69,MATCH(SXS_Transit_temp!U$2,SXS_Transit_input!$B$52:$R$52,0)+1,FALSE))</f>
        <v>16256.16662</v>
      </c>
      <c r="V3">
        <f>IF(ISNA(VLOOKUP($A3,SXS_Transit_input!$A$5:$W$26,MATCH(SXS_Transit_temp!V$2,SXS_Transit_input!$B$4:$W$4,0)+1,FALSE)),0,VLOOKUP($A3,SXS_Transit_input!$A$5:$W$26,MATCH(SXS_Transit_temp!V$2,SXS_Transit_input!$B$4:$W$4,0)+1,FALSE))+IF(ISNA(VLOOKUP($A3,SXS_Transit_input!$A$53:$R$69,MATCH(SXS_Transit_temp!V$2,SXS_Transit_input!$B$52:$R$52,0)+1,FALSE)),0,VLOOKUP($A3,SXS_Transit_input!$A$53:$R$69,MATCH(SXS_Transit_temp!V$2,SXS_Transit_input!$B$52:$R$52,0)+1,FALSE))</f>
        <v>11254.44529</v>
      </c>
      <c r="W3">
        <f>IF(ISNA(VLOOKUP($A3,SXS_Transit_input!$A$5:$W$26,MATCH(SXS_Transit_temp!W$2,SXS_Transit_input!$B$4:$W$4,0)+1,FALSE)),0,VLOOKUP($A3,SXS_Transit_input!$A$5:$W$26,MATCH(SXS_Transit_temp!W$2,SXS_Transit_input!$B$4:$W$4,0)+1,FALSE))+IF(ISNA(VLOOKUP($A3,SXS_Transit_input!$A$53:$R$69,MATCH(SXS_Transit_temp!W$2,SXS_Transit_input!$B$52:$R$52,0)+1,FALSE)),0,VLOOKUP($A3,SXS_Transit_input!$A$53:$R$69,MATCH(SXS_Transit_temp!W$2,SXS_Transit_input!$B$52:$R$52,0)+1,FALSE))</f>
        <v>1051.2599700000001</v>
      </c>
      <c r="X3">
        <f>IF(ISNA(VLOOKUP($A3,SXS_Transit_input!$A$5:$W$26,MATCH(SXS_Transit_temp!X$2,SXS_Transit_input!$B$4:$W$4,0)+1,FALSE)),0,VLOOKUP($A3,SXS_Transit_input!$A$5:$W$26,MATCH(SXS_Transit_temp!X$2,SXS_Transit_input!$B$4:$W$4,0)+1,FALSE))+IF(ISNA(VLOOKUP($A3,SXS_Transit_input!$A$53:$R$69,MATCH(SXS_Transit_temp!X$2,SXS_Transit_input!$B$52:$R$52,0)+1,FALSE)),0,VLOOKUP($A3,SXS_Transit_input!$A$53:$R$69,MATCH(SXS_Transit_temp!X$2,SXS_Transit_input!$B$52:$R$52,0)+1,FALSE))</f>
        <v>907.54295999999999</v>
      </c>
      <c r="Y3">
        <f>IF(ISNA(VLOOKUP($A3,SXS_Transit_input!$A$5:$W$26,MATCH(SXS_Transit_temp!Y$2,SXS_Transit_input!$B$4:$W$4,0)+1,FALSE)),0,VLOOKUP($A3,SXS_Transit_input!$A$5:$W$26,MATCH(SXS_Transit_temp!Y$2,SXS_Transit_input!$B$4:$W$4,0)+1,FALSE))+IF(ISNA(VLOOKUP($A3,SXS_Transit_input!$A$53:$R$69,MATCH(SXS_Transit_temp!Y$2,SXS_Transit_input!$B$52:$R$52,0)+1,FALSE)),0,VLOOKUP($A3,SXS_Transit_input!$A$53:$R$69,MATCH(SXS_Transit_temp!Y$2,SXS_Transit_input!$B$52:$R$52,0)+1,FALSE))</f>
        <v>6711.8707100000001</v>
      </c>
      <c r="Z3">
        <f>IF(ISNA(VLOOKUP($A3,SXS_Transit_input!$A$5:$W$26,MATCH(SXS_Transit_temp!Z$2,SXS_Transit_input!$B$4:$W$4,0)+1,FALSE)),0,VLOOKUP($A3,SXS_Transit_input!$A$5:$W$26,MATCH(SXS_Transit_temp!Z$2,SXS_Transit_input!$B$4:$W$4,0)+1,FALSE))+IF(ISNA(VLOOKUP($A3,SXS_Transit_input!$A$53:$R$69,MATCH(SXS_Transit_temp!Z$2,SXS_Transit_input!$B$52:$R$52,0)+1,FALSE)),0,VLOOKUP($A3,SXS_Transit_input!$A$53:$R$69,MATCH(SXS_Transit_temp!Z$2,SXS_Transit_input!$B$52:$R$52,0)+1,FALSE))</f>
        <v>11365.98429</v>
      </c>
      <c r="AA3">
        <v>1</v>
      </c>
      <c r="AB3" s="30">
        <f>SUM(BD3,BD57)</f>
        <v>39197</v>
      </c>
      <c r="AC3" s="31">
        <f t="shared" ref="AC3:AZ13" si="0">SUM(BE3,BE57)</f>
        <v>7813</v>
      </c>
      <c r="AD3" s="31">
        <f t="shared" si="0"/>
        <v>2834</v>
      </c>
      <c r="AE3" s="31">
        <f t="shared" si="0"/>
        <v>1601</v>
      </c>
      <c r="AF3" s="31">
        <f t="shared" si="0"/>
        <v>1892</v>
      </c>
      <c r="AG3" s="31">
        <f t="shared" si="0"/>
        <v>1455</v>
      </c>
      <c r="AH3" s="31">
        <f t="shared" si="0"/>
        <v>1613</v>
      </c>
      <c r="AI3" s="31">
        <f t="shared" si="0"/>
        <v>3185</v>
      </c>
      <c r="AJ3" s="31">
        <f t="shared" si="0"/>
        <v>48</v>
      </c>
      <c r="AK3" s="31">
        <f t="shared" si="0"/>
        <v>20</v>
      </c>
      <c r="AL3" s="31">
        <f t="shared" si="0"/>
        <v>20</v>
      </c>
      <c r="AM3" s="31">
        <f t="shared" si="0"/>
        <v>71</v>
      </c>
      <c r="AN3" s="31">
        <f t="shared" si="0"/>
        <v>55</v>
      </c>
      <c r="AO3" s="31">
        <f t="shared" si="0"/>
        <v>64</v>
      </c>
      <c r="AP3" s="31">
        <f t="shared" si="0"/>
        <v>25</v>
      </c>
      <c r="AQ3" s="31">
        <f t="shared" si="0"/>
        <v>1</v>
      </c>
      <c r="AR3" s="31">
        <f t="shared" si="0"/>
        <v>0</v>
      </c>
      <c r="AS3" s="31">
        <f t="shared" si="0"/>
        <v>3</v>
      </c>
      <c r="AT3" s="31">
        <f t="shared" si="0"/>
        <v>0</v>
      </c>
      <c r="AU3" s="31">
        <f t="shared" si="0"/>
        <v>5</v>
      </c>
      <c r="AV3" s="31">
        <f t="shared" si="0"/>
        <v>11</v>
      </c>
      <c r="AW3" s="31">
        <f t="shared" si="0"/>
        <v>0</v>
      </c>
      <c r="AX3" s="31">
        <f t="shared" si="0"/>
        <v>0</v>
      </c>
      <c r="AY3" s="31">
        <f t="shared" si="0"/>
        <v>4</v>
      </c>
      <c r="AZ3" s="32">
        <f t="shared" si="0"/>
        <v>3</v>
      </c>
      <c r="BC3">
        <v>1</v>
      </c>
      <c r="BD3">
        <v>37813</v>
      </c>
      <c r="BE3">
        <v>7800</v>
      </c>
      <c r="BF3">
        <v>2829</v>
      </c>
      <c r="BG3">
        <v>1598</v>
      </c>
      <c r="BH3">
        <v>1890</v>
      </c>
      <c r="BI3">
        <v>1455</v>
      </c>
      <c r="BJ3">
        <v>1607</v>
      </c>
      <c r="BK3">
        <v>3177</v>
      </c>
      <c r="BL3">
        <v>46</v>
      </c>
      <c r="BM3">
        <v>20</v>
      </c>
      <c r="BN3">
        <v>20</v>
      </c>
      <c r="BO3">
        <v>71</v>
      </c>
      <c r="BP3">
        <v>55</v>
      </c>
      <c r="BQ3">
        <v>64</v>
      </c>
      <c r="BR3">
        <v>25</v>
      </c>
      <c r="BS3">
        <v>1</v>
      </c>
      <c r="BT3">
        <v>0</v>
      </c>
      <c r="BU3">
        <v>3</v>
      </c>
      <c r="BV3">
        <v>0</v>
      </c>
      <c r="BW3">
        <v>5</v>
      </c>
      <c r="BX3">
        <v>11</v>
      </c>
      <c r="BY3">
        <v>0</v>
      </c>
      <c r="BZ3">
        <v>0</v>
      </c>
      <c r="CA3">
        <v>4</v>
      </c>
      <c r="CB3">
        <v>3</v>
      </c>
    </row>
    <row r="4" spans="1:80" x14ac:dyDescent="0.25">
      <c r="A4">
        <v>2</v>
      </c>
      <c r="B4">
        <f>IF(ISNA(VLOOKUP($A4,SXS_Transit_input!$A$5:$W$26,MATCH(SXS_Transit_temp!B$2,SXS_Transit_input!$B$4:$W$4,0)+1,FALSE)),0,VLOOKUP($A4,SXS_Transit_input!$A$5:$W$26,MATCH(SXS_Transit_temp!B$2,SXS_Transit_input!$B$4:$W$4,0)+1,FALSE))+IF(ISNA(VLOOKUP($A4,SXS_Transit_input!$A$53:$R$69,MATCH(SXS_Transit_temp!B$2,SXS_Transit_input!$B$52:$R$52,0)+1,FALSE)),0,VLOOKUP($A4,SXS_Transit_input!$A$53:$R$69,MATCH(SXS_Transit_temp!B$2,SXS_Transit_input!$B$52:$R$52,0)+1,FALSE))</f>
        <v>135125.62771999999</v>
      </c>
      <c r="C4">
        <f>IF(ISNA(VLOOKUP($A4,SXS_Transit_input!$A$5:$W$26,MATCH(SXS_Transit_temp!C$2,SXS_Transit_input!$B$4:$W$4,0)+1,FALSE)),0,VLOOKUP($A4,SXS_Transit_input!$A$5:$W$26,MATCH(SXS_Transit_temp!C$2,SXS_Transit_input!$B$4:$W$4,0)+1,FALSE))+IF(ISNA(VLOOKUP($A4,SXS_Transit_input!$A$53:$R$69,MATCH(SXS_Transit_temp!C$2,SXS_Transit_input!$B$52:$R$52,0)+1,FALSE)),0,VLOOKUP($A4,SXS_Transit_input!$A$53:$R$69,MATCH(SXS_Transit_temp!C$2,SXS_Transit_input!$B$52:$R$52,0)+1,FALSE))</f>
        <v>91615.737229999999</v>
      </c>
      <c r="D4">
        <f>IF(ISNA(VLOOKUP($A4,SXS_Transit_input!$A$5:$W$26,MATCH(SXS_Transit_temp!D$2,SXS_Transit_input!$B$4:$W$4,0)+1,FALSE)),0,VLOOKUP($A4,SXS_Transit_input!$A$5:$W$26,MATCH(SXS_Transit_temp!D$2,SXS_Transit_input!$B$4:$W$4,0)+1,FALSE))+IF(ISNA(VLOOKUP($A4,SXS_Transit_input!$A$53:$R$69,MATCH(SXS_Transit_temp!D$2,SXS_Transit_input!$B$52:$R$52,0)+1,FALSE)),0,VLOOKUP($A4,SXS_Transit_input!$A$53:$R$69,MATCH(SXS_Transit_temp!D$2,SXS_Transit_input!$B$52:$R$52,0)+1,FALSE))</f>
        <v>5110.2599499999997</v>
      </c>
      <c r="E4">
        <f>IF(ISNA(VLOOKUP($A4,SXS_Transit_input!$A$5:$W$26,MATCH(SXS_Transit_temp!E$2,SXS_Transit_input!$B$4:$W$4,0)+1,FALSE)),0,VLOOKUP($A4,SXS_Transit_input!$A$5:$W$26,MATCH(SXS_Transit_temp!E$2,SXS_Transit_input!$B$4:$W$4,0)+1,FALSE))+IF(ISNA(VLOOKUP($A4,SXS_Transit_input!$A$53:$R$69,MATCH(SXS_Transit_temp!E$2,SXS_Transit_input!$B$52:$R$52,0)+1,FALSE)),0,VLOOKUP($A4,SXS_Transit_input!$A$53:$R$69,MATCH(SXS_Transit_temp!E$2,SXS_Transit_input!$B$52:$R$52,0)+1,FALSE))</f>
        <v>1046.81241</v>
      </c>
      <c r="F4">
        <f>IF(ISNA(VLOOKUP($A4,SXS_Transit_input!$A$5:$W$26,MATCH(SXS_Transit_temp!F$2,SXS_Transit_input!$B$4:$W$4,0)+1,FALSE)),0,VLOOKUP($A4,SXS_Transit_input!$A$5:$W$26,MATCH(SXS_Transit_temp!F$2,SXS_Transit_input!$B$4:$W$4,0)+1,FALSE))+IF(ISNA(VLOOKUP($A4,SXS_Transit_input!$A$53:$R$69,MATCH(SXS_Transit_temp!F$2,SXS_Transit_input!$B$52:$R$52,0)+1,FALSE)),0,VLOOKUP($A4,SXS_Transit_input!$A$53:$R$69,MATCH(SXS_Transit_temp!F$2,SXS_Transit_input!$B$52:$R$52,0)+1,FALSE))</f>
        <v>431.56400000000002</v>
      </c>
      <c r="G4">
        <f>IF(ISNA(VLOOKUP($A4,SXS_Transit_input!$A$5:$W$26,MATCH(SXS_Transit_temp!G$2,SXS_Transit_input!$B$4:$W$4,0)+1,FALSE)),0,VLOOKUP($A4,SXS_Transit_input!$A$5:$W$26,MATCH(SXS_Transit_temp!G$2,SXS_Transit_input!$B$4:$W$4,0)+1,FALSE))+IF(ISNA(VLOOKUP($A4,SXS_Transit_input!$A$53:$R$69,MATCH(SXS_Transit_temp!G$2,SXS_Transit_input!$B$52:$R$52,0)+1,FALSE)),0,VLOOKUP($A4,SXS_Transit_input!$A$53:$R$69,MATCH(SXS_Transit_temp!G$2,SXS_Transit_input!$B$52:$R$52,0)+1,FALSE))</f>
        <v>1123.1207199999999</v>
      </c>
      <c r="H4">
        <f>IF(ISNA(VLOOKUP($A4,SXS_Transit_input!$A$5:$W$26,MATCH(SXS_Transit_temp!H$2,SXS_Transit_input!$B$4:$W$4,0)+1,FALSE)),0,VLOOKUP($A4,SXS_Transit_input!$A$5:$W$26,MATCH(SXS_Transit_temp!H$2,SXS_Transit_input!$B$4:$W$4,0)+1,FALSE))+IF(ISNA(VLOOKUP($A4,SXS_Transit_input!$A$53:$R$69,MATCH(SXS_Transit_temp!H$2,SXS_Transit_input!$B$52:$R$52,0)+1,FALSE)),0,VLOOKUP($A4,SXS_Transit_input!$A$53:$R$69,MATCH(SXS_Transit_temp!H$2,SXS_Transit_input!$B$52:$R$52,0)+1,FALSE))</f>
        <v>741.24592999999993</v>
      </c>
      <c r="I4">
        <f>IF(ISNA(VLOOKUP($A4,SXS_Transit_input!$A$5:$W$26,MATCH(SXS_Transit_temp!I$2,SXS_Transit_input!$B$4:$W$4,0)+1,FALSE)),0,VLOOKUP($A4,SXS_Transit_input!$A$5:$W$26,MATCH(SXS_Transit_temp!I$2,SXS_Transit_input!$B$4:$W$4,0)+1,FALSE))+IF(ISNA(VLOOKUP($A4,SXS_Transit_input!$A$53:$R$69,MATCH(SXS_Transit_temp!I$2,SXS_Transit_input!$B$52:$R$52,0)+1,FALSE)),0,VLOOKUP($A4,SXS_Transit_input!$A$53:$R$69,MATCH(SXS_Transit_temp!I$2,SXS_Transit_input!$B$52:$R$52,0)+1,FALSE))</f>
        <v>7209.5327299999999</v>
      </c>
      <c r="J4">
        <f>IF(ISNA(VLOOKUP($A4,SXS_Transit_input!$A$5:$W$26,MATCH(SXS_Transit_temp!J$2,SXS_Transit_input!$B$4:$W$4,0)+1,FALSE)),0,VLOOKUP($A4,SXS_Transit_input!$A$5:$W$26,MATCH(SXS_Transit_temp!J$2,SXS_Transit_input!$B$4:$W$4,0)+1,FALSE))+IF(ISNA(VLOOKUP($A4,SXS_Transit_input!$A$53:$R$69,MATCH(SXS_Transit_temp!J$2,SXS_Transit_input!$B$52:$R$52,0)+1,FALSE)),0,VLOOKUP($A4,SXS_Transit_input!$A$53:$R$69,MATCH(SXS_Transit_temp!J$2,SXS_Transit_input!$B$52:$R$52,0)+1,FALSE))</f>
        <v>1282.28449</v>
      </c>
      <c r="K4">
        <f>IF(ISNA(VLOOKUP($A4,SXS_Transit_input!$A$5:$W$26,MATCH(SXS_Transit_temp!K$2,SXS_Transit_input!$B$4:$W$4,0)+1,FALSE)),0,VLOOKUP($A4,SXS_Transit_input!$A$5:$W$26,MATCH(SXS_Transit_temp!K$2,SXS_Transit_input!$B$4:$W$4,0)+1,FALSE))+IF(ISNA(VLOOKUP($A4,SXS_Transit_input!$A$53:$R$69,MATCH(SXS_Transit_temp!K$2,SXS_Transit_input!$B$52:$R$52,0)+1,FALSE)),0,VLOOKUP($A4,SXS_Transit_input!$A$53:$R$69,MATCH(SXS_Transit_temp!K$2,SXS_Transit_input!$B$52:$R$52,0)+1,FALSE))</f>
        <v>0</v>
      </c>
      <c r="L4">
        <f>IF(ISNA(VLOOKUP($A4,SXS_Transit_input!$A$5:$W$26,MATCH(SXS_Transit_temp!L$2,SXS_Transit_input!$B$4:$W$4,0)+1,FALSE)),0,VLOOKUP($A4,SXS_Transit_input!$A$5:$W$26,MATCH(SXS_Transit_temp!L$2,SXS_Transit_input!$B$4:$W$4,0)+1,FALSE))+IF(ISNA(VLOOKUP($A4,SXS_Transit_input!$A$53:$R$69,MATCH(SXS_Transit_temp!L$2,SXS_Transit_input!$B$52:$R$52,0)+1,FALSE)),0,VLOOKUP($A4,SXS_Transit_input!$A$53:$R$69,MATCH(SXS_Transit_temp!L$2,SXS_Transit_input!$B$52:$R$52,0)+1,FALSE))</f>
        <v>0</v>
      </c>
      <c r="M4">
        <f>IF(ISNA(VLOOKUP($A4,SXS_Transit_input!$A$5:$W$26,MATCH(SXS_Transit_temp!M$2,SXS_Transit_input!$B$4:$W$4,0)+1,FALSE)),0,VLOOKUP($A4,SXS_Transit_input!$A$5:$W$26,MATCH(SXS_Transit_temp!M$2,SXS_Transit_input!$B$4:$W$4,0)+1,FALSE))+IF(ISNA(VLOOKUP($A4,SXS_Transit_input!$A$53:$R$69,MATCH(SXS_Transit_temp!M$2,SXS_Transit_input!$B$52:$R$52,0)+1,FALSE)),0,VLOOKUP($A4,SXS_Transit_input!$A$53:$R$69,MATCH(SXS_Transit_temp!M$2,SXS_Transit_input!$B$52:$R$52,0)+1,FALSE))</f>
        <v>1617.1083100000001</v>
      </c>
      <c r="N4">
        <f>IF(ISNA(VLOOKUP($A4,SXS_Transit_input!$A$5:$W$26,MATCH(SXS_Transit_temp!N$2,SXS_Transit_input!$B$4:$W$4,0)+1,FALSE)),0,VLOOKUP($A4,SXS_Transit_input!$A$5:$W$26,MATCH(SXS_Transit_temp!N$2,SXS_Transit_input!$B$4:$W$4,0)+1,FALSE))+IF(ISNA(VLOOKUP($A4,SXS_Transit_input!$A$53:$R$69,MATCH(SXS_Transit_temp!N$2,SXS_Transit_input!$B$52:$R$52,0)+1,FALSE)),0,VLOOKUP($A4,SXS_Transit_input!$A$53:$R$69,MATCH(SXS_Transit_temp!N$2,SXS_Transit_input!$B$52:$R$52,0)+1,FALSE))</f>
        <v>0</v>
      </c>
      <c r="O4">
        <f>IF(ISNA(VLOOKUP($A4,SXS_Transit_input!$A$5:$W$26,MATCH(SXS_Transit_temp!O$2,SXS_Transit_input!$B$4:$W$4,0)+1,FALSE)),0,VLOOKUP($A4,SXS_Transit_input!$A$5:$W$26,MATCH(SXS_Transit_temp!O$2,SXS_Transit_input!$B$4:$W$4,0)+1,FALSE))+IF(ISNA(VLOOKUP($A4,SXS_Transit_input!$A$53:$R$69,MATCH(SXS_Transit_temp!O$2,SXS_Transit_input!$B$52:$R$52,0)+1,FALSE)),0,VLOOKUP($A4,SXS_Transit_input!$A$53:$R$69,MATCH(SXS_Transit_temp!O$2,SXS_Transit_input!$B$52:$R$52,0)+1,FALSE))</f>
        <v>0</v>
      </c>
      <c r="P4">
        <f>IF(ISNA(VLOOKUP($A4,SXS_Transit_input!$A$5:$W$26,MATCH(SXS_Transit_temp!P$2,SXS_Transit_input!$B$4:$W$4,0)+1,FALSE)),0,VLOOKUP($A4,SXS_Transit_input!$A$5:$W$26,MATCH(SXS_Transit_temp!P$2,SXS_Transit_input!$B$4:$W$4,0)+1,FALSE))+IF(ISNA(VLOOKUP($A4,SXS_Transit_input!$A$53:$R$69,MATCH(SXS_Transit_temp!P$2,SXS_Transit_input!$B$52:$R$52,0)+1,FALSE)),0,VLOOKUP($A4,SXS_Transit_input!$A$53:$R$69,MATCH(SXS_Transit_temp!P$2,SXS_Transit_input!$B$52:$R$52,0)+1,FALSE))</f>
        <v>0</v>
      </c>
      <c r="Q4">
        <f>IF(ISNA(VLOOKUP($A4,SXS_Transit_input!$A$5:$W$26,MATCH(SXS_Transit_temp!Q$2,SXS_Transit_input!$B$4:$W$4,0)+1,FALSE)),0,VLOOKUP($A4,SXS_Transit_input!$A$5:$W$26,MATCH(SXS_Transit_temp!Q$2,SXS_Transit_input!$B$4:$W$4,0)+1,FALSE))+IF(ISNA(VLOOKUP($A4,SXS_Transit_input!$A$53:$R$69,MATCH(SXS_Transit_temp!Q$2,SXS_Transit_input!$B$52:$R$52,0)+1,FALSE)),0,VLOOKUP($A4,SXS_Transit_input!$A$53:$R$69,MATCH(SXS_Transit_temp!Q$2,SXS_Transit_input!$B$52:$R$52,0)+1,FALSE))</f>
        <v>0</v>
      </c>
      <c r="R4">
        <f>IF(ISNA(VLOOKUP($A4,SXS_Transit_input!$A$5:$W$26,MATCH(SXS_Transit_temp!R$2,SXS_Transit_input!$B$4:$W$4,0)+1,FALSE)),0,VLOOKUP($A4,SXS_Transit_input!$A$5:$W$26,MATCH(SXS_Transit_temp!R$2,SXS_Transit_input!$B$4:$W$4,0)+1,FALSE))+IF(ISNA(VLOOKUP($A4,SXS_Transit_input!$A$53:$R$69,MATCH(SXS_Transit_temp!R$2,SXS_Transit_input!$B$52:$R$52,0)+1,FALSE)),0,VLOOKUP($A4,SXS_Transit_input!$A$53:$R$69,MATCH(SXS_Transit_temp!R$2,SXS_Transit_input!$B$52:$R$52,0)+1,FALSE))</f>
        <v>0</v>
      </c>
      <c r="S4">
        <f>IF(ISNA(VLOOKUP($A4,SXS_Transit_input!$A$5:$W$26,MATCH(SXS_Transit_temp!S$2,SXS_Transit_input!$B$4:$W$4,0)+1,FALSE)),0,VLOOKUP($A4,SXS_Transit_input!$A$5:$W$26,MATCH(SXS_Transit_temp!S$2,SXS_Transit_input!$B$4:$W$4,0)+1,FALSE))+IF(ISNA(VLOOKUP($A4,SXS_Transit_input!$A$53:$R$69,MATCH(SXS_Transit_temp!S$2,SXS_Transit_input!$B$52:$R$52,0)+1,FALSE)),0,VLOOKUP($A4,SXS_Transit_input!$A$53:$R$69,MATCH(SXS_Transit_temp!S$2,SXS_Transit_input!$B$52:$R$52,0)+1,FALSE))</f>
        <v>149.19650999999999</v>
      </c>
      <c r="T4">
        <f>IF(ISNA(VLOOKUP($A4,SXS_Transit_input!$A$5:$W$26,MATCH(SXS_Transit_temp!T$2,SXS_Transit_input!$B$4:$W$4,0)+1,FALSE)),0,VLOOKUP($A4,SXS_Transit_input!$A$5:$W$26,MATCH(SXS_Transit_temp!T$2,SXS_Transit_input!$B$4:$W$4,0)+1,FALSE))+IF(ISNA(VLOOKUP($A4,SXS_Transit_input!$A$53:$R$69,MATCH(SXS_Transit_temp!T$2,SXS_Transit_input!$B$52:$R$52,0)+1,FALSE)),0,VLOOKUP($A4,SXS_Transit_input!$A$53:$R$69,MATCH(SXS_Transit_temp!T$2,SXS_Transit_input!$B$52:$R$52,0)+1,FALSE))</f>
        <v>0</v>
      </c>
      <c r="U4">
        <f>IF(ISNA(VLOOKUP($A4,SXS_Transit_input!$A$5:$W$26,MATCH(SXS_Transit_temp!U$2,SXS_Transit_input!$B$4:$W$4,0)+1,FALSE)),0,VLOOKUP($A4,SXS_Transit_input!$A$5:$W$26,MATCH(SXS_Transit_temp!U$2,SXS_Transit_input!$B$4:$W$4,0)+1,FALSE))+IF(ISNA(VLOOKUP($A4,SXS_Transit_input!$A$53:$R$69,MATCH(SXS_Transit_temp!U$2,SXS_Transit_input!$B$52:$R$52,0)+1,FALSE)),0,VLOOKUP($A4,SXS_Transit_input!$A$53:$R$69,MATCH(SXS_Transit_temp!U$2,SXS_Transit_input!$B$52:$R$52,0)+1,FALSE))</f>
        <v>655.39394000000004</v>
      </c>
      <c r="V4">
        <f>IF(ISNA(VLOOKUP($A4,SXS_Transit_input!$A$5:$W$26,MATCH(SXS_Transit_temp!V$2,SXS_Transit_input!$B$4:$W$4,0)+1,FALSE)),0,VLOOKUP($A4,SXS_Transit_input!$A$5:$W$26,MATCH(SXS_Transit_temp!V$2,SXS_Transit_input!$B$4:$W$4,0)+1,FALSE))+IF(ISNA(VLOOKUP($A4,SXS_Transit_input!$A$53:$R$69,MATCH(SXS_Transit_temp!V$2,SXS_Transit_input!$B$52:$R$52,0)+1,FALSE)),0,VLOOKUP($A4,SXS_Transit_input!$A$53:$R$69,MATCH(SXS_Transit_temp!V$2,SXS_Transit_input!$B$52:$R$52,0)+1,FALSE))</f>
        <v>277.9597</v>
      </c>
      <c r="W4">
        <f>IF(ISNA(VLOOKUP($A4,SXS_Transit_input!$A$5:$W$26,MATCH(SXS_Transit_temp!W$2,SXS_Transit_input!$B$4:$W$4,0)+1,FALSE)),0,VLOOKUP($A4,SXS_Transit_input!$A$5:$W$26,MATCH(SXS_Transit_temp!W$2,SXS_Transit_input!$B$4:$W$4,0)+1,FALSE))+IF(ISNA(VLOOKUP($A4,SXS_Transit_input!$A$53:$R$69,MATCH(SXS_Transit_temp!W$2,SXS_Transit_input!$B$52:$R$52,0)+1,FALSE)),0,VLOOKUP($A4,SXS_Transit_input!$A$53:$R$69,MATCH(SXS_Transit_temp!W$2,SXS_Transit_input!$B$52:$R$52,0)+1,FALSE))</f>
        <v>0</v>
      </c>
      <c r="X4">
        <f>IF(ISNA(VLOOKUP($A4,SXS_Transit_input!$A$5:$W$26,MATCH(SXS_Transit_temp!X$2,SXS_Transit_input!$B$4:$W$4,0)+1,FALSE)),0,VLOOKUP($A4,SXS_Transit_input!$A$5:$W$26,MATCH(SXS_Transit_temp!X$2,SXS_Transit_input!$B$4:$W$4,0)+1,FALSE))+IF(ISNA(VLOOKUP($A4,SXS_Transit_input!$A$53:$R$69,MATCH(SXS_Transit_temp!X$2,SXS_Transit_input!$B$52:$R$52,0)+1,FALSE)),0,VLOOKUP($A4,SXS_Transit_input!$A$53:$R$69,MATCH(SXS_Transit_temp!X$2,SXS_Transit_input!$B$52:$R$52,0)+1,FALSE))</f>
        <v>0</v>
      </c>
      <c r="Y4">
        <f>IF(ISNA(VLOOKUP($A4,SXS_Transit_input!$A$5:$W$26,MATCH(SXS_Transit_temp!Y$2,SXS_Transit_input!$B$4:$W$4,0)+1,FALSE)),0,VLOOKUP($A4,SXS_Transit_input!$A$5:$W$26,MATCH(SXS_Transit_temp!Y$2,SXS_Transit_input!$B$4:$W$4,0)+1,FALSE))+IF(ISNA(VLOOKUP($A4,SXS_Transit_input!$A$53:$R$69,MATCH(SXS_Transit_temp!Y$2,SXS_Transit_input!$B$52:$R$52,0)+1,FALSE)),0,VLOOKUP($A4,SXS_Transit_input!$A$53:$R$69,MATCH(SXS_Transit_temp!Y$2,SXS_Transit_input!$B$52:$R$52,0)+1,FALSE))</f>
        <v>0</v>
      </c>
      <c r="Z4">
        <f>IF(ISNA(VLOOKUP($A4,SXS_Transit_input!$A$5:$W$26,MATCH(SXS_Transit_temp!Z$2,SXS_Transit_input!$B$4:$W$4,0)+1,FALSE)),0,VLOOKUP($A4,SXS_Transit_input!$A$5:$W$26,MATCH(SXS_Transit_temp!Z$2,SXS_Transit_input!$B$4:$W$4,0)+1,FALSE))+IF(ISNA(VLOOKUP($A4,SXS_Transit_input!$A$53:$R$69,MATCH(SXS_Transit_temp!Z$2,SXS_Transit_input!$B$52:$R$52,0)+1,FALSE)),0,VLOOKUP($A4,SXS_Transit_input!$A$53:$R$69,MATCH(SXS_Transit_temp!Z$2,SXS_Transit_input!$B$52:$R$52,0)+1,FALSE))</f>
        <v>0</v>
      </c>
      <c r="AA4">
        <v>2</v>
      </c>
      <c r="AB4" s="33">
        <f t="shared" ref="AB4:AB27" si="1">SUM(BD4,BD58)</f>
        <v>17990</v>
      </c>
      <c r="AC4" s="34">
        <f t="shared" si="0"/>
        <v>9462</v>
      </c>
      <c r="AD4" s="34">
        <f t="shared" si="0"/>
        <v>1801</v>
      </c>
      <c r="AE4" s="34">
        <f t="shared" si="0"/>
        <v>539</v>
      </c>
      <c r="AF4" s="34">
        <f t="shared" si="0"/>
        <v>296</v>
      </c>
      <c r="AG4" s="34">
        <f t="shared" si="0"/>
        <v>122</v>
      </c>
      <c r="AH4" s="34">
        <f t="shared" si="0"/>
        <v>150</v>
      </c>
      <c r="AI4" s="34">
        <f t="shared" si="0"/>
        <v>413</v>
      </c>
      <c r="AJ4" s="34">
        <f t="shared" si="0"/>
        <v>262</v>
      </c>
      <c r="AK4" s="34">
        <f t="shared" si="0"/>
        <v>8</v>
      </c>
      <c r="AL4" s="34">
        <f t="shared" si="0"/>
        <v>9</v>
      </c>
      <c r="AM4" s="34">
        <f t="shared" si="0"/>
        <v>3</v>
      </c>
      <c r="AN4" s="34">
        <f t="shared" si="0"/>
        <v>5</v>
      </c>
      <c r="AO4" s="34">
        <f t="shared" si="0"/>
        <v>2</v>
      </c>
      <c r="AP4" s="34">
        <f t="shared" si="0"/>
        <v>0</v>
      </c>
      <c r="AQ4" s="34">
        <f t="shared" si="0"/>
        <v>0</v>
      </c>
      <c r="AR4" s="34">
        <f t="shared" si="0"/>
        <v>0</v>
      </c>
      <c r="AS4" s="34">
        <f t="shared" si="0"/>
        <v>0</v>
      </c>
      <c r="AT4" s="34">
        <f t="shared" si="0"/>
        <v>0</v>
      </c>
      <c r="AU4" s="34">
        <f t="shared" si="0"/>
        <v>4</v>
      </c>
      <c r="AV4" s="34">
        <f t="shared" si="0"/>
        <v>13</v>
      </c>
      <c r="AW4" s="34">
        <f t="shared" si="0"/>
        <v>0</v>
      </c>
      <c r="AX4" s="34">
        <f t="shared" si="0"/>
        <v>2</v>
      </c>
      <c r="AY4" s="34">
        <f t="shared" si="0"/>
        <v>0</v>
      </c>
      <c r="AZ4" s="35">
        <f t="shared" si="0"/>
        <v>0</v>
      </c>
      <c r="BC4">
        <v>2</v>
      </c>
      <c r="BD4">
        <v>17687</v>
      </c>
      <c r="BE4">
        <v>9152</v>
      </c>
      <c r="BF4">
        <v>1750</v>
      </c>
      <c r="BG4">
        <v>529</v>
      </c>
      <c r="BH4">
        <v>295</v>
      </c>
      <c r="BI4">
        <v>120</v>
      </c>
      <c r="BJ4">
        <v>147</v>
      </c>
      <c r="BK4">
        <v>413</v>
      </c>
      <c r="BL4">
        <v>253</v>
      </c>
      <c r="BM4">
        <v>8</v>
      </c>
      <c r="BN4">
        <v>8</v>
      </c>
      <c r="BO4">
        <v>3</v>
      </c>
      <c r="BP4">
        <v>5</v>
      </c>
      <c r="BQ4">
        <v>2</v>
      </c>
      <c r="BR4">
        <v>0</v>
      </c>
      <c r="BS4">
        <v>0</v>
      </c>
      <c r="BT4">
        <v>0</v>
      </c>
      <c r="BU4">
        <v>0</v>
      </c>
      <c r="BV4">
        <v>0</v>
      </c>
      <c r="BW4">
        <v>4</v>
      </c>
      <c r="BX4">
        <v>13</v>
      </c>
      <c r="BY4">
        <v>0</v>
      </c>
      <c r="BZ4">
        <v>2</v>
      </c>
      <c r="CA4">
        <v>0</v>
      </c>
      <c r="CB4">
        <v>0</v>
      </c>
    </row>
    <row r="5" spans="1:80" x14ac:dyDescent="0.25">
      <c r="A5">
        <v>3</v>
      </c>
      <c r="B5">
        <f>IF(ISNA(VLOOKUP($A5,SXS_Transit_input!$A$5:$W$26,MATCH(SXS_Transit_temp!B$2,SXS_Transit_input!$B$4:$W$4,0)+1,FALSE)),0,VLOOKUP($A5,SXS_Transit_input!$A$5:$W$26,MATCH(SXS_Transit_temp!B$2,SXS_Transit_input!$B$4:$W$4,0)+1,FALSE))+IF(ISNA(VLOOKUP($A5,SXS_Transit_input!$A$53:$R$69,MATCH(SXS_Transit_temp!B$2,SXS_Transit_input!$B$52:$R$52,0)+1,FALSE)),0,VLOOKUP($A5,SXS_Transit_input!$A$53:$R$69,MATCH(SXS_Transit_temp!B$2,SXS_Transit_input!$B$52:$R$52,0)+1,FALSE))</f>
        <v>25952.498969999997</v>
      </c>
      <c r="C5">
        <f>IF(ISNA(VLOOKUP($A5,SXS_Transit_input!$A$5:$W$26,MATCH(SXS_Transit_temp!C$2,SXS_Transit_input!$B$4:$W$4,0)+1,FALSE)),0,VLOOKUP($A5,SXS_Transit_input!$A$5:$W$26,MATCH(SXS_Transit_temp!C$2,SXS_Transit_input!$B$4:$W$4,0)+1,FALSE))+IF(ISNA(VLOOKUP($A5,SXS_Transit_input!$A$53:$R$69,MATCH(SXS_Transit_temp!C$2,SXS_Transit_input!$B$52:$R$52,0)+1,FALSE)),0,VLOOKUP($A5,SXS_Transit_input!$A$53:$R$69,MATCH(SXS_Transit_temp!C$2,SXS_Transit_input!$B$52:$R$52,0)+1,FALSE))</f>
        <v>6967.0131099999999</v>
      </c>
      <c r="D5">
        <f>IF(ISNA(VLOOKUP($A5,SXS_Transit_input!$A$5:$W$26,MATCH(SXS_Transit_temp!D$2,SXS_Transit_input!$B$4:$W$4,0)+1,FALSE)),0,VLOOKUP($A5,SXS_Transit_input!$A$5:$W$26,MATCH(SXS_Transit_temp!D$2,SXS_Transit_input!$B$4:$W$4,0)+1,FALSE))+IF(ISNA(VLOOKUP($A5,SXS_Transit_input!$A$53:$R$69,MATCH(SXS_Transit_temp!D$2,SXS_Transit_input!$B$52:$R$52,0)+1,FALSE)),0,VLOOKUP($A5,SXS_Transit_input!$A$53:$R$69,MATCH(SXS_Transit_temp!D$2,SXS_Transit_input!$B$52:$R$52,0)+1,FALSE))</f>
        <v>9342.9247399999986</v>
      </c>
      <c r="E5">
        <f>IF(ISNA(VLOOKUP($A5,SXS_Transit_input!$A$5:$W$26,MATCH(SXS_Transit_temp!E$2,SXS_Transit_input!$B$4:$W$4,0)+1,FALSE)),0,VLOOKUP($A5,SXS_Transit_input!$A$5:$W$26,MATCH(SXS_Transit_temp!E$2,SXS_Transit_input!$B$4:$W$4,0)+1,FALSE))+IF(ISNA(VLOOKUP($A5,SXS_Transit_input!$A$53:$R$69,MATCH(SXS_Transit_temp!E$2,SXS_Transit_input!$B$52:$R$52,0)+1,FALSE)),0,VLOOKUP($A5,SXS_Transit_input!$A$53:$R$69,MATCH(SXS_Transit_temp!E$2,SXS_Transit_input!$B$52:$R$52,0)+1,FALSE))</f>
        <v>4092.1420400000002</v>
      </c>
      <c r="F5">
        <f>IF(ISNA(VLOOKUP($A5,SXS_Transit_input!$A$5:$W$26,MATCH(SXS_Transit_temp!F$2,SXS_Transit_input!$B$4:$W$4,0)+1,FALSE)),0,VLOOKUP($A5,SXS_Transit_input!$A$5:$W$26,MATCH(SXS_Transit_temp!F$2,SXS_Transit_input!$B$4:$W$4,0)+1,FALSE))+IF(ISNA(VLOOKUP($A5,SXS_Transit_input!$A$53:$R$69,MATCH(SXS_Transit_temp!F$2,SXS_Transit_input!$B$52:$R$52,0)+1,FALSE)),0,VLOOKUP($A5,SXS_Transit_input!$A$53:$R$69,MATCH(SXS_Transit_temp!F$2,SXS_Transit_input!$B$52:$R$52,0)+1,FALSE))</f>
        <v>2186.9891899999998</v>
      </c>
      <c r="G5">
        <f>IF(ISNA(VLOOKUP($A5,SXS_Transit_input!$A$5:$W$26,MATCH(SXS_Transit_temp!G$2,SXS_Transit_input!$B$4:$W$4,0)+1,FALSE)),0,VLOOKUP($A5,SXS_Transit_input!$A$5:$W$26,MATCH(SXS_Transit_temp!G$2,SXS_Transit_input!$B$4:$W$4,0)+1,FALSE))+IF(ISNA(VLOOKUP($A5,SXS_Transit_input!$A$53:$R$69,MATCH(SXS_Transit_temp!G$2,SXS_Transit_input!$B$52:$R$52,0)+1,FALSE)),0,VLOOKUP($A5,SXS_Transit_input!$A$53:$R$69,MATCH(SXS_Transit_temp!G$2,SXS_Transit_input!$B$52:$R$52,0)+1,FALSE))</f>
        <v>670.73897999999997</v>
      </c>
      <c r="H5">
        <f>IF(ISNA(VLOOKUP($A5,SXS_Transit_input!$A$5:$W$26,MATCH(SXS_Transit_temp!H$2,SXS_Transit_input!$B$4:$W$4,0)+1,FALSE)),0,VLOOKUP($A5,SXS_Transit_input!$A$5:$W$26,MATCH(SXS_Transit_temp!H$2,SXS_Transit_input!$B$4:$W$4,0)+1,FALSE))+IF(ISNA(VLOOKUP($A5,SXS_Transit_input!$A$53:$R$69,MATCH(SXS_Transit_temp!H$2,SXS_Transit_input!$B$52:$R$52,0)+1,FALSE)),0,VLOOKUP($A5,SXS_Transit_input!$A$53:$R$69,MATCH(SXS_Transit_temp!H$2,SXS_Transit_input!$B$52:$R$52,0)+1,FALSE))</f>
        <v>229.59172000000001</v>
      </c>
      <c r="I5">
        <f>IF(ISNA(VLOOKUP($A5,SXS_Transit_input!$A$5:$W$26,MATCH(SXS_Transit_temp!I$2,SXS_Transit_input!$B$4:$W$4,0)+1,FALSE)),0,VLOOKUP($A5,SXS_Transit_input!$A$5:$W$26,MATCH(SXS_Transit_temp!I$2,SXS_Transit_input!$B$4:$W$4,0)+1,FALSE))+IF(ISNA(VLOOKUP($A5,SXS_Transit_input!$A$53:$R$69,MATCH(SXS_Transit_temp!I$2,SXS_Transit_input!$B$52:$R$52,0)+1,FALSE)),0,VLOOKUP($A5,SXS_Transit_input!$A$53:$R$69,MATCH(SXS_Transit_temp!I$2,SXS_Transit_input!$B$52:$R$52,0)+1,FALSE))</f>
        <v>293.93002999999999</v>
      </c>
      <c r="J5">
        <f>IF(ISNA(VLOOKUP($A5,SXS_Transit_input!$A$5:$W$26,MATCH(SXS_Transit_temp!J$2,SXS_Transit_input!$B$4:$W$4,0)+1,FALSE)),0,VLOOKUP($A5,SXS_Transit_input!$A$5:$W$26,MATCH(SXS_Transit_temp!J$2,SXS_Transit_input!$B$4:$W$4,0)+1,FALSE))+IF(ISNA(VLOOKUP($A5,SXS_Transit_input!$A$53:$R$69,MATCH(SXS_Transit_temp!J$2,SXS_Transit_input!$B$52:$R$52,0)+1,FALSE)),0,VLOOKUP($A5,SXS_Transit_input!$A$53:$R$69,MATCH(SXS_Transit_temp!J$2,SXS_Transit_input!$B$52:$R$52,0)+1,FALSE))</f>
        <v>0</v>
      </c>
      <c r="K5">
        <f>IF(ISNA(VLOOKUP($A5,SXS_Transit_input!$A$5:$W$26,MATCH(SXS_Transit_temp!K$2,SXS_Transit_input!$B$4:$W$4,0)+1,FALSE)),0,VLOOKUP($A5,SXS_Transit_input!$A$5:$W$26,MATCH(SXS_Transit_temp!K$2,SXS_Transit_input!$B$4:$W$4,0)+1,FALSE))+IF(ISNA(VLOOKUP($A5,SXS_Transit_input!$A$53:$R$69,MATCH(SXS_Transit_temp!K$2,SXS_Transit_input!$B$52:$R$52,0)+1,FALSE)),0,VLOOKUP($A5,SXS_Transit_input!$A$53:$R$69,MATCH(SXS_Transit_temp!K$2,SXS_Transit_input!$B$52:$R$52,0)+1,FALSE))</f>
        <v>0</v>
      </c>
      <c r="L5">
        <f>IF(ISNA(VLOOKUP($A5,SXS_Transit_input!$A$5:$W$26,MATCH(SXS_Transit_temp!L$2,SXS_Transit_input!$B$4:$W$4,0)+1,FALSE)),0,VLOOKUP($A5,SXS_Transit_input!$A$5:$W$26,MATCH(SXS_Transit_temp!L$2,SXS_Transit_input!$B$4:$W$4,0)+1,FALSE))+IF(ISNA(VLOOKUP($A5,SXS_Transit_input!$A$53:$R$69,MATCH(SXS_Transit_temp!L$2,SXS_Transit_input!$B$52:$R$52,0)+1,FALSE)),0,VLOOKUP($A5,SXS_Transit_input!$A$53:$R$69,MATCH(SXS_Transit_temp!L$2,SXS_Transit_input!$B$52:$R$52,0)+1,FALSE))</f>
        <v>3072.2866199999999</v>
      </c>
      <c r="M5">
        <f>IF(ISNA(VLOOKUP($A5,SXS_Transit_input!$A$5:$W$26,MATCH(SXS_Transit_temp!M$2,SXS_Transit_input!$B$4:$W$4,0)+1,FALSE)),0,VLOOKUP($A5,SXS_Transit_input!$A$5:$W$26,MATCH(SXS_Transit_temp!M$2,SXS_Transit_input!$B$4:$W$4,0)+1,FALSE))+IF(ISNA(VLOOKUP($A5,SXS_Transit_input!$A$53:$R$69,MATCH(SXS_Transit_temp!M$2,SXS_Transit_input!$B$52:$R$52,0)+1,FALSE)),0,VLOOKUP($A5,SXS_Transit_input!$A$53:$R$69,MATCH(SXS_Transit_temp!M$2,SXS_Transit_input!$B$52:$R$52,0)+1,FALSE))</f>
        <v>0</v>
      </c>
      <c r="N5">
        <f>IF(ISNA(VLOOKUP($A5,SXS_Transit_input!$A$5:$W$26,MATCH(SXS_Transit_temp!N$2,SXS_Transit_input!$B$4:$W$4,0)+1,FALSE)),0,VLOOKUP($A5,SXS_Transit_input!$A$5:$W$26,MATCH(SXS_Transit_temp!N$2,SXS_Transit_input!$B$4:$W$4,0)+1,FALSE))+IF(ISNA(VLOOKUP($A5,SXS_Transit_input!$A$53:$R$69,MATCH(SXS_Transit_temp!N$2,SXS_Transit_input!$B$52:$R$52,0)+1,FALSE)),0,VLOOKUP($A5,SXS_Transit_input!$A$53:$R$69,MATCH(SXS_Transit_temp!N$2,SXS_Transit_input!$B$52:$R$52,0)+1,FALSE))</f>
        <v>0</v>
      </c>
      <c r="O5">
        <f>IF(ISNA(VLOOKUP($A5,SXS_Transit_input!$A$5:$W$26,MATCH(SXS_Transit_temp!O$2,SXS_Transit_input!$B$4:$W$4,0)+1,FALSE)),0,VLOOKUP($A5,SXS_Transit_input!$A$5:$W$26,MATCH(SXS_Transit_temp!O$2,SXS_Transit_input!$B$4:$W$4,0)+1,FALSE))+IF(ISNA(VLOOKUP($A5,SXS_Transit_input!$A$53:$R$69,MATCH(SXS_Transit_temp!O$2,SXS_Transit_input!$B$52:$R$52,0)+1,FALSE)),0,VLOOKUP($A5,SXS_Transit_input!$A$53:$R$69,MATCH(SXS_Transit_temp!O$2,SXS_Transit_input!$B$52:$R$52,0)+1,FALSE))</f>
        <v>0</v>
      </c>
      <c r="P5">
        <f>IF(ISNA(VLOOKUP($A5,SXS_Transit_input!$A$5:$W$26,MATCH(SXS_Transit_temp!P$2,SXS_Transit_input!$B$4:$W$4,0)+1,FALSE)),0,VLOOKUP($A5,SXS_Transit_input!$A$5:$W$26,MATCH(SXS_Transit_temp!P$2,SXS_Transit_input!$B$4:$W$4,0)+1,FALSE))+IF(ISNA(VLOOKUP($A5,SXS_Transit_input!$A$53:$R$69,MATCH(SXS_Transit_temp!P$2,SXS_Transit_input!$B$52:$R$52,0)+1,FALSE)),0,VLOOKUP($A5,SXS_Transit_input!$A$53:$R$69,MATCH(SXS_Transit_temp!P$2,SXS_Transit_input!$B$52:$R$52,0)+1,FALSE))</f>
        <v>0</v>
      </c>
      <c r="Q5">
        <f>IF(ISNA(VLOOKUP($A5,SXS_Transit_input!$A$5:$W$26,MATCH(SXS_Transit_temp!Q$2,SXS_Transit_input!$B$4:$W$4,0)+1,FALSE)),0,VLOOKUP($A5,SXS_Transit_input!$A$5:$W$26,MATCH(SXS_Transit_temp!Q$2,SXS_Transit_input!$B$4:$W$4,0)+1,FALSE))+IF(ISNA(VLOOKUP($A5,SXS_Transit_input!$A$53:$R$69,MATCH(SXS_Transit_temp!Q$2,SXS_Transit_input!$B$52:$R$52,0)+1,FALSE)),0,VLOOKUP($A5,SXS_Transit_input!$A$53:$R$69,MATCH(SXS_Transit_temp!Q$2,SXS_Transit_input!$B$52:$R$52,0)+1,FALSE))</f>
        <v>0</v>
      </c>
      <c r="R5">
        <f>IF(ISNA(VLOOKUP($A5,SXS_Transit_input!$A$5:$W$26,MATCH(SXS_Transit_temp!R$2,SXS_Transit_input!$B$4:$W$4,0)+1,FALSE)),0,VLOOKUP($A5,SXS_Transit_input!$A$5:$W$26,MATCH(SXS_Transit_temp!R$2,SXS_Transit_input!$B$4:$W$4,0)+1,FALSE))+IF(ISNA(VLOOKUP($A5,SXS_Transit_input!$A$53:$R$69,MATCH(SXS_Transit_temp!R$2,SXS_Transit_input!$B$52:$R$52,0)+1,FALSE)),0,VLOOKUP($A5,SXS_Transit_input!$A$53:$R$69,MATCH(SXS_Transit_temp!R$2,SXS_Transit_input!$B$52:$R$52,0)+1,FALSE))</f>
        <v>0</v>
      </c>
      <c r="S5">
        <f>IF(ISNA(VLOOKUP($A5,SXS_Transit_input!$A$5:$W$26,MATCH(SXS_Transit_temp!S$2,SXS_Transit_input!$B$4:$W$4,0)+1,FALSE)),0,VLOOKUP($A5,SXS_Transit_input!$A$5:$W$26,MATCH(SXS_Transit_temp!S$2,SXS_Transit_input!$B$4:$W$4,0)+1,FALSE))+IF(ISNA(VLOOKUP($A5,SXS_Transit_input!$A$53:$R$69,MATCH(SXS_Transit_temp!S$2,SXS_Transit_input!$B$52:$R$52,0)+1,FALSE)),0,VLOOKUP($A5,SXS_Transit_input!$A$53:$R$69,MATCH(SXS_Transit_temp!S$2,SXS_Transit_input!$B$52:$R$52,0)+1,FALSE))</f>
        <v>1403.7434000000001</v>
      </c>
      <c r="T5">
        <f>IF(ISNA(VLOOKUP($A5,SXS_Transit_input!$A$5:$W$26,MATCH(SXS_Transit_temp!T$2,SXS_Transit_input!$B$4:$W$4,0)+1,FALSE)),0,VLOOKUP($A5,SXS_Transit_input!$A$5:$W$26,MATCH(SXS_Transit_temp!T$2,SXS_Transit_input!$B$4:$W$4,0)+1,FALSE))+IF(ISNA(VLOOKUP($A5,SXS_Transit_input!$A$53:$R$69,MATCH(SXS_Transit_temp!T$2,SXS_Transit_input!$B$52:$R$52,0)+1,FALSE)),0,VLOOKUP($A5,SXS_Transit_input!$A$53:$R$69,MATCH(SXS_Transit_temp!T$2,SXS_Transit_input!$B$52:$R$52,0)+1,FALSE))</f>
        <v>0</v>
      </c>
      <c r="U5">
        <f>IF(ISNA(VLOOKUP($A5,SXS_Transit_input!$A$5:$W$26,MATCH(SXS_Transit_temp!U$2,SXS_Transit_input!$B$4:$W$4,0)+1,FALSE)),0,VLOOKUP($A5,SXS_Transit_input!$A$5:$W$26,MATCH(SXS_Transit_temp!U$2,SXS_Transit_input!$B$4:$W$4,0)+1,FALSE))+IF(ISNA(VLOOKUP($A5,SXS_Transit_input!$A$53:$R$69,MATCH(SXS_Transit_temp!U$2,SXS_Transit_input!$B$52:$R$52,0)+1,FALSE)),0,VLOOKUP($A5,SXS_Transit_input!$A$53:$R$69,MATCH(SXS_Transit_temp!U$2,SXS_Transit_input!$B$52:$R$52,0)+1,FALSE))</f>
        <v>593.85279000000003</v>
      </c>
      <c r="V5">
        <f>IF(ISNA(VLOOKUP($A5,SXS_Transit_input!$A$5:$W$26,MATCH(SXS_Transit_temp!V$2,SXS_Transit_input!$B$4:$W$4,0)+1,FALSE)),0,VLOOKUP($A5,SXS_Transit_input!$A$5:$W$26,MATCH(SXS_Transit_temp!V$2,SXS_Transit_input!$B$4:$W$4,0)+1,FALSE))+IF(ISNA(VLOOKUP($A5,SXS_Transit_input!$A$53:$R$69,MATCH(SXS_Transit_temp!V$2,SXS_Transit_input!$B$52:$R$52,0)+1,FALSE)),0,VLOOKUP($A5,SXS_Transit_input!$A$53:$R$69,MATCH(SXS_Transit_temp!V$2,SXS_Transit_input!$B$52:$R$52,0)+1,FALSE))</f>
        <v>0</v>
      </c>
      <c r="W5">
        <f>IF(ISNA(VLOOKUP($A5,SXS_Transit_input!$A$5:$W$26,MATCH(SXS_Transit_temp!W$2,SXS_Transit_input!$B$4:$W$4,0)+1,FALSE)),0,VLOOKUP($A5,SXS_Transit_input!$A$5:$W$26,MATCH(SXS_Transit_temp!W$2,SXS_Transit_input!$B$4:$W$4,0)+1,FALSE))+IF(ISNA(VLOOKUP($A5,SXS_Transit_input!$A$53:$R$69,MATCH(SXS_Transit_temp!W$2,SXS_Transit_input!$B$52:$R$52,0)+1,FALSE)),0,VLOOKUP($A5,SXS_Transit_input!$A$53:$R$69,MATCH(SXS_Transit_temp!W$2,SXS_Transit_input!$B$52:$R$52,0)+1,FALSE))</f>
        <v>0</v>
      </c>
      <c r="X5">
        <f>IF(ISNA(VLOOKUP($A5,SXS_Transit_input!$A$5:$W$26,MATCH(SXS_Transit_temp!X$2,SXS_Transit_input!$B$4:$W$4,0)+1,FALSE)),0,VLOOKUP($A5,SXS_Transit_input!$A$5:$W$26,MATCH(SXS_Transit_temp!X$2,SXS_Transit_input!$B$4:$W$4,0)+1,FALSE))+IF(ISNA(VLOOKUP($A5,SXS_Transit_input!$A$53:$R$69,MATCH(SXS_Transit_temp!X$2,SXS_Transit_input!$B$52:$R$52,0)+1,FALSE)),0,VLOOKUP($A5,SXS_Transit_input!$A$53:$R$69,MATCH(SXS_Transit_temp!X$2,SXS_Transit_input!$B$52:$R$52,0)+1,FALSE))</f>
        <v>0</v>
      </c>
      <c r="Y5">
        <f>IF(ISNA(VLOOKUP($A5,SXS_Transit_input!$A$5:$W$26,MATCH(SXS_Transit_temp!Y$2,SXS_Transit_input!$B$4:$W$4,0)+1,FALSE)),0,VLOOKUP($A5,SXS_Transit_input!$A$5:$W$26,MATCH(SXS_Transit_temp!Y$2,SXS_Transit_input!$B$4:$W$4,0)+1,FALSE))+IF(ISNA(VLOOKUP($A5,SXS_Transit_input!$A$53:$R$69,MATCH(SXS_Transit_temp!Y$2,SXS_Transit_input!$B$52:$R$52,0)+1,FALSE)),0,VLOOKUP($A5,SXS_Transit_input!$A$53:$R$69,MATCH(SXS_Transit_temp!Y$2,SXS_Transit_input!$B$52:$R$52,0)+1,FALSE))</f>
        <v>0</v>
      </c>
      <c r="Z5">
        <f>IF(ISNA(VLOOKUP($A5,SXS_Transit_input!$A$5:$W$26,MATCH(SXS_Transit_temp!Z$2,SXS_Transit_input!$B$4:$W$4,0)+1,FALSE)),0,VLOOKUP($A5,SXS_Transit_input!$A$5:$W$26,MATCH(SXS_Transit_temp!Z$2,SXS_Transit_input!$B$4:$W$4,0)+1,FALSE))+IF(ISNA(VLOOKUP($A5,SXS_Transit_input!$A$53:$R$69,MATCH(SXS_Transit_temp!Z$2,SXS_Transit_input!$B$52:$R$52,0)+1,FALSE)),0,VLOOKUP($A5,SXS_Transit_input!$A$53:$R$69,MATCH(SXS_Transit_temp!Z$2,SXS_Transit_input!$B$52:$R$52,0)+1,FALSE))</f>
        <v>0</v>
      </c>
      <c r="AA5">
        <v>3</v>
      </c>
      <c r="AB5" s="33">
        <f t="shared" si="1"/>
        <v>6732</v>
      </c>
      <c r="AC5" s="34">
        <f t="shared" si="0"/>
        <v>1784</v>
      </c>
      <c r="AD5" s="34">
        <f t="shared" si="0"/>
        <v>2677</v>
      </c>
      <c r="AE5" s="34">
        <f t="shared" si="0"/>
        <v>637</v>
      </c>
      <c r="AF5" s="34">
        <f t="shared" si="0"/>
        <v>362</v>
      </c>
      <c r="AG5" s="34">
        <f t="shared" si="0"/>
        <v>138</v>
      </c>
      <c r="AH5" s="34">
        <f t="shared" si="0"/>
        <v>75</v>
      </c>
      <c r="AI5" s="34">
        <f t="shared" si="0"/>
        <v>121</v>
      </c>
      <c r="AJ5" s="34">
        <f t="shared" si="0"/>
        <v>35</v>
      </c>
      <c r="AK5" s="34">
        <f t="shared" si="0"/>
        <v>104</v>
      </c>
      <c r="AL5" s="34">
        <f t="shared" si="0"/>
        <v>41</v>
      </c>
      <c r="AM5" s="34">
        <f t="shared" si="0"/>
        <v>12</v>
      </c>
      <c r="AN5" s="34">
        <f t="shared" si="0"/>
        <v>7</v>
      </c>
      <c r="AO5" s="34">
        <f t="shared" si="0"/>
        <v>1</v>
      </c>
      <c r="AP5" s="34">
        <f t="shared" si="0"/>
        <v>2</v>
      </c>
      <c r="AQ5" s="34">
        <f t="shared" si="0"/>
        <v>0</v>
      </c>
      <c r="AR5" s="34">
        <f t="shared" si="0"/>
        <v>0</v>
      </c>
      <c r="AS5" s="34">
        <f t="shared" si="0"/>
        <v>0</v>
      </c>
      <c r="AT5" s="34">
        <f t="shared" si="0"/>
        <v>0</v>
      </c>
      <c r="AU5" s="34">
        <f t="shared" si="0"/>
        <v>8</v>
      </c>
      <c r="AV5" s="34">
        <f t="shared" si="0"/>
        <v>4</v>
      </c>
      <c r="AW5" s="34">
        <f t="shared" si="0"/>
        <v>0</v>
      </c>
      <c r="AX5" s="34">
        <f t="shared" si="0"/>
        <v>0</v>
      </c>
      <c r="AY5" s="34">
        <f t="shared" si="0"/>
        <v>0</v>
      </c>
      <c r="AZ5" s="35">
        <f t="shared" si="0"/>
        <v>1</v>
      </c>
      <c r="BC5">
        <v>3</v>
      </c>
      <c r="BD5">
        <v>6630</v>
      </c>
      <c r="BE5">
        <v>1734</v>
      </c>
      <c r="BF5">
        <v>2558</v>
      </c>
      <c r="BG5">
        <v>602</v>
      </c>
      <c r="BH5">
        <v>354</v>
      </c>
      <c r="BI5">
        <v>135</v>
      </c>
      <c r="BJ5">
        <v>75</v>
      </c>
      <c r="BK5">
        <v>119</v>
      </c>
      <c r="BL5">
        <v>34</v>
      </c>
      <c r="BM5">
        <v>100</v>
      </c>
      <c r="BN5">
        <v>41</v>
      </c>
      <c r="BO5">
        <v>12</v>
      </c>
      <c r="BP5">
        <v>7</v>
      </c>
      <c r="BQ5">
        <v>1</v>
      </c>
      <c r="BR5">
        <v>2</v>
      </c>
      <c r="BS5">
        <v>0</v>
      </c>
      <c r="BT5">
        <v>0</v>
      </c>
      <c r="BU5">
        <v>0</v>
      </c>
      <c r="BV5">
        <v>0</v>
      </c>
      <c r="BW5">
        <v>8</v>
      </c>
      <c r="BX5">
        <v>4</v>
      </c>
      <c r="BY5">
        <v>0</v>
      </c>
      <c r="BZ5">
        <v>0</v>
      </c>
      <c r="CA5">
        <v>0</v>
      </c>
      <c r="CB5">
        <v>1</v>
      </c>
    </row>
    <row r="6" spans="1:80" x14ac:dyDescent="0.25">
      <c r="A6">
        <v>4</v>
      </c>
      <c r="B6">
        <f>IF(ISNA(VLOOKUP($A6,SXS_Transit_input!$A$5:$W$26,MATCH(SXS_Transit_temp!B$2,SXS_Transit_input!$B$4:$W$4,0)+1,FALSE)),0,VLOOKUP($A6,SXS_Transit_input!$A$5:$W$26,MATCH(SXS_Transit_temp!B$2,SXS_Transit_input!$B$4:$W$4,0)+1,FALSE))+IF(ISNA(VLOOKUP($A6,SXS_Transit_input!$A$53:$R$69,MATCH(SXS_Transit_temp!B$2,SXS_Transit_input!$B$52:$R$52,0)+1,FALSE)),0,VLOOKUP($A6,SXS_Transit_input!$A$53:$R$69,MATCH(SXS_Transit_temp!B$2,SXS_Transit_input!$B$52:$R$52,0)+1,FALSE))</f>
        <v>7007.3105400000004</v>
      </c>
      <c r="C6">
        <f>IF(ISNA(VLOOKUP($A6,SXS_Transit_input!$A$5:$W$26,MATCH(SXS_Transit_temp!C$2,SXS_Transit_input!$B$4:$W$4,0)+1,FALSE)),0,VLOOKUP($A6,SXS_Transit_input!$A$5:$W$26,MATCH(SXS_Transit_temp!C$2,SXS_Transit_input!$B$4:$W$4,0)+1,FALSE))+IF(ISNA(VLOOKUP($A6,SXS_Transit_input!$A$53:$R$69,MATCH(SXS_Transit_temp!C$2,SXS_Transit_input!$B$52:$R$52,0)+1,FALSE)),0,VLOOKUP($A6,SXS_Transit_input!$A$53:$R$69,MATCH(SXS_Transit_temp!C$2,SXS_Transit_input!$B$52:$R$52,0)+1,FALSE))</f>
        <v>2231.5819299999998</v>
      </c>
      <c r="D6">
        <f>IF(ISNA(VLOOKUP($A6,SXS_Transit_input!$A$5:$W$26,MATCH(SXS_Transit_temp!D$2,SXS_Transit_input!$B$4:$W$4,0)+1,FALSE)),0,VLOOKUP($A6,SXS_Transit_input!$A$5:$W$26,MATCH(SXS_Transit_temp!D$2,SXS_Transit_input!$B$4:$W$4,0)+1,FALSE))+IF(ISNA(VLOOKUP($A6,SXS_Transit_input!$A$53:$R$69,MATCH(SXS_Transit_temp!D$2,SXS_Transit_input!$B$52:$R$52,0)+1,FALSE)),0,VLOOKUP($A6,SXS_Transit_input!$A$53:$R$69,MATCH(SXS_Transit_temp!D$2,SXS_Transit_input!$B$52:$R$52,0)+1,FALSE))</f>
        <v>3833.9225800000004</v>
      </c>
      <c r="E6">
        <f>IF(ISNA(VLOOKUP($A6,SXS_Transit_input!$A$5:$W$26,MATCH(SXS_Transit_temp!E$2,SXS_Transit_input!$B$4:$W$4,0)+1,FALSE)),0,VLOOKUP($A6,SXS_Transit_input!$A$5:$W$26,MATCH(SXS_Transit_temp!E$2,SXS_Transit_input!$B$4:$W$4,0)+1,FALSE))+IF(ISNA(VLOOKUP($A6,SXS_Transit_input!$A$53:$R$69,MATCH(SXS_Transit_temp!E$2,SXS_Transit_input!$B$52:$R$52,0)+1,FALSE)),0,VLOOKUP($A6,SXS_Transit_input!$A$53:$R$69,MATCH(SXS_Transit_temp!E$2,SXS_Transit_input!$B$52:$R$52,0)+1,FALSE))</f>
        <v>4512.5127700000003</v>
      </c>
      <c r="F6">
        <f>IF(ISNA(VLOOKUP($A6,SXS_Transit_input!$A$5:$W$26,MATCH(SXS_Transit_temp!F$2,SXS_Transit_input!$B$4:$W$4,0)+1,FALSE)),0,VLOOKUP($A6,SXS_Transit_input!$A$5:$W$26,MATCH(SXS_Transit_temp!F$2,SXS_Transit_input!$B$4:$W$4,0)+1,FALSE))+IF(ISNA(VLOOKUP($A6,SXS_Transit_input!$A$53:$R$69,MATCH(SXS_Transit_temp!F$2,SXS_Transit_input!$B$52:$R$52,0)+1,FALSE)),0,VLOOKUP($A6,SXS_Transit_input!$A$53:$R$69,MATCH(SXS_Transit_temp!F$2,SXS_Transit_input!$B$52:$R$52,0)+1,FALSE))</f>
        <v>2547.0354499999999</v>
      </c>
      <c r="G6">
        <f>IF(ISNA(VLOOKUP($A6,SXS_Transit_input!$A$5:$W$26,MATCH(SXS_Transit_temp!G$2,SXS_Transit_input!$B$4:$W$4,0)+1,FALSE)),0,VLOOKUP($A6,SXS_Transit_input!$A$5:$W$26,MATCH(SXS_Transit_temp!G$2,SXS_Transit_input!$B$4:$W$4,0)+1,FALSE))+IF(ISNA(VLOOKUP($A6,SXS_Transit_input!$A$53:$R$69,MATCH(SXS_Transit_temp!G$2,SXS_Transit_input!$B$52:$R$52,0)+1,FALSE)),0,VLOOKUP($A6,SXS_Transit_input!$A$53:$R$69,MATCH(SXS_Transit_temp!G$2,SXS_Transit_input!$B$52:$R$52,0)+1,FALSE))</f>
        <v>0</v>
      </c>
      <c r="H6">
        <f>IF(ISNA(VLOOKUP($A6,SXS_Transit_input!$A$5:$W$26,MATCH(SXS_Transit_temp!H$2,SXS_Transit_input!$B$4:$W$4,0)+1,FALSE)),0,VLOOKUP($A6,SXS_Transit_input!$A$5:$W$26,MATCH(SXS_Transit_temp!H$2,SXS_Transit_input!$B$4:$W$4,0)+1,FALSE))+IF(ISNA(VLOOKUP($A6,SXS_Transit_input!$A$53:$R$69,MATCH(SXS_Transit_temp!H$2,SXS_Transit_input!$B$52:$R$52,0)+1,FALSE)),0,VLOOKUP($A6,SXS_Transit_input!$A$53:$R$69,MATCH(SXS_Transit_temp!H$2,SXS_Transit_input!$B$52:$R$52,0)+1,FALSE))</f>
        <v>0</v>
      </c>
      <c r="I6">
        <f>IF(ISNA(VLOOKUP($A6,SXS_Transit_input!$A$5:$W$26,MATCH(SXS_Transit_temp!I$2,SXS_Transit_input!$B$4:$W$4,0)+1,FALSE)),0,VLOOKUP($A6,SXS_Transit_input!$A$5:$W$26,MATCH(SXS_Transit_temp!I$2,SXS_Transit_input!$B$4:$W$4,0)+1,FALSE))+IF(ISNA(VLOOKUP($A6,SXS_Transit_input!$A$53:$R$69,MATCH(SXS_Transit_temp!I$2,SXS_Transit_input!$B$52:$R$52,0)+1,FALSE)),0,VLOOKUP($A6,SXS_Transit_input!$A$53:$R$69,MATCH(SXS_Transit_temp!I$2,SXS_Transit_input!$B$52:$R$52,0)+1,FALSE))</f>
        <v>1251.89384</v>
      </c>
      <c r="J6">
        <f>IF(ISNA(VLOOKUP($A6,SXS_Transit_input!$A$5:$W$26,MATCH(SXS_Transit_temp!J$2,SXS_Transit_input!$B$4:$W$4,0)+1,FALSE)),0,VLOOKUP($A6,SXS_Transit_input!$A$5:$W$26,MATCH(SXS_Transit_temp!J$2,SXS_Transit_input!$B$4:$W$4,0)+1,FALSE))+IF(ISNA(VLOOKUP($A6,SXS_Transit_input!$A$53:$R$69,MATCH(SXS_Transit_temp!J$2,SXS_Transit_input!$B$52:$R$52,0)+1,FALSE)),0,VLOOKUP($A6,SXS_Transit_input!$A$53:$R$69,MATCH(SXS_Transit_temp!J$2,SXS_Transit_input!$B$52:$R$52,0)+1,FALSE))</f>
        <v>0</v>
      </c>
      <c r="K6">
        <f>IF(ISNA(VLOOKUP($A6,SXS_Transit_input!$A$5:$W$26,MATCH(SXS_Transit_temp!K$2,SXS_Transit_input!$B$4:$W$4,0)+1,FALSE)),0,VLOOKUP($A6,SXS_Transit_input!$A$5:$W$26,MATCH(SXS_Transit_temp!K$2,SXS_Transit_input!$B$4:$W$4,0)+1,FALSE))+IF(ISNA(VLOOKUP($A6,SXS_Transit_input!$A$53:$R$69,MATCH(SXS_Transit_temp!K$2,SXS_Transit_input!$B$52:$R$52,0)+1,FALSE)),0,VLOOKUP($A6,SXS_Transit_input!$A$53:$R$69,MATCH(SXS_Transit_temp!K$2,SXS_Transit_input!$B$52:$R$52,0)+1,FALSE))</f>
        <v>1520.7427700000001</v>
      </c>
      <c r="L6">
        <f>IF(ISNA(VLOOKUP($A6,SXS_Transit_input!$A$5:$W$26,MATCH(SXS_Transit_temp!L$2,SXS_Transit_input!$B$4:$W$4,0)+1,FALSE)),0,VLOOKUP($A6,SXS_Transit_input!$A$5:$W$26,MATCH(SXS_Transit_temp!L$2,SXS_Transit_input!$B$4:$W$4,0)+1,FALSE))+IF(ISNA(VLOOKUP($A6,SXS_Transit_input!$A$53:$R$69,MATCH(SXS_Transit_temp!L$2,SXS_Transit_input!$B$52:$R$52,0)+1,FALSE)),0,VLOOKUP($A6,SXS_Transit_input!$A$53:$R$69,MATCH(SXS_Transit_temp!L$2,SXS_Transit_input!$B$52:$R$52,0)+1,FALSE))</f>
        <v>0</v>
      </c>
      <c r="M6">
        <f>IF(ISNA(VLOOKUP($A6,SXS_Transit_input!$A$5:$W$26,MATCH(SXS_Transit_temp!M$2,SXS_Transit_input!$B$4:$W$4,0)+1,FALSE)),0,VLOOKUP($A6,SXS_Transit_input!$A$5:$W$26,MATCH(SXS_Transit_temp!M$2,SXS_Transit_input!$B$4:$W$4,0)+1,FALSE))+IF(ISNA(VLOOKUP($A6,SXS_Transit_input!$A$53:$R$69,MATCH(SXS_Transit_temp!M$2,SXS_Transit_input!$B$52:$R$52,0)+1,FALSE)),0,VLOOKUP($A6,SXS_Transit_input!$A$53:$R$69,MATCH(SXS_Transit_temp!M$2,SXS_Transit_input!$B$52:$R$52,0)+1,FALSE))</f>
        <v>160.27674999999999</v>
      </c>
      <c r="N6">
        <f>IF(ISNA(VLOOKUP($A6,SXS_Transit_input!$A$5:$W$26,MATCH(SXS_Transit_temp!N$2,SXS_Transit_input!$B$4:$W$4,0)+1,FALSE)),0,VLOOKUP($A6,SXS_Transit_input!$A$5:$W$26,MATCH(SXS_Transit_temp!N$2,SXS_Transit_input!$B$4:$W$4,0)+1,FALSE))+IF(ISNA(VLOOKUP($A6,SXS_Transit_input!$A$53:$R$69,MATCH(SXS_Transit_temp!N$2,SXS_Transit_input!$B$52:$R$52,0)+1,FALSE)),0,VLOOKUP($A6,SXS_Transit_input!$A$53:$R$69,MATCH(SXS_Transit_temp!N$2,SXS_Transit_input!$B$52:$R$52,0)+1,FALSE))</f>
        <v>241.44669999999999</v>
      </c>
      <c r="O6">
        <f>IF(ISNA(VLOOKUP($A6,SXS_Transit_input!$A$5:$W$26,MATCH(SXS_Transit_temp!O$2,SXS_Transit_input!$B$4:$W$4,0)+1,FALSE)),0,VLOOKUP($A6,SXS_Transit_input!$A$5:$W$26,MATCH(SXS_Transit_temp!O$2,SXS_Transit_input!$B$4:$W$4,0)+1,FALSE))+IF(ISNA(VLOOKUP($A6,SXS_Transit_input!$A$53:$R$69,MATCH(SXS_Transit_temp!O$2,SXS_Transit_input!$B$52:$R$52,0)+1,FALSE)),0,VLOOKUP($A6,SXS_Transit_input!$A$53:$R$69,MATCH(SXS_Transit_temp!O$2,SXS_Transit_input!$B$52:$R$52,0)+1,FALSE))</f>
        <v>243.99341000000001</v>
      </c>
      <c r="P6">
        <f>IF(ISNA(VLOOKUP($A6,SXS_Transit_input!$A$5:$W$26,MATCH(SXS_Transit_temp!P$2,SXS_Transit_input!$B$4:$W$4,0)+1,FALSE)),0,VLOOKUP($A6,SXS_Transit_input!$A$5:$W$26,MATCH(SXS_Transit_temp!P$2,SXS_Transit_input!$B$4:$W$4,0)+1,FALSE))+IF(ISNA(VLOOKUP($A6,SXS_Transit_input!$A$53:$R$69,MATCH(SXS_Transit_temp!P$2,SXS_Transit_input!$B$52:$R$52,0)+1,FALSE)),0,VLOOKUP($A6,SXS_Transit_input!$A$53:$R$69,MATCH(SXS_Transit_temp!P$2,SXS_Transit_input!$B$52:$R$52,0)+1,FALSE))</f>
        <v>0</v>
      </c>
      <c r="Q6">
        <f>IF(ISNA(VLOOKUP($A6,SXS_Transit_input!$A$5:$W$26,MATCH(SXS_Transit_temp!Q$2,SXS_Transit_input!$B$4:$W$4,0)+1,FALSE)),0,VLOOKUP($A6,SXS_Transit_input!$A$5:$W$26,MATCH(SXS_Transit_temp!Q$2,SXS_Transit_input!$B$4:$W$4,0)+1,FALSE))+IF(ISNA(VLOOKUP($A6,SXS_Transit_input!$A$53:$R$69,MATCH(SXS_Transit_temp!Q$2,SXS_Transit_input!$B$52:$R$52,0)+1,FALSE)),0,VLOOKUP($A6,SXS_Transit_input!$A$53:$R$69,MATCH(SXS_Transit_temp!Q$2,SXS_Transit_input!$B$52:$R$52,0)+1,FALSE))</f>
        <v>0</v>
      </c>
      <c r="R6">
        <f>IF(ISNA(VLOOKUP($A6,SXS_Transit_input!$A$5:$W$26,MATCH(SXS_Transit_temp!R$2,SXS_Transit_input!$B$4:$W$4,0)+1,FALSE)),0,VLOOKUP($A6,SXS_Transit_input!$A$5:$W$26,MATCH(SXS_Transit_temp!R$2,SXS_Transit_input!$B$4:$W$4,0)+1,FALSE))+IF(ISNA(VLOOKUP($A6,SXS_Transit_input!$A$53:$R$69,MATCH(SXS_Transit_temp!R$2,SXS_Transit_input!$B$52:$R$52,0)+1,FALSE)),0,VLOOKUP($A6,SXS_Transit_input!$A$53:$R$69,MATCH(SXS_Transit_temp!R$2,SXS_Transit_input!$B$52:$R$52,0)+1,FALSE))</f>
        <v>0</v>
      </c>
      <c r="S6">
        <f>IF(ISNA(VLOOKUP($A6,SXS_Transit_input!$A$5:$W$26,MATCH(SXS_Transit_temp!S$2,SXS_Transit_input!$B$4:$W$4,0)+1,FALSE)),0,VLOOKUP($A6,SXS_Transit_input!$A$5:$W$26,MATCH(SXS_Transit_temp!S$2,SXS_Transit_input!$B$4:$W$4,0)+1,FALSE))+IF(ISNA(VLOOKUP($A6,SXS_Transit_input!$A$53:$R$69,MATCH(SXS_Transit_temp!S$2,SXS_Transit_input!$B$52:$R$52,0)+1,FALSE)),0,VLOOKUP($A6,SXS_Transit_input!$A$53:$R$69,MATCH(SXS_Transit_temp!S$2,SXS_Transit_input!$B$52:$R$52,0)+1,FALSE))</f>
        <v>0</v>
      </c>
      <c r="T6">
        <f>IF(ISNA(VLOOKUP($A6,SXS_Transit_input!$A$5:$W$26,MATCH(SXS_Transit_temp!T$2,SXS_Transit_input!$B$4:$W$4,0)+1,FALSE)),0,VLOOKUP($A6,SXS_Transit_input!$A$5:$W$26,MATCH(SXS_Transit_temp!T$2,SXS_Transit_input!$B$4:$W$4,0)+1,FALSE))+IF(ISNA(VLOOKUP($A6,SXS_Transit_input!$A$53:$R$69,MATCH(SXS_Transit_temp!T$2,SXS_Transit_input!$B$52:$R$52,0)+1,FALSE)),0,VLOOKUP($A6,SXS_Transit_input!$A$53:$R$69,MATCH(SXS_Transit_temp!T$2,SXS_Transit_input!$B$52:$R$52,0)+1,FALSE))</f>
        <v>0</v>
      </c>
      <c r="U6">
        <f>IF(ISNA(VLOOKUP($A6,SXS_Transit_input!$A$5:$W$26,MATCH(SXS_Transit_temp!U$2,SXS_Transit_input!$B$4:$W$4,0)+1,FALSE)),0,VLOOKUP($A6,SXS_Transit_input!$A$5:$W$26,MATCH(SXS_Transit_temp!U$2,SXS_Transit_input!$B$4:$W$4,0)+1,FALSE))+IF(ISNA(VLOOKUP($A6,SXS_Transit_input!$A$53:$R$69,MATCH(SXS_Transit_temp!U$2,SXS_Transit_input!$B$52:$R$52,0)+1,FALSE)),0,VLOOKUP($A6,SXS_Transit_input!$A$53:$R$69,MATCH(SXS_Transit_temp!U$2,SXS_Transit_input!$B$52:$R$52,0)+1,FALSE))</f>
        <v>139.71608000000001</v>
      </c>
      <c r="V6">
        <f>IF(ISNA(VLOOKUP($A6,SXS_Transit_input!$A$5:$W$26,MATCH(SXS_Transit_temp!V$2,SXS_Transit_input!$B$4:$W$4,0)+1,FALSE)),0,VLOOKUP($A6,SXS_Transit_input!$A$5:$W$26,MATCH(SXS_Transit_temp!V$2,SXS_Transit_input!$B$4:$W$4,0)+1,FALSE))+IF(ISNA(VLOOKUP($A6,SXS_Transit_input!$A$53:$R$69,MATCH(SXS_Transit_temp!V$2,SXS_Transit_input!$B$52:$R$52,0)+1,FALSE)),0,VLOOKUP($A6,SXS_Transit_input!$A$53:$R$69,MATCH(SXS_Transit_temp!V$2,SXS_Transit_input!$B$52:$R$52,0)+1,FALSE))</f>
        <v>0</v>
      </c>
      <c r="W6">
        <f>IF(ISNA(VLOOKUP($A6,SXS_Transit_input!$A$5:$W$26,MATCH(SXS_Transit_temp!W$2,SXS_Transit_input!$B$4:$W$4,0)+1,FALSE)),0,VLOOKUP($A6,SXS_Transit_input!$A$5:$W$26,MATCH(SXS_Transit_temp!W$2,SXS_Transit_input!$B$4:$W$4,0)+1,FALSE))+IF(ISNA(VLOOKUP($A6,SXS_Transit_input!$A$53:$R$69,MATCH(SXS_Transit_temp!W$2,SXS_Transit_input!$B$52:$R$52,0)+1,FALSE)),0,VLOOKUP($A6,SXS_Transit_input!$A$53:$R$69,MATCH(SXS_Transit_temp!W$2,SXS_Transit_input!$B$52:$R$52,0)+1,FALSE))</f>
        <v>0</v>
      </c>
      <c r="X6">
        <f>IF(ISNA(VLOOKUP($A6,SXS_Transit_input!$A$5:$W$26,MATCH(SXS_Transit_temp!X$2,SXS_Transit_input!$B$4:$W$4,0)+1,FALSE)),0,VLOOKUP($A6,SXS_Transit_input!$A$5:$W$26,MATCH(SXS_Transit_temp!X$2,SXS_Transit_input!$B$4:$W$4,0)+1,FALSE))+IF(ISNA(VLOOKUP($A6,SXS_Transit_input!$A$53:$R$69,MATCH(SXS_Transit_temp!X$2,SXS_Transit_input!$B$52:$R$52,0)+1,FALSE)),0,VLOOKUP($A6,SXS_Transit_input!$A$53:$R$69,MATCH(SXS_Transit_temp!X$2,SXS_Transit_input!$B$52:$R$52,0)+1,FALSE))</f>
        <v>0</v>
      </c>
      <c r="Y6">
        <f>IF(ISNA(VLOOKUP($A6,SXS_Transit_input!$A$5:$W$26,MATCH(SXS_Transit_temp!Y$2,SXS_Transit_input!$B$4:$W$4,0)+1,FALSE)),0,VLOOKUP($A6,SXS_Transit_input!$A$5:$W$26,MATCH(SXS_Transit_temp!Y$2,SXS_Transit_input!$B$4:$W$4,0)+1,FALSE))+IF(ISNA(VLOOKUP($A6,SXS_Transit_input!$A$53:$R$69,MATCH(SXS_Transit_temp!Y$2,SXS_Transit_input!$B$52:$R$52,0)+1,FALSE)),0,VLOOKUP($A6,SXS_Transit_input!$A$53:$R$69,MATCH(SXS_Transit_temp!Y$2,SXS_Transit_input!$B$52:$R$52,0)+1,FALSE))</f>
        <v>0</v>
      </c>
      <c r="Z6">
        <f>IF(ISNA(VLOOKUP($A6,SXS_Transit_input!$A$5:$W$26,MATCH(SXS_Transit_temp!Z$2,SXS_Transit_input!$B$4:$W$4,0)+1,FALSE)),0,VLOOKUP($A6,SXS_Transit_input!$A$5:$W$26,MATCH(SXS_Transit_temp!Z$2,SXS_Transit_input!$B$4:$W$4,0)+1,FALSE))+IF(ISNA(VLOOKUP($A6,SXS_Transit_input!$A$53:$R$69,MATCH(SXS_Transit_temp!Z$2,SXS_Transit_input!$B$52:$R$52,0)+1,FALSE)),0,VLOOKUP($A6,SXS_Transit_input!$A$53:$R$69,MATCH(SXS_Transit_temp!Z$2,SXS_Transit_input!$B$52:$R$52,0)+1,FALSE))</f>
        <v>0</v>
      </c>
      <c r="AA6">
        <v>4</v>
      </c>
      <c r="AB6" s="33">
        <f t="shared" si="1"/>
        <v>3050</v>
      </c>
      <c r="AC6" s="34">
        <f t="shared" si="0"/>
        <v>533</v>
      </c>
      <c r="AD6" s="34">
        <f t="shared" si="0"/>
        <v>784</v>
      </c>
      <c r="AE6" s="34">
        <f t="shared" si="0"/>
        <v>793</v>
      </c>
      <c r="AF6" s="34">
        <f t="shared" si="0"/>
        <v>481</v>
      </c>
      <c r="AG6" s="34">
        <f t="shared" si="0"/>
        <v>112</v>
      </c>
      <c r="AH6" s="34">
        <f t="shared" si="0"/>
        <v>46</v>
      </c>
      <c r="AI6" s="34">
        <f t="shared" si="0"/>
        <v>57</v>
      </c>
      <c r="AJ6" s="34">
        <f t="shared" si="0"/>
        <v>2</v>
      </c>
      <c r="AK6" s="34">
        <f t="shared" si="0"/>
        <v>2</v>
      </c>
      <c r="AL6" s="34">
        <f t="shared" si="0"/>
        <v>11</v>
      </c>
      <c r="AM6" s="34">
        <f t="shared" si="0"/>
        <v>29</v>
      </c>
      <c r="AN6" s="34">
        <f t="shared" si="0"/>
        <v>4</v>
      </c>
      <c r="AO6" s="34">
        <f t="shared" si="0"/>
        <v>3</v>
      </c>
      <c r="AP6" s="34">
        <f t="shared" si="0"/>
        <v>0</v>
      </c>
      <c r="AQ6" s="34">
        <f t="shared" si="0"/>
        <v>0</v>
      </c>
      <c r="AR6" s="34">
        <f t="shared" si="0"/>
        <v>0</v>
      </c>
      <c r="AS6" s="34">
        <f t="shared" si="0"/>
        <v>0</v>
      </c>
      <c r="AT6" s="34">
        <f t="shared" si="0"/>
        <v>0</v>
      </c>
      <c r="AU6" s="34">
        <f t="shared" si="0"/>
        <v>0</v>
      </c>
      <c r="AV6" s="34">
        <f t="shared" si="0"/>
        <v>3</v>
      </c>
      <c r="AW6" s="34">
        <f t="shared" si="0"/>
        <v>0</v>
      </c>
      <c r="AX6" s="34">
        <f t="shared" si="0"/>
        <v>1</v>
      </c>
      <c r="AY6" s="34">
        <f t="shared" si="0"/>
        <v>0</v>
      </c>
      <c r="AZ6" s="35">
        <f t="shared" si="0"/>
        <v>0</v>
      </c>
      <c r="BC6">
        <v>4</v>
      </c>
      <c r="BD6">
        <v>2963</v>
      </c>
      <c r="BE6">
        <v>502</v>
      </c>
      <c r="BF6">
        <v>730</v>
      </c>
      <c r="BG6">
        <v>763</v>
      </c>
      <c r="BH6">
        <v>459</v>
      </c>
      <c r="BI6">
        <v>106</v>
      </c>
      <c r="BJ6">
        <v>46</v>
      </c>
      <c r="BK6">
        <v>57</v>
      </c>
      <c r="BL6">
        <v>2</v>
      </c>
      <c r="BM6">
        <v>2</v>
      </c>
      <c r="BN6">
        <v>11</v>
      </c>
      <c r="BO6">
        <v>28</v>
      </c>
      <c r="BP6">
        <v>4</v>
      </c>
      <c r="BQ6">
        <v>3</v>
      </c>
      <c r="BR6">
        <v>0</v>
      </c>
      <c r="BS6">
        <v>0</v>
      </c>
      <c r="BT6">
        <v>0</v>
      </c>
      <c r="BU6">
        <v>0</v>
      </c>
      <c r="BV6">
        <v>0</v>
      </c>
      <c r="BW6">
        <v>0</v>
      </c>
      <c r="BX6">
        <v>3</v>
      </c>
      <c r="BY6">
        <v>0</v>
      </c>
      <c r="BZ6">
        <v>1</v>
      </c>
      <c r="CA6">
        <v>0</v>
      </c>
      <c r="CB6">
        <v>0</v>
      </c>
    </row>
    <row r="7" spans="1:80" x14ac:dyDescent="0.25">
      <c r="A7">
        <v>5</v>
      </c>
      <c r="B7">
        <f>IF(ISNA(VLOOKUP($A7,SXS_Transit_input!$A$5:$W$26,MATCH(SXS_Transit_temp!B$2,SXS_Transit_input!$B$4:$W$4,0)+1,FALSE)),0,VLOOKUP($A7,SXS_Transit_input!$A$5:$W$26,MATCH(SXS_Transit_temp!B$2,SXS_Transit_input!$B$4:$W$4,0)+1,FALSE))+IF(ISNA(VLOOKUP($A7,SXS_Transit_input!$A$53:$R$69,MATCH(SXS_Transit_temp!B$2,SXS_Transit_input!$B$52:$R$52,0)+1,FALSE)),0,VLOOKUP($A7,SXS_Transit_input!$A$53:$R$69,MATCH(SXS_Transit_temp!B$2,SXS_Transit_input!$B$52:$R$52,0)+1,FALSE))</f>
        <v>23603.8874</v>
      </c>
      <c r="C7">
        <f>IF(ISNA(VLOOKUP($A7,SXS_Transit_input!$A$5:$W$26,MATCH(SXS_Transit_temp!C$2,SXS_Transit_input!$B$4:$W$4,0)+1,FALSE)),0,VLOOKUP($A7,SXS_Transit_input!$A$5:$W$26,MATCH(SXS_Transit_temp!C$2,SXS_Transit_input!$B$4:$W$4,0)+1,FALSE))+IF(ISNA(VLOOKUP($A7,SXS_Transit_input!$A$53:$R$69,MATCH(SXS_Transit_temp!C$2,SXS_Transit_input!$B$52:$R$52,0)+1,FALSE)),0,VLOOKUP($A7,SXS_Transit_input!$A$53:$R$69,MATCH(SXS_Transit_temp!C$2,SXS_Transit_input!$B$52:$R$52,0)+1,FALSE))</f>
        <v>269.47685000000001</v>
      </c>
      <c r="D7">
        <f>IF(ISNA(VLOOKUP($A7,SXS_Transit_input!$A$5:$W$26,MATCH(SXS_Transit_temp!D$2,SXS_Transit_input!$B$4:$W$4,0)+1,FALSE)),0,VLOOKUP($A7,SXS_Transit_input!$A$5:$W$26,MATCH(SXS_Transit_temp!D$2,SXS_Transit_input!$B$4:$W$4,0)+1,FALSE))+IF(ISNA(VLOOKUP($A7,SXS_Transit_input!$A$53:$R$69,MATCH(SXS_Transit_temp!D$2,SXS_Transit_input!$B$52:$R$52,0)+1,FALSE)),0,VLOOKUP($A7,SXS_Transit_input!$A$53:$R$69,MATCH(SXS_Transit_temp!D$2,SXS_Transit_input!$B$52:$R$52,0)+1,FALSE))</f>
        <v>4588.3615799999998</v>
      </c>
      <c r="E7">
        <f>IF(ISNA(VLOOKUP($A7,SXS_Transit_input!$A$5:$W$26,MATCH(SXS_Transit_temp!E$2,SXS_Transit_input!$B$4:$W$4,0)+1,FALSE)),0,VLOOKUP($A7,SXS_Transit_input!$A$5:$W$26,MATCH(SXS_Transit_temp!E$2,SXS_Transit_input!$B$4:$W$4,0)+1,FALSE))+IF(ISNA(VLOOKUP($A7,SXS_Transit_input!$A$53:$R$69,MATCH(SXS_Transit_temp!E$2,SXS_Transit_input!$B$52:$R$52,0)+1,FALSE)),0,VLOOKUP($A7,SXS_Transit_input!$A$53:$R$69,MATCH(SXS_Transit_temp!E$2,SXS_Transit_input!$B$52:$R$52,0)+1,FALSE))</f>
        <v>1458.33853</v>
      </c>
      <c r="F7">
        <f>IF(ISNA(VLOOKUP($A7,SXS_Transit_input!$A$5:$W$26,MATCH(SXS_Transit_temp!F$2,SXS_Transit_input!$B$4:$W$4,0)+1,FALSE)),0,VLOOKUP($A7,SXS_Transit_input!$A$5:$W$26,MATCH(SXS_Transit_temp!F$2,SXS_Transit_input!$B$4:$W$4,0)+1,FALSE))+IF(ISNA(VLOOKUP($A7,SXS_Transit_input!$A$53:$R$69,MATCH(SXS_Transit_temp!F$2,SXS_Transit_input!$B$52:$R$52,0)+1,FALSE)),0,VLOOKUP($A7,SXS_Transit_input!$A$53:$R$69,MATCH(SXS_Transit_temp!F$2,SXS_Transit_input!$B$52:$R$52,0)+1,FALSE))</f>
        <v>5570.2843000000003</v>
      </c>
      <c r="G7">
        <f>IF(ISNA(VLOOKUP($A7,SXS_Transit_input!$A$5:$W$26,MATCH(SXS_Transit_temp!G$2,SXS_Transit_input!$B$4:$W$4,0)+1,FALSE)),0,VLOOKUP($A7,SXS_Transit_input!$A$5:$W$26,MATCH(SXS_Transit_temp!G$2,SXS_Transit_input!$B$4:$W$4,0)+1,FALSE))+IF(ISNA(VLOOKUP($A7,SXS_Transit_input!$A$53:$R$69,MATCH(SXS_Transit_temp!G$2,SXS_Transit_input!$B$52:$R$52,0)+1,FALSE)),0,VLOOKUP($A7,SXS_Transit_input!$A$53:$R$69,MATCH(SXS_Transit_temp!G$2,SXS_Transit_input!$B$52:$R$52,0)+1,FALSE))</f>
        <v>636.24987999999996</v>
      </c>
      <c r="H7">
        <f>IF(ISNA(VLOOKUP($A7,SXS_Transit_input!$A$5:$W$26,MATCH(SXS_Transit_temp!H$2,SXS_Transit_input!$B$4:$W$4,0)+1,FALSE)),0,VLOOKUP($A7,SXS_Transit_input!$A$5:$W$26,MATCH(SXS_Transit_temp!H$2,SXS_Transit_input!$B$4:$W$4,0)+1,FALSE))+IF(ISNA(VLOOKUP($A7,SXS_Transit_input!$A$53:$R$69,MATCH(SXS_Transit_temp!H$2,SXS_Transit_input!$B$52:$R$52,0)+1,FALSE)),0,VLOOKUP($A7,SXS_Transit_input!$A$53:$R$69,MATCH(SXS_Transit_temp!H$2,SXS_Transit_input!$B$52:$R$52,0)+1,FALSE))</f>
        <v>0</v>
      </c>
      <c r="I7">
        <f>IF(ISNA(VLOOKUP($A7,SXS_Transit_input!$A$5:$W$26,MATCH(SXS_Transit_temp!I$2,SXS_Transit_input!$B$4:$W$4,0)+1,FALSE)),0,VLOOKUP($A7,SXS_Transit_input!$A$5:$W$26,MATCH(SXS_Transit_temp!I$2,SXS_Transit_input!$B$4:$W$4,0)+1,FALSE))+IF(ISNA(VLOOKUP($A7,SXS_Transit_input!$A$53:$R$69,MATCH(SXS_Transit_temp!I$2,SXS_Transit_input!$B$52:$R$52,0)+1,FALSE)),0,VLOOKUP($A7,SXS_Transit_input!$A$53:$R$69,MATCH(SXS_Transit_temp!I$2,SXS_Transit_input!$B$52:$R$52,0)+1,FALSE))</f>
        <v>4509.9804899999999</v>
      </c>
      <c r="J7">
        <f>IF(ISNA(VLOOKUP($A7,SXS_Transit_input!$A$5:$W$26,MATCH(SXS_Transit_temp!J$2,SXS_Transit_input!$B$4:$W$4,0)+1,FALSE)),0,VLOOKUP($A7,SXS_Transit_input!$A$5:$W$26,MATCH(SXS_Transit_temp!J$2,SXS_Transit_input!$B$4:$W$4,0)+1,FALSE))+IF(ISNA(VLOOKUP($A7,SXS_Transit_input!$A$53:$R$69,MATCH(SXS_Transit_temp!J$2,SXS_Transit_input!$B$52:$R$52,0)+1,FALSE)),0,VLOOKUP($A7,SXS_Transit_input!$A$53:$R$69,MATCH(SXS_Transit_temp!J$2,SXS_Transit_input!$B$52:$R$52,0)+1,FALSE))</f>
        <v>0</v>
      </c>
      <c r="K7">
        <f>IF(ISNA(VLOOKUP($A7,SXS_Transit_input!$A$5:$W$26,MATCH(SXS_Transit_temp!K$2,SXS_Transit_input!$B$4:$W$4,0)+1,FALSE)),0,VLOOKUP($A7,SXS_Transit_input!$A$5:$W$26,MATCH(SXS_Transit_temp!K$2,SXS_Transit_input!$B$4:$W$4,0)+1,FALSE))+IF(ISNA(VLOOKUP($A7,SXS_Transit_input!$A$53:$R$69,MATCH(SXS_Transit_temp!K$2,SXS_Transit_input!$B$52:$R$52,0)+1,FALSE)),0,VLOOKUP($A7,SXS_Transit_input!$A$53:$R$69,MATCH(SXS_Transit_temp!K$2,SXS_Transit_input!$B$52:$R$52,0)+1,FALSE))</f>
        <v>0</v>
      </c>
      <c r="L7">
        <f>IF(ISNA(VLOOKUP($A7,SXS_Transit_input!$A$5:$W$26,MATCH(SXS_Transit_temp!L$2,SXS_Transit_input!$B$4:$W$4,0)+1,FALSE)),0,VLOOKUP($A7,SXS_Transit_input!$A$5:$W$26,MATCH(SXS_Transit_temp!L$2,SXS_Transit_input!$B$4:$W$4,0)+1,FALSE))+IF(ISNA(VLOOKUP($A7,SXS_Transit_input!$A$53:$R$69,MATCH(SXS_Transit_temp!L$2,SXS_Transit_input!$B$52:$R$52,0)+1,FALSE)),0,VLOOKUP($A7,SXS_Transit_input!$A$53:$R$69,MATCH(SXS_Transit_temp!L$2,SXS_Transit_input!$B$52:$R$52,0)+1,FALSE))</f>
        <v>449.85316</v>
      </c>
      <c r="M7">
        <f>IF(ISNA(VLOOKUP($A7,SXS_Transit_input!$A$5:$W$26,MATCH(SXS_Transit_temp!M$2,SXS_Transit_input!$B$4:$W$4,0)+1,FALSE)),0,VLOOKUP($A7,SXS_Transit_input!$A$5:$W$26,MATCH(SXS_Transit_temp!M$2,SXS_Transit_input!$B$4:$W$4,0)+1,FALSE))+IF(ISNA(VLOOKUP($A7,SXS_Transit_input!$A$53:$R$69,MATCH(SXS_Transit_temp!M$2,SXS_Transit_input!$B$52:$R$52,0)+1,FALSE)),0,VLOOKUP($A7,SXS_Transit_input!$A$53:$R$69,MATCH(SXS_Transit_temp!M$2,SXS_Transit_input!$B$52:$R$52,0)+1,FALSE))</f>
        <v>375.76794999999998</v>
      </c>
      <c r="N7">
        <f>IF(ISNA(VLOOKUP($A7,SXS_Transit_input!$A$5:$W$26,MATCH(SXS_Transit_temp!N$2,SXS_Transit_input!$B$4:$W$4,0)+1,FALSE)),0,VLOOKUP($A7,SXS_Transit_input!$A$5:$W$26,MATCH(SXS_Transit_temp!N$2,SXS_Transit_input!$B$4:$W$4,0)+1,FALSE))+IF(ISNA(VLOOKUP($A7,SXS_Transit_input!$A$53:$R$69,MATCH(SXS_Transit_temp!N$2,SXS_Transit_input!$B$52:$R$52,0)+1,FALSE)),0,VLOOKUP($A7,SXS_Transit_input!$A$53:$R$69,MATCH(SXS_Transit_temp!N$2,SXS_Transit_input!$B$52:$R$52,0)+1,FALSE))</f>
        <v>37.614289999999997</v>
      </c>
      <c r="O7">
        <f>IF(ISNA(VLOOKUP($A7,SXS_Transit_input!$A$5:$W$26,MATCH(SXS_Transit_temp!O$2,SXS_Transit_input!$B$4:$W$4,0)+1,FALSE)),0,VLOOKUP($A7,SXS_Transit_input!$A$5:$W$26,MATCH(SXS_Transit_temp!O$2,SXS_Transit_input!$B$4:$W$4,0)+1,FALSE))+IF(ISNA(VLOOKUP($A7,SXS_Transit_input!$A$53:$R$69,MATCH(SXS_Transit_temp!O$2,SXS_Transit_input!$B$52:$R$52,0)+1,FALSE)),0,VLOOKUP($A7,SXS_Transit_input!$A$53:$R$69,MATCH(SXS_Transit_temp!O$2,SXS_Transit_input!$B$52:$R$52,0)+1,FALSE))</f>
        <v>0</v>
      </c>
      <c r="P7">
        <f>IF(ISNA(VLOOKUP($A7,SXS_Transit_input!$A$5:$W$26,MATCH(SXS_Transit_temp!P$2,SXS_Transit_input!$B$4:$W$4,0)+1,FALSE)),0,VLOOKUP($A7,SXS_Transit_input!$A$5:$W$26,MATCH(SXS_Transit_temp!P$2,SXS_Transit_input!$B$4:$W$4,0)+1,FALSE))+IF(ISNA(VLOOKUP($A7,SXS_Transit_input!$A$53:$R$69,MATCH(SXS_Transit_temp!P$2,SXS_Transit_input!$B$52:$R$52,0)+1,FALSE)),0,VLOOKUP($A7,SXS_Transit_input!$A$53:$R$69,MATCH(SXS_Transit_temp!P$2,SXS_Transit_input!$B$52:$R$52,0)+1,FALSE))</f>
        <v>0</v>
      </c>
      <c r="Q7">
        <f>IF(ISNA(VLOOKUP($A7,SXS_Transit_input!$A$5:$W$26,MATCH(SXS_Transit_temp!Q$2,SXS_Transit_input!$B$4:$W$4,0)+1,FALSE)),0,VLOOKUP($A7,SXS_Transit_input!$A$5:$W$26,MATCH(SXS_Transit_temp!Q$2,SXS_Transit_input!$B$4:$W$4,0)+1,FALSE))+IF(ISNA(VLOOKUP($A7,SXS_Transit_input!$A$53:$R$69,MATCH(SXS_Transit_temp!Q$2,SXS_Transit_input!$B$52:$R$52,0)+1,FALSE)),0,VLOOKUP($A7,SXS_Transit_input!$A$53:$R$69,MATCH(SXS_Transit_temp!Q$2,SXS_Transit_input!$B$52:$R$52,0)+1,FALSE))</f>
        <v>0</v>
      </c>
      <c r="R7">
        <f>IF(ISNA(VLOOKUP($A7,SXS_Transit_input!$A$5:$W$26,MATCH(SXS_Transit_temp!R$2,SXS_Transit_input!$B$4:$W$4,0)+1,FALSE)),0,VLOOKUP($A7,SXS_Transit_input!$A$5:$W$26,MATCH(SXS_Transit_temp!R$2,SXS_Transit_input!$B$4:$W$4,0)+1,FALSE))+IF(ISNA(VLOOKUP($A7,SXS_Transit_input!$A$53:$R$69,MATCH(SXS_Transit_temp!R$2,SXS_Transit_input!$B$52:$R$52,0)+1,FALSE)),0,VLOOKUP($A7,SXS_Transit_input!$A$53:$R$69,MATCH(SXS_Transit_temp!R$2,SXS_Transit_input!$B$52:$R$52,0)+1,FALSE))</f>
        <v>0</v>
      </c>
      <c r="S7">
        <f>IF(ISNA(VLOOKUP($A7,SXS_Transit_input!$A$5:$W$26,MATCH(SXS_Transit_temp!S$2,SXS_Transit_input!$B$4:$W$4,0)+1,FALSE)),0,VLOOKUP($A7,SXS_Transit_input!$A$5:$W$26,MATCH(SXS_Transit_temp!S$2,SXS_Transit_input!$B$4:$W$4,0)+1,FALSE))+IF(ISNA(VLOOKUP($A7,SXS_Transit_input!$A$53:$R$69,MATCH(SXS_Transit_temp!S$2,SXS_Transit_input!$B$52:$R$52,0)+1,FALSE)),0,VLOOKUP($A7,SXS_Transit_input!$A$53:$R$69,MATCH(SXS_Transit_temp!S$2,SXS_Transit_input!$B$52:$R$52,0)+1,FALSE))</f>
        <v>0</v>
      </c>
      <c r="T7">
        <f>IF(ISNA(VLOOKUP($A7,SXS_Transit_input!$A$5:$W$26,MATCH(SXS_Transit_temp!T$2,SXS_Transit_input!$B$4:$W$4,0)+1,FALSE)),0,VLOOKUP($A7,SXS_Transit_input!$A$5:$W$26,MATCH(SXS_Transit_temp!T$2,SXS_Transit_input!$B$4:$W$4,0)+1,FALSE))+IF(ISNA(VLOOKUP($A7,SXS_Transit_input!$A$53:$R$69,MATCH(SXS_Transit_temp!T$2,SXS_Transit_input!$B$52:$R$52,0)+1,FALSE)),0,VLOOKUP($A7,SXS_Transit_input!$A$53:$R$69,MATCH(SXS_Transit_temp!T$2,SXS_Transit_input!$B$52:$R$52,0)+1,FALSE))</f>
        <v>0</v>
      </c>
      <c r="U7">
        <f>IF(ISNA(VLOOKUP($A7,SXS_Transit_input!$A$5:$W$26,MATCH(SXS_Transit_temp!U$2,SXS_Transit_input!$B$4:$W$4,0)+1,FALSE)),0,VLOOKUP($A7,SXS_Transit_input!$A$5:$W$26,MATCH(SXS_Transit_temp!U$2,SXS_Transit_input!$B$4:$W$4,0)+1,FALSE))+IF(ISNA(VLOOKUP($A7,SXS_Transit_input!$A$53:$R$69,MATCH(SXS_Transit_temp!U$2,SXS_Transit_input!$B$52:$R$52,0)+1,FALSE)),0,VLOOKUP($A7,SXS_Transit_input!$A$53:$R$69,MATCH(SXS_Transit_temp!U$2,SXS_Transit_input!$B$52:$R$52,0)+1,FALSE))</f>
        <v>1032.5377100000001</v>
      </c>
      <c r="V7">
        <f>IF(ISNA(VLOOKUP($A7,SXS_Transit_input!$A$5:$W$26,MATCH(SXS_Transit_temp!V$2,SXS_Transit_input!$B$4:$W$4,0)+1,FALSE)),0,VLOOKUP($A7,SXS_Transit_input!$A$5:$W$26,MATCH(SXS_Transit_temp!V$2,SXS_Transit_input!$B$4:$W$4,0)+1,FALSE))+IF(ISNA(VLOOKUP($A7,SXS_Transit_input!$A$53:$R$69,MATCH(SXS_Transit_temp!V$2,SXS_Transit_input!$B$52:$R$52,0)+1,FALSE)),0,VLOOKUP($A7,SXS_Transit_input!$A$53:$R$69,MATCH(SXS_Transit_temp!V$2,SXS_Transit_input!$B$52:$R$52,0)+1,FALSE))</f>
        <v>0</v>
      </c>
      <c r="W7">
        <f>IF(ISNA(VLOOKUP($A7,SXS_Transit_input!$A$5:$W$26,MATCH(SXS_Transit_temp!W$2,SXS_Transit_input!$B$4:$W$4,0)+1,FALSE)),0,VLOOKUP($A7,SXS_Transit_input!$A$5:$W$26,MATCH(SXS_Transit_temp!W$2,SXS_Transit_input!$B$4:$W$4,0)+1,FALSE))+IF(ISNA(VLOOKUP($A7,SXS_Transit_input!$A$53:$R$69,MATCH(SXS_Transit_temp!W$2,SXS_Transit_input!$B$52:$R$52,0)+1,FALSE)),0,VLOOKUP($A7,SXS_Transit_input!$A$53:$R$69,MATCH(SXS_Transit_temp!W$2,SXS_Transit_input!$B$52:$R$52,0)+1,FALSE))</f>
        <v>0</v>
      </c>
      <c r="X7">
        <f>IF(ISNA(VLOOKUP($A7,SXS_Transit_input!$A$5:$W$26,MATCH(SXS_Transit_temp!X$2,SXS_Transit_input!$B$4:$W$4,0)+1,FALSE)),0,VLOOKUP($A7,SXS_Transit_input!$A$5:$W$26,MATCH(SXS_Transit_temp!X$2,SXS_Transit_input!$B$4:$W$4,0)+1,FALSE))+IF(ISNA(VLOOKUP($A7,SXS_Transit_input!$A$53:$R$69,MATCH(SXS_Transit_temp!X$2,SXS_Transit_input!$B$52:$R$52,0)+1,FALSE)),0,VLOOKUP($A7,SXS_Transit_input!$A$53:$R$69,MATCH(SXS_Transit_temp!X$2,SXS_Transit_input!$B$52:$R$52,0)+1,FALSE))</f>
        <v>0</v>
      </c>
      <c r="Y7">
        <f>IF(ISNA(VLOOKUP($A7,SXS_Transit_input!$A$5:$W$26,MATCH(SXS_Transit_temp!Y$2,SXS_Transit_input!$B$4:$W$4,0)+1,FALSE)),0,VLOOKUP($A7,SXS_Transit_input!$A$5:$W$26,MATCH(SXS_Transit_temp!Y$2,SXS_Transit_input!$B$4:$W$4,0)+1,FALSE))+IF(ISNA(VLOOKUP($A7,SXS_Transit_input!$A$53:$R$69,MATCH(SXS_Transit_temp!Y$2,SXS_Transit_input!$B$52:$R$52,0)+1,FALSE)),0,VLOOKUP($A7,SXS_Transit_input!$A$53:$R$69,MATCH(SXS_Transit_temp!Y$2,SXS_Transit_input!$B$52:$R$52,0)+1,FALSE))</f>
        <v>0</v>
      </c>
      <c r="Z7">
        <f>IF(ISNA(VLOOKUP($A7,SXS_Transit_input!$A$5:$W$26,MATCH(SXS_Transit_temp!Z$2,SXS_Transit_input!$B$4:$W$4,0)+1,FALSE)),0,VLOOKUP($A7,SXS_Transit_input!$A$5:$W$26,MATCH(SXS_Transit_temp!Z$2,SXS_Transit_input!$B$4:$W$4,0)+1,FALSE))+IF(ISNA(VLOOKUP($A7,SXS_Transit_input!$A$53:$R$69,MATCH(SXS_Transit_temp!Z$2,SXS_Transit_input!$B$52:$R$52,0)+1,FALSE)),0,VLOOKUP($A7,SXS_Transit_input!$A$53:$R$69,MATCH(SXS_Transit_temp!Z$2,SXS_Transit_input!$B$52:$R$52,0)+1,FALSE))</f>
        <v>0</v>
      </c>
      <c r="AA7">
        <v>5</v>
      </c>
      <c r="AB7" s="33">
        <f t="shared" si="1"/>
        <v>4427</v>
      </c>
      <c r="AC7" s="34">
        <f t="shared" si="0"/>
        <v>353</v>
      </c>
      <c r="AD7" s="34">
        <f t="shared" si="0"/>
        <v>401</v>
      </c>
      <c r="AE7" s="34">
        <f t="shared" si="0"/>
        <v>479</v>
      </c>
      <c r="AF7" s="34">
        <f t="shared" si="0"/>
        <v>1474</v>
      </c>
      <c r="AG7" s="34">
        <f t="shared" si="0"/>
        <v>481</v>
      </c>
      <c r="AH7" s="34">
        <f t="shared" si="0"/>
        <v>159</v>
      </c>
      <c r="AI7" s="34">
        <f t="shared" si="0"/>
        <v>117</v>
      </c>
      <c r="AJ7" s="34">
        <f t="shared" si="0"/>
        <v>4</v>
      </c>
      <c r="AK7" s="34">
        <f t="shared" si="0"/>
        <v>5</v>
      </c>
      <c r="AL7" s="34">
        <f t="shared" si="0"/>
        <v>7</v>
      </c>
      <c r="AM7" s="34">
        <f t="shared" si="0"/>
        <v>90</v>
      </c>
      <c r="AN7" s="34">
        <f t="shared" si="0"/>
        <v>15</v>
      </c>
      <c r="AO7" s="34">
        <f t="shared" si="0"/>
        <v>8</v>
      </c>
      <c r="AP7" s="34">
        <f t="shared" si="0"/>
        <v>0</v>
      </c>
      <c r="AQ7" s="34">
        <f t="shared" si="0"/>
        <v>0</v>
      </c>
      <c r="AR7" s="34">
        <f t="shared" si="0"/>
        <v>0</v>
      </c>
      <c r="AS7" s="34">
        <f t="shared" si="0"/>
        <v>0</v>
      </c>
      <c r="AT7" s="34">
        <f t="shared" si="0"/>
        <v>0</v>
      </c>
      <c r="AU7" s="34">
        <f t="shared" si="0"/>
        <v>0</v>
      </c>
      <c r="AV7" s="34">
        <f t="shared" si="0"/>
        <v>2</v>
      </c>
      <c r="AW7" s="34">
        <f t="shared" si="0"/>
        <v>0</v>
      </c>
      <c r="AX7" s="34">
        <f t="shared" si="0"/>
        <v>0</v>
      </c>
      <c r="AY7" s="34">
        <f t="shared" si="0"/>
        <v>0</v>
      </c>
      <c r="AZ7" s="35">
        <f t="shared" si="0"/>
        <v>1</v>
      </c>
      <c r="BC7">
        <v>5</v>
      </c>
      <c r="BD7">
        <v>4248</v>
      </c>
      <c r="BE7">
        <v>339</v>
      </c>
      <c r="BF7">
        <v>370</v>
      </c>
      <c r="BG7">
        <v>452</v>
      </c>
      <c r="BH7">
        <v>1400</v>
      </c>
      <c r="BI7">
        <v>461</v>
      </c>
      <c r="BJ7">
        <v>159</v>
      </c>
      <c r="BK7">
        <v>113</v>
      </c>
      <c r="BL7">
        <v>4</v>
      </c>
      <c r="BM7">
        <v>5</v>
      </c>
      <c r="BN7">
        <v>7</v>
      </c>
      <c r="BO7">
        <v>90</v>
      </c>
      <c r="BP7">
        <v>15</v>
      </c>
      <c r="BQ7">
        <v>8</v>
      </c>
      <c r="BR7">
        <v>0</v>
      </c>
      <c r="BS7">
        <v>0</v>
      </c>
      <c r="BT7">
        <v>0</v>
      </c>
      <c r="BU7">
        <v>0</v>
      </c>
      <c r="BV7">
        <v>0</v>
      </c>
      <c r="BW7">
        <v>0</v>
      </c>
      <c r="BX7">
        <v>2</v>
      </c>
      <c r="BY7">
        <v>0</v>
      </c>
      <c r="BZ7">
        <v>0</v>
      </c>
      <c r="CA7">
        <v>0</v>
      </c>
      <c r="CB7">
        <v>1</v>
      </c>
    </row>
    <row r="8" spans="1:80" x14ac:dyDescent="0.25">
      <c r="A8">
        <v>6</v>
      </c>
      <c r="B8">
        <f>IF(ISNA(VLOOKUP($A8,SXS_Transit_input!$A$5:$W$26,MATCH(SXS_Transit_temp!B$2,SXS_Transit_input!$B$4:$W$4,0)+1,FALSE)),0,VLOOKUP($A8,SXS_Transit_input!$A$5:$W$26,MATCH(SXS_Transit_temp!B$2,SXS_Transit_input!$B$4:$W$4,0)+1,FALSE))+IF(ISNA(VLOOKUP($A8,SXS_Transit_input!$A$53:$R$69,MATCH(SXS_Transit_temp!B$2,SXS_Transit_input!$B$52:$R$52,0)+1,FALSE)),0,VLOOKUP($A8,SXS_Transit_input!$A$53:$R$69,MATCH(SXS_Transit_temp!B$2,SXS_Transit_input!$B$52:$R$52,0)+1,FALSE))</f>
        <v>13067.144759999999</v>
      </c>
      <c r="C8">
        <f>IF(ISNA(VLOOKUP($A8,SXS_Transit_input!$A$5:$W$26,MATCH(SXS_Transit_temp!C$2,SXS_Transit_input!$B$4:$W$4,0)+1,FALSE)),0,VLOOKUP($A8,SXS_Transit_input!$A$5:$W$26,MATCH(SXS_Transit_temp!C$2,SXS_Transit_input!$B$4:$W$4,0)+1,FALSE))+IF(ISNA(VLOOKUP($A8,SXS_Transit_input!$A$53:$R$69,MATCH(SXS_Transit_temp!C$2,SXS_Transit_input!$B$52:$R$52,0)+1,FALSE)),0,VLOOKUP($A8,SXS_Transit_input!$A$53:$R$69,MATCH(SXS_Transit_temp!C$2,SXS_Transit_input!$B$52:$R$52,0)+1,FALSE))</f>
        <v>1605.81537</v>
      </c>
      <c r="D8">
        <f>IF(ISNA(VLOOKUP($A8,SXS_Transit_input!$A$5:$W$26,MATCH(SXS_Transit_temp!D$2,SXS_Transit_input!$B$4:$W$4,0)+1,FALSE)),0,VLOOKUP($A8,SXS_Transit_input!$A$5:$W$26,MATCH(SXS_Transit_temp!D$2,SXS_Transit_input!$B$4:$W$4,0)+1,FALSE))+IF(ISNA(VLOOKUP($A8,SXS_Transit_input!$A$53:$R$69,MATCH(SXS_Transit_temp!D$2,SXS_Transit_input!$B$52:$R$52,0)+1,FALSE)),0,VLOOKUP($A8,SXS_Transit_input!$A$53:$R$69,MATCH(SXS_Transit_temp!D$2,SXS_Transit_input!$B$52:$R$52,0)+1,FALSE))</f>
        <v>552.02536999999995</v>
      </c>
      <c r="E8">
        <f>IF(ISNA(VLOOKUP($A8,SXS_Transit_input!$A$5:$W$26,MATCH(SXS_Transit_temp!E$2,SXS_Transit_input!$B$4:$W$4,0)+1,FALSE)),0,VLOOKUP($A8,SXS_Transit_input!$A$5:$W$26,MATCH(SXS_Transit_temp!E$2,SXS_Transit_input!$B$4:$W$4,0)+1,FALSE))+IF(ISNA(VLOOKUP($A8,SXS_Transit_input!$A$53:$R$69,MATCH(SXS_Transit_temp!E$2,SXS_Transit_input!$B$52:$R$52,0)+1,FALSE)),0,VLOOKUP($A8,SXS_Transit_input!$A$53:$R$69,MATCH(SXS_Transit_temp!E$2,SXS_Transit_input!$B$52:$R$52,0)+1,FALSE))</f>
        <v>0</v>
      </c>
      <c r="F8">
        <f>IF(ISNA(VLOOKUP($A8,SXS_Transit_input!$A$5:$W$26,MATCH(SXS_Transit_temp!F$2,SXS_Transit_input!$B$4:$W$4,0)+1,FALSE)),0,VLOOKUP($A8,SXS_Transit_input!$A$5:$W$26,MATCH(SXS_Transit_temp!F$2,SXS_Transit_input!$B$4:$W$4,0)+1,FALSE))+IF(ISNA(VLOOKUP($A8,SXS_Transit_input!$A$53:$R$69,MATCH(SXS_Transit_temp!F$2,SXS_Transit_input!$B$52:$R$52,0)+1,FALSE)),0,VLOOKUP($A8,SXS_Transit_input!$A$53:$R$69,MATCH(SXS_Transit_temp!F$2,SXS_Transit_input!$B$52:$R$52,0)+1,FALSE))</f>
        <v>319.98527000000001</v>
      </c>
      <c r="G8">
        <f>IF(ISNA(VLOOKUP($A8,SXS_Transit_input!$A$5:$W$26,MATCH(SXS_Transit_temp!G$2,SXS_Transit_input!$B$4:$W$4,0)+1,FALSE)),0,VLOOKUP($A8,SXS_Transit_input!$A$5:$W$26,MATCH(SXS_Transit_temp!G$2,SXS_Transit_input!$B$4:$W$4,0)+1,FALSE))+IF(ISNA(VLOOKUP($A8,SXS_Transit_input!$A$53:$R$69,MATCH(SXS_Transit_temp!G$2,SXS_Transit_input!$B$52:$R$52,0)+1,FALSE)),0,VLOOKUP($A8,SXS_Transit_input!$A$53:$R$69,MATCH(SXS_Transit_temp!G$2,SXS_Transit_input!$B$52:$R$52,0)+1,FALSE))</f>
        <v>13520.53406</v>
      </c>
      <c r="H8">
        <f>IF(ISNA(VLOOKUP($A8,SXS_Transit_input!$A$5:$W$26,MATCH(SXS_Transit_temp!H$2,SXS_Transit_input!$B$4:$W$4,0)+1,FALSE)),0,VLOOKUP($A8,SXS_Transit_input!$A$5:$W$26,MATCH(SXS_Transit_temp!H$2,SXS_Transit_input!$B$4:$W$4,0)+1,FALSE))+IF(ISNA(VLOOKUP($A8,SXS_Transit_input!$A$53:$R$69,MATCH(SXS_Transit_temp!H$2,SXS_Transit_input!$B$52:$R$52,0)+1,FALSE)),0,VLOOKUP($A8,SXS_Transit_input!$A$53:$R$69,MATCH(SXS_Transit_temp!H$2,SXS_Transit_input!$B$52:$R$52,0)+1,FALSE))</f>
        <v>597.18322999999998</v>
      </c>
      <c r="I8">
        <f>IF(ISNA(VLOOKUP($A8,SXS_Transit_input!$A$5:$W$26,MATCH(SXS_Transit_temp!I$2,SXS_Transit_input!$B$4:$W$4,0)+1,FALSE)),0,VLOOKUP($A8,SXS_Transit_input!$A$5:$W$26,MATCH(SXS_Transit_temp!I$2,SXS_Transit_input!$B$4:$W$4,0)+1,FALSE))+IF(ISNA(VLOOKUP($A8,SXS_Transit_input!$A$53:$R$69,MATCH(SXS_Transit_temp!I$2,SXS_Transit_input!$B$52:$R$52,0)+1,FALSE)),0,VLOOKUP($A8,SXS_Transit_input!$A$53:$R$69,MATCH(SXS_Transit_temp!I$2,SXS_Transit_input!$B$52:$R$52,0)+1,FALSE))</f>
        <v>169.56994</v>
      </c>
      <c r="J8">
        <f>IF(ISNA(VLOOKUP($A8,SXS_Transit_input!$A$5:$W$26,MATCH(SXS_Transit_temp!J$2,SXS_Transit_input!$B$4:$W$4,0)+1,FALSE)),0,VLOOKUP($A8,SXS_Transit_input!$A$5:$W$26,MATCH(SXS_Transit_temp!J$2,SXS_Transit_input!$B$4:$W$4,0)+1,FALSE))+IF(ISNA(VLOOKUP($A8,SXS_Transit_input!$A$53:$R$69,MATCH(SXS_Transit_temp!J$2,SXS_Transit_input!$B$52:$R$52,0)+1,FALSE)),0,VLOOKUP($A8,SXS_Transit_input!$A$53:$R$69,MATCH(SXS_Transit_temp!J$2,SXS_Transit_input!$B$52:$R$52,0)+1,FALSE))</f>
        <v>0</v>
      </c>
      <c r="K8">
        <f>IF(ISNA(VLOOKUP($A8,SXS_Transit_input!$A$5:$W$26,MATCH(SXS_Transit_temp!K$2,SXS_Transit_input!$B$4:$W$4,0)+1,FALSE)),0,VLOOKUP($A8,SXS_Transit_input!$A$5:$W$26,MATCH(SXS_Transit_temp!K$2,SXS_Transit_input!$B$4:$W$4,0)+1,FALSE))+IF(ISNA(VLOOKUP($A8,SXS_Transit_input!$A$53:$R$69,MATCH(SXS_Transit_temp!K$2,SXS_Transit_input!$B$52:$R$52,0)+1,FALSE)),0,VLOOKUP($A8,SXS_Transit_input!$A$53:$R$69,MATCH(SXS_Transit_temp!K$2,SXS_Transit_input!$B$52:$R$52,0)+1,FALSE))</f>
        <v>0</v>
      </c>
      <c r="L8">
        <f>IF(ISNA(VLOOKUP($A8,SXS_Transit_input!$A$5:$W$26,MATCH(SXS_Transit_temp!L$2,SXS_Transit_input!$B$4:$W$4,0)+1,FALSE)),0,VLOOKUP($A8,SXS_Transit_input!$A$5:$W$26,MATCH(SXS_Transit_temp!L$2,SXS_Transit_input!$B$4:$W$4,0)+1,FALSE))+IF(ISNA(VLOOKUP($A8,SXS_Transit_input!$A$53:$R$69,MATCH(SXS_Transit_temp!L$2,SXS_Transit_input!$B$52:$R$52,0)+1,FALSE)),0,VLOOKUP($A8,SXS_Transit_input!$A$53:$R$69,MATCH(SXS_Transit_temp!L$2,SXS_Transit_input!$B$52:$R$52,0)+1,FALSE))</f>
        <v>0</v>
      </c>
      <c r="M8">
        <f>IF(ISNA(VLOOKUP($A8,SXS_Transit_input!$A$5:$W$26,MATCH(SXS_Transit_temp!M$2,SXS_Transit_input!$B$4:$W$4,0)+1,FALSE)),0,VLOOKUP($A8,SXS_Transit_input!$A$5:$W$26,MATCH(SXS_Transit_temp!M$2,SXS_Transit_input!$B$4:$W$4,0)+1,FALSE))+IF(ISNA(VLOOKUP($A8,SXS_Transit_input!$A$53:$R$69,MATCH(SXS_Transit_temp!M$2,SXS_Transit_input!$B$52:$R$52,0)+1,FALSE)),0,VLOOKUP($A8,SXS_Transit_input!$A$53:$R$69,MATCH(SXS_Transit_temp!M$2,SXS_Transit_input!$B$52:$R$52,0)+1,FALSE))</f>
        <v>0</v>
      </c>
      <c r="N8">
        <f>IF(ISNA(VLOOKUP($A8,SXS_Transit_input!$A$5:$W$26,MATCH(SXS_Transit_temp!N$2,SXS_Transit_input!$B$4:$W$4,0)+1,FALSE)),0,VLOOKUP($A8,SXS_Transit_input!$A$5:$W$26,MATCH(SXS_Transit_temp!N$2,SXS_Transit_input!$B$4:$W$4,0)+1,FALSE))+IF(ISNA(VLOOKUP($A8,SXS_Transit_input!$A$53:$R$69,MATCH(SXS_Transit_temp!N$2,SXS_Transit_input!$B$52:$R$52,0)+1,FALSE)),0,VLOOKUP($A8,SXS_Transit_input!$A$53:$R$69,MATCH(SXS_Transit_temp!N$2,SXS_Transit_input!$B$52:$R$52,0)+1,FALSE))</f>
        <v>0</v>
      </c>
      <c r="O8">
        <f>IF(ISNA(VLOOKUP($A8,SXS_Transit_input!$A$5:$W$26,MATCH(SXS_Transit_temp!O$2,SXS_Transit_input!$B$4:$W$4,0)+1,FALSE)),0,VLOOKUP($A8,SXS_Transit_input!$A$5:$W$26,MATCH(SXS_Transit_temp!O$2,SXS_Transit_input!$B$4:$W$4,0)+1,FALSE))+IF(ISNA(VLOOKUP($A8,SXS_Transit_input!$A$53:$R$69,MATCH(SXS_Transit_temp!O$2,SXS_Transit_input!$B$52:$R$52,0)+1,FALSE)),0,VLOOKUP($A8,SXS_Transit_input!$A$53:$R$69,MATCH(SXS_Transit_temp!O$2,SXS_Transit_input!$B$52:$R$52,0)+1,FALSE))</f>
        <v>0</v>
      </c>
      <c r="P8">
        <f>IF(ISNA(VLOOKUP($A8,SXS_Transit_input!$A$5:$W$26,MATCH(SXS_Transit_temp!P$2,SXS_Transit_input!$B$4:$W$4,0)+1,FALSE)),0,VLOOKUP($A8,SXS_Transit_input!$A$5:$W$26,MATCH(SXS_Transit_temp!P$2,SXS_Transit_input!$B$4:$W$4,0)+1,FALSE))+IF(ISNA(VLOOKUP($A8,SXS_Transit_input!$A$53:$R$69,MATCH(SXS_Transit_temp!P$2,SXS_Transit_input!$B$52:$R$52,0)+1,FALSE)),0,VLOOKUP($A8,SXS_Transit_input!$A$53:$R$69,MATCH(SXS_Transit_temp!P$2,SXS_Transit_input!$B$52:$R$52,0)+1,FALSE))</f>
        <v>0</v>
      </c>
      <c r="Q8">
        <f>IF(ISNA(VLOOKUP($A8,SXS_Transit_input!$A$5:$W$26,MATCH(SXS_Transit_temp!Q$2,SXS_Transit_input!$B$4:$W$4,0)+1,FALSE)),0,VLOOKUP($A8,SXS_Transit_input!$A$5:$W$26,MATCH(SXS_Transit_temp!Q$2,SXS_Transit_input!$B$4:$W$4,0)+1,FALSE))+IF(ISNA(VLOOKUP($A8,SXS_Transit_input!$A$53:$R$69,MATCH(SXS_Transit_temp!Q$2,SXS_Transit_input!$B$52:$R$52,0)+1,FALSE)),0,VLOOKUP($A8,SXS_Transit_input!$A$53:$R$69,MATCH(SXS_Transit_temp!Q$2,SXS_Transit_input!$B$52:$R$52,0)+1,FALSE))</f>
        <v>0</v>
      </c>
      <c r="R8">
        <f>IF(ISNA(VLOOKUP($A8,SXS_Transit_input!$A$5:$W$26,MATCH(SXS_Transit_temp!R$2,SXS_Transit_input!$B$4:$W$4,0)+1,FALSE)),0,VLOOKUP($A8,SXS_Transit_input!$A$5:$W$26,MATCH(SXS_Transit_temp!R$2,SXS_Transit_input!$B$4:$W$4,0)+1,FALSE))+IF(ISNA(VLOOKUP($A8,SXS_Transit_input!$A$53:$R$69,MATCH(SXS_Transit_temp!R$2,SXS_Transit_input!$B$52:$R$52,0)+1,FALSE)),0,VLOOKUP($A8,SXS_Transit_input!$A$53:$R$69,MATCH(SXS_Transit_temp!R$2,SXS_Transit_input!$B$52:$R$52,0)+1,FALSE))</f>
        <v>0</v>
      </c>
      <c r="S8">
        <f>IF(ISNA(VLOOKUP($A8,SXS_Transit_input!$A$5:$W$26,MATCH(SXS_Transit_temp!S$2,SXS_Transit_input!$B$4:$W$4,0)+1,FALSE)),0,VLOOKUP($A8,SXS_Transit_input!$A$5:$W$26,MATCH(SXS_Transit_temp!S$2,SXS_Transit_input!$B$4:$W$4,0)+1,FALSE))+IF(ISNA(VLOOKUP($A8,SXS_Transit_input!$A$53:$R$69,MATCH(SXS_Transit_temp!S$2,SXS_Transit_input!$B$52:$R$52,0)+1,FALSE)),0,VLOOKUP($A8,SXS_Transit_input!$A$53:$R$69,MATCH(SXS_Transit_temp!S$2,SXS_Transit_input!$B$52:$R$52,0)+1,FALSE))</f>
        <v>0</v>
      </c>
      <c r="T8">
        <f>IF(ISNA(VLOOKUP($A8,SXS_Transit_input!$A$5:$W$26,MATCH(SXS_Transit_temp!T$2,SXS_Transit_input!$B$4:$W$4,0)+1,FALSE)),0,VLOOKUP($A8,SXS_Transit_input!$A$5:$W$26,MATCH(SXS_Transit_temp!T$2,SXS_Transit_input!$B$4:$W$4,0)+1,FALSE))+IF(ISNA(VLOOKUP($A8,SXS_Transit_input!$A$53:$R$69,MATCH(SXS_Transit_temp!T$2,SXS_Transit_input!$B$52:$R$52,0)+1,FALSE)),0,VLOOKUP($A8,SXS_Transit_input!$A$53:$R$69,MATCH(SXS_Transit_temp!T$2,SXS_Transit_input!$B$52:$R$52,0)+1,FALSE))</f>
        <v>0</v>
      </c>
      <c r="U8">
        <f>IF(ISNA(VLOOKUP($A8,SXS_Transit_input!$A$5:$W$26,MATCH(SXS_Transit_temp!U$2,SXS_Transit_input!$B$4:$W$4,0)+1,FALSE)),0,VLOOKUP($A8,SXS_Transit_input!$A$5:$W$26,MATCH(SXS_Transit_temp!U$2,SXS_Transit_input!$B$4:$W$4,0)+1,FALSE))+IF(ISNA(VLOOKUP($A8,SXS_Transit_input!$A$53:$R$69,MATCH(SXS_Transit_temp!U$2,SXS_Transit_input!$B$52:$R$52,0)+1,FALSE)),0,VLOOKUP($A8,SXS_Transit_input!$A$53:$R$69,MATCH(SXS_Transit_temp!U$2,SXS_Transit_input!$B$52:$R$52,0)+1,FALSE))</f>
        <v>0</v>
      </c>
      <c r="V8">
        <f>IF(ISNA(VLOOKUP($A8,SXS_Transit_input!$A$5:$W$26,MATCH(SXS_Transit_temp!V$2,SXS_Transit_input!$B$4:$W$4,0)+1,FALSE)),0,VLOOKUP($A8,SXS_Transit_input!$A$5:$W$26,MATCH(SXS_Transit_temp!V$2,SXS_Transit_input!$B$4:$W$4,0)+1,FALSE))+IF(ISNA(VLOOKUP($A8,SXS_Transit_input!$A$53:$R$69,MATCH(SXS_Transit_temp!V$2,SXS_Transit_input!$B$52:$R$52,0)+1,FALSE)),0,VLOOKUP($A8,SXS_Transit_input!$A$53:$R$69,MATCH(SXS_Transit_temp!V$2,SXS_Transit_input!$B$52:$R$52,0)+1,FALSE))</f>
        <v>0</v>
      </c>
      <c r="W8">
        <f>IF(ISNA(VLOOKUP($A8,SXS_Transit_input!$A$5:$W$26,MATCH(SXS_Transit_temp!W$2,SXS_Transit_input!$B$4:$W$4,0)+1,FALSE)),0,VLOOKUP($A8,SXS_Transit_input!$A$5:$W$26,MATCH(SXS_Transit_temp!W$2,SXS_Transit_input!$B$4:$W$4,0)+1,FALSE))+IF(ISNA(VLOOKUP($A8,SXS_Transit_input!$A$53:$R$69,MATCH(SXS_Transit_temp!W$2,SXS_Transit_input!$B$52:$R$52,0)+1,FALSE)),0,VLOOKUP($A8,SXS_Transit_input!$A$53:$R$69,MATCH(SXS_Transit_temp!W$2,SXS_Transit_input!$B$52:$R$52,0)+1,FALSE))</f>
        <v>0</v>
      </c>
      <c r="X8">
        <f>IF(ISNA(VLOOKUP($A8,SXS_Transit_input!$A$5:$W$26,MATCH(SXS_Transit_temp!X$2,SXS_Transit_input!$B$4:$W$4,0)+1,FALSE)),0,VLOOKUP($A8,SXS_Transit_input!$A$5:$W$26,MATCH(SXS_Transit_temp!X$2,SXS_Transit_input!$B$4:$W$4,0)+1,FALSE))+IF(ISNA(VLOOKUP($A8,SXS_Transit_input!$A$53:$R$69,MATCH(SXS_Transit_temp!X$2,SXS_Transit_input!$B$52:$R$52,0)+1,FALSE)),0,VLOOKUP($A8,SXS_Transit_input!$A$53:$R$69,MATCH(SXS_Transit_temp!X$2,SXS_Transit_input!$B$52:$R$52,0)+1,FALSE))</f>
        <v>0</v>
      </c>
      <c r="Y8">
        <f>IF(ISNA(VLOOKUP($A8,SXS_Transit_input!$A$5:$W$26,MATCH(SXS_Transit_temp!Y$2,SXS_Transit_input!$B$4:$W$4,0)+1,FALSE)),0,VLOOKUP($A8,SXS_Transit_input!$A$5:$W$26,MATCH(SXS_Transit_temp!Y$2,SXS_Transit_input!$B$4:$W$4,0)+1,FALSE))+IF(ISNA(VLOOKUP($A8,SXS_Transit_input!$A$53:$R$69,MATCH(SXS_Transit_temp!Y$2,SXS_Transit_input!$B$52:$R$52,0)+1,FALSE)),0,VLOOKUP($A8,SXS_Transit_input!$A$53:$R$69,MATCH(SXS_Transit_temp!Y$2,SXS_Transit_input!$B$52:$R$52,0)+1,FALSE))</f>
        <v>0</v>
      </c>
      <c r="Z8">
        <f>IF(ISNA(VLOOKUP($A8,SXS_Transit_input!$A$5:$W$26,MATCH(SXS_Transit_temp!Z$2,SXS_Transit_input!$B$4:$W$4,0)+1,FALSE)),0,VLOOKUP($A8,SXS_Transit_input!$A$5:$W$26,MATCH(SXS_Transit_temp!Z$2,SXS_Transit_input!$B$4:$W$4,0)+1,FALSE))+IF(ISNA(VLOOKUP($A8,SXS_Transit_input!$A$53:$R$69,MATCH(SXS_Transit_temp!Z$2,SXS_Transit_input!$B$52:$R$52,0)+1,FALSE)),0,VLOOKUP($A8,SXS_Transit_input!$A$53:$R$69,MATCH(SXS_Transit_temp!Z$2,SXS_Transit_input!$B$52:$R$52,0)+1,FALSE))</f>
        <v>0</v>
      </c>
      <c r="AA8">
        <v>6</v>
      </c>
      <c r="AB8" s="33">
        <f t="shared" si="1"/>
        <v>3837</v>
      </c>
      <c r="AC8" s="34">
        <f t="shared" si="0"/>
        <v>157</v>
      </c>
      <c r="AD8" s="34">
        <f t="shared" si="0"/>
        <v>172</v>
      </c>
      <c r="AE8" s="34">
        <f t="shared" si="0"/>
        <v>150</v>
      </c>
      <c r="AF8" s="34">
        <f t="shared" si="0"/>
        <v>511</v>
      </c>
      <c r="AG8" s="34">
        <f t="shared" si="0"/>
        <v>1030</v>
      </c>
      <c r="AH8" s="34">
        <f t="shared" si="0"/>
        <v>331</v>
      </c>
      <c r="AI8" s="34">
        <f t="shared" si="0"/>
        <v>150</v>
      </c>
      <c r="AJ8" s="34">
        <f t="shared" si="0"/>
        <v>1</v>
      </c>
      <c r="AK8" s="34">
        <f t="shared" si="0"/>
        <v>2</v>
      </c>
      <c r="AL8" s="34">
        <f t="shared" si="0"/>
        <v>4</v>
      </c>
      <c r="AM8" s="34">
        <f t="shared" si="0"/>
        <v>23</v>
      </c>
      <c r="AN8" s="34">
        <f t="shared" si="0"/>
        <v>49</v>
      </c>
      <c r="AO8" s="34">
        <f t="shared" si="0"/>
        <v>7</v>
      </c>
      <c r="AP8" s="34">
        <f t="shared" si="0"/>
        <v>0</v>
      </c>
      <c r="AQ8" s="34">
        <f t="shared" si="0"/>
        <v>0</v>
      </c>
      <c r="AR8" s="34">
        <f t="shared" si="0"/>
        <v>0</v>
      </c>
      <c r="AS8" s="34">
        <f t="shared" si="0"/>
        <v>0</v>
      </c>
      <c r="AT8" s="34">
        <f t="shared" si="0"/>
        <v>0</v>
      </c>
      <c r="AU8" s="34">
        <f t="shared" si="0"/>
        <v>0</v>
      </c>
      <c r="AV8" s="34">
        <f t="shared" si="0"/>
        <v>2</v>
      </c>
      <c r="AW8" s="34">
        <f t="shared" si="0"/>
        <v>0</v>
      </c>
      <c r="AX8" s="34">
        <f t="shared" si="0"/>
        <v>0</v>
      </c>
      <c r="AY8" s="34">
        <f t="shared" si="0"/>
        <v>0</v>
      </c>
      <c r="AZ8" s="35">
        <f t="shared" si="0"/>
        <v>0</v>
      </c>
      <c r="BC8">
        <v>6</v>
      </c>
      <c r="BD8">
        <v>3713</v>
      </c>
      <c r="BE8">
        <v>155</v>
      </c>
      <c r="BF8">
        <v>170</v>
      </c>
      <c r="BG8">
        <v>144</v>
      </c>
      <c r="BH8">
        <v>477</v>
      </c>
      <c r="BI8">
        <v>961</v>
      </c>
      <c r="BJ8">
        <v>322</v>
      </c>
      <c r="BK8">
        <v>144</v>
      </c>
      <c r="BL8">
        <v>1</v>
      </c>
      <c r="BM8">
        <v>2</v>
      </c>
      <c r="BN8">
        <v>4</v>
      </c>
      <c r="BO8">
        <v>23</v>
      </c>
      <c r="BP8">
        <v>49</v>
      </c>
      <c r="BQ8">
        <v>7</v>
      </c>
      <c r="BR8">
        <v>0</v>
      </c>
      <c r="BS8">
        <v>0</v>
      </c>
      <c r="BT8">
        <v>0</v>
      </c>
      <c r="BU8">
        <v>0</v>
      </c>
      <c r="BV8">
        <v>0</v>
      </c>
      <c r="BW8">
        <v>0</v>
      </c>
      <c r="BX8">
        <v>0</v>
      </c>
      <c r="BY8">
        <v>0</v>
      </c>
      <c r="BZ8">
        <v>0</v>
      </c>
      <c r="CA8">
        <v>0</v>
      </c>
      <c r="CB8">
        <v>0</v>
      </c>
    </row>
    <row r="9" spans="1:80" x14ac:dyDescent="0.25">
      <c r="A9">
        <v>7</v>
      </c>
      <c r="B9">
        <f>IF(ISNA(VLOOKUP($A9,SXS_Transit_input!$A$5:$W$26,MATCH(SXS_Transit_temp!B$2,SXS_Transit_input!$B$4:$W$4,0)+1,FALSE)),0,VLOOKUP($A9,SXS_Transit_input!$A$5:$W$26,MATCH(SXS_Transit_temp!B$2,SXS_Transit_input!$B$4:$W$4,0)+1,FALSE))+IF(ISNA(VLOOKUP($A9,SXS_Transit_input!$A$53:$R$69,MATCH(SXS_Transit_temp!B$2,SXS_Transit_input!$B$52:$R$52,0)+1,FALSE)),0,VLOOKUP($A9,SXS_Transit_input!$A$53:$R$69,MATCH(SXS_Transit_temp!B$2,SXS_Transit_input!$B$52:$R$52,0)+1,FALSE))</f>
        <v>9959.9318399999993</v>
      </c>
      <c r="C9">
        <f>IF(ISNA(VLOOKUP($A9,SXS_Transit_input!$A$5:$W$26,MATCH(SXS_Transit_temp!C$2,SXS_Transit_input!$B$4:$W$4,0)+1,FALSE)),0,VLOOKUP($A9,SXS_Transit_input!$A$5:$W$26,MATCH(SXS_Transit_temp!C$2,SXS_Transit_input!$B$4:$W$4,0)+1,FALSE))+IF(ISNA(VLOOKUP($A9,SXS_Transit_input!$A$53:$R$69,MATCH(SXS_Transit_temp!C$2,SXS_Transit_input!$B$52:$R$52,0)+1,FALSE)),0,VLOOKUP($A9,SXS_Transit_input!$A$53:$R$69,MATCH(SXS_Transit_temp!C$2,SXS_Transit_input!$B$52:$R$52,0)+1,FALSE))</f>
        <v>1068.8257100000001</v>
      </c>
      <c r="D9">
        <f>IF(ISNA(VLOOKUP($A9,SXS_Transit_input!$A$5:$W$26,MATCH(SXS_Transit_temp!D$2,SXS_Transit_input!$B$4:$W$4,0)+1,FALSE)),0,VLOOKUP($A9,SXS_Transit_input!$A$5:$W$26,MATCH(SXS_Transit_temp!D$2,SXS_Transit_input!$B$4:$W$4,0)+1,FALSE))+IF(ISNA(VLOOKUP($A9,SXS_Transit_input!$A$53:$R$69,MATCH(SXS_Transit_temp!D$2,SXS_Transit_input!$B$52:$R$52,0)+1,FALSE)),0,VLOOKUP($A9,SXS_Transit_input!$A$53:$R$69,MATCH(SXS_Transit_temp!D$2,SXS_Transit_input!$B$52:$R$52,0)+1,FALSE))</f>
        <v>2480.7258700000002</v>
      </c>
      <c r="E9">
        <f>IF(ISNA(VLOOKUP($A9,SXS_Transit_input!$A$5:$W$26,MATCH(SXS_Transit_temp!E$2,SXS_Transit_input!$B$4:$W$4,0)+1,FALSE)),0,VLOOKUP($A9,SXS_Transit_input!$A$5:$W$26,MATCH(SXS_Transit_temp!E$2,SXS_Transit_input!$B$4:$W$4,0)+1,FALSE))+IF(ISNA(VLOOKUP($A9,SXS_Transit_input!$A$53:$R$69,MATCH(SXS_Transit_temp!E$2,SXS_Transit_input!$B$52:$R$52,0)+1,FALSE)),0,VLOOKUP($A9,SXS_Transit_input!$A$53:$R$69,MATCH(SXS_Transit_temp!E$2,SXS_Transit_input!$B$52:$R$52,0)+1,FALSE))</f>
        <v>0</v>
      </c>
      <c r="F9">
        <f>IF(ISNA(VLOOKUP($A9,SXS_Transit_input!$A$5:$W$26,MATCH(SXS_Transit_temp!F$2,SXS_Transit_input!$B$4:$W$4,0)+1,FALSE)),0,VLOOKUP($A9,SXS_Transit_input!$A$5:$W$26,MATCH(SXS_Transit_temp!F$2,SXS_Transit_input!$B$4:$W$4,0)+1,FALSE))+IF(ISNA(VLOOKUP($A9,SXS_Transit_input!$A$53:$R$69,MATCH(SXS_Transit_temp!F$2,SXS_Transit_input!$B$52:$R$52,0)+1,FALSE)),0,VLOOKUP($A9,SXS_Transit_input!$A$53:$R$69,MATCH(SXS_Transit_temp!F$2,SXS_Transit_input!$B$52:$R$52,0)+1,FALSE))</f>
        <v>0</v>
      </c>
      <c r="G9">
        <f>IF(ISNA(VLOOKUP($A9,SXS_Transit_input!$A$5:$W$26,MATCH(SXS_Transit_temp!G$2,SXS_Transit_input!$B$4:$W$4,0)+1,FALSE)),0,VLOOKUP($A9,SXS_Transit_input!$A$5:$W$26,MATCH(SXS_Transit_temp!G$2,SXS_Transit_input!$B$4:$W$4,0)+1,FALSE))+IF(ISNA(VLOOKUP($A9,SXS_Transit_input!$A$53:$R$69,MATCH(SXS_Transit_temp!G$2,SXS_Transit_input!$B$52:$R$52,0)+1,FALSE)),0,VLOOKUP($A9,SXS_Transit_input!$A$53:$R$69,MATCH(SXS_Transit_temp!G$2,SXS_Transit_input!$B$52:$R$52,0)+1,FALSE))</f>
        <v>982.42091000000005</v>
      </c>
      <c r="H9">
        <f>IF(ISNA(VLOOKUP($A9,SXS_Transit_input!$A$5:$W$26,MATCH(SXS_Transit_temp!H$2,SXS_Transit_input!$B$4:$W$4,0)+1,FALSE)),0,VLOOKUP($A9,SXS_Transit_input!$A$5:$W$26,MATCH(SXS_Transit_temp!H$2,SXS_Transit_input!$B$4:$W$4,0)+1,FALSE))+IF(ISNA(VLOOKUP($A9,SXS_Transit_input!$A$53:$R$69,MATCH(SXS_Transit_temp!H$2,SXS_Transit_input!$B$52:$R$52,0)+1,FALSE)),0,VLOOKUP($A9,SXS_Transit_input!$A$53:$R$69,MATCH(SXS_Transit_temp!H$2,SXS_Transit_input!$B$52:$R$52,0)+1,FALSE))</f>
        <v>16573.790809999999</v>
      </c>
      <c r="I9">
        <f>IF(ISNA(VLOOKUP($A9,SXS_Transit_input!$A$5:$W$26,MATCH(SXS_Transit_temp!I$2,SXS_Transit_input!$B$4:$W$4,0)+1,FALSE)),0,VLOOKUP($A9,SXS_Transit_input!$A$5:$W$26,MATCH(SXS_Transit_temp!I$2,SXS_Transit_input!$B$4:$W$4,0)+1,FALSE))+IF(ISNA(VLOOKUP($A9,SXS_Transit_input!$A$53:$R$69,MATCH(SXS_Transit_temp!I$2,SXS_Transit_input!$B$52:$R$52,0)+1,FALSE)),0,VLOOKUP($A9,SXS_Transit_input!$A$53:$R$69,MATCH(SXS_Transit_temp!I$2,SXS_Transit_input!$B$52:$R$52,0)+1,FALSE))</f>
        <v>3118.413</v>
      </c>
      <c r="J9">
        <f>IF(ISNA(VLOOKUP($A9,SXS_Transit_input!$A$5:$W$26,MATCH(SXS_Transit_temp!J$2,SXS_Transit_input!$B$4:$W$4,0)+1,FALSE)),0,VLOOKUP($A9,SXS_Transit_input!$A$5:$W$26,MATCH(SXS_Transit_temp!J$2,SXS_Transit_input!$B$4:$W$4,0)+1,FALSE))+IF(ISNA(VLOOKUP($A9,SXS_Transit_input!$A$53:$R$69,MATCH(SXS_Transit_temp!J$2,SXS_Transit_input!$B$52:$R$52,0)+1,FALSE)),0,VLOOKUP($A9,SXS_Transit_input!$A$53:$R$69,MATCH(SXS_Transit_temp!J$2,SXS_Transit_input!$B$52:$R$52,0)+1,FALSE))</f>
        <v>563.02855</v>
      </c>
      <c r="K9">
        <f>IF(ISNA(VLOOKUP($A9,SXS_Transit_input!$A$5:$W$26,MATCH(SXS_Transit_temp!K$2,SXS_Transit_input!$B$4:$W$4,0)+1,FALSE)),0,VLOOKUP($A9,SXS_Transit_input!$A$5:$W$26,MATCH(SXS_Transit_temp!K$2,SXS_Transit_input!$B$4:$W$4,0)+1,FALSE))+IF(ISNA(VLOOKUP($A9,SXS_Transit_input!$A$53:$R$69,MATCH(SXS_Transit_temp!K$2,SXS_Transit_input!$B$52:$R$52,0)+1,FALSE)),0,VLOOKUP($A9,SXS_Transit_input!$A$53:$R$69,MATCH(SXS_Transit_temp!K$2,SXS_Transit_input!$B$52:$R$52,0)+1,FALSE))</f>
        <v>195.28697</v>
      </c>
      <c r="L9">
        <f>IF(ISNA(VLOOKUP($A9,SXS_Transit_input!$A$5:$W$26,MATCH(SXS_Transit_temp!L$2,SXS_Transit_input!$B$4:$W$4,0)+1,FALSE)),0,VLOOKUP($A9,SXS_Transit_input!$A$5:$W$26,MATCH(SXS_Transit_temp!L$2,SXS_Transit_input!$B$4:$W$4,0)+1,FALSE))+IF(ISNA(VLOOKUP($A9,SXS_Transit_input!$A$53:$R$69,MATCH(SXS_Transit_temp!L$2,SXS_Transit_input!$B$52:$R$52,0)+1,FALSE)),0,VLOOKUP($A9,SXS_Transit_input!$A$53:$R$69,MATCH(SXS_Transit_temp!L$2,SXS_Transit_input!$B$52:$R$52,0)+1,FALSE))</f>
        <v>0</v>
      </c>
      <c r="M9">
        <f>IF(ISNA(VLOOKUP($A9,SXS_Transit_input!$A$5:$W$26,MATCH(SXS_Transit_temp!M$2,SXS_Transit_input!$B$4:$W$4,0)+1,FALSE)),0,VLOOKUP($A9,SXS_Transit_input!$A$5:$W$26,MATCH(SXS_Transit_temp!M$2,SXS_Transit_input!$B$4:$W$4,0)+1,FALSE))+IF(ISNA(VLOOKUP($A9,SXS_Transit_input!$A$53:$R$69,MATCH(SXS_Transit_temp!M$2,SXS_Transit_input!$B$52:$R$52,0)+1,FALSE)),0,VLOOKUP($A9,SXS_Transit_input!$A$53:$R$69,MATCH(SXS_Transit_temp!M$2,SXS_Transit_input!$B$52:$R$52,0)+1,FALSE))</f>
        <v>0</v>
      </c>
      <c r="N9">
        <f>IF(ISNA(VLOOKUP($A9,SXS_Transit_input!$A$5:$W$26,MATCH(SXS_Transit_temp!N$2,SXS_Transit_input!$B$4:$W$4,0)+1,FALSE)),0,VLOOKUP($A9,SXS_Transit_input!$A$5:$W$26,MATCH(SXS_Transit_temp!N$2,SXS_Transit_input!$B$4:$W$4,0)+1,FALSE))+IF(ISNA(VLOOKUP($A9,SXS_Transit_input!$A$53:$R$69,MATCH(SXS_Transit_temp!N$2,SXS_Transit_input!$B$52:$R$52,0)+1,FALSE)),0,VLOOKUP($A9,SXS_Transit_input!$A$53:$R$69,MATCH(SXS_Transit_temp!N$2,SXS_Transit_input!$B$52:$R$52,0)+1,FALSE))</f>
        <v>0</v>
      </c>
      <c r="O9">
        <f>IF(ISNA(VLOOKUP($A9,SXS_Transit_input!$A$5:$W$26,MATCH(SXS_Transit_temp!O$2,SXS_Transit_input!$B$4:$W$4,0)+1,FALSE)),0,VLOOKUP($A9,SXS_Transit_input!$A$5:$W$26,MATCH(SXS_Transit_temp!O$2,SXS_Transit_input!$B$4:$W$4,0)+1,FALSE))+IF(ISNA(VLOOKUP($A9,SXS_Transit_input!$A$53:$R$69,MATCH(SXS_Transit_temp!O$2,SXS_Transit_input!$B$52:$R$52,0)+1,FALSE)),0,VLOOKUP($A9,SXS_Transit_input!$A$53:$R$69,MATCH(SXS_Transit_temp!O$2,SXS_Transit_input!$B$52:$R$52,0)+1,FALSE))</f>
        <v>146.06639999999999</v>
      </c>
      <c r="P9">
        <f>IF(ISNA(VLOOKUP($A9,SXS_Transit_input!$A$5:$W$26,MATCH(SXS_Transit_temp!P$2,SXS_Transit_input!$B$4:$W$4,0)+1,FALSE)),0,VLOOKUP($A9,SXS_Transit_input!$A$5:$W$26,MATCH(SXS_Transit_temp!P$2,SXS_Transit_input!$B$4:$W$4,0)+1,FALSE))+IF(ISNA(VLOOKUP($A9,SXS_Transit_input!$A$53:$R$69,MATCH(SXS_Transit_temp!P$2,SXS_Transit_input!$B$52:$R$52,0)+1,FALSE)),0,VLOOKUP($A9,SXS_Transit_input!$A$53:$R$69,MATCH(SXS_Transit_temp!P$2,SXS_Transit_input!$B$52:$R$52,0)+1,FALSE))</f>
        <v>84.101759999999999</v>
      </c>
      <c r="Q9">
        <f>IF(ISNA(VLOOKUP($A9,SXS_Transit_input!$A$5:$W$26,MATCH(SXS_Transit_temp!Q$2,SXS_Transit_input!$B$4:$W$4,0)+1,FALSE)),0,VLOOKUP($A9,SXS_Transit_input!$A$5:$W$26,MATCH(SXS_Transit_temp!Q$2,SXS_Transit_input!$B$4:$W$4,0)+1,FALSE))+IF(ISNA(VLOOKUP($A9,SXS_Transit_input!$A$53:$R$69,MATCH(SXS_Transit_temp!Q$2,SXS_Transit_input!$B$52:$R$52,0)+1,FALSE)),0,VLOOKUP($A9,SXS_Transit_input!$A$53:$R$69,MATCH(SXS_Transit_temp!Q$2,SXS_Transit_input!$B$52:$R$52,0)+1,FALSE))</f>
        <v>0</v>
      </c>
      <c r="R9">
        <f>IF(ISNA(VLOOKUP($A9,SXS_Transit_input!$A$5:$W$26,MATCH(SXS_Transit_temp!R$2,SXS_Transit_input!$B$4:$W$4,0)+1,FALSE)),0,VLOOKUP($A9,SXS_Transit_input!$A$5:$W$26,MATCH(SXS_Transit_temp!R$2,SXS_Transit_input!$B$4:$W$4,0)+1,FALSE))+IF(ISNA(VLOOKUP($A9,SXS_Transit_input!$A$53:$R$69,MATCH(SXS_Transit_temp!R$2,SXS_Transit_input!$B$52:$R$52,0)+1,FALSE)),0,VLOOKUP($A9,SXS_Transit_input!$A$53:$R$69,MATCH(SXS_Transit_temp!R$2,SXS_Transit_input!$B$52:$R$52,0)+1,FALSE))</f>
        <v>0</v>
      </c>
      <c r="S9">
        <f>IF(ISNA(VLOOKUP($A9,SXS_Transit_input!$A$5:$W$26,MATCH(SXS_Transit_temp!S$2,SXS_Transit_input!$B$4:$W$4,0)+1,FALSE)),0,VLOOKUP($A9,SXS_Transit_input!$A$5:$W$26,MATCH(SXS_Transit_temp!S$2,SXS_Transit_input!$B$4:$W$4,0)+1,FALSE))+IF(ISNA(VLOOKUP($A9,SXS_Transit_input!$A$53:$R$69,MATCH(SXS_Transit_temp!S$2,SXS_Transit_input!$B$52:$R$52,0)+1,FALSE)),0,VLOOKUP($A9,SXS_Transit_input!$A$53:$R$69,MATCH(SXS_Transit_temp!S$2,SXS_Transit_input!$B$52:$R$52,0)+1,FALSE))</f>
        <v>597.30403000000001</v>
      </c>
      <c r="T9">
        <f>IF(ISNA(VLOOKUP($A9,SXS_Transit_input!$A$5:$W$26,MATCH(SXS_Transit_temp!T$2,SXS_Transit_input!$B$4:$W$4,0)+1,FALSE)),0,VLOOKUP($A9,SXS_Transit_input!$A$5:$W$26,MATCH(SXS_Transit_temp!T$2,SXS_Transit_input!$B$4:$W$4,0)+1,FALSE))+IF(ISNA(VLOOKUP($A9,SXS_Transit_input!$A$53:$R$69,MATCH(SXS_Transit_temp!T$2,SXS_Transit_input!$B$52:$R$52,0)+1,FALSE)),0,VLOOKUP($A9,SXS_Transit_input!$A$53:$R$69,MATCH(SXS_Transit_temp!T$2,SXS_Transit_input!$B$52:$R$52,0)+1,FALSE))</f>
        <v>0</v>
      </c>
      <c r="U9">
        <f>IF(ISNA(VLOOKUP($A9,SXS_Transit_input!$A$5:$W$26,MATCH(SXS_Transit_temp!U$2,SXS_Transit_input!$B$4:$W$4,0)+1,FALSE)),0,VLOOKUP($A9,SXS_Transit_input!$A$5:$W$26,MATCH(SXS_Transit_temp!U$2,SXS_Transit_input!$B$4:$W$4,0)+1,FALSE))+IF(ISNA(VLOOKUP($A9,SXS_Transit_input!$A$53:$R$69,MATCH(SXS_Transit_temp!U$2,SXS_Transit_input!$B$52:$R$52,0)+1,FALSE)),0,VLOOKUP($A9,SXS_Transit_input!$A$53:$R$69,MATCH(SXS_Transit_temp!U$2,SXS_Transit_input!$B$52:$R$52,0)+1,FALSE))</f>
        <v>88.062920000000005</v>
      </c>
      <c r="V9">
        <f>IF(ISNA(VLOOKUP($A9,SXS_Transit_input!$A$5:$W$26,MATCH(SXS_Transit_temp!V$2,SXS_Transit_input!$B$4:$W$4,0)+1,FALSE)),0,VLOOKUP($A9,SXS_Transit_input!$A$5:$W$26,MATCH(SXS_Transit_temp!V$2,SXS_Transit_input!$B$4:$W$4,0)+1,FALSE))+IF(ISNA(VLOOKUP($A9,SXS_Transit_input!$A$53:$R$69,MATCH(SXS_Transit_temp!V$2,SXS_Transit_input!$B$52:$R$52,0)+1,FALSE)),0,VLOOKUP($A9,SXS_Transit_input!$A$53:$R$69,MATCH(SXS_Transit_temp!V$2,SXS_Transit_input!$B$52:$R$52,0)+1,FALSE))</f>
        <v>0</v>
      </c>
      <c r="W9">
        <f>IF(ISNA(VLOOKUP($A9,SXS_Transit_input!$A$5:$W$26,MATCH(SXS_Transit_temp!W$2,SXS_Transit_input!$B$4:$W$4,0)+1,FALSE)),0,VLOOKUP($A9,SXS_Transit_input!$A$5:$W$26,MATCH(SXS_Transit_temp!W$2,SXS_Transit_input!$B$4:$W$4,0)+1,FALSE))+IF(ISNA(VLOOKUP($A9,SXS_Transit_input!$A$53:$R$69,MATCH(SXS_Transit_temp!W$2,SXS_Transit_input!$B$52:$R$52,0)+1,FALSE)),0,VLOOKUP($A9,SXS_Transit_input!$A$53:$R$69,MATCH(SXS_Transit_temp!W$2,SXS_Transit_input!$B$52:$R$52,0)+1,FALSE))</f>
        <v>0</v>
      </c>
      <c r="X9">
        <f>IF(ISNA(VLOOKUP($A9,SXS_Transit_input!$A$5:$W$26,MATCH(SXS_Transit_temp!X$2,SXS_Transit_input!$B$4:$W$4,0)+1,FALSE)),0,VLOOKUP($A9,SXS_Transit_input!$A$5:$W$26,MATCH(SXS_Transit_temp!X$2,SXS_Transit_input!$B$4:$W$4,0)+1,FALSE))+IF(ISNA(VLOOKUP($A9,SXS_Transit_input!$A$53:$R$69,MATCH(SXS_Transit_temp!X$2,SXS_Transit_input!$B$52:$R$52,0)+1,FALSE)),0,VLOOKUP($A9,SXS_Transit_input!$A$53:$R$69,MATCH(SXS_Transit_temp!X$2,SXS_Transit_input!$B$52:$R$52,0)+1,FALSE))</f>
        <v>0</v>
      </c>
      <c r="Y9">
        <f>IF(ISNA(VLOOKUP($A9,SXS_Transit_input!$A$5:$W$26,MATCH(SXS_Transit_temp!Y$2,SXS_Transit_input!$B$4:$W$4,0)+1,FALSE)),0,VLOOKUP($A9,SXS_Transit_input!$A$5:$W$26,MATCH(SXS_Transit_temp!Y$2,SXS_Transit_input!$B$4:$W$4,0)+1,FALSE))+IF(ISNA(VLOOKUP($A9,SXS_Transit_input!$A$53:$R$69,MATCH(SXS_Transit_temp!Y$2,SXS_Transit_input!$B$52:$R$52,0)+1,FALSE)),0,VLOOKUP($A9,SXS_Transit_input!$A$53:$R$69,MATCH(SXS_Transit_temp!Y$2,SXS_Transit_input!$B$52:$R$52,0)+1,FALSE))</f>
        <v>0</v>
      </c>
      <c r="Z9">
        <f>IF(ISNA(VLOOKUP($A9,SXS_Transit_input!$A$5:$W$26,MATCH(SXS_Transit_temp!Z$2,SXS_Transit_input!$B$4:$W$4,0)+1,FALSE)),0,VLOOKUP($A9,SXS_Transit_input!$A$5:$W$26,MATCH(SXS_Transit_temp!Z$2,SXS_Transit_input!$B$4:$W$4,0)+1,FALSE))+IF(ISNA(VLOOKUP($A9,SXS_Transit_input!$A$53:$R$69,MATCH(SXS_Transit_temp!Z$2,SXS_Transit_input!$B$52:$R$52,0)+1,FALSE)),0,VLOOKUP($A9,SXS_Transit_input!$A$53:$R$69,MATCH(SXS_Transit_temp!Z$2,SXS_Transit_input!$B$52:$R$52,0)+1,FALSE))</f>
        <v>0</v>
      </c>
      <c r="AA9">
        <v>7</v>
      </c>
      <c r="AB9" s="33">
        <f t="shared" si="1"/>
        <v>4177</v>
      </c>
      <c r="AC9" s="34">
        <f t="shared" si="0"/>
        <v>192</v>
      </c>
      <c r="AD9" s="34">
        <f t="shared" si="0"/>
        <v>82</v>
      </c>
      <c r="AE9" s="34">
        <f t="shared" si="0"/>
        <v>61</v>
      </c>
      <c r="AF9" s="34">
        <f t="shared" si="0"/>
        <v>171</v>
      </c>
      <c r="AG9" s="34">
        <f t="shared" si="0"/>
        <v>335</v>
      </c>
      <c r="AH9" s="34">
        <f t="shared" si="0"/>
        <v>2403</v>
      </c>
      <c r="AI9" s="34">
        <f t="shared" si="0"/>
        <v>867</v>
      </c>
      <c r="AJ9" s="34">
        <f t="shared" si="0"/>
        <v>0</v>
      </c>
      <c r="AK9" s="34">
        <f t="shared" si="0"/>
        <v>2</v>
      </c>
      <c r="AL9" s="34">
        <f t="shared" si="0"/>
        <v>0</v>
      </c>
      <c r="AM9" s="34">
        <f t="shared" si="0"/>
        <v>5</v>
      </c>
      <c r="AN9" s="34">
        <f t="shared" si="0"/>
        <v>6</v>
      </c>
      <c r="AO9" s="34">
        <f t="shared" si="0"/>
        <v>148</v>
      </c>
      <c r="AP9" s="34">
        <f t="shared" si="0"/>
        <v>3</v>
      </c>
      <c r="AQ9" s="34">
        <f t="shared" si="0"/>
        <v>0</v>
      </c>
      <c r="AR9" s="34">
        <f t="shared" si="0"/>
        <v>0</v>
      </c>
      <c r="AS9" s="34">
        <f t="shared" si="0"/>
        <v>1</v>
      </c>
      <c r="AT9" s="34">
        <f t="shared" si="0"/>
        <v>0</v>
      </c>
      <c r="AU9" s="34">
        <f t="shared" si="0"/>
        <v>0</v>
      </c>
      <c r="AV9" s="34">
        <f t="shared" si="0"/>
        <v>1</v>
      </c>
      <c r="AW9" s="34">
        <f t="shared" si="0"/>
        <v>0</v>
      </c>
      <c r="AX9" s="34">
        <f t="shared" si="0"/>
        <v>0</v>
      </c>
      <c r="AY9" s="34">
        <f t="shared" si="0"/>
        <v>0</v>
      </c>
      <c r="AZ9" s="35">
        <f t="shared" si="0"/>
        <v>0</v>
      </c>
      <c r="BC9">
        <v>7</v>
      </c>
      <c r="BD9">
        <v>4065</v>
      </c>
      <c r="BE9">
        <v>190</v>
      </c>
      <c r="BF9">
        <v>80</v>
      </c>
      <c r="BG9">
        <v>59</v>
      </c>
      <c r="BH9">
        <v>169</v>
      </c>
      <c r="BI9">
        <v>323</v>
      </c>
      <c r="BJ9">
        <v>2299</v>
      </c>
      <c r="BK9">
        <v>828</v>
      </c>
      <c r="BL9">
        <v>0</v>
      </c>
      <c r="BM9">
        <v>0</v>
      </c>
      <c r="BN9">
        <v>0</v>
      </c>
      <c r="BO9">
        <v>5</v>
      </c>
      <c r="BP9">
        <v>6</v>
      </c>
      <c r="BQ9">
        <v>141</v>
      </c>
      <c r="BR9">
        <v>3</v>
      </c>
      <c r="BS9">
        <v>0</v>
      </c>
      <c r="BT9">
        <v>0</v>
      </c>
      <c r="BU9">
        <v>0</v>
      </c>
      <c r="BV9">
        <v>0</v>
      </c>
      <c r="BW9">
        <v>0</v>
      </c>
      <c r="BX9">
        <v>1</v>
      </c>
      <c r="BY9">
        <v>0</v>
      </c>
      <c r="BZ9">
        <v>0</v>
      </c>
      <c r="CA9">
        <v>0</v>
      </c>
      <c r="CB9">
        <v>0</v>
      </c>
    </row>
    <row r="10" spans="1:80" x14ac:dyDescent="0.25">
      <c r="A10">
        <v>8</v>
      </c>
      <c r="B10">
        <f>IF(ISNA(VLOOKUP($A10,SXS_Transit_input!$A$5:$W$26,MATCH(SXS_Transit_temp!B$2,SXS_Transit_input!$B$4:$W$4,0)+1,FALSE)),0,VLOOKUP($A10,SXS_Transit_input!$A$5:$W$26,MATCH(SXS_Transit_temp!B$2,SXS_Transit_input!$B$4:$W$4,0)+1,FALSE))+IF(ISNA(VLOOKUP($A10,SXS_Transit_input!$A$53:$R$69,MATCH(SXS_Transit_temp!B$2,SXS_Transit_input!$B$52:$R$52,0)+1,FALSE)),0,VLOOKUP($A10,SXS_Transit_input!$A$53:$R$69,MATCH(SXS_Transit_temp!B$2,SXS_Transit_input!$B$52:$R$52,0)+1,FALSE))</f>
        <v>47014.007389999999</v>
      </c>
      <c r="C10">
        <f>IF(ISNA(VLOOKUP($A10,SXS_Transit_input!$A$5:$W$26,MATCH(SXS_Transit_temp!C$2,SXS_Transit_input!$B$4:$W$4,0)+1,FALSE)),0,VLOOKUP($A10,SXS_Transit_input!$A$5:$W$26,MATCH(SXS_Transit_temp!C$2,SXS_Transit_input!$B$4:$W$4,0)+1,FALSE))+IF(ISNA(VLOOKUP($A10,SXS_Transit_input!$A$53:$R$69,MATCH(SXS_Transit_temp!C$2,SXS_Transit_input!$B$52:$R$52,0)+1,FALSE)),0,VLOOKUP($A10,SXS_Transit_input!$A$53:$R$69,MATCH(SXS_Transit_temp!C$2,SXS_Transit_input!$B$52:$R$52,0)+1,FALSE))</f>
        <v>4258.2508600000001</v>
      </c>
      <c r="D10">
        <f>IF(ISNA(VLOOKUP($A10,SXS_Transit_input!$A$5:$W$26,MATCH(SXS_Transit_temp!D$2,SXS_Transit_input!$B$4:$W$4,0)+1,FALSE)),0,VLOOKUP($A10,SXS_Transit_input!$A$5:$W$26,MATCH(SXS_Transit_temp!D$2,SXS_Transit_input!$B$4:$W$4,0)+1,FALSE))+IF(ISNA(VLOOKUP($A10,SXS_Transit_input!$A$53:$R$69,MATCH(SXS_Transit_temp!D$2,SXS_Transit_input!$B$52:$R$52,0)+1,FALSE)),0,VLOOKUP($A10,SXS_Transit_input!$A$53:$R$69,MATCH(SXS_Transit_temp!D$2,SXS_Transit_input!$B$52:$R$52,0)+1,FALSE))</f>
        <v>488.36293999999998</v>
      </c>
      <c r="E10">
        <f>IF(ISNA(VLOOKUP($A10,SXS_Transit_input!$A$5:$W$26,MATCH(SXS_Transit_temp!E$2,SXS_Transit_input!$B$4:$W$4,0)+1,FALSE)),0,VLOOKUP($A10,SXS_Transit_input!$A$5:$W$26,MATCH(SXS_Transit_temp!E$2,SXS_Transit_input!$B$4:$W$4,0)+1,FALSE))+IF(ISNA(VLOOKUP($A10,SXS_Transit_input!$A$53:$R$69,MATCH(SXS_Transit_temp!E$2,SXS_Transit_input!$B$52:$R$52,0)+1,FALSE)),0,VLOOKUP($A10,SXS_Transit_input!$A$53:$R$69,MATCH(SXS_Transit_temp!E$2,SXS_Transit_input!$B$52:$R$52,0)+1,FALSE))</f>
        <v>284.85811000000001</v>
      </c>
      <c r="F10">
        <f>IF(ISNA(VLOOKUP($A10,SXS_Transit_input!$A$5:$W$26,MATCH(SXS_Transit_temp!F$2,SXS_Transit_input!$B$4:$W$4,0)+1,FALSE)),0,VLOOKUP($A10,SXS_Transit_input!$A$5:$W$26,MATCH(SXS_Transit_temp!F$2,SXS_Transit_input!$B$4:$W$4,0)+1,FALSE))+IF(ISNA(VLOOKUP($A10,SXS_Transit_input!$A$53:$R$69,MATCH(SXS_Transit_temp!F$2,SXS_Transit_input!$B$52:$R$52,0)+1,FALSE)),0,VLOOKUP($A10,SXS_Transit_input!$A$53:$R$69,MATCH(SXS_Transit_temp!F$2,SXS_Transit_input!$B$52:$R$52,0)+1,FALSE))</f>
        <v>2673.1653699999997</v>
      </c>
      <c r="G10">
        <f>IF(ISNA(VLOOKUP($A10,SXS_Transit_input!$A$5:$W$26,MATCH(SXS_Transit_temp!G$2,SXS_Transit_input!$B$4:$W$4,0)+1,FALSE)),0,VLOOKUP($A10,SXS_Transit_input!$A$5:$W$26,MATCH(SXS_Transit_temp!G$2,SXS_Transit_input!$B$4:$W$4,0)+1,FALSE))+IF(ISNA(VLOOKUP($A10,SXS_Transit_input!$A$53:$R$69,MATCH(SXS_Transit_temp!G$2,SXS_Transit_input!$B$52:$R$52,0)+1,FALSE)),0,VLOOKUP($A10,SXS_Transit_input!$A$53:$R$69,MATCH(SXS_Transit_temp!G$2,SXS_Transit_input!$B$52:$R$52,0)+1,FALSE))</f>
        <v>94.341369999999998</v>
      </c>
      <c r="H10">
        <f>IF(ISNA(VLOOKUP($A10,SXS_Transit_input!$A$5:$W$26,MATCH(SXS_Transit_temp!H$2,SXS_Transit_input!$B$4:$W$4,0)+1,FALSE)),0,VLOOKUP($A10,SXS_Transit_input!$A$5:$W$26,MATCH(SXS_Transit_temp!H$2,SXS_Transit_input!$B$4:$W$4,0)+1,FALSE))+IF(ISNA(VLOOKUP($A10,SXS_Transit_input!$A$53:$R$69,MATCH(SXS_Transit_temp!H$2,SXS_Transit_input!$B$52:$R$52,0)+1,FALSE)),0,VLOOKUP($A10,SXS_Transit_input!$A$53:$R$69,MATCH(SXS_Transit_temp!H$2,SXS_Transit_input!$B$52:$R$52,0)+1,FALSE))</f>
        <v>2031.5522699999999</v>
      </c>
      <c r="I10">
        <f>IF(ISNA(VLOOKUP($A10,SXS_Transit_input!$A$5:$W$26,MATCH(SXS_Transit_temp!I$2,SXS_Transit_input!$B$4:$W$4,0)+1,FALSE)),0,VLOOKUP($A10,SXS_Transit_input!$A$5:$W$26,MATCH(SXS_Transit_temp!I$2,SXS_Transit_input!$B$4:$W$4,0)+1,FALSE))+IF(ISNA(VLOOKUP($A10,SXS_Transit_input!$A$53:$R$69,MATCH(SXS_Transit_temp!I$2,SXS_Transit_input!$B$52:$R$52,0)+1,FALSE)),0,VLOOKUP($A10,SXS_Transit_input!$A$53:$R$69,MATCH(SXS_Transit_temp!I$2,SXS_Transit_input!$B$52:$R$52,0)+1,FALSE))</f>
        <v>42855.587820000001</v>
      </c>
      <c r="J10">
        <f>IF(ISNA(VLOOKUP($A10,SXS_Transit_input!$A$5:$W$26,MATCH(SXS_Transit_temp!J$2,SXS_Transit_input!$B$4:$W$4,0)+1,FALSE)),0,VLOOKUP($A10,SXS_Transit_input!$A$5:$W$26,MATCH(SXS_Transit_temp!J$2,SXS_Transit_input!$B$4:$W$4,0)+1,FALSE))+IF(ISNA(VLOOKUP($A10,SXS_Transit_input!$A$53:$R$69,MATCH(SXS_Transit_temp!J$2,SXS_Transit_input!$B$52:$R$52,0)+1,FALSE)),0,VLOOKUP($A10,SXS_Transit_input!$A$53:$R$69,MATCH(SXS_Transit_temp!J$2,SXS_Transit_input!$B$52:$R$52,0)+1,FALSE))</f>
        <v>476.56941</v>
      </c>
      <c r="K10">
        <f>IF(ISNA(VLOOKUP($A10,SXS_Transit_input!$A$5:$W$26,MATCH(SXS_Transit_temp!K$2,SXS_Transit_input!$B$4:$W$4,0)+1,FALSE)),0,VLOOKUP($A10,SXS_Transit_input!$A$5:$W$26,MATCH(SXS_Transit_temp!K$2,SXS_Transit_input!$B$4:$W$4,0)+1,FALSE))+IF(ISNA(VLOOKUP($A10,SXS_Transit_input!$A$53:$R$69,MATCH(SXS_Transit_temp!K$2,SXS_Transit_input!$B$52:$R$52,0)+1,FALSE)),0,VLOOKUP($A10,SXS_Transit_input!$A$53:$R$69,MATCH(SXS_Transit_temp!K$2,SXS_Transit_input!$B$52:$R$52,0)+1,FALSE))</f>
        <v>0</v>
      </c>
      <c r="L10">
        <f>IF(ISNA(VLOOKUP($A10,SXS_Transit_input!$A$5:$W$26,MATCH(SXS_Transit_temp!L$2,SXS_Transit_input!$B$4:$W$4,0)+1,FALSE)),0,VLOOKUP($A10,SXS_Transit_input!$A$5:$W$26,MATCH(SXS_Transit_temp!L$2,SXS_Transit_input!$B$4:$W$4,0)+1,FALSE))+IF(ISNA(VLOOKUP($A10,SXS_Transit_input!$A$53:$R$69,MATCH(SXS_Transit_temp!L$2,SXS_Transit_input!$B$52:$R$52,0)+1,FALSE)),0,VLOOKUP($A10,SXS_Transit_input!$A$53:$R$69,MATCH(SXS_Transit_temp!L$2,SXS_Transit_input!$B$52:$R$52,0)+1,FALSE))</f>
        <v>0</v>
      </c>
      <c r="M10">
        <f>IF(ISNA(VLOOKUP($A10,SXS_Transit_input!$A$5:$W$26,MATCH(SXS_Transit_temp!M$2,SXS_Transit_input!$B$4:$W$4,0)+1,FALSE)),0,VLOOKUP($A10,SXS_Transit_input!$A$5:$W$26,MATCH(SXS_Transit_temp!M$2,SXS_Transit_input!$B$4:$W$4,0)+1,FALSE))+IF(ISNA(VLOOKUP($A10,SXS_Transit_input!$A$53:$R$69,MATCH(SXS_Transit_temp!M$2,SXS_Transit_input!$B$52:$R$52,0)+1,FALSE)),0,VLOOKUP($A10,SXS_Transit_input!$A$53:$R$69,MATCH(SXS_Transit_temp!M$2,SXS_Transit_input!$B$52:$R$52,0)+1,FALSE))</f>
        <v>600.81861000000004</v>
      </c>
      <c r="N10">
        <f>IF(ISNA(VLOOKUP($A10,SXS_Transit_input!$A$5:$W$26,MATCH(SXS_Transit_temp!N$2,SXS_Transit_input!$B$4:$W$4,0)+1,FALSE)),0,VLOOKUP($A10,SXS_Transit_input!$A$5:$W$26,MATCH(SXS_Transit_temp!N$2,SXS_Transit_input!$B$4:$W$4,0)+1,FALSE))+IF(ISNA(VLOOKUP($A10,SXS_Transit_input!$A$53:$R$69,MATCH(SXS_Transit_temp!N$2,SXS_Transit_input!$B$52:$R$52,0)+1,FALSE)),0,VLOOKUP($A10,SXS_Transit_input!$A$53:$R$69,MATCH(SXS_Transit_temp!N$2,SXS_Transit_input!$B$52:$R$52,0)+1,FALSE))</f>
        <v>189.87280999999999</v>
      </c>
      <c r="O10">
        <f>IF(ISNA(VLOOKUP($A10,SXS_Transit_input!$A$5:$W$26,MATCH(SXS_Transit_temp!O$2,SXS_Transit_input!$B$4:$W$4,0)+1,FALSE)),0,VLOOKUP($A10,SXS_Transit_input!$A$5:$W$26,MATCH(SXS_Transit_temp!O$2,SXS_Transit_input!$B$4:$W$4,0)+1,FALSE))+IF(ISNA(VLOOKUP($A10,SXS_Transit_input!$A$53:$R$69,MATCH(SXS_Transit_temp!O$2,SXS_Transit_input!$B$52:$R$52,0)+1,FALSE)),0,VLOOKUP($A10,SXS_Transit_input!$A$53:$R$69,MATCH(SXS_Transit_temp!O$2,SXS_Transit_input!$B$52:$R$52,0)+1,FALSE))</f>
        <v>153.94639000000001</v>
      </c>
      <c r="P10">
        <f>IF(ISNA(VLOOKUP($A10,SXS_Transit_input!$A$5:$W$26,MATCH(SXS_Transit_temp!P$2,SXS_Transit_input!$B$4:$W$4,0)+1,FALSE)),0,VLOOKUP($A10,SXS_Transit_input!$A$5:$W$26,MATCH(SXS_Transit_temp!P$2,SXS_Transit_input!$B$4:$W$4,0)+1,FALSE))+IF(ISNA(VLOOKUP($A10,SXS_Transit_input!$A$53:$R$69,MATCH(SXS_Transit_temp!P$2,SXS_Transit_input!$B$52:$R$52,0)+1,FALSE)),0,VLOOKUP($A10,SXS_Transit_input!$A$53:$R$69,MATCH(SXS_Transit_temp!P$2,SXS_Transit_input!$B$52:$R$52,0)+1,FALSE))</f>
        <v>2264.8803800000001</v>
      </c>
      <c r="Q10">
        <f>IF(ISNA(VLOOKUP($A10,SXS_Transit_input!$A$5:$W$26,MATCH(SXS_Transit_temp!Q$2,SXS_Transit_input!$B$4:$W$4,0)+1,FALSE)),0,VLOOKUP($A10,SXS_Transit_input!$A$5:$W$26,MATCH(SXS_Transit_temp!Q$2,SXS_Transit_input!$B$4:$W$4,0)+1,FALSE))+IF(ISNA(VLOOKUP($A10,SXS_Transit_input!$A$53:$R$69,MATCH(SXS_Transit_temp!Q$2,SXS_Transit_input!$B$52:$R$52,0)+1,FALSE)),0,VLOOKUP($A10,SXS_Transit_input!$A$53:$R$69,MATCH(SXS_Transit_temp!Q$2,SXS_Transit_input!$B$52:$R$52,0)+1,FALSE))</f>
        <v>0</v>
      </c>
      <c r="R10">
        <f>IF(ISNA(VLOOKUP($A10,SXS_Transit_input!$A$5:$W$26,MATCH(SXS_Transit_temp!R$2,SXS_Transit_input!$B$4:$W$4,0)+1,FALSE)),0,VLOOKUP($A10,SXS_Transit_input!$A$5:$W$26,MATCH(SXS_Transit_temp!R$2,SXS_Transit_input!$B$4:$W$4,0)+1,FALSE))+IF(ISNA(VLOOKUP($A10,SXS_Transit_input!$A$53:$R$69,MATCH(SXS_Transit_temp!R$2,SXS_Transit_input!$B$52:$R$52,0)+1,FALSE)),0,VLOOKUP($A10,SXS_Transit_input!$A$53:$R$69,MATCH(SXS_Transit_temp!R$2,SXS_Transit_input!$B$52:$R$52,0)+1,FALSE))</f>
        <v>0</v>
      </c>
      <c r="S10">
        <f>IF(ISNA(VLOOKUP($A10,SXS_Transit_input!$A$5:$W$26,MATCH(SXS_Transit_temp!S$2,SXS_Transit_input!$B$4:$W$4,0)+1,FALSE)),0,VLOOKUP($A10,SXS_Transit_input!$A$5:$W$26,MATCH(SXS_Transit_temp!S$2,SXS_Transit_input!$B$4:$W$4,0)+1,FALSE))+IF(ISNA(VLOOKUP($A10,SXS_Transit_input!$A$53:$R$69,MATCH(SXS_Transit_temp!S$2,SXS_Transit_input!$B$52:$R$52,0)+1,FALSE)),0,VLOOKUP($A10,SXS_Transit_input!$A$53:$R$69,MATCH(SXS_Transit_temp!S$2,SXS_Transit_input!$B$52:$R$52,0)+1,FALSE))</f>
        <v>148.26369</v>
      </c>
      <c r="T10">
        <f>IF(ISNA(VLOOKUP($A10,SXS_Transit_input!$A$5:$W$26,MATCH(SXS_Transit_temp!T$2,SXS_Transit_input!$B$4:$W$4,0)+1,FALSE)),0,VLOOKUP($A10,SXS_Transit_input!$A$5:$W$26,MATCH(SXS_Transit_temp!T$2,SXS_Transit_input!$B$4:$W$4,0)+1,FALSE))+IF(ISNA(VLOOKUP($A10,SXS_Transit_input!$A$53:$R$69,MATCH(SXS_Transit_temp!T$2,SXS_Transit_input!$B$52:$R$52,0)+1,FALSE)),0,VLOOKUP($A10,SXS_Transit_input!$A$53:$R$69,MATCH(SXS_Transit_temp!T$2,SXS_Transit_input!$B$52:$R$52,0)+1,FALSE))</f>
        <v>0</v>
      </c>
      <c r="U10">
        <f>IF(ISNA(VLOOKUP($A10,SXS_Transit_input!$A$5:$W$26,MATCH(SXS_Transit_temp!U$2,SXS_Transit_input!$B$4:$W$4,0)+1,FALSE)),0,VLOOKUP($A10,SXS_Transit_input!$A$5:$W$26,MATCH(SXS_Transit_temp!U$2,SXS_Transit_input!$B$4:$W$4,0)+1,FALSE))+IF(ISNA(VLOOKUP($A10,SXS_Transit_input!$A$53:$R$69,MATCH(SXS_Transit_temp!U$2,SXS_Transit_input!$B$52:$R$52,0)+1,FALSE)),0,VLOOKUP($A10,SXS_Transit_input!$A$53:$R$69,MATCH(SXS_Transit_temp!U$2,SXS_Transit_input!$B$52:$R$52,0)+1,FALSE))</f>
        <v>0</v>
      </c>
      <c r="V10">
        <f>IF(ISNA(VLOOKUP($A10,SXS_Transit_input!$A$5:$W$26,MATCH(SXS_Transit_temp!V$2,SXS_Transit_input!$B$4:$W$4,0)+1,FALSE)),0,VLOOKUP($A10,SXS_Transit_input!$A$5:$W$26,MATCH(SXS_Transit_temp!V$2,SXS_Transit_input!$B$4:$W$4,0)+1,FALSE))+IF(ISNA(VLOOKUP($A10,SXS_Transit_input!$A$53:$R$69,MATCH(SXS_Transit_temp!V$2,SXS_Transit_input!$B$52:$R$52,0)+1,FALSE)),0,VLOOKUP($A10,SXS_Transit_input!$A$53:$R$69,MATCH(SXS_Transit_temp!V$2,SXS_Transit_input!$B$52:$R$52,0)+1,FALSE))</f>
        <v>0</v>
      </c>
      <c r="W10">
        <f>IF(ISNA(VLOOKUP($A10,SXS_Transit_input!$A$5:$W$26,MATCH(SXS_Transit_temp!W$2,SXS_Transit_input!$B$4:$W$4,0)+1,FALSE)),0,VLOOKUP($A10,SXS_Transit_input!$A$5:$W$26,MATCH(SXS_Transit_temp!W$2,SXS_Transit_input!$B$4:$W$4,0)+1,FALSE))+IF(ISNA(VLOOKUP($A10,SXS_Transit_input!$A$53:$R$69,MATCH(SXS_Transit_temp!W$2,SXS_Transit_input!$B$52:$R$52,0)+1,FALSE)),0,VLOOKUP($A10,SXS_Transit_input!$A$53:$R$69,MATCH(SXS_Transit_temp!W$2,SXS_Transit_input!$B$52:$R$52,0)+1,FALSE))</f>
        <v>0</v>
      </c>
      <c r="X10">
        <f>IF(ISNA(VLOOKUP($A10,SXS_Transit_input!$A$5:$W$26,MATCH(SXS_Transit_temp!X$2,SXS_Transit_input!$B$4:$W$4,0)+1,FALSE)),0,VLOOKUP($A10,SXS_Transit_input!$A$5:$W$26,MATCH(SXS_Transit_temp!X$2,SXS_Transit_input!$B$4:$W$4,0)+1,FALSE))+IF(ISNA(VLOOKUP($A10,SXS_Transit_input!$A$53:$R$69,MATCH(SXS_Transit_temp!X$2,SXS_Transit_input!$B$52:$R$52,0)+1,FALSE)),0,VLOOKUP($A10,SXS_Transit_input!$A$53:$R$69,MATCH(SXS_Transit_temp!X$2,SXS_Transit_input!$B$52:$R$52,0)+1,FALSE))</f>
        <v>0</v>
      </c>
      <c r="Y10">
        <f>IF(ISNA(VLOOKUP($A10,SXS_Transit_input!$A$5:$W$26,MATCH(SXS_Transit_temp!Y$2,SXS_Transit_input!$B$4:$W$4,0)+1,FALSE)),0,VLOOKUP($A10,SXS_Transit_input!$A$5:$W$26,MATCH(SXS_Transit_temp!Y$2,SXS_Transit_input!$B$4:$W$4,0)+1,FALSE))+IF(ISNA(VLOOKUP($A10,SXS_Transit_input!$A$53:$R$69,MATCH(SXS_Transit_temp!Y$2,SXS_Transit_input!$B$52:$R$52,0)+1,FALSE)),0,VLOOKUP($A10,SXS_Transit_input!$A$53:$R$69,MATCH(SXS_Transit_temp!Y$2,SXS_Transit_input!$B$52:$R$52,0)+1,FALSE))</f>
        <v>982.42091000000005</v>
      </c>
      <c r="Z10">
        <f>IF(ISNA(VLOOKUP($A10,SXS_Transit_input!$A$5:$W$26,MATCH(SXS_Transit_temp!Z$2,SXS_Transit_input!$B$4:$W$4,0)+1,FALSE)),0,VLOOKUP($A10,SXS_Transit_input!$A$5:$W$26,MATCH(SXS_Transit_temp!Z$2,SXS_Transit_input!$B$4:$W$4,0)+1,FALSE))+IF(ISNA(VLOOKUP($A10,SXS_Transit_input!$A$53:$R$69,MATCH(SXS_Transit_temp!Z$2,SXS_Transit_input!$B$52:$R$52,0)+1,FALSE)),0,VLOOKUP($A10,SXS_Transit_input!$A$53:$R$69,MATCH(SXS_Transit_temp!Z$2,SXS_Transit_input!$B$52:$R$52,0)+1,FALSE))</f>
        <v>0</v>
      </c>
      <c r="AA10">
        <v>8</v>
      </c>
      <c r="AB10" s="33">
        <f t="shared" si="1"/>
        <v>11520</v>
      </c>
      <c r="AC10" s="34">
        <f t="shared" si="0"/>
        <v>552</v>
      </c>
      <c r="AD10" s="34">
        <f t="shared" si="0"/>
        <v>191</v>
      </c>
      <c r="AE10" s="34">
        <f t="shared" si="0"/>
        <v>92</v>
      </c>
      <c r="AF10" s="34">
        <f t="shared" si="0"/>
        <v>184</v>
      </c>
      <c r="AG10" s="34">
        <f t="shared" si="0"/>
        <v>195</v>
      </c>
      <c r="AH10" s="34">
        <f t="shared" si="0"/>
        <v>1381</v>
      </c>
      <c r="AI10" s="34">
        <f t="shared" si="0"/>
        <v>5866</v>
      </c>
      <c r="AJ10" s="34">
        <f t="shared" si="0"/>
        <v>4</v>
      </c>
      <c r="AK10" s="34">
        <f t="shared" si="0"/>
        <v>3</v>
      </c>
      <c r="AL10" s="34">
        <f t="shared" si="0"/>
        <v>0</v>
      </c>
      <c r="AM10" s="34">
        <f t="shared" si="0"/>
        <v>8</v>
      </c>
      <c r="AN10" s="34">
        <f t="shared" si="0"/>
        <v>4</v>
      </c>
      <c r="AO10" s="34">
        <f t="shared" si="0"/>
        <v>144</v>
      </c>
      <c r="AP10" s="34">
        <f t="shared" si="0"/>
        <v>50</v>
      </c>
      <c r="AQ10" s="34">
        <f t="shared" si="0"/>
        <v>0</v>
      </c>
      <c r="AR10" s="34">
        <f t="shared" si="0"/>
        <v>0</v>
      </c>
      <c r="AS10" s="34">
        <f t="shared" si="0"/>
        <v>25</v>
      </c>
      <c r="AT10" s="34">
        <f t="shared" si="0"/>
        <v>0</v>
      </c>
      <c r="AU10" s="34">
        <f t="shared" si="0"/>
        <v>0</v>
      </c>
      <c r="AV10" s="34">
        <f t="shared" si="0"/>
        <v>0</v>
      </c>
      <c r="AW10" s="34">
        <f t="shared" si="0"/>
        <v>0</v>
      </c>
      <c r="AX10" s="34">
        <f t="shared" si="0"/>
        <v>0</v>
      </c>
      <c r="AY10" s="34">
        <f t="shared" si="0"/>
        <v>1</v>
      </c>
      <c r="AZ10" s="35">
        <f t="shared" si="0"/>
        <v>3</v>
      </c>
      <c r="BC10">
        <v>8</v>
      </c>
      <c r="BD10">
        <v>11224</v>
      </c>
      <c r="BE10">
        <v>550</v>
      </c>
      <c r="BF10">
        <v>188</v>
      </c>
      <c r="BG10">
        <v>92</v>
      </c>
      <c r="BH10">
        <v>180</v>
      </c>
      <c r="BI10">
        <v>193</v>
      </c>
      <c r="BJ10">
        <v>1296</v>
      </c>
      <c r="BK10">
        <v>5546</v>
      </c>
      <c r="BL10">
        <v>4</v>
      </c>
      <c r="BM10">
        <v>3</v>
      </c>
      <c r="BN10">
        <v>0</v>
      </c>
      <c r="BO10">
        <v>8</v>
      </c>
      <c r="BP10">
        <v>4</v>
      </c>
      <c r="BQ10">
        <v>137</v>
      </c>
      <c r="BR10">
        <v>50</v>
      </c>
      <c r="BS10">
        <v>0</v>
      </c>
      <c r="BT10">
        <v>0</v>
      </c>
      <c r="BU10">
        <v>18</v>
      </c>
      <c r="BV10">
        <v>0</v>
      </c>
      <c r="BW10">
        <v>0</v>
      </c>
      <c r="BX10">
        <v>0</v>
      </c>
      <c r="BY10">
        <v>0</v>
      </c>
      <c r="BZ10">
        <v>0</v>
      </c>
      <c r="CA10">
        <v>1</v>
      </c>
      <c r="CB10">
        <v>3</v>
      </c>
    </row>
    <row r="11" spans="1:80" x14ac:dyDescent="0.25">
      <c r="A11">
        <v>9</v>
      </c>
      <c r="B11">
        <f>IF(ISNA(VLOOKUP($A11,SXS_Transit_input!$A$5:$W$26,MATCH(SXS_Transit_temp!B$2,SXS_Transit_input!$B$4:$W$4,0)+1,FALSE)),0,VLOOKUP($A11,SXS_Transit_input!$A$5:$W$26,MATCH(SXS_Transit_temp!B$2,SXS_Transit_input!$B$4:$W$4,0)+1,FALSE))+IF(ISNA(VLOOKUP($A11,SXS_Transit_input!$A$53:$R$69,MATCH(SXS_Transit_temp!B$2,SXS_Transit_input!$B$52:$R$52,0)+1,FALSE)),0,VLOOKUP($A11,SXS_Transit_input!$A$53:$R$69,MATCH(SXS_Transit_temp!B$2,SXS_Transit_input!$B$52:$R$52,0)+1,FALSE))</f>
        <v>11634.31897</v>
      </c>
      <c r="C11">
        <f>IF(ISNA(VLOOKUP($A11,SXS_Transit_input!$A$5:$W$26,MATCH(SXS_Transit_temp!C$2,SXS_Transit_input!$B$4:$W$4,0)+1,FALSE)),0,VLOOKUP($A11,SXS_Transit_input!$A$5:$W$26,MATCH(SXS_Transit_temp!C$2,SXS_Transit_input!$B$4:$W$4,0)+1,FALSE))+IF(ISNA(VLOOKUP($A11,SXS_Transit_input!$A$53:$R$69,MATCH(SXS_Transit_temp!C$2,SXS_Transit_input!$B$52:$R$52,0)+1,FALSE)),0,VLOOKUP($A11,SXS_Transit_input!$A$53:$R$69,MATCH(SXS_Transit_temp!C$2,SXS_Transit_input!$B$52:$R$52,0)+1,FALSE))</f>
        <v>3311.4351799999999</v>
      </c>
      <c r="D11">
        <f>IF(ISNA(VLOOKUP($A11,SXS_Transit_input!$A$5:$W$26,MATCH(SXS_Transit_temp!D$2,SXS_Transit_input!$B$4:$W$4,0)+1,FALSE)),0,VLOOKUP($A11,SXS_Transit_input!$A$5:$W$26,MATCH(SXS_Transit_temp!D$2,SXS_Transit_input!$B$4:$W$4,0)+1,FALSE))+IF(ISNA(VLOOKUP($A11,SXS_Transit_input!$A$53:$R$69,MATCH(SXS_Transit_temp!D$2,SXS_Transit_input!$B$52:$R$52,0)+1,FALSE)),0,VLOOKUP($A11,SXS_Transit_input!$A$53:$R$69,MATCH(SXS_Transit_temp!D$2,SXS_Transit_input!$B$52:$R$52,0)+1,FALSE))</f>
        <v>0</v>
      </c>
      <c r="E11">
        <f>IF(ISNA(VLOOKUP($A11,SXS_Transit_input!$A$5:$W$26,MATCH(SXS_Transit_temp!E$2,SXS_Transit_input!$B$4:$W$4,0)+1,FALSE)),0,VLOOKUP($A11,SXS_Transit_input!$A$5:$W$26,MATCH(SXS_Transit_temp!E$2,SXS_Transit_input!$B$4:$W$4,0)+1,FALSE))+IF(ISNA(VLOOKUP($A11,SXS_Transit_input!$A$53:$R$69,MATCH(SXS_Transit_temp!E$2,SXS_Transit_input!$B$52:$R$52,0)+1,FALSE)),0,VLOOKUP($A11,SXS_Transit_input!$A$53:$R$69,MATCH(SXS_Transit_temp!E$2,SXS_Transit_input!$B$52:$R$52,0)+1,FALSE))</f>
        <v>0</v>
      </c>
      <c r="F11">
        <f>IF(ISNA(VLOOKUP($A11,SXS_Transit_input!$A$5:$W$26,MATCH(SXS_Transit_temp!F$2,SXS_Transit_input!$B$4:$W$4,0)+1,FALSE)),0,VLOOKUP($A11,SXS_Transit_input!$A$5:$W$26,MATCH(SXS_Transit_temp!F$2,SXS_Transit_input!$B$4:$W$4,0)+1,FALSE))+IF(ISNA(VLOOKUP($A11,SXS_Transit_input!$A$53:$R$69,MATCH(SXS_Transit_temp!F$2,SXS_Transit_input!$B$52:$R$52,0)+1,FALSE)),0,VLOOKUP($A11,SXS_Transit_input!$A$53:$R$69,MATCH(SXS_Transit_temp!F$2,SXS_Transit_input!$B$52:$R$52,0)+1,FALSE))</f>
        <v>0</v>
      </c>
      <c r="G11">
        <f>IF(ISNA(VLOOKUP($A11,SXS_Transit_input!$A$5:$W$26,MATCH(SXS_Transit_temp!G$2,SXS_Transit_input!$B$4:$W$4,0)+1,FALSE)),0,VLOOKUP($A11,SXS_Transit_input!$A$5:$W$26,MATCH(SXS_Transit_temp!G$2,SXS_Transit_input!$B$4:$W$4,0)+1,FALSE))+IF(ISNA(VLOOKUP($A11,SXS_Transit_input!$A$53:$R$69,MATCH(SXS_Transit_temp!G$2,SXS_Transit_input!$B$52:$R$52,0)+1,FALSE)),0,VLOOKUP($A11,SXS_Transit_input!$A$53:$R$69,MATCH(SXS_Transit_temp!G$2,SXS_Transit_input!$B$52:$R$52,0)+1,FALSE))</f>
        <v>0</v>
      </c>
      <c r="H11">
        <f>IF(ISNA(VLOOKUP($A11,SXS_Transit_input!$A$5:$W$26,MATCH(SXS_Transit_temp!H$2,SXS_Transit_input!$B$4:$W$4,0)+1,FALSE)),0,VLOOKUP($A11,SXS_Transit_input!$A$5:$W$26,MATCH(SXS_Transit_temp!H$2,SXS_Transit_input!$B$4:$W$4,0)+1,FALSE))+IF(ISNA(VLOOKUP($A11,SXS_Transit_input!$A$53:$R$69,MATCH(SXS_Transit_temp!H$2,SXS_Transit_input!$B$52:$R$52,0)+1,FALSE)),0,VLOOKUP($A11,SXS_Transit_input!$A$53:$R$69,MATCH(SXS_Transit_temp!H$2,SXS_Transit_input!$B$52:$R$52,0)+1,FALSE))</f>
        <v>630.05777</v>
      </c>
      <c r="I11">
        <f>IF(ISNA(VLOOKUP($A11,SXS_Transit_input!$A$5:$W$26,MATCH(SXS_Transit_temp!I$2,SXS_Transit_input!$B$4:$W$4,0)+1,FALSE)),0,VLOOKUP($A11,SXS_Transit_input!$A$5:$W$26,MATCH(SXS_Transit_temp!I$2,SXS_Transit_input!$B$4:$W$4,0)+1,FALSE))+IF(ISNA(VLOOKUP($A11,SXS_Transit_input!$A$53:$R$69,MATCH(SXS_Transit_temp!I$2,SXS_Transit_input!$B$52:$R$52,0)+1,FALSE)),0,VLOOKUP($A11,SXS_Transit_input!$A$53:$R$69,MATCH(SXS_Transit_temp!I$2,SXS_Transit_input!$B$52:$R$52,0)+1,FALSE))</f>
        <v>1445.58347</v>
      </c>
      <c r="J11">
        <f>IF(ISNA(VLOOKUP($A11,SXS_Transit_input!$A$5:$W$26,MATCH(SXS_Transit_temp!J$2,SXS_Transit_input!$B$4:$W$4,0)+1,FALSE)),0,VLOOKUP($A11,SXS_Transit_input!$A$5:$W$26,MATCH(SXS_Transit_temp!J$2,SXS_Transit_input!$B$4:$W$4,0)+1,FALSE))+IF(ISNA(VLOOKUP($A11,SXS_Transit_input!$A$53:$R$69,MATCH(SXS_Transit_temp!J$2,SXS_Transit_input!$B$52:$R$52,0)+1,FALSE)),0,VLOOKUP($A11,SXS_Transit_input!$A$53:$R$69,MATCH(SXS_Transit_temp!J$2,SXS_Transit_input!$B$52:$R$52,0)+1,FALSE))</f>
        <v>843.36725000000001</v>
      </c>
      <c r="K11">
        <f>IF(ISNA(VLOOKUP($A11,SXS_Transit_input!$A$5:$W$26,MATCH(SXS_Transit_temp!K$2,SXS_Transit_input!$B$4:$W$4,0)+1,FALSE)),0,VLOOKUP($A11,SXS_Transit_input!$A$5:$W$26,MATCH(SXS_Transit_temp!K$2,SXS_Transit_input!$B$4:$W$4,0)+1,FALSE))+IF(ISNA(VLOOKUP($A11,SXS_Transit_input!$A$53:$R$69,MATCH(SXS_Transit_temp!K$2,SXS_Transit_input!$B$52:$R$52,0)+1,FALSE)),0,VLOOKUP($A11,SXS_Transit_input!$A$53:$R$69,MATCH(SXS_Transit_temp!K$2,SXS_Transit_input!$B$52:$R$52,0)+1,FALSE))</f>
        <v>0</v>
      </c>
      <c r="L11">
        <f>IF(ISNA(VLOOKUP($A11,SXS_Transit_input!$A$5:$W$26,MATCH(SXS_Transit_temp!L$2,SXS_Transit_input!$B$4:$W$4,0)+1,FALSE)),0,VLOOKUP($A11,SXS_Transit_input!$A$5:$W$26,MATCH(SXS_Transit_temp!L$2,SXS_Transit_input!$B$4:$W$4,0)+1,FALSE))+IF(ISNA(VLOOKUP($A11,SXS_Transit_input!$A$53:$R$69,MATCH(SXS_Transit_temp!L$2,SXS_Transit_input!$B$52:$R$52,0)+1,FALSE)),0,VLOOKUP($A11,SXS_Transit_input!$A$53:$R$69,MATCH(SXS_Transit_temp!L$2,SXS_Transit_input!$B$52:$R$52,0)+1,FALSE))</f>
        <v>0</v>
      </c>
      <c r="M11">
        <f>IF(ISNA(VLOOKUP($A11,SXS_Transit_input!$A$5:$W$26,MATCH(SXS_Transit_temp!M$2,SXS_Transit_input!$B$4:$W$4,0)+1,FALSE)),0,VLOOKUP($A11,SXS_Transit_input!$A$5:$W$26,MATCH(SXS_Transit_temp!M$2,SXS_Transit_input!$B$4:$W$4,0)+1,FALSE))+IF(ISNA(VLOOKUP($A11,SXS_Transit_input!$A$53:$R$69,MATCH(SXS_Transit_temp!M$2,SXS_Transit_input!$B$52:$R$52,0)+1,FALSE)),0,VLOOKUP($A11,SXS_Transit_input!$A$53:$R$69,MATCH(SXS_Transit_temp!M$2,SXS_Transit_input!$B$52:$R$52,0)+1,FALSE))</f>
        <v>0</v>
      </c>
      <c r="N11">
        <f>IF(ISNA(VLOOKUP($A11,SXS_Transit_input!$A$5:$W$26,MATCH(SXS_Transit_temp!N$2,SXS_Transit_input!$B$4:$W$4,0)+1,FALSE)),0,VLOOKUP($A11,SXS_Transit_input!$A$5:$W$26,MATCH(SXS_Transit_temp!N$2,SXS_Transit_input!$B$4:$W$4,0)+1,FALSE))+IF(ISNA(VLOOKUP($A11,SXS_Transit_input!$A$53:$R$69,MATCH(SXS_Transit_temp!N$2,SXS_Transit_input!$B$52:$R$52,0)+1,FALSE)),0,VLOOKUP($A11,SXS_Transit_input!$A$53:$R$69,MATCH(SXS_Transit_temp!N$2,SXS_Transit_input!$B$52:$R$52,0)+1,FALSE))</f>
        <v>0</v>
      </c>
      <c r="O11">
        <f>IF(ISNA(VLOOKUP($A11,SXS_Transit_input!$A$5:$W$26,MATCH(SXS_Transit_temp!O$2,SXS_Transit_input!$B$4:$W$4,0)+1,FALSE)),0,VLOOKUP($A11,SXS_Transit_input!$A$5:$W$26,MATCH(SXS_Transit_temp!O$2,SXS_Transit_input!$B$4:$W$4,0)+1,FALSE))+IF(ISNA(VLOOKUP($A11,SXS_Transit_input!$A$53:$R$69,MATCH(SXS_Transit_temp!O$2,SXS_Transit_input!$B$52:$R$52,0)+1,FALSE)),0,VLOOKUP($A11,SXS_Transit_input!$A$53:$R$69,MATCH(SXS_Transit_temp!O$2,SXS_Transit_input!$B$52:$R$52,0)+1,FALSE))</f>
        <v>0</v>
      </c>
      <c r="P11">
        <f>IF(ISNA(VLOOKUP($A11,SXS_Transit_input!$A$5:$W$26,MATCH(SXS_Transit_temp!P$2,SXS_Transit_input!$B$4:$W$4,0)+1,FALSE)),0,VLOOKUP($A11,SXS_Transit_input!$A$5:$W$26,MATCH(SXS_Transit_temp!P$2,SXS_Transit_input!$B$4:$W$4,0)+1,FALSE))+IF(ISNA(VLOOKUP($A11,SXS_Transit_input!$A$53:$R$69,MATCH(SXS_Transit_temp!P$2,SXS_Transit_input!$B$52:$R$52,0)+1,FALSE)),0,VLOOKUP($A11,SXS_Transit_input!$A$53:$R$69,MATCH(SXS_Transit_temp!P$2,SXS_Transit_input!$B$52:$R$52,0)+1,FALSE))</f>
        <v>0</v>
      </c>
      <c r="Q11">
        <f>IF(ISNA(VLOOKUP($A11,SXS_Transit_input!$A$5:$W$26,MATCH(SXS_Transit_temp!Q$2,SXS_Transit_input!$B$4:$W$4,0)+1,FALSE)),0,VLOOKUP($A11,SXS_Transit_input!$A$5:$W$26,MATCH(SXS_Transit_temp!Q$2,SXS_Transit_input!$B$4:$W$4,0)+1,FALSE))+IF(ISNA(VLOOKUP($A11,SXS_Transit_input!$A$53:$R$69,MATCH(SXS_Transit_temp!Q$2,SXS_Transit_input!$B$52:$R$52,0)+1,FALSE)),0,VLOOKUP($A11,SXS_Transit_input!$A$53:$R$69,MATCH(SXS_Transit_temp!Q$2,SXS_Transit_input!$B$52:$R$52,0)+1,FALSE))</f>
        <v>0</v>
      </c>
      <c r="R11">
        <f>IF(ISNA(VLOOKUP($A11,SXS_Transit_input!$A$5:$W$26,MATCH(SXS_Transit_temp!R$2,SXS_Transit_input!$B$4:$W$4,0)+1,FALSE)),0,VLOOKUP($A11,SXS_Transit_input!$A$5:$W$26,MATCH(SXS_Transit_temp!R$2,SXS_Transit_input!$B$4:$W$4,0)+1,FALSE))+IF(ISNA(VLOOKUP($A11,SXS_Transit_input!$A$53:$R$69,MATCH(SXS_Transit_temp!R$2,SXS_Transit_input!$B$52:$R$52,0)+1,FALSE)),0,VLOOKUP($A11,SXS_Transit_input!$A$53:$R$69,MATCH(SXS_Transit_temp!R$2,SXS_Transit_input!$B$52:$R$52,0)+1,FALSE))</f>
        <v>0</v>
      </c>
      <c r="S11">
        <f>IF(ISNA(VLOOKUP($A11,SXS_Transit_input!$A$5:$W$26,MATCH(SXS_Transit_temp!S$2,SXS_Transit_input!$B$4:$W$4,0)+1,FALSE)),0,VLOOKUP($A11,SXS_Transit_input!$A$5:$W$26,MATCH(SXS_Transit_temp!S$2,SXS_Transit_input!$B$4:$W$4,0)+1,FALSE))+IF(ISNA(VLOOKUP($A11,SXS_Transit_input!$A$53:$R$69,MATCH(SXS_Transit_temp!S$2,SXS_Transit_input!$B$52:$R$52,0)+1,FALSE)),0,VLOOKUP($A11,SXS_Transit_input!$A$53:$R$69,MATCH(SXS_Transit_temp!S$2,SXS_Transit_input!$B$52:$R$52,0)+1,FALSE))</f>
        <v>0</v>
      </c>
      <c r="T11">
        <f>IF(ISNA(VLOOKUP($A11,SXS_Transit_input!$A$5:$W$26,MATCH(SXS_Transit_temp!T$2,SXS_Transit_input!$B$4:$W$4,0)+1,FALSE)),0,VLOOKUP($A11,SXS_Transit_input!$A$5:$W$26,MATCH(SXS_Transit_temp!T$2,SXS_Transit_input!$B$4:$W$4,0)+1,FALSE))+IF(ISNA(VLOOKUP($A11,SXS_Transit_input!$A$53:$R$69,MATCH(SXS_Transit_temp!T$2,SXS_Transit_input!$B$52:$R$52,0)+1,FALSE)),0,VLOOKUP($A11,SXS_Transit_input!$A$53:$R$69,MATCH(SXS_Transit_temp!T$2,SXS_Transit_input!$B$52:$R$52,0)+1,FALSE))</f>
        <v>0</v>
      </c>
      <c r="U11">
        <f>IF(ISNA(VLOOKUP($A11,SXS_Transit_input!$A$5:$W$26,MATCH(SXS_Transit_temp!U$2,SXS_Transit_input!$B$4:$W$4,0)+1,FALSE)),0,VLOOKUP($A11,SXS_Transit_input!$A$5:$W$26,MATCH(SXS_Transit_temp!U$2,SXS_Transit_input!$B$4:$W$4,0)+1,FALSE))+IF(ISNA(VLOOKUP($A11,SXS_Transit_input!$A$53:$R$69,MATCH(SXS_Transit_temp!U$2,SXS_Transit_input!$B$52:$R$52,0)+1,FALSE)),0,VLOOKUP($A11,SXS_Transit_input!$A$53:$R$69,MATCH(SXS_Transit_temp!U$2,SXS_Transit_input!$B$52:$R$52,0)+1,FALSE))</f>
        <v>1453.6652099999999</v>
      </c>
      <c r="V11">
        <f>IF(ISNA(VLOOKUP($A11,SXS_Transit_input!$A$5:$W$26,MATCH(SXS_Transit_temp!V$2,SXS_Transit_input!$B$4:$W$4,0)+1,FALSE)),0,VLOOKUP($A11,SXS_Transit_input!$A$5:$W$26,MATCH(SXS_Transit_temp!V$2,SXS_Transit_input!$B$4:$W$4,0)+1,FALSE))+IF(ISNA(VLOOKUP($A11,SXS_Transit_input!$A$53:$R$69,MATCH(SXS_Transit_temp!V$2,SXS_Transit_input!$B$52:$R$52,0)+1,FALSE)),0,VLOOKUP($A11,SXS_Transit_input!$A$53:$R$69,MATCH(SXS_Transit_temp!V$2,SXS_Transit_input!$B$52:$R$52,0)+1,FALSE))</f>
        <v>0</v>
      </c>
      <c r="W11">
        <f>IF(ISNA(VLOOKUP($A11,SXS_Transit_input!$A$5:$W$26,MATCH(SXS_Transit_temp!W$2,SXS_Transit_input!$B$4:$W$4,0)+1,FALSE)),0,VLOOKUP($A11,SXS_Transit_input!$A$5:$W$26,MATCH(SXS_Transit_temp!W$2,SXS_Transit_input!$B$4:$W$4,0)+1,FALSE))+IF(ISNA(VLOOKUP($A11,SXS_Transit_input!$A$53:$R$69,MATCH(SXS_Transit_temp!W$2,SXS_Transit_input!$B$52:$R$52,0)+1,FALSE)),0,VLOOKUP($A11,SXS_Transit_input!$A$53:$R$69,MATCH(SXS_Transit_temp!W$2,SXS_Transit_input!$B$52:$R$52,0)+1,FALSE))</f>
        <v>0</v>
      </c>
      <c r="X11">
        <f>IF(ISNA(VLOOKUP($A11,SXS_Transit_input!$A$5:$W$26,MATCH(SXS_Transit_temp!X$2,SXS_Transit_input!$B$4:$W$4,0)+1,FALSE)),0,VLOOKUP($A11,SXS_Transit_input!$A$5:$W$26,MATCH(SXS_Transit_temp!X$2,SXS_Transit_input!$B$4:$W$4,0)+1,FALSE))+IF(ISNA(VLOOKUP($A11,SXS_Transit_input!$A$53:$R$69,MATCH(SXS_Transit_temp!X$2,SXS_Transit_input!$B$52:$R$52,0)+1,FALSE)),0,VLOOKUP($A11,SXS_Transit_input!$A$53:$R$69,MATCH(SXS_Transit_temp!X$2,SXS_Transit_input!$B$52:$R$52,0)+1,FALSE))</f>
        <v>0</v>
      </c>
      <c r="Y11">
        <f>IF(ISNA(VLOOKUP($A11,SXS_Transit_input!$A$5:$W$26,MATCH(SXS_Transit_temp!Y$2,SXS_Transit_input!$B$4:$W$4,0)+1,FALSE)),0,VLOOKUP($A11,SXS_Transit_input!$A$5:$W$26,MATCH(SXS_Transit_temp!Y$2,SXS_Transit_input!$B$4:$W$4,0)+1,FALSE))+IF(ISNA(VLOOKUP($A11,SXS_Transit_input!$A$53:$R$69,MATCH(SXS_Transit_temp!Y$2,SXS_Transit_input!$B$52:$R$52,0)+1,FALSE)),0,VLOOKUP($A11,SXS_Transit_input!$A$53:$R$69,MATCH(SXS_Transit_temp!Y$2,SXS_Transit_input!$B$52:$R$52,0)+1,FALSE))</f>
        <v>0</v>
      </c>
      <c r="Z11">
        <f>IF(ISNA(VLOOKUP($A11,SXS_Transit_input!$A$5:$W$26,MATCH(SXS_Transit_temp!Z$2,SXS_Transit_input!$B$4:$W$4,0)+1,FALSE)),0,VLOOKUP($A11,SXS_Transit_input!$A$5:$W$26,MATCH(SXS_Transit_temp!Z$2,SXS_Transit_input!$B$4:$W$4,0)+1,FALSE))+IF(ISNA(VLOOKUP($A11,SXS_Transit_input!$A$53:$R$69,MATCH(SXS_Transit_temp!Z$2,SXS_Transit_input!$B$52:$R$52,0)+1,FALSE)),0,VLOOKUP($A11,SXS_Transit_input!$A$53:$R$69,MATCH(SXS_Transit_temp!Z$2,SXS_Transit_input!$B$52:$R$52,0)+1,FALSE))</f>
        <v>0</v>
      </c>
      <c r="AA11">
        <v>9</v>
      </c>
      <c r="AB11" s="33">
        <f t="shared" si="1"/>
        <v>240</v>
      </c>
      <c r="AC11" s="34">
        <f t="shared" si="0"/>
        <v>169</v>
      </c>
      <c r="AD11" s="34">
        <f t="shared" si="0"/>
        <v>40</v>
      </c>
      <c r="AE11" s="34">
        <f t="shared" si="0"/>
        <v>6</v>
      </c>
      <c r="AF11" s="34">
        <f t="shared" si="0"/>
        <v>11</v>
      </c>
      <c r="AG11" s="34">
        <f t="shared" si="0"/>
        <v>1</v>
      </c>
      <c r="AH11" s="34">
        <f t="shared" si="0"/>
        <v>1</v>
      </c>
      <c r="AI11" s="34">
        <f t="shared" si="0"/>
        <v>4</v>
      </c>
      <c r="AJ11" s="34">
        <f t="shared" si="0"/>
        <v>147</v>
      </c>
      <c r="AK11" s="34">
        <f t="shared" si="0"/>
        <v>9</v>
      </c>
      <c r="AL11" s="34">
        <f t="shared" si="0"/>
        <v>0</v>
      </c>
      <c r="AM11" s="34">
        <f t="shared" si="0"/>
        <v>0</v>
      </c>
      <c r="AN11" s="34">
        <f t="shared" si="0"/>
        <v>0</v>
      </c>
      <c r="AO11" s="34">
        <f t="shared" si="0"/>
        <v>0</v>
      </c>
      <c r="AP11" s="34">
        <f t="shared" si="0"/>
        <v>0</v>
      </c>
      <c r="AQ11" s="34">
        <f t="shared" si="0"/>
        <v>0</v>
      </c>
      <c r="AR11" s="34">
        <f t="shared" si="0"/>
        <v>0</v>
      </c>
      <c r="AS11" s="34">
        <f t="shared" si="0"/>
        <v>0</v>
      </c>
      <c r="AT11" s="34">
        <f t="shared" si="0"/>
        <v>0</v>
      </c>
      <c r="AU11" s="34">
        <f t="shared" si="0"/>
        <v>8</v>
      </c>
      <c r="AV11" s="34">
        <f t="shared" si="0"/>
        <v>22</v>
      </c>
      <c r="AW11" s="34">
        <f t="shared" si="0"/>
        <v>0</v>
      </c>
      <c r="AX11" s="34">
        <f t="shared" si="0"/>
        <v>0</v>
      </c>
      <c r="AY11" s="34">
        <f t="shared" si="0"/>
        <v>0</v>
      </c>
      <c r="AZ11" s="35">
        <f t="shared" si="0"/>
        <v>0</v>
      </c>
      <c r="BC11">
        <v>9</v>
      </c>
      <c r="BD11">
        <v>238</v>
      </c>
      <c r="BE11">
        <v>164</v>
      </c>
      <c r="BF11">
        <v>39</v>
      </c>
      <c r="BG11">
        <v>6</v>
      </c>
      <c r="BH11">
        <v>11</v>
      </c>
      <c r="BI11">
        <v>1</v>
      </c>
      <c r="BJ11">
        <v>1</v>
      </c>
      <c r="BK11">
        <v>4</v>
      </c>
      <c r="BL11">
        <v>135</v>
      </c>
      <c r="BM11">
        <v>9</v>
      </c>
      <c r="BN11">
        <v>0</v>
      </c>
      <c r="BO11">
        <v>0</v>
      </c>
      <c r="BP11">
        <v>0</v>
      </c>
      <c r="BQ11">
        <v>0</v>
      </c>
      <c r="BR11">
        <v>0</v>
      </c>
      <c r="BS11">
        <v>0</v>
      </c>
      <c r="BT11">
        <v>0</v>
      </c>
      <c r="BU11">
        <v>0</v>
      </c>
      <c r="BV11">
        <v>0</v>
      </c>
      <c r="BW11">
        <v>8</v>
      </c>
      <c r="BX11">
        <v>20</v>
      </c>
      <c r="BY11">
        <v>0</v>
      </c>
      <c r="BZ11">
        <v>0</v>
      </c>
      <c r="CA11">
        <v>0</v>
      </c>
      <c r="CB11">
        <v>0</v>
      </c>
    </row>
    <row r="12" spans="1:80" x14ac:dyDescent="0.25">
      <c r="A12">
        <v>10</v>
      </c>
      <c r="B12">
        <f>IF(ISNA(VLOOKUP($A12,SXS_Transit_input!$A$5:$W$26,MATCH(SXS_Transit_temp!B$2,SXS_Transit_input!$B$4:$W$4,0)+1,FALSE)),0,VLOOKUP($A12,SXS_Transit_input!$A$5:$W$26,MATCH(SXS_Transit_temp!B$2,SXS_Transit_input!$B$4:$W$4,0)+1,FALSE))+IF(ISNA(VLOOKUP($A12,SXS_Transit_input!$A$53:$R$69,MATCH(SXS_Transit_temp!B$2,SXS_Transit_input!$B$52:$R$52,0)+1,FALSE)),0,VLOOKUP($A12,SXS_Transit_input!$A$53:$R$69,MATCH(SXS_Transit_temp!B$2,SXS_Transit_input!$B$52:$R$52,0)+1,FALSE))</f>
        <v>10695.758530000001</v>
      </c>
      <c r="C12">
        <f>IF(ISNA(VLOOKUP($A12,SXS_Transit_input!$A$5:$W$26,MATCH(SXS_Transit_temp!C$2,SXS_Transit_input!$B$4:$W$4,0)+1,FALSE)),0,VLOOKUP($A12,SXS_Transit_input!$A$5:$W$26,MATCH(SXS_Transit_temp!C$2,SXS_Transit_input!$B$4:$W$4,0)+1,FALSE))+IF(ISNA(VLOOKUP($A12,SXS_Transit_input!$A$53:$R$69,MATCH(SXS_Transit_temp!C$2,SXS_Transit_input!$B$52:$R$52,0)+1,FALSE)),0,VLOOKUP($A12,SXS_Transit_input!$A$53:$R$69,MATCH(SXS_Transit_temp!C$2,SXS_Transit_input!$B$52:$R$52,0)+1,FALSE))</f>
        <v>162.64968999999999</v>
      </c>
      <c r="D12">
        <f>IF(ISNA(VLOOKUP($A12,SXS_Transit_input!$A$5:$W$26,MATCH(SXS_Transit_temp!D$2,SXS_Transit_input!$B$4:$W$4,0)+1,FALSE)),0,VLOOKUP($A12,SXS_Transit_input!$A$5:$W$26,MATCH(SXS_Transit_temp!D$2,SXS_Transit_input!$B$4:$W$4,0)+1,FALSE))+IF(ISNA(VLOOKUP($A12,SXS_Transit_input!$A$53:$R$69,MATCH(SXS_Transit_temp!D$2,SXS_Transit_input!$B$52:$R$52,0)+1,FALSE)),0,VLOOKUP($A12,SXS_Transit_input!$A$53:$R$69,MATCH(SXS_Transit_temp!D$2,SXS_Transit_input!$B$52:$R$52,0)+1,FALSE))</f>
        <v>0</v>
      </c>
      <c r="E12">
        <f>IF(ISNA(VLOOKUP($A12,SXS_Transit_input!$A$5:$W$26,MATCH(SXS_Transit_temp!E$2,SXS_Transit_input!$B$4:$W$4,0)+1,FALSE)),0,VLOOKUP($A12,SXS_Transit_input!$A$5:$W$26,MATCH(SXS_Transit_temp!E$2,SXS_Transit_input!$B$4:$W$4,0)+1,FALSE))+IF(ISNA(VLOOKUP($A12,SXS_Transit_input!$A$53:$R$69,MATCH(SXS_Transit_temp!E$2,SXS_Transit_input!$B$52:$R$52,0)+1,FALSE)),0,VLOOKUP($A12,SXS_Transit_input!$A$53:$R$69,MATCH(SXS_Transit_temp!E$2,SXS_Transit_input!$B$52:$R$52,0)+1,FALSE))</f>
        <v>1316.5356099999999</v>
      </c>
      <c r="F12">
        <f>IF(ISNA(VLOOKUP($A12,SXS_Transit_input!$A$5:$W$26,MATCH(SXS_Transit_temp!F$2,SXS_Transit_input!$B$4:$W$4,0)+1,FALSE)),0,VLOOKUP($A12,SXS_Transit_input!$A$5:$W$26,MATCH(SXS_Transit_temp!F$2,SXS_Transit_input!$B$4:$W$4,0)+1,FALSE))+IF(ISNA(VLOOKUP($A12,SXS_Transit_input!$A$53:$R$69,MATCH(SXS_Transit_temp!F$2,SXS_Transit_input!$B$52:$R$52,0)+1,FALSE)),0,VLOOKUP($A12,SXS_Transit_input!$A$53:$R$69,MATCH(SXS_Transit_temp!F$2,SXS_Transit_input!$B$52:$R$52,0)+1,FALSE))</f>
        <v>0</v>
      </c>
      <c r="G12">
        <f>IF(ISNA(VLOOKUP($A12,SXS_Transit_input!$A$5:$W$26,MATCH(SXS_Transit_temp!G$2,SXS_Transit_input!$B$4:$W$4,0)+1,FALSE)),0,VLOOKUP($A12,SXS_Transit_input!$A$5:$W$26,MATCH(SXS_Transit_temp!G$2,SXS_Transit_input!$B$4:$W$4,0)+1,FALSE))+IF(ISNA(VLOOKUP($A12,SXS_Transit_input!$A$53:$R$69,MATCH(SXS_Transit_temp!G$2,SXS_Transit_input!$B$52:$R$52,0)+1,FALSE)),0,VLOOKUP($A12,SXS_Transit_input!$A$53:$R$69,MATCH(SXS_Transit_temp!G$2,SXS_Transit_input!$B$52:$R$52,0)+1,FALSE))</f>
        <v>0</v>
      </c>
      <c r="H12">
        <f>IF(ISNA(VLOOKUP($A12,SXS_Transit_input!$A$5:$W$26,MATCH(SXS_Transit_temp!H$2,SXS_Transit_input!$B$4:$W$4,0)+1,FALSE)),0,VLOOKUP($A12,SXS_Transit_input!$A$5:$W$26,MATCH(SXS_Transit_temp!H$2,SXS_Transit_input!$B$4:$W$4,0)+1,FALSE))+IF(ISNA(VLOOKUP($A12,SXS_Transit_input!$A$53:$R$69,MATCH(SXS_Transit_temp!H$2,SXS_Transit_input!$B$52:$R$52,0)+1,FALSE)),0,VLOOKUP($A12,SXS_Transit_input!$A$53:$R$69,MATCH(SXS_Transit_temp!H$2,SXS_Transit_input!$B$52:$R$52,0)+1,FALSE))</f>
        <v>354.21181999999999</v>
      </c>
      <c r="I12">
        <f>IF(ISNA(VLOOKUP($A12,SXS_Transit_input!$A$5:$W$26,MATCH(SXS_Transit_temp!I$2,SXS_Transit_input!$B$4:$W$4,0)+1,FALSE)),0,VLOOKUP($A12,SXS_Transit_input!$A$5:$W$26,MATCH(SXS_Transit_temp!I$2,SXS_Transit_input!$B$4:$W$4,0)+1,FALSE))+IF(ISNA(VLOOKUP($A12,SXS_Transit_input!$A$53:$R$69,MATCH(SXS_Transit_temp!I$2,SXS_Transit_input!$B$52:$R$52,0)+1,FALSE)),0,VLOOKUP($A12,SXS_Transit_input!$A$53:$R$69,MATCH(SXS_Transit_temp!I$2,SXS_Transit_input!$B$52:$R$52,0)+1,FALSE))</f>
        <v>516.26886000000002</v>
      </c>
      <c r="J12">
        <f>IF(ISNA(VLOOKUP($A12,SXS_Transit_input!$A$5:$W$26,MATCH(SXS_Transit_temp!J$2,SXS_Transit_input!$B$4:$W$4,0)+1,FALSE)),0,VLOOKUP($A12,SXS_Transit_input!$A$5:$W$26,MATCH(SXS_Transit_temp!J$2,SXS_Transit_input!$B$4:$W$4,0)+1,FALSE))+IF(ISNA(VLOOKUP($A12,SXS_Transit_input!$A$53:$R$69,MATCH(SXS_Transit_temp!J$2,SXS_Transit_input!$B$52:$R$52,0)+1,FALSE)),0,VLOOKUP($A12,SXS_Transit_input!$A$53:$R$69,MATCH(SXS_Transit_temp!J$2,SXS_Transit_input!$B$52:$R$52,0)+1,FALSE))</f>
        <v>0</v>
      </c>
      <c r="K12">
        <f>IF(ISNA(VLOOKUP($A12,SXS_Transit_input!$A$5:$W$26,MATCH(SXS_Transit_temp!K$2,SXS_Transit_input!$B$4:$W$4,0)+1,FALSE)),0,VLOOKUP($A12,SXS_Transit_input!$A$5:$W$26,MATCH(SXS_Transit_temp!K$2,SXS_Transit_input!$B$4:$W$4,0)+1,FALSE))+IF(ISNA(VLOOKUP($A12,SXS_Transit_input!$A$53:$R$69,MATCH(SXS_Transit_temp!K$2,SXS_Transit_input!$B$52:$R$52,0)+1,FALSE)),0,VLOOKUP($A12,SXS_Transit_input!$A$53:$R$69,MATCH(SXS_Transit_temp!K$2,SXS_Transit_input!$B$52:$R$52,0)+1,FALSE))</f>
        <v>1796.64453</v>
      </c>
      <c r="L12">
        <f>IF(ISNA(VLOOKUP($A12,SXS_Transit_input!$A$5:$W$26,MATCH(SXS_Transit_temp!L$2,SXS_Transit_input!$B$4:$W$4,0)+1,FALSE)),0,VLOOKUP($A12,SXS_Transit_input!$A$5:$W$26,MATCH(SXS_Transit_temp!L$2,SXS_Transit_input!$B$4:$W$4,0)+1,FALSE))+IF(ISNA(VLOOKUP($A12,SXS_Transit_input!$A$53:$R$69,MATCH(SXS_Transit_temp!L$2,SXS_Transit_input!$B$52:$R$52,0)+1,FALSE)),0,VLOOKUP($A12,SXS_Transit_input!$A$53:$R$69,MATCH(SXS_Transit_temp!L$2,SXS_Transit_input!$B$52:$R$52,0)+1,FALSE))</f>
        <v>153.07075</v>
      </c>
      <c r="M12">
        <f>IF(ISNA(VLOOKUP($A12,SXS_Transit_input!$A$5:$W$26,MATCH(SXS_Transit_temp!M$2,SXS_Transit_input!$B$4:$W$4,0)+1,FALSE)),0,VLOOKUP($A12,SXS_Transit_input!$A$5:$W$26,MATCH(SXS_Transit_temp!M$2,SXS_Transit_input!$B$4:$W$4,0)+1,FALSE))+IF(ISNA(VLOOKUP($A12,SXS_Transit_input!$A$53:$R$69,MATCH(SXS_Transit_temp!M$2,SXS_Transit_input!$B$52:$R$52,0)+1,FALSE)),0,VLOOKUP($A12,SXS_Transit_input!$A$53:$R$69,MATCH(SXS_Transit_temp!M$2,SXS_Transit_input!$B$52:$R$52,0)+1,FALSE))</f>
        <v>0</v>
      </c>
      <c r="N12">
        <f>IF(ISNA(VLOOKUP($A12,SXS_Transit_input!$A$5:$W$26,MATCH(SXS_Transit_temp!N$2,SXS_Transit_input!$B$4:$W$4,0)+1,FALSE)),0,VLOOKUP($A12,SXS_Transit_input!$A$5:$W$26,MATCH(SXS_Transit_temp!N$2,SXS_Transit_input!$B$4:$W$4,0)+1,FALSE))+IF(ISNA(VLOOKUP($A12,SXS_Transit_input!$A$53:$R$69,MATCH(SXS_Transit_temp!N$2,SXS_Transit_input!$B$52:$R$52,0)+1,FALSE)),0,VLOOKUP($A12,SXS_Transit_input!$A$53:$R$69,MATCH(SXS_Transit_temp!N$2,SXS_Transit_input!$B$52:$R$52,0)+1,FALSE))</f>
        <v>0</v>
      </c>
      <c r="O12">
        <f>IF(ISNA(VLOOKUP($A12,SXS_Transit_input!$A$5:$W$26,MATCH(SXS_Transit_temp!O$2,SXS_Transit_input!$B$4:$W$4,0)+1,FALSE)),0,VLOOKUP($A12,SXS_Transit_input!$A$5:$W$26,MATCH(SXS_Transit_temp!O$2,SXS_Transit_input!$B$4:$W$4,0)+1,FALSE))+IF(ISNA(VLOOKUP($A12,SXS_Transit_input!$A$53:$R$69,MATCH(SXS_Transit_temp!O$2,SXS_Transit_input!$B$52:$R$52,0)+1,FALSE)),0,VLOOKUP($A12,SXS_Transit_input!$A$53:$R$69,MATCH(SXS_Transit_temp!O$2,SXS_Transit_input!$B$52:$R$52,0)+1,FALSE))</f>
        <v>0</v>
      </c>
      <c r="P12">
        <f>IF(ISNA(VLOOKUP($A12,SXS_Transit_input!$A$5:$W$26,MATCH(SXS_Transit_temp!P$2,SXS_Transit_input!$B$4:$W$4,0)+1,FALSE)),0,VLOOKUP($A12,SXS_Transit_input!$A$5:$W$26,MATCH(SXS_Transit_temp!P$2,SXS_Transit_input!$B$4:$W$4,0)+1,FALSE))+IF(ISNA(VLOOKUP($A12,SXS_Transit_input!$A$53:$R$69,MATCH(SXS_Transit_temp!P$2,SXS_Transit_input!$B$52:$R$52,0)+1,FALSE)),0,VLOOKUP($A12,SXS_Transit_input!$A$53:$R$69,MATCH(SXS_Transit_temp!P$2,SXS_Transit_input!$B$52:$R$52,0)+1,FALSE))</f>
        <v>0</v>
      </c>
      <c r="Q12">
        <f>IF(ISNA(VLOOKUP($A12,SXS_Transit_input!$A$5:$W$26,MATCH(SXS_Transit_temp!Q$2,SXS_Transit_input!$B$4:$W$4,0)+1,FALSE)),0,VLOOKUP($A12,SXS_Transit_input!$A$5:$W$26,MATCH(SXS_Transit_temp!Q$2,SXS_Transit_input!$B$4:$W$4,0)+1,FALSE))+IF(ISNA(VLOOKUP($A12,SXS_Transit_input!$A$53:$R$69,MATCH(SXS_Transit_temp!Q$2,SXS_Transit_input!$B$52:$R$52,0)+1,FALSE)),0,VLOOKUP($A12,SXS_Transit_input!$A$53:$R$69,MATCH(SXS_Transit_temp!Q$2,SXS_Transit_input!$B$52:$R$52,0)+1,FALSE))</f>
        <v>0</v>
      </c>
      <c r="R12">
        <f>IF(ISNA(VLOOKUP($A12,SXS_Transit_input!$A$5:$W$26,MATCH(SXS_Transit_temp!R$2,SXS_Transit_input!$B$4:$W$4,0)+1,FALSE)),0,VLOOKUP($A12,SXS_Transit_input!$A$5:$W$26,MATCH(SXS_Transit_temp!R$2,SXS_Transit_input!$B$4:$W$4,0)+1,FALSE))+IF(ISNA(VLOOKUP($A12,SXS_Transit_input!$A$53:$R$69,MATCH(SXS_Transit_temp!R$2,SXS_Transit_input!$B$52:$R$52,0)+1,FALSE)),0,VLOOKUP($A12,SXS_Transit_input!$A$53:$R$69,MATCH(SXS_Transit_temp!R$2,SXS_Transit_input!$B$52:$R$52,0)+1,FALSE))</f>
        <v>0</v>
      </c>
      <c r="S12">
        <f>IF(ISNA(VLOOKUP($A12,SXS_Transit_input!$A$5:$W$26,MATCH(SXS_Transit_temp!S$2,SXS_Transit_input!$B$4:$W$4,0)+1,FALSE)),0,VLOOKUP($A12,SXS_Transit_input!$A$5:$W$26,MATCH(SXS_Transit_temp!S$2,SXS_Transit_input!$B$4:$W$4,0)+1,FALSE))+IF(ISNA(VLOOKUP($A12,SXS_Transit_input!$A$53:$R$69,MATCH(SXS_Transit_temp!S$2,SXS_Transit_input!$B$52:$R$52,0)+1,FALSE)),0,VLOOKUP($A12,SXS_Transit_input!$A$53:$R$69,MATCH(SXS_Transit_temp!S$2,SXS_Transit_input!$B$52:$R$52,0)+1,FALSE))</f>
        <v>0</v>
      </c>
      <c r="T12">
        <f>IF(ISNA(VLOOKUP($A12,SXS_Transit_input!$A$5:$W$26,MATCH(SXS_Transit_temp!T$2,SXS_Transit_input!$B$4:$W$4,0)+1,FALSE)),0,VLOOKUP($A12,SXS_Transit_input!$A$5:$W$26,MATCH(SXS_Transit_temp!T$2,SXS_Transit_input!$B$4:$W$4,0)+1,FALSE))+IF(ISNA(VLOOKUP($A12,SXS_Transit_input!$A$53:$R$69,MATCH(SXS_Transit_temp!T$2,SXS_Transit_input!$B$52:$R$52,0)+1,FALSE)),0,VLOOKUP($A12,SXS_Transit_input!$A$53:$R$69,MATCH(SXS_Transit_temp!T$2,SXS_Transit_input!$B$52:$R$52,0)+1,FALSE))</f>
        <v>0</v>
      </c>
      <c r="U12">
        <f>IF(ISNA(VLOOKUP($A12,SXS_Transit_input!$A$5:$W$26,MATCH(SXS_Transit_temp!U$2,SXS_Transit_input!$B$4:$W$4,0)+1,FALSE)),0,VLOOKUP($A12,SXS_Transit_input!$A$5:$W$26,MATCH(SXS_Transit_temp!U$2,SXS_Transit_input!$B$4:$W$4,0)+1,FALSE))+IF(ISNA(VLOOKUP($A12,SXS_Transit_input!$A$53:$R$69,MATCH(SXS_Transit_temp!U$2,SXS_Transit_input!$B$52:$R$52,0)+1,FALSE)),0,VLOOKUP($A12,SXS_Transit_input!$A$53:$R$69,MATCH(SXS_Transit_temp!U$2,SXS_Transit_input!$B$52:$R$52,0)+1,FALSE))</f>
        <v>439.11124000000001</v>
      </c>
      <c r="V12">
        <f>IF(ISNA(VLOOKUP($A12,SXS_Transit_input!$A$5:$W$26,MATCH(SXS_Transit_temp!V$2,SXS_Transit_input!$B$4:$W$4,0)+1,FALSE)),0,VLOOKUP($A12,SXS_Transit_input!$A$5:$W$26,MATCH(SXS_Transit_temp!V$2,SXS_Transit_input!$B$4:$W$4,0)+1,FALSE))+IF(ISNA(VLOOKUP($A12,SXS_Transit_input!$A$53:$R$69,MATCH(SXS_Transit_temp!V$2,SXS_Transit_input!$B$52:$R$52,0)+1,FALSE)),0,VLOOKUP($A12,SXS_Transit_input!$A$53:$R$69,MATCH(SXS_Transit_temp!V$2,SXS_Transit_input!$B$52:$R$52,0)+1,FALSE))</f>
        <v>0</v>
      </c>
      <c r="W12">
        <f>IF(ISNA(VLOOKUP($A12,SXS_Transit_input!$A$5:$W$26,MATCH(SXS_Transit_temp!W$2,SXS_Transit_input!$B$4:$W$4,0)+1,FALSE)),0,VLOOKUP($A12,SXS_Transit_input!$A$5:$W$26,MATCH(SXS_Transit_temp!W$2,SXS_Transit_input!$B$4:$W$4,0)+1,FALSE))+IF(ISNA(VLOOKUP($A12,SXS_Transit_input!$A$53:$R$69,MATCH(SXS_Transit_temp!W$2,SXS_Transit_input!$B$52:$R$52,0)+1,FALSE)),0,VLOOKUP($A12,SXS_Transit_input!$A$53:$R$69,MATCH(SXS_Transit_temp!W$2,SXS_Transit_input!$B$52:$R$52,0)+1,FALSE))</f>
        <v>0</v>
      </c>
      <c r="X12">
        <f>IF(ISNA(VLOOKUP($A12,SXS_Transit_input!$A$5:$W$26,MATCH(SXS_Transit_temp!X$2,SXS_Transit_input!$B$4:$W$4,0)+1,FALSE)),0,VLOOKUP($A12,SXS_Transit_input!$A$5:$W$26,MATCH(SXS_Transit_temp!X$2,SXS_Transit_input!$B$4:$W$4,0)+1,FALSE))+IF(ISNA(VLOOKUP($A12,SXS_Transit_input!$A$53:$R$69,MATCH(SXS_Transit_temp!X$2,SXS_Transit_input!$B$52:$R$52,0)+1,FALSE)),0,VLOOKUP($A12,SXS_Transit_input!$A$53:$R$69,MATCH(SXS_Transit_temp!X$2,SXS_Transit_input!$B$52:$R$52,0)+1,FALSE))</f>
        <v>0</v>
      </c>
      <c r="Y12">
        <f>IF(ISNA(VLOOKUP($A12,SXS_Transit_input!$A$5:$W$26,MATCH(SXS_Transit_temp!Y$2,SXS_Transit_input!$B$4:$W$4,0)+1,FALSE)),0,VLOOKUP($A12,SXS_Transit_input!$A$5:$W$26,MATCH(SXS_Transit_temp!Y$2,SXS_Transit_input!$B$4:$W$4,0)+1,FALSE))+IF(ISNA(VLOOKUP($A12,SXS_Transit_input!$A$53:$R$69,MATCH(SXS_Transit_temp!Y$2,SXS_Transit_input!$B$52:$R$52,0)+1,FALSE)),0,VLOOKUP($A12,SXS_Transit_input!$A$53:$R$69,MATCH(SXS_Transit_temp!Y$2,SXS_Transit_input!$B$52:$R$52,0)+1,FALSE))</f>
        <v>0</v>
      </c>
      <c r="Z12">
        <f>IF(ISNA(VLOOKUP($A12,SXS_Transit_input!$A$5:$W$26,MATCH(SXS_Transit_temp!Z$2,SXS_Transit_input!$B$4:$W$4,0)+1,FALSE)),0,VLOOKUP($A12,SXS_Transit_input!$A$5:$W$26,MATCH(SXS_Transit_temp!Z$2,SXS_Transit_input!$B$4:$W$4,0)+1,FALSE))+IF(ISNA(VLOOKUP($A12,SXS_Transit_input!$A$53:$R$69,MATCH(SXS_Transit_temp!Z$2,SXS_Transit_input!$B$52:$R$52,0)+1,FALSE)),0,VLOOKUP($A12,SXS_Transit_input!$A$53:$R$69,MATCH(SXS_Transit_temp!Z$2,SXS_Transit_input!$B$52:$R$52,0)+1,FALSE))</f>
        <v>0</v>
      </c>
      <c r="AA12">
        <v>10</v>
      </c>
      <c r="AB12" s="33">
        <f t="shared" si="1"/>
        <v>160</v>
      </c>
      <c r="AC12" s="34">
        <f t="shared" si="0"/>
        <v>23</v>
      </c>
      <c r="AD12" s="34">
        <f t="shared" si="0"/>
        <v>110</v>
      </c>
      <c r="AE12" s="34">
        <f t="shared" si="0"/>
        <v>7</v>
      </c>
      <c r="AF12" s="34">
        <f t="shared" si="0"/>
        <v>3</v>
      </c>
      <c r="AG12" s="34">
        <f t="shared" si="0"/>
        <v>3</v>
      </c>
      <c r="AH12" s="34">
        <f t="shared" si="0"/>
        <v>0</v>
      </c>
      <c r="AI12" s="34">
        <f t="shared" si="0"/>
        <v>2</v>
      </c>
      <c r="AJ12" s="34">
        <f t="shared" si="0"/>
        <v>7</v>
      </c>
      <c r="AK12" s="34">
        <f t="shared" si="0"/>
        <v>193</v>
      </c>
      <c r="AL12" s="34">
        <f t="shared" si="0"/>
        <v>50</v>
      </c>
      <c r="AM12" s="34">
        <f t="shared" si="0"/>
        <v>1</v>
      </c>
      <c r="AN12" s="34">
        <f t="shared" si="0"/>
        <v>0</v>
      </c>
      <c r="AO12" s="34">
        <f t="shared" si="0"/>
        <v>0</v>
      </c>
      <c r="AP12" s="34">
        <f t="shared" si="0"/>
        <v>0</v>
      </c>
      <c r="AQ12" s="34">
        <f t="shared" si="0"/>
        <v>0</v>
      </c>
      <c r="AR12" s="34">
        <f t="shared" si="0"/>
        <v>0</v>
      </c>
      <c r="AS12" s="34">
        <f t="shared" si="0"/>
        <v>0</v>
      </c>
      <c r="AT12" s="34">
        <f t="shared" si="0"/>
        <v>0</v>
      </c>
      <c r="AU12" s="34">
        <f t="shared" si="0"/>
        <v>13</v>
      </c>
      <c r="AV12" s="34">
        <f t="shared" si="0"/>
        <v>1</v>
      </c>
      <c r="AW12" s="34">
        <f t="shared" si="0"/>
        <v>0</v>
      </c>
      <c r="AX12" s="34">
        <f t="shared" si="0"/>
        <v>0</v>
      </c>
      <c r="AY12" s="34">
        <f t="shared" si="0"/>
        <v>0</v>
      </c>
      <c r="AZ12" s="35">
        <f t="shared" si="0"/>
        <v>0</v>
      </c>
      <c r="BC12">
        <v>10</v>
      </c>
      <c r="BD12">
        <v>158</v>
      </c>
      <c r="BE12">
        <v>23</v>
      </c>
      <c r="BF12">
        <v>100</v>
      </c>
      <c r="BG12">
        <v>7</v>
      </c>
      <c r="BH12">
        <v>3</v>
      </c>
      <c r="BI12">
        <v>3</v>
      </c>
      <c r="BJ12">
        <v>0</v>
      </c>
      <c r="BK12">
        <v>2</v>
      </c>
      <c r="BL12">
        <v>7</v>
      </c>
      <c r="BM12">
        <v>179</v>
      </c>
      <c r="BN12">
        <v>44</v>
      </c>
      <c r="BO12">
        <v>1</v>
      </c>
      <c r="BP12">
        <v>0</v>
      </c>
      <c r="BQ12">
        <v>0</v>
      </c>
      <c r="BR12">
        <v>0</v>
      </c>
      <c r="BS12">
        <v>0</v>
      </c>
      <c r="BT12">
        <v>0</v>
      </c>
      <c r="BU12">
        <v>0</v>
      </c>
      <c r="BV12">
        <v>0</v>
      </c>
      <c r="BW12">
        <v>11</v>
      </c>
      <c r="BX12">
        <v>1</v>
      </c>
      <c r="BY12">
        <v>0</v>
      </c>
      <c r="BZ12">
        <v>0</v>
      </c>
      <c r="CA12">
        <v>0</v>
      </c>
      <c r="CB12">
        <v>0</v>
      </c>
    </row>
    <row r="13" spans="1:80" x14ac:dyDescent="0.25">
      <c r="A13">
        <v>11</v>
      </c>
      <c r="B13">
        <f>IF(ISNA(VLOOKUP($A13,SXS_Transit_input!$A$5:$W$26,MATCH(SXS_Transit_temp!B$2,SXS_Transit_input!$B$4:$W$4,0)+1,FALSE)),0,VLOOKUP($A13,SXS_Transit_input!$A$5:$W$26,MATCH(SXS_Transit_temp!B$2,SXS_Transit_input!$B$4:$W$4,0)+1,FALSE))+IF(ISNA(VLOOKUP($A13,SXS_Transit_input!$A$53:$R$69,MATCH(SXS_Transit_temp!B$2,SXS_Transit_input!$B$52:$R$52,0)+1,FALSE)),0,VLOOKUP($A13,SXS_Transit_input!$A$53:$R$69,MATCH(SXS_Transit_temp!B$2,SXS_Transit_input!$B$52:$R$52,0)+1,FALSE))</f>
        <v>11814.25396</v>
      </c>
      <c r="C13">
        <f>IF(ISNA(VLOOKUP($A13,SXS_Transit_input!$A$5:$W$26,MATCH(SXS_Transit_temp!C$2,SXS_Transit_input!$B$4:$W$4,0)+1,FALSE)),0,VLOOKUP($A13,SXS_Transit_input!$A$5:$W$26,MATCH(SXS_Transit_temp!C$2,SXS_Transit_input!$B$4:$W$4,0)+1,FALSE))+IF(ISNA(VLOOKUP($A13,SXS_Transit_input!$A$53:$R$69,MATCH(SXS_Transit_temp!C$2,SXS_Transit_input!$B$52:$R$52,0)+1,FALSE)),0,VLOOKUP($A13,SXS_Transit_input!$A$53:$R$69,MATCH(SXS_Transit_temp!C$2,SXS_Transit_input!$B$52:$R$52,0)+1,FALSE))</f>
        <v>0</v>
      </c>
      <c r="D13">
        <f>IF(ISNA(VLOOKUP($A13,SXS_Transit_input!$A$5:$W$26,MATCH(SXS_Transit_temp!D$2,SXS_Transit_input!$B$4:$W$4,0)+1,FALSE)),0,VLOOKUP($A13,SXS_Transit_input!$A$5:$W$26,MATCH(SXS_Transit_temp!D$2,SXS_Transit_input!$B$4:$W$4,0)+1,FALSE))+IF(ISNA(VLOOKUP($A13,SXS_Transit_input!$A$53:$R$69,MATCH(SXS_Transit_temp!D$2,SXS_Transit_input!$B$52:$R$52,0)+1,FALSE)),0,VLOOKUP($A13,SXS_Transit_input!$A$53:$R$69,MATCH(SXS_Transit_temp!D$2,SXS_Transit_input!$B$52:$R$52,0)+1,FALSE))</f>
        <v>1607.89797</v>
      </c>
      <c r="E13">
        <f>IF(ISNA(VLOOKUP($A13,SXS_Transit_input!$A$5:$W$26,MATCH(SXS_Transit_temp!E$2,SXS_Transit_input!$B$4:$W$4,0)+1,FALSE)),0,VLOOKUP($A13,SXS_Transit_input!$A$5:$W$26,MATCH(SXS_Transit_temp!E$2,SXS_Transit_input!$B$4:$W$4,0)+1,FALSE))+IF(ISNA(VLOOKUP($A13,SXS_Transit_input!$A$53:$R$69,MATCH(SXS_Transit_temp!E$2,SXS_Transit_input!$B$52:$R$52,0)+1,FALSE)),0,VLOOKUP($A13,SXS_Transit_input!$A$53:$R$69,MATCH(SXS_Transit_temp!E$2,SXS_Transit_input!$B$52:$R$52,0)+1,FALSE))</f>
        <v>0</v>
      </c>
      <c r="F13">
        <f>IF(ISNA(VLOOKUP($A13,SXS_Transit_input!$A$5:$W$26,MATCH(SXS_Transit_temp!F$2,SXS_Transit_input!$B$4:$W$4,0)+1,FALSE)),0,VLOOKUP($A13,SXS_Transit_input!$A$5:$W$26,MATCH(SXS_Transit_temp!F$2,SXS_Transit_input!$B$4:$W$4,0)+1,FALSE))+IF(ISNA(VLOOKUP($A13,SXS_Transit_input!$A$53:$R$69,MATCH(SXS_Transit_temp!F$2,SXS_Transit_input!$B$52:$R$52,0)+1,FALSE)),0,VLOOKUP($A13,SXS_Transit_input!$A$53:$R$69,MATCH(SXS_Transit_temp!F$2,SXS_Transit_input!$B$52:$R$52,0)+1,FALSE))</f>
        <v>714.81709999999998</v>
      </c>
      <c r="G13">
        <f>IF(ISNA(VLOOKUP($A13,SXS_Transit_input!$A$5:$W$26,MATCH(SXS_Transit_temp!G$2,SXS_Transit_input!$B$4:$W$4,0)+1,FALSE)),0,VLOOKUP($A13,SXS_Transit_input!$A$5:$W$26,MATCH(SXS_Transit_temp!G$2,SXS_Transit_input!$B$4:$W$4,0)+1,FALSE))+IF(ISNA(VLOOKUP($A13,SXS_Transit_input!$A$53:$R$69,MATCH(SXS_Transit_temp!G$2,SXS_Transit_input!$B$52:$R$52,0)+1,FALSE)),0,VLOOKUP($A13,SXS_Transit_input!$A$53:$R$69,MATCH(SXS_Transit_temp!G$2,SXS_Transit_input!$B$52:$R$52,0)+1,FALSE))</f>
        <v>0</v>
      </c>
      <c r="H13">
        <f>IF(ISNA(VLOOKUP($A13,SXS_Transit_input!$A$5:$W$26,MATCH(SXS_Transit_temp!H$2,SXS_Transit_input!$B$4:$W$4,0)+1,FALSE)),0,VLOOKUP($A13,SXS_Transit_input!$A$5:$W$26,MATCH(SXS_Transit_temp!H$2,SXS_Transit_input!$B$4:$W$4,0)+1,FALSE))+IF(ISNA(VLOOKUP($A13,SXS_Transit_input!$A$53:$R$69,MATCH(SXS_Transit_temp!H$2,SXS_Transit_input!$B$52:$R$52,0)+1,FALSE)),0,VLOOKUP($A13,SXS_Transit_input!$A$53:$R$69,MATCH(SXS_Transit_temp!H$2,SXS_Transit_input!$B$52:$R$52,0)+1,FALSE))</f>
        <v>0</v>
      </c>
      <c r="I13">
        <f>IF(ISNA(VLOOKUP($A13,SXS_Transit_input!$A$5:$W$26,MATCH(SXS_Transit_temp!I$2,SXS_Transit_input!$B$4:$W$4,0)+1,FALSE)),0,VLOOKUP($A13,SXS_Transit_input!$A$5:$W$26,MATCH(SXS_Transit_temp!I$2,SXS_Transit_input!$B$4:$W$4,0)+1,FALSE))+IF(ISNA(VLOOKUP($A13,SXS_Transit_input!$A$53:$R$69,MATCH(SXS_Transit_temp!I$2,SXS_Transit_input!$B$52:$R$52,0)+1,FALSE)),0,VLOOKUP($A13,SXS_Transit_input!$A$53:$R$69,MATCH(SXS_Transit_temp!I$2,SXS_Transit_input!$B$52:$R$52,0)+1,FALSE))</f>
        <v>0</v>
      </c>
      <c r="J13">
        <f>IF(ISNA(VLOOKUP($A13,SXS_Transit_input!$A$5:$W$26,MATCH(SXS_Transit_temp!J$2,SXS_Transit_input!$B$4:$W$4,0)+1,FALSE)),0,VLOOKUP($A13,SXS_Transit_input!$A$5:$W$26,MATCH(SXS_Transit_temp!J$2,SXS_Transit_input!$B$4:$W$4,0)+1,FALSE))+IF(ISNA(VLOOKUP($A13,SXS_Transit_input!$A$53:$R$69,MATCH(SXS_Transit_temp!J$2,SXS_Transit_input!$B$52:$R$52,0)+1,FALSE)),0,VLOOKUP($A13,SXS_Transit_input!$A$53:$R$69,MATCH(SXS_Transit_temp!J$2,SXS_Transit_input!$B$52:$R$52,0)+1,FALSE))</f>
        <v>0</v>
      </c>
      <c r="K13">
        <f>IF(ISNA(VLOOKUP($A13,SXS_Transit_input!$A$5:$W$26,MATCH(SXS_Transit_temp!K$2,SXS_Transit_input!$B$4:$W$4,0)+1,FALSE)),0,VLOOKUP($A13,SXS_Transit_input!$A$5:$W$26,MATCH(SXS_Transit_temp!K$2,SXS_Transit_input!$B$4:$W$4,0)+1,FALSE))+IF(ISNA(VLOOKUP($A13,SXS_Transit_input!$A$53:$R$69,MATCH(SXS_Transit_temp!K$2,SXS_Transit_input!$B$52:$R$52,0)+1,FALSE)),0,VLOOKUP($A13,SXS_Transit_input!$A$53:$R$69,MATCH(SXS_Transit_temp!K$2,SXS_Transit_input!$B$52:$R$52,0)+1,FALSE))</f>
        <v>206.23599999999999</v>
      </c>
      <c r="L13">
        <f>IF(ISNA(VLOOKUP($A13,SXS_Transit_input!$A$5:$W$26,MATCH(SXS_Transit_temp!L$2,SXS_Transit_input!$B$4:$W$4,0)+1,FALSE)),0,VLOOKUP($A13,SXS_Transit_input!$A$5:$W$26,MATCH(SXS_Transit_temp!L$2,SXS_Transit_input!$B$4:$W$4,0)+1,FALSE))+IF(ISNA(VLOOKUP($A13,SXS_Transit_input!$A$53:$R$69,MATCH(SXS_Transit_temp!L$2,SXS_Transit_input!$B$52:$R$52,0)+1,FALSE)),0,VLOOKUP($A13,SXS_Transit_input!$A$53:$R$69,MATCH(SXS_Transit_temp!L$2,SXS_Transit_input!$B$52:$R$52,0)+1,FALSE))</f>
        <v>310.28084999999999</v>
      </c>
      <c r="M13">
        <f>IF(ISNA(VLOOKUP($A13,SXS_Transit_input!$A$5:$W$26,MATCH(SXS_Transit_temp!M$2,SXS_Transit_input!$B$4:$W$4,0)+1,FALSE)),0,VLOOKUP($A13,SXS_Transit_input!$A$5:$W$26,MATCH(SXS_Transit_temp!M$2,SXS_Transit_input!$B$4:$W$4,0)+1,FALSE))+IF(ISNA(VLOOKUP($A13,SXS_Transit_input!$A$53:$R$69,MATCH(SXS_Transit_temp!M$2,SXS_Transit_input!$B$52:$R$52,0)+1,FALSE)),0,VLOOKUP($A13,SXS_Transit_input!$A$53:$R$69,MATCH(SXS_Transit_temp!M$2,SXS_Transit_input!$B$52:$R$52,0)+1,FALSE))</f>
        <v>0</v>
      </c>
      <c r="N13">
        <f>IF(ISNA(VLOOKUP($A13,SXS_Transit_input!$A$5:$W$26,MATCH(SXS_Transit_temp!N$2,SXS_Transit_input!$B$4:$W$4,0)+1,FALSE)),0,VLOOKUP($A13,SXS_Transit_input!$A$5:$W$26,MATCH(SXS_Transit_temp!N$2,SXS_Transit_input!$B$4:$W$4,0)+1,FALSE))+IF(ISNA(VLOOKUP($A13,SXS_Transit_input!$A$53:$R$69,MATCH(SXS_Transit_temp!N$2,SXS_Transit_input!$B$52:$R$52,0)+1,FALSE)),0,VLOOKUP($A13,SXS_Transit_input!$A$53:$R$69,MATCH(SXS_Transit_temp!N$2,SXS_Transit_input!$B$52:$R$52,0)+1,FALSE))</f>
        <v>1801.01767</v>
      </c>
      <c r="O13">
        <f>IF(ISNA(VLOOKUP($A13,SXS_Transit_input!$A$5:$W$26,MATCH(SXS_Transit_temp!O$2,SXS_Transit_input!$B$4:$W$4,0)+1,FALSE)),0,VLOOKUP($A13,SXS_Transit_input!$A$5:$W$26,MATCH(SXS_Transit_temp!O$2,SXS_Transit_input!$B$4:$W$4,0)+1,FALSE))+IF(ISNA(VLOOKUP($A13,SXS_Transit_input!$A$53:$R$69,MATCH(SXS_Transit_temp!O$2,SXS_Transit_input!$B$52:$R$52,0)+1,FALSE)),0,VLOOKUP($A13,SXS_Transit_input!$A$53:$R$69,MATCH(SXS_Transit_temp!O$2,SXS_Transit_input!$B$52:$R$52,0)+1,FALSE))</f>
        <v>0</v>
      </c>
      <c r="P13">
        <f>IF(ISNA(VLOOKUP($A13,SXS_Transit_input!$A$5:$W$26,MATCH(SXS_Transit_temp!P$2,SXS_Transit_input!$B$4:$W$4,0)+1,FALSE)),0,VLOOKUP($A13,SXS_Transit_input!$A$5:$W$26,MATCH(SXS_Transit_temp!P$2,SXS_Transit_input!$B$4:$W$4,0)+1,FALSE))+IF(ISNA(VLOOKUP($A13,SXS_Transit_input!$A$53:$R$69,MATCH(SXS_Transit_temp!P$2,SXS_Transit_input!$B$52:$R$52,0)+1,FALSE)),0,VLOOKUP($A13,SXS_Transit_input!$A$53:$R$69,MATCH(SXS_Transit_temp!P$2,SXS_Transit_input!$B$52:$R$52,0)+1,FALSE))</f>
        <v>0</v>
      </c>
      <c r="Q13">
        <f>IF(ISNA(VLOOKUP($A13,SXS_Transit_input!$A$5:$W$26,MATCH(SXS_Transit_temp!Q$2,SXS_Transit_input!$B$4:$W$4,0)+1,FALSE)),0,VLOOKUP($A13,SXS_Transit_input!$A$5:$W$26,MATCH(SXS_Transit_temp!Q$2,SXS_Transit_input!$B$4:$W$4,0)+1,FALSE))+IF(ISNA(VLOOKUP($A13,SXS_Transit_input!$A$53:$R$69,MATCH(SXS_Transit_temp!Q$2,SXS_Transit_input!$B$52:$R$52,0)+1,FALSE)),0,VLOOKUP($A13,SXS_Transit_input!$A$53:$R$69,MATCH(SXS_Transit_temp!Q$2,SXS_Transit_input!$B$52:$R$52,0)+1,FALSE))</f>
        <v>0</v>
      </c>
      <c r="R13">
        <f>IF(ISNA(VLOOKUP($A13,SXS_Transit_input!$A$5:$W$26,MATCH(SXS_Transit_temp!R$2,SXS_Transit_input!$B$4:$W$4,0)+1,FALSE)),0,VLOOKUP($A13,SXS_Transit_input!$A$5:$W$26,MATCH(SXS_Transit_temp!R$2,SXS_Transit_input!$B$4:$W$4,0)+1,FALSE))+IF(ISNA(VLOOKUP($A13,SXS_Transit_input!$A$53:$R$69,MATCH(SXS_Transit_temp!R$2,SXS_Transit_input!$B$52:$R$52,0)+1,FALSE)),0,VLOOKUP($A13,SXS_Transit_input!$A$53:$R$69,MATCH(SXS_Transit_temp!R$2,SXS_Transit_input!$B$52:$R$52,0)+1,FALSE))</f>
        <v>0</v>
      </c>
      <c r="S13">
        <f>IF(ISNA(VLOOKUP($A13,SXS_Transit_input!$A$5:$W$26,MATCH(SXS_Transit_temp!S$2,SXS_Transit_input!$B$4:$W$4,0)+1,FALSE)),0,VLOOKUP($A13,SXS_Transit_input!$A$5:$W$26,MATCH(SXS_Transit_temp!S$2,SXS_Transit_input!$B$4:$W$4,0)+1,FALSE))+IF(ISNA(VLOOKUP($A13,SXS_Transit_input!$A$53:$R$69,MATCH(SXS_Transit_temp!S$2,SXS_Transit_input!$B$52:$R$52,0)+1,FALSE)),0,VLOOKUP($A13,SXS_Transit_input!$A$53:$R$69,MATCH(SXS_Transit_temp!S$2,SXS_Transit_input!$B$52:$R$52,0)+1,FALSE))</f>
        <v>0</v>
      </c>
      <c r="T13">
        <f>IF(ISNA(VLOOKUP($A13,SXS_Transit_input!$A$5:$W$26,MATCH(SXS_Transit_temp!T$2,SXS_Transit_input!$B$4:$W$4,0)+1,FALSE)),0,VLOOKUP($A13,SXS_Transit_input!$A$5:$W$26,MATCH(SXS_Transit_temp!T$2,SXS_Transit_input!$B$4:$W$4,0)+1,FALSE))+IF(ISNA(VLOOKUP($A13,SXS_Transit_input!$A$53:$R$69,MATCH(SXS_Transit_temp!T$2,SXS_Transit_input!$B$52:$R$52,0)+1,FALSE)),0,VLOOKUP($A13,SXS_Transit_input!$A$53:$R$69,MATCH(SXS_Transit_temp!T$2,SXS_Transit_input!$B$52:$R$52,0)+1,FALSE))</f>
        <v>0</v>
      </c>
      <c r="U13">
        <f>IF(ISNA(VLOOKUP($A13,SXS_Transit_input!$A$5:$W$26,MATCH(SXS_Transit_temp!U$2,SXS_Transit_input!$B$4:$W$4,0)+1,FALSE)),0,VLOOKUP($A13,SXS_Transit_input!$A$5:$W$26,MATCH(SXS_Transit_temp!U$2,SXS_Transit_input!$B$4:$W$4,0)+1,FALSE))+IF(ISNA(VLOOKUP($A13,SXS_Transit_input!$A$53:$R$69,MATCH(SXS_Transit_temp!U$2,SXS_Transit_input!$B$52:$R$52,0)+1,FALSE)),0,VLOOKUP($A13,SXS_Transit_input!$A$53:$R$69,MATCH(SXS_Transit_temp!U$2,SXS_Transit_input!$B$52:$R$52,0)+1,FALSE))</f>
        <v>1880.9345800000001</v>
      </c>
      <c r="V13">
        <f>IF(ISNA(VLOOKUP($A13,SXS_Transit_input!$A$5:$W$26,MATCH(SXS_Transit_temp!V$2,SXS_Transit_input!$B$4:$W$4,0)+1,FALSE)),0,VLOOKUP($A13,SXS_Transit_input!$A$5:$W$26,MATCH(SXS_Transit_temp!V$2,SXS_Transit_input!$B$4:$W$4,0)+1,FALSE))+IF(ISNA(VLOOKUP($A13,SXS_Transit_input!$A$53:$R$69,MATCH(SXS_Transit_temp!V$2,SXS_Transit_input!$B$52:$R$52,0)+1,FALSE)),0,VLOOKUP($A13,SXS_Transit_input!$A$53:$R$69,MATCH(SXS_Transit_temp!V$2,SXS_Transit_input!$B$52:$R$52,0)+1,FALSE))</f>
        <v>0</v>
      </c>
      <c r="W13">
        <f>IF(ISNA(VLOOKUP($A13,SXS_Transit_input!$A$5:$W$26,MATCH(SXS_Transit_temp!W$2,SXS_Transit_input!$B$4:$W$4,0)+1,FALSE)),0,VLOOKUP($A13,SXS_Transit_input!$A$5:$W$26,MATCH(SXS_Transit_temp!W$2,SXS_Transit_input!$B$4:$W$4,0)+1,FALSE))+IF(ISNA(VLOOKUP($A13,SXS_Transit_input!$A$53:$R$69,MATCH(SXS_Transit_temp!W$2,SXS_Transit_input!$B$52:$R$52,0)+1,FALSE)),0,VLOOKUP($A13,SXS_Transit_input!$A$53:$R$69,MATCH(SXS_Transit_temp!W$2,SXS_Transit_input!$B$52:$R$52,0)+1,FALSE))</f>
        <v>0</v>
      </c>
      <c r="X13">
        <f>IF(ISNA(VLOOKUP($A13,SXS_Transit_input!$A$5:$W$26,MATCH(SXS_Transit_temp!X$2,SXS_Transit_input!$B$4:$W$4,0)+1,FALSE)),0,VLOOKUP($A13,SXS_Transit_input!$A$5:$W$26,MATCH(SXS_Transit_temp!X$2,SXS_Transit_input!$B$4:$W$4,0)+1,FALSE))+IF(ISNA(VLOOKUP($A13,SXS_Transit_input!$A$53:$R$69,MATCH(SXS_Transit_temp!X$2,SXS_Transit_input!$B$52:$R$52,0)+1,FALSE)),0,VLOOKUP($A13,SXS_Transit_input!$A$53:$R$69,MATCH(SXS_Transit_temp!X$2,SXS_Transit_input!$B$52:$R$52,0)+1,FALSE))</f>
        <v>0</v>
      </c>
      <c r="Y13">
        <f>IF(ISNA(VLOOKUP($A13,SXS_Transit_input!$A$5:$W$26,MATCH(SXS_Transit_temp!Y$2,SXS_Transit_input!$B$4:$W$4,0)+1,FALSE)),0,VLOOKUP($A13,SXS_Transit_input!$A$5:$W$26,MATCH(SXS_Transit_temp!Y$2,SXS_Transit_input!$B$4:$W$4,0)+1,FALSE))+IF(ISNA(VLOOKUP($A13,SXS_Transit_input!$A$53:$R$69,MATCH(SXS_Transit_temp!Y$2,SXS_Transit_input!$B$52:$R$52,0)+1,FALSE)),0,VLOOKUP($A13,SXS_Transit_input!$A$53:$R$69,MATCH(SXS_Transit_temp!Y$2,SXS_Transit_input!$B$52:$R$52,0)+1,FALSE))</f>
        <v>0</v>
      </c>
      <c r="Z13">
        <f>IF(ISNA(VLOOKUP($A13,SXS_Transit_input!$A$5:$W$26,MATCH(SXS_Transit_temp!Z$2,SXS_Transit_input!$B$4:$W$4,0)+1,FALSE)),0,VLOOKUP($A13,SXS_Transit_input!$A$5:$W$26,MATCH(SXS_Transit_temp!Z$2,SXS_Transit_input!$B$4:$W$4,0)+1,FALSE))+IF(ISNA(VLOOKUP($A13,SXS_Transit_input!$A$53:$R$69,MATCH(SXS_Transit_temp!Z$2,SXS_Transit_input!$B$52:$R$52,0)+1,FALSE)),0,VLOOKUP($A13,SXS_Transit_input!$A$53:$R$69,MATCH(SXS_Transit_temp!Z$2,SXS_Transit_input!$B$52:$R$52,0)+1,FALSE))</f>
        <v>0</v>
      </c>
      <c r="AA13">
        <v>11</v>
      </c>
      <c r="AB13" s="33">
        <f t="shared" si="1"/>
        <v>169</v>
      </c>
      <c r="AC13" s="34">
        <f t="shared" si="0"/>
        <v>12</v>
      </c>
      <c r="AD13" s="34">
        <f t="shared" si="0"/>
        <v>16</v>
      </c>
      <c r="AE13" s="34">
        <f t="shared" si="0"/>
        <v>8</v>
      </c>
      <c r="AF13" s="34">
        <f t="shared" si="0"/>
        <v>6</v>
      </c>
      <c r="AG13" s="34">
        <f t="shared" si="0"/>
        <v>1</v>
      </c>
      <c r="AH13" s="34">
        <f t="shared" si="0"/>
        <v>3</v>
      </c>
      <c r="AI13" s="34">
        <f t="shared" si="0"/>
        <v>8</v>
      </c>
      <c r="AJ13" s="34">
        <f t="shared" si="0"/>
        <v>1</v>
      </c>
      <c r="AK13" s="34">
        <f t="shared" si="0"/>
        <v>24</v>
      </c>
      <c r="AL13" s="34">
        <f t="shared" si="0"/>
        <v>156</v>
      </c>
      <c r="AM13" s="34">
        <f t="shared" si="0"/>
        <v>35</v>
      </c>
      <c r="AN13" s="34">
        <f t="shared" si="0"/>
        <v>7</v>
      </c>
      <c r="AO13" s="34">
        <f t="shared" si="0"/>
        <v>0</v>
      </c>
      <c r="AP13" s="34">
        <f t="shared" si="0"/>
        <v>0</v>
      </c>
      <c r="AQ13" s="34">
        <f t="shared" si="0"/>
        <v>0</v>
      </c>
      <c r="AR13" s="34">
        <f t="shared" ref="AR13:AR27" si="2">SUM(BT13,BT67)</f>
        <v>0</v>
      </c>
      <c r="AS13" s="34">
        <f t="shared" ref="AS13:AS27" si="3">SUM(BU13,BU67)</f>
        <v>0</v>
      </c>
      <c r="AT13" s="34">
        <f t="shared" ref="AT13:AT27" si="4">SUM(BV13,BV67)</f>
        <v>0</v>
      </c>
      <c r="AU13" s="34">
        <f t="shared" ref="AU13:AU27" si="5">SUM(BW13,BW67)</f>
        <v>1</v>
      </c>
      <c r="AV13" s="34">
        <f t="shared" ref="AV13:AV27" si="6">SUM(BX13,BX67)</f>
        <v>1</v>
      </c>
      <c r="AW13" s="34">
        <f t="shared" ref="AW13:AW27" si="7">SUM(BY13,BY67)</f>
        <v>35</v>
      </c>
      <c r="AX13" s="34">
        <f t="shared" ref="AX13:AX27" si="8">SUM(BZ13,BZ67)</f>
        <v>4</v>
      </c>
      <c r="AY13" s="34">
        <f t="shared" ref="AY13:AY27" si="9">SUM(CA13,CA67)</f>
        <v>0</v>
      </c>
      <c r="AZ13" s="35">
        <f t="shared" ref="AZ13:AZ27" si="10">SUM(CB13,CB67)</f>
        <v>0</v>
      </c>
      <c r="BC13">
        <v>11</v>
      </c>
      <c r="BD13">
        <v>169</v>
      </c>
      <c r="BE13">
        <v>12</v>
      </c>
      <c r="BF13">
        <v>13</v>
      </c>
      <c r="BG13">
        <v>8</v>
      </c>
      <c r="BH13">
        <v>5</v>
      </c>
      <c r="BI13">
        <v>1</v>
      </c>
      <c r="BJ13">
        <v>3</v>
      </c>
      <c r="BK13">
        <v>8</v>
      </c>
      <c r="BL13">
        <v>1</v>
      </c>
      <c r="BM13">
        <v>22</v>
      </c>
      <c r="BN13">
        <v>141</v>
      </c>
      <c r="BO13">
        <v>33</v>
      </c>
      <c r="BP13">
        <v>7</v>
      </c>
      <c r="BQ13">
        <v>0</v>
      </c>
      <c r="BR13">
        <v>0</v>
      </c>
      <c r="BS13">
        <v>0</v>
      </c>
      <c r="BT13">
        <v>0</v>
      </c>
      <c r="BU13">
        <v>0</v>
      </c>
      <c r="BV13">
        <v>0</v>
      </c>
      <c r="BW13">
        <v>1</v>
      </c>
      <c r="BX13">
        <v>1</v>
      </c>
      <c r="BY13">
        <v>33</v>
      </c>
      <c r="BZ13">
        <v>4</v>
      </c>
      <c r="CA13">
        <v>0</v>
      </c>
      <c r="CB13">
        <v>0</v>
      </c>
    </row>
    <row r="14" spans="1:80" x14ac:dyDescent="0.25">
      <c r="A14">
        <v>12</v>
      </c>
      <c r="B14">
        <f>IF(ISNA(VLOOKUP($A14,SXS_Transit_input!$A$5:$W$26,MATCH(SXS_Transit_temp!B$2,SXS_Transit_input!$B$4:$W$4,0)+1,FALSE)),0,VLOOKUP($A14,SXS_Transit_input!$A$5:$W$26,MATCH(SXS_Transit_temp!B$2,SXS_Transit_input!$B$4:$W$4,0)+1,FALSE))+IF(ISNA(VLOOKUP($A14,SXS_Transit_input!$A$53:$R$69,MATCH(SXS_Transit_temp!B$2,SXS_Transit_input!$B$52:$R$52,0)+1,FALSE)),0,VLOOKUP($A14,SXS_Transit_input!$A$53:$R$69,MATCH(SXS_Transit_temp!B$2,SXS_Transit_input!$B$52:$R$52,0)+1,FALSE))</f>
        <v>16341.18622</v>
      </c>
      <c r="C14">
        <f>IF(ISNA(VLOOKUP($A14,SXS_Transit_input!$A$5:$W$26,MATCH(SXS_Transit_temp!C$2,SXS_Transit_input!$B$4:$W$4,0)+1,FALSE)),0,VLOOKUP($A14,SXS_Transit_input!$A$5:$W$26,MATCH(SXS_Transit_temp!C$2,SXS_Transit_input!$B$4:$W$4,0)+1,FALSE))+IF(ISNA(VLOOKUP($A14,SXS_Transit_input!$A$53:$R$69,MATCH(SXS_Transit_temp!C$2,SXS_Transit_input!$B$52:$R$52,0)+1,FALSE)),0,VLOOKUP($A14,SXS_Transit_input!$A$53:$R$69,MATCH(SXS_Transit_temp!C$2,SXS_Transit_input!$B$52:$R$52,0)+1,FALSE))</f>
        <v>854.53202999999996</v>
      </c>
      <c r="D14">
        <f>IF(ISNA(VLOOKUP($A14,SXS_Transit_input!$A$5:$W$26,MATCH(SXS_Transit_temp!D$2,SXS_Transit_input!$B$4:$W$4,0)+1,FALSE)),0,VLOOKUP($A14,SXS_Transit_input!$A$5:$W$26,MATCH(SXS_Transit_temp!D$2,SXS_Transit_input!$B$4:$W$4,0)+1,FALSE))+IF(ISNA(VLOOKUP($A14,SXS_Transit_input!$A$53:$R$69,MATCH(SXS_Transit_temp!D$2,SXS_Transit_input!$B$52:$R$52,0)+1,FALSE)),0,VLOOKUP($A14,SXS_Transit_input!$A$53:$R$69,MATCH(SXS_Transit_temp!D$2,SXS_Transit_input!$B$52:$R$52,0)+1,FALSE))</f>
        <v>0</v>
      </c>
      <c r="E14">
        <f>IF(ISNA(VLOOKUP($A14,SXS_Transit_input!$A$5:$W$26,MATCH(SXS_Transit_temp!E$2,SXS_Transit_input!$B$4:$W$4,0)+1,FALSE)),0,VLOOKUP($A14,SXS_Transit_input!$A$5:$W$26,MATCH(SXS_Transit_temp!E$2,SXS_Transit_input!$B$4:$W$4,0)+1,FALSE))+IF(ISNA(VLOOKUP($A14,SXS_Transit_input!$A$53:$R$69,MATCH(SXS_Transit_temp!E$2,SXS_Transit_input!$B$52:$R$52,0)+1,FALSE)),0,VLOOKUP($A14,SXS_Transit_input!$A$53:$R$69,MATCH(SXS_Transit_temp!E$2,SXS_Transit_input!$B$52:$R$52,0)+1,FALSE))</f>
        <v>160.01455999999999</v>
      </c>
      <c r="F14">
        <f>IF(ISNA(VLOOKUP($A14,SXS_Transit_input!$A$5:$W$26,MATCH(SXS_Transit_temp!F$2,SXS_Transit_input!$B$4:$W$4,0)+1,FALSE)),0,VLOOKUP($A14,SXS_Transit_input!$A$5:$W$26,MATCH(SXS_Transit_temp!F$2,SXS_Transit_input!$B$4:$W$4,0)+1,FALSE))+IF(ISNA(VLOOKUP($A14,SXS_Transit_input!$A$53:$R$69,MATCH(SXS_Transit_temp!F$2,SXS_Transit_input!$B$52:$R$52,0)+1,FALSE)),0,VLOOKUP($A14,SXS_Transit_input!$A$53:$R$69,MATCH(SXS_Transit_temp!F$2,SXS_Transit_input!$B$52:$R$52,0)+1,FALSE))</f>
        <v>663.2971</v>
      </c>
      <c r="G14">
        <f>IF(ISNA(VLOOKUP($A14,SXS_Transit_input!$A$5:$W$26,MATCH(SXS_Transit_temp!G$2,SXS_Transit_input!$B$4:$W$4,0)+1,FALSE)),0,VLOOKUP($A14,SXS_Transit_input!$A$5:$W$26,MATCH(SXS_Transit_temp!G$2,SXS_Transit_input!$B$4:$W$4,0)+1,FALSE))+IF(ISNA(VLOOKUP($A14,SXS_Transit_input!$A$53:$R$69,MATCH(SXS_Transit_temp!G$2,SXS_Transit_input!$B$52:$R$52,0)+1,FALSE)),0,VLOOKUP($A14,SXS_Transit_input!$A$53:$R$69,MATCH(SXS_Transit_temp!G$2,SXS_Transit_input!$B$52:$R$52,0)+1,FALSE))</f>
        <v>0</v>
      </c>
      <c r="H14">
        <f>IF(ISNA(VLOOKUP($A14,SXS_Transit_input!$A$5:$W$26,MATCH(SXS_Transit_temp!H$2,SXS_Transit_input!$B$4:$W$4,0)+1,FALSE)),0,VLOOKUP($A14,SXS_Transit_input!$A$5:$W$26,MATCH(SXS_Transit_temp!H$2,SXS_Transit_input!$B$4:$W$4,0)+1,FALSE))+IF(ISNA(VLOOKUP($A14,SXS_Transit_input!$A$53:$R$69,MATCH(SXS_Transit_temp!H$2,SXS_Transit_input!$B$52:$R$52,0)+1,FALSE)),0,VLOOKUP($A14,SXS_Transit_input!$A$53:$R$69,MATCH(SXS_Transit_temp!H$2,SXS_Transit_input!$B$52:$R$52,0)+1,FALSE))</f>
        <v>0</v>
      </c>
      <c r="I14">
        <f>IF(ISNA(VLOOKUP($A14,SXS_Transit_input!$A$5:$W$26,MATCH(SXS_Transit_temp!I$2,SXS_Transit_input!$B$4:$W$4,0)+1,FALSE)),0,VLOOKUP($A14,SXS_Transit_input!$A$5:$W$26,MATCH(SXS_Transit_temp!I$2,SXS_Transit_input!$B$4:$W$4,0)+1,FALSE))+IF(ISNA(VLOOKUP($A14,SXS_Transit_input!$A$53:$R$69,MATCH(SXS_Transit_temp!I$2,SXS_Transit_input!$B$52:$R$52,0)+1,FALSE)),0,VLOOKUP($A14,SXS_Transit_input!$A$53:$R$69,MATCH(SXS_Transit_temp!I$2,SXS_Transit_input!$B$52:$R$52,0)+1,FALSE))</f>
        <v>306.95483000000002</v>
      </c>
      <c r="J14">
        <f>IF(ISNA(VLOOKUP($A14,SXS_Transit_input!$A$5:$W$26,MATCH(SXS_Transit_temp!J$2,SXS_Transit_input!$B$4:$W$4,0)+1,FALSE)),0,VLOOKUP($A14,SXS_Transit_input!$A$5:$W$26,MATCH(SXS_Transit_temp!J$2,SXS_Transit_input!$B$4:$W$4,0)+1,FALSE))+IF(ISNA(VLOOKUP($A14,SXS_Transit_input!$A$53:$R$69,MATCH(SXS_Transit_temp!J$2,SXS_Transit_input!$B$52:$R$52,0)+1,FALSE)),0,VLOOKUP($A14,SXS_Transit_input!$A$53:$R$69,MATCH(SXS_Transit_temp!J$2,SXS_Transit_input!$B$52:$R$52,0)+1,FALSE))</f>
        <v>0</v>
      </c>
      <c r="K14">
        <f>IF(ISNA(VLOOKUP($A14,SXS_Transit_input!$A$5:$W$26,MATCH(SXS_Transit_temp!K$2,SXS_Transit_input!$B$4:$W$4,0)+1,FALSE)),0,VLOOKUP($A14,SXS_Transit_input!$A$5:$W$26,MATCH(SXS_Transit_temp!K$2,SXS_Transit_input!$B$4:$W$4,0)+1,FALSE))+IF(ISNA(VLOOKUP($A14,SXS_Transit_input!$A$53:$R$69,MATCH(SXS_Transit_temp!K$2,SXS_Transit_input!$B$52:$R$52,0)+1,FALSE)),0,VLOOKUP($A14,SXS_Transit_input!$A$53:$R$69,MATCH(SXS_Transit_temp!K$2,SXS_Transit_input!$B$52:$R$52,0)+1,FALSE))</f>
        <v>0</v>
      </c>
      <c r="L14">
        <f>IF(ISNA(VLOOKUP($A14,SXS_Transit_input!$A$5:$W$26,MATCH(SXS_Transit_temp!L$2,SXS_Transit_input!$B$4:$W$4,0)+1,FALSE)),0,VLOOKUP($A14,SXS_Transit_input!$A$5:$W$26,MATCH(SXS_Transit_temp!L$2,SXS_Transit_input!$B$4:$W$4,0)+1,FALSE))+IF(ISNA(VLOOKUP($A14,SXS_Transit_input!$A$53:$R$69,MATCH(SXS_Transit_temp!L$2,SXS_Transit_input!$B$52:$R$52,0)+1,FALSE)),0,VLOOKUP($A14,SXS_Transit_input!$A$53:$R$69,MATCH(SXS_Transit_temp!L$2,SXS_Transit_input!$B$52:$R$52,0)+1,FALSE))</f>
        <v>1880.9345800000001</v>
      </c>
      <c r="M14">
        <f>IF(ISNA(VLOOKUP($A14,SXS_Transit_input!$A$5:$W$26,MATCH(SXS_Transit_temp!M$2,SXS_Transit_input!$B$4:$W$4,0)+1,FALSE)),0,VLOOKUP($A14,SXS_Transit_input!$A$5:$W$26,MATCH(SXS_Transit_temp!M$2,SXS_Transit_input!$B$4:$W$4,0)+1,FALSE))+IF(ISNA(VLOOKUP($A14,SXS_Transit_input!$A$53:$R$69,MATCH(SXS_Transit_temp!M$2,SXS_Transit_input!$B$52:$R$52,0)+1,FALSE)),0,VLOOKUP($A14,SXS_Transit_input!$A$53:$R$69,MATCH(SXS_Transit_temp!M$2,SXS_Transit_input!$B$52:$R$52,0)+1,FALSE))</f>
        <v>2362.49442</v>
      </c>
      <c r="N14">
        <f>IF(ISNA(VLOOKUP($A14,SXS_Transit_input!$A$5:$W$26,MATCH(SXS_Transit_temp!N$2,SXS_Transit_input!$B$4:$W$4,0)+1,FALSE)),0,VLOOKUP($A14,SXS_Transit_input!$A$5:$W$26,MATCH(SXS_Transit_temp!N$2,SXS_Transit_input!$B$4:$W$4,0)+1,FALSE))+IF(ISNA(VLOOKUP($A14,SXS_Transit_input!$A$53:$R$69,MATCH(SXS_Transit_temp!N$2,SXS_Transit_input!$B$52:$R$52,0)+1,FALSE)),0,VLOOKUP($A14,SXS_Transit_input!$A$53:$R$69,MATCH(SXS_Transit_temp!N$2,SXS_Transit_input!$B$52:$R$52,0)+1,FALSE))</f>
        <v>739.23865999999998</v>
      </c>
      <c r="O14">
        <f>IF(ISNA(VLOOKUP($A14,SXS_Transit_input!$A$5:$W$26,MATCH(SXS_Transit_temp!O$2,SXS_Transit_input!$B$4:$W$4,0)+1,FALSE)),0,VLOOKUP($A14,SXS_Transit_input!$A$5:$W$26,MATCH(SXS_Transit_temp!O$2,SXS_Transit_input!$B$4:$W$4,0)+1,FALSE))+IF(ISNA(VLOOKUP($A14,SXS_Transit_input!$A$53:$R$69,MATCH(SXS_Transit_temp!O$2,SXS_Transit_input!$B$52:$R$52,0)+1,FALSE)),0,VLOOKUP($A14,SXS_Transit_input!$A$53:$R$69,MATCH(SXS_Transit_temp!O$2,SXS_Transit_input!$B$52:$R$52,0)+1,FALSE))</f>
        <v>0</v>
      </c>
      <c r="P14">
        <f>IF(ISNA(VLOOKUP($A14,SXS_Transit_input!$A$5:$W$26,MATCH(SXS_Transit_temp!P$2,SXS_Transit_input!$B$4:$W$4,0)+1,FALSE)),0,VLOOKUP($A14,SXS_Transit_input!$A$5:$W$26,MATCH(SXS_Transit_temp!P$2,SXS_Transit_input!$B$4:$W$4,0)+1,FALSE))+IF(ISNA(VLOOKUP($A14,SXS_Transit_input!$A$53:$R$69,MATCH(SXS_Transit_temp!P$2,SXS_Transit_input!$B$52:$R$52,0)+1,FALSE)),0,VLOOKUP($A14,SXS_Transit_input!$A$53:$R$69,MATCH(SXS_Transit_temp!P$2,SXS_Transit_input!$B$52:$R$52,0)+1,FALSE))</f>
        <v>0</v>
      </c>
      <c r="Q14">
        <f>IF(ISNA(VLOOKUP($A14,SXS_Transit_input!$A$5:$W$26,MATCH(SXS_Transit_temp!Q$2,SXS_Transit_input!$B$4:$W$4,0)+1,FALSE)),0,VLOOKUP($A14,SXS_Transit_input!$A$5:$W$26,MATCH(SXS_Transit_temp!Q$2,SXS_Transit_input!$B$4:$W$4,0)+1,FALSE))+IF(ISNA(VLOOKUP($A14,SXS_Transit_input!$A$53:$R$69,MATCH(SXS_Transit_temp!Q$2,SXS_Transit_input!$B$52:$R$52,0)+1,FALSE)),0,VLOOKUP($A14,SXS_Transit_input!$A$53:$R$69,MATCH(SXS_Transit_temp!Q$2,SXS_Transit_input!$B$52:$R$52,0)+1,FALSE))</f>
        <v>0</v>
      </c>
      <c r="R14">
        <f>IF(ISNA(VLOOKUP($A14,SXS_Transit_input!$A$5:$W$26,MATCH(SXS_Transit_temp!R$2,SXS_Transit_input!$B$4:$W$4,0)+1,FALSE)),0,VLOOKUP($A14,SXS_Transit_input!$A$5:$W$26,MATCH(SXS_Transit_temp!R$2,SXS_Transit_input!$B$4:$W$4,0)+1,FALSE))+IF(ISNA(VLOOKUP($A14,SXS_Transit_input!$A$53:$R$69,MATCH(SXS_Transit_temp!R$2,SXS_Transit_input!$B$52:$R$52,0)+1,FALSE)),0,VLOOKUP($A14,SXS_Transit_input!$A$53:$R$69,MATCH(SXS_Transit_temp!R$2,SXS_Transit_input!$B$52:$R$52,0)+1,FALSE))</f>
        <v>0</v>
      </c>
      <c r="S14">
        <f>IF(ISNA(VLOOKUP($A14,SXS_Transit_input!$A$5:$W$26,MATCH(SXS_Transit_temp!S$2,SXS_Transit_input!$B$4:$W$4,0)+1,FALSE)),0,VLOOKUP($A14,SXS_Transit_input!$A$5:$W$26,MATCH(SXS_Transit_temp!S$2,SXS_Transit_input!$B$4:$W$4,0)+1,FALSE))+IF(ISNA(VLOOKUP($A14,SXS_Transit_input!$A$53:$R$69,MATCH(SXS_Transit_temp!S$2,SXS_Transit_input!$B$52:$R$52,0)+1,FALSE)),0,VLOOKUP($A14,SXS_Transit_input!$A$53:$R$69,MATCH(SXS_Transit_temp!S$2,SXS_Transit_input!$B$52:$R$52,0)+1,FALSE))</f>
        <v>0</v>
      </c>
      <c r="T14">
        <f>IF(ISNA(VLOOKUP($A14,SXS_Transit_input!$A$5:$W$26,MATCH(SXS_Transit_temp!T$2,SXS_Transit_input!$B$4:$W$4,0)+1,FALSE)),0,VLOOKUP($A14,SXS_Transit_input!$A$5:$W$26,MATCH(SXS_Transit_temp!T$2,SXS_Transit_input!$B$4:$W$4,0)+1,FALSE))+IF(ISNA(VLOOKUP($A14,SXS_Transit_input!$A$53:$R$69,MATCH(SXS_Transit_temp!T$2,SXS_Transit_input!$B$52:$R$52,0)+1,FALSE)),0,VLOOKUP($A14,SXS_Transit_input!$A$53:$R$69,MATCH(SXS_Transit_temp!T$2,SXS_Transit_input!$B$52:$R$52,0)+1,FALSE))</f>
        <v>0</v>
      </c>
      <c r="U14">
        <f>IF(ISNA(VLOOKUP($A14,SXS_Transit_input!$A$5:$W$26,MATCH(SXS_Transit_temp!U$2,SXS_Transit_input!$B$4:$W$4,0)+1,FALSE)),0,VLOOKUP($A14,SXS_Transit_input!$A$5:$W$26,MATCH(SXS_Transit_temp!U$2,SXS_Transit_input!$B$4:$W$4,0)+1,FALSE))+IF(ISNA(VLOOKUP($A14,SXS_Transit_input!$A$53:$R$69,MATCH(SXS_Transit_temp!U$2,SXS_Transit_input!$B$52:$R$52,0)+1,FALSE)),0,VLOOKUP($A14,SXS_Transit_input!$A$53:$R$69,MATCH(SXS_Transit_temp!U$2,SXS_Transit_input!$B$52:$R$52,0)+1,FALSE))</f>
        <v>0</v>
      </c>
      <c r="V14">
        <f>IF(ISNA(VLOOKUP($A14,SXS_Transit_input!$A$5:$W$26,MATCH(SXS_Transit_temp!V$2,SXS_Transit_input!$B$4:$W$4,0)+1,FALSE)),0,VLOOKUP($A14,SXS_Transit_input!$A$5:$W$26,MATCH(SXS_Transit_temp!V$2,SXS_Transit_input!$B$4:$W$4,0)+1,FALSE))+IF(ISNA(VLOOKUP($A14,SXS_Transit_input!$A$53:$R$69,MATCH(SXS_Transit_temp!V$2,SXS_Transit_input!$B$52:$R$52,0)+1,FALSE)),0,VLOOKUP($A14,SXS_Transit_input!$A$53:$R$69,MATCH(SXS_Transit_temp!V$2,SXS_Transit_input!$B$52:$R$52,0)+1,FALSE))</f>
        <v>0</v>
      </c>
      <c r="W14">
        <f>IF(ISNA(VLOOKUP($A14,SXS_Transit_input!$A$5:$W$26,MATCH(SXS_Transit_temp!W$2,SXS_Transit_input!$B$4:$W$4,0)+1,FALSE)),0,VLOOKUP($A14,SXS_Transit_input!$A$5:$W$26,MATCH(SXS_Transit_temp!W$2,SXS_Transit_input!$B$4:$W$4,0)+1,FALSE))+IF(ISNA(VLOOKUP($A14,SXS_Transit_input!$A$53:$R$69,MATCH(SXS_Transit_temp!W$2,SXS_Transit_input!$B$52:$R$52,0)+1,FALSE)),0,VLOOKUP($A14,SXS_Transit_input!$A$53:$R$69,MATCH(SXS_Transit_temp!W$2,SXS_Transit_input!$B$52:$R$52,0)+1,FALSE))</f>
        <v>0</v>
      </c>
      <c r="X14">
        <f>IF(ISNA(VLOOKUP($A14,SXS_Transit_input!$A$5:$W$26,MATCH(SXS_Transit_temp!X$2,SXS_Transit_input!$B$4:$W$4,0)+1,FALSE)),0,VLOOKUP($A14,SXS_Transit_input!$A$5:$W$26,MATCH(SXS_Transit_temp!X$2,SXS_Transit_input!$B$4:$W$4,0)+1,FALSE))+IF(ISNA(VLOOKUP($A14,SXS_Transit_input!$A$53:$R$69,MATCH(SXS_Transit_temp!X$2,SXS_Transit_input!$B$52:$R$52,0)+1,FALSE)),0,VLOOKUP($A14,SXS_Transit_input!$A$53:$R$69,MATCH(SXS_Transit_temp!X$2,SXS_Transit_input!$B$52:$R$52,0)+1,FALSE))</f>
        <v>0</v>
      </c>
      <c r="Y14">
        <f>IF(ISNA(VLOOKUP($A14,SXS_Transit_input!$A$5:$W$26,MATCH(SXS_Transit_temp!Y$2,SXS_Transit_input!$B$4:$W$4,0)+1,FALSE)),0,VLOOKUP($A14,SXS_Transit_input!$A$5:$W$26,MATCH(SXS_Transit_temp!Y$2,SXS_Transit_input!$B$4:$W$4,0)+1,FALSE))+IF(ISNA(VLOOKUP($A14,SXS_Transit_input!$A$53:$R$69,MATCH(SXS_Transit_temp!Y$2,SXS_Transit_input!$B$52:$R$52,0)+1,FALSE)),0,VLOOKUP($A14,SXS_Transit_input!$A$53:$R$69,MATCH(SXS_Transit_temp!Y$2,SXS_Transit_input!$B$52:$R$52,0)+1,FALSE))</f>
        <v>0</v>
      </c>
      <c r="Z14">
        <f>IF(ISNA(VLOOKUP($A14,SXS_Transit_input!$A$5:$W$26,MATCH(SXS_Transit_temp!Z$2,SXS_Transit_input!$B$4:$W$4,0)+1,FALSE)),0,VLOOKUP($A14,SXS_Transit_input!$A$5:$W$26,MATCH(SXS_Transit_temp!Z$2,SXS_Transit_input!$B$4:$W$4,0)+1,FALSE))+IF(ISNA(VLOOKUP($A14,SXS_Transit_input!$A$53:$R$69,MATCH(SXS_Transit_temp!Z$2,SXS_Transit_input!$B$52:$R$52,0)+1,FALSE)),0,VLOOKUP($A14,SXS_Transit_input!$A$53:$R$69,MATCH(SXS_Transit_temp!Z$2,SXS_Transit_input!$B$52:$R$52,0)+1,FALSE))</f>
        <v>169.56217000000001</v>
      </c>
      <c r="AA14">
        <v>12</v>
      </c>
      <c r="AB14" s="33">
        <f t="shared" si="1"/>
        <v>347</v>
      </c>
      <c r="AC14" s="34">
        <f t="shared" ref="AC14:AC27" si="11">SUM(BE14,BE68)</f>
        <v>14</v>
      </c>
      <c r="AD14" s="34">
        <f t="shared" ref="AD14:AD27" si="12">SUM(BF14,BF68)</f>
        <v>6</v>
      </c>
      <c r="AE14" s="34">
        <f t="shared" ref="AE14:AE27" si="13">SUM(BG14,BG68)</f>
        <v>8</v>
      </c>
      <c r="AF14" s="34">
        <f t="shared" ref="AF14:AF27" si="14">SUM(BH14,BH68)</f>
        <v>50</v>
      </c>
      <c r="AG14" s="34">
        <f t="shared" ref="AG14:AG27" si="15">SUM(BI14,BI68)</f>
        <v>10</v>
      </c>
      <c r="AH14" s="34">
        <f t="shared" ref="AH14:AH27" si="16">SUM(BJ14,BJ68)</f>
        <v>3</v>
      </c>
      <c r="AI14" s="34">
        <f t="shared" ref="AI14:AI27" si="17">SUM(BK14,BK68)</f>
        <v>4</v>
      </c>
      <c r="AJ14" s="34">
        <f t="shared" ref="AJ14:AJ27" si="18">SUM(BL14,BL68)</f>
        <v>2</v>
      </c>
      <c r="AK14" s="34">
        <f t="shared" ref="AK14:AK27" si="19">SUM(BM14,BM68)</f>
        <v>1</v>
      </c>
      <c r="AL14" s="34">
        <f t="shared" ref="AL14:AL27" si="20">SUM(BN14,BN68)</f>
        <v>40</v>
      </c>
      <c r="AM14" s="34">
        <f t="shared" ref="AM14:AM27" si="21">SUM(BO14,BO68)</f>
        <v>340</v>
      </c>
      <c r="AN14" s="34">
        <f t="shared" ref="AN14:AN27" si="22">SUM(BP14,BP68)</f>
        <v>94</v>
      </c>
      <c r="AO14" s="34">
        <f t="shared" ref="AO14:AO27" si="23">SUM(BQ14,BQ68)</f>
        <v>0</v>
      </c>
      <c r="AP14" s="34">
        <f t="shared" ref="AP14:AP27" si="24">SUM(BR14,BR68)</f>
        <v>0</v>
      </c>
      <c r="AQ14" s="34">
        <f t="shared" ref="AQ14:AQ27" si="25">SUM(BS14,BS68)</f>
        <v>0</v>
      </c>
      <c r="AR14" s="34">
        <f t="shared" si="2"/>
        <v>0</v>
      </c>
      <c r="AS14" s="34">
        <f t="shared" si="3"/>
        <v>0</v>
      </c>
      <c r="AT14" s="34">
        <f t="shared" si="4"/>
        <v>0</v>
      </c>
      <c r="AU14" s="34">
        <f t="shared" si="5"/>
        <v>0</v>
      </c>
      <c r="AV14" s="34">
        <f t="shared" si="6"/>
        <v>0</v>
      </c>
      <c r="AW14" s="34">
        <f t="shared" si="7"/>
        <v>0</v>
      </c>
      <c r="AX14" s="34">
        <f t="shared" si="8"/>
        <v>3</v>
      </c>
      <c r="AY14" s="34">
        <f t="shared" si="9"/>
        <v>3</v>
      </c>
      <c r="AZ14" s="35">
        <f t="shared" si="10"/>
        <v>0</v>
      </c>
      <c r="BC14">
        <v>12</v>
      </c>
      <c r="BD14">
        <v>347</v>
      </c>
      <c r="BE14">
        <v>14</v>
      </c>
      <c r="BF14">
        <v>6</v>
      </c>
      <c r="BG14">
        <v>8</v>
      </c>
      <c r="BH14">
        <v>46</v>
      </c>
      <c r="BI14">
        <v>10</v>
      </c>
      <c r="BJ14">
        <v>2</v>
      </c>
      <c r="BK14">
        <v>4</v>
      </c>
      <c r="BL14">
        <v>2</v>
      </c>
      <c r="BM14">
        <v>1</v>
      </c>
      <c r="BN14">
        <v>37</v>
      </c>
      <c r="BO14">
        <v>325</v>
      </c>
      <c r="BP14">
        <v>92</v>
      </c>
      <c r="BQ14">
        <v>0</v>
      </c>
      <c r="BR14">
        <v>0</v>
      </c>
      <c r="BS14">
        <v>0</v>
      </c>
      <c r="BT14">
        <v>0</v>
      </c>
      <c r="BU14">
        <v>0</v>
      </c>
      <c r="BV14">
        <v>0</v>
      </c>
      <c r="BW14">
        <v>0</v>
      </c>
      <c r="BX14">
        <v>0</v>
      </c>
      <c r="BY14">
        <v>0</v>
      </c>
      <c r="BZ14">
        <v>3</v>
      </c>
      <c r="CA14">
        <v>3</v>
      </c>
      <c r="CB14">
        <v>0</v>
      </c>
    </row>
    <row r="15" spans="1:80" x14ac:dyDescent="0.25">
      <c r="A15">
        <v>13</v>
      </c>
      <c r="B15">
        <f>IF(ISNA(VLOOKUP($A15,SXS_Transit_input!$A$5:$W$26,MATCH(SXS_Transit_temp!B$2,SXS_Transit_input!$B$4:$W$4,0)+1,FALSE)),0,VLOOKUP($A15,SXS_Transit_input!$A$5:$W$26,MATCH(SXS_Transit_temp!B$2,SXS_Transit_input!$B$4:$W$4,0)+1,FALSE))+IF(ISNA(VLOOKUP($A15,SXS_Transit_input!$A$53:$R$69,MATCH(SXS_Transit_temp!B$2,SXS_Transit_input!$B$52:$R$52,0)+1,FALSE)),0,VLOOKUP($A15,SXS_Transit_input!$A$53:$R$69,MATCH(SXS_Transit_temp!B$2,SXS_Transit_input!$B$52:$R$52,0)+1,FALSE))</f>
        <v>34455.029049999997</v>
      </c>
      <c r="C15">
        <f>IF(ISNA(VLOOKUP($A15,SXS_Transit_input!$A$5:$W$26,MATCH(SXS_Transit_temp!C$2,SXS_Transit_input!$B$4:$W$4,0)+1,FALSE)),0,VLOOKUP($A15,SXS_Transit_input!$A$5:$W$26,MATCH(SXS_Transit_temp!C$2,SXS_Transit_input!$B$4:$W$4,0)+1,FALSE))+IF(ISNA(VLOOKUP($A15,SXS_Transit_input!$A$53:$R$69,MATCH(SXS_Transit_temp!C$2,SXS_Transit_input!$B$52:$R$52,0)+1,FALSE)),0,VLOOKUP($A15,SXS_Transit_input!$A$53:$R$69,MATCH(SXS_Transit_temp!C$2,SXS_Transit_input!$B$52:$R$52,0)+1,FALSE))</f>
        <v>75.228570000000005</v>
      </c>
      <c r="D15">
        <f>IF(ISNA(VLOOKUP($A15,SXS_Transit_input!$A$5:$W$26,MATCH(SXS_Transit_temp!D$2,SXS_Transit_input!$B$4:$W$4,0)+1,FALSE)),0,VLOOKUP($A15,SXS_Transit_input!$A$5:$W$26,MATCH(SXS_Transit_temp!D$2,SXS_Transit_input!$B$4:$W$4,0)+1,FALSE))+IF(ISNA(VLOOKUP($A15,SXS_Transit_input!$A$53:$R$69,MATCH(SXS_Transit_temp!D$2,SXS_Transit_input!$B$52:$R$52,0)+1,FALSE)),0,VLOOKUP($A15,SXS_Transit_input!$A$53:$R$69,MATCH(SXS_Transit_temp!D$2,SXS_Transit_input!$B$52:$R$52,0)+1,FALSE))</f>
        <v>0</v>
      </c>
      <c r="E15">
        <f>IF(ISNA(VLOOKUP($A15,SXS_Transit_input!$A$5:$W$26,MATCH(SXS_Transit_temp!E$2,SXS_Transit_input!$B$4:$W$4,0)+1,FALSE)),0,VLOOKUP($A15,SXS_Transit_input!$A$5:$W$26,MATCH(SXS_Transit_temp!E$2,SXS_Transit_input!$B$4:$W$4,0)+1,FALSE))+IF(ISNA(VLOOKUP($A15,SXS_Transit_input!$A$53:$R$69,MATCH(SXS_Transit_temp!E$2,SXS_Transit_input!$B$52:$R$52,0)+1,FALSE)),0,VLOOKUP($A15,SXS_Transit_input!$A$53:$R$69,MATCH(SXS_Transit_temp!E$2,SXS_Transit_input!$B$52:$R$52,0)+1,FALSE))</f>
        <v>241.44669999999999</v>
      </c>
      <c r="F15">
        <f>IF(ISNA(VLOOKUP($A15,SXS_Transit_input!$A$5:$W$26,MATCH(SXS_Transit_temp!F$2,SXS_Transit_input!$B$4:$W$4,0)+1,FALSE)),0,VLOOKUP($A15,SXS_Transit_input!$A$5:$W$26,MATCH(SXS_Transit_temp!F$2,SXS_Transit_input!$B$4:$W$4,0)+1,FALSE))+IF(ISNA(VLOOKUP($A15,SXS_Transit_input!$A$53:$R$69,MATCH(SXS_Transit_temp!F$2,SXS_Transit_input!$B$52:$R$52,0)+1,FALSE)),0,VLOOKUP($A15,SXS_Transit_input!$A$53:$R$69,MATCH(SXS_Transit_temp!F$2,SXS_Transit_input!$B$52:$R$52,0)+1,FALSE))</f>
        <v>71.896770000000004</v>
      </c>
      <c r="G15">
        <f>IF(ISNA(VLOOKUP($A15,SXS_Transit_input!$A$5:$W$26,MATCH(SXS_Transit_temp!G$2,SXS_Transit_input!$B$4:$W$4,0)+1,FALSE)),0,VLOOKUP($A15,SXS_Transit_input!$A$5:$W$26,MATCH(SXS_Transit_temp!G$2,SXS_Transit_input!$B$4:$W$4,0)+1,FALSE))+IF(ISNA(VLOOKUP($A15,SXS_Transit_input!$A$53:$R$69,MATCH(SXS_Transit_temp!G$2,SXS_Transit_input!$B$52:$R$52,0)+1,FALSE)),0,VLOOKUP($A15,SXS_Transit_input!$A$53:$R$69,MATCH(SXS_Transit_temp!G$2,SXS_Transit_input!$B$52:$R$52,0)+1,FALSE))</f>
        <v>0</v>
      </c>
      <c r="H15">
        <f>IF(ISNA(VLOOKUP($A15,SXS_Transit_input!$A$5:$W$26,MATCH(SXS_Transit_temp!H$2,SXS_Transit_input!$B$4:$W$4,0)+1,FALSE)),0,VLOOKUP($A15,SXS_Transit_input!$A$5:$W$26,MATCH(SXS_Transit_temp!H$2,SXS_Transit_input!$B$4:$W$4,0)+1,FALSE))+IF(ISNA(VLOOKUP($A15,SXS_Transit_input!$A$53:$R$69,MATCH(SXS_Transit_temp!H$2,SXS_Transit_input!$B$52:$R$52,0)+1,FALSE)),0,VLOOKUP($A15,SXS_Transit_input!$A$53:$R$69,MATCH(SXS_Transit_temp!H$2,SXS_Transit_input!$B$52:$R$52,0)+1,FALSE))</f>
        <v>364.91388000000001</v>
      </c>
      <c r="I15">
        <f>IF(ISNA(VLOOKUP($A15,SXS_Transit_input!$A$5:$W$26,MATCH(SXS_Transit_temp!I$2,SXS_Transit_input!$B$4:$W$4,0)+1,FALSE)),0,VLOOKUP($A15,SXS_Transit_input!$A$5:$W$26,MATCH(SXS_Transit_temp!I$2,SXS_Transit_input!$B$4:$W$4,0)+1,FALSE))+IF(ISNA(VLOOKUP($A15,SXS_Transit_input!$A$53:$R$69,MATCH(SXS_Transit_temp!I$2,SXS_Transit_input!$B$52:$R$52,0)+1,FALSE)),0,VLOOKUP($A15,SXS_Transit_input!$A$53:$R$69,MATCH(SXS_Transit_temp!I$2,SXS_Transit_input!$B$52:$R$52,0)+1,FALSE))</f>
        <v>0</v>
      </c>
      <c r="J15">
        <f>IF(ISNA(VLOOKUP($A15,SXS_Transit_input!$A$5:$W$26,MATCH(SXS_Transit_temp!J$2,SXS_Transit_input!$B$4:$W$4,0)+1,FALSE)),0,VLOOKUP($A15,SXS_Transit_input!$A$5:$W$26,MATCH(SXS_Transit_temp!J$2,SXS_Transit_input!$B$4:$W$4,0)+1,FALSE))+IF(ISNA(VLOOKUP($A15,SXS_Transit_input!$A$53:$R$69,MATCH(SXS_Transit_temp!J$2,SXS_Transit_input!$B$52:$R$52,0)+1,FALSE)),0,VLOOKUP($A15,SXS_Transit_input!$A$53:$R$69,MATCH(SXS_Transit_temp!J$2,SXS_Transit_input!$B$52:$R$52,0)+1,FALSE))</f>
        <v>0</v>
      </c>
      <c r="K15">
        <f>IF(ISNA(VLOOKUP($A15,SXS_Transit_input!$A$5:$W$26,MATCH(SXS_Transit_temp!K$2,SXS_Transit_input!$B$4:$W$4,0)+1,FALSE)),0,VLOOKUP($A15,SXS_Transit_input!$A$5:$W$26,MATCH(SXS_Transit_temp!K$2,SXS_Transit_input!$B$4:$W$4,0)+1,FALSE))+IF(ISNA(VLOOKUP($A15,SXS_Transit_input!$A$53:$R$69,MATCH(SXS_Transit_temp!K$2,SXS_Transit_input!$B$52:$R$52,0)+1,FALSE)),0,VLOOKUP($A15,SXS_Transit_input!$A$53:$R$69,MATCH(SXS_Transit_temp!K$2,SXS_Transit_input!$B$52:$R$52,0)+1,FALSE))</f>
        <v>0</v>
      </c>
      <c r="L15">
        <f>IF(ISNA(VLOOKUP($A15,SXS_Transit_input!$A$5:$W$26,MATCH(SXS_Transit_temp!L$2,SXS_Transit_input!$B$4:$W$4,0)+1,FALSE)),0,VLOOKUP($A15,SXS_Transit_input!$A$5:$W$26,MATCH(SXS_Transit_temp!L$2,SXS_Transit_input!$B$4:$W$4,0)+1,FALSE))+IF(ISNA(VLOOKUP($A15,SXS_Transit_input!$A$53:$R$69,MATCH(SXS_Transit_temp!L$2,SXS_Transit_input!$B$52:$R$52,0)+1,FALSE)),0,VLOOKUP($A15,SXS_Transit_input!$A$53:$R$69,MATCH(SXS_Transit_temp!L$2,SXS_Transit_input!$B$52:$R$52,0)+1,FALSE))</f>
        <v>2126.3170399999999</v>
      </c>
      <c r="M15">
        <f>IF(ISNA(VLOOKUP($A15,SXS_Transit_input!$A$5:$W$26,MATCH(SXS_Transit_temp!M$2,SXS_Transit_input!$B$4:$W$4,0)+1,FALSE)),0,VLOOKUP($A15,SXS_Transit_input!$A$5:$W$26,MATCH(SXS_Transit_temp!M$2,SXS_Transit_input!$B$4:$W$4,0)+1,FALSE))+IF(ISNA(VLOOKUP($A15,SXS_Transit_input!$A$53:$R$69,MATCH(SXS_Transit_temp!M$2,SXS_Transit_input!$B$52:$R$52,0)+1,FALSE)),0,VLOOKUP($A15,SXS_Transit_input!$A$53:$R$69,MATCH(SXS_Transit_temp!M$2,SXS_Transit_input!$B$52:$R$52,0)+1,FALSE))</f>
        <v>546.56271000000004</v>
      </c>
      <c r="N15">
        <f>IF(ISNA(VLOOKUP($A15,SXS_Transit_input!$A$5:$W$26,MATCH(SXS_Transit_temp!N$2,SXS_Transit_input!$B$4:$W$4,0)+1,FALSE)),0,VLOOKUP($A15,SXS_Transit_input!$A$5:$W$26,MATCH(SXS_Transit_temp!N$2,SXS_Transit_input!$B$4:$W$4,0)+1,FALSE))+IF(ISNA(VLOOKUP($A15,SXS_Transit_input!$A$53:$R$69,MATCH(SXS_Transit_temp!N$2,SXS_Transit_input!$B$52:$R$52,0)+1,FALSE)),0,VLOOKUP($A15,SXS_Transit_input!$A$53:$R$69,MATCH(SXS_Transit_temp!N$2,SXS_Transit_input!$B$52:$R$52,0)+1,FALSE))</f>
        <v>3601.2526400000002</v>
      </c>
      <c r="O15">
        <f>IF(ISNA(VLOOKUP($A15,SXS_Transit_input!$A$5:$W$26,MATCH(SXS_Transit_temp!O$2,SXS_Transit_input!$B$4:$W$4,0)+1,FALSE)),0,VLOOKUP($A15,SXS_Transit_input!$A$5:$W$26,MATCH(SXS_Transit_temp!O$2,SXS_Transit_input!$B$4:$W$4,0)+1,FALSE))+IF(ISNA(VLOOKUP($A15,SXS_Transit_input!$A$53:$R$69,MATCH(SXS_Transit_temp!O$2,SXS_Transit_input!$B$52:$R$52,0)+1,FALSE)),0,VLOOKUP($A15,SXS_Transit_input!$A$53:$R$69,MATCH(SXS_Transit_temp!O$2,SXS_Transit_input!$B$52:$R$52,0)+1,FALSE))</f>
        <v>269.04023999999998</v>
      </c>
      <c r="P15">
        <f>IF(ISNA(VLOOKUP($A15,SXS_Transit_input!$A$5:$W$26,MATCH(SXS_Transit_temp!P$2,SXS_Transit_input!$B$4:$W$4,0)+1,FALSE)),0,VLOOKUP($A15,SXS_Transit_input!$A$5:$W$26,MATCH(SXS_Transit_temp!P$2,SXS_Transit_input!$B$4:$W$4,0)+1,FALSE))+IF(ISNA(VLOOKUP($A15,SXS_Transit_input!$A$53:$R$69,MATCH(SXS_Transit_temp!P$2,SXS_Transit_input!$B$52:$R$52,0)+1,FALSE)),0,VLOOKUP($A15,SXS_Transit_input!$A$53:$R$69,MATCH(SXS_Transit_temp!P$2,SXS_Transit_input!$B$52:$R$52,0)+1,FALSE))</f>
        <v>0</v>
      </c>
      <c r="Q15">
        <f>IF(ISNA(VLOOKUP($A15,SXS_Transit_input!$A$5:$W$26,MATCH(SXS_Transit_temp!Q$2,SXS_Transit_input!$B$4:$W$4,0)+1,FALSE)),0,VLOOKUP($A15,SXS_Transit_input!$A$5:$W$26,MATCH(SXS_Transit_temp!Q$2,SXS_Transit_input!$B$4:$W$4,0)+1,FALSE))+IF(ISNA(VLOOKUP($A15,SXS_Transit_input!$A$53:$R$69,MATCH(SXS_Transit_temp!Q$2,SXS_Transit_input!$B$52:$R$52,0)+1,FALSE)),0,VLOOKUP($A15,SXS_Transit_input!$A$53:$R$69,MATCH(SXS_Transit_temp!Q$2,SXS_Transit_input!$B$52:$R$52,0)+1,FALSE))</f>
        <v>0</v>
      </c>
      <c r="R15">
        <f>IF(ISNA(VLOOKUP($A15,SXS_Transit_input!$A$5:$W$26,MATCH(SXS_Transit_temp!R$2,SXS_Transit_input!$B$4:$W$4,0)+1,FALSE)),0,VLOOKUP($A15,SXS_Transit_input!$A$5:$W$26,MATCH(SXS_Transit_temp!R$2,SXS_Transit_input!$B$4:$W$4,0)+1,FALSE))+IF(ISNA(VLOOKUP($A15,SXS_Transit_input!$A$53:$R$69,MATCH(SXS_Transit_temp!R$2,SXS_Transit_input!$B$52:$R$52,0)+1,FALSE)),0,VLOOKUP($A15,SXS_Transit_input!$A$53:$R$69,MATCH(SXS_Transit_temp!R$2,SXS_Transit_input!$B$52:$R$52,0)+1,FALSE))</f>
        <v>0</v>
      </c>
      <c r="S15">
        <f>IF(ISNA(VLOOKUP($A15,SXS_Transit_input!$A$5:$W$26,MATCH(SXS_Transit_temp!S$2,SXS_Transit_input!$B$4:$W$4,0)+1,FALSE)),0,VLOOKUP($A15,SXS_Transit_input!$A$5:$W$26,MATCH(SXS_Transit_temp!S$2,SXS_Transit_input!$B$4:$W$4,0)+1,FALSE))+IF(ISNA(VLOOKUP($A15,SXS_Transit_input!$A$53:$R$69,MATCH(SXS_Transit_temp!S$2,SXS_Transit_input!$B$52:$R$52,0)+1,FALSE)),0,VLOOKUP($A15,SXS_Transit_input!$A$53:$R$69,MATCH(SXS_Transit_temp!S$2,SXS_Transit_input!$B$52:$R$52,0)+1,FALSE))</f>
        <v>0</v>
      </c>
      <c r="T15">
        <f>IF(ISNA(VLOOKUP($A15,SXS_Transit_input!$A$5:$W$26,MATCH(SXS_Transit_temp!T$2,SXS_Transit_input!$B$4:$W$4,0)+1,FALSE)),0,VLOOKUP($A15,SXS_Transit_input!$A$5:$W$26,MATCH(SXS_Transit_temp!T$2,SXS_Transit_input!$B$4:$W$4,0)+1,FALSE))+IF(ISNA(VLOOKUP($A15,SXS_Transit_input!$A$53:$R$69,MATCH(SXS_Transit_temp!T$2,SXS_Transit_input!$B$52:$R$52,0)+1,FALSE)),0,VLOOKUP($A15,SXS_Transit_input!$A$53:$R$69,MATCH(SXS_Transit_temp!T$2,SXS_Transit_input!$B$52:$R$52,0)+1,FALSE))</f>
        <v>0</v>
      </c>
      <c r="U15">
        <f>IF(ISNA(VLOOKUP($A15,SXS_Transit_input!$A$5:$W$26,MATCH(SXS_Transit_temp!U$2,SXS_Transit_input!$B$4:$W$4,0)+1,FALSE)),0,VLOOKUP($A15,SXS_Transit_input!$A$5:$W$26,MATCH(SXS_Transit_temp!U$2,SXS_Transit_input!$B$4:$W$4,0)+1,FALSE))+IF(ISNA(VLOOKUP($A15,SXS_Transit_input!$A$53:$R$69,MATCH(SXS_Transit_temp!U$2,SXS_Transit_input!$B$52:$R$52,0)+1,FALSE)),0,VLOOKUP($A15,SXS_Transit_input!$A$53:$R$69,MATCH(SXS_Transit_temp!U$2,SXS_Transit_input!$B$52:$R$52,0)+1,FALSE))</f>
        <v>0</v>
      </c>
      <c r="V15">
        <f>IF(ISNA(VLOOKUP($A15,SXS_Transit_input!$A$5:$W$26,MATCH(SXS_Transit_temp!V$2,SXS_Transit_input!$B$4:$W$4,0)+1,FALSE)),0,VLOOKUP($A15,SXS_Transit_input!$A$5:$W$26,MATCH(SXS_Transit_temp!V$2,SXS_Transit_input!$B$4:$W$4,0)+1,FALSE))+IF(ISNA(VLOOKUP($A15,SXS_Transit_input!$A$53:$R$69,MATCH(SXS_Transit_temp!V$2,SXS_Transit_input!$B$52:$R$52,0)+1,FALSE)),0,VLOOKUP($A15,SXS_Transit_input!$A$53:$R$69,MATCH(SXS_Transit_temp!V$2,SXS_Transit_input!$B$52:$R$52,0)+1,FALSE))</f>
        <v>123.82885</v>
      </c>
      <c r="W15">
        <f>IF(ISNA(VLOOKUP($A15,SXS_Transit_input!$A$5:$W$26,MATCH(SXS_Transit_temp!W$2,SXS_Transit_input!$B$4:$W$4,0)+1,FALSE)),0,VLOOKUP($A15,SXS_Transit_input!$A$5:$W$26,MATCH(SXS_Transit_temp!W$2,SXS_Transit_input!$B$4:$W$4,0)+1,FALSE))+IF(ISNA(VLOOKUP($A15,SXS_Transit_input!$A$53:$R$69,MATCH(SXS_Transit_temp!W$2,SXS_Transit_input!$B$52:$R$52,0)+1,FALSE)),0,VLOOKUP($A15,SXS_Transit_input!$A$53:$R$69,MATCH(SXS_Transit_temp!W$2,SXS_Transit_input!$B$52:$R$52,0)+1,FALSE))</f>
        <v>0</v>
      </c>
      <c r="X15">
        <f>IF(ISNA(VLOOKUP($A15,SXS_Transit_input!$A$5:$W$26,MATCH(SXS_Transit_temp!X$2,SXS_Transit_input!$B$4:$W$4,0)+1,FALSE)),0,VLOOKUP($A15,SXS_Transit_input!$A$5:$W$26,MATCH(SXS_Transit_temp!X$2,SXS_Transit_input!$B$4:$W$4,0)+1,FALSE))+IF(ISNA(VLOOKUP($A15,SXS_Transit_input!$A$53:$R$69,MATCH(SXS_Transit_temp!X$2,SXS_Transit_input!$B$52:$R$52,0)+1,FALSE)),0,VLOOKUP($A15,SXS_Transit_input!$A$53:$R$69,MATCH(SXS_Transit_temp!X$2,SXS_Transit_input!$B$52:$R$52,0)+1,FALSE))</f>
        <v>0</v>
      </c>
      <c r="Y15">
        <f>IF(ISNA(VLOOKUP($A15,SXS_Transit_input!$A$5:$W$26,MATCH(SXS_Transit_temp!Y$2,SXS_Transit_input!$B$4:$W$4,0)+1,FALSE)),0,VLOOKUP($A15,SXS_Transit_input!$A$5:$W$26,MATCH(SXS_Transit_temp!Y$2,SXS_Transit_input!$B$4:$W$4,0)+1,FALSE))+IF(ISNA(VLOOKUP($A15,SXS_Transit_input!$A$53:$R$69,MATCH(SXS_Transit_temp!Y$2,SXS_Transit_input!$B$52:$R$52,0)+1,FALSE)),0,VLOOKUP($A15,SXS_Transit_input!$A$53:$R$69,MATCH(SXS_Transit_temp!Y$2,SXS_Transit_input!$B$52:$R$52,0)+1,FALSE))</f>
        <v>662.32075999999995</v>
      </c>
      <c r="Z15">
        <f>IF(ISNA(VLOOKUP($A15,SXS_Transit_input!$A$5:$W$26,MATCH(SXS_Transit_temp!Z$2,SXS_Transit_input!$B$4:$W$4,0)+1,FALSE)),0,VLOOKUP($A15,SXS_Transit_input!$A$5:$W$26,MATCH(SXS_Transit_temp!Z$2,SXS_Transit_input!$B$4:$W$4,0)+1,FALSE))+IF(ISNA(VLOOKUP($A15,SXS_Transit_input!$A$53:$R$69,MATCH(SXS_Transit_temp!Z$2,SXS_Transit_input!$B$52:$R$52,0)+1,FALSE)),0,VLOOKUP($A15,SXS_Transit_input!$A$53:$R$69,MATCH(SXS_Transit_temp!Z$2,SXS_Transit_input!$B$52:$R$52,0)+1,FALSE))</f>
        <v>870.68579</v>
      </c>
      <c r="AA15">
        <v>13</v>
      </c>
      <c r="AB15" s="33">
        <f t="shared" si="1"/>
        <v>481</v>
      </c>
      <c r="AC15" s="34">
        <f t="shared" si="11"/>
        <v>9</v>
      </c>
      <c r="AD15" s="34">
        <f t="shared" si="12"/>
        <v>4</v>
      </c>
      <c r="AE15" s="34">
        <f t="shared" si="13"/>
        <v>6</v>
      </c>
      <c r="AF15" s="34">
        <f t="shared" si="14"/>
        <v>14</v>
      </c>
      <c r="AG15" s="34">
        <f t="shared" si="15"/>
        <v>27</v>
      </c>
      <c r="AH15" s="34">
        <f t="shared" si="16"/>
        <v>4</v>
      </c>
      <c r="AI15" s="34">
        <f t="shared" si="17"/>
        <v>7</v>
      </c>
      <c r="AJ15" s="34">
        <f t="shared" si="18"/>
        <v>0</v>
      </c>
      <c r="AK15" s="34">
        <f t="shared" si="19"/>
        <v>0</v>
      </c>
      <c r="AL15" s="34">
        <f t="shared" si="20"/>
        <v>4</v>
      </c>
      <c r="AM15" s="34">
        <f t="shared" si="21"/>
        <v>48</v>
      </c>
      <c r="AN15" s="34">
        <f t="shared" si="22"/>
        <v>653</v>
      </c>
      <c r="AO15" s="34">
        <f t="shared" si="23"/>
        <v>13</v>
      </c>
      <c r="AP15" s="34">
        <f t="shared" si="24"/>
        <v>0</v>
      </c>
      <c r="AQ15" s="34">
        <f t="shared" si="25"/>
        <v>0</v>
      </c>
      <c r="AR15" s="34">
        <f t="shared" si="2"/>
        <v>0</v>
      </c>
      <c r="AS15" s="34">
        <f t="shared" si="3"/>
        <v>0</v>
      </c>
      <c r="AT15" s="34">
        <f t="shared" si="4"/>
        <v>0</v>
      </c>
      <c r="AU15" s="34">
        <f t="shared" si="5"/>
        <v>0</v>
      </c>
      <c r="AV15" s="34">
        <f t="shared" si="6"/>
        <v>0</v>
      </c>
      <c r="AW15" s="34">
        <f t="shared" si="7"/>
        <v>0</v>
      </c>
      <c r="AX15" s="34">
        <f t="shared" si="8"/>
        <v>0</v>
      </c>
      <c r="AY15" s="34">
        <f t="shared" si="9"/>
        <v>23</v>
      </c>
      <c r="AZ15" s="35">
        <f t="shared" si="10"/>
        <v>2</v>
      </c>
      <c r="BC15">
        <v>13</v>
      </c>
      <c r="BD15">
        <v>479</v>
      </c>
      <c r="BE15">
        <v>9</v>
      </c>
      <c r="BF15">
        <v>4</v>
      </c>
      <c r="BG15">
        <v>6</v>
      </c>
      <c r="BH15">
        <v>14</v>
      </c>
      <c r="BI15">
        <v>25</v>
      </c>
      <c r="BJ15">
        <v>4</v>
      </c>
      <c r="BK15">
        <v>7</v>
      </c>
      <c r="BL15">
        <v>0</v>
      </c>
      <c r="BM15">
        <v>0</v>
      </c>
      <c r="BN15">
        <v>2</v>
      </c>
      <c r="BO15">
        <v>48</v>
      </c>
      <c r="BP15">
        <v>619</v>
      </c>
      <c r="BQ15">
        <v>11</v>
      </c>
      <c r="BR15">
        <v>0</v>
      </c>
      <c r="BS15">
        <v>0</v>
      </c>
      <c r="BT15">
        <v>0</v>
      </c>
      <c r="BU15">
        <v>0</v>
      </c>
      <c r="BV15">
        <v>0</v>
      </c>
      <c r="BW15">
        <v>0</v>
      </c>
      <c r="BX15">
        <v>0</v>
      </c>
      <c r="BY15">
        <v>0</v>
      </c>
      <c r="BZ15">
        <v>0</v>
      </c>
      <c r="CA15">
        <v>23</v>
      </c>
      <c r="CB15">
        <v>2</v>
      </c>
    </row>
    <row r="16" spans="1:80" x14ac:dyDescent="0.25">
      <c r="A16">
        <v>14</v>
      </c>
      <c r="B16">
        <f>IF(ISNA(VLOOKUP($A16,SXS_Transit_input!$A$5:$W$26,MATCH(SXS_Transit_temp!B$2,SXS_Transit_input!$B$4:$W$4,0)+1,FALSE)),0,VLOOKUP($A16,SXS_Transit_input!$A$5:$W$26,MATCH(SXS_Transit_temp!B$2,SXS_Transit_input!$B$4:$W$4,0)+1,FALSE))+IF(ISNA(VLOOKUP($A16,SXS_Transit_input!$A$53:$R$69,MATCH(SXS_Transit_temp!B$2,SXS_Transit_input!$B$52:$R$52,0)+1,FALSE)),0,VLOOKUP($A16,SXS_Transit_input!$A$53:$R$69,MATCH(SXS_Transit_temp!B$2,SXS_Transit_input!$B$52:$R$52,0)+1,FALSE))</f>
        <v>11543.06121</v>
      </c>
      <c r="C16">
        <f>IF(ISNA(VLOOKUP($A16,SXS_Transit_input!$A$5:$W$26,MATCH(SXS_Transit_temp!C$2,SXS_Transit_input!$B$4:$W$4,0)+1,FALSE)),0,VLOOKUP($A16,SXS_Transit_input!$A$5:$W$26,MATCH(SXS_Transit_temp!C$2,SXS_Transit_input!$B$4:$W$4,0)+1,FALSE))+IF(ISNA(VLOOKUP($A16,SXS_Transit_input!$A$53:$R$69,MATCH(SXS_Transit_temp!C$2,SXS_Transit_input!$B$52:$R$52,0)+1,FALSE)),0,VLOOKUP($A16,SXS_Transit_input!$A$53:$R$69,MATCH(SXS_Transit_temp!C$2,SXS_Transit_input!$B$52:$R$52,0)+1,FALSE))</f>
        <v>0</v>
      </c>
      <c r="D16">
        <f>IF(ISNA(VLOOKUP($A16,SXS_Transit_input!$A$5:$W$26,MATCH(SXS_Transit_temp!D$2,SXS_Transit_input!$B$4:$W$4,0)+1,FALSE)),0,VLOOKUP($A16,SXS_Transit_input!$A$5:$W$26,MATCH(SXS_Transit_temp!D$2,SXS_Transit_input!$B$4:$W$4,0)+1,FALSE))+IF(ISNA(VLOOKUP($A16,SXS_Transit_input!$A$53:$R$69,MATCH(SXS_Transit_temp!D$2,SXS_Transit_input!$B$52:$R$52,0)+1,FALSE)),0,VLOOKUP($A16,SXS_Transit_input!$A$53:$R$69,MATCH(SXS_Transit_temp!D$2,SXS_Transit_input!$B$52:$R$52,0)+1,FALSE))</f>
        <v>0</v>
      </c>
      <c r="E16">
        <f>IF(ISNA(VLOOKUP($A16,SXS_Transit_input!$A$5:$W$26,MATCH(SXS_Transit_temp!E$2,SXS_Transit_input!$B$4:$W$4,0)+1,FALSE)),0,VLOOKUP($A16,SXS_Transit_input!$A$5:$W$26,MATCH(SXS_Transit_temp!E$2,SXS_Transit_input!$B$4:$W$4,0)+1,FALSE))+IF(ISNA(VLOOKUP($A16,SXS_Transit_input!$A$53:$R$69,MATCH(SXS_Transit_temp!E$2,SXS_Transit_input!$B$52:$R$52,0)+1,FALSE)),0,VLOOKUP($A16,SXS_Transit_input!$A$53:$R$69,MATCH(SXS_Transit_temp!E$2,SXS_Transit_input!$B$52:$R$52,0)+1,FALSE))</f>
        <v>0</v>
      </c>
      <c r="F16">
        <f>IF(ISNA(VLOOKUP($A16,SXS_Transit_input!$A$5:$W$26,MATCH(SXS_Transit_temp!F$2,SXS_Transit_input!$B$4:$W$4,0)+1,FALSE)),0,VLOOKUP($A16,SXS_Transit_input!$A$5:$W$26,MATCH(SXS_Transit_temp!F$2,SXS_Transit_input!$B$4:$W$4,0)+1,FALSE))+IF(ISNA(VLOOKUP($A16,SXS_Transit_input!$A$53:$R$69,MATCH(SXS_Transit_temp!F$2,SXS_Transit_input!$B$52:$R$52,0)+1,FALSE)),0,VLOOKUP($A16,SXS_Transit_input!$A$53:$R$69,MATCH(SXS_Transit_temp!F$2,SXS_Transit_input!$B$52:$R$52,0)+1,FALSE))</f>
        <v>0</v>
      </c>
      <c r="G16">
        <f>IF(ISNA(VLOOKUP($A16,SXS_Transit_input!$A$5:$W$26,MATCH(SXS_Transit_temp!G$2,SXS_Transit_input!$B$4:$W$4,0)+1,FALSE)),0,VLOOKUP($A16,SXS_Transit_input!$A$5:$W$26,MATCH(SXS_Transit_temp!G$2,SXS_Transit_input!$B$4:$W$4,0)+1,FALSE))+IF(ISNA(VLOOKUP($A16,SXS_Transit_input!$A$53:$R$69,MATCH(SXS_Transit_temp!G$2,SXS_Transit_input!$B$52:$R$52,0)+1,FALSE)),0,VLOOKUP($A16,SXS_Transit_input!$A$53:$R$69,MATCH(SXS_Transit_temp!G$2,SXS_Transit_input!$B$52:$R$52,0)+1,FALSE))</f>
        <v>0</v>
      </c>
      <c r="H16">
        <f>IF(ISNA(VLOOKUP($A16,SXS_Transit_input!$A$5:$W$26,MATCH(SXS_Transit_temp!H$2,SXS_Transit_input!$B$4:$W$4,0)+1,FALSE)),0,VLOOKUP($A16,SXS_Transit_input!$A$5:$W$26,MATCH(SXS_Transit_temp!H$2,SXS_Transit_input!$B$4:$W$4,0)+1,FALSE))+IF(ISNA(VLOOKUP($A16,SXS_Transit_input!$A$53:$R$69,MATCH(SXS_Transit_temp!H$2,SXS_Transit_input!$B$52:$R$52,0)+1,FALSE)),0,VLOOKUP($A16,SXS_Transit_input!$A$53:$R$69,MATCH(SXS_Transit_temp!H$2,SXS_Transit_input!$B$52:$R$52,0)+1,FALSE))</f>
        <v>300.01279</v>
      </c>
      <c r="I16">
        <f>IF(ISNA(VLOOKUP($A16,SXS_Transit_input!$A$5:$W$26,MATCH(SXS_Transit_temp!I$2,SXS_Transit_input!$B$4:$W$4,0)+1,FALSE)),0,VLOOKUP($A16,SXS_Transit_input!$A$5:$W$26,MATCH(SXS_Transit_temp!I$2,SXS_Transit_input!$B$4:$W$4,0)+1,FALSE))+IF(ISNA(VLOOKUP($A16,SXS_Transit_input!$A$53:$R$69,MATCH(SXS_Transit_temp!I$2,SXS_Transit_input!$B$52:$R$52,0)+1,FALSE)),0,VLOOKUP($A16,SXS_Transit_input!$A$53:$R$69,MATCH(SXS_Transit_temp!I$2,SXS_Transit_input!$B$52:$R$52,0)+1,FALSE))</f>
        <v>0</v>
      </c>
      <c r="J16">
        <f>IF(ISNA(VLOOKUP($A16,SXS_Transit_input!$A$5:$W$26,MATCH(SXS_Transit_temp!J$2,SXS_Transit_input!$B$4:$W$4,0)+1,FALSE)),0,VLOOKUP($A16,SXS_Transit_input!$A$5:$W$26,MATCH(SXS_Transit_temp!J$2,SXS_Transit_input!$B$4:$W$4,0)+1,FALSE))+IF(ISNA(VLOOKUP($A16,SXS_Transit_input!$A$53:$R$69,MATCH(SXS_Transit_temp!J$2,SXS_Transit_input!$B$52:$R$52,0)+1,FALSE)),0,VLOOKUP($A16,SXS_Transit_input!$A$53:$R$69,MATCH(SXS_Transit_temp!J$2,SXS_Transit_input!$B$52:$R$52,0)+1,FALSE))</f>
        <v>0</v>
      </c>
      <c r="K16">
        <f>IF(ISNA(VLOOKUP($A16,SXS_Transit_input!$A$5:$W$26,MATCH(SXS_Transit_temp!K$2,SXS_Transit_input!$B$4:$W$4,0)+1,FALSE)),0,VLOOKUP($A16,SXS_Transit_input!$A$5:$W$26,MATCH(SXS_Transit_temp!K$2,SXS_Transit_input!$B$4:$W$4,0)+1,FALSE))+IF(ISNA(VLOOKUP($A16,SXS_Transit_input!$A$53:$R$69,MATCH(SXS_Transit_temp!K$2,SXS_Transit_input!$B$52:$R$52,0)+1,FALSE)),0,VLOOKUP($A16,SXS_Transit_input!$A$53:$R$69,MATCH(SXS_Transit_temp!K$2,SXS_Transit_input!$B$52:$R$52,0)+1,FALSE))</f>
        <v>0</v>
      </c>
      <c r="L16">
        <f>IF(ISNA(VLOOKUP($A16,SXS_Transit_input!$A$5:$W$26,MATCH(SXS_Transit_temp!L$2,SXS_Transit_input!$B$4:$W$4,0)+1,FALSE)),0,VLOOKUP($A16,SXS_Transit_input!$A$5:$W$26,MATCH(SXS_Transit_temp!L$2,SXS_Transit_input!$B$4:$W$4,0)+1,FALSE))+IF(ISNA(VLOOKUP($A16,SXS_Transit_input!$A$53:$R$69,MATCH(SXS_Transit_temp!L$2,SXS_Transit_input!$B$52:$R$52,0)+1,FALSE)),0,VLOOKUP($A16,SXS_Transit_input!$A$53:$R$69,MATCH(SXS_Transit_temp!L$2,SXS_Transit_input!$B$52:$R$52,0)+1,FALSE))</f>
        <v>0</v>
      </c>
      <c r="M16">
        <f>IF(ISNA(VLOOKUP($A16,SXS_Transit_input!$A$5:$W$26,MATCH(SXS_Transit_temp!M$2,SXS_Transit_input!$B$4:$W$4,0)+1,FALSE)),0,VLOOKUP($A16,SXS_Transit_input!$A$5:$W$26,MATCH(SXS_Transit_temp!M$2,SXS_Transit_input!$B$4:$W$4,0)+1,FALSE))+IF(ISNA(VLOOKUP($A16,SXS_Transit_input!$A$53:$R$69,MATCH(SXS_Transit_temp!M$2,SXS_Transit_input!$B$52:$R$52,0)+1,FALSE)),0,VLOOKUP($A16,SXS_Transit_input!$A$53:$R$69,MATCH(SXS_Transit_temp!M$2,SXS_Transit_input!$B$52:$R$52,0)+1,FALSE))</f>
        <v>0</v>
      </c>
      <c r="N16">
        <f>IF(ISNA(VLOOKUP($A16,SXS_Transit_input!$A$5:$W$26,MATCH(SXS_Transit_temp!N$2,SXS_Transit_input!$B$4:$W$4,0)+1,FALSE)),0,VLOOKUP($A16,SXS_Transit_input!$A$5:$W$26,MATCH(SXS_Transit_temp!N$2,SXS_Transit_input!$B$4:$W$4,0)+1,FALSE))+IF(ISNA(VLOOKUP($A16,SXS_Transit_input!$A$53:$R$69,MATCH(SXS_Transit_temp!N$2,SXS_Transit_input!$B$52:$R$52,0)+1,FALSE)),0,VLOOKUP($A16,SXS_Transit_input!$A$53:$R$69,MATCH(SXS_Transit_temp!N$2,SXS_Transit_input!$B$52:$R$52,0)+1,FALSE))</f>
        <v>143.37578999999999</v>
      </c>
      <c r="O16">
        <f>IF(ISNA(VLOOKUP($A16,SXS_Transit_input!$A$5:$W$26,MATCH(SXS_Transit_temp!O$2,SXS_Transit_input!$B$4:$W$4,0)+1,FALSE)),0,VLOOKUP($A16,SXS_Transit_input!$A$5:$W$26,MATCH(SXS_Transit_temp!O$2,SXS_Transit_input!$B$4:$W$4,0)+1,FALSE))+IF(ISNA(VLOOKUP($A16,SXS_Transit_input!$A$53:$R$69,MATCH(SXS_Transit_temp!O$2,SXS_Transit_input!$B$52:$R$52,0)+1,FALSE)),0,VLOOKUP($A16,SXS_Transit_input!$A$53:$R$69,MATCH(SXS_Transit_temp!O$2,SXS_Transit_input!$B$52:$R$52,0)+1,FALSE))</f>
        <v>0</v>
      </c>
      <c r="P16">
        <f>IF(ISNA(VLOOKUP($A16,SXS_Transit_input!$A$5:$W$26,MATCH(SXS_Transit_temp!P$2,SXS_Transit_input!$B$4:$W$4,0)+1,FALSE)),0,VLOOKUP($A16,SXS_Transit_input!$A$5:$W$26,MATCH(SXS_Transit_temp!P$2,SXS_Transit_input!$B$4:$W$4,0)+1,FALSE))+IF(ISNA(VLOOKUP($A16,SXS_Transit_input!$A$53:$R$69,MATCH(SXS_Transit_temp!P$2,SXS_Transit_input!$B$52:$R$52,0)+1,FALSE)),0,VLOOKUP($A16,SXS_Transit_input!$A$53:$R$69,MATCH(SXS_Transit_temp!P$2,SXS_Transit_input!$B$52:$R$52,0)+1,FALSE))</f>
        <v>0</v>
      </c>
      <c r="Q16">
        <f>IF(ISNA(VLOOKUP($A16,SXS_Transit_input!$A$5:$W$26,MATCH(SXS_Transit_temp!Q$2,SXS_Transit_input!$B$4:$W$4,0)+1,FALSE)),0,VLOOKUP($A16,SXS_Transit_input!$A$5:$W$26,MATCH(SXS_Transit_temp!Q$2,SXS_Transit_input!$B$4:$W$4,0)+1,FALSE))+IF(ISNA(VLOOKUP($A16,SXS_Transit_input!$A$53:$R$69,MATCH(SXS_Transit_temp!Q$2,SXS_Transit_input!$B$52:$R$52,0)+1,FALSE)),0,VLOOKUP($A16,SXS_Transit_input!$A$53:$R$69,MATCH(SXS_Transit_temp!Q$2,SXS_Transit_input!$B$52:$R$52,0)+1,FALSE))</f>
        <v>0</v>
      </c>
      <c r="R16">
        <f>IF(ISNA(VLOOKUP($A16,SXS_Transit_input!$A$5:$W$26,MATCH(SXS_Transit_temp!R$2,SXS_Transit_input!$B$4:$W$4,0)+1,FALSE)),0,VLOOKUP($A16,SXS_Transit_input!$A$5:$W$26,MATCH(SXS_Transit_temp!R$2,SXS_Transit_input!$B$4:$W$4,0)+1,FALSE))+IF(ISNA(VLOOKUP($A16,SXS_Transit_input!$A$53:$R$69,MATCH(SXS_Transit_temp!R$2,SXS_Transit_input!$B$52:$R$52,0)+1,FALSE)),0,VLOOKUP($A16,SXS_Transit_input!$A$53:$R$69,MATCH(SXS_Transit_temp!R$2,SXS_Transit_input!$B$52:$R$52,0)+1,FALSE))</f>
        <v>0</v>
      </c>
      <c r="S16">
        <f>IF(ISNA(VLOOKUP($A16,SXS_Transit_input!$A$5:$W$26,MATCH(SXS_Transit_temp!S$2,SXS_Transit_input!$B$4:$W$4,0)+1,FALSE)),0,VLOOKUP($A16,SXS_Transit_input!$A$5:$W$26,MATCH(SXS_Transit_temp!S$2,SXS_Transit_input!$B$4:$W$4,0)+1,FALSE))+IF(ISNA(VLOOKUP($A16,SXS_Transit_input!$A$53:$R$69,MATCH(SXS_Transit_temp!S$2,SXS_Transit_input!$B$52:$R$52,0)+1,FALSE)),0,VLOOKUP($A16,SXS_Transit_input!$A$53:$R$69,MATCH(SXS_Transit_temp!S$2,SXS_Transit_input!$B$52:$R$52,0)+1,FALSE))</f>
        <v>0</v>
      </c>
      <c r="T16">
        <f>IF(ISNA(VLOOKUP($A16,SXS_Transit_input!$A$5:$W$26,MATCH(SXS_Transit_temp!T$2,SXS_Transit_input!$B$4:$W$4,0)+1,FALSE)),0,VLOOKUP($A16,SXS_Transit_input!$A$5:$W$26,MATCH(SXS_Transit_temp!T$2,SXS_Transit_input!$B$4:$W$4,0)+1,FALSE))+IF(ISNA(VLOOKUP($A16,SXS_Transit_input!$A$53:$R$69,MATCH(SXS_Transit_temp!T$2,SXS_Transit_input!$B$52:$R$52,0)+1,FALSE)),0,VLOOKUP($A16,SXS_Transit_input!$A$53:$R$69,MATCH(SXS_Transit_temp!T$2,SXS_Transit_input!$B$52:$R$52,0)+1,FALSE))</f>
        <v>0</v>
      </c>
      <c r="U16">
        <f>IF(ISNA(VLOOKUP($A16,SXS_Transit_input!$A$5:$W$26,MATCH(SXS_Transit_temp!U$2,SXS_Transit_input!$B$4:$W$4,0)+1,FALSE)),0,VLOOKUP($A16,SXS_Transit_input!$A$5:$W$26,MATCH(SXS_Transit_temp!U$2,SXS_Transit_input!$B$4:$W$4,0)+1,FALSE))+IF(ISNA(VLOOKUP($A16,SXS_Transit_input!$A$53:$R$69,MATCH(SXS_Transit_temp!U$2,SXS_Transit_input!$B$52:$R$52,0)+1,FALSE)),0,VLOOKUP($A16,SXS_Transit_input!$A$53:$R$69,MATCH(SXS_Transit_temp!U$2,SXS_Transit_input!$B$52:$R$52,0)+1,FALSE))</f>
        <v>0</v>
      </c>
      <c r="V16">
        <f>IF(ISNA(VLOOKUP($A16,SXS_Transit_input!$A$5:$W$26,MATCH(SXS_Transit_temp!V$2,SXS_Transit_input!$B$4:$W$4,0)+1,FALSE)),0,VLOOKUP($A16,SXS_Transit_input!$A$5:$W$26,MATCH(SXS_Transit_temp!V$2,SXS_Transit_input!$B$4:$W$4,0)+1,FALSE))+IF(ISNA(VLOOKUP($A16,SXS_Transit_input!$A$53:$R$69,MATCH(SXS_Transit_temp!V$2,SXS_Transit_input!$B$52:$R$52,0)+1,FALSE)),0,VLOOKUP($A16,SXS_Transit_input!$A$53:$R$69,MATCH(SXS_Transit_temp!V$2,SXS_Transit_input!$B$52:$R$52,0)+1,FALSE))</f>
        <v>0</v>
      </c>
      <c r="W16">
        <f>IF(ISNA(VLOOKUP($A16,SXS_Transit_input!$A$5:$W$26,MATCH(SXS_Transit_temp!W$2,SXS_Transit_input!$B$4:$W$4,0)+1,FALSE)),0,VLOOKUP($A16,SXS_Transit_input!$A$5:$W$26,MATCH(SXS_Transit_temp!W$2,SXS_Transit_input!$B$4:$W$4,0)+1,FALSE))+IF(ISNA(VLOOKUP($A16,SXS_Transit_input!$A$53:$R$69,MATCH(SXS_Transit_temp!W$2,SXS_Transit_input!$B$52:$R$52,0)+1,FALSE)),0,VLOOKUP($A16,SXS_Transit_input!$A$53:$R$69,MATCH(SXS_Transit_temp!W$2,SXS_Transit_input!$B$52:$R$52,0)+1,FALSE))</f>
        <v>0</v>
      </c>
      <c r="X16">
        <f>IF(ISNA(VLOOKUP($A16,SXS_Transit_input!$A$5:$W$26,MATCH(SXS_Transit_temp!X$2,SXS_Transit_input!$B$4:$W$4,0)+1,FALSE)),0,VLOOKUP($A16,SXS_Transit_input!$A$5:$W$26,MATCH(SXS_Transit_temp!X$2,SXS_Transit_input!$B$4:$W$4,0)+1,FALSE))+IF(ISNA(VLOOKUP($A16,SXS_Transit_input!$A$53:$R$69,MATCH(SXS_Transit_temp!X$2,SXS_Transit_input!$B$52:$R$52,0)+1,FALSE)),0,VLOOKUP($A16,SXS_Transit_input!$A$53:$R$69,MATCH(SXS_Transit_temp!X$2,SXS_Transit_input!$B$52:$R$52,0)+1,FALSE))</f>
        <v>0</v>
      </c>
      <c r="Y16">
        <f>IF(ISNA(VLOOKUP($A16,SXS_Transit_input!$A$5:$W$26,MATCH(SXS_Transit_temp!Y$2,SXS_Transit_input!$B$4:$W$4,0)+1,FALSE)),0,VLOOKUP($A16,SXS_Transit_input!$A$5:$W$26,MATCH(SXS_Transit_temp!Y$2,SXS_Transit_input!$B$4:$W$4,0)+1,FALSE))+IF(ISNA(VLOOKUP($A16,SXS_Transit_input!$A$53:$R$69,MATCH(SXS_Transit_temp!Y$2,SXS_Transit_input!$B$52:$R$52,0)+1,FALSE)),0,VLOOKUP($A16,SXS_Transit_input!$A$53:$R$69,MATCH(SXS_Transit_temp!Y$2,SXS_Transit_input!$B$52:$R$52,0)+1,FALSE))</f>
        <v>0</v>
      </c>
      <c r="Z16">
        <f>IF(ISNA(VLOOKUP($A16,SXS_Transit_input!$A$5:$W$26,MATCH(SXS_Transit_temp!Z$2,SXS_Transit_input!$B$4:$W$4,0)+1,FALSE)),0,VLOOKUP($A16,SXS_Transit_input!$A$5:$W$26,MATCH(SXS_Transit_temp!Z$2,SXS_Transit_input!$B$4:$W$4,0)+1,FALSE))+IF(ISNA(VLOOKUP($A16,SXS_Transit_input!$A$53:$R$69,MATCH(SXS_Transit_temp!Z$2,SXS_Transit_input!$B$52:$R$52,0)+1,FALSE)),0,VLOOKUP($A16,SXS_Transit_input!$A$53:$R$69,MATCH(SXS_Transit_temp!Z$2,SXS_Transit_input!$B$52:$R$52,0)+1,FALSE))</f>
        <v>189.87280999999999</v>
      </c>
      <c r="AA16">
        <v>14</v>
      </c>
      <c r="AB16" s="33">
        <f t="shared" si="1"/>
        <v>295</v>
      </c>
      <c r="AC16" s="34">
        <f t="shared" si="11"/>
        <v>9</v>
      </c>
      <c r="AD16" s="34">
        <f t="shared" si="12"/>
        <v>5</v>
      </c>
      <c r="AE16" s="34">
        <f t="shared" si="13"/>
        <v>0</v>
      </c>
      <c r="AF16" s="34">
        <f t="shared" si="14"/>
        <v>6</v>
      </c>
      <c r="AG16" s="34">
        <f t="shared" si="15"/>
        <v>9</v>
      </c>
      <c r="AH16" s="34">
        <f t="shared" si="16"/>
        <v>144</v>
      </c>
      <c r="AI16" s="34">
        <f t="shared" si="17"/>
        <v>88</v>
      </c>
      <c r="AJ16" s="34">
        <f t="shared" si="18"/>
        <v>0</v>
      </c>
      <c r="AK16" s="34">
        <f t="shared" si="19"/>
        <v>0</v>
      </c>
      <c r="AL16" s="34">
        <f t="shared" si="20"/>
        <v>0</v>
      </c>
      <c r="AM16" s="34">
        <f t="shared" si="21"/>
        <v>0</v>
      </c>
      <c r="AN16" s="34">
        <f t="shared" si="22"/>
        <v>4</v>
      </c>
      <c r="AO16" s="34">
        <f t="shared" si="23"/>
        <v>244</v>
      </c>
      <c r="AP16" s="34">
        <f t="shared" si="24"/>
        <v>7</v>
      </c>
      <c r="AQ16" s="34">
        <f t="shared" si="25"/>
        <v>0</v>
      </c>
      <c r="AR16" s="34">
        <f t="shared" si="2"/>
        <v>0</v>
      </c>
      <c r="AS16" s="34">
        <f t="shared" si="3"/>
        <v>0</v>
      </c>
      <c r="AT16" s="34">
        <f t="shared" si="4"/>
        <v>0</v>
      </c>
      <c r="AU16" s="34">
        <f t="shared" si="5"/>
        <v>0</v>
      </c>
      <c r="AV16" s="34">
        <f t="shared" si="6"/>
        <v>0</v>
      </c>
      <c r="AW16" s="34">
        <f t="shared" si="7"/>
        <v>0</v>
      </c>
      <c r="AX16" s="34">
        <f t="shared" si="8"/>
        <v>0</v>
      </c>
      <c r="AY16" s="34">
        <f t="shared" si="9"/>
        <v>0</v>
      </c>
      <c r="AZ16" s="35">
        <f t="shared" si="10"/>
        <v>15</v>
      </c>
      <c r="BC16">
        <v>14</v>
      </c>
      <c r="BD16">
        <v>291</v>
      </c>
      <c r="BE16">
        <v>9</v>
      </c>
      <c r="BF16">
        <v>5</v>
      </c>
      <c r="BG16">
        <v>0</v>
      </c>
      <c r="BH16">
        <v>6</v>
      </c>
      <c r="BI16">
        <v>9</v>
      </c>
      <c r="BJ16">
        <v>134</v>
      </c>
      <c r="BK16">
        <v>86</v>
      </c>
      <c r="BL16">
        <v>0</v>
      </c>
      <c r="BM16">
        <v>0</v>
      </c>
      <c r="BN16">
        <v>0</v>
      </c>
      <c r="BO16">
        <v>0</v>
      </c>
      <c r="BP16">
        <v>4</v>
      </c>
      <c r="BQ16">
        <v>226</v>
      </c>
      <c r="BR16">
        <v>7</v>
      </c>
      <c r="BS16">
        <v>0</v>
      </c>
      <c r="BT16">
        <v>0</v>
      </c>
      <c r="BU16">
        <v>0</v>
      </c>
      <c r="BV16">
        <v>0</v>
      </c>
      <c r="BW16">
        <v>0</v>
      </c>
      <c r="BX16">
        <v>0</v>
      </c>
      <c r="BY16">
        <v>0</v>
      </c>
      <c r="BZ16">
        <v>0</v>
      </c>
      <c r="CA16">
        <v>0</v>
      </c>
      <c r="CB16">
        <v>15</v>
      </c>
    </row>
    <row r="17" spans="1:80" x14ac:dyDescent="0.25">
      <c r="A17">
        <v>15</v>
      </c>
      <c r="B17">
        <f>IF(ISNA(VLOOKUP($A17,SXS_Transit_input!$A$5:$W$26,MATCH(SXS_Transit_temp!B$2,SXS_Transit_input!$B$4:$W$4,0)+1,FALSE)),0,VLOOKUP($A17,SXS_Transit_input!$A$5:$W$26,MATCH(SXS_Transit_temp!B$2,SXS_Transit_input!$B$4:$W$4,0)+1,FALSE))+IF(ISNA(VLOOKUP($A17,SXS_Transit_input!$A$53:$R$69,MATCH(SXS_Transit_temp!B$2,SXS_Transit_input!$B$52:$R$52,0)+1,FALSE)),0,VLOOKUP($A17,SXS_Transit_input!$A$53:$R$69,MATCH(SXS_Transit_temp!B$2,SXS_Transit_input!$B$52:$R$52,0)+1,FALSE))</f>
        <v>10665.691930000001</v>
      </c>
      <c r="C17">
        <f>IF(ISNA(VLOOKUP($A17,SXS_Transit_input!$A$5:$W$26,MATCH(SXS_Transit_temp!C$2,SXS_Transit_input!$B$4:$W$4,0)+1,FALSE)),0,VLOOKUP($A17,SXS_Transit_input!$A$5:$W$26,MATCH(SXS_Transit_temp!C$2,SXS_Transit_input!$B$4:$W$4,0)+1,FALSE))+IF(ISNA(VLOOKUP($A17,SXS_Transit_input!$A$53:$R$69,MATCH(SXS_Transit_temp!C$2,SXS_Transit_input!$B$52:$R$52,0)+1,FALSE)),0,VLOOKUP($A17,SXS_Transit_input!$A$53:$R$69,MATCH(SXS_Transit_temp!C$2,SXS_Transit_input!$B$52:$R$52,0)+1,FALSE))</f>
        <v>0</v>
      </c>
      <c r="D17">
        <f>IF(ISNA(VLOOKUP($A17,SXS_Transit_input!$A$5:$W$26,MATCH(SXS_Transit_temp!D$2,SXS_Transit_input!$B$4:$W$4,0)+1,FALSE)),0,VLOOKUP($A17,SXS_Transit_input!$A$5:$W$26,MATCH(SXS_Transit_temp!D$2,SXS_Transit_input!$B$4:$W$4,0)+1,FALSE))+IF(ISNA(VLOOKUP($A17,SXS_Transit_input!$A$53:$R$69,MATCH(SXS_Transit_temp!D$2,SXS_Transit_input!$B$52:$R$52,0)+1,FALSE)),0,VLOOKUP($A17,SXS_Transit_input!$A$53:$R$69,MATCH(SXS_Transit_temp!D$2,SXS_Transit_input!$B$52:$R$52,0)+1,FALSE))</f>
        <v>0</v>
      </c>
      <c r="E17">
        <f>IF(ISNA(VLOOKUP($A17,SXS_Transit_input!$A$5:$W$26,MATCH(SXS_Transit_temp!E$2,SXS_Transit_input!$B$4:$W$4,0)+1,FALSE)),0,VLOOKUP($A17,SXS_Transit_input!$A$5:$W$26,MATCH(SXS_Transit_temp!E$2,SXS_Transit_input!$B$4:$W$4,0)+1,FALSE))+IF(ISNA(VLOOKUP($A17,SXS_Transit_input!$A$53:$R$69,MATCH(SXS_Transit_temp!E$2,SXS_Transit_input!$B$52:$R$52,0)+1,FALSE)),0,VLOOKUP($A17,SXS_Transit_input!$A$53:$R$69,MATCH(SXS_Transit_temp!E$2,SXS_Transit_input!$B$52:$R$52,0)+1,FALSE))</f>
        <v>0</v>
      </c>
      <c r="F17">
        <f>IF(ISNA(VLOOKUP($A17,SXS_Transit_input!$A$5:$W$26,MATCH(SXS_Transit_temp!F$2,SXS_Transit_input!$B$4:$W$4,0)+1,FALSE)),0,VLOOKUP($A17,SXS_Transit_input!$A$5:$W$26,MATCH(SXS_Transit_temp!F$2,SXS_Transit_input!$B$4:$W$4,0)+1,FALSE))+IF(ISNA(VLOOKUP($A17,SXS_Transit_input!$A$53:$R$69,MATCH(SXS_Transit_temp!F$2,SXS_Transit_input!$B$52:$R$52,0)+1,FALSE)),0,VLOOKUP($A17,SXS_Transit_input!$A$53:$R$69,MATCH(SXS_Transit_temp!F$2,SXS_Transit_input!$B$52:$R$52,0)+1,FALSE))</f>
        <v>0</v>
      </c>
      <c r="G17">
        <f>IF(ISNA(VLOOKUP($A17,SXS_Transit_input!$A$5:$W$26,MATCH(SXS_Transit_temp!G$2,SXS_Transit_input!$B$4:$W$4,0)+1,FALSE)),0,VLOOKUP($A17,SXS_Transit_input!$A$5:$W$26,MATCH(SXS_Transit_temp!G$2,SXS_Transit_input!$B$4:$W$4,0)+1,FALSE))+IF(ISNA(VLOOKUP($A17,SXS_Transit_input!$A$53:$R$69,MATCH(SXS_Transit_temp!G$2,SXS_Transit_input!$B$52:$R$52,0)+1,FALSE)),0,VLOOKUP($A17,SXS_Transit_input!$A$53:$R$69,MATCH(SXS_Transit_temp!G$2,SXS_Transit_input!$B$52:$R$52,0)+1,FALSE))</f>
        <v>0</v>
      </c>
      <c r="H17">
        <f>IF(ISNA(VLOOKUP($A17,SXS_Transit_input!$A$5:$W$26,MATCH(SXS_Transit_temp!H$2,SXS_Transit_input!$B$4:$W$4,0)+1,FALSE)),0,VLOOKUP($A17,SXS_Transit_input!$A$5:$W$26,MATCH(SXS_Transit_temp!H$2,SXS_Transit_input!$B$4:$W$4,0)+1,FALSE))+IF(ISNA(VLOOKUP($A17,SXS_Transit_input!$A$53:$R$69,MATCH(SXS_Transit_temp!H$2,SXS_Transit_input!$B$52:$R$52,0)+1,FALSE)),0,VLOOKUP($A17,SXS_Transit_input!$A$53:$R$69,MATCH(SXS_Transit_temp!H$2,SXS_Transit_input!$B$52:$R$52,0)+1,FALSE))</f>
        <v>84.101759999999999</v>
      </c>
      <c r="I17">
        <f>IF(ISNA(VLOOKUP($A17,SXS_Transit_input!$A$5:$W$26,MATCH(SXS_Transit_temp!I$2,SXS_Transit_input!$B$4:$W$4,0)+1,FALSE)),0,VLOOKUP($A17,SXS_Transit_input!$A$5:$W$26,MATCH(SXS_Transit_temp!I$2,SXS_Transit_input!$B$4:$W$4,0)+1,FALSE))+IF(ISNA(VLOOKUP($A17,SXS_Transit_input!$A$53:$R$69,MATCH(SXS_Transit_temp!I$2,SXS_Transit_input!$B$52:$R$52,0)+1,FALSE)),0,VLOOKUP($A17,SXS_Transit_input!$A$53:$R$69,MATCH(SXS_Transit_temp!I$2,SXS_Transit_input!$B$52:$R$52,0)+1,FALSE))</f>
        <v>4141.5166799999997</v>
      </c>
      <c r="J17">
        <f>IF(ISNA(VLOOKUP($A17,SXS_Transit_input!$A$5:$W$26,MATCH(SXS_Transit_temp!J$2,SXS_Transit_input!$B$4:$W$4,0)+1,FALSE)),0,VLOOKUP($A17,SXS_Transit_input!$A$5:$W$26,MATCH(SXS_Transit_temp!J$2,SXS_Transit_input!$B$4:$W$4,0)+1,FALSE))+IF(ISNA(VLOOKUP($A17,SXS_Transit_input!$A$53:$R$69,MATCH(SXS_Transit_temp!J$2,SXS_Transit_input!$B$52:$R$52,0)+1,FALSE)),0,VLOOKUP($A17,SXS_Transit_input!$A$53:$R$69,MATCH(SXS_Transit_temp!J$2,SXS_Transit_input!$B$52:$R$52,0)+1,FALSE))</f>
        <v>0</v>
      </c>
      <c r="K17">
        <f>IF(ISNA(VLOOKUP($A17,SXS_Transit_input!$A$5:$W$26,MATCH(SXS_Transit_temp!K$2,SXS_Transit_input!$B$4:$W$4,0)+1,FALSE)),0,VLOOKUP($A17,SXS_Transit_input!$A$5:$W$26,MATCH(SXS_Transit_temp!K$2,SXS_Transit_input!$B$4:$W$4,0)+1,FALSE))+IF(ISNA(VLOOKUP($A17,SXS_Transit_input!$A$53:$R$69,MATCH(SXS_Transit_temp!K$2,SXS_Transit_input!$B$52:$R$52,0)+1,FALSE)),0,VLOOKUP($A17,SXS_Transit_input!$A$53:$R$69,MATCH(SXS_Transit_temp!K$2,SXS_Transit_input!$B$52:$R$52,0)+1,FALSE))</f>
        <v>0</v>
      </c>
      <c r="L17">
        <f>IF(ISNA(VLOOKUP($A17,SXS_Transit_input!$A$5:$W$26,MATCH(SXS_Transit_temp!L$2,SXS_Transit_input!$B$4:$W$4,0)+1,FALSE)),0,VLOOKUP($A17,SXS_Transit_input!$A$5:$W$26,MATCH(SXS_Transit_temp!L$2,SXS_Transit_input!$B$4:$W$4,0)+1,FALSE))+IF(ISNA(VLOOKUP($A17,SXS_Transit_input!$A$53:$R$69,MATCH(SXS_Transit_temp!L$2,SXS_Transit_input!$B$52:$R$52,0)+1,FALSE)),0,VLOOKUP($A17,SXS_Transit_input!$A$53:$R$69,MATCH(SXS_Transit_temp!L$2,SXS_Transit_input!$B$52:$R$52,0)+1,FALSE))</f>
        <v>0</v>
      </c>
      <c r="M17">
        <f>IF(ISNA(VLOOKUP($A17,SXS_Transit_input!$A$5:$W$26,MATCH(SXS_Transit_temp!M$2,SXS_Transit_input!$B$4:$W$4,0)+1,FALSE)),0,VLOOKUP($A17,SXS_Transit_input!$A$5:$W$26,MATCH(SXS_Transit_temp!M$2,SXS_Transit_input!$B$4:$W$4,0)+1,FALSE))+IF(ISNA(VLOOKUP($A17,SXS_Transit_input!$A$53:$R$69,MATCH(SXS_Transit_temp!M$2,SXS_Transit_input!$B$52:$R$52,0)+1,FALSE)),0,VLOOKUP($A17,SXS_Transit_input!$A$53:$R$69,MATCH(SXS_Transit_temp!M$2,SXS_Transit_input!$B$52:$R$52,0)+1,FALSE))</f>
        <v>0</v>
      </c>
      <c r="N17">
        <f>IF(ISNA(VLOOKUP($A17,SXS_Transit_input!$A$5:$W$26,MATCH(SXS_Transit_temp!N$2,SXS_Transit_input!$B$4:$W$4,0)+1,FALSE)),0,VLOOKUP($A17,SXS_Transit_input!$A$5:$W$26,MATCH(SXS_Transit_temp!N$2,SXS_Transit_input!$B$4:$W$4,0)+1,FALSE))+IF(ISNA(VLOOKUP($A17,SXS_Transit_input!$A$53:$R$69,MATCH(SXS_Transit_temp!N$2,SXS_Transit_input!$B$52:$R$52,0)+1,FALSE)),0,VLOOKUP($A17,SXS_Transit_input!$A$53:$R$69,MATCH(SXS_Transit_temp!N$2,SXS_Transit_input!$B$52:$R$52,0)+1,FALSE))</f>
        <v>0</v>
      </c>
      <c r="O17">
        <f>IF(ISNA(VLOOKUP($A17,SXS_Transit_input!$A$5:$W$26,MATCH(SXS_Transit_temp!O$2,SXS_Transit_input!$B$4:$W$4,0)+1,FALSE)),0,VLOOKUP($A17,SXS_Transit_input!$A$5:$W$26,MATCH(SXS_Transit_temp!O$2,SXS_Transit_input!$B$4:$W$4,0)+1,FALSE))+IF(ISNA(VLOOKUP($A17,SXS_Transit_input!$A$53:$R$69,MATCH(SXS_Transit_temp!O$2,SXS_Transit_input!$B$52:$R$52,0)+1,FALSE)),0,VLOOKUP($A17,SXS_Transit_input!$A$53:$R$69,MATCH(SXS_Transit_temp!O$2,SXS_Transit_input!$B$52:$R$52,0)+1,FALSE))</f>
        <v>0</v>
      </c>
      <c r="P17">
        <f>IF(ISNA(VLOOKUP($A17,SXS_Transit_input!$A$5:$W$26,MATCH(SXS_Transit_temp!P$2,SXS_Transit_input!$B$4:$W$4,0)+1,FALSE)),0,VLOOKUP($A17,SXS_Transit_input!$A$5:$W$26,MATCH(SXS_Transit_temp!P$2,SXS_Transit_input!$B$4:$W$4,0)+1,FALSE))+IF(ISNA(VLOOKUP($A17,SXS_Transit_input!$A$53:$R$69,MATCH(SXS_Transit_temp!P$2,SXS_Transit_input!$B$52:$R$52,0)+1,FALSE)),0,VLOOKUP($A17,SXS_Transit_input!$A$53:$R$69,MATCH(SXS_Transit_temp!P$2,SXS_Transit_input!$B$52:$R$52,0)+1,FALSE))</f>
        <v>567.04692999999997</v>
      </c>
      <c r="Q17">
        <f>IF(ISNA(VLOOKUP($A17,SXS_Transit_input!$A$5:$W$26,MATCH(SXS_Transit_temp!Q$2,SXS_Transit_input!$B$4:$W$4,0)+1,FALSE)),0,VLOOKUP($A17,SXS_Transit_input!$A$5:$W$26,MATCH(SXS_Transit_temp!Q$2,SXS_Transit_input!$B$4:$W$4,0)+1,FALSE))+IF(ISNA(VLOOKUP($A17,SXS_Transit_input!$A$53:$R$69,MATCH(SXS_Transit_temp!Q$2,SXS_Transit_input!$B$52:$R$52,0)+1,FALSE)),0,VLOOKUP($A17,SXS_Transit_input!$A$53:$R$69,MATCH(SXS_Transit_temp!Q$2,SXS_Transit_input!$B$52:$R$52,0)+1,FALSE))</f>
        <v>0</v>
      </c>
      <c r="R17">
        <f>IF(ISNA(VLOOKUP($A17,SXS_Transit_input!$A$5:$W$26,MATCH(SXS_Transit_temp!R$2,SXS_Transit_input!$B$4:$W$4,0)+1,FALSE)),0,VLOOKUP($A17,SXS_Transit_input!$A$5:$W$26,MATCH(SXS_Transit_temp!R$2,SXS_Transit_input!$B$4:$W$4,0)+1,FALSE))+IF(ISNA(VLOOKUP($A17,SXS_Transit_input!$A$53:$R$69,MATCH(SXS_Transit_temp!R$2,SXS_Transit_input!$B$52:$R$52,0)+1,FALSE)),0,VLOOKUP($A17,SXS_Transit_input!$A$53:$R$69,MATCH(SXS_Transit_temp!R$2,SXS_Transit_input!$B$52:$R$52,0)+1,FALSE))</f>
        <v>0</v>
      </c>
      <c r="S17">
        <f>IF(ISNA(VLOOKUP($A17,SXS_Transit_input!$A$5:$W$26,MATCH(SXS_Transit_temp!S$2,SXS_Transit_input!$B$4:$W$4,0)+1,FALSE)),0,VLOOKUP($A17,SXS_Transit_input!$A$5:$W$26,MATCH(SXS_Transit_temp!S$2,SXS_Transit_input!$B$4:$W$4,0)+1,FALSE))+IF(ISNA(VLOOKUP($A17,SXS_Transit_input!$A$53:$R$69,MATCH(SXS_Transit_temp!S$2,SXS_Transit_input!$B$52:$R$52,0)+1,FALSE)),0,VLOOKUP($A17,SXS_Transit_input!$A$53:$R$69,MATCH(SXS_Transit_temp!S$2,SXS_Transit_input!$B$52:$R$52,0)+1,FALSE))</f>
        <v>0</v>
      </c>
      <c r="T17">
        <f>IF(ISNA(VLOOKUP($A17,SXS_Transit_input!$A$5:$W$26,MATCH(SXS_Transit_temp!T$2,SXS_Transit_input!$B$4:$W$4,0)+1,FALSE)),0,VLOOKUP($A17,SXS_Transit_input!$A$5:$W$26,MATCH(SXS_Transit_temp!T$2,SXS_Transit_input!$B$4:$W$4,0)+1,FALSE))+IF(ISNA(VLOOKUP($A17,SXS_Transit_input!$A$53:$R$69,MATCH(SXS_Transit_temp!T$2,SXS_Transit_input!$B$52:$R$52,0)+1,FALSE)),0,VLOOKUP($A17,SXS_Transit_input!$A$53:$R$69,MATCH(SXS_Transit_temp!T$2,SXS_Transit_input!$B$52:$R$52,0)+1,FALSE))</f>
        <v>0</v>
      </c>
      <c r="U17">
        <f>IF(ISNA(VLOOKUP($A17,SXS_Transit_input!$A$5:$W$26,MATCH(SXS_Transit_temp!U$2,SXS_Transit_input!$B$4:$W$4,0)+1,FALSE)),0,VLOOKUP($A17,SXS_Transit_input!$A$5:$W$26,MATCH(SXS_Transit_temp!U$2,SXS_Transit_input!$B$4:$W$4,0)+1,FALSE))+IF(ISNA(VLOOKUP($A17,SXS_Transit_input!$A$53:$R$69,MATCH(SXS_Transit_temp!U$2,SXS_Transit_input!$B$52:$R$52,0)+1,FALSE)),0,VLOOKUP($A17,SXS_Transit_input!$A$53:$R$69,MATCH(SXS_Transit_temp!U$2,SXS_Transit_input!$B$52:$R$52,0)+1,FALSE))</f>
        <v>0</v>
      </c>
      <c r="V17">
        <f>IF(ISNA(VLOOKUP($A17,SXS_Transit_input!$A$5:$W$26,MATCH(SXS_Transit_temp!V$2,SXS_Transit_input!$B$4:$W$4,0)+1,FALSE)),0,VLOOKUP($A17,SXS_Transit_input!$A$5:$W$26,MATCH(SXS_Transit_temp!V$2,SXS_Transit_input!$B$4:$W$4,0)+1,FALSE))+IF(ISNA(VLOOKUP($A17,SXS_Transit_input!$A$53:$R$69,MATCH(SXS_Transit_temp!V$2,SXS_Transit_input!$B$52:$R$52,0)+1,FALSE)),0,VLOOKUP($A17,SXS_Transit_input!$A$53:$R$69,MATCH(SXS_Transit_temp!V$2,SXS_Transit_input!$B$52:$R$52,0)+1,FALSE))</f>
        <v>0</v>
      </c>
      <c r="W17">
        <f>IF(ISNA(VLOOKUP($A17,SXS_Transit_input!$A$5:$W$26,MATCH(SXS_Transit_temp!W$2,SXS_Transit_input!$B$4:$W$4,0)+1,FALSE)),0,VLOOKUP($A17,SXS_Transit_input!$A$5:$W$26,MATCH(SXS_Transit_temp!W$2,SXS_Transit_input!$B$4:$W$4,0)+1,FALSE))+IF(ISNA(VLOOKUP($A17,SXS_Transit_input!$A$53:$R$69,MATCH(SXS_Transit_temp!W$2,SXS_Transit_input!$B$52:$R$52,0)+1,FALSE)),0,VLOOKUP($A17,SXS_Transit_input!$A$53:$R$69,MATCH(SXS_Transit_temp!W$2,SXS_Transit_input!$B$52:$R$52,0)+1,FALSE))</f>
        <v>0</v>
      </c>
      <c r="X17">
        <f>IF(ISNA(VLOOKUP($A17,SXS_Transit_input!$A$5:$W$26,MATCH(SXS_Transit_temp!X$2,SXS_Transit_input!$B$4:$W$4,0)+1,FALSE)),0,VLOOKUP($A17,SXS_Transit_input!$A$5:$W$26,MATCH(SXS_Transit_temp!X$2,SXS_Transit_input!$B$4:$W$4,0)+1,FALSE))+IF(ISNA(VLOOKUP($A17,SXS_Transit_input!$A$53:$R$69,MATCH(SXS_Transit_temp!X$2,SXS_Transit_input!$B$52:$R$52,0)+1,FALSE)),0,VLOOKUP($A17,SXS_Transit_input!$A$53:$R$69,MATCH(SXS_Transit_temp!X$2,SXS_Transit_input!$B$52:$R$52,0)+1,FALSE))</f>
        <v>0</v>
      </c>
      <c r="Y17">
        <f>IF(ISNA(VLOOKUP($A17,SXS_Transit_input!$A$5:$W$26,MATCH(SXS_Transit_temp!Y$2,SXS_Transit_input!$B$4:$W$4,0)+1,FALSE)),0,VLOOKUP($A17,SXS_Transit_input!$A$5:$W$26,MATCH(SXS_Transit_temp!Y$2,SXS_Transit_input!$B$4:$W$4,0)+1,FALSE))+IF(ISNA(VLOOKUP($A17,SXS_Transit_input!$A$53:$R$69,MATCH(SXS_Transit_temp!Y$2,SXS_Transit_input!$B$52:$R$52,0)+1,FALSE)),0,VLOOKUP($A17,SXS_Transit_input!$A$53:$R$69,MATCH(SXS_Transit_temp!Y$2,SXS_Transit_input!$B$52:$R$52,0)+1,FALSE))</f>
        <v>0</v>
      </c>
      <c r="Z17">
        <f>IF(ISNA(VLOOKUP($A17,SXS_Transit_input!$A$5:$W$26,MATCH(SXS_Transit_temp!Z$2,SXS_Transit_input!$B$4:$W$4,0)+1,FALSE)),0,VLOOKUP($A17,SXS_Transit_input!$A$5:$W$26,MATCH(SXS_Transit_temp!Z$2,SXS_Transit_input!$B$4:$W$4,0)+1,FALSE))+IF(ISNA(VLOOKUP($A17,SXS_Transit_input!$A$53:$R$69,MATCH(SXS_Transit_temp!Z$2,SXS_Transit_input!$B$52:$R$52,0)+1,FALSE)),0,VLOOKUP($A17,SXS_Transit_input!$A$53:$R$69,MATCH(SXS_Transit_temp!Z$2,SXS_Transit_input!$B$52:$R$52,0)+1,FALSE))</f>
        <v>1599.8379500000001</v>
      </c>
      <c r="AA17">
        <v>15</v>
      </c>
      <c r="AB17" s="33">
        <f t="shared" si="1"/>
        <v>433</v>
      </c>
      <c r="AC17" s="34">
        <f t="shared" si="11"/>
        <v>10</v>
      </c>
      <c r="AD17" s="34">
        <f t="shared" si="12"/>
        <v>4</v>
      </c>
      <c r="AE17" s="34">
        <f t="shared" si="13"/>
        <v>1</v>
      </c>
      <c r="AF17" s="34">
        <f t="shared" si="14"/>
        <v>6</v>
      </c>
      <c r="AG17" s="34">
        <f t="shared" si="15"/>
        <v>4</v>
      </c>
      <c r="AH17" s="34">
        <f t="shared" si="16"/>
        <v>13</v>
      </c>
      <c r="AI17" s="34">
        <f t="shared" si="17"/>
        <v>86</v>
      </c>
      <c r="AJ17" s="34">
        <f t="shared" si="18"/>
        <v>0</v>
      </c>
      <c r="AK17" s="34">
        <f t="shared" si="19"/>
        <v>1</v>
      </c>
      <c r="AL17" s="34">
        <f t="shared" si="20"/>
        <v>0</v>
      </c>
      <c r="AM17" s="34">
        <f t="shared" si="21"/>
        <v>0</v>
      </c>
      <c r="AN17" s="34">
        <f t="shared" si="22"/>
        <v>0</v>
      </c>
      <c r="AO17" s="34">
        <f t="shared" si="23"/>
        <v>22</v>
      </c>
      <c r="AP17" s="34">
        <f t="shared" si="24"/>
        <v>180</v>
      </c>
      <c r="AQ17" s="34">
        <f t="shared" si="25"/>
        <v>0</v>
      </c>
      <c r="AR17" s="34">
        <f t="shared" si="2"/>
        <v>0</v>
      </c>
      <c r="AS17" s="34">
        <f t="shared" si="3"/>
        <v>28</v>
      </c>
      <c r="AT17" s="34">
        <f t="shared" si="4"/>
        <v>0</v>
      </c>
      <c r="AU17" s="34">
        <f t="shared" si="5"/>
        <v>0</v>
      </c>
      <c r="AV17" s="34">
        <f t="shared" si="6"/>
        <v>1</v>
      </c>
      <c r="AW17" s="34">
        <f t="shared" si="7"/>
        <v>0</v>
      </c>
      <c r="AX17" s="34">
        <f t="shared" si="8"/>
        <v>0</v>
      </c>
      <c r="AY17" s="34">
        <f t="shared" si="9"/>
        <v>0</v>
      </c>
      <c r="AZ17" s="35">
        <f t="shared" si="10"/>
        <v>1</v>
      </c>
      <c r="BC17">
        <v>15</v>
      </c>
      <c r="BD17">
        <v>431</v>
      </c>
      <c r="BE17">
        <v>10</v>
      </c>
      <c r="BF17">
        <v>4</v>
      </c>
      <c r="BG17">
        <v>1</v>
      </c>
      <c r="BH17">
        <v>6</v>
      </c>
      <c r="BI17">
        <v>4</v>
      </c>
      <c r="BJ17">
        <v>13</v>
      </c>
      <c r="BK17">
        <v>82</v>
      </c>
      <c r="BL17">
        <v>0</v>
      </c>
      <c r="BM17">
        <v>1</v>
      </c>
      <c r="BN17">
        <v>0</v>
      </c>
      <c r="BO17">
        <v>0</v>
      </c>
      <c r="BP17">
        <v>0</v>
      </c>
      <c r="BQ17">
        <v>22</v>
      </c>
      <c r="BR17">
        <v>180</v>
      </c>
      <c r="BS17">
        <v>0</v>
      </c>
      <c r="BT17">
        <v>0</v>
      </c>
      <c r="BU17">
        <v>2</v>
      </c>
      <c r="BV17">
        <v>0</v>
      </c>
      <c r="BW17">
        <v>0</v>
      </c>
      <c r="BX17">
        <v>1</v>
      </c>
      <c r="BY17">
        <v>0</v>
      </c>
      <c r="BZ17">
        <v>0</v>
      </c>
      <c r="CA17">
        <v>0</v>
      </c>
      <c r="CB17">
        <v>1</v>
      </c>
    </row>
    <row r="18" spans="1:80" x14ac:dyDescent="0.25">
      <c r="A18">
        <v>16</v>
      </c>
      <c r="B18">
        <f>IF(ISNA(VLOOKUP($A18,SXS_Transit_input!$A$5:$W$26,MATCH(SXS_Transit_temp!B$2,SXS_Transit_input!$B$4:$W$4,0)+1,FALSE)),0,VLOOKUP($A18,SXS_Transit_input!$A$5:$W$26,MATCH(SXS_Transit_temp!B$2,SXS_Transit_input!$B$4:$W$4,0)+1,FALSE))+IF(ISNA(VLOOKUP($A18,SXS_Transit_input!$A$53:$R$69,MATCH(SXS_Transit_temp!B$2,SXS_Transit_input!$B$52:$R$52,0)+1,FALSE)),0,VLOOKUP($A18,SXS_Transit_input!$A$53:$R$69,MATCH(SXS_Transit_temp!B$2,SXS_Transit_input!$B$52:$R$52,0)+1,FALSE))</f>
        <v>0</v>
      </c>
      <c r="C18">
        <f>IF(ISNA(VLOOKUP($A18,SXS_Transit_input!$A$5:$W$26,MATCH(SXS_Transit_temp!C$2,SXS_Transit_input!$B$4:$W$4,0)+1,FALSE)),0,VLOOKUP($A18,SXS_Transit_input!$A$5:$W$26,MATCH(SXS_Transit_temp!C$2,SXS_Transit_input!$B$4:$W$4,0)+1,FALSE))+IF(ISNA(VLOOKUP($A18,SXS_Transit_input!$A$53:$R$69,MATCH(SXS_Transit_temp!C$2,SXS_Transit_input!$B$52:$R$52,0)+1,FALSE)),0,VLOOKUP($A18,SXS_Transit_input!$A$53:$R$69,MATCH(SXS_Transit_temp!C$2,SXS_Transit_input!$B$52:$R$52,0)+1,FALSE))</f>
        <v>0</v>
      </c>
      <c r="D18">
        <f>IF(ISNA(VLOOKUP($A18,SXS_Transit_input!$A$5:$W$26,MATCH(SXS_Transit_temp!D$2,SXS_Transit_input!$B$4:$W$4,0)+1,FALSE)),0,VLOOKUP($A18,SXS_Transit_input!$A$5:$W$26,MATCH(SXS_Transit_temp!D$2,SXS_Transit_input!$B$4:$W$4,0)+1,FALSE))+IF(ISNA(VLOOKUP($A18,SXS_Transit_input!$A$53:$R$69,MATCH(SXS_Transit_temp!D$2,SXS_Transit_input!$B$52:$R$52,0)+1,FALSE)),0,VLOOKUP($A18,SXS_Transit_input!$A$53:$R$69,MATCH(SXS_Transit_temp!D$2,SXS_Transit_input!$B$52:$R$52,0)+1,FALSE))</f>
        <v>0</v>
      </c>
      <c r="E18">
        <f>IF(ISNA(VLOOKUP($A18,SXS_Transit_input!$A$5:$W$26,MATCH(SXS_Transit_temp!E$2,SXS_Transit_input!$B$4:$W$4,0)+1,FALSE)),0,VLOOKUP($A18,SXS_Transit_input!$A$5:$W$26,MATCH(SXS_Transit_temp!E$2,SXS_Transit_input!$B$4:$W$4,0)+1,FALSE))+IF(ISNA(VLOOKUP($A18,SXS_Transit_input!$A$53:$R$69,MATCH(SXS_Transit_temp!E$2,SXS_Transit_input!$B$52:$R$52,0)+1,FALSE)),0,VLOOKUP($A18,SXS_Transit_input!$A$53:$R$69,MATCH(SXS_Transit_temp!E$2,SXS_Transit_input!$B$52:$R$52,0)+1,FALSE))</f>
        <v>0</v>
      </c>
      <c r="F18">
        <f>IF(ISNA(VLOOKUP($A18,SXS_Transit_input!$A$5:$W$26,MATCH(SXS_Transit_temp!F$2,SXS_Transit_input!$B$4:$W$4,0)+1,FALSE)),0,VLOOKUP($A18,SXS_Transit_input!$A$5:$W$26,MATCH(SXS_Transit_temp!F$2,SXS_Transit_input!$B$4:$W$4,0)+1,FALSE))+IF(ISNA(VLOOKUP($A18,SXS_Transit_input!$A$53:$R$69,MATCH(SXS_Transit_temp!F$2,SXS_Transit_input!$B$52:$R$52,0)+1,FALSE)),0,VLOOKUP($A18,SXS_Transit_input!$A$53:$R$69,MATCH(SXS_Transit_temp!F$2,SXS_Transit_input!$B$52:$R$52,0)+1,FALSE))</f>
        <v>0</v>
      </c>
      <c r="G18">
        <f>IF(ISNA(VLOOKUP($A18,SXS_Transit_input!$A$5:$W$26,MATCH(SXS_Transit_temp!G$2,SXS_Transit_input!$B$4:$W$4,0)+1,FALSE)),0,VLOOKUP($A18,SXS_Transit_input!$A$5:$W$26,MATCH(SXS_Transit_temp!G$2,SXS_Transit_input!$B$4:$W$4,0)+1,FALSE))+IF(ISNA(VLOOKUP($A18,SXS_Transit_input!$A$53:$R$69,MATCH(SXS_Transit_temp!G$2,SXS_Transit_input!$B$52:$R$52,0)+1,FALSE)),0,VLOOKUP($A18,SXS_Transit_input!$A$53:$R$69,MATCH(SXS_Transit_temp!G$2,SXS_Transit_input!$B$52:$R$52,0)+1,FALSE))</f>
        <v>0</v>
      </c>
      <c r="H18">
        <f>IF(ISNA(VLOOKUP($A18,SXS_Transit_input!$A$5:$W$26,MATCH(SXS_Transit_temp!H$2,SXS_Transit_input!$B$4:$W$4,0)+1,FALSE)),0,VLOOKUP($A18,SXS_Transit_input!$A$5:$W$26,MATCH(SXS_Transit_temp!H$2,SXS_Transit_input!$B$4:$W$4,0)+1,FALSE))+IF(ISNA(VLOOKUP($A18,SXS_Transit_input!$A$53:$R$69,MATCH(SXS_Transit_temp!H$2,SXS_Transit_input!$B$52:$R$52,0)+1,FALSE)),0,VLOOKUP($A18,SXS_Transit_input!$A$53:$R$69,MATCH(SXS_Transit_temp!H$2,SXS_Transit_input!$B$52:$R$52,0)+1,FALSE))</f>
        <v>0</v>
      </c>
      <c r="I18">
        <f>IF(ISNA(VLOOKUP($A18,SXS_Transit_input!$A$5:$W$26,MATCH(SXS_Transit_temp!I$2,SXS_Transit_input!$B$4:$W$4,0)+1,FALSE)),0,VLOOKUP($A18,SXS_Transit_input!$A$5:$W$26,MATCH(SXS_Transit_temp!I$2,SXS_Transit_input!$B$4:$W$4,0)+1,FALSE))+IF(ISNA(VLOOKUP($A18,SXS_Transit_input!$A$53:$R$69,MATCH(SXS_Transit_temp!I$2,SXS_Transit_input!$B$52:$R$52,0)+1,FALSE)),0,VLOOKUP($A18,SXS_Transit_input!$A$53:$R$69,MATCH(SXS_Transit_temp!I$2,SXS_Transit_input!$B$52:$R$52,0)+1,FALSE))</f>
        <v>0</v>
      </c>
      <c r="J18">
        <f>IF(ISNA(VLOOKUP($A18,SXS_Transit_input!$A$5:$W$26,MATCH(SXS_Transit_temp!J$2,SXS_Transit_input!$B$4:$W$4,0)+1,FALSE)),0,VLOOKUP($A18,SXS_Transit_input!$A$5:$W$26,MATCH(SXS_Transit_temp!J$2,SXS_Transit_input!$B$4:$W$4,0)+1,FALSE))+IF(ISNA(VLOOKUP($A18,SXS_Transit_input!$A$53:$R$69,MATCH(SXS_Transit_temp!J$2,SXS_Transit_input!$B$52:$R$52,0)+1,FALSE)),0,VLOOKUP($A18,SXS_Transit_input!$A$53:$R$69,MATCH(SXS_Transit_temp!J$2,SXS_Transit_input!$B$52:$R$52,0)+1,FALSE))</f>
        <v>0</v>
      </c>
      <c r="K18">
        <f>IF(ISNA(VLOOKUP($A18,SXS_Transit_input!$A$5:$W$26,MATCH(SXS_Transit_temp!K$2,SXS_Transit_input!$B$4:$W$4,0)+1,FALSE)),0,VLOOKUP($A18,SXS_Transit_input!$A$5:$W$26,MATCH(SXS_Transit_temp!K$2,SXS_Transit_input!$B$4:$W$4,0)+1,FALSE))+IF(ISNA(VLOOKUP($A18,SXS_Transit_input!$A$53:$R$69,MATCH(SXS_Transit_temp!K$2,SXS_Transit_input!$B$52:$R$52,0)+1,FALSE)),0,VLOOKUP($A18,SXS_Transit_input!$A$53:$R$69,MATCH(SXS_Transit_temp!K$2,SXS_Transit_input!$B$52:$R$52,0)+1,FALSE))</f>
        <v>0</v>
      </c>
      <c r="L18">
        <f>IF(ISNA(VLOOKUP($A18,SXS_Transit_input!$A$5:$W$26,MATCH(SXS_Transit_temp!L$2,SXS_Transit_input!$B$4:$W$4,0)+1,FALSE)),0,VLOOKUP($A18,SXS_Transit_input!$A$5:$W$26,MATCH(SXS_Transit_temp!L$2,SXS_Transit_input!$B$4:$W$4,0)+1,FALSE))+IF(ISNA(VLOOKUP($A18,SXS_Transit_input!$A$53:$R$69,MATCH(SXS_Transit_temp!L$2,SXS_Transit_input!$B$52:$R$52,0)+1,FALSE)),0,VLOOKUP($A18,SXS_Transit_input!$A$53:$R$69,MATCH(SXS_Transit_temp!L$2,SXS_Transit_input!$B$52:$R$52,0)+1,FALSE))</f>
        <v>0</v>
      </c>
      <c r="M18">
        <f>IF(ISNA(VLOOKUP($A18,SXS_Transit_input!$A$5:$W$26,MATCH(SXS_Transit_temp!M$2,SXS_Transit_input!$B$4:$W$4,0)+1,FALSE)),0,VLOOKUP($A18,SXS_Transit_input!$A$5:$W$26,MATCH(SXS_Transit_temp!M$2,SXS_Transit_input!$B$4:$W$4,0)+1,FALSE))+IF(ISNA(VLOOKUP($A18,SXS_Transit_input!$A$53:$R$69,MATCH(SXS_Transit_temp!M$2,SXS_Transit_input!$B$52:$R$52,0)+1,FALSE)),0,VLOOKUP($A18,SXS_Transit_input!$A$53:$R$69,MATCH(SXS_Transit_temp!M$2,SXS_Transit_input!$B$52:$R$52,0)+1,FALSE))</f>
        <v>0</v>
      </c>
      <c r="N18">
        <f>IF(ISNA(VLOOKUP($A18,SXS_Transit_input!$A$5:$W$26,MATCH(SXS_Transit_temp!N$2,SXS_Transit_input!$B$4:$W$4,0)+1,FALSE)),0,VLOOKUP($A18,SXS_Transit_input!$A$5:$W$26,MATCH(SXS_Transit_temp!N$2,SXS_Transit_input!$B$4:$W$4,0)+1,FALSE))+IF(ISNA(VLOOKUP($A18,SXS_Transit_input!$A$53:$R$69,MATCH(SXS_Transit_temp!N$2,SXS_Transit_input!$B$52:$R$52,0)+1,FALSE)),0,VLOOKUP($A18,SXS_Transit_input!$A$53:$R$69,MATCH(SXS_Transit_temp!N$2,SXS_Transit_input!$B$52:$R$52,0)+1,FALSE))</f>
        <v>0</v>
      </c>
      <c r="O18">
        <f>IF(ISNA(VLOOKUP($A18,SXS_Transit_input!$A$5:$W$26,MATCH(SXS_Transit_temp!O$2,SXS_Transit_input!$B$4:$W$4,0)+1,FALSE)),0,VLOOKUP($A18,SXS_Transit_input!$A$5:$W$26,MATCH(SXS_Transit_temp!O$2,SXS_Transit_input!$B$4:$W$4,0)+1,FALSE))+IF(ISNA(VLOOKUP($A18,SXS_Transit_input!$A$53:$R$69,MATCH(SXS_Transit_temp!O$2,SXS_Transit_input!$B$52:$R$52,0)+1,FALSE)),0,VLOOKUP($A18,SXS_Transit_input!$A$53:$R$69,MATCH(SXS_Transit_temp!O$2,SXS_Transit_input!$B$52:$R$52,0)+1,FALSE))</f>
        <v>0</v>
      </c>
      <c r="P18">
        <f>IF(ISNA(VLOOKUP($A18,SXS_Transit_input!$A$5:$W$26,MATCH(SXS_Transit_temp!P$2,SXS_Transit_input!$B$4:$W$4,0)+1,FALSE)),0,VLOOKUP($A18,SXS_Transit_input!$A$5:$W$26,MATCH(SXS_Transit_temp!P$2,SXS_Transit_input!$B$4:$W$4,0)+1,FALSE))+IF(ISNA(VLOOKUP($A18,SXS_Transit_input!$A$53:$R$69,MATCH(SXS_Transit_temp!P$2,SXS_Transit_input!$B$52:$R$52,0)+1,FALSE)),0,VLOOKUP($A18,SXS_Transit_input!$A$53:$R$69,MATCH(SXS_Transit_temp!P$2,SXS_Transit_input!$B$52:$R$52,0)+1,FALSE))</f>
        <v>0</v>
      </c>
      <c r="Q18">
        <f>IF(ISNA(VLOOKUP($A18,SXS_Transit_input!$A$5:$W$26,MATCH(SXS_Transit_temp!Q$2,SXS_Transit_input!$B$4:$W$4,0)+1,FALSE)),0,VLOOKUP($A18,SXS_Transit_input!$A$5:$W$26,MATCH(SXS_Transit_temp!Q$2,SXS_Transit_input!$B$4:$W$4,0)+1,FALSE))+IF(ISNA(VLOOKUP($A18,SXS_Transit_input!$A$53:$R$69,MATCH(SXS_Transit_temp!Q$2,SXS_Transit_input!$B$52:$R$52,0)+1,FALSE)),0,VLOOKUP($A18,SXS_Transit_input!$A$53:$R$69,MATCH(SXS_Transit_temp!Q$2,SXS_Transit_input!$B$52:$R$52,0)+1,FALSE))</f>
        <v>0</v>
      </c>
      <c r="R18">
        <f>IF(ISNA(VLOOKUP($A18,SXS_Transit_input!$A$5:$W$26,MATCH(SXS_Transit_temp!R$2,SXS_Transit_input!$B$4:$W$4,0)+1,FALSE)),0,VLOOKUP($A18,SXS_Transit_input!$A$5:$W$26,MATCH(SXS_Transit_temp!R$2,SXS_Transit_input!$B$4:$W$4,0)+1,FALSE))+IF(ISNA(VLOOKUP($A18,SXS_Transit_input!$A$53:$R$69,MATCH(SXS_Transit_temp!R$2,SXS_Transit_input!$B$52:$R$52,0)+1,FALSE)),0,VLOOKUP($A18,SXS_Transit_input!$A$53:$R$69,MATCH(SXS_Transit_temp!R$2,SXS_Transit_input!$B$52:$R$52,0)+1,FALSE))</f>
        <v>0</v>
      </c>
      <c r="S18">
        <f>IF(ISNA(VLOOKUP($A18,SXS_Transit_input!$A$5:$W$26,MATCH(SXS_Transit_temp!S$2,SXS_Transit_input!$B$4:$W$4,0)+1,FALSE)),0,VLOOKUP($A18,SXS_Transit_input!$A$5:$W$26,MATCH(SXS_Transit_temp!S$2,SXS_Transit_input!$B$4:$W$4,0)+1,FALSE))+IF(ISNA(VLOOKUP($A18,SXS_Transit_input!$A$53:$R$69,MATCH(SXS_Transit_temp!S$2,SXS_Transit_input!$B$52:$R$52,0)+1,FALSE)),0,VLOOKUP($A18,SXS_Transit_input!$A$53:$R$69,MATCH(SXS_Transit_temp!S$2,SXS_Transit_input!$B$52:$R$52,0)+1,FALSE))</f>
        <v>0</v>
      </c>
      <c r="T18">
        <f>IF(ISNA(VLOOKUP($A18,SXS_Transit_input!$A$5:$W$26,MATCH(SXS_Transit_temp!T$2,SXS_Transit_input!$B$4:$W$4,0)+1,FALSE)),0,VLOOKUP($A18,SXS_Transit_input!$A$5:$W$26,MATCH(SXS_Transit_temp!T$2,SXS_Transit_input!$B$4:$W$4,0)+1,FALSE))+IF(ISNA(VLOOKUP($A18,SXS_Transit_input!$A$53:$R$69,MATCH(SXS_Transit_temp!T$2,SXS_Transit_input!$B$52:$R$52,0)+1,FALSE)),0,VLOOKUP($A18,SXS_Transit_input!$A$53:$R$69,MATCH(SXS_Transit_temp!T$2,SXS_Transit_input!$B$52:$R$52,0)+1,FALSE))</f>
        <v>0</v>
      </c>
      <c r="U18">
        <f>IF(ISNA(VLOOKUP($A18,SXS_Transit_input!$A$5:$W$26,MATCH(SXS_Transit_temp!U$2,SXS_Transit_input!$B$4:$W$4,0)+1,FALSE)),0,VLOOKUP($A18,SXS_Transit_input!$A$5:$W$26,MATCH(SXS_Transit_temp!U$2,SXS_Transit_input!$B$4:$W$4,0)+1,FALSE))+IF(ISNA(VLOOKUP($A18,SXS_Transit_input!$A$53:$R$69,MATCH(SXS_Transit_temp!U$2,SXS_Transit_input!$B$52:$R$52,0)+1,FALSE)),0,VLOOKUP($A18,SXS_Transit_input!$A$53:$R$69,MATCH(SXS_Transit_temp!U$2,SXS_Transit_input!$B$52:$R$52,0)+1,FALSE))</f>
        <v>0</v>
      </c>
      <c r="V18">
        <f>IF(ISNA(VLOOKUP($A18,SXS_Transit_input!$A$5:$W$26,MATCH(SXS_Transit_temp!V$2,SXS_Transit_input!$B$4:$W$4,0)+1,FALSE)),0,VLOOKUP($A18,SXS_Transit_input!$A$5:$W$26,MATCH(SXS_Transit_temp!V$2,SXS_Transit_input!$B$4:$W$4,0)+1,FALSE))+IF(ISNA(VLOOKUP($A18,SXS_Transit_input!$A$53:$R$69,MATCH(SXS_Transit_temp!V$2,SXS_Transit_input!$B$52:$R$52,0)+1,FALSE)),0,VLOOKUP($A18,SXS_Transit_input!$A$53:$R$69,MATCH(SXS_Transit_temp!V$2,SXS_Transit_input!$B$52:$R$52,0)+1,FALSE))</f>
        <v>0</v>
      </c>
      <c r="W18">
        <f>IF(ISNA(VLOOKUP($A18,SXS_Transit_input!$A$5:$W$26,MATCH(SXS_Transit_temp!W$2,SXS_Transit_input!$B$4:$W$4,0)+1,FALSE)),0,VLOOKUP($A18,SXS_Transit_input!$A$5:$W$26,MATCH(SXS_Transit_temp!W$2,SXS_Transit_input!$B$4:$W$4,0)+1,FALSE))+IF(ISNA(VLOOKUP($A18,SXS_Transit_input!$A$53:$R$69,MATCH(SXS_Transit_temp!W$2,SXS_Transit_input!$B$52:$R$52,0)+1,FALSE)),0,VLOOKUP($A18,SXS_Transit_input!$A$53:$R$69,MATCH(SXS_Transit_temp!W$2,SXS_Transit_input!$B$52:$R$52,0)+1,FALSE))</f>
        <v>0</v>
      </c>
      <c r="X18">
        <f>IF(ISNA(VLOOKUP($A18,SXS_Transit_input!$A$5:$W$26,MATCH(SXS_Transit_temp!X$2,SXS_Transit_input!$B$4:$W$4,0)+1,FALSE)),0,VLOOKUP($A18,SXS_Transit_input!$A$5:$W$26,MATCH(SXS_Transit_temp!X$2,SXS_Transit_input!$B$4:$W$4,0)+1,FALSE))+IF(ISNA(VLOOKUP($A18,SXS_Transit_input!$A$53:$R$69,MATCH(SXS_Transit_temp!X$2,SXS_Transit_input!$B$52:$R$52,0)+1,FALSE)),0,VLOOKUP($A18,SXS_Transit_input!$A$53:$R$69,MATCH(SXS_Transit_temp!X$2,SXS_Transit_input!$B$52:$R$52,0)+1,FALSE))</f>
        <v>0</v>
      </c>
      <c r="Y18">
        <f>IF(ISNA(VLOOKUP($A18,SXS_Transit_input!$A$5:$W$26,MATCH(SXS_Transit_temp!Y$2,SXS_Transit_input!$B$4:$W$4,0)+1,FALSE)),0,VLOOKUP($A18,SXS_Transit_input!$A$5:$W$26,MATCH(SXS_Transit_temp!Y$2,SXS_Transit_input!$B$4:$W$4,0)+1,FALSE))+IF(ISNA(VLOOKUP($A18,SXS_Transit_input!$A$53:$R$69,MATCH(SXS_Transit_temp!Y$2,SXS_Transit_input!$B$52:$R$52,0)+1,FALSE)),0,VLOOKUP($A18,SXS_Transit_input!$A$53:$R$69,MATCH(SXS_Transit_temp!Y$2,SXS_Transit_input!$B$52:$R$52,0)+1,FALSE))</f>
        <v>0</v>
      </c>
      <c r="Z18">
        <f>IF(ISNA(VLOOKUP($A18,SXS_Transit_input!$A$5:$W$26,MATCH(SXS_Transit_temp!Z$2,SXS_Transit_input!$B$4:$W$4,0)+1,FALSE)),0,VLOOKUP($A18,SXS_Transit_input!$A$5:$W$26,MATCH(SXS_Transit_temp!Z$2,SXS_Transit_input!$B$4:$W$4,0)+1,FALSE))+IF(ISNA(VLOOKUP($A18,SXS_Transit_input!$A$53:$R$69,MATCH(SXS_Transit_temp!Z$2,SXS_Transit_input!$B$52:$R$52,0)+1,FALSE)),0,VLOOKUP($A18,SXS_Transit_input!$A$53:$R$69,MATCH(SXS_Transit_temp!Z$2,SXS_Transit_input!$B$52:$R$52,0)+1,FALSE))</f>
        <v>0</v>
      </c>
      <c r="AA18">
        <v>16</v>
      </c>
      <c r="AB18" s="33">
        <f t="shared" si="1"/>
        <v>3</v>
      </c>
      <c r="AC18" s="34">
        <f t="shared" si="11"/>
        <v>1</v>
      </c>
      <c r="AD18" s="34">
        <f t="shared" si="12"/>
        <v>0</v>
      </c>
      <c r="AE18" s="34">
        <f t="shared" si="13"/>
        <v>0</v>
      </c>
      <c r="AF18" s="34">
        <f t="shared" si="14"/>
        <v>0</v>
      </c>
      <c r="AG18" s="34">
        <f t="shared" si="15"/>
        <v>0</v>
      </c>
      <c r="AH18" s="34">
        <f t="shared" si="16"/>
        <v>0</v>
      </c>
      <c r="AI18" s="34">
        <f t="shared" si="17"/>
        <v>0</v>
      </c>
      <c r="AJ18" s="34">
        <f t="shared" si="18"/>
        <v>3</v>
      </c>
      <c r="AK18" s="34">
        <f t="shared" si="19"/>
        <v>0</v>
      </c>
      <c r="AL18" s="34">
        <f t="shared" si="20"/>
        <v>0</v>
      </c>
      <c r="AM18" s="34">
        <f t="shared" si="21"/>
        <v>0</v>
      </c>
      <c r="AN18" s="34">
        <f t="shared" si="22"/>
        <v>0</v>
      </c>
      <c r="AO18" s="34">
        <f t="shared" si="23"/>
        <v>0</v>
      </c>
      <c r="AP18" s="34">
        <f t="shared" si="24"/>
        <v>0</v>
      </c>
      <c r="AQ18" s="34">
        <f t="shared" si="25"/>
        <v>0</v>
      </c>
      <c r="AR18" s="34">
        <f t="shared" si="2"/>
        <v>0</v>
      </c>
      <c r="AS18" s="34">
        <f t="shared" si="3"/>
        <v>0</v>
      </c>
      <c r="AT18" s="34">
        <f t="shared" si="4"/>
        <v>0</v>
      </c>
      <c r="AU18" s="34">
        <f t="shared" si="5"/>
        <v>0</v>
      </c>
      <c r="AV18" s="34">
        <f t="shared" si="6"/>
        <v>10</v>
      </c>
      <c r="AW18" s="34">
        <f t="shared" si="7"/>
        <v>0</v>
      </c>
      <c r="AX18" s="34">
        <f t="shared" si="8"/>
        <v>0</v>
      </c>
      <c r="AY18" s="34">
        <f t="shared" si="9"/>
        <v>0</v>
      </c>
      <c r="AZ18" s="35">
        <f t="shared" si="10"/>
        <v>0</v>
      </c>
      <c r="BC18">
        <v>16</v>
      </c>
      <c r="BD18">
        <v>3</v>
      </c>
      <c r="BE18">
        <v>1</v>
      </c>
      <c r="BF18">
        <v>0</v>
      </c>
      <c r="BG18">
        <v>0</v>
      </c>
      <c r="BH18">
        <v>0</v>
      </c>
      <c r="BI18">
        <v>0</v>
      </c>
      <c r="BJ18">
        <v>0</v>
      </c>
      <c r="BK18">
        <v>0</v>
      </c>
      <c r="BL18">
        <v>3</v>
      </c>
      <c r="BM18">
        <v>0</v>
      </c>
      <c r="BN18">
        <v>0</v>
      </c>
      <c r="BO18">
        <v>0</v>
      </c>
      <c r="BP18">
        <v>0</v>
      </c>
      <c r="BQ18">
        <v>0</v>
      </c>
      <c r="BR18">
        <v>0</v>
      </c>
      <c r="BS18">
        <v>0</v>
      </c>
      <c r="BT18">
        <v>0</v>
      </c>
      <c r="BU18">
        <v>0</v>
      </c>
      <c r="BV18">
        <v>0</v>
      </c>
      <c r="BW18">
        <v>0</v>
      </c>
      <c r="BX18">
        <v>10</v>
      </c>
      <c r="BY18">
        <v>0</v>
      </c>
      <c r="BZ18">
        <v>0</v>
      </c>
      <c r="CA18">
        <v>0</v>
      </c>
      <c r="CB18">
        <v>0</v>
      </c>
    </row>
    <row r="19" spans="1:80" x14ac:dyDescent="0.25">
      <c r="A19">
        <v>17</v>
      </c>
      <c r="B19">
        <f>IF(ISNA(VLOOKUP($A19,SXS_Transit_input!$A$5:$W$26,MATCH(SXS_Transit_temp!B$2,SXS_Transit_input!$B$4:$W$4,0)+1,FALSE)),0,VLOOKUP($A19,SXS_Transit_input!$A$5:$W$26,MATCH(SXS_Transit_temp!B$2,SXS_Transit_input!$B$4:$W$4,0)+1,FALSE))+IF(ISNA(VLOOKUP($A19,SXS_Transit_input!$A$53:$R$69,MATCH(SXS_Transit_temp!B$2,SXS_Transit_input!$B$52:$R$52,0)+1,FALSE)),0,VLOOKUP($A19,SXS_Transit_input!$A$53:$R$69,MATCH(SXS_Transit_temp!B$2,SXS_Transit_input!$B$52:$R$52,0)+1,FALSE))</f>
        <v>0</v>
      </c>
      <c r="C19">
        <f>IF(ISNA(VLOOKUP($A19,SXS_Transit_input!$A$5:$W$26,MATCH(SXS_Transit_temp!C$2,SXS_Transit_input!$B$4:$W$4,0)+1,FALSE)),0,VLOOKUP($A19,SXS_Transit_input!$A$5:$W$26,MATCH(SXS_Transit_temp!C$2,SXS_Transit_input!$B$4:$W$4,0)+1,FALSE))+IF(ISNA(VLOOKUP($A19,SXS_Transit_input!$A$53:$R$69,MATCH(SXS_Transit_temp!C$2,SXS_Transit_input!$B$52:$R$52,0)+1,FALSE)),0,VLOOKUP($A19,SXS_Transit_input!$A$53:$R$69,MATCH(SXS_Transit_temp!C$2,SXS_Transit_input!$B$52:$R$52,0)+1,FALSE))</f>
        <v>0</v>
      </c>
      <c r="D19">
        <f>IF(ISNA(VLOOKUP($A19,SXS_Transit_input!$A$5:$W$26,MATCH(SXS_Transit_temp!D$2,SXS_Transit_input!$B$4:$W$4,0)+1,FALSE)),0,VLOOKUP($A19,SXS_Transit_input!$A$5:$W$26,MATCH(SXS_Transit_temp!D$2,SXS_Transit_input!$B$4:$W$4,0)+1,FALSE))+IF(ISNA(VLOOKUP($A19,SXS_Transit_input!$A$53:$R$69,MATCH(SXS_Transit_temp!D$2,SXS_Transit_input!$B$52:$R$52,0)+1,FALSE)),0,VLOOKUP($A19,SXS_Transit_input!$A$53:$R$69,MATCH(SXS_Transit_temp!D$2,SXS_Transit_input!$B$52:$R$52,0)+1,FALSE))</f>
        <v>0</v>
      </c>
      <c r="E19">
        <f>IF(ISNA(VLOOKUP($A19,SXS_Transit_input!$A$5:$W$26,MATCH(SXS_Transit_temp!E$2,SXS_Transit_input!$B$4:$W$4,0)+1,FALSE)),0,VLOOKUP($A19,SXS_Transit_input!$A$5:$W$26,MATCH(SXS_Transit_temp!E$2,SXS_Transit_input!$B$4:$W$4,0)+1,FALSE))+IF(ISNA(VLOOKUP($A19,SXS_Transit_input!$A$53:$R$69,MATCH(SXS_Transit_temp!E$2,SXS_Transit_input!$B$52:$R$52,0)+1,FALSE)),0,VLOOKUP($A19,SXS_Transit_input!$A$53:$R$69,MATCH(SXS_Transit_temp!E$2,SXS_Transit_input!$B$52:$R$52,0)+1,FALSE))</f>
        <v>0</v>
      </c>
      <c r="F19">
        <f>IF(ISNA(VLOOKUP($A19,SXS_Transit_input!$A$5:$W$26,MATCH(SXS_Transit_temp!F$2,SXS_Transit_input!$B$4:$W$4,0)+1,FALSE)),0,VLOOKUP($A19,SXS_Transit_input!$A$5:$W$26,MATCH(SXS_Transit_temp!F$2,SXS_Transit_input!$B$4:$W$4,0)+1,FALSE))+IF(ISNA(VLOOKUP($A19,SXS_Transit_input!$A$53:$R$69,MATCH(SXS_Transit_temp!F$2,SXS_Transit_input!$B$52:$R$52,0)+1,FALSE)),0,VLOOKUP($A19,SXS_Transit_input!$A$53:$R$69,MATCH(SXS_Transit_temp!F$2,SXS_Transit_input!$B$52:$R$52,0)+1,FALSE))</f>
        <v>0</v>
      </c>
      <c r="G19">
        <f>IF(ISNA(VLOOKUP($A19,SXS_Transit_input!$A$5:$W$26,MATCH(SXS_Transit_temp!G$2,SXS_Transit_input!$B$4:$W$4,0)+1,FALSE)),0,VLOOKUP($A19,SXS_Transit_input!$A$5:$W$26,MATCH(SXS_Transit_temp!G$2,SXS_Transit_input!$B$4:$W$4,0)+1,FALSE))+IF(ISNA(VLOOKUP($A19,SXS_Transit_input!$A$53:$R$69,MATCH(SXS_Transit_temp!G$2,SXS_Transit_input!$B$52:$R$52,0)+1,FALSE)),0,VLOOKUP($A19,SXS_Transit_input!$A$53:$R$69,MATCH(SXS_Transit_temp!G$2,SXS_Transit_input!$B$52:$R$52,0)+1,FALSE))</f>
        <v>0</v>
      </c>
      <c r="H19">
        <f>IF(ISNA(VLOOKUP($A19,SXS_Transit_input!$A$5:$W$26,MATCH(SXS_Transit_temp!H$2,SXS_Transit_input!$B$4:$W$4,0)+1,FALSE)),0,VLOOKUP($A19,SXS_Transit_input!$A$5:$W$26,MATCH(SXS_Transit_temp!H$2,SXS_Transit_input!$B$4:$W$4,0)+1,FALSE))+IF(ISNA(VLOOKUP($A19,SXS_Transit_input!$A$53:$R$69,MATCH(SXS_Transit_temp!H$2,SXS_Transit_input!$B$52:$R$52,0)+1,FALSE)),0,VLOOKUP($A19,SXS_Transit_input!$A$53:$R$69,MATCH(SXS_Transit_temp!H$2,SXS_Transit_input!$B$52:$R$52,0)+1,FALSE))</f>
        <v>0</v>
      </c>
      <c r="I19">
        <f>IF(ISNA(VLOOKUP($A19,SXS_Transit_input!$A$5:$W$26,MATCH(SXS_Transit_temp!I$2,SXS_Transit_input!$B$4:$W$4,0)+1,FALSE)),0,VLOOKUP($A19,SXS_Transit_input!$A$5:$W$26,MATCH(SXS_Transit_temp!I$2,SXS_Transit_input!$B$4:$W$4,0)+1,FALSE))+IF(ISNA(VLOOKUP($A19,SXS_Transit_input!$A$53:$R$69,MATCH(SXS_Transit_temp!I$2,SXS_Transit_input!$B$52:$R$52,0)+1,FALSE)),0,VLOOKUP($A19,SXS_Transit_input!$A$53:$R$69,MATCH(SXS_Transit_temp!I$2,SXS_Transit_input!$B$52:$R$52,0)+1,FALSE))</f>
        <v>0</v>
      </c>
      <c r="J19">
        <f>IF(ISNA(VLOOKUP($A19,SXS_Transit_input!$A$5:$W$26,MATCH(SXS_Transit_temp!J$2,SXS_Transit_input!$B$4:$W$4,0)+1,FALSE)),0,VLOOKUP($A19,SXS_Transit_input!$A$5:$W$26,MATCH(SXS_Transit_temp!J$2,SXS_Transit_input!$B$4:$W$4,0)+1,FALSE))+IF(ISNA(VLOOKUP($A19,SXS_Transit_input!$A$53:$R$69,MATCH(SXS_Transit_temp!J$2,SXS_Transit_input!$B$52:$R$52,0)+1,FALSE)),0,VLOOKUP($A19,SXS_Transit_input!$A$53:$R$69,MATCH(SXS_Transit_temp!J$2,SXS_Transit_input!$B$52:$R$52,0)+1,FALSE))</f>
        <v>0</v>
      </c>
      <c r="K19">
        <f>IF(ISNA(VLOOKUP($A19,SXS_Transit_input!$A$5:$W$26,MATCH(SXS_Transit_temp!K$2,SXS_Transit_input!$B$4:$W$4,0)+1,FALSE)),0,VLOOKUP($A19,SXS_Transit_input!$A$5:$W$26,MATCH(SXS_Transit_temp!K$2,SXS_Transit_input!$B$4:$W$4,0)+1,FALSE))+IF(ISNA(VLOOKUP($A19,SXS_Transit_input!$A$53:$R$69,MATCH(SXS_Transit_temp!K$2,SXS_Transit_input!$B$52:$R$52,0)+1,FALSE)),0,VLOOKUP($A19,SXS_Transit_input!$A$53:$R$69,MATCH(SXS_Transit_temp!K$2,SXS_Transit_input!$B$52:$R$52,0)+1,FALSE))</f>
        <v>0</v>
      </c>
      <c r="L19">
        <f>IF(ISNA(VLOOKUP($A19,SXS_Transit_input!$A$5:$W$26,MATCH(SXS_Transit_temp!L$2,SXS_Transit_input!$B$4:$W$4,0)+1,FALSE)),0,VLOOKUP($A19,SXS_Transit_input!$A$5:$W$26,MATCH(SXS_Transit_temp!L$2,SXS_Transit_input!$B$4:$W$4,0)+1,FALSE))+IF(ISNA(VLOOKUP($A19,SXS_Transit_input!$A$53:$R$69,MATCH(SXS_Transit_temp!L$2,SXS_Transit_input!$B$52:$R$52,0)+1,FALSE)),0,VLOOKUP($A19,SXS_Transit_input!$A$53:$R$69,MATCH(SXS_Transit_temp!L$2,SXS_Transit_input!$B$52:$R$52,0)+1,FALSE))</f>
        <v>0</v>
      </c>
      <c r="M19">
        <f>IF(ISNA(VLOOKUP($A19,SXS_Transit_input!$A$5:$W$26,MATCH(SXS_Transit_temp!M$2,SXS_Transit_input!$B$4:$W$4,0)+1,FALSE)),0,VLOOKUP($A19,SXS_Transit_input!$A$5:$W$26,MATCH(SXS_Transit_temp!M$2,SXS_Transit_input!$B$4:$W$4,0)+1,FALSE))+IF(ISNA(VLOOKUP($A19,SXS_Transit_input!$A$53:$R$69,MATCH(SXS_Transit_temp!M$2,SXS_Transit_input!$B$52:$R$52,0)+1,FALSE)),0,VLOOKUP($A19,SXS_Transit_input!$A$53:$R$69,MATCH(SXS_Transit_temp!M$2,SXS_Transit_input!$B$52:$R$52,0)+1,FALSE))</f>
        <v>0</v>
      </c>
      <c r="N19">
        <f>IF(ISNA(VLOOKUP($A19,SXS_Transit_input!$A$5:$W$26,MATCH(SXS_Transit_temp!N$2,SXS_Transit_input!$B$4:$W$4,0)+1,FALSE)),0,VLOOKUP($A19,SXS_Transit_input!$A$5:$W$26,MATCH(SXS_Transit_temp!N$2,SXS_Transit_input!$B$4:$W$4,0)+1,FALSE))+IF(ISNA(VLOOKUP($A19,SXS_Transit_input!$A$53:$R$69,MATCH(SXS_Transit_temp!N$2,SXS_Transit_input!$B$52:$R$52,0)+1,FALSE)),0,VLOOKUP($A19,SXS_Transit_input!$A$53:$R$69,MATCH(SXS_Transit_temp!N$2,SXS_Transit_input!$B$52:$R$52,0)+1,FALSE))</f>
        <v>0</v>
      </c>
      <c r="O19">
        <f>IF(ISNA(VLOOKUP($A19,SXS_Transit_input!$A$5:$W$26,MATCH(SXS_Transit_temp!O$2,SXS_Transit_input!$B$4:$W$4,0)+1,FALSE)),0,VLOOKUP($A19,SXS_Transit_input!$A$5:$W$26,MATCH(SXS_Transit_temp!O$2,SXS_Transit_input!$B$4:$W$4,0)+1,FALSE))+IF(ISNA(VLOOKUP($A19,SXS_Transit_input!$A$53:$R$69,MATCH(SXS_Transit_temp!O$2,SXS_Transit_input!$B$52:$R$52,0)+1,FALSE)),0,VLOOKUP($A19,SXS_Transit_input!$A$53:$R$69,MATCH(SXS_Transit_temp!O$2,SXS_Transit_input!$B$52:$R$52,0)+1,FALSE))</f>
        <v>0</v>
      </c>
      <c r="P19">
        <f>IF(ISNA(VLOOKUP($A19,SXS_Transit_input!$A$5:$W$26,MATCH(SXS_Transit_temp!P$2,SXS_Transit_input!$B$4:$W$4,0)+1,FALSE)),0,VLOOKUP($A19,SXS_Transit_input!$A$5:$W$26,MATCH(SXS_Transit_temp!P$2,SXS_Transit_input!$B$4:$W$4,0)+1,FALSE))+IF(ISNA(VLOOKUP($A19,SXS_Transit_input!$A$53:$R$69,MATCH(SXS_Transit_temp!P$2,SXS_Transit_input!$B$52:$R$52,0)+1,FALSE)),0,VLOOKUP($A19,SXS_Transit_input!$A$53:$R$69,MATCH(SXS_Transit_temp!P$2,SXS_Transit_input!$B$52:$R$52,0)+1,FALSE))</f>
        <v>0</v>
      </c>
      <c r="Q19">
        <f>IF(ISNA(VLOOKUP($A19,SXS_Transit_input!$A$5:$W$26,MATCH(SXS_Transit_temp!Q$2,SXS_Transit_input!$B$4:$W$4,0)+1,FALSE)),0,VLOOKUP($A19,SXS_Transit_input!$A$5:$W$26,MATCH(SXS_Transit_temp!Q$2,SXS_Transit_input!$B$4:$W$4,0)+1,FALSE))+IF(ISNA(VLOOKUP($A19,SXS_Transit_input!$A$53:$R$69,MATCH(SXS_Transit_temp!Q$2,SXS_Transit_input!$B$52:$R$52,0)+1,FALSE)),0,VLOOKUP($A19,SXS_Transit_input!$A$53:$R$69,MATCH(SXS_Transit_temp!Q$2,SXS_Transit_input!$B$52:$R$52,0)+1,FALSE))</f>
        <v>0</v>
      </c>
      <c r="R19">
        <f>IF(ISNA(VLOOKUP($A19,SXS_Transit_input!$A$5:$W$26,MATCH(SXS_Transit_temp!R$2,SXS_Transit_input!$B$4:$W$4,0)+1,FALSE)),0,VLOOKUP($A19,SXS_Transit_input!$A$5:$W$26,MATCH(SXS_Transit_temp!R$2,SXS_Transit_input!$B$4:$W$4,0)+1,FALSE))+IF(ISNA(VLOOKUP($A19,SXS_Transit_input!$A$53:$R$69,MATCH(SXS_Transit_temp!R$2,SXS_Transit_input!$B$52:$R$52,0)+1,FALSE)),0,VLOOKUP($A19,SXS_Transit_input!$A$53:$R$69,MATCH(SXS_Transit_temp!R$2,SXS_Transit_input!$B$52:$R$52,0)+1,FALSE))</f>
        <v>0</v>
      </c>
      <c r="S19">
        <f>IF(ISNA(VLOOKUP($A19,SXS_Transit_input!$A$5:$W$26,MATCH(SXS_Transit_temp!S$2,SXS_Transit_input!$B$4:$W$4,0)+1,FALSE)),0,VLOOKUP($A19,SXS_Transit_input!$A$5:$W$26,MATCH(SXS_Transit_temp!S$2,SXS_Transit_input!$B$4:$W$4,0)+1,FALSE))+IF(ISNA(VLOOKUP($A19,SXS_Transit_input!$A$53:$R$69,MATCH(SXS_Transit_temp!S$2,SXS_Transit_input!$B$52:$R$52,0)+1,FALSE)),0,VLOOKUP($A19,SXS_Transit_input!$A$53:$R$69,MATCH(SXS_Transit_temp!S$2,SXS_Transit_input!$B$52:$R$52,0)+1,FALSE))</f>
        <v>0</v>
      </c>
      <c r="T19">
        <f>IF(ISNA(VLOOKUP($A19,SXS_Transit_input!$A$5:$W$26,MATCH(SXS_Transit_temp!T$2,SXS_Transit_input!$B$4:$W$4,0)+1,FALSE)),0,VLOOKUP($A19,SXS_Transit_input!$A$5:$W$26,MATCH(SXS_Transit_temp!T$2,SXS_Transit_input!$B$4:$W$4,0)+1,FALSE))+IF(ISNA(VLOOKUP($A19,SXS_Transit_input!$A$53:$R$69,MATCH(SXS_Transit_temp!T$2,SXS_Transit_input!$B$52:$R$52,0)+1,FALSE)),0,VLOOKUP($A19,SXS_Transit_input!$A$53:$R$69,MATCH(SXS_Transit_temp!T$2,SXS_Transit_input!$B$52:$R$52,0)+1,FALSE))</f>
        <v>0</v>
      </c>
      <c r="U19">
        <f>IF(ISNA(VLOOKUP($A19,SXS_Transit_input!$A$5:$W$26,MATCH(SXS_Transit_temp!U$2,SXS_Transit_input!$B$4:$W$4,0)+1,FALSE)),0,VLOOKUP($A19,SXS_Transit_input!$A$5:$W$26,MATCH(SXS_Transit_temp!U$2,SXS_Transit_input!$B$4:$W$4,0)+1,FALSE))+IF(ISNA(VLOOKUP($A19,SXS_Transit_input!$A$53:$R$69,MATCH(SXS_Transit_temp!U$2,SXS_Transit_input!$B$52:$R$52,0)+1,FALSE)),0,VLOOKUP($A19,SXS_Transit_input!$A$53:$R$69,MATCH(SXS_Transit_temp!U$2,SXS_Transit_input!$B$52:$R$52,0)+1,FALSE))</f>
        <v>0</v>
      </c>
      <c r="V19">
        <f>IF(ISNA(VLOOKUP($A19,SXS_Transit_input!$A$5:$W$26,MATCH(SXS_Transit_temp!V$2,SXS_Transit_input!$B$4:$W$4,0)+1,FALSE)),0,VLOOKUP($A19,SXS_Transit_input!$A$5:$W$26,MATCH(SXS_Transit_temp!V$2,SXS_Transit_input!$B$4:$W$4,0)+1,FALSE))+IF(ISNA(VLOOKUP($A19,SXS_Transit_input!$A$53:$R$69,MATCH(SXS_Transit_temp!V$2,SXS_Transit_input!$B$52:$R$52,0)+1,FALSE)),0,VLOOKUP($A19,SXS_Transit_input!$A$53:$R$69,MATCH(SXS_Transit_temp!V$2,SXS_Transit_input!$B$52:$R$52,0)+1,FALSE))</f>
        <v>0</v>
      </c>
      <c r="W19">
        <f>IF(ISNA(VLOOKUP($A19,SXS_Transit_input!$A$5:$W$26,MATCH(SXS_Transit_temp!W$2,SXS_Transit_input!$B$4:$W$4,0)+1,FALSE)),0,VLOOKUP($A19,SXS_Transit_input!$A$5:$W$26,MATCH(SXS_Transit_temp!W$2,SXS_Transit_input!$B$4:$W$4,0)+1,FALSE))+IF(ISNA(VLOOKUP($A19,SXS_Transit_input!$A$53:$R$69,MATCH(SXS_Transit_temp!W$2,SXS_Transit_input!$B$52:$R$52,0)+1,FALSE)),0,VLOOKUP($A19,SXS_Transit_input!$A$53:$R$69,MATCH(SXS_Transit_temp!W$2,SXS_Transit_input!$B$52:$R$52,0)+1,FALSE))</f>
        <v>0</v>
      </c>
      <c r="X19">
        <f>IF(ISNA(VLOOKUP($A19,SXS_Transit_input!$A$5:$W$26,MATCH(SXS_Transit_temp!X$2,SXS_Transit_input!$B$4:$W$4,0)+1,FALSE)),0,VLOOKUP($A19,SXS_Transit_input!$A$5:$W$26,MATCH(SXS_Transit_temp!X$2,SXS_Transit_input!$B$4:$W$4,0)+1,FALSE))+IF(ISNA(VLOOKUP($A19,SXS_Transit_input!$A$53:$R$69,MATCH(SXS_Transit_temp!X$2,SXS_Transit_input!$B$52:$R$52,0)+1,FALSE)),0,VLOOKUP($A19,SXS_Transit_input!$A$53:$R$69,MATCH(SXS_Transit_temp!X$2,SXS_Transit_input!$B$52:$R$52,0)+1,FALSE))</f>
        <v>0</v>
      </c>
      <c r="Y19">
        <f>IF(ISNA(VLOOKUP($A19,SXS_Transit_input!$A$5:$W$26,MATCH(SXS_Transit_temp!Y$2,SXS_Transit_input!$B$4:$W$4,0)+1,FALSE)),0,VLOOKUP($A19,SXS_Transit_input!$A$5:$W$26,MATCH(SXS_Transit_temp!Y$2,SXS_Transit_input!$B$4:$W$4,0)+1,FALSE))+IF(ISNA(VLOOKUP($A19,SXS_Transit_input!$A$53:$R$69,MATCH(SXS_Transit_temp!Y$2,SXS_Transit_input!$B$52:$R$52,0)+1,FALSE)),0,VLOOKUP($A19,SXS_Transit_input!$A$53:$R$69,MATCH(SXS_Transit_temp!Y$2,SXS_Transit_input!$B$52:$R$52,0)+1,FALSE))</f>
        <v>0</v>
      </c>
      <c r="Z19">
        <f>IF(ISNA(VLOOKUP($A19,SXS_Transit_input!$A$5:$W$26,MATCH(SXS_Transit_temp!Z$2,SXS_Transit_input!$B$4:$W$4,0)+1,FALSE)),0,VLOOKUP($A19,SXS_Transit_input!$A$5:$W$26,MATCH(SXS_Transit_temp!Z$2,SXS_Transit_input!$B$4:$W$4,0)+1,FALSE))+IF(ISNA(VLOOKUP($A19,SXS_Transit_input!$A$53:$R$69,MATCH(SXS_Transit_temp!Z$2,SXS_Transit_input!$B$52:$R$52,0)+1,FALSE)),0,VLOOKUP($A19,SXS_Transit_input!$A$53:$R$69,MATCH(SXS_Transit_temp!Z$2,SXS_Transit_input!$B$52:$R$52,0)+1,FALSE))</f>
        <v>0</v>
      </c>
      <c r="AA19">
        <v>17</v>
      </c>
      <c r="AB19" s="33">
        <f t="shared" si="1"/>
        <v>0</v>
      </c>
      <c r="AC19" s="34">
        <f t="shared" si="11"/>
        <v>0</v>
      </c>
      <c r="AD19" s="34">
        <f t="shared" si="12"/>
        <v>0</v>
      </c>
      <c r="AE19" s="34">
        <f t="shared" si="13"/>
        <v>0</v>
      </c>
      <c r="AF19" s="34">
        <f t="shared" si="14"/>
        <v>0</v>
      </c>
      <c r="AG19" s="34">
        <f t="shared" si="15"/>
        <v>0</v>
      </c>
      <c r="AH19" s="34">
        <f t="shared" si="16"/>
        <v>0</v>
      </c>
      <c r="AI19" s="34">
        <f t="shared" si="17"/>
        <v>0</v>
      </c>
      <c r="AJ19" s="34">
        <f t="shared" si="18"/>
        <v>0</v>
      </c>
      <c r="AK19" s="34">
        <f t="shared" si="19"/>
        <v>0</v>
      </c>
      <c r="AL19" s="34">
        <f t="shared" si="20"/>
        <v>0</v>
      </c>
      <c r="AM19" s="34">
        <f t="shared" si="21"/>
        <v>0</v>
      </c>
      <c r="AN19" s="34">
        <f t="shared" si="22"/>
        <v>0</v>
      </c>
      <c r="AO19" s="34">
        <f t="shared" si="23"/>
        <v>0</v>
      </c>
      <c r="AP19" s="34">
        <f t="shared" si="24"/>
        <v>0</v>
      </c>
      <c r="AQ19" s="34">
        <f t="shared" si="25"/>
        <v>0</v>
      </c>
      <c r="AR19" s="34">
        <f t="shared" si="2"/>
        <v>0</v>
      </c>
      <c r="AS19" s="34">
        <f t="shared" si="3"/>
        <v>0</v>
      </c>
      <c r="AT19" s="34">
        <f t="shared" si="4"/>
        <v>0</v>
      </c>
      <c r="AU19" s="34">
        <f t="shared" si="5"/>
        <v>0</v>
      </c>
      <c r="AV19" s="34">
        <f t="shared" si="6"/>
        <v>0</v>
      </c>
      <c r="AW19" s="34">
        <f t="shared" si="7"/>
        <v>0</v>
      </c>
      <c r="AX19" s="34">
        <f t="shared" si="8"/>
        <v>0</v>
      </c>
      <c r="AY19" s="34">
        <f t="shared" si="9"/>
        <v>0</v>
      </c>
      <c r="AZ19" s="35">
        <f t="shared" si="10"/>
        <v>0</v>
      </c>
      <c r="BC19">
        <v>17</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row>
    <row r="20" spans="1:80" x14ac:dyDescent="0.25">
      <c r="A20">
        <v>18</v>
      </c>
      <c r="B20">
        <f>IF(ISNA(VLOOKUP($A20,SXS_Transit_input!$A$5:$W$26,MATCH(SXS_Transit_temp!B$2,SXS_Transit_input!$B$4:$W$4,0)+1,FALSE)),0,VLOOKUP($A20,SXS_Transit_input!$A$5:$W$26,MATCH(SXS_Transit_temp!B$2,SXS_Transit_input!$B$4:$W$4,0)+1,FALSE))+IF(ISNA(VLOOKUP($A20,SXS_Transit_input!$A$53:$R$69,MATCH(SXS_Transit_temp!B$2,SXS_Transit_input!$B$52:$R$52,0)+1,FALSE)),0,VLOOKUP($A20,SXS_Transit_input!$A$53:$R$69,MATCH(SXS_Transit_temp!B$2,SXS_Transit_input!$B$52:$R$52,0)+1,FALSE))</f>
        <v>193.65595999999999</v>
      </c>
      <c r="C20">
        <f>IF(ISNA(VLOOKUP($A20,SXS_Transit_input!$A$5:$W$26,MATCH(SXS_Transit_temp!C$2,SXS_Transit_input!$B$4:$W$4,0)+1,FALSE)),0,VLOOKUP($A20,SXS_Transit_input!$A$5:$W$26,MATCH(SXS_Transit_temp!C$2,SXS_Transit_input!$B$4:$W$4,0)+1,FALSE))+IF(ISNA(VLOOKUP($A20,SXS_Transit_input!$A$53:$R$69,MATCH(SXS_Transit_temp!C$2,SXS_Transit_input!$B$52:$R$52,0)+1,FALSE)),0,VLOOKUP($A20,SXS_Transit_input!$A$53:$R$69,MATCH(SXS_Transit_temp!C$2,SXS_Transit_input!$B$52:$R$52,0)+1,FALSE))</f>
        <v>104.64711</v>
      </c>
      <c r="D20">
        <f>IF(ISNA(VLOOKUP($A20,SXS_Transit_input!$A$5:$W$26,MATCH(SXS_Transit_temp!D$2,SXS_Transit_input!$B$4:$W$4,0)+1,FALSE)),0,VLOOKUP($A20,SXS_Transit_input!$A$5:$W$26,MATCH(SXS_Transit_temp!D$2,SXS_Transit_input!$B$4:$W$4,0)+1,FALSE))+IF(ISNA(VLOOKUP($A20,SXS_Transit_input!$A$53:$R$69,MATCH(SXS_Transit_temp!D$2,SXS_Transit_input!$B$52:$R$52,0)+1,FALSE)),0,VLOOKUP($A20,SXS_Transit_input!$A$53:$R$69,MATCH(SXS_Transit_temp!D$2,SXS_Transit_input!$B$52:$R$52,0)+1,FALSE))</f>
        <v>0</v>
      </c>
      <c r="E20">
        <f>IF(ISNA(VLOOKUP($A20,SXS_Transit_input!$A$5:$W$26,MATCH(SXS_Transit_temp!E$2,SXS_Transit_input!$B$4:$W$4,0)+1,FALSE)),0,VLOOKUP($A20,SXS_Transit_input!$A$5:$W$26,MATCH(SXS_Transit_temp!E$2,SXS_Transit_input!$B$4:$W$4,0)+1,FALSE))+IF(ISNA(VLOOKUP($A20,SXS_Transit_input!$A$53:$R$69,MATCH(SXS_Transit_temp!E$2,SXS_Transit_input!$B$52:$R$52,0)+1,FALSE)),0,VLOOKUP($A20,SXS_Transit_input!$A$53:$R$69,MATCH(SXS_Transit_temp!E$2,SXS_Transit_input!$B$52:$R$52,0)+1,FALSE))</f>
        <v>0</v>
      </c>
      <c r="F20">
        <f>IF(ISNA(VLOOKUP($A20,SXS_Transit_input!$A$5:$W$26,MATCH(SXS_Transit_temp!F$2,SXS_Transit_input!$B$4:$W$4,0)+1,FALSE)),0,VLOOKUP($A20,SXS_Transit_input!$A$5:$W$26,MATCH(SXS_Transit_temp!F$2,SXS_Transit_input!$B$4:$W$4,0)+1,FALSE))+IF(ISNA(VLOOKUP($A20,SXS_Transit_input!$A$53:$R$69,MATCH(SXS_Transit_temp!F$2,SXS_Transit_input!$B$52:$R$52,0)+1,FALSE)),0,VLOOKUP($A20,SXS_Transit_input!$A$53:$R$69,MATCH(SXS_Transit_temp!F$2,SXS_Transit_input!$B$52:$R$52,0)+1,FALSE))</f>
        <v>0</v>
      </c>
      <c r="G20">
        <f>IF(ISNA(VLOOKUP($A20,SXS_Transit_input!$A$5:$W$26,MATCH(SXS_Transit_temp!G$2,SXS_Transit_input!$B$4:$W$4,0)+1,FALSE)),0,VLOOKUP($A20,SXS_Transit_input!$A$5:$W$26,MATCH(SXS_Transit_temp!G$2,SXS_Transit_input!$B$4:$W$4,0)+1,FALSE))+IF(ISNA(VLOOKUP($A20,SXS_Transit_input!$A$53:$R$69,MATCH(SXS_Transit_temp!G$2,SXS_Transit_input!$B$52:$R$52,0)+1,FALSE)),0,VLOOKUP($A20,SXS_Transit_input!$A$53:$R$69,MATCH(SXS_Transit_temp!G$2,SXS_Transit_input!$B$52:$R$52,0)+1,FALSE))</f>
        <v>0</v>
      </c>
      <c r="H20">
        <f>IF(ISNA(VLOOKUP($A20,SXS_Transit_input!$A$5:$W$26,MATCH(SXS_Transit_temp!H$2,SXS_Transit_input!$B$4:$W$4,0)+1,FALSE)),0,VLOOKUP($A20,SXS_Transit_input!$A$5:$W$26,MATCH(SXS_Transit_temp!H$2,SXS_Transit_input!$B$4:$W$4,0)+1,FALSE))+IF(ISNA(VLOOKUP($A20,SXS_Transit_input!$A$53:$R$69,MATCH(SXS_Transit_temp!H$2,SXS_Transit_input!$B$52:$R$52,0)+1,FALSE)),0,VLOOKUP($A20,SXS_Transit_input!$A$53:$R$69,MATCH(SXS_Transit_temp!H$2,SXS_Transit_input!$B$52:$R$52,0)+1,FALSE))</f>
        <v>349.64632999999998</v>
      </c>
      <c r="I20">
        <f>IF(ISNA(VLOOKUP($A20,SXS_Transit_input!$A$5:$W$26,MATCH(SXS_Transit_temp!I$2,SXS_Transit_input!$B$4:$W$4,0)+1,FALSE)),0,VLOOKUP($A20,SXS_Transit_input!$A$5:$W$26,MATCH(SXS_Transit_temp!I$2,SXS_Transit_input!$B$4:$W$4,0)+1,FALSE))+IF(ISNA(VLOOKUP($A20,SXS_Transit_input!$A$53:$R$69,MATCH(SXS_Transit_temp!I$2,SXS_Transit_input!$B$52:$R$52,0)+1,FALSE)),0,VLOOKUP($A20,SXS_Transit_input!$A$53:$R$69,MATCH(SXS_Transit_temp!I$2,SXS_Transit_input!$B$52:$R$52,0)+1,FALSE))</f>
        <v>354.21181999999999</v>
      </c>
      <c r="J20">
        <f>IF(ISNA(VLOOKUP($A20,SXS_Transit_input!$A$5:$W$26,MATCH(SXS_Transit_temp!J$2,SXS_Transit_input!$B$4:$W$4,0)+1,FALSE)),0,VLOOKUP($A20,SXS_Transit_input!$A$5:$W$26,MATCH(SXS_Transit_temp!J$2,SXS_Transit_input!$B$4:$W$4,0)+1,FALSE))+IF(ISNA(VLOOKUP($A20,SXS_Transit_input!$A$53:$R$69,MATCH(SXS_Transit_temp!J$2,SXS_Transit_input!$B$52:$R$52,0)+1,FALSE)),0,VLOOKUP($A20,SXS_Transit_input!$A$53:$R$69,MATCH(SXS_Transit_temp!J$2,SXS_Transit_input!$B$52:$R$52,0)+1,FALSE))</f>
        <v>0</v>
      </c>
      <c r="K20">
        <f>IF(ISNA(VLOOKUP($A20,SXS_Transit_input!$A$5:$W$26,MATCH(SXS_Transit_temp!K$2,SXS_Transit_input!$B$4:$W$4,0)+1,FALSE)),0,VLOOKUP($A20,SXS_Transit_input!$A$5:$W$26,MATCH(SXS_Transit_temp!K$2,SXS_Transit_input!$B$4:$W$4,0)+1,FALSE))+IF(ISNA(VLOOKUP($A20,SXS_Transit_input!$A$53:$R$69,MATCH(SXS_Transit_temp!K$2,SXS_Transit_input!$B$52:$R$52,0)+1,FALSE)),0,VLOOKUP($A20,SXS_Transit_input!$A$53:$R$69,MATCH(SXS_Transit_temp!K$2,SXS_Transit_input!$B$52:$R$52,0)+1,FALSE))</f>
        <v>0</v>
      </c>
      <c r="L20">
        <f>IF(ISNA(VLOOKUP($A20,SXS_Transit_input!$A$5:$W$26,MATCH(SXS_Transit_temp!L$2,SXS_Transit_input!$B$4:$W$4,0)+1,FALSE)),0,VLOOKUP($A20,SXS_Transit_input!$A$5:$W$26,MATCH(SXS_Transit_temp!L$2,SXS_Transit_input!$B$4:$W$4,0)+1,FALSE))+IF(ISNA(VLOOKUP($A20,SXS_Transit_input!$A$53:$R$69,MATCH(SXS_Transit_temp!L$2,SXS_Transit_input!$B$52:$R$52,0)+1,FALSE)),0,VLOOKUP($A20,SXS_Transit_input!$A$53:$R$69,MATCH(SXS_Transit_temp!L$2,SXS_Transit_input!$B$52:$R$52,0)+1,FALSE))</f>
        <v>0</v>
      </c>
      <c r="M20">
        <f>IF(ISNA(VLOOKUP($A20,SXS_Transit_input!$A$5:$W$26,MATCH(SXS_Transit_temp!M$2,SXS_Transit_input!$B$4:$W$4,0)+1,FALSE)),0,VLOOKUP($A20,SXS_Transit_input!$A$5:$W$26,MATCH(SXS_Transit_temp!M$2,SXS_Transit_input!$B$4:$W$4,0)+1,FALSE))+IF(ISNA(VLOOKUP($A20,SXS_Transit_input!$A$53:$R$69,MATCH(SXS_Transit_temp!M$2,SXS_Transit_input!$B$52:$R$52,0)+1,FALSE)),0,VLOOKUP($A20,SXS_Transit_input!$A$53:$R$69,MATCH(SXS_Transit_temp!M$2,SXS_Transit_input!$B$52:$R$52,0)+1,FALSE))</f>
        <v>0</v>
      </c>
      <c r="N20">
        <f>IF(ISNA(VLOOKUP($A20,SXS_Transit_input!$A$5:$W$26,MATCH(SXS_Transit_temp!N$2,SXS_Transit_input!$B$4:$W$4,0)+1,FALSE)),0,VLOOKUP($A20,SXS_Transit_input!$A$5:$W$26,MATCH(SXS_Transit_temp!N$2,SXS_Transit_input!$B$4:$W$4,0)+1,FALSE))+IF(ISNA(VLOOKUP($A20,SXS_Transit_input!$A$53:$R$69,MATCH(SXS_Transit_temp!N$2,SXS_Transit_input!$B$52:$R$52,0)+1,FALSE)),0,VLOOKUP($A20,SXS_Transit_input!$A$53:$R$69,MATCH(SXS_Transit_temp!N$2,SXS_Transit_input!$B$52:$R$52,0)+1,FALSE))</f>
        <v>0</v>
      </c>
      <c r="O20">
        <f>IF(ISNA(VLOOKUP($A20,SXS_Transit_input!$A$5:$W$26,MATCH(SXS_Transit_temp!O$2,SXS_Transit_input!$B$4:$W$4,0)+1,FALSE)),0,VLOOKUP($A20,SXS_Transit_input!$A$5:$W$26,MATCH(SXS_Transit_temp!O$2,SXS_Transit_input!$B$4:$W$4,0)+1,FALSE))+IF(ISNA(VLOOKUP($A20,SXS_Transit_input!$A$53:$R$69,MATCH(SXS_Transit_temp!O$2,SXS_Transit_input!$B$52:$R$52,0)+1,FALSE)),0,VLOOKUP($A20,SXS_Transit_input!$A$53:$R$69,MATCH(SXS_Transit_temp!O$2,SXS_Transit_input!$B$52:$R$52,0)+1,FALSE))</f>
        <v>0</v>
      </c>
      <c r="P20">
        <f>IF(ISNA(VLOOKUP($A20,SXS_Transit_input!$A$5:$W$26,MATCH(SXS_Transit_temp!P$2,SXS_Transit_input!$B$4:$W$4,0)+1,FALSE)),0,VLOOKUP($A20,SXS_Transit_input!$A$5:$W$26,MATCH(SXS_Transit_temp!P$2,SXS_Transit_input!$B$4:$W$4,0)+1,FALSE))+IF(ISNA(VLOOKUP($A20,SXS_Transit_input!$A$53:$R$69,MATCH(SXS_Transit_temp!P$2,SXS_Transit_input!$B$52:$R$52,0)+1,FALSE)),0,VLOOKUP($A20,SXS_Transit_input!$A$53:$R$69,MATCH(SXS_Transit_temp!P$2,SXS_Transit_input!$B$52:$R$52,0)+1,FALSE))</f>
        <v>0</v>
      </c>
      <c r="Q20">
        <f>IF(ISNA(VLOOKUP($A20,SXS_Transit_input!$A$5:$W$26,MATCH(SXS_Transit_temp!Q$2,SXS_Transit_input!$B$4:$W$4,0)+1,FALSE)),0,VLOOKUP($A20,SXS_Transit_input!$A$5:$W$26,MATCH(SXS_Transit_temp!Q$2,SXS_Transit_input!$B$4:$W$4,0)+1,FALSE))+IF(ISNA(VLOOKUP($A20,SXS_Transit_input!$A$53:$R$69,MATCH(SXS_Transit_temp!Q$2,SXS_Transit_input!$B$52:$R$52,0)+1,FALSE)),0,VLOOKUP($A20,SXS_Transit_input!$A$53:$R$69,MATCH(SXS_Transit_temp!Q$2,SXS_Transit_input!$B$52:$R$52,0)+1,FALSE))</f>
        <v>0</v>
      </c>
      <c r="R20">
        <f>IF(ISNA(VLOOKUP($A20,SXS_Transit_input!$A$5:$W$26,MATCH(SXS_Transit_temp!R$2,SXS_Transit_input!$B$4:$W$4,0)+1,FALSE)),0,VLOOKUP($A20,SXS_Transit_input!$A$5:$W$26,MATCH(SXS_Transit_temp!R$2,SXS_Transit_input!$B$4:$W$4,0)+1,FALSE))+IF(ISNA(VLOOKUP($A20,SXS_Transit_input!$A$53:$R$69,MATCH(SXS_Transit_temp!R$2,SXS_Transit_input!$B$52:$R$52,0)+1,FALSE)),0,VLOOKUP($A20,SXS_Transit_input!$A$53:$R$69,MATCH(SXS_Transit_temp!R$2,SXS_Transit_input!$B$52:$R$52,0)+1,FALSE))</f>
        <v>0</v>
      </c>
      <c r="S20">
        <f>IF(ISNA(VLOOKUP($A20,SXS_Transit_input!$A$5:$W$26,MATCH(SXS_Transit_temp!S$2,SXS_Transit_input!$B$4:$W$4,0)+1,FALSE)),0,VLOOKUP($A20,SXS_Transit_input!$A$5:$W$26,MATCH(SXS_Transit_temp!S$2,SXS_Transit_input!$B$4:$W$4,0)+1,FALSE))+IF(ISNA(VLOOKUP($A20,SXS_Transit_input!$A$53:$R$69,MATCH(SXS_Transit_temp!S$2,SXS_Transit_input!$B$52:$R$52,0)+1,FALSE)),0,VLOOKUP($A20,SXS_Transit_input!$A$53:$R$69,MATCH(SXS_Transit_temp!S$2,SXS_Transit_input!$B$52:$R$52,0)+1,FALSE))</f>
        <v>0</v>
      </c>
      <c r="T20">
        <f>IF(ISNA(VLOOKUP($A20,SXS_Transit_input!$A$5:$W$26,MATCH(SXS_Transit_temp!T$2,SXS_Transit_input!$B$4:$W$4,0)+1,FALSE)),0,VLOOKUP($A20,SXS_Transit_input!$A$5:$W$26,MATCH(SXS_Transit_temp!T$2,SXS_Transit_input!$B$4:$W$4,0)+1,FALSE))+IF(ISNA(VLOOKUP($A20,SXS_Transit_input!$A$53:$R$69,MATCH(SXS_Transit_temp!T$2,SXS_Transit_input!$B$52:$R$52,0)+1,FALSE)),0,VLOOKUP($A20,SXS_Transit_input!$A$53:$R$69,MATCH(SXS_Transit_temp!T$2,SXS_Transit_input!$B$52:$R$52,0)+1,FALSE))</f>
        <v>0</v>
      </c>
      <c r="U20">
        <f>IF(ISNA(VLOOKUP($A20,SXS_Transit_input!$A$5:$W$26,MATCH(SXS_Transit_temp!U$2,SXS_Transit_input!$B$4:$W$4,0)+1,FALSE)),0,VLOOKUP($A20,SXS_Transit_input!$A$5:$W$26,MATCH(SXS_Transit_temp!U$2,SXS_Transit_input!$B$4:$W$4,0)+1,FALSE))+IF(ISNA(VLOOKUP($A20,SXS_Transit_input!$A$53:$R$69,MATCH(SXS_Transit_temp!U$2,SXS_Transit_input!$B$52:$R$52,0)+1,FALSE)),0,VLOOKUP($A20,SXS_Transit_input!$A$53:$R$69,MATCH(SXS_Transit_temp!U$2,SXS_Transit_input!$B$52:$R$52,0)+1,FALSE))</f>
        <v>0</v>
      </c>
      <c r="V20">
        <f>IF(ISNA(VLOOKUP($A20,SXS_Transit_input!$A$5:$W$26,MATCH(SXS_Transit_temp!V$2,SXS_Transit_input!$B$4:$W$4,0)+1,FALSE)),0,VLOOKUP($A20,SXS_Transit_input!$A$5:$W$26,MATCH(SXS_Transit_temp!V$2,SXS_Transit_input!$B$4:$W$4,0)+1,FALSE))+IF(ISNA(VLOOKUP($A20,SXS_Transit_input!$A$53:$R$69,MATCH(SXS_Transit_temp!V$2,SXS_Transit_input!$B$52:$R$52,0)+1,FALSE)),0,VLOOKUP($A20,SXS_Transit_input!$A$53:$R$69,MATCH(SXS_Transit_temp!V$2,SXS_Transit_input!$B$52:$R$52,0)+1,FALSE))</f>
        <v>0</v>
      </c>
      <c r="W20">
        <f>IF(ISNA(VLOOKUP($A20,SXS_Transit_input!$A$5:$W$26,MATCH(SXS_Transit_temp!W$2,SXS_Transit_input!$B$4:$W$4,0)+1,FALSE)),0,VLOOKUP($A20,SXS_Transit_input!$A$5:$W$26,MATCH(SXS_Transit_temp!W$2,SXS_Transit_input!$B$4:$W$4,0)+1,FALSE))+IF(ISNA(VLOOKUP($A20,SXS_Transit_input!$A$53:$R$69,MATCH(SXS_Transit_temp!W$2,SXS_Transit_input!$B$52:$R$52,0)+1,FALSE)),0,VLOOKUP($A20,SXS_Transit_input!$A$53:$R$69,MATCH(SXS_Transit_temp!W$2,SXS_Transit_input!$B$52:$R$52,0)+1,FALSE))</f>
        <v>0</v>
      </c>
      <c r="X20">
        <f>IF(ISNA(VLOOKUP($A20,SXS_Transit_input!$A$5:$W$26,MATCH(SXS_Transit_temp!X$2,SXS_Transit_input!$B$4:$W$4,0)+1,FALSE)),0,VLOOKUP($A20,SXS_Transit_input!$A$5:$W$26,MATCH(SXS_Transit_temp!X$2,SXS_Transit_input!$B$4:$W$4,0)+1,FALSE))+IF(ISNA(VLOOKUP($A20,SXS_Transit_input!$A$53:$R$69,MATCH(SXS_Transit_temp!X$2,SXS_Transit_input!$B$52:$R$52,0)+1,FALSE)),0,VLOOKUP($A20,SXS_Transit_input!$A$53:$R$69,MATCH(SXS_Transit_temp!X$2,SXS_Transit_input!$B$52:$R$52,0)+1,FALSE))</f>
        <v>0</v>
      </c>
      <c r="Y20">
        <f>IF(ISNA(VLOOKUP($A20,SXS_Transit_input!$A$5:$W$26,MATCH(SXS_Transit_temp!Y$2,SXS_Transit_input!$B$4:$W$4,0)+1,FALSE)),0,VLOOKUP($A20,SXS_Transit_input!$A$5:$W$26,MATCH(SXS_Transit_temp!Y$2,SXS_Transit_input!$B$4:$W$4,0)+1,FALSE))+IF(ISNA(VLOOKUP($A20,SXS_Transit_input!$A$53:$R$69,MATCH(SXS_Transit_temp!Y$2,SXS_Transit_input!$B$52:$R$52,0)+1,FALSE)),0,VLOOKUP($A20,SXS_Transit_input!$A$53:$R$69,MATCH(SXS_Transit_temp!Y$2,SXS_Transit_input!$B$52:$R$52,0)+1,FALSE))</f>
        <v>0</v>
      </c>
      <c r="Z20">
        <f>IF(ISNA(VLOOKUP($A20,SXS_Transit_input!$A$5:$W$26,MATCH(SXS_Transit_temp!Z$2,SXS_Transit_input!$B$4:$W$4,0)+1,FALSE)),0,VLOOKUP($A20,SXS_Transit_input!$A$5:$W$26,MATCH(SXS_Transit_temp!Z$2,SXS_Transit_input!$B$4:$W$4,0)+1,FALSE))+IF(ISNA(VLOOKUP($A20,SXS_Transit_input!$A$53:$R$69,MATCH(SXS_Transit_temp!Z$2,SXS_Transit_input!$B$52:$R$52,0)+1,FALSE)),0,VLOOKUP($A20,SXS_Transit_input!$A$53:$R$69,MATCH(SXS_Transit_temp!Z$2,SXS_Transit_input!$B$52:$R$52,0)+1,FALSE))</f>
        <v>0</v>
      </c>
      <c r="AA20">
        <v>18</v>
      </c>
      <c r="AB20" s="33">
        <f t="shared" si="1"/>
        <v>38</v>
      </c>
      <c r="AC20" s="34">
        <f t="shared" si="11"/>
        <v>2</v>
      </c>
      <c r="AD20" s="34">
        <f t="shared" si="12"/>
        <v>1</v>
      </c>
      <c r="AE20" s="34">
        <f t="shared" si="13"/>
        <v>0</v>
      </c>
      <c r="AF20" s="34">
        <f t="shared" si="14"/>
        <v>0</v>
      </c>
      <c r="AG20" s="34">
        <f t="shared" si="15"/>
        <v>0</v>
      </c>
      <c r="AH20" s="34">
        <f t="shared" si="16"/>
        <v>0</v>
      </c>
      <c r="AI20" s="34">
        <f t="shared" si="17"/>
        <v>15</v>
      </c>
      <c r="AJ20" s="34">
        <f t="shared" si="18"/>
        <v>0</v>
      </c>
      <c r="AK20" s="34">
        <f t="shared" si="19"/>
        <v>0</v>
      </c>
      <c r="AL20" s="34">
        <f t="shared" si="20"/>
        <v>0</v>
      </c>
      <c r="AM20" s="34">
        <f t="shared" si="21"/>
        <v>0</v>
      </c>
      <c r="AN20" s="34">
        <f t="shared" si="22"/>
        <v>0</v>
      </c>
      <c r="AO20" s="34">
        <f t="shared" si="23"/>
        <v>1</v>
      </c>
      <c r="AP20" s="34">
        <f t="shared" si="24"/>
        <v>0</v>
      </c>
      <c r="AQ20" s="34">
        <f t="shared" si="25"/>
        <v>0</v>
      </c>
      <c r="AR20" s="34">
        <f t="shared" si="2"/>
        <v>0</v>
      </c>
      <c r="AS20" s="34">
        <f t="shared" si="3"/>
        <v>16</v>
      </c>
      <c r="AT20" s="34">
        <f t="shared" si="4"/>
        <v>0</v>
      </c>
      <c r="AU20" s="34">
        <f t="shared" si="5"/>
        <v>0</v>
      </c>
      <c r="AV20" s="34">
        <f t="shared" si="6"/>
        <v>0</v>
      </c>
      <c r="AW20" s="34">
        <f t="shared" si="7"/>
        <v>0</v>
      </c>
      <c r="AX20" s="34">
        <f t="shared" si="8"/>
        <v>0</v>
      </c>
      <c r="AY20" s="34">
        <f t="shared" si="9"/>
        <v>0</v>
      </c>
      <c r="AZ20" s="35">
        <f t="shared" si="10"/>
        <v>0</v>
      </c>
      <c r="BC20">
        <v>18</v>
      </c>
      <c r="BD20">
        <v>38</v>
      </c>
      <c r="BE20">
        <v>2</v>
      </c>
      <c r="BF20">
        <v>1</v>
      </c>
      <c r="BG20">
        <v>0</v>
      </c>
      <c r="BH20">
        <v>0</v>
      </c>
      <c r="BI20">
        <v>0</v>
      </c>
      <c r="BJ20">
        <v>0</v>
      </c>
      <c r="BK20">
        <v>11</v>
      </c>
      <c r="BL20">
        <v>0</v>
      </c>
      <c r="BM20">
        <v>0</v>
      </c>
      <c r="BN20">
        <v>0</v>
      </c>
      <c r="BO20">
        <v>0</v>
      </c>
      <c r="BP20">
        <v>0</v>
      </c>
      <c r="BQ20">
        <v>1</v>
      </c>
      <c r="BR20">
        <v>0</v>
      </c>
      <c r="BS20">
        <v>0</v>
      </c>
      <c r="BT20">
        <v>0</v>
      </c>
      <c r="BU20">
        <v>15</v>
      </c>
      <c r="BV20">
        <v>0</v>
      </c>
      <c r="BW20">
        <v>0</v>
      </c>
      <c r="BX20">
        <v>0</v>
      </c>
      <c r="BY20">
        <v>0</v>
      </c>
      <c r="BZ20">
        <v>0</v>
      </c>
      <c r="CA20">
        <v>0</v>
      </c>
      <c r="CB20">
        <v>0</v>
      </c>
    </row>
    <row r="21" spans="1:80" x14ac:dyDescent="0.25">
      <c r="A21">
        <v>19</v>
      </c>
      <c r="B21">
        <f>IF(ISNA(VLOOKUP($A21,SXS_Transit_input!$A$5:$W$26,MATCH(SXS_Transit_temp!B$2,SXS_Transit_input!$B$4:$W$4,0)+1,FALSE)),0,VLOOKUP($A21,SXS_Transit_input!$A$5:$W$26,MATCH(SXS_Transit_temp!B$2,SXS_Transit_input!$B$4:$W$4,0)+1,FALSE))+IF(ISNA(VLOOKUP($A21,SXS_Transit_input!$A$53:$R$69,MATCH(SXS_Transit_temp!B$2,SXS_Transit_input!$B$52:$R$52,0)+1,FALSE)),0,VLOOKUP($A21,SXS_Transit_input!$A$53:$R$69,MATCH(SXS_Transit_temp!B$2,SXS_Transit_input!$B$52:$R$52,0)+1,FALSE))</f>
        <v>0</v>
      </c>
      <c r="C21">
        <f>IF(ISNA(VLOOKUP($A21,SXS_Transit_input!$A$5:$W$26,MATCH(SXS_Transit_temp!C$2,SXS_Transit_input!$B$4:$W$4,0)+1,FALSE)),0,VLOOKUP($A21,SXS_Transit_input!$A$5:$W$26,MATCH(SXS_Transit_temp!C$2,SXS_Transit_input!$B$4:$W$4,0)+1,FALSE))+IF(ISNA(VLOOKUP($A21,SXS_Transit_input!$A$53:$R$69,MATCH(SXS_Transit_temp!C$2,SXS_Transit_input!$B$52:$R$52,0)+1,FALSE)),0,VLOOKUP($A21,SXS_Transit_input!$A$53:$R$69,MATCH(SXS_Transit_temp!C$2,SXS_Transit_input!$B$52:$R$52,0)+1,FALSE))</f>
        <v>0</v>
      </c>
      <c r="D21">
        <f>IF(ISNA(VLOOKUP($A21,SXS_Transit_input!$A$5:$W$26,MATCH(SXS_Transit_temp!D$2,SXS_Transit_input!$B$4:$W$4,0)+1,FALSE)),0,VLOOKUP($A21,SXS_Transit_input!$A$5:$W$26,MATCH(SXS_Transit_temp!D$2,SXS_Transit_input!$B$4:$W$4,0)+1,FALSE))+IF(ISNA(VLOOKUP($A21,SXS_Transit_input!$A$53:$R$69,MATCH(SXS_Transit_temp!D$2,SXS_Transit_input!$B$52:$R$52,0)+1,FALSE)),0,VLOOKUP($A21,SXS_Transit_input!$A$53:$R$69,MATCH(SXS_Transit_temp!D$2,SXS_Transit_input!$B$52:$R$52,0)+1,FALSE))</f>
        <v>0</v>
      </c>
      <c r="E21">
        <f>IF(ISNA(VLOOKUP($A21,SXS_Transit_input!$A$5:$W$26,MATCH(SXS_Transit_temp!E$2,SXS_Transit_input!$B$4:$W$4,0)+1,FALSE)),0,VLOOKUP($A21,SXS_Transit_input!$A$5:$W$26,MATCH(SXS_Transit_temp!E$2,SXS_Transit_input!$B$4:$W$4,0)+1,FALSE))+IF(ISNA(VLOOKUP($A21,SXS_Transit_input!$A$53:$R$69,MATCH(SXS_Transit_temp!E$2,SXS_Transit_input!$B$52:$R$52,0)+1,FALSE)),0,VLOOKUP($A21,SXS_Transit_input!$A$53:$R$69,MATCH(SXS_Transit_temp!E$2,SXS_Transit_input!$B$52:$R$52,0)+1,FALSE))</f>
        <v>0</v>
      </c>
      <c r="F21">
        <f>IF(ISNA(VLOOKUP($A21,SXS_Transit_input!$A$5:$W$26,MATCH(SXS_Transit_temp!F$2,SXS_Transit_input!$B$4:$W$4,0)+1,FALSE)),0,VLOOKUP($A21,SXS_Transit_input!$A$5:$W$26,MATCH(SXS_Transit_temp!F$2,SXS_Transit_input!$B$4:$W$4,0)+1,FALSE))+IF(ISNA(VLOOKUP($A21,SXS_Transit_input!$A$53:$R$69,MATCH(SXS_Transit_temp!F$2,SXS_Transit_input!$B$52:$R$52,0)+1,FALSE)),0,VLOOKUP($A21,SXS_Transit_input!$A$53:$R$69,MATCH(SXS_Transit_temp!F$2,SXS_Transit_input!$B$52:$R$52,0)+1,FALSE))</f>
        <v>0</v>
      </c>
      <c r="G21">
        <f>IF(ISNA(VLOOKUP($A21,SXS_Transit_input!$A$5:$W$26,MATCH(SXS_Transit_temp!G$2,SXS_Transit_input!$B$4:$W$4,0)+1,FALSE)),0,VLOOKUP($A21,SXS_Transit_input!$A$5:$W$26,MATCH(SXS_Transit_temp!G$2,SXS_Transit_input!$B$4:$W$4,0)+1,FALSE))+IF(ISNA(VLOOKUP($A21,SXS_Transit_input!$A$53:$R$69,MATCH(SXS_Transit_temp!G$2,SXS_Transit_input!$B$52:$R$52,0)+1,FALSE)),0,VLOOKUP($A21,SXS_Transit_input!$A$53:$R$69,MATCH(SXS_Transit_temp!G$2,SXS_Transit_input!$B$52:$R$52,0)+1,FALSE))</f>
        <v>0</v>
      </c>
      <c r="H21">
        <f>IF(ISNA(VLOOKUP($A21,SXS_Transit_input!$A$5:$W$26,MATCH(SXS_Transit_temp!H$2,SXS_Transit_input!$B$4:$W$4,0)+1,FALSE)),0,VLOOKUP($A21,SXS_Transit_input!$A$5:$W$26,MATCH(SXS_Transit_temp!H$2,SXS_Transit_input!$B$4:$W$4,0)+1,FALSE))+IF(ISNA(VLOOKUP($A21,SXS_Transit_input!$A$53:$R$69,MATCH(SXS_Transit_temp!H$2,SXS_Transit_input!$B$52:$R$52,0)+1,FALSE)),0,VLOOKUP($A21,SXS_Transit_input!$A$53:$R$69,MATCH(SXS_Transit_temp!H$2,SXS_Transit_input!$B$52:$R$52,0)+1,FALSE))</f>
        <v>0</v>
      </c>
      <c r="I21">
        <f>IF(ISNA(VLOOKUP($A21,SXS_Transit_input!$A$5:$W$26,MATCH(SXS_Transit_temp!I$2,SXS_Transit_input!$B$4:$W$4,0)+1,FALSE)),0,VLOOKUP($A21,SXS_Transit_input!$A$5:$W$26,MATCH(SXS_Transit_temp!I$2,SXS_Transit_input!$B$4:$W$4,0)+1,FALSE))+IF(ISNA(VLOOKUP($A21,SXS_Transit_input!$A$53:$R$69,MATCH(SXS_Transit_temp!I$2,SXS_Transit_input!$B$52:$R$52,0)+1,FALSE)),0,VLOOKUP($A21,SXS_Transit_input!$A$53:$R$69,MATCH(SXS_Transit_temp!I$2,SXS_Transit_input!$B$52:$R$52,0)+1,FALSE))</f>
        <v>0</v>
      </c>
      <c r="J21">
        <f>IF(ISNA(VLOOKUP($A21,SXS_Transit_input!$A$5:$W$26,MATCH(SXS_Transit_temp!J$2,SXS_Transit_input!$B$4:$W$4,0)+1,FALSE)),0,VLOOKUP($A21,SXS_Transit_input!$A$5:$W$26,MATCH(SXS_Transit_temp!J$2,SXS_Transit_input!$B$4:$W$4,0)+1,FALSE))+IF(ISNA(VLOOKUP($A21,SXS_Transit_input!$A$53:$R$69,MATCH(SXS_Transit_temp!J$2,SXS_Transit_input!$B$52:$R$52,0)+1,FALSE)),0,VLOOKUP($A21,SXS_Transit_input!$A$53:$R$69,MATCH(SXS_Transit_temp!J$2,SXS_Transit_input!$B$52:$R$52,0)+1,FALSE))</f>
        <v>0</v>
      </c>
      <c r="K21">
        <f>IF(ISNA(VLOOKUP($A21,SXS_Transit_input!$A$5:$W$26,MATCH(SXS_Transit_temp!K$2,SXS_Transit_input!$B$4:$W$4,0)+1,FALSE)),0,VLOOKUP($A21,SXS_Transit_input!$A$5:$W$26,MATCH(SXS_Transit_temp!K$2,SXS_Transit_input!$B$4:$W$4,0)+1,FALSE))+IF(ISNA(VLOOKUP($A21,SXS_Transit_input!$A$53:$R$69,MATCH(SXS_Transit_temp!K$2,SXS_Transit_input!$B$52:$R$52,0)+1,FALSE)),0,VLOOKUP($A21,SXS_Transit_input!$A$53:$R$69,MATCH(SXS_Transit_temp!K$2,SXS_Transit_input!$B$52:$R$52,0)+1,FALSE))</f>
        <v>0</v>
      </c>
      <c r="L21">
        <f>IF(ISNA(VLOOKUP($A21,SXS_Transit_input!$A$5:$W$26,MATCH(SXS_Transit_temp!L$2,SXS_Transit_input!$B$4:$W$4,0)+1,FALSE)),0,VLOOKUP($A21,SXS_Transit_input!$A$5:$W$26,MATCH(SXS_Transit_temp!L$2,SXS_Transit_input!$B$4:$W$4,0)+1,FALSE))+IF(ISNA(VLOOKUP($A21,SXS_Transit_input!$A$53:$R$69,MATCH(SXS_Transit_temp!L$2,SXS_Transit_input!$B$52:$R$52,0)+1,FALSE)),0,VLOOKUP($A21,SXS_Transit_input!$A$53:$R$69,MATCH(SXS_Transit_temp!L$2,SXS_Transit_input!$B$52:$R$52,0)+1,FALSE))</f>
        <v>0</v>
      </c>
      <c r="M21">
        <f>IF(ISNA(VLOOKUP($A21,SXS_Transit_input!$A$5:$W$26,MATCH(SXS_Transit_temp!M$2,SXS_Transit_input!$B$4:$W$4,0)+1,FALSE)),0,VLOOKUP($A21,SXS_Transit_input!$A$5:$W$26,MATCH(SXS_Transit_temp!M$2,SXS_Transit_input!$B$4:$W$4,0)+1,FALSE))+IF(ISNA(VLOOKUP($A21,SXS_Transit_input!$A$53:$R$69,MATCH(SXS_Transit_temp!M$2,SXS_Transit_input!$B$52:$R$52,0)+1,FALSE)),0,VLOOKUP($A21,SXS_Transit_input!$A$53:$R$69,MATCH(SXS_Transit_temp!M$2,SXS_Transit_input!$B$52:$R$52,0)+1,FALSE))</f>
        <v>0</v>
      </c>
      <c r="N21">
        <f>IF(ISNA(VLOOKUP($A21,SXS_Transit_input!$A$5:$W$26,MATCH(SXS_Transit_temp!N$2,SXS_Transit_input!$B$4:$W$4,0)+1,FALSE)),0,VLOOKUP($A21,SXS_Transit_input!$A$5:$W$26,MATCH(SXS_Transit_temp!N$2,SXS_Transit_input!$B$4:$W$4,0)+1,FALSE))+IF(ISNA(VLOOKUP($A21,SXS_Transit_input!$A$53:$R$69,MATCH(SXS_Transit_temp!N$2,SXS_Transit_input!$B$52:$R$52,0)+1,FALSE)),0,VLOOKUP($A21,SXS_Transit_input!$A$53:$R$69,MATCH(SXS_Transit_temp!N$2,SXS_Transit_input!$B$52:$R$52,0)+1,FALSE))</f>
        <v>0</v>
      </c>
      <c r="O21">
        <f>IF(ISNA(VLOOKUP($A21,SXS_Transit_input!$A$5:$W$26,MATCH(SXS_Transit_temp!O$2,SXS_Transit_input!$B$4:$W$4,0)+1,FALSE)),0,VLOOKUP($A21,SXS_Transit_input!$A$5:$W$26,MATCH(SXS_Transit_temp!O$2,SXS_Transit_input!$B$4:$W$4,0)+1,FALSE))+IF(ISNA(VLOOKUP($A21,SXS_Transit_input!$A$53:$R$69,MATCH(SXS_Transit_temp!O$2,SXS_Transit_input!$B$52:$R$52,0)+1,FALSE)),0,VLOOKUP($A21,SXS_Transit_input!$A$53:$R$69,MATCH(SXS_Transit_temp!O$2,SXS_Transit_input!$B$52:$R$52,0)+1,FALSE))</f>
        <v>0</v>
      </c>
      <c r="P21">
        <f>IF(ISNA(VLOOKUP($A21,SXS_Transit_input!$A$5:$W$26,MATCH(SXS_Transit_temp!P$2,SXS_Transit_input!$B$4:$W$4,0)+1,FALSE)),0,VLOOKUP($A21,SXS_Transit_input!$A$5:$W$26,MATCH(SXS_Transit_temp!P$2,SXS_Transit_input!$B$4:$W$4,0)+1,FALSE))+IF(ISNA(VLOOKUP($A21,SXS_Transit_input!$A$53:$R$69,MATCH(SXS_Transit_temp!P$2,SXS_Transit_input!$B$52:$R$52,0)+1,FALSE)),0,VLOOKUP($A21,SXS_Transit_input!$A$53:$R$69,MATCH(SXS_Transit_temp!P$2,SXS_Transit_input!$B$52:$R$52,0)+1,FALSE))</f>
        <v>0</v>
      </c>
      <c r="Q21">
        <f>IF(ISNA(VLOOKUP($A21,SXS_Transit_input!$A$5:$W$26,MATCH(SXS_Transit_temp!Q$2,SXS_Transit_input!$B$4:$W$4,0)+1,FALSE)),0,VLOOKUP($A21,SXS_Transit_input!$A$5:$W$26,MATCH(SXS_Transit_temp!Q$2,SXS_Transit_input!$B$4:$W$4,0)+1,FALSE))+IF(ISNA(VLOOKUP($A21,SXS_Transit_input!$A$53:$R$69,MATCH(SXS_Transit_temp!Q$2,SXS_Transit_input!$B$52:$R$52,0)+1,FALSE)),0,VLOOKUP($A21,SXS_Transit_input!$A$53:$R$69,MATCH(SXS_Transit_temp!Q$2,SXS_Transit_input!$B$52:$R$52,0)+1,FALSE))</f>
        <v>0</v>
      </c>
      <c r="R21">
        <f>IF(ISNA(VLOOKUP($A21,SXS_Transit_input!$A$5:$W$26,MATCH(SXS_Transit_temp!R$2,SXS_Transit_input!$B$4:$W$4,0)+1,FALSE)),0,VLOOKUP($A21,SXS_Transit_input!$A$5:$W$26,MATCH(SXS_Transit_temp!R$2,SXS_Transit_input!$B$4:$W$4,0)+1,FALSE))+IF(ISNA(VLOOKUP($A21,SXS_Transit_input!$A$53:$R$69,MATCH(SXS_Transit_temp!R$2,SXS_Transit_input!$B$52:$R$52,0)+1,FALSE)),0,VLOOKUP($A21,SXS_Transit_input!$A$53:$R$69,MATCH(SXS_Transit_temp!R$2,SXS_Transit_input!$B$52:$R$52,0)+1,FALSE))</f>
        <v>0</v>
      </c>
      <c r="S21">
        <f>IF(ISNA(VLOOKUP($A21,SXS_Transit_input!$A$5:$W$26,MATCH(SXS_Transit_temp!S$2,SXS_Transit_input!$B$4:$W$4,0)+1,FALSE)),0,VLOOKUP($A21,SXS_Transit_input!$A$5:$W$26,MATCH(SXS_Transit_temp!S$2,SXS_Transit_input!$B$4:$W$4,0)+1,FALSE))+IF(ISNA(VLOOKUP($A21,SXS_Transit_input!$A$53:$R$69,MATCH(SXS_Transit_temp!S$2,SXS_Transit_input!$B$52:$R$52,0)+1,FALSE)),0,VLOOKUP($A21,SXS_Transit_input!$A$53:$R$69,MATCH(SXS_Transit_temp!S$2,SXS_Transit_input!$B$52:$R$52,0)+1,FALSE))</f>
        <v>0</v>
      </c>
      <c r="T21">
        <f>IF(ISNA(VLOOKUP($A21,SXS_Transit_input!$A$5:$W$26,MATCH(SXS_Transit_temp!T$2,SXS_Transit_input!$B$4:$W$4,0)+1,FALSE)),0,VLOOKUP($A21,SXS_Transit_input!$A$5:$W$26,MATCH(SXS_Transit_temp!T$2,SXS_Transit_input!$B$4:$W$4,0)+1,FALSE))+IF(ISNA(VLOOKUP($A21,SXS_Transit_input!$A$53:$R$69,MATCH(SXS_Transit_temp!T$2,SXS_Transit_input!$B$52:$R$52,0)+1,FALSE)),0,VLOOKUP($A21,SXS_Transit_input!$A$53:$R$69,MATCH(SXS_Transit_temp!T$2,SXS_Transit_input!$B$52:$R$52,0)+1,FALSE))</f>
        <v>0</v>
      </c>
      <c r="U21">
        <f>IF(ISNA(VLOOKUP($A21,SXS_Transit_input!$A$5:$W$26,MATCH(SXS_Transit_temp!U$2,SXS_Transit_input!$B$4:$W$4,0)+1,FALSE)),0,VLOOKUP($A21,SXS_Transit_input!$A$5:$W$26,MATCH(SXS_Transit_temp!U$2,SXS_Transit_input!$B$4:$W$4,0)+1,FALSE))+IF(ISNA(VLOOKUP($A21,SXS_Transit_input!$A$53:$R$69,MATCH(SXS_Transit_temp!U$2,SXS_Transit_input!$B$52:$R$52,0)+1,FALSE)),0,VLOOKUP($A21,SXS_Transit_input!$A$53:$R$69,MATCH(SXS_Transit_temp!U$2,SXS_Transit_input!$B$52:$R$52,0)+1,FALSE))</f>
        <v>0</v>
      </c>
      <c r="V21">
        <f>IF(ISNA(VLOOKUP($A21,SXS_Transit_input!$A$5:$W$26,MATCH(SXS_Transit_temp!V$2,SXS_Transit_input!$B$4:$W$4,0)+1,FALSE)),0,VLOOKUP($A21,SXS_Transit_input!$A$5:$W$26,MATCH(SXS_Transit_temp!V$2,SXS_Transit_input!$B$4:$W$4,0)+1,FALSE))+IF(ISNA(VLOOKUP($A21,SXS_Transit_input!$A$53:$R$69,MATCH(SXS_Transit_temp!V$2,SXS_Transit_input!$B$52:$R$52,0)+1,FALSE)),0,VLOOKUP($A21,SXS_Transit_input!$A$53:$R$69,MATCH(SXS_Transit_temp!V$2,SXS_Transit_input!$B$52:$R$52,0)+1,FALSE))</f>
        <v>0</v>
      </c>
      <c r="W21">
        <f>IF(ISNA(VLOOKUP($A21,SXS_Transit_input!$A$5:$W$26,MATCH(SXS_Transit_temp!W$2,SXS_Transit_input!$B$4:$W$4,0)+1,FALSE)),0,VLOOKUP($A21,SXS_Transit_input!$A$5:$W$26,MATCH(SXS_Transit_temp!W$2,SXS_Transit_input!$B$4:$W$4,0)+1,FALSE))+IF(ISNA(VLOOKUP($A21,SXS_Transit_input!$A$53:$R$69,MATCH(SXS_Transit_temp!W$2,SXS_Transit_input!$B$52:$R$52,0)+1,FALSE)),0,VLOOKUP($A21,SXS_Transit_input!$A$53:$R$69,MATCH(SXS_Transit_temp!W$2,SXS_Transit_input!$B$52:$R$52,0)+1,FALSE))</f>
        <v>0</v>
      </c>
      <c r="X21">
        <f>IF(ISNA(VLOOKUP($A21,SXS_Transit_input!$A$5:$W$26,MATCH(SXS_Transit_temp!X$2,SXS_Transit_input!$B$4:$W$4,0)+1,FALSE)),0,VLOOKUP($A21,SXS_Transit_input!$A$5:$W$26,MATCH(SXS_Transit_temp!X$2,SXS_Transit_input!$B$4:$W$4,0)+1,FALSE))+IF(ISNA(VLOOKUP($A21,SXS_Transit_input!$A$53:$R$69,MATCH(SXS_Transit_temp!X$2,SXS_Transit_input!$B$52:$R$52,0)+1,FALSE)),0,VLOOKUP($A21,SXS_Transit_input!$A$53:$R$69,MATCH(SXS_Transit_temp!X$2,SXS_Transit_input!$B$52:$R$52,0)+1,FALSE))</f>
        <v>0</v>
      </c>
      <c r="Y21">
        <f>IF(ISNA(VLOOKUP($A21,SXS_Transit_input!$A$5:$W$26,MATCH(SXS_Transit_temp!Y$2,SXS_Transit_input!$B$4:$W$4,0)+1,FALSE)),0,VLOOKUP($A21,SXS_Transit_input!$A$5:$W$26,MATCH(SXS_Transit_temp!Y$2,SXS_Transit_input!$B$4:$W$4,0)+1,FALSE))+IF(ISNA(VLOOKUP($A21,SXS_Transit_input!$A$53:$R$69,MATCH(SXS_Transit_temp!Y$2,SXS_Transit_input!$B$52:$R$52,0)+1,FALSE)),0,VLOOKUP($A21,SXS_Transit_input!$A$53:$R$69,MATCH(SXS_Transit_temp!Y$2,SXS_Transit_input!$B$52:$R$52,0)+1,FALSE))</f>
        <v>0</v>
      </c>
      <c r="Z21">
        <f>IF(ISNA(VLOOKUP($A21,SXS_Transit_input!$A$5:$W$26,MATCH(SXS_Transit_temp!Z$2,SXS_Transit_input!$B$4:$W$4,0)+1,FALSE)),0,VLOOKUP($A21,SXS_Transit_input!$A$5:$W$26,MATCH(SXS_Transit_temp!Z$2,SXS_Transit_input!$B$4:$W$4,0)+1,FALSE))+IF(ISNA(VLOOKUP($A21,SXS_Transit_input!$A$53:$R$69,MATCH(SXS_Transit_temp!Z$2,SXS_Transit_input!$B$52:$R$52,0)+1,FALSE)),0,VLOOKUP($A21,SXS_Transit_input!$A$53:$R$69,MATCH(SXS_Transit_temp!Z$2,SXS_Transit_input!$B$52:$R$52,0)+1,FALSE))</f>
        <v>0</v>
      </c>
      <c r="AA21">
        <v>19</v>
      </c>
      <c r="AB21" s="33">
        <f t="shared" si="1"/>
        <v>2</v>
      </c>
      <c r="AC21" s="34">
        <f t="shared" si="11"/>
        <v>0</v>
      </c>
      <c r="AD21" s="34">
        <f t="shared" si="12"/>
        <v>0</v>
      </c>
      <c r="AE21" s="34">
        <f t="shared" si="13"/>
        <v>0</v>
      </c>
      <c r="AF21" s="34">
        <f t="shared" si="14"/>
        <v>0</v>
      </c>
      <c r="AG21" s="34">
        <f t="shared" si="15"/>
        <v>0</v>
      </c>
      <c r="AH21" s="34">
        <f t="shared" si="16"/>
        <v>0</v>
      </c>
      <c r="AI21" s="34">
        <f t="shared" si="17"/>
        <v>4</v>
      </c>
      <c r="AJ21" s="34">
        <f t="shared" si="18"/>
        <v>0</v>
      </c>
      <c r="AK21" s="34">
        <f t="shared" si="19"/>
        <v>0</v>
      </c>
      <c r="AL21" s="34">
        <f t="shared" si="20"/>
        <v>0</v>
      </c>
      <c r="AM21" s="34">
        <f t="shared" si="21"/>
        <v>0</v>
      </c>
      <c r="AN21" s="34">
        <f t="shared" si="22"/>
        <v>0</v>
      </c>
      <c r="AO21" s="34">
        <f t="shared" si="23"/>
        <v>0</v>
      </c>
      <c r="AP21" s="34">
        <f t="shared" si="24"/>
        <v>0</v>
      </c>
      <c r="AQ21" s="34">
        <f t="shared" si="25"/>
        <v>0</v>
      </c>
      <c r="AR21" s="34">
        <f t="shared" si="2"/>
        <v>0</v>
      </c>
      <c r="AS21" s="34">
        <f t="shared" si="3"/>
        <v>0</v>
      </c>
      <c r="AT21" s="34">
        <f t="shared" si="4"/>
        <v>2</v>
      </c>
      <c r="AU21" s="34">
        <f t="shared" si="5"/>
        <v>0</v>
      </c>
      <c r="AV21" s="34">
        <f t="shared" si="6"/>
        <v>0</v>
      </c>
      <c r="AW21" s="34">
        <f t="shared" si="7"/>
        <v>0</v>
      </c>
      <c r="AX21" s="34">
        <f t="shared" si="8"/>
        <v>0</v>
      </c>
      <c r="AY21" s="34">
        <f t="shared" si="9"/>
        <v>0</v>
      </c>
      <c r="AZ21" s="35">
        <f t="shared" si="10"/>
        <v>0</v>
      </c>
      <c r="BC21">
        <v>19</v>
      </c>
      <c r="BD21">
        <v>2</v>
      </c>
      <c r="BE21">
        <v>0</v>
      </c>
      <c r="BF21">
        <v>0</v>
      </c>
      <c r="BG21">
        <v>0</v>
      </c>
      <c r="BH21">
        <v>0</v>
      </c>
      <c r="BI21">
        <v>0</v>
      </c>
      <c r="BJ21">
        <v>0</v>
      </c>
      <c r="BK21">
        <v>4</v>
      </c>
      <c r="BL21">
        <v>0</v>
      </c>
      <c r="BM21">
        <v>0</v>
      </c>
      <c r="BN21">
        <v>0</v>
      </c>
      <c r="BO21">
        <v>0</v>
      </c>
      <c r="BP21">
        <v>0</v>
      </c>
      <c r="BQ21">
        <v>0</v>
      </c>
      <c r="BR21">
        <v>0</v>
      </c>
      <c r="BS21">
        <v>0</v>
      </c>
      <c r="BT21">
        <v>0</v>
      </c>
      <c r="BU21">
        <v>0</v>
      </c>
      <c r="BV21">
        <v>0</v>
      </c>
      <c r="BW21">
        <v>0</v>
      </c>
      <c r="BX21">
        <v>0</v>
      </c>
      <c r="BY21">
        <v>0</v>
      </c>
      <c r="BZ21">
        <v>0</v>
      </c>
      <c r="CA21">
        <v>0</v>
      </c>
      <c r="CB21">
        <v>0</v>
      </c>
    </row>
    <row r="22" spans="1:80" x14ac:dyDescent="0.25">
      <c r="A22">
        <v>20</v>
      </c>
      <c r="B22">
        <f>IF(ISNA(VLOOKUP($A22,SXS_Transit_input!$A$5:$W$26,MATCH(SXS_Transit_temp!B$2,SXS_Transit_input!$B$4:$W$4,0)+1,FALSE)),0,VLOOKUP($A22,SXS_Transit_input!$A$5:$W$26,MATCH(SXS_Transit_temp!B$2,SXS_Transit_input!$B$4:$W$4,0)+1,FALSE))+IF(ISNA(VLOOKUP($A22,SXS_Transit_input!$A$53:$R$69,MATCH(SXS_Transit_temp!B$2,SXS_Transit_input!$B$52:$R$52,0)+1,FALSE)),0,VLOOKUP($A22,SXS_Transit_input!$A$53:$R$69,MATCH(SXS_Transit_temp!B$2,SXS_Transit_input!$B$52:$R$52,0)+1,FALSE))</f>
        <v>18521.43648</v>
      </c>
      <c r="C22">
        <f>IF(ISNA(VLOOKUP($A22,SXS_Transit_input!$A$5:$W$26,MATCH(SXS_Transit_temp!C$2,SXS_Transit_input!$B$4:$W$4,0)+1,FALSE)),0,VLOOKUP($A22,SXS_Transit_input!$A$5:$W$26,MATCH(SXS_Transit_temp!C$2,SXS_Transit_input!$B$4:$W$4,0)+1,FALSE))+IF(ISNA(VLOOKUP($A22,SXS_Transit_input!$A$53:$R$69,MATCH(SXS_Transit_temp!C$2,SXS_Transit_input!$B$52:$R$52,0)+1,FALSE)),0,VLOOKUP($A22,SXS_Transit_input!$A$53:$R$69,MATCH(SXS_Transit_temp!C$2,SXS_Transit_input!$B$52:$R$52,0)+1,FALSE))</f>
        <v>582.65425000000005</v>
      </c>
      <c r="D22">
        <f>IF(ISNA(VLOOKUP($A22,SXS_Transit_input!$A$5:$W$26,MATCH(SXS_Transit_temp!D$2,SXS_Transit_input!$B$4:$W$4,0)+1,FALSE)),0,VLOOKUP($A22,SXS_Transit_input!$A$5:$W$26,MATCH(SXS_Transit_temp!D$2,SXS_Transit_input!$B$4:$W$4,0)+1,FALSE))+IF(ISNA(VLOOKUP($A22,SXS_Transit_input!$A$53:$R$69,MATCH(SXS_Transit_temp!D$2,SXS_Transit_input!$B$52:$R$52,0)+1,FALSE)),0,VLOOKUP($A22,SXS_Transit_input!$A$53:$R$69,MATCH(SXS_Transit_temp!D$2,SXS_Transit_input!$B$52:$R$52,0)+1,FALSE))</f>
        <v>575.68164999999999</v>
      </c>
      <c r="E22">
        <f>IF(ISNA(VLOOKUP($A22,SXS_Transit_input!$A$5:$W$26,MATCH(SXS_Transit_temp!E$2,SXS_Transit_input!$B$4:$W$4,0)+1,FALSE)),0,VLOOKUP($A22,SXS_Transit_input!$A$5:$W$26,MATCH(SXS_Transit_temp!E$2,SXS_Transit_input!$B$4:$W$4,0)+1,FALSE))+IF(ISNA(VLOOKUP($A22,SXS_Transit_input!$A$53:$R$69,MATCH(SXS_Transit_temp!E$2,SXS_Transit_input!$B$52:$R$52,0)+1,FALSE)),0,VLOOKUP($A22,SXS_Transit_input!$A$53:$R$69,MATCH(SXS_Transit_temp!E$2,SXS_Transit_input!$B$52:$R$52,0)+1,FALSE))</f>
        <v>863.78243999999995</v>
      </c>
      <c r="F22">
        <f>IF(ISNA(VLOOKUP($A22,SXS_Transit_input!$A$5:$W$26,MATCH(SXS_Transit_temp!F$2,SXS_Transit_input!$B$4:$W$4,0)+1,FALSE)),0,VLOOKUP($A22,SXS_Transit_input!$A$5:$W$26,MATCH(SXS_Transit_temp!F$2,SXS_Transit_input!$B$4:$W$4,0)+1,FALSE))+IF(ISNA(VLOOKUP($A22,SXS_Transit_input!$A$53:$R$69,MATCH(SXS_Transit_temp!F$2,SXS_Transit_input!$B$52:$R$52,0)+1,FALSE)),0,VLOOKUP($A22,SXS_Transit_input!$A$53:$R$69,MATCH(SXS_Transit_temp!F$2,SXS_Transit_input!$B$52:$R$52,0)+1,FALSE))</f>
        <v>84.101759999999999</v>
      </c>
      <c r="G22">
        <f>IF(ISNA(VLOOKUP($A22,SXS_Transit_input!$A$5:$W$26,MATCH(SXS_Transit_temp!G$2,SXS_Transit_input!$B$4:$W$4,0)+1,FALSE)),0,VLOOKUP($A22,SXS_Transit_input!$A$5:$W$26,MATCH(SXS_Transit_temp!G$2,SXS_Transit_input!$B$4:$W$4,0)+1,FALSE))+IF(ISNA(VLOOKUP($A22,SXS_Transit_input!$A$53:$R$69,MATCH(SXS_Transit_temp!G$2,SXS_Transit_input!$B$52:$R$52,0)+1,FALSE)),0,VLOOKUP($A22,SXS_Transit_input!$A$53:$R$69,MATCH(SXS_Transit_temp!G$2,SXS_Transit_input!$B$52:$R$52,0)+1,FALSE))</f>
        <v>0</v>
      </c>
      <c r="H22">
        <f>IF(ISNA(VLOOKUP($A22,SXS_Transit_input!$A$5:$W$26,MATCH(SXS_Transit_temp!H$2,SXS_Transit_input!$B$4:$W$4,0)+1,FALSE)),0,VLOOKUP($A22,SXS_Transit_input!$A$5:$W$26,MATCH(SXS_Transit_temp!H$2,SXS_Transit_input!$B$4:$W$4,0)+1,FALSE))+IF(ISNA(VLOOKUP($A22,SXS_Transit_input!$A$53:$R$69,MATCH(SXS_Transit_temp!H$2,SXS_Transit_input!$B$52:$R$52,0)+1,FALSE)),0,VLOOKUP($A22,SXS_Transit_input!$A$53:$R$69,MATCH(SXS_Transit_temp!H$2,SXS_Transit_input!$B$52:$R$52,0)+1,FALSE))</f>
        <v>0.124</v>
      </c>
      <c r="I22">
        <f>IF(ISNA(VLOOKUP($A22,SXS_Transit_input!$A$5:$W$26,MATCH(SXS_Transit_temp!I$2,SXS_Transit_input!$B$4:$W$4,0)+1,FALSE)),0,VLOOKUP($A22,SXS_Transit_input!$A$5:$W$26,MATCH(SXS_Transit_temp!I$2,SXS_Transit_input!$B$4:$W$4,0)+1,FALSE))+IF(ISNA(VLOOKUP($A22,SXS_Transit_input!$A$53:$R$69,MATCH(SXS_Transit_temp!I$2,SXS_Transit_input!$B$52:$R$52,0)+1,FALSE)),0,VLOOKUP($A22,SXS_Transit_input!$A$53:$R$69,MATCH(SXS_Transit_temp!I$2,SXS_Transit_input!$B$52:$R$52,0)+1,FALSE))</f>
        <v>0</v>
      </c>
      <c r="J22">
        <f>IF(ISNA(VLOOKUP($A22,SXS_Transit_input!$A$5:$W$26,MATCH(SXS_Transit_temp!J$2,SXS_Transit_input!$B$4:$W$4,0)+1,FALSE)),0,VLOOKUP($A22,SXS_Transit_input!$A$5:$W$26,MATCH(SXS_Transit_temp!J$2,SXS_Transit_input!$B$4:$W$4,0)+1,FALSE))+IF(ISNA(VLOOKUP($A22,SXS_Transit_input!$A$53:$R$69,MATCH(SXS_Transit_temp!J$2,SXS_Transit_input!$B$52:$R$52,0)+1,FALSE)),0,VLOOKUP($A22,SXS_Transit_input!$A$53:$R$69,MATCH(SXS_Transit_temp!J$2,SXS_Transit_input!$B$52:$R$52,0)+1,FALSE))</f>
        <v>1043.1081799999999</v>
      </c>
      <c r="K22">
        <f>IF(ISNA(VLOOKUP($A22,SXS_Transit_input!$A$5:$W$26,MATCH(SXS_Transit_temp!K$2,SXS_Transit_input!$B$4:$W$4,0)+1,FALSE)),0,VLOOKUP($A22,SXS_Transit_input!$A$5:$W$26,MATCH(SXS_Transit_temp!K$2,SXS_Transit_input!$B$4:$W$4,0)+1,FALSE))+IF(ISNA(VLOOKUP($A22,SXS_Transit_input!$A$53:$R$69,MATCH(SXS_Transit_temp!K$2,SXS_Transit_input!$B$52:$R$52,0)+1,FALSE)),0,VLOOKUP($A22,SXS_Transit_input!$A$53:$R$69,MATCH(SXS_Transit_temp!K$2,SXS_Transit_input!$B$52:$R$52,0)+1,FALSE))</f>
        <v>1486.5951700000001</v>
      </c>
      <c r="L22">
        <f>IF(ISNA(VLOOKUP($A22,SXS_Transit_input!$A$5:$W$26,MATCH(SXS_Transit_temp!L$2,SXS_Transit_input!$B$4:$W$4,0)+1,FALSE)),0,VLOOKUP($A22,SXS_Transit_input!$A$5:$W$26,MATCH(SXS_Transit_temp!L$2,SXS_Transit_input!$B$4:$W$4,0)+1,FALSE))+IF(ISNA(VLOOKUP($A22,SXS_Transit_input!$A$53:$R$69,MATCH(SXS_Transit_temp!L$2,SXS_Transit_input!$B$52:$R$52,0)+1,FALSE)),0,VLOOKUP($A22,SXS_Transit_input!$A$53:$R$69,MATCH(SXS_Transit_temp!L$2,SXS_Transit_input!$B$52:$R$52,0)+1,FALSE))</f>
        <v>0</v>
      </c>
      <c r="M22">
        <f>IF(ISNA(VLOOKUP($A22,SXS_Transit_input!$A$5:$W$26,MATCH(SXS_Transit_temp!M$2,SXS_Transit_input!$B$4:$W$4,0)+1,FALSE)),0,VLOOKUP($A22,SXS_Transit_input!$A$5:$W$26,MATCH(SXS_Transit_temp!M$2,SXS_Transit_input!$B$4:$W$4,0)+1,FALSE))+IF(ISNA(VLOOKUP($A22,SXS_Transit_input!$A$53:$R$69,MATCH(SXS_Transit_temp!M$2,SXS_Transit_input!$B$52:$R$52,0)+1,FALSE)),0,VLOOKUP($A22,SXS_Transit_input!$A$53:$R$69,MATCH(SXS_Transit_temp!M$2,SXS_Transit_input!$B$52:$R$52,0)+1,FALSE))</f>
        <v>0</v>
      </c>
      <c r="N22">
        <f>IF(ISNA(VLOOKUP($A22,SXS_Transit_input!$A$5:$W$26,MATCH(SXS_Transit_temp!N$2,SXS_Transit_input!$B$4:$W$4,0)+1,FALSE)),0,VLOOKUP($A22,SXS_Transit_input!$A$5:$W$26,MATCH(SXS_Transit_temp!N$2,SXS_Transit_input!$B$4:$W$4,0)+1,FALSE))+IF(ISNA(VLOOKUP($A22,SXS_Transit_input!$A$53:$R$69,MATCH(SXS_Transit_temp!N$2,SXS_Transit_input!$B$52:$R$52,0)+1,FALSE)),0,VLOOKUP($A22,SXS_Transit_input!$A$53:$R$69,MATCH(SXS_Transit_temp!N$2,SXS_Transit_input!$B$52:$R$52,0)+1,FALSE))</f>
        <v>0</v>
      </c>
      <c r="O22">
        <f>IF(ISNA(VLOOKUP($A22,SXS_Transit_input!$A$5:$W$26,MATCH(SXS_Transit_temp!O$2,SXS_Transit_input!$B$4:$W$4,0)+1,FALSE)),0,VLOOKUP($A22,SXS_Transit_input!$A$5:$W$26,MATCH(SXS_Transit_temp!O$2,SXS_Transit_input!$B$4:$W$4,0)+1,FALSE))+IF(ISNA(VLOOKUP($A22,SXS_Transit_input!$A$53:$R$69,MATCH(SXS_Transit_temp!O$2,SXS_Transit_input!$B$52:$R$52,0)+1,FALSE)),0,VLOOKUP($A22,SXS_Transit_input!$A$53:$R$69,MATCH(SXS_Transit_temp!O$2,SXS_Transit_input!$B$52:$R$52,0)+1,FALSE))</f>
        <v>0</v>
      </c>
      <c r="P22">
        <f>IF(ISNA(VLOOKUP($A22,SXS_Transit_input!$A$5:$W$26,MATCH(SXS_Transit_temp!P$2,SXS_Transit_input!$B$4:$W$4,0)+1,FALSE)),0,VLOOKUP($A22,SXS_Transit_input!$A$5:$W$26,MATCH(SXS_Transit_temp!P$2,SXS_Transit_input!$B$4:$W$4,0)+1,FALSE))+IF(ISNA(VLOOKUP($A22,SXS_Transit_input!$A$53:$R$69,MATCH(SXS_Transit_temp!P$2,SXS_Transit_input!$B$52:$R$52,0)+1,FALSE)),0,VLOOKUP($A22,SXS_Transit_input!$A$53:$R$69,MATCH(SXS_Transit_temp!P$2,SXS_Transit_input!$B$52:$R$52,0)+1,FALSE))</f>
        <v>0</v>
      </c>
      <c r="Q22">
        <f>IF(ISNA(VLOOKUP($A22,SXS_Transit_input!$A$5:$W$26,MATCH(SXS_Transit_temp!Q$2,SXS_Transit_input!$B$4:$W$4,0)+1,FALSE)),0,VLOOKUP($A22,SXS_Transit_input!$A$5:$W$26,MATCH(SXS_Transit_temp!Q$2,SXS_Transit_input!$B$4:$W$4,0)+1,FALSE))+IF(ISNA(VLOOKUP($A22,SXS_Transit_input!$A$53:$R$69,MATCH(SXS_Transit_temp!Q$2,SXS_Transit_input!$B$52:$R$52,0)+1,FALSE)),0,VLOOKUP($A22,SXS_Transit_input!$A$53:$R$69,MATCH(SXS_Transit_temp!Q$2,SXS_Transit_input!$B$52:$R$52,0)+1,FALSE))</f>
        <v>0</v>
      </c>
      <c r="R22">
        <f>IF(ISNA(VLOOKUP($A22,SXS_Transit_input!$A$5:$W$26,MATCH(SXS_Transit_temp!R$2,SXS_Transit_input!$B$4:$W$4,0)+1,FALSE)),0,VLOOKUP($A22,SXS_Transit_input!$A$5:$W$26,MATCH(SXS_Transit_temp!R$2,SXS_Transit_input!$B$4:$W$4,0)+1,FALSE))+IF(ISNA(VLOOKUP($A22,SXS_Transit_input!$A$53:$R$69,MATCH(SXS_Transit_temp!R$2,SXS_Transit_input!$B$52:$R$52,0)+1,FALSE)),0,VLOOKUP($A22,SXS_Transit_input!$A$53:$R$69,MATCH(SXS_Transit_temp!R$2,SXS_Transit_input!$B$52:$R$52,0)+1,FALSE))</f>
        <v>0</v>
      </c>
      <c r="S22">
        <f>IF(ISNA(VLOOKUP($A22,SXS_Transit_input!$A$5:$W$26,MATCH(SXS_Transit_temp!S$2,SXS_Transit_input!$B$4:$W$4,0)+1,FALSE)),0,VLOOKUP($A22,SXS_Transit_input!$A$5:$W$26,MATCH(SXS_Transit_temp!S$2,SXS_Transit_input!$B$4:$W$4,0)+1,FALSE))+IF(ISNA(VLOOKUP($A22,SXS_Transit_input!$A$53:$R$69,MATCH(SXS_Transit_temp!S$2,SXS_Transit_input!$B$52:$R$52,0)+1,FALSE)),0,VLOOKUP($A22,SXS_Transit_input!$A$53:$R$69,MATCH(SXS_Transit_temp!S$2,SXS_Transit_input!$B$52:$R$52,0)+1,FALSE))</f>
        <v>0</v>
      </c>
      <c r="T22">
        <f>IF(ISNA(VLOOKUP($A22,SXS_Transit_input!$A$5:$W$26,MATCH(SXS_Transit_temp!T$2,SXS_Transit_input!$B$4:$W$4,0)+1,FALSE)),0,VLOOKUP($A22,SXS_Transit_input!$A$5:$W$26,MATCH(SXS_Transit_temp!T$2,SXS_Transit_input!$B$4:$W$4,0)+1,FALSE))+IF(ISNA(VLOOKUP($A22,SXS_Transit_input!$A$53:$R$69,MATCH(SXS_Transit_temp!T$2,SXS_Transit_input!$B$52:$R$52,0)+1,FALSE)),0,VLOOKUP($A22,SXS_Transit_input!$A$53:$R$69,MATCH(SXS_Transit_temp!T$2,SXS_Transit_input!$B$52:$R$52,0)+1,FALSE))</f>
        <v>0</v>
      </c>
      <c r="U22">
        <f>IF(ISNA(VLOOKUP($A22,SXS_Transit_input!$A$5:$W$26,MATCH(SXS_Transit_temp!U$2,SXS_Transit_input!$B$4:$W$4,0)+1,FALSE)),0,VLOOKUP($A22,SXS_Transit_input!$A$5:$W$26,MATCH(SXS_Transit_temp!U$2,SXS_Transit_input!$B$4:$W$4,0)+1,FALSE))+IF(ISNA(VLOOKUP($A22,SXS_Transit_input!$A$53:$R$69,MATCH(SXS_Transit_temp!U$2,SXS_Transit_input!$B$52:$R$52,0)+1,FALSE)),0,VLOOKUP($A22,SXS_Transit_input!$A$53:$R$69,MATCH(SXS_Transit_temp!U$2,SXS_Transit_input!$B$52:$R$52,0)+1,FALSE))</f>
        <v>9091.2579600000008</v>
      </c>
      <c r="V22">
        <f>IF(ISNA(VLOOKUP($A22,SXS_Transit_input!$A$5:$W$26,MATCH(SXS_Transit_temp!V$2,SXS_Transit_input!$B$4:$W$4,0)+1,FALSE)),0,VLOOKUP($A22,SXS_Transit_input!$A$5:$W$26,MATCH(SXS_Transit_temp!V$2,SXS_Transit_input!$B$4:$W$4,0)+1,FALSE))+IF(ISNA(VLOOKUP($A22,SXS_Transit_input!$A$53:$R$69,MATCH(SXS_Transit_temp!V$2,SXS_Transit_input!$B$52:$R$52,0)+1,FALSE)),0,VLOOKUP($A22,SXS_Transit_input!$A$53:$R$69,MATCH(SXS_Transit_temp!V$2,SXS_Transit_input!$B$52:$R$52,0)+1,FALSE))</f>
        <v>2563.61816</v>
      </c>
      <c r="W22">
        <f>IF(ISNA(VLOOKUP($A22,SXS_Transit_input!$A$5:$W$26,MATCH(SXS_Transit_temp!W$2,SXS_Transit_input!$B$4:$W$4,0)+1,FALSE)),0,VLOOKUP($A22,SXS_Transit_input!$A$5:$W$26,MATCH(SXS_Transit_temp!W$2,SXS_Transit_input!$B$4:$W$4,0)+1,FALSE))+IF(ISNA(VLOOKUP($A22,SXS_Transit_input!$A$53:$R$69,MATCH(SXS_Transit_temp!W$2,SXS_Transit_input!$B$52:$R$52,0)+1,FALSE)),0,VLOOKUP($A22,SXS_Transit_input!$A$53:$R$69,MATCH(SXS_Transit_temp!W$2,SXS_Transit_input!$B$52:$R$52,0)+1,FALSE))</f>
        <v>0</v>
      </c>
      <c r="X22">
        <f>IF(ISNA(VLOOKUP($A22,SXS_Transit_input!$A$5:$W$26,MATCH(SXS_Transit_temp!X$2,SXS_Transit_input!$B$4:$W$4,0)+1,FALSE)),0,VLOOKUP($A22,SXS_Transit_input!$A$5:$W$26,MATCH(SXS_Transit_temp!X$2,SXS_Transit_input!$B$4:$W$4,0)+1,FALSE))+IF(ISNA(VLOOKUP($A22,SXS_Transit_input!$A$53:$R$69,MATCH(SXS_Transit_temp!X$2,SXS_Transit_input!$B$52:$R$52,0)+1,FALSE)),0,VLOOKUP($A22,SXS_Transit_input!$A$53:$R$69,MATCH(SXS_Transit_temp!X$2,SXS_Transit_input!$B$52:$R$52,0)+1,FALSE))</f>
        <v>0</v>
      </c>
      <c r="Y22">
        <f>IF(ISNA(VLOOKUP($A22,SXS_Transit_input!$A$5:$W$26,MATCH(SXS_Transit_temp!Y$2,SXS_Transit_input!$B$4:$W$4,0)+1,FALSE)),0,VLOOKUP($A22,SXS_Transit_input!$A$5:$W$26,MATCH(SXS_Transit_temp!Y$2,SXS_Transit_input!$B$4:$W$4,0)+1,FALSE))+IF(ISNA(VLOOKUP($A22,SXS_Transit_input!$A$53:$R$69,MATCH(SXS_Transit_temp!Y$2,SXS_Transit_input!$B$52:$R$52,0)+1,FALSE)),0,VLOOKUP($A22,SXS_Transit_input!$A$53:$R$69,MATCH(SXS_Transit_temp!Y$2,SXS_Transit_input!$B$52:$R$52,0)+1,FALSE))</f>
        <v>0</v>
      </c>
      <c r="Z22">
        <f>IF(ISNA(VLOOKUP($A22,SXS_Transit_input!$A$5:$W$26,MATCH(SXS_Transit_temp!Z$2,SXS_Transit_input!$B$4:$W$4,0)+1,FALSE)),0,VLOOKUP($A22,SXS_Transit_input!$A$5:$W$26,MATCH(SXS_Transit_temp!Z$2,SXS_Transit_input!$B$4:$W$4,0)+1,FALSE))+IF(ISNA(VLOOKUP($A22,SXS_Transit_input!$A$53:$R$69,MATCH(SXS_Transit_temp!Z$2,SXS_Transit_input!$B$52:$R$52,0)+1,FALSE)),0,VLOOKUP($A22,SXS_Transit_input!$A$53:$R$69,MATCH(SXS_Transit_temp!Z$2,SXS_Transit_input!$B$52:$R$52,0)+1,FALSE))</f>
        <v>0</v>
      </c>
      <c r="AA22">
        <v>20</v>
      </c>
      <c r="AB22" s="33">
        <f t="shared" si="1"/>
        <v>72</v>
      </c>
      <c r="AC22" s="34">
        <f t="shared" si="11"/>
        <v>8</v>
      </c>
      <c r="AD22" s="34">
        <f t="shared" si="12"/>
        <v>7</v>
      </c>
      <c r="AE22" s="34">
        <f t="shared" si="13"/>
        <v>0</v>
      </c>
      <c r="AF22" s="34">
        <f t="shared" si="14"/>
        <v>2</v>
      </c>
      <c r="AG22" s="34">
        <f t="shared" si="15"/>
        <v>2</v>
      </c>
      <c r="AH22" s="34">
        <f t="shared" si="16"/>
        <v>0</v>
      </c>
      <c r="AI22" s="34">
        <f t="shared" si="17"/>
        <v>0</v>
      </c>
      <c r="AJ22" s="34">
        <f t="shared" si="18"/>
        <v>7</v>
      </c>
      <c r="AK22" s="34">
        <f t="shared" si="19"/>
        <v>12</v>
      </c>
      <c r="AL22" s="34">
        <f t="shared" si="20"/>
        <v>0</v>
      </c>
      <c r="AM22" s="34">
        <f t="shared" si="21"/>
        <v>1</v>
      </c>
      <c r="AN22" s="34">
        <f t="shared" si="22"/>
        <v>0</v>
      </c>
      <c r="AO22" s="34">
        <f t="shared" si="23"/>
        <v>0</v>
      </c>
      <c r="AP22" s="34">
        <f t="shared" si="24"/>
        <v>0</v>
      </c>
      <c r="AQ22" s="34">
        <f t="shared" si="25"/>
        <v>0</v>
      </c>
      <c r="AR22" s="34">
        <f t="shared" si="2"/>
        <v>0</v>
      </c>
      <c r="AS22" s="34">
        <f t="shared" si="3"/>
        <v>0</v>
      </c>
      <c r="AT22" s="34">
        <f t="shared" si="4"/>
        <v>0</v>
      </c>
      <c r="AU22" s="34">
        <f t="shared" si="5"/>
        <v>249</v>
      </c>
      <c r="AV22" s="34">
        <f t="shared" si="6"/>
        <v>41</v>
      </c>
      <c r="AW22" s="34">
        <f t="shared" si="7"/>
        <v>0</v>
      </c>
      <c r="AX22" s="34">
        <f t="shared" si="8"/>
        <v>0</v>
      </c>
      <c r="AY22" s="34">
        <f t="shared" si="9"/>
        <v>0</v>
      </c>
      <c r="AZ22" s="35">
        <f t="shared" si="10"/>
        <v>0</v>
      </c>
      <c r="BC22">
        <v>20</v>
      </c>
      <c r="BD22">
        <v>72</v>
      </c>
      <c r="BE22">
        <v>8</v>
      </c>
      <c r="BF22">
        <v>7</v>
      </c>
      <c r="BG22">
        <v>0</v>
      </c>
      <c r="BH22">
        <v>2</v>
      </c>
      <c r="BI22">
        <v>1</v>
      </c>
      <c r="BJ22">
        <v>0</v>
      </c>
      <c r="BK22">
        <v>0</v>
      </c>
      <c r="BL22">
        <v>7</v>
      </c>
      <c r="BM22">
        <v>10</v>
      </c>
      <c r="BN22">
        <v>0</v>
      </c>
      <c r="BO22">
        <v>1</v>
      </c>
      <c r="BP22">
        <v>0</v>
      </c>
      <c r="BQ22">
        <v>0</v>
      </c>
      <c r="BR22">
        <v>0</v>
      </c>
      <c r="BS22">
        <v>0</v>
      </c>
      <c r="BT22">
        <v>0</v>
      </c>
      <c r="BU22">
        <v>0</v>
      </c>
      <c r="BV22">
        <v>0</v>
      </c>
      <c r="BW22">
        <v>237</v>
      </c>
      <c r="BX22">
        <v>37</v>
      </c>
      <c r="BY22">
        <v>0</v>
      </c>
      <c r="BZ22">
        <v>0</v>
      </c>
      <c r="CA22">
        <v>0</v>
      </c>
      <c r="CB22">
        <v>0</v>
      </c>
    </row>
    <row r="23" spans="1:80" x14ac:dyDescent="0.25">
      <c r="A23">
        <v>21</v>
      </c>
      <c r="B23">
        <f>IF(ISNA(VLOOKUP($A23,SXS_Transit_input!$A$5:$W$26,MATCH(SXS_Transit_temp!B$2,SXS_Transit_input!$B$4:$W$4,0)+1,FALSE)),0,VLOOKUP($A23,SXS_Transit_input!$A$5:$W$26,MATCH(SXS_Transit_temp!B$2,SXS_Transit_input!$B$4:$W$4,0)+1,FALSE))+IF(ISNA(VLOOKUP($A23,SXS_Transit_input!$A$53:$R$69,MATCH(SXS_Transit_temp!B$2,SXS_Transit_input!$B$52:$R$52,0)+1,FALSE)),0,VLOOKUP($A23,SXS_Transit_input!$A$53:$R$69,MATCH(SXS_Transit_temp!B$2,SXS_Transit_input!$B$52:$R$52,0)+1,FALSE))</f>
        <v>11957.801439999999</v>
      </c>
      <c r="C23">
        <f>IF(ISNA(VLOOKUP($A23,SXS_Transit_input!$A$5:$W$26,MATCH(SXS_Transit_temp!C$2,SXS_Transit_input!$B$4:$W$4,0)+1,FALSE)),0,VLOOKUP($A23,SXS_Transit_input!$A$5:$W$26,MATCH(SXS_Transit_temp!C$2,SXS_Transit_input!$B$4:$W$4,0)+1,FALSE))+IF(ISNA(VLOOKUP($A23,SXS_Transit_input!$A$53:$R$69,MATCH(SXS_Transit_temp!C$2,SXS_Transit_input!$B$52:$R$52,0)+1,FALSE)),0,VLOOKUP($A23,SXS_Transit_input!$A$53:$R$69,MATCH(SXS_Transit_temp!C$2,SXS_Transit_input!$B$52:$R$52,0)+1,FALSE))</f>
        <v>462.08211</v>
      </c>
      <c r="D23">
        <f>IF(ISNA(VLOOKUP($A23,SXS_Transit_input!$A$5:$W$26,MATCH(SXS_Transit_temp!D$2,SXS_Transit_input!$B$4:$W$4,0)+1,FALSE)),0,VLOOKUP($A23,SXS_Transit_input!$A$5:$W$26,MATCH(SXS_Transit_temp!D$2,SXS_Transit_input!$B$4:$W$4,0)+1,FALSE))+IF(ISNA(VLOOKUP($A23,SXS_Transit_input!$A$53:$R$69,MATCH(SXS_Transit_temp!D$2,SXS_Transit_input!$B$52:$R$52,0)+1,FALSE)),0,VLOOKUP($A23,SXS_Transit_input!$A$53:$R$69,MATCH(SXS_Transit_temp!D$2,SXS_Transit_input!$B$52:$R$52,0)+1,FALSE))</f>
        <v>0</v>
      </c>
      <c r="E23">
        <f>IF(ISNA(VLOOKUP($A23,SXS_Transit_input!$A$5:$W$26,MATCH(SXS_Transit_temp!E$2,SXS_Transit_input!$B$4:$W$4,0)+1,FALSE)),0,VLOOKUP($A23,SXS_Transit_input!$A$5:$W$26,MATCH(SXS_Transit_temp!E$2,SXS_Transit_input!$B$4:$W$4,0)+1,FALSE))+IF(ISNA(VLOOKUP($A23,SXS_Transit_input!$A$53:$R$69,MATCH(SXS_Transit_temp!E$2,SXS_Transit_input!$B$52:$R$52,0)+1,FALSE)),0,VLOOKUP($A23,SXS_Transit_input!$A$53:$R$69,MATCH(SXS_Transit_temp!E$2,SXS_Transit_input!$B$52:$R$52,0)+1,FALSE))</f>
        <v>0</v>
      </c>
      <c r="F23">
        <f>IF(ISNA(VLOOKUP($A23,SXS_Transit_input!$A$5:$W$26,MATCH(SXS_Transit_temp!F$2,SXS_Transit_input!$B$4:$W$4,0)+1,FALSE)),0,VLOOKUP($A23,SXS_Transit_input!$A$5:$W$26,MATCH(SXS_Transit_temp!F$2,SXS_Transit_input!$B$4:$W$4,0)+1,FALSE))+IF(ISNA(VLOOKUP($A23,SXS_Transit_input!$A$53:$R$69,MATCH(SXS_Transit_temp!F$2,SXS_Transit_input!$B$52:$R$52,0)+1,FALSE)),0,VLOOKUP($A23,SXS_Transit_input!$A$53:$R$69,MATCH(SXS_Transit_temp!F$2,SXS_Transit_input!$B$52:$R$52,0)+1,FALSE))</f>
        <v>0</v>
      </c>
      <c r="G23">
        <f>IF(ISNA(VLOOKUP($A23,SXS_Transit_input!$A$5:$W$26,MATCH(SXS_Transit_temp!G$2,SXS_Transit_input!$B$4:$W$4,0)+1,FALSE)),0,VLOOKUP($A23,SXS_Transit_input!$A$5:$W$26,MATCH(SXS_Transit_temp!G$2,SXS_Transit_input!$B$4:$W$4,0)+1,FALSE))+IF(ISNA(VLOOKUP($A23,SXS_Transit_input!$A$53:$R$69,MATCH(SXS_Transit_temp!G$2,SXS_Transit_input!$B$52:$R$52,0)+1,FALSE)),0,VLOOKUP($A23,SXS_Transit_input!$A$53:$R$69,MATCH(SXS_Transit_temp!G$2,SXS_Transit_input!$B$52:$R$52,0)+1,FALSE))</f>
        <v>0</v>
      </c>
      <c r="H23">
        <f>IF(ISNA(VLOOKUP($A23,SXS_Transit_input!$A$5:$W$26,MATCH(SXS_Transit_temp!H$2,SXS_Transit_input!$B$4:$W$4,0)+1,FALSE)),0,VLOOKUP($A23,SXS_Transit_input!$A$5:$W$26,MATCH(SXS_Transit_temp!H$2,SXS_Transit_input!$B$4:$W$4,0)+1,FALSE))+IF(ISNA(VLOOKUP($A23,SXS_Transit_input!$A$53:$R$69,MATCH(SXS_Transit_temp!H$2,SXS_Transit_input!$B$52:$R$52,0)+1,FALSE)),0,VLOOKUP($A23,SXS_Transit_input!$A$53:$R$69,MATCH(SXS_Transit_temp!H$2,SXS_Transit_input!$B$52:$R$52,0)+1,FALSE))</f>
        <v>0</v>
      </c>
      <c r="I23">
        <f>IF(ISNA(VLOOKUP($A23,SXS_Transit_input!$A$5:$W$26,MATCH(SXS_Transit_temp!I$2,SXS_Transit_input!$B$4:$W$4,0)+1,FALSE)),0,VLOOKUP($A23,SXS_Transit_input!$A$5:$W$26,MATCH(SXS_Transit_temp!I$2,SXS_Transit_input!$B$4:$W$4,0)+1,FALSE))+IF(ISNA(VLOOKUP($A23,SXS_Transit_input!$A$53:$R$69,MATCH(SXS_Transit_temp!I$2,SXS_Transit_input!$B$52:$R$52,0)+1,FALSE)),0,VLOOKUP($A23,SXS_Transit_input!$A$53:$R$69,MATCH(SXS_Transit_temp!I$2,SXS_Transit_input!$B$52:$R$52,0)+1,FALSE))</f>
        <v>0</v>
      </c>
      <c r="J23">
        <f>IF(ISNA(VLOOKUP($A23,SXS_Transit_input!$A$5:$W$26,MATCH(SXS_Transit_temp!J$2,SXS_Transit_input!$B$4:$W$4,0)+1,FALSE)),0,VLOOKUP($A23,SXS_Transit_input!$A$5:$W$26,MATCH(SXS_Transit_temp!J$2,SXS_Transit_input!$B$4:$W$4,0)+1,FALSE))+IF(ISNA(VLOOKUP($A23,SXS_Transit_input!$A$53:$R$69,MATCH(SXS_Transit_temp!J$2,SXS_Transit_input!$B$52:$R$52,0)+1,FALSE)),0,VLOOKUP($A23,SXS_Transit_input!$A$53:$R$69,MATCH(SXS_Transit_temp!J$2,SXS_Transit_input!$B$52:$R$52,0)+1,FALSE))</f>
        <v>0</v>
      </c>
      <c r="K23">
        <f>IF(ISNA(VLOOKUP($A23,SXS_Transit_input!$A$5:$W$26,MATCH(SXS_Transit_temp!K$2,SXS_Transit_input!$B$4:$W$4,0)+1,FALSE)),0,VLOOKUP($A23,SXS_Transit_input!$A$5:$W$26,MATCH(SXS_Transit_temp!K$2,SXS_Transit_input!$B$4:$W$4,0)+1,FALSE))+IF(ISNA(VLOOKUP($A23,SXS_Transit_input!$A$53:$R$69,MATCH(SXS_Transit_temp!K$2,SXS_Transit_input!$B$52:$R$52,0)+1,FALSE)),0,VLOOKUP($A23,SXS_Transit_input!$A$53:$R$69,MATCH(SXS_Transit_temp!K$2,SXS_Transit_input!$B$52:$R$52,0)+1,FALSE))</f>
        <v>0</v>
      </c>
      <c r="L23">
        <f>IF(ISNA(VLOOKUP($A23,SXS_Transit_input!$A$5:$W$26,MATCH(SXS_Transit_temp!L$2,SXS_Transit_input!$B$4:$W$4,0)+1,FALSE)),0,VLOOKUP($A23,SXS_Transit_input!$A$5:$W$26,MATCH(SXS_Transit_temp!L$2,SXS_Transit_input!$B$4:$W$4,0)+1,FALSE))+IF(ISNA(VLOOKUP($A23,SXS_Transit_input!$A$53:$R$69,MATCH(SXS_Transit_temp!L$2,SXS_Transit_input!$B$52:$R$52,0)+1,FALSE)),0,VLOOKUP($A23,SXS_Transit_input!$A$53:$R$69,MATCH(SXS_Transit_temp!L$2,SXS_Transit_input!$B$52:$R$52,0)+1,FALSE))</f>
        <v>0</v>
      </c>
      <c r="M23">
        <f>IF(ISNA(VLOOKUP($A23,SXS_Transit_input!$A$5:$W$26,MATCH(SXS_Transit_temp!M$2,SXS_Transit_input!$B$4:$W$4,0)+1,FALSE)),0,VLOOKUP($A23,SXS_Transit_input!$A$5:$W$26,MATCH(SXS_Transit_temp!M$2,SXS_Transit_input!$B$4:$W$4,0)+1,FALSE))+IF(ISNA(VLOOKUP($A23,SXS_Transit_input!$A$53:$R$69,MATCH(SXS_Transit_temp!M$2,SXS_Transit_input!$B$52:$R$52,0)+1,FALSE)),0,VLOOKUP($A23,SXS_Transit_input!$A$53:$R$69,MATCH(SXS_Transit_temp!M$2,SXS_Transit_input!$B$52:$R$52,0)+1,FALSE))</f>
        <v>0</v>
      </c>
      <c r="N23">
        <f>IF(ISNA(VLOOKUP($A23,SXS_Transit_input!$A$5:$W$26,MATCH(SXS_Transit_temp!N$2,SXS_Transit_input!$B$4:$W$4,0)+1,FALSE)),0,VLOOKUP($A23,SXS_Transit_input!$A$5:$W$26,MATCH(SXS_Transit_temp!N$2,SXS_Transit_input!$B$4:$W$4,0)+1,FALSE))+IF(ISNA(VLOOKUP($A23,SXS_Transit_input!$A$53:$R$69,MATCH(SXS_Transit_temp!N$2,SXS_Transit_input!$B$52:$R$52,0)+1,FALSE)),0,VLOOKUP($A23,SXS_Transit_input!$A$53:$R$69,MATCH(SXS_Transit_temp!N$2,SXS_Transit_input!$B$52:$R$52,0)+1,FALSE))</f>
        <v>123.82885</v>
      </c>
      <c r="O23">
        <f>IF(ISNA(VLOOKUP($A23,SXS_Transit_input!$A$5:$W$26,MATCH(SXS_Transit_temp!O$2,SXS_Transit_input!$B$4:$W$4,0)+1,FALSE)),0,VLOOKUP($A23,SXS_Transit_input!$A$5:$W$26,MATCH(SXS_Transit_temp!O$2,SXS_Transit_input!$B$4:$W$4,0)+1,FALSE))+IF(ISNA(VLOOKUP($A23,SXS_Transit_input!$A$53:$R$69,MATCH(SXS_Transit_temp!O$2,SXS_Transit_input!$B$52:$R$52,0)+1,FALSE)),0,VLOOKUP($A23,SXS_Transit_input!$A$53:$R$69,MATCH(SXS_Transit_temp!O$2,SXS_Transit_input!$B$52:$R$52,0)+1,FALSE))</f>
        <v>0</v>
      </c>
      <c r="P23">
        <f>IF(ISNA(VLOOKUP($A23,SXS_Transit_input!$A$5:$W$26,MATCH(SXS_Transit_temp!P$2,SXS_Transit_input!$B$4:$W$4,0)+1,FALSE)),0,VLOOKUP($A23,SXS_Transit_input!$A$5:$W$26,MATCH(SXS_Transit_temp!P$2,SXS_Transit_input!$B$4:$W$4,0)+1,FALSE))+IF(ISNA(VLOOKUP($A23,SXS_Transit_input!$A$53:$R$69,MATCH(SXS_Transit_temp!P$2,SXS_Transit_input!$B$52:$R$52,0)+1,FALSE)),0,VLOOKUP($A23,SXS_Transit_input!$A$53:$R$69,MATCH(SXS_Transit_temp!P$2,SXS_Transit_input!$B$52:$R$52,0)+1,FALSE))</f>
        <v>0</v>
      </c>
      <c r="Q23">
        <f>IF(ISNA(VLOOKUP($A23,SXS_Transit_input!$A$5:$W$26,MATCH(SXS_Transit_temp!Q$2,SXS_Transit_input!$B$4:$W$4,0)+1,FALSE)),0,VLOOKUP($A23,SXS_Transit_input!$A$5:$W$26,MATCH(SXS_Transit_temp!Q$2,SXS_Transit_input!$B$4:$W$4,0)+1,FALSE))+IF(ISNA(VLOOKUP($A23,SXS_Transit_input!$A$53:$R$69,MATCH(SXS_Transit_temp!Q$2,SXS_Transit_input!$B$52:$R$52,0)+1,FALSE)),0,VLOOKUP($A23,SXS_Transit_input!$A$53:$R$69,MATCH(SXS_Transit_temp!Q$2,SXS_Transit_input!$B$52:$R$52,0)+1,FALSE))</f>
        <v>0</v>
      </c>
      <c r="R23">
        <f>IF(ISNA(VLOOKUP($A23,SXS_Transit_input!$A$5:$W$26,MATCH(SXS_Transit_temp!R$2,SXS_Transit_input!$B$4:$W$4,0)+1,FALSE)),0,VLOOKUP($A23,SXS_Transit_input!$A$5:$W$26,MATCH(SXS_Transit_temp!R$2,SXS_Transit_input!$B$4:$W$4,0)+1,FALSE))+IF(ISNA(VLOOKUP($A23,SXS_Transit_input!$A$53:$R$69,MATCH(SXS_Transit_temp!R$2,SXS_Transit_input!$B$52:$R$52,0)+1,FALSE)),0,VLOOKUP($A23,SXS_Transit_input!$A$53:$R$69,MATCH(SXS_Transit_temp!R$2,SXS_Transit_input!$B$52:$R$52,0)+1,FALSE))</f>
        <v>0</v>
      </c>
      <c r="S23">
        <f>IF(ISNA(VLOOKUP($A23,SXS_Transit_input!$A$5:$W$26,MATCH(SXS_Transit_temp!S$2,SXS_Transit_input!$B$4:$W$4,0)+1,FALSE)),0,VLOOKUP($A23,SXS_Transit_input!$A$5:$W$26,MATCH(SXS_Transit_temp!S$2,SXS_Transit_input!$B$4:$W$4,0)+1,FALSE))+IF(ISNA(VLOOKUP($A23,SXS_Transit_input!$A$53:$R$69,MATCH(SXS_Transit_temp!S$2,SXS_Transit_input!$B$52:$R$52,0)+1,FALSE)),0,VLOOKUP($A23,SXS_Transit_input!$A$53:$R$69,MATCH(SXS_Transit_temp!S$2,SXS_Transit_input!$B$52:$R$52,0)+1,FALSE))</f>
        <v>0</v>
      </c>
      <c r="T23">
        <f>IF(ISNA(VLOOKUP($A23,SXS_Transit_input!$A$5:$W$26,MATCH(SXS_Transit_temp!T$2,SXS_Transit_input!$B$4:$W$4,0)+1,FALSE)),0,VLOOKUP($A23,SXS_Transit_input!$A$5:$W$26,MATCH(SXS_Transit_temp!T$2,SXS_Transit_input!$B$4:$W$4,0)+1,FALSE))+IF(ISNA(VLOOKUP($A23,SXS_Transit_input!$A$53:$R$69,MATCH(SXS_Transit_temp!T$2,SXS_Transit_input!$B$52:$R$52,0)+1,FALSE)),0,VLOOKUP($A23,SXS_Transit_input!$A$53:$R$69,MATCH(SXS_Transit_temp!T$2,SXS_Transit_input!$B$52:$R$52,0)+1,FALSE))</f>
        <v>0</v>
      </c>
      <c r="U23">
        <f>IF(ISNA(VLOOKUP($A23,SXS_Transit_input!$A$5:$W$26,MATCH(SXS_Transit_temp!U$2,SXS_Transit_input!$B$4:$W$4,0)+1,FALSE)),0,VLOOKUP($A23,SXS_Transit_input!$A$5:$W$26,MATCH(SXS_Transit_temp!U$2,SXS_Transit_input!$B$4:$W$4,0)+1,FALSE))+IF(ISNA(VLOOKUP($A23,SXS_Transit_input!$A$53:$R$69,MATCH(SXS_Transit_temp!U$2,SXS_Transit_input!$B$52:$R$52,0)+1,FALSE)),0,VLOOKUP($A23,SXS_Transit_input!$A$53:$R$69,MATCH(SXS_Transit_temp!U$2,SXS_Transit_input!$B$52:$R$52,0)+1,FALSE))</f>
        <v>2578.4757</v>
      </c>
      <c r="V23">
        <f>IF(ISNA(VLOOKUP($A23,SXS_Transit_input!$A$5:$W$26,MATCH(SXS_Transit_temp!V$2,SXS_Transit_input!$B$4:$W$4,0)+1,FALSE)),0,VLOOKUP($A23,SXS_Transit_input!$A$5:$W$26,MATCH(SXS_Transit_temp!V$2,SXS_Transit_input!$B$4:$W$4,0)+1,FALSE))+IF(ISNA(VLOOKUP($A23,SXS_Transit_input!$A$53:$R$69,MATCH(SXS_Transit_temp!V$2,SXS_Transit_input!$B$52:$R$52,0)+1,FALSE)),0,VLOOKUP($A23,SXS_Transit_input!$A$53:$R$69,MATCH(SXS_Transit_temp!V$2,SXS_Transit_input!$B$52:$R$52,0)+1,FALSE))</f>
        <v>3411.7668199999998</v>
      </c>
      <c r="W23">
        <f>IF(ISNA(VLOOKUP($A23,SXS_Transit_input!$A$5:$W$26,MATCH(SXS_Transit_temp!W$2,SXS_Transit_input!$B$4:$W$4,0)+1,FALSE)),0,VLOOKUP($A23,SXS_Transit_input!$A$5:$W$26,MATCH(SXS_Transit_temp!W$2,SXS_Transit_input!$B$4:$W$4,0)+1,FALSE))+IF(ISNA(VLOOKUP($A23,SXS_Transit_input!$A$53:$R$69,MATCH(SXS_Transit_temp!W$2,SXS_Transit_input!$B$52:$R$52,0)+1,FALSE)),0,VLOOKUP($A23,SXS_Transit_input!$A$53:$R$69,MATCH(SXS_Transit_temp!W$2,SXS_Transit_input!$B$52:$R$52,0)+1,FALSE))</f>
        <v>0</v>
      </c>
      <c r="X23">
        <f>IF(ISNA(VLOOKUP($A23,SXS_Transit_input!$A$5:$W$26,MATCH(SXS_Transit_temp!X$2,SXS_Transit_input!$B$4:$W$4,0)+1,FALSE)),0,VLOOKUP($A23,SXS_Transit_input!$A$5:$W$26,MATCH(SXS_Transit_temp!X$2,SXS_Transit_input!$B$4:$W$4,0)+1,FALSE))+IF(ISNA(VLOOKUP($A23,SXS_Transit_input!$A$53:$R$69,MATCH(SXS_Transit_temp!X$2,SXS_Transit_input!$B$52:$R$52,0)+1,FALSE)),0,VLOOKUP($A23,SXS_Transit_input!$A$53:$R$69,MATCH(SXS_Transit_temp!X$2,SXS_Transit_input!$B$52:$R$52,0)+1,FALSE))</f>
        <v>0</v>
      </c>
      <c r="Y23">
        <f>IF(ISNA(VLOOKUP($A23,SXS_Transit_input!$A$5:$W$26,MATCH(SXS_Transit_temp!Y$2,SXS_Transit_input!$B$4:$W$4,0)+1,FALSE)),0,VLOOKUP($A23,SXS_Transit_input!$A$5:$W$26,MATCH(SXS_Transit_temp!Y$2,SXS_Transit_input!$B$4:$W$4,0)+1,FALSE))+IF(ISNA(VLOOKUP($A23,SXS_Transit_input!$A$53:$R$69,MATCH(SXS_Transit_temp!Y$2,SXS_Transit_input!$B$52:$R$52,0)+1,FALSE)),0,VLOOKUP($A23,SXS_Transit_input!$A$53:$R$69,MATCH(SXS_Transit_temp!Y$2,SXS_Transit_input!$B$52:$R$52,0)+1,FALSE))</f>
        <v>0</v>
      </c>
      <c r="Z23">
        <f>IF(ISNA(VLOOKUP($A23,SXS_Transit_input!$A$5:$W$26,MATCH(SXS_Transit_temp!Z$2,SXS_Transit_input!$B$4:$W$4,0)+1,FALSE)),0,VLOOKUP($A23,SXS_Transit_input!$A$5:$W$26,MATCH(SXS_Transit_temp!Z$2,SXS_Transit_input!$B$4:$W$4,0)+1,FALSE))+IF(ISNA(VLOOKUP($A23,SXS_Transit_input!$A$53:$R$69,MATCH(SXS_Transit_temp!Z$2,SXS_Transit_input!$B$52:$R$52,0)+1,FALSE)),0,VLOOKUP($A23,SXS_Transit_input!$A$53:$R$69,MATCH(SXS_Transit_temp!Z$2,SXS_Transit_input!$B$52:$R$52,0)+1,FALSE))</f>
        <v>0</v>
      </c>
      <c r="AA23">
        <v>21</v>
      </c>
      <c r="AB23" s="33">
        <f t="shared" si="1"/>
        <v>154</v>
      </c>
      <c r="AC23" s="34">
        <f t="shared" si="11"/>
        <v>25</v>
      </c>
      <c r="AD23" s="34">
        <f t="shared" si="12"/>
        <v>9</v>
      </c>
      <c r="AE23" s="34">
        <f t="shared" si="13"/>
        <v>2</v>
      </c>
      <c r="AF23" s="34">
        <f t="shared" si="14"/>
        <v>4</v>
      </c>
      <c r="AG23" s="34">
        <f t="shared" si="15"/>
        <v>1</v>
      </c>
      <c r="AH23" s="34">
        <f t="shared" si="16"/>
        <v>1</v>
      </c>
      <c r="AI23" s="34">
        <f t="shared" si="17"/>
        <v>2</v>
      </c>
      <c r="AJ23" s="34">
        <f t="shared" si="18"/>
        <v>42</v>
      </c>
      <c r="AK23" s="34">
        <f t="shared" si="19"/>
        <v>3</v>
      </c>
      <c r="AL23" s="34">
        <f t="shared" si="20"/>
        <v>0</v>
      </c>
      <c r="AM23" s="34">
        <f t="shared" si="21"/>
        <v>0</v>
      </c>
      <c r="AN23" s="34">
        <f t="shared" si="22"/>
        <v>0</v>
      </c>
      <c r="AO23" s="34">
        <f t="shared" si="23"/>
        <v>0</v>
      </c>
      <c r="AP23" s="34">
        <f t="shared" si="24"/>
        <v>0</v>
      </c>
      <c r="AQ23" s="34">
        <f t="shared" si="25"/>
        <v>2</v>
      </c>
      <c r="AR23" s="34">
        <f t="shared" si="2"/>
        <v>0</v>
      </c>
      <c r="AS23" s="34">
        <f t="shared" si="3"/>
        <v>0</v>
      </c>
      <c r="AT23" s="34">
        <f t="shared" si="4"/>
        <v>0</v>
      </c>
      <c r="AU23" s="34">
        <f t="shared" si="5"/>
        <v>109</v>
      </c>
      <c r="AV23" s="34">
        <f t="shared" si="6"/>
        <v>541</v>
      </c>
      <c r="AW23" s="34">
        <f t="shared" si="7"/>
        <v>0</v>
      </c>
      <c r="AX23" s="34">
        <f t="shared" si="8"/>
        <v>0</v>
      </c>
      <c r="AY23" s="34">
        <f t="shared" si="9"/>
        <v>0</v>
      </c>
      <c r="AZ23" s="35">
        <f t="shared" si="10"/>
        <v>0</v>
      </c>
      <c r="BC23">
        <v>21</v>
      </c>
      <c r="BD23">
        <v>154</v>
      </c>
      <c r="BE23">
        <v>25</v>
      </c>
      <c r="BF23">
        <v>9</v>
      </c>
      <c r="BG23">
        <v>2</v>
      </c>
      <c r="BH23">
        <v>4</v>
      </c>
      <c r="BI23">
        <v>1</v>
      </c>
      <c r="BJ23">
        <v>1</v>
      </c>
      <c r="BK23">
        <v>2</v>
      </c>
      <c r="BL23">
        <v>40</v>
      </c>
      <c r="BM23">
        <v>3</v>
      </c>
      <c r="BN23">
        <v>0</v>
      </c>
      <c r="BO23">
        <v>0</v>
      </c>
      <c r="BP23">
        <v>0</v>
      </c>
      <c r="BQ23">
        <v>0</v>
      </c>
      <c r="BR23">
        <v>0</v>
      </c>
      <c r="BS23">
        <v>2</v>
      </c>
      <c r="BT23">
        <v>0</v>
      </c>
      <c r="BU23">
        <v>0</v>
      </c>
      <c r="BV23">
        <v>0</v>
      </c>
      <c r="BW23">
        <v>100</v>
      </c>
      <c r="BX23">
        <v>511</v>
      </c>
      <c r="BY23">
        <v>0</v>
      </c>
      <c r="BZ23">
        <v>0</v>
      </c>
      <c r="CA23">
        <v>0</v>
      </c>
      <c r="CB23">
        <v>0</v>
      </c>
    </row>
    <row r="24" spans="1:80" x14ac:dyDescent="0.25">
      <c r="A24">
        <v>22</v>
      </c>
      <c r="B24">
        <f>IF(ISNA(VLOOKUP($A24,SXS_Transit_input!$A$5:$W$26,MATCH(SXS_Transit_temp!B$2,SXS_Transit_input!$B$4:$W$4,0)+1,FALSE)),0,VLOOKUP($A24,SXS_Transit_input!$A$5:$W$26,MATCH(SXS_Transit_temp!B$2,SXS_Transit_input!$B$4:$W$4,0)+1,FALSE))+IF(ISNA(VLOOKUP($A24,SXS_Transit_input!$A$53:$R$69,MATCH(SXS_Transit_temp!B$2,SXS_Transit_input!$B$52:$R$52,0)+1,FALSE)),0,VLOOKUP($A24,SXS_Transit_input!$A$53:$R$69,MATCH(SXS_Transit_temp!B$2,SXS_Transit_input!$B$52:$R$52,0)+1,FALSE))</f>
        <v>0</v>
      </c>
      <c r="C24">
        <f>IF(ISNA(VLOOKUP($A24,SXS_Transit_input!$A$5:$W$26,MATCH(SXS_Transit_temp!C$2,SXS_Transit_input!$B$4:$W$4,0)+1,FALSE)),0,VLOOKUP($A24,SXS_Transit_input!$A$5:$W$26,MATCH(SXS_Transit_temp!C$2,SXS_Transit_input!$B$4:$W$4,0)+1,FALSE))+IF(ISNA(VLOOKUP($A24,SXS_Transit_input!$A$53:$R$69,MATCH(SXS_Transit_temp!C$2,SXS_Transit_input!$B$52:$R$52,0)+1,FALSE)),0,VLOOKUP($A24,SXS_Transit_input!$A$53:$R$69,MATCH(SXS_Transit_temp!C$2,SXS_Transit_input!$B$52:$R$52,0)+1,FALSE))</f>
        <v>0</v>
      </c>
      <c r="D24">
        <f>IF(ISNA(VLOOKUP($A24,SXS_Transit_input!$A$5:$W$26,MATCH(SXS_Transit_temp!D$2,SXS_Transit_input!$B$4:$W$4,0)+1,FALSE)),0,VLOOKUP($A24,SXS_Transit_input!$A$5:$W$26,MATCH(SXS_Transit_temp!D$2,SXS_Transit_input!$B$4:$W$4,0)+1,FALSE))+IF(ISNA(VLOOKUP($A24,SXS_Transit_input!$A$53:$R$69,MATCH(SXS_Transit_temp!D$2,SXS_Transit_input!$B$52:$R$52,0)+1,FALSE)),0,VLOOKUP($A24,SXS_Transit_input!$A$53:$R$69,MATCH(SXS_Transit_temp!D$2,SXS_Transit_input!$B$52:$R$52,0)+1,FALSE))</f>
        <v>0</v>
      </c>
      <c r="E24">
        <f>IF(ISNA(VLOOKUP($A24,SXS_Transit_input!$A$5:$W$26,MATCH(SXS_Transit_temp!E$2,SXS_Transit_input!$B$4:$W$4,0)+1,FALSE)),0,VLOOKUP($A24,SXS_Transit_input!$A$5:$W$26,MATCH(SXS_Transit_temp!E$2,SXS_Transit_input!$B$4:$W$4,0)+1,FALSE))+IF(ISNA(VLOOKUP($A24,SXS_Transit_input!$A$53:$R$69,MATCH(SXS_Transit_temp!E$2,SXS_Transit_input!$B$52:$R$52,0)+1,FALSE)),0,VLOOKUP($A24,SXS_Transit_input!$A$53:$R$69,MATCH(SXS_Transit_temp!E$2,SXS_Transit_input!$B$52:$R$52,0)+1,FALSE))</f>
        <v>0</v>
      </c>
      <c r="F24">
        <f>IF(ISNA(VLOOKUP($A24,SXS_Transit_input!$A$5:$W$26,MATCH(SXS_Transit_temp!F$2,SXS_Transit_input!$B$4:$W$4,0)+1,FALSE)),0,VLOOKUP($A24,SXS_Transit_input!$A$5:$W$26,MATCH(SXS_Transit_temp!F$2,SXS_Transit_input!$B$4:$W$4,0)+1,FALSE))+IF(ISNA(VLOOKUP($A24,SXS_Transit_input!$A$53:$R$69,MATCH(SXS_Transit_temp!F$2,SXS_Transit_input!$B$52:$R$52,0)+1,FALSE)),0,VLOOKUP($A24,SXS_Transit_input!$A$53:$R$69,MATCH(SXS_Transit_temp!F$2,SXS_Transit_input!$B$52:$R$52,0)+1,FALSE))</f>
        <v>0</v>
      </c>
      <c r="G24">
        <f>IF(ISNA(VLOOKUP($A24,SXS_Transit_input!$A$5:$W$26,MATCH(SXS_Transit_temp!G$2,SXS_Transit_input!$B$4:$W$4,0)+1,FALSE)),0,VLOOKUP($A24,SXS_Transit_input!$A$5:$W$26,MATCH(SXS_Transit_temp!G$2,SXS_Transit_input!$B$4:$W$4,0)+1,FALSE))+IF(ISNA(VLOOKUP($A24,SXS_Transit_input!$A$53:$R$69,MATCH(SXS_Transit_temp!G$2,SXS_Transit_input!$B$52:$R$52,0)+1,FALSE)),0,VLOOKUP($A24,SXS_Transit_input!$A$53:$R$69,MATCH(SXS_Transit_temp!G$2,SXS_Transit_input!$B$52:$R$52,0)+1,FALSE))</f>
        <v>0</v>
      </c>
      <c r="H24">
        <f>IF(ISNA(VLOOKUP($A24,SXS_Transit_input!$A$5:$W$26,MATCH(SXS_Transit_temp!H$2,SXS_Transit_input!$B$4:$W$4,0)+1,FALSE)),0,VLOOKUP($A24,SXS_Transit_input!$A$5:$W$26,MATCH(SXS_Transit_temp!H$2,SXS_Transit_input!$B$4:$W$4,0)+1,FALSE))+IF(ISNA(VLOOKUP($A24,SXS_Transit_input!$A$53:$R$69,MATCH(SXS_Transit_temp!H$2,SXS_Transit_input!$B$52:$R$52,0)+1,FALSE)),0,VLOOKUP($A24,SXS_Transit_input!$A$53:$R$69,MATCH(SXS_Transit_temp!H$2,SXS_Transit_input!$B$52:$R$52,0)+1,FALSE))</f>
        <v>0</v>
      </c>
      <c r="I24">
        <f>IF(ISNA(VLOOKUP($A24,SXS_Transit_input!$A$5:$W$26,MATCH(SXS_Transit_temp!I$2,SXS_Transit_input!$B$4:$W$4,0)+1,FALSE)),0,VLOOKUP($A24,SXS_Transit_input!$A$5:$W$26,MATCH(SXS_Transit_temp!I$2,SXS_Transit_input!$B$4:$W$4,0)+1,FALSE))+IF(ISNA(VLOOKUP($A24,SXS_Transit_input!$A$53:$R$69,MATCH(SXS_Transit_temp!I$2,SXS_Transit_input!$B$52:$R$52,0)+1,FALSE)),0,VLOOKUP($A24,SXS_Transit_input!$A$53:$R$69,MATCH(SXS_Transit_temp!I$2,SXS_Transit_input!$B$52:$R$52,0)+1,FALSE))</f>
        <v>0</v>
      </c>
      <c r="J24">
        <f>IF(ISNA(VLOOKUP($A24,SXS_Transit_input!$A$5:$W$26,MATCH(SXS_Transit_temp!J$2,SXS_Transit_input!$B$4:$W$4,0)+1,FALSE)),0,VLOOKUP($A24,SXS_Transit_input!$A$5:$W$26,MATCH(SXS_Transit_temp!J$2,SXS_Transit_input!$B$4:$W$4,0)+1,FALSE))+IF(ISNA(VLOOKUP($A24,SXS_Transit_input!$A$53:$R$69,MATCH(SXS_Transit_temp!J$2,SXS_Transit_input!$B$52:$R$52,0)+1,FALSE)),0,VLOOKUP($A24,SXS_Transit_input!$A$53:$R$69,MATCH(SXS_Transit_temp!J$2,SXS_Transit_input!$B$52:$R$52,0)+1,FALSE))</f>
        <v>0</v>
      </c>
      <c r="K24">
        <f>IF(ISNA(VLOOKUP($A24,SXS_Transit_input!$A$5:$W$26,MATCH(SXS_Transit_temp!K$2,SXS_Transit_input!$B$4:$W$4,0)+1,FALSE)),0,VLOOKUP($A24,SXS_Transit_input!$A$5:$W$26,MATCH(SXS_Transit_temp!K$2,SXS_Transit_input!$B$4:$W$4,0)+1,FALSE))+IF(ISNA(VLOOKUP($A24,SXS_Transit_input!$A$53:$R$69,MATCH(SXS_Transit_temp!K$2,SXS_Transit_input!$B$52:$R$52,0)+1,FALSE)),0,VLOOKUP($A24,SXS_Transit_input!$A$53:$R$69,MATCH(SXS_Transit_temp!K$2,SXS_Transit_input!$B$52:$R$52,0)+1,FALSE))</f>
        <v>0</v>
      </c>
      <c r="L24">
        <f>IF(ISNA(VLOOKUP($A24,SXS_Transit_input!$A$5:$W$26,MATCH(SXS_Transit_temp!L$2,SXS_Transit_input!$B$4:$W$4,0)+1,FALSE)),0,VLOOKUP($A24,SXS_Transit_input!$A$5:$W$26,MATCH(SXS_Transit_temp!L$2,SXS_Transit_input!$B$4:$W$4,0)+1,FALSE))+IF(ISNA(VLOOKUP($A24,SXS_Transit_input!$A$53:$R$69,MATCH(SXS_Transit_temp!L$2,SXS_Transit_input!$B$52:$R$52,0)+1,FALSE)),0,VLOOKUP($A24,SXS_Transit_input!$A$53:$R$69,MATCH(SXS_Transit_temp!L$2,SXS_Transit_input!$B$52:$R$52,0)+1,FALSE))</f>
        <v>0</v>
      </c>
      <c r="M24">
        <f>IF(ISNA(VLOOKUP($A24,SXS_Transit_input!$A$5:$W$26,MATCH(SXS_Transit_temp!M$2,SXS_Transit_input!$B$4:$W$4,0)+1,FALSE)),0,VLOOKUP($A24,SXS_Transit_input!$A$5:$W$26,MATCH(SXS_Transit_temp!M$2,SXS_Transit_input!$B$4:$W$4,0)+1,FALSE))+IF(ISNA(VLOOKUP($A24,SXS_Transit_input!$A$53:$R$69,MATCH(SXS_Transit_temp!M$2,SXS_Transit_input!$B$52:$R$52,0)+1,FALSE)),0,VLOOKUP($A24,SXS_Transit_input!$A$53:$R$69,MATCH(SXS_Transit_temp!M$2,SXS_Transit_input!$B$52:$R$52,0)+1,FALSE))</f>
        <v>0</v>
      </c>
      <c r="N24">
        <f>IF(ISNA(VLOOKUP($A24,SXS_Transit_input!$A$5:$W$26,MATCH(SXS_Transit_temp!N$2,SXS_Transit_input!$B$4:$W$4,0)+1,FALSE)),0,VLOOKUP($A24,SXS_Transit_input!$A$5:$W$26,MATCH(SXS_Transit_temp!N$2,SXS_Transit_input!$B$4:$W$4,0)+1,FALSE))+IF(ISNA(VLOOKUP($A24,SXS_Transit_input!$A$53:$R$69,MATCH(SXS_Transit_temp!N$2,SXS_Transit_input!$B$52:$R$52,0)+1,FALSE)),0,VLOOKUP($A24,SXS_Transit_input!$A$53:$R$69,MATCH(SXS_Transit_temp!N$2,SXS_Transit_input!$B$52:$R$52,0)+1,FALSE))</f>
        <v>0</v>
      </c>
      <c r="O24">
        <f>IF(ISNA(VLOOKUP($A24,SXS_Transit_input!$A$5:$W$26,MATCH(SXS_Transit_temp!O$2,SXS_Transit_input!$B$4:$W$4,0)+1,FALSE)),0,VLOOKUP($A24,SXS_Transit_input!$A$5:$W$26,MATCH(SXS_Transit_temp!O$2,SXS_Transit_input!$B$4:$W$4,0)+1,FALSE))+IF(ISNA(VLOOKUP($A24,SXS_Transit_input!$A$53:$R$69,MATCH(SXS_Transit_temp!O$2,SXS_Transit_input!$B$52:$R$52,0)+1,FALSE)),0,VLOOKUP($A24,SXS_Transit_input!$A$53:$R$69,MATCH(SXS_Transit_temp!O$2,SXS_Transit_input!$B$52:$R$52,0)+1,FALSE))</f>
        <v>0</v>
      </c>
      <c r="P24">
        <f>IF(ISNA(VLOOKUP($A24,SXS_Transit_input!$A$5:$W$26,MATCH(SXS_Transit_temp!P$2,SXS_Transit_input!$B$4:$W$4,0)+1,FALSE)),0,VLOOKUP($A24,SXS_Transit_input!$A$5:$W$26,MATCH(SXS_Transit_temp!P$2,SXS_Transit_input!$B$4:$W$4,0)+1,FALSE))+IF(ISNA(VLOOKUP($A24,SXS_Transit_input!$A$53:$R$69,MATCH(SXS_Transit_temp!P$2,SXS_Transit_input!$B$52:$R$52,0)+1,FALSE)),0,VLOOKUP($A24,SXS_Transit_input!$A$53:$R$69,MATCH(SXS_Transit_temp!P$2,SXS_Transit_input!$B$52:$R$52,0)+1,FALSE))</f>
        <v>0</v>
      </c>
      <c r="Q24">
        <f>IF(ISNA(VLOOKUP($A24,SXS_Transit_input!$A$5:$W$26,MATCH(SXS_Transit_temp!Q$2,SXS_Transit_input!$B$4:$W$4,0)+1,FALSE)),0,VLOOKUP($A24,SXS_Transit_input!$A$5:$W$26,MATCH(SXS_Transit_temp!Q$2,SXS_Transit_input!$B$4:$W$4,0)+1,FALSE))+IF(ISNA(VLOOKUP($A24,SXS_Transit_input!$A$53:$R$69,MATCH(SXS_Transit_temp!Q$2,SXS_Transit_input!$B$52:$R$52,0)+1,FALSE)),0,VLOOKUP($A24,SXS_Transit_input!$A$53:$R$69,MATCH(SXS_Transit_temp!Q$2,SXS_Transit_input!$B$52:$R$52,0)+1,FALSE))</f>
        <v>0</v>
      </c>
      <c r="R24">
        <f>IF(ISNA(VLOOKUP($A24,SXS_Transit_input!$A$5:$W$26,MATCH(SXS_Transit_temp!R$2,SXS_Transit_input!$B$4:$W$4,0)+1,FALSE)),0,VLOOKUP($A24,SXS_Transit_input!$A$5:$W$26,MATCH(SXS_Transit_temp!R$2,SXS_Transit_input!$B$4:$W$4,0)+1,FALSE))+IF(ISNA(VLOOKUP($A24,SXS_Transit_input!$A$53:$R$69,MATCH(SXS_Transit_temp!R$2,SXS_Transit_input!$B$52:$R$52,0)+1,FALSE)),0,VLOOKUP($A24,SXS_Transit_input!$A$53:$R$69,MATCH(SXS_Transit_temp!R$2,SXS_Transit_input!$B$52:$R$52,0)+1,FALSE))</f>
        <v>0</v>
      </c>
      <c r="S24">
        <f>IF(ISNA(VLOOKUP($A24,SXS_Transit_input!$A$5:$W$26,MATCH(SXS_Transit_temp!S$2,SXS_Transit_input!$B$4:$W$4,0)+1,FALSE)),0,VLOOKUP($A24,SXS_Transit_input!$A$5:$W$26,MATCH(SXS_Transit_temp!S$2,SXS_Transit_input!$B$4:$W$4,0)+1,FALSE))+IF(ISNA(VLOOKUP($A24,SXS_Transit_input!$A$53:$R$69,MATCH(SXS_Transit_temp!S$2,SXS_Transit_input!$B$52:$R$52,0)+1,FALSE)),0,VLOOKUP($A24,SXS_Transit_input!$A$53:$R$69,MATCH(SXS_Transit_temp!S$2,SXS_Transit_input!$B$52:$R$52,0)+1,FALSE))</f>
        <v>0</v>
      </c>
      <c r="T24">
        <f>IF(ISNA(VLOOKUP($A24,SXS_Transit_input!$A$5:$W$26,MATCH(SXS_Transit_temp!T$2,SXS_Transit_input!$B$4:$W$4,0)+1,FALSE)),0,VLOOKUP($A24,SXS_Transit_input!$A$5:$W$26,MATCH(SXS_Transit_temp!T$2,SXS_Transit_input!$B$4:$W$4,0)+1,FALSE))+IF(ISNA(VLOOKUP($A24,SXS_Transit_input!$A$53:$R$69,MATCH(SXS_Transit_temp!T$2,SXS_Transit_input!$B$52:$R$52,0)+1,FALSE)),0,VLOOKUP($A24,SXS_Transit_input!$A$53:$R$69,MATCH(SXS_Transit_temp!T$2,SXS_Transit_input!$B$52:$R$52,0)+1,FALSE))</f>
        <v>0</v>
      </c>
      <c r="U24">
        <f>IF(ISNA(VLOOKUP($A24,SXS_Transit_input!$A$5:$W$26,MATCH(SXS_Transit_temp!U$2,SXS_Transit_input!$B$4:$W$4,0)+1,FALSE)),0,VLOOKUP($A24,SXS_Transit_input!$A$5:$W$26,MATCH(SXS_Transit_temp!U$2,SXS_Transit_input!$B$4:$W$4,0)+1,FALSE))+IF(ISNA(VLOOKUP($A24,SXS_Transit_input!$A$53:$R$69,MATCH(SXS_Transit_temp!U$2,SXS_Transit_input!$B$52:$R$52,0)+1,FALSE)),0,VLOOKUP($A24,SXS_Transit_input!$A$53:$R$69,MATCH(SXS_Transit_temp!U$2,SXS_Transit_input!$B$52:$R$52,0)+1,FALSE))</f>
        <v>0</v>
      </c>
      <c r="V24">
        <f>IF(ISNA(VLOOKUP($A24,SXS_Transit_input!$A$5:$W$26,MATCH(SXS_Transit_temp!V$2,SXS_Transit_input!$B$4:$W$4,0)+1,FALSE)),0,VLOOKUP($A24,SXS_Transit_input!$A$5:$W$26,MATCH(SXS_Transit_temp!V$2,SXS_Transit_input!$B$4:$W$4,0)+1,FALSE))+IF(ISNA(VLOOKUP($A24,SXS_Transit_input!$A$53:$R$69,MATCH(SXS_Transit_temp!V$2,SXS_Transit_input!$B$52:$R$52,0)+1,FALSE)),0,VLOOKUP($A24,SXS_Transit_input!$A$53:$R$69,MATCH(SXS_Transit_temp!V$2,SXS_Transit_input!$B$52:$R$52,0)+1,FALSE))</f>
        <v>0</v>
      </c>
      <c r="W24">
        <f>IF(ISNA(VLOOKUP($A24,SXS_Transit_input!$A$5:$W$26,MATCH(SXS_Transit_temp!W$2,SXS_Transit_input!$B$4:$W$4,0)+1,FALSE)),0,VLOOKUP($A24,SXS_Transit_input!$A$5:$W$26,MATCH(SXS_Transit_temp!W$2,SXS_Transit_input!$B$4:$W$4,0)+1,FALSE))+IF(ISNA(VLOOKUP($A24,SXS_Transit_input!$A$53:$R$69,MATCH(SXS_Transit_temp!W$2,SXS_Transit_input!$B$52:$R$52,0)+1,FALSE)),0,VLOOKUP($A24,SXS_Transit_input!$A$53:$R$69,MATCH(SXS_Transit_temp!W$2,SXS_Transit_input!$B$52:$R$52,0)+1,FALSE))</f>
        <v>0</v>
      </c>
      <c r="X24">
        <f>IF(ISNA(VLOOKUP($A24,SXS_Transit_input!$A$5:$W$26,MATCH(SXS_Transit_temp!X$2,SXS_Transit_input!$B$4:$W$4,0)+1,FALSE)),0,VLOOKUP($A24,SXS_Transit_input!$A$5:$W$26,MATCH(SXS_Transit_temp!X$2,SXS_Transit_input!$B$4:$W$4,0)+1,FALSE))+IF(ISNA(VLOOKUP($A24,SXS_Transit_input!$A$53:$R$69,MATCH(SXS_Transit_temp!X$2,SXS_Transit_input!$B$52:$R$52,0)+1,FALSE)),0,VLOOKUP($A24,SXS_Transit_input!$A$53:$R$69,MATCH(SXS_Transit_temp!X$2,SXS_Transit_input!$B$52:$R$52,0)+1,FALSE))</f>
        <v>0</v>
      </c>
      <c r="Y24">
        <f>IF(ISNA(VLOOKUP($A24,SXS_Transit_input!$A$5:$W$26,MATCH(SXS_Transit_temp!Y$2,SXS_Transit_input!$B$4:$W$4,0)+1,FALSE)),0,VLOOKUP($A24,SXS_Transit_input!$A$5:$W$26,MATCH(SXS_Transit_temp!Y$2,SXS_Transit_input!$B$4:$W$4,0)+1,FALSE))+IF(ISNA(VLOOKUP($A24,SXS_Transit_input!$A$53:$R$69,MATCH(SXS_Transit_temp!Y$2,SXS_Transit_input!$B$52:$R$52,0)+1,FALSE)),0,VLOOKUP($A24,SXS_Transit_input!$A$53:$R$69,MATCH(SXS_Transit_temp!Y$2,SXS_Transit_input!$B$52:$R$52,0)+1,FALSE))</f>
        <v>0</v>
      </c>
      <c r="Z24">
        <f>IF(ISNA(VLOOKUP($A24,SXS_Transit_input!$A$5:$W$26,MATCH(SXS_Transit_temp!Z$2,SXS_Transit_input!$B$4:$W$4,0)+1,FALSE)),0,VLOOKUP($A24,SXS_Transit_input!$A$5:$W$26,MATCH(SXS_Transit_temp!Z$2,SXS_Transit_input!$B$4:$W$4,0)+1,FALSE))+IF(ISNA(VLOOKUP($A24,SXS_Transit_input!$A$53:$R$69,MATCH(SXS_Transit_temp!Z$2,SXS_Transit_input!$B$52:$R$52,0)+1,FALSE)),0,VLOOKUP($A24,SXS_Transit_input!$A$53:$R$69,MATCH(SXS_Transit_temp!Z$2,SXS_Transit_input!$B$52:$R$52,0)+1,FALSE))</f>
        <v>0</v>
      </c>
      <c r="AA24">
        <v>22</v>
      </c>
      <c r="AB24" s="33">
        <f t="shared" si="1"/>
        <v>26</v>
      </c>
      <c r="AC24" s="34">
        <f t="shared" si="11"/>
        <v>1</v>
      </c>
      <c r="AD24" s="34">
        <f t="shared" si="12"/>
        <v>2</v>
      </c>
      <c r="AE24" s="34">
        <f t="shared" si="13"/>
        <v>0</v>
      </c>
      <c r="AF24" s="34">
        <f t="shared" si="14"/>
        <v>1</v>
      </c>
      <c r="AG24" s="34">
        <f t="shared" si="15"/>
        <v>1</v>
      </c>
      <c r="AH24" s="34">
        <f t="shared" si="16"/>
        <v>0</v>
      </c>
      <c r="AI24" s="34">
        <f t="shared" si="17"/>
        <v>1</v>
      </c>
      <c r="AJ24" s="34">
        <f t="shared" si="18"/>
        <v>0</v>
      </c>
      <c r="AK24" s="34">
        <f t="shared" si="19"/>
        <v>3</v>
      </c>
      <c r="AL24" s="34">
        <f t="shared" si="20"/>
        <v>82</v>
      </c>
      <c r="AM24" s="34">
        <f t="shared" si="21"/>
        <v>0</v>
      </c>
      <c r="AN24" s="34">
        <f t="shared" si="22"/>
        <v>0</v>
      </c>
      <c r="AO24" s="34">
        <f t="shared" si="23"/>
        <v>0</v>
      </c>
      <c r="AP24" s="34">
        <f t="shared" si="24"/>
        <v>0</v>
      </c>
      <c r="AQ24" s="34">
        <f t="shared" si="25"/>
        <v>0</v>
      </c>
      <c r="AR24" s="34">
        <f t="shared" si="2"/>
        <v>0</v>
      </c>
      <c r="AS24" s="34">
        <f t="shared" si="3"/>
        <v>0</v>
      </c>
      <c r="AT24" s="34">
        <f t="shared" si="4"/>
        <v>0</v>
      </c>
      <c r="AU24" s="34">
        <f t="shared" si="5"/>
        <v>1</v>
      </c>
      <c r="AV24" s="34">
        <f t="shared" si="6"/>
        <v>1</v>
      </c>
      <c r="AW24" s="34">
        <f t="shared" si="7"/>
        <v>307</v>
      </c>
      <c r="AX24" s="34">
        <f t="shared" si="8"/>
        <v>6</v>
      </c>
      <c r="AY24" s="34">
        <f t="shared" si="9"/>
        <v>0</v>
      </c>
      <c r="AZ24" s="35">
        <f t="shared" si="10"/>
        <v>0</v>
      </c>
      <c r="BC24">
        <v>22</v>
      </c>
      <c r="BD24">
        <v>26</v>
      </c>
      <c r="BE24">
        <v>1</v>
      </c>
      <c r="BF24">
        <v>2</v>
      </c>
      <c r="BG24">
        <v>0</v>
      </c>
      <c r="BH24">
        <v>1</v>
      </c>
      <c r="BI24">
        <v>1</v>
      </c>
      <c r="BJ24">
        <v>0</v>
      </c>
      <c r="BK24">
        <v>1</v>
      </c>
      <c r="BL24">
        <v>0</v>
      </c>
      <c r="BM24">
        <v>3</v>
      </c>
      <c r="BN24">
        <v>76</v>
      </c>
      <c r="BO24">
        <v>0</v>
      </c>
      <c r="BP24">
        <v>0</v>
      </c>
      <c r="BQ24">
        <v>0</v>
      </c>
      <c r="BR24">
        <v>0</v>
      </c>
      <c r="BS24">
        <v>0</v>
      </c>
      <c r="BT24">
        <v>0</v>
      </c>
      <c r="BU24">
        <v>0</v>
      </c>
      <c r="BV24">
        <v>0</v>
      </c>
      <c r="BW24">
        <v>0</v>
      </c>
      <c r="BX24">
        <v>1</v>
      </c>
      <c r="BY24">
        <v>293</v>
      </c>
      <c r="BZ24">
        <v>6</v>
      </c>
      <c r="CA24">
        <v>0</v>
      </c>
      <c r="CB24">
        <v>0</v>
      </c>
    </row>
    <row r="25" spans="1:80" x14ac:dyDescent="0.25">
      <c r="A25">
        <v>23</v>
      </c>
      <c r="B25">
        <f>IF(ISNA(VLOOKUP($A25,SXS_Transit_input!$A$5:$W$26,MATCH(SXS_Transit_temp!B$2,SXS_Transit_input!$B$4:$W$4,0)+1,FALSE)),0,VLOOKUP($A25,SXS_Transit_input!$A$5:$W$26,MATCH(SXS_Transit_temp!B$2,SXS_Transit_input!$B$4:$W$4,0)+1,FALSE))+IF(ISNA(VLOOKUP($A25,SXS_Transit_input!$A$53:$R$69,MATCH(SXS_Transit_temp!B$2,SXS_Transit_input!$B$52:$R$52,0)+1,FALSE)),0,VLOOKUP($A25,SXS_Transit_input!$A$53:$R$69,MATCH(SXS_Transit_temp!B$2,SXS_Transit_input!$B$52:$R$52,0)+1,FALSE))</f>
        <v>4001.7490699999998</v>
      </c>
      <c r="C25">
        <f>IF(ISNA(VLOOKUP($A25,SXS_Transit_input!$A$5:$W$26,MATCH(SXS_Transit_temp!C$2,SXS_Transit_input!$B$4:$W$4,0)+1,FALSE)),0,VLOOKUP($A25,SXS_Transit_input!$A$5:$W$26,MATCH(SXS_Transit_temp!C$2,SXS_Transit_input!$B$4:$W$4,0)+1,FALSE))+IF(ISNA(VLOOKUP($A25,SXS_Transit_input!$A$53:$R$69,MATCH(SXS_Transit_temp!C$2,SXS_Transit_input!$B$52:$R$52,0)+1,FALSE)),0,VLOOKUP($A25,SXS_Transit_input!$A$53:$R$69,MATCH(SXS_Transit_temp!C$2,SXS_Transit_input!$B$52:$R$52,0)+1,FALSE))</f>
        <v>0</v>
      </c>
      <c r="D25">
        <f>IF(ISNA(VLOOKUP($A25,SXS_Transit_input!$A$5:$W$26,MATCH(SXS_Transit_temp!D$2,SXS_Transit_input!$B$4:$W$4,0)+1,FALSE)),0,VLOOKUP($A25,SXS_Transit_input!$A$5:$W$26,MATCH(SXS_Transit_temp!D$2,SXS_Transit_input!$B$4:$W$4,0)+1,FALSE))+IF(ISNA(VLOOKUP($A25,SXS_Transit_input!$A$53:$R$69,MATCH(SXS_Transit_temp!D$2,SXS_Transit_input!$B$52:$R$52,0)+1,FALSE)),0,VLOOKUP($A25,SXS_Transit_input!$A$53:$R$69,MATCH(SXS_Transit_temp!D$2,SXS_Transit_input!$B$52:$R$52,0)+1,FALSE))</f>
        <v>0</v>
      </c>
      <c r="E25">
        <f>IF(ISNA(VLOOKUP($A25,SXS_Transit_input!$A$5:$W$26,MATCH(SXS_Transit_temp!E$2,SXS_Transit_input!$B$4:$W$4,0)+1,FALSE)),0,VLOOKUP($A25,SXS_Transit_input!$A$5:$W$26,MATCH(SXS_Transit_temp!E$2,SXS_Transit_input!$B$4:$W$4,0)+1,FALSE))+IF(ISNA(VLOOKUP($A25,SXS_Transit_input!$A$53:$R$69,MATCH(SXS_Transit_temp!E$2,SXS_Transit_input!$B$52:$R$52,0)+1,FALSE)),0,VLOOKUP($A25,SXS_Transit_input!$A$53:$R$69,MATCH(SXS_Transit_temp!E$2,SXS_Transit_input!$B$52:$R$52,0)+1,FALSE))</f>
        <v>0</v>
      </c>
      <c r="F25">
        <f>IF(ISNA(VLOOKUP($A25,SXS_Transit_input!$A$5:$W$26,MATCH(SXS_Transit_temp!F$2,SXS_Transit_input!$B$4:$W$4,0)+1,FALSE)),0,VLOOKUP($A25,SXS_Transit_input!$A$5:$W$26,MATCH(SXS_Transit_temp!F$2,SXS_Transit_input!$B$4:$W$4,0)+1,FALSE))+IF(ISNA(VLOOKUP($A25,SXS_Transit_input!$A$53:$R$69,MATCH(SXS_Transit_temp!F$2,SXS_Transit_input!$B$52:$R$52,0)+1,FALSE)),0,VLOOKUP($A25,SXS_Transit_input!$A$53:$R$69,MATCH(SXS_Transit_temp!F$2,SXS_Transit_input!$B$52:$R$52,0)+1,FALSE))</f>
        <v>0</v>
      </c>
      <c r="G25">
        <f>IF(ISNA(VLOOKUP($A25,SXS_Transit_input!$A$5:$W$26,MATCH(SXS_Transit_temp!G$2,SXS_Transit_input!$B$4:$W$4,0)+1,FALSE)),0,VLOOKUP($A25,SXS_Transit_input!$A$5:$W$26,MATCH(SXS_Transit_temp!G$2,SXS_Transit_input!$B$4:$W$4,0)+1,FALSE))+IF(ISNA(VLOOKUP($A25,SXS_Transit_input!$A$53:$R$69,MATCH(SXS_Transit_temp!G$2,SXS_Transit_input!$B$52:$R$52,0)+1,FALSE)),0,VLOOKUP($A25,SXS_Transit_input!$A$53:$R$69,MATCH(SXS_Transit_temp!G$2,SXS_Transit_input!$B$52:$R$52,0)+1,FALSE))</f>
        <v>0</v>
      </c>
      <c r="H25">
        <f>IF(ISNA(VLOOKUP($A25,SXS_Transit_input!$A$5:$W$26,MATCH(SXS_Transit_temp!H$2,SXS_Transit_input!$B$4:$W$4,0)+1,FALSE)),0,VLOOKUP($A25,SXS_Transit_input!$A$5:$W$26,MATCH(SXS_Transit_temp!H$2,SXS_Transit_input!$B$4:$W$4,0)+1,FALSE))+IF(ISNA(VLOOKUP($A25,SXS_Transit_input!$A$53:$R$69,MATCH(SXS_Transit_temp!H$2,SXS_Transit_input!$B$52:$R$52,0)+1,FALSE)),0,VLOOKUP($A25,SXS_Transit_input!$A$53:$R$69,MATCH(SXS_Transit_temp!H$2,SXS_Transit_input!$B$52:$R$52,0)+1,FALSE))</f>
        <v>0</v>
      </c>
      <c r="I25">
        <f>IF(ISNA(VLOOKUP($A25,SXS_Transit_input!$A$5:$W$26,MATCH(SXS_Transit_temp!I$2,SXS_Transit_input!$B$4:$W$4,0)+1,FALSE)),0,VLOOKUP($A25,SXS_Transit_input!$A$5:$W$26,MATCH(SXS_Transit_temp!I$2,SXS_Transit_input!$B$4:$W$4,0)+1,FALSE))+IF(ISNA(VLOOKUP($A25,SXS_Transit_input!$A$53:$R$69,MATCH(SXS_Transit_temp!I$2,SXS_Transit_input!$B$52:$R$52,0)+1,FALSE)),0,VLOOKUP($A25,SXS_Transit_input!$A$53:$R$69,MATCH(SXS_Transit_temp!I$2,SXS_Transit_input!$B$52:$R$52,0)+1,FALSE))</f>
        <v>0</v>
      </c>
      <c r="J25">
        <f>IF(ISNA(VLOOKUP($A25,SXS_Transit_input!$A$5:$W$26,MATCH(SXS_Transit_temp!J$2,SXS_Transit_input!$B$4:$W$4,0)+1,FALSE)),0,VLOOKUP($A25,SXS_Transit_input!$A$5:$W$26,MATCH(SXS_Transit_temp!J$2,SXS_Transit_input!$B$4:$W$4,0)+1,FALSE))+IF(ISNA(VLOOKUP($A25,SXS_Transit_input!$A$53:$R$69,MATCH(SXS_Transit_temp!J$2,SXS_Transit_input!$B$52:$R$52,0)+1,FALSE)),0,VLOOKUP($A25,SXS_Transit_input!$A$53:$R$69,MATCH(SXS_Transit_temp!J$2,SXS_Transit_input!$B$52:$R$52,0)+1,FALSE))</f>
        <v>0</v>
      </c>
      <c r="K25">
        <f>IF(ISNA(VLOOKUP($A25,SXS_Transit_input!$A$5:$W$26,MATCH(SXS_Transit_temp!K$2,SXS_Transit_input!$B$4:$W$4,0)+1,FALSE)),0,VLOOKUP($A25,SXS_Transit_input!$A$5:$W$26,MATCH(SXS_Transit_temp!K$2,SXS_Transit_input!$B$4:$W$4,0)+1,FALSE))+IF(ISNA(VLOOKUP($A25,SXS_Transit_input!$A$53:$R$69,MATCH(SXS_Transit_temp!K$2,SXS_Transit_input!$B$52:$R$52,0)+1,FALSE)),0,VLOOKUP($A25,SXS_Transit_input!$A$53:$R$69,MATCH(SXS_Transit_temp!K$2,SXS_Transit_input!$B$52:$R$52,0)+1,FALSE))</f>
        <v>0</v>
      </c>
      <c r="L25">
        <f>IF(ISNA(VLOOKUP($A25,SXS_Transit_input!$A$5:$W$26,MATCH(SXS_Transit_temp!L$2,SXS_Transit_input!$B$4:$W$4,0)+1,FALSE)),0,VLOOKUP($A25,SXS_Transit_input!$A$5:$W$26,MATCH(SXS_Transit_temp!L$2,SXS_Transit_input!$B$4:$W$4,0)+1,FALSE))+IF(ISNA(VLOOKUP($A25,SXS_Transit_input!$A$53:$R$69,MATCH(SXS_Transit_temp!L$2,SXS_Transit_input!$B$52:$R$52,0)+1,FALSE)),0,VLOOKUP($A25,SXS_Transit_input!$A$53:$R$69,MATCH(SXS_Transit_temp!L$2,SXS_Transit_input!$B$52:$R$52,0)+1,FALSE))</f>
        <v>0</v>
      </c>
      <c r="M25">
        <f>IF(ISNA(VLOOKUP($A25,SXS_Transit_input!$A$5:$W$26,MATCH(SXS_Transit_temp!M$2,SXS_Transit_input!$B$4:$W$4,0)+1,FALSE)),0,VLOOKUP($A25,SXS_Transit_input!$A$5:$W$26,MATCH(SXS_Transit_temp!M$2,SXS_Transit_input!$B$4:$W$4,0)+1,FALSE))+IF(ISNA(VLOOKUP($A25,SXS_Transit_input!$A$53:$R$69,MATCH(SXS_Transit_temp!M$2,SXS_Transit_input!$B$52:$R$52,0)+1,FALSE)),0,VLOOKUP($A25,SXS_Transit_input!$A$53:$R$69,MATCH(SXS_Transit_temp!M$2,SXS_Transit_input!$B$52:$R$52,0)+1,FALSE))</f>
        <v>0</v>
      </c>
      <c r="N25">
        <f>IF(ISNA(VLOOKUP($A25,SXS_Transit_input!$A$5:$W$26,MATCH(SXS_Transit_temp!N$2,SXS_Transit_input!$B$4:$W$4,0)+1,FALSE)),0,VLOOKUP($A25,SXS_Transit_input!$A$5:$W$26,MATCH(SXS_Transit_temp!N$2,SXS_Transit_input!$B$4:$W$4,0)+1,FALSE))+IF(ISNA(VLOOKUP($A25,SXS_Transit_input!$A$53:$R$69,MATCH(SXS_Transit_temp!N$2,SXS_Transit_input!$B$52:$R$52,0)+1,FALSE)),0,VLOOKUP($A25,SXS_Transit_input!$A$53:$R$69,MATCH(SXS_Transit_temp!N$2,SXS_Transit_input!$B$52:$R$52,0)+1,FALSE))</f>
        <v>0</v>
      </c>
      <c r="O25">
        <f>IF(ISNA(VLOOKUP($A25,SXS_Transit_input!$A$5:$W$26,MATCH(SXS_Transit_temp!O$2,SXS_Transit_input!$B$4:$W$4,0)+1,FALSE)),0,VLOOKUP($A25,SXS_Transit_input!$A$5:$W$26,MATCH(SXS_Transit_temp!O$2,SXS_Transit_input!$B$4:$W$4,0)+1,FALSE))+IF(ISNA(VLOOKUP($A25,SXS_Transit_input!$A$53:$R$69,MATCH(SXS_Transit_temp!O$2,SXS_Transit_input!$B$52:$R$52,0)+1,FALSE)),0,VLOOKUP($A25,SXS_Transit_input!$A$53:$R$69,MATCH(SXS_Transit_temp!O$2,SXS_Transit_input!$B$52:$R$52,0)+1,FALSE))</f>
        <v>0</v>
      </c>
      <c r="P25">
        <f>IF(ISNA(VLOOKUP($A25,SXS_Transit_input!$A$5:$W$26,MATCH(SXS_Transit_temp!P$2,SXS_Transit_input!$B$4:$W$4,0)+1,FALSE)),0,VLOOKUP($A25,SXS_Transit_input!$A$5:$W$26,MATCH(SXS_Transit_temp!P$2,SXS_Transit_input!$B$4:$W$4,0)+1,FALSE))+IF(ISNA(VLOOKUP($A25,SXS_Transit_input!$A$53:$R$69,MATCH(SXS_Transit_temp!P$2,SXS_Transit_input!$B$52:$R$52,0)+1,FALSE)),0,VLOOKUP($A25,SXS_Transit_input!$A$53:$R$69,MATCH(SXS_Transit_temp!P$2,SXS_Transit_input!$B$52:$R$52,0)+1,FALSE))</f>
        <v>0</v>
      </c>
      <c r="Q25">
        <f>IF(ISNA(VLOOKUP($A25,SXS_Transit_input!$A$5:$W$26,MATCH(SXS_Transit_temp!Q$2,SXS_Transit_input!$B$4:$W$4,0)+1,FALSE)),0,VLOOKUP($A25,SXS_Transit_input!$A$5:$W$26,MATCH(SXS_Transit_temp!Q$2,SXS_Transit_input!$B$4:$W$4,0)+1,FALSE))+IF(ISNA(VLOOKUP($A25,SXS_Transit_input!$A$53:$R$69,MATCH(SXS_Transit_temp!Q$2,SXS_Transit_input!$B$52:$R$52,0)+1,FALSE)),0,VLOOKUP($A25,SXS_Transit_input!$A$53:$R$69,MATCH(SXS_Transit_temp!Q$2,SXS_Transit_input!$B$52:$R$52,0)+1,FALSE))</f>
        <v>0</v>
      </c>
      <c r="R25">
        <f>IF(ISNA(VLOOKUP($A25,SXS_Transit_input!$A$5:$W$26,MATCH(SXS_Transit_temp!R$2,SXS_Transit_input!$B$4:$W$4,0)+1,FALSE)),0,VLOOKUP($A25,SXS_Transit_input!$A$5:$W$26,MATCH(SXS_Transit_temp!R$2,SXS_Transit_input!$B$4:$W$4,0)+1,FALSE))+IF(ISNA(VLOOKUP($A25,SXS_Transit_input!$A$53:$R$69,MATCH(SXS_Transit_temp!R$2,SXS_Transit_input!$B$52:$R$52,0)+1,FALSE)),0,VLOOKUP($A25,SXS_Transit_input!$A$53:$R$69,MATCH(SXS_Transit_temp!R$2,SXS_Transit_input!$B$52:$R$52,0)+1,FALSE))</f>
        <v>0</v>
      </c>
      <c r="S25">
        <f>IF(ISNA(VLOOKUP($A25,SXS_Transit_input!$A$5:$W$26,MATCH(SXS_Transit_temp!S$2,SXS_Transit_input!$B$4:$W$4,0)+1,FALSE)),0,VLOOKUP($A25,SXS_Transit_input!$A$5:$W$26,MATCH(SXS_Transit_temp!S$2,SXS_Transit_input!$B$4:$W$4,0)+1,FALSE))+IF(ISNA(VLOOKUP($A25,SXS_Transit_input!$A$53:$R$69,MATCH(SXS_Transit_temp!S$2,SXS_Transit_input!$B$52:$R$52,0)+1,FALSE)),0,VLOOKUP($A25,SXS_Transit_input!$A$53:$R$69,MATCH(SXS_Transit_temp!S$2,SXS_Transit_input!$B$52:$R$52,0)+1,FALSE))</f>
        <v>0</v>
      </c>
      <c r="T25">
        <f>IF(ISNA(VLOOKUP($A25,SXS_Transit_input!$A$5:$W$26,MATCH(SXS_Transit_temp!T$2,SXS_Transit_input!$B$4:$W$4,0)+1,FALSE)),0,VLOOKUP($A25,SXS_Transit_input!$A$5:$W$26,MATCH(SXS_Transit_temp!T$2,SXS_Transit_input!$B$4:$W$4,0)+1,FALSE))+IF(ISNA(VLOOKUP($A25,SXS_Transit_input!$A$53:$R$69,MATCH(SXS_Transit_temp!T$2,SXS_Transit_input!$B$52:$R$52,0)+1,FALSE)),0,VLOOKUP($A25,SXS_Transit_input!$A$53:$R$69,MATCH(SXS_Transit_temp!T$2,SXS_Transit_input!$B$52:$R$52,0)+1,FALSE))</f>
        <v>0</v>
      </c>
      <c r="U25">
        <f>IF(ISNA(VLOOKUP($A25,SXS_Transit_input!$A$5:$W$26,MATCH(SXS_Transit_temp!U$2,SXS_Transit_input!$B$4:$W$4,0)+1,FALSE)),0,VLOOKUP($A25,SXS_Transit_input!$A$5:$W$26,MATCH(SXS_Transit_temp!U$2,SXS_Transit_input!$B$4:$W$4,0)+1,FALSE))+IF(ISNA(VLOOKUP($A25,SXS_Transit_input!$A$53:$R$69,MATCH(SXS_Transit_temp!U$2,SXS_Transit_input!$B$52:$R$52,0)+1,FALSE)),0,VLOOKUP($A25,SXS_Transit_input!$A$53:$R$69,MATCH(SXS_Transit_temp!U$2,SXS_Transit_input!$B$52:$R$52,0)+1,FALSE))</f>
        <v>0</v>
      </c>
      <c r="V25">
        <f>IF(ISNA(VLOOKUP($A25,SXS_Transit_input!$A$5:$W$26,MATCH(SXS_Transit_temp!V$2,SXS_Transit_input!$B$4:$W$4,0)+1,FALSE)),0,VLOOKUP($A25,SXS_Transit_input!$A$5:$W$26,MATCH(SXS_Transit_temp!V$2,SXS_Transit_input!$B$4:$W$4,0)+1,FALSE))+IF(ISNA(VLOOKUP($A25,SXS_Transit_input!$A$53:$R$69,MATCH(SXS_Transit_temp!V$2,SXS_Transit_input!$B$52:$R$52,0)+1,FALSE)),0,VLOOKUP($A25,SXS_Transit_input!$A$53:$R$69,MATCH(SXS_Transit_temp!V$2,SXS_Transit_input!$B$52:$R$52,0)+1,FALSE))</f>
        <v>0</v>
      </c>
      <c r="W25">
        <f>IF(ISNA(VLOOKUP($A25,SXS_Transit_input!$A$5:$W$26,MATCH(SXS_Transit_temp!W$2,SXS_Transit_input!$B$4:$W$4,0)+1,FALSE)),0,VLOOKUP($A25,SXS_Transit_input!$A$5:$W$26,MATCH(SXS_Transit_temp!W$2,SXS_Transit_input!$B$4:$W$4,0)+1,FALSE))+IF(ISNA(VLOOKUP($A25,SXS_Transit_input!$A$53:$R$69,MATCH(SXS_Transit_temp!W$2,SXS_Transit_input!$B$52:$R$52,0)+1,FALSE)),0,VLOOKUP($A25,SXS_Transit_input!$A$53:$R$69,MATCH(SXS_Transit_temp!W$2,SXS_Transit_input!$B$52:$R$52,0)+1,FALSE))</f>
        <v>0</v>
      </c>
      <c r="X25">
        <f>IF(ISNA(VLOOKUP($A25,SXS_Transit_input!$A$5:$W$26,MATCH(SXS_Transit_temp!X$2,SXS_Transit_input!$B$4:$W$4,0)+1,FALSE)),0,VLOOKUP($A25,SXS_Transit_input!$A$5:$W$26,MATCH(SXS_Transit_temp!X$2,SXS_Transit_input!$B$4:$W$4,0)+1,FALSE))+IF(ISNA(VLOOKUP($A25,SXS_Transit_input!$A$53:$R$69,MATCH(SXS_Transit_temp!X$2,SXS_Transit_input!$B$52:$R$52,0)+1,FALSE)),0,VLOOKUP($A25,SXS_Transit_input!$A$53:$R$69,MATCH(SXS_Transit_temp!X$2,SXS_Transit_input!$B$52:$R$52,0)+1,FALSE))</f>
        <v>189.87281999999999</v>
      </c>
      <c r="Y25">
        <f>IF(ISNA(VLOOKUP($A25,SXS_Transit_input!$A$5:$W$26,MATCH(SXS_Transit_temp!Y$2,SXS_Transit_input!$B$4:$W$4,0)+1,FALSE)),0,VLOOKUP($A25,SXS_Transit_input!$A$5:$W$26,MATCH(SXS_Transit_temp!Y$2,SXS_Transit_input!$B$4:$W$4,0)+1,FALSE))+IF(ISNA(VLOOKUP($A25,SXS_Transit_input!$A$53:$R$69,MATCH(SXS_Transit_temp!Y$2,SXS_Transit_input!$B$52:$R$52,0)+1,FALSE)),0,VLOOKUP($A25,SXS_Transit_input!$A$53:$R$69,MATCH(SXS_Transit_temp!Y$2,SXS_Transit_input!$B$52:$R$52,0)+1,FALSE))</f>
        <v>0</v>
      </c>
      <c r="Z25">
        <f>IF(ISNA(VLOOKUP($A25,SXS_Transit_input!$A$5:$W$26,MATCH(SXS_Transit_temp!Z$2,SXS_Transit_input!$B$4:$W$4,0)+1,FALSE)),0,VLOOKUP($A25,SXS_Transit_input!$A$5:$W$26,MATCH(SXS_Transit_temp!Z$2,SXS_Transit_input!$B$4:$W$4,0)+1,FALSE))+IF(ISNA(VLOOKUP($A25,SXS_Transit_input!$A$53:$R$69,MATCH(SXS_Transit_temp!Z$2,SXS_Transit_input!$B$52:$R$52,0)+1,FALSE)),0,VLOOKUP($A25,SXS_Transit_input!$A$53:$R$69,MATCH(SXS_Transit_temp!Z$2,SXS_Transit_input!$B$52:$R$52,0)+1,FALSE))</f>
        <v>0</v>
      </c>
      <c r="AA25">
        <v>23</v>
      </c>
      <c r="AB25" s="33">
        <f t="shared" si="1"/>
        <v>21</v>
      </c>
      <c r="AC25" s="34">
        <f t="shared" si="11"/>
        <v>0</v>
      </c>
      <c r="AD25" s="34">
        <f t="shared" si="12"/>
        <v>0</v>
      </c>
      <c r="AE25" s="34">
        <f t="shared" si="13"/>
        <v>1</v>
      </c>
      <c r="AF25" s="34">
        <f t="shared" si="14"/>
        <v>1</v>
      </c>
      <c r="AG25" s="34">
        <f t="shared" si="15"/>
        <v>0</v>
      </c>
      <c r="AH25" s="34">
        <f t="shared" si="16"/>
        <v>0</v>
      </c>
      <c r="AI25" s="34">
        <f t="shared" si="17"/>
        <v>0</v>
      </c>
      <c r="AJ25" s="34">
        <f t="shared" si="18"/>
        <v>0</v>
      </c>
      <c r="AK25" s="34">
        <f t="shared" si="19"/>
        <v>0</v>
      </c>
      <c r="AL25" s="34">
        <f t="shared" si="20"/>
        <v>0</v>
      </c>
      <c r="AM25" s="34">
        <f t="shared" si="21"/>
        <v>10</v>
      </c>
      <c r="AN25" s="34">
        <f t="shared" si="22"/>
        <v>2</v>
      </c>
      <c r="AO25" s="34">
        <f t="shared" si="23"/>
        <v>0</v>
      </c>
      <c r="AP25" s="34">
        <f t="shared" si="24"/>
        <v>0</v>
      </c>
      <c r="AQ25" s="34">
        <f t="shared" si="25"/>
        <v>0</v>
      </c>
      <c r="AR25" s="34">
        <f t="shared" si="2"/>
        <v>0</v>
      </c>
      <c r="AS25" s="34">
        <f t="shared" si="3"/>
        <v>0</v>
      </c>
      <c r="AT25" s="34">
        <f t="shared" si="4"/>
        <v>0</v>
      </c>
      <c r="AU25" s="34">
        <f t="shared" si="5"/>
        <v>0</v>
      </c>
      <c r="AV25" s="34">
        <f t="shared" si="6"/>
        <v>0</v>
      </c>
      <c r="AW25" s="34">
        <f t="shared" si="7"/>
        <v>5</v>
      </c>
      <c r="AX25" s="34">
        <f t="shared" si="8"/>
        <v>76</v>
      </c>
      <c r="AY25" s="34">
        <f t="shared" si="9"/>
        <v>8</v>
      </c>
      <c r="AZ25" s="35">
        <f t="shared" si="10"/>
        <v>0</v>
      </c>
      <c r="BC25">
        <v>23</v>
      </c>
      <c r="BD25">
        <v>21</v>
      </c>
      <c r="BE25">
        <v>0</v>
      </c>
      <c r="BF25">
        <v>0</v>
      </c>
      <c r="BG25">
        <v>1</v>
      </c>
      <c r="BH25">
        <v>1</v>
      </c>
      <c r="BI25">
        <v>0</v>
      </c>
      <c r="BJ25">
        <v>0</v>
      </c>
      <c r="BK25">
        <v>0</v>
      </c>
      <c r="BL25">
        <v>0</v>
      </c>
      <c r="BM25">
        <v>0</v>
      </c>
      <c r="BN25">
        <v>0</v>
      </c>
      <c r="BO25">
        <v>10</v>
      </c>
      <c r="BP25">
        <v>2</v>
      </c>
      <c r="BQ25">
        <v>0</v>
      </c>
      <c r="BR25">
        <v>0</v>
      </c>
      <c r="BS25">
        <v>0</v>
      </c>
      <c r="BT25">
        <v>0</v>
      </c>
      <c r="BU25">
        <v>0</v>
      </c>
      <c r="BV25">
        <v>0</v>
      </c>
      <c r="BW25">
        <v>0</v>
      </c>
      <c r="BX25">
        <v>0</v>
      </c>
      <c r="BY25">
        <v>5</v>
      </c>
      <c r="BZ25">
        <v>68</v>
      </c>
      <c r="CA25">
        <v>8</v>
      </c>
      <c r="CB25">
        <v>0</v>
      </c>
    </row>
    <row r="26" spans="1:80" x14ac:dyDescent="0.25">
      <c r="A26">
        <v>24</v>
      </c>
      <c r="B26">
        <f>IF(ISNA(VLOOKUP($A26,SXS_Transit_input!$A$5:$W$26,MATCH(SXS_Transit_temp!B$2,SXS_Transit_input!$B$4:$W$4,0)+1,FALSE)),0,VLOOKUP($A26,SXS_Transit_input!$A$5:$W$26,MATCH(SXS_Transit_temp!B$2,SXS_Transit_input!$B$4:$W$4,0)+1,FALSE))+IF(ISNA(VLOOKUP($A26,SXS_Transit_input!$A$53:$R$69,MATCH(SXS_Transit_temp!B$2,SXS_Transit_input!$B$52:$R$52,0)+1,FALSE)),0,VLOOKUP($A26,SXS_Transit_input!$A$53:$R$69,MATCH(SXS_Transit_temp!B$2,SXS_Transit_input!$B$52:$R$52,0)+1,FALSE))</f>
        <v>4375.0954899999997</v>
      </c>
      <c r="C26">
        <f>IF(ISNA(VLOOKUP($A26,SXS_Transit_input!$A$5:$W$26,MATCH(SXS_Transit_temp!C$2,SXS_Transit_input!$B$4:$W$4,0)+1,FALSE)),0,VLOOKUP($A26,SXS_Transit_input!$A$5:$W$26,MATCH(SXS_Transit_temp!C$2,SXS_Transit_input!$B$4:$W$4,0)+1,FALSE))+IF(ISNA(VLOOKUP($A26,SXS_Transit_input!$A$53:$R$69,MATCH(SXS_Transit_temp!C$2,SXS_Transit_input!$B$52:$R$52,0)+1,FALSE)),0,VLOOKUP($A26,SXS_Transit_input!$A$53:$R$69,MATCH(SXS_Transit_temp!C$2,SXS_Transit_input!$B$52:$R$52,0)+1,FALSE))</f>
        <v>0</v>
      </c>
      <c r="D26">
        <f>IF(ISNA(VLOOKUP($A26,SXS_Transit_input!$A$5:$W$26,MATCH(SXS_Transit_temp!D$2,SXS_Transit_input!$B$4:$W$4,0)+1,FALSE)),0,VLOOKUP($A26,SXS_Transit_input!$A$5:$W$26,MATCH(SXS_Transit_temp!D$2,SXS_Transit_input!$B$4:$W$4,0)+1,FALSE))+IF(ISNA(VLOOKUP($A26,SXS_Transit_input!$A$53:$R$69,MATCH(SXS_Transit_temp!D$2,SXS_Transit_input!$B$52:$R$52,0)+1,FALSE)),0,VLOOKUP($A26,SXS_Transit_input!$A$53:$R$69,MATCH(SXS_Transit_temp!D$2,SXS_Transit_input!$B$52:$R$52,0)+1,FALSE))</f>
        <v>0</v>
      </c>
      <c r="E26">
        <f>IF(ISNA(VLOOKUP($A26,SXS_Transit_input!$A$5:$W$26,MATCH(SXS_Transit_temp!E$2,SXS_Transit_input!$B$4:$W$4,0)+1,FALSE)),0,VLOOKUP($A26,SXS_Transit_input!$A$5:$W$26,MATCH(SXS_Transit_temp!E$2,SXS_Transit_input!$B$4:$W$4,0)+1,FALSE))+IF(ISNA(VLOOKUP($A26,SXS_Transit_input!$A$53:$R$69,MATCH(SXS_Transit_temp!E$2,SXS_Transit_input!$B$52:$R$52,0)+1,FALSE)),0,VLOOKUP($A26,SXS_Transit_input!$A$53:$R$69,MATCH(SXS_Transit_temp!E$2,SXS_Transit_input!$B$52:$R$52,0)+1,FALSE))</f>
        <v>0</v>
      </c>
      <c r="F26">
        <f>IF(ISNA(VLOOKUP($A26,SXS_Transit_input!$A$5:$W$26,MATCH(SXS_Transit_temp!F$2,SXS_Transit_input!$B$4:$W$4,0)+1,FALSE)),0,VLOOKUP($A26,SXS_Transit_input!$A$5:$W$26,MATCH(SXS_Transit_temp!F$2,SXS_Transit_input!$B$4:$W$4,0)+1,FALSE))+IF(ISNA(VLOOKUP($A26,SXS_Transit_input!$A$53:$R$69,MATCH(SXS_Transit_temp!F$2,SXS_Transit_input!$B$52:$R$52,0)+1,FALSE)),0,VLOOKUP($A26,SXS_Transit_input!$A$53:$R$69,MATCH(SXS_Transit_temp!F$2,SXS_Transit_input!$B$52:$R$52,0)+1,FALSE))</f>
        <v>0</v>
      </c>
      <c r="G26">
        <f>IF(ISNA(VLOOKUP($A26,SXS_Transit_input!$A$5:$W$26,MATCH(SXS_Transit_temp!G$2,SXS_Transit_input!$B$4:$W$4,0)+1,FALSE)),0,VLOOKUP($A26,SXS_Transit_input!$A$5:$W$26,MATCH(SXS_Transit_temp!G$2,SXS_Transit_input!$B$4:$W$4,0)+1,FALSE))+IF(ISNA(VLOOKUP($A26,SXS_Transit_input!$A$53:$R$69,MATCH(SXS_Transit_temp!G$2,SXS_Transit_input!$B$52:$R$52,0)+1,FALSE)),0,VLOOKUP($A26,SXS_Transit_input!$A$53:$R$69,MATCH(SXS_Transit_temp!G$2,SXS_Transit_input!$B$52:$R$52,0)+1,FALSE))</f>
        <v>0</v>
      </c>
      <c r="H26">
        <f>IF(ISNA(VLOOKUP($A26,SXS_Transit_input!$A$5:$W$26,MATCH(SXS_Transit_temp!H$2,SXS_Transit_input!$B$4:$W$4,0)+1,FALSE)),0,VLOOKUP($A26,SXS_Transit_input!$A$5:$W$26,MATCH(SXS_Transit_temp!H$2,SXS_Transit_input!$B$4:$W$4,0)+1,FALSE))+IF(ISNA(VLOOKUP($A26,SXS_Transit_input!$A$53:$R$69,MATCH(SXS_Transit_temp!H$2,SXS_Transit_input!$B$52:$R$52,0)+1,FALSE)),0,VLOOKUP($A26,SXS_Transit_input!$A$53:$R$69,MATCH(SXS_Transit_temp!H$2,SXS_Transit_input!$B$52:$R$52,0)+1,FALSE))</f>
        <v>0</v>
      </c>
      <c r="I26">
        <f>IF(ISNA(VLOOKUP($A26,SXS_Transit_input!$A$5:$W$26,MATCH(SXS_Transit_temp!I$2,SXS_Transit_input!$B$4:$W$4,0)+1,FALSE)),0,VLOOKUP($A26,SXS_Transit_input!$A$5:$W$26,MATCH(SXS_Transit_temp!I$2,SXS_Transit_input!$B$4:$W$4,0)+1,FALSE))+IF(ISNA(VLOOKUP($A26,SXS_Transit_input!$A$53:$R$69,MATCH(SXS_Transit_temp!I$2,SXS_Transit_input!$B$52:$R$52,0)+1,FALSE)),0,VLOOKUP($A26,SXS_Transit_input!$A$53:$R$69,MATCH(SXS_Transit_temp!I$2,SXS_Transit_input!$B$52:$R$52,0)+1,FALSE))</f>
        <v>1019.65667</v>
      </c>
      <c r="J26">
        <f>IF(ISNA(VLOOKUP($A26,SXS_Transit_input!$A$5:$W$26,MATCH(SXS_Transit_temp!J$2,SXS_Transit_input!$B$4:$W$4,0)+1,FALSE)),0,VLOOKUP($A26,SXS_Transit_input!$A$5:$W$26,MATCH(SXS_Transit_temp!J$2,SXS_Transit_input!$B$4:$W$4,0)+1,FALSE))+IF(ISNA(VLOOKUP($A26,SXS_Transit_input!$A$53:$R$69,MATCH(SXS_Transit_temp!J$2,SXS_Transit_input!$B$52:$R$52,0)+1,FALSE)),0,VLOOKUP($A26,SXS_Transit_input!$A$53:$R$69,MATCH(SXS_Transit_temp!J$2,SXS_Transit_input!$B$52:$R$52,0)+1,FALSE))</f>
        <v>0</v>
      </c>
      <c r="K26">
        <f>IF(ISNA(VLOOKUP($A26,SXS_Transit_input!$A$5:$W$26,MATCH(SXS_Transit_temp!K$2,SXS_Transit_input!$B$4:$W$4,0)+1,FALSE)),0,VLOOKUP($A26,SXS_Transit_input!$A$5:$W$26,MATCH(SXS_Transit_temp!K$2,SXS_Transit_input!$B$4:$W$4,0)+1,FALSE))+IF(ISNA(VLOOKUP($A26,SXS_Transit_input!$A$53:$R$69,MATCH(SXS_Transit_temp!K$2,SXS_Transit_input!$B$52:$R$52,0)+1,FALSE)),0,VLOOKUP($A26,SXS_Transit_input!$A$53:$R$69,MATCH(SXS_Transit_temp!K$2,SXS_Transit_input!$B$52:$R$52,0)+1,FALSE))</f>
        <v>0</v>
      </c>
      <c r="L26">
        <f>IF(ISNA(VLOOKUP($A26,SXS_Transit_input!$A$5:$W$26,MATCH(SXS_Transit_temp!L$2,SXS_Transit_input!$B$4:$W$4,0)+1,FALSE)),0,VLOOKUP($A26,SXS_Transit_input!$A$5:$W$26,MATCH(SXS_Transit_temp!L$2,SXS_Transit_input!$B$4:$W$4,0)+1,FALSE))+IF(ISNA(VLOOKUP($A26,SXS_Transit_input!$A$53:$R$69,MATCH(SXS_Transit_temp!L$2,SXS_Transit_input!$B$52:$R$52,0)+1,FALSE)),0,VLOOKUP($A26,SXS_Transit_input!$A$53:$R$69,MATCH(SXS_Transit_temp!L$2,SXS_Transit_input!$B$52:$R$52,0)+1,FALSE))</f>
        <v>0</v>
      </c>
      <c r="M26">
        <f>IF(ISNA(VLOOKUP($A26,SXS_Transit_input!$A$5:$W$26,MATCH(SXS_Transit_temp!M$2,SXS_Transit_input!$B$4:$W$4,0)+1,FALSE)),0,VLOOKUP($A26,SXS_Transit_input!$A$5:$W$26,MATCH(SXS_Transit_temp!M$2,SXS_Transit_input!$B$4:$W$4,0)+1,FALSE))+IF(ISNA(VLOOKUP($A26,SXS_Transit_input!$A$53:$R$69,MATCH(SXS_Transit_temp!M$2,SXS_Transit_input!$B$52:$R$52,0)+1,FALSE)),0,VLOOKUP($A26,SXS_Transit_input!$A$53:$R$69,MATCH(SXS_Transit_temp!M$2,SXS_Transit_input!$B$52:$R$52,0)+1,FALSE))</f>
        <v>0</v>
      </c>
      <c r="N26">
        <f>IF(ISNA(VLOOKUP($A26,SXS_Transit_input!$A$5:$W$26,MATCH(SXS_Transit_temp!N$2,SXS_Transit_input!$B$4:$W$4,0)+1,FALSE)),0,VLOOKUP($A26,SXS_Transit_input!$A$5:$W$26,MATCH(SXS_Transit_temp!N$2,SXS_Transit_input!$B$4:$W$4,0)+1,FALSE))+IF(ISNA(VLOOKUP($A26,SXS_Transit_input!$A$53:$R$69,MATCH(SXS_Transit_temp!N$2,SXS_Transit_input!$B$52:$R$52,0)+1,FALSE)),0,VLOOKUP($A26,SXS_Transit_input!$A$53:$R$69,MATCH(SXS_Transit_temp!N$2,SXS_Transit_input!$B$52:$R$52,0)+1,FALSE))</f>
        <v>532.85209999999995</v>
      </c>
      <c r="O26">
        <f>IF(ISNA(VLOOKUP($A26,SXS_Transit_input!$A$5:$W$26,MATCH(SXS_Transit_temp!O$2,SXS_Transit_input!$B$4:$W$4,0)+1,FALSE)),0,VLOOKUP($A26,SXS_Transit_input!$A$5:$W$26,MATCH(SXS_Transit_temp!O$2,SXS_Transit_input!$B$4:$W$4,0)+1,FALSE))+IF(ISNA(VLOOKUP($A26,SXS_Transit_input!$A$53:$R$69,MATCH(SXS_Transit_temp!O$2,SXS_Transit_input!$B$52:$R$52,0)+1,FALSE)),0,VLOOKUP($A26,SXS_Transit_input!$A$53:$R$69,MATCH(SXS_Transit_temp!O$2,SXS_Transit_input!$B$52:$R$52,0)+1,FALSE))</f>
        <v>0</v>
      </c>
      <c r="P26">
        <f>IF(ISNA(VLOOKUP($A26,SXS_Transit_input!$A$5:$W$26,MATCH(SXS_Transit_temp!P$2,SXS_Transit_input!$B$4:$W$4,0)+1,FALSE)),0,VLOOKUP($A26,SXS_Transit_input!$A$5:$W$26,MATCH(SXS_Transit_temp!P$2,SXS_Transit_input!$B$4:$W$4,0)+1,FALSE))+IF(ISNA(VLOOKUP($A26,SXS_Transit_input!$A$53:$R$69,MATCH(SXS_Transit_temp!P$2,SXS_Transit_input!$B$52:$R$52,0)+1,FALSE)),0,VLOOKUP($A26,SXS_Transit_input!$A$53:$R$69,MATCH(SXS_Transit_temp!P$2,SXS_Transit_input!$B$52:$R$52,0)+1,FALSE))</f>
        <v>0</v>
      </c>
      <c r="Q26">
        <f>IF(ISNA(VLOOKUP($A26,SXS_Transit_input!$A$5:$W$26,MATCH(SXS_Transit_temp!Q$2,SXS_Transit_input!$B$4:$W$4,0)+1,FALSE)),0,VLOOKUP($A26,SXS_Transit_input!$A$5:$W$26,MATCH(SXS_Transit_temp!Q$2,SXS_Transit_input!$B$4:$W$4,0)+1,FALSE))+IF(ISNA(VLOOKUP($A26,SXS_Transit_input!$A$53:$R$69,MATCH(SXS_Transit_temp!Q$2,SXS_Transit_input!$B$52:$R$52,0)+1,FALSE)),0,VLOOKUP($A26,SXS_Transit_input!$A$53:$R$69,MATCH(SXS_Transit_temp!Q$2,SXS_Transit_input!$B$52:$R$52,0)+1,FALSE))</f>
        <v>0</v>
      </c>
      <c r="R26">
        <f>IF(ISNA(VLOOKUP($A26,SXS_Transit_input!$A$5:$W$26,MATCH(SXS_Transit_temp!R$2,SXS_Transit_input!$B$4:$W$4,0)+1,FALSE)),0,VLOOKUP($A26,SXS_Transit_input!$A$5:$W$26,MATCH(SXS_Transit_temp!R$2,SXS_Transit_input!$B$4:$W$4,0)+1,FALSE))+IF(ISNA(VLOOKUP($A26,SXS_Transit_input!$A$53:$R$69,MATCH(SXS_Transit_temp!R$2,SXS_Transit_input!$B$52:$R$52,0)+1,FALSE)),0,VLOOKUP($A26,SXS_Transit_input!$A$53:$R$69,MATCH(SXS_Transit_temp!R$2,SXS_Transit_input!$B$52:$R$52,0)+1,FALSE))</f>
        <v>0</v>
      </c>
      <c r="S26">
        <f>IF(ISNA(VLOOKUP($A26,SXS_Transit_input!$A$5:$W$26,MATCH(SXS_Transit_temp!S$2,SXS_Transit_input!$B$4:$W$4,0)+1,FALSE)),0,VLOOKUP($A26,SXS_Transit_input!$A$5:$W$26,MATCH(SXS_Transit_temp!S$2,SXS_Transit_input!$B$4:$W$4,0)+1,FALSE))+IF(ISNA(VLOOKUP($A26,SXS_Transit_input!$A$53:$R$69,MATCH(SXS_Transit_temp!S$2,SXS_Transit_input!$B$52:$R$52,0)+1,FALSE)),0,VLOOKUP($A26,SXS_Transit_input!$A$53:$R$69,MATCH(SXS_Transit_temp!S$2,SXS_Transit_input!$B$52:$R$52,0)+1,FALSE))</f>
        <v>0</v>
      </c>
      <c r="T26">
        <f>IF(ISNA(VLOOKUP($A26,SXS_Transit_input!$A$5:$W$26,MATCH(SXS_Transit_temp!T$2,SXS_Transit_input!$B$4:$W$4,0)+1,FALSE)),0,VLOOKUP($A26,SXS_Transit_input!$A$5:$W$26,MATCH(SXS_Transit_temp!T$2,SXS_Transit_input!$B$4:$W$4,0)+1,FALSE))+IF(ISNA(VLOOKUP($A26,SXS_Transit_input!$A$53:$R$69,MATCH(SXS_Transit_temp!T$2,SXS_Transit_input!$B$52:$R$52,0)+1,FALSE)),0,VLOOKUP($A26,SXS_Transit_input!$A$53:$R$69,MATCH(SXS_Transit_temp!T$2,SXS_Transit_input!$B$52:$R$52,0)+1,FALSE))</f>
        <v>0</v>
      </c>
      <c r="U26">
        <f>IF(ISNA(VLOOKUP($A26,SXS_Transit_input!$A$5:$W$26,MATCH(SXS_Transit_temp!U$2,SXS_Transit_input!$B$4:$W$4,0)+1,FALSE)),0,VLOOKUP($A26,SXS_Transit_input!$A$5:$W$26,MATCH(SXS_Transit_temp!U$2,SXS_Transit_input!$B$4:$W$4,0)+1,FALSE))+IF(ISNA(VLOOKUP($A26,SXS_Transit_input!$A$53:$R$69,MATCH(SXS_Transit_temp!U$2,SXS_Transit_input!$B$52:$R$52,0)+1,FALSE)),0,VLOOKUP($A26,SXS_Transit_input!$A$53:$R$69,MATCH(SXS_Transit_temp!U$2,SXS_Transit_input!$B$52:$R$52,0)+1,FALSE))</f>
        <v>0</v>
      </c>
      <c r="V26">
        <f>IF(ISNA(VLOOKUP($A26,SXS_Transit_input!$A$5:$W$26,MATCH(SXS_Transit_temp!V$2,SXS_Transit_input!$B$4:$W$4,0)+1,FALSE)),0,VLOOKUP($A26,SXS_Transit_input!$A$5:$W$26,MATCH(SXS_Transit_temp!V$2,SXS_Transit_input!$B$4:$W$4,0)+1,FALSE))+IF(ISNA(VLOOKUP($A26,SXS_Transit_input!$A$53:$R$69,MATCH(SXS_Transit_temp!V$2,SXS_Transit_input!$B$52:$R$52,0)+1,FALSE)),0,VLOOKUP($A26,SXS_Transit_input!$A$53:$R$69,MATCH(SXS_Transit_temp!V$2,SXS_Transit_input!$B$52:$R$52,0)+1,FALSE))</f>
        <v>0</v>
      </c>
      <c r="W26">
        <f>IF(ISNA(VLOOKUP($A26,SXS_Transit_input!$A$5:$W$26,MATCH(SXS_Transit_temp!W$2,SXS_Transit_input!$B$4:$W$4,0)+1,FALSE)),0,VLOOKUP($A26,SXS_Transit_input!$A$5:$W$26,MATCH(SXS_Transit_temp!W$2,SXS_Transit_input!$B$4:$W$4,0)+1,FALSE))+IF(ISNA(VLOOKUP($A26,SXS_Transit_input!$A$53:$R$69,MATCH(SXS_Transit_temp!W$2,SXS_Transit_input!$B$52:$R$52,0)+1,FALSE)),0,VLOOKUP($A26,SXS_Transit_input!$A$53:$R$69,MATCH(SXS_Transit_temp!W$2,SXS_Transit_input!$B$52:$R$52,0)+1,FALSE))</f>
        <v>0</v>
      </c>
      <c r="X26">
        <f>IF(ISNA(VLOOKUP($A26,SXS_Transit_input!$A$5:$W$26,MATCH(SXS_Transit_temp!X$2,SXS_Transit_input!$B$4:$W$4,0)+1,FALSE)),0,VLOOKUP($A26,SXS_Transit_input!$A$5:$W$26,MATCH(SXS_Transit_temp!X$2,SXS_Transit_input!$B$4:$W$4,0)+1,FALSE))+IF(ISNA(VLOOKUP($A26,SXS_Transit_input!$A$53:$R$69,MATCH(SXS_Transit_temp!X$2,SXS_Transit_input!$B$52:$R$52,0)+1,FALSE)),0,VLOOKUP($A26,SXS_Transit_input!$A$53:$R$69,MATCH(SXS_Transit_temp!X$2,SXS_Transit_input!$B$52:$R$52,0)+1,FALSE))</f>
        <v>0</v>
      </c>
      <c r="Y26">
        <f>IF(ISNA(VLOOKUP($A26,SXS_Transit_input!$A$5:$W$26,MATCH(SXS_Transit_temp!Y$2,SXS_Transit_input!$B$4:$W$4,0)+1,FALSE)),0,VLOOKUP($A26,SXS_Transit_input!$A$5:$W$26,MATCH(SXS_Transit_temp!Y$2,SXS_Transit_input!$B$4:$W$4,0)+1,FALSE))+IF(ISNA(VLOOKUP($A26,SXS_Transit_input!$A$53:$R$69,MATCH(SXS_Transit_temp!Y$2,SXS_Transit_input!$B$52:$R$52,0)+1,FALSE)),0,VLOOKUP($A26,SXS_Transit_input!$A$53:$R$69,MATCH(SXS_Transit_temp!Y$2,SXS_Transit_input!$B$52:$R$52,0)+1,FALSE))</f>
        <v>4198.6297100000002</v>
      </c>
      <c r="Z26">
        <f>IF(ISNA(VLOOKUP($A26,SXS_Transit_input!$A$5:$W$26,MATCH(SXS_Transit_temp!Z$2,SXS_Transit_input!$B$4:$W$4,0)+1,FALSE)),0,VLOOKUP($A26,SXS_Transit_input!$A$5:$W$26,MATCH(SXS_Transit_temp!Z$2,SXS_Transit_input!$B$4:$W$4,0)+1,FALSE))+IF(ISNA(VLOOKUP($A26,SXS_Transit_input!$A$53:$R$69,MATCH(SXS_Transit_temp!Z$2,SXS_Transit_input!$B$52:$R$52,0)+1,FALSE)),0,VLOOKUP($A26,SXS_Transit_input!$A$53:$R$69,MATCH(SXS_Transit_temp!Z$2,SXS_Transit_input!$B$52:$R$52,0)+1,FALSE))</f>
        <v>308.32069999999999</v>
      </c>
      <c r="AA26">
        <v>24</v>
      </c>
      <c r="AB26" s="33">
        <f t="shared" si="1"/>
        <v>69</v>
      </c>
      <c r="AC26" s="34">
        <f t="shared" si="11"/>
        <v>0</v>
      </c>
      <c r="AD26" s="34">
        <f t="shared" si="12"/>
        <v>1</v>
      </c>
      <c r="AE26" s="34">
        <f t="shared" si="13"/>
        <v>0</v>
      </c>
      <c r="AF26" s="34">
        <f t="shared" si="14"/>
        <v>1</v>
      </c>
      <c r="AG26" s="34">
        <f t="shared" si="15"/>
        <v>3</v>
      </c>
      <c r="AH26" s="34">
        <f t="shared" si="16"/>
        <v>1</v>
      </c>
      <c r="AI26" s="34">
        <f t="shared" si="17"/>
        <v>1</v>
      </c>
      <c r="AJ26" s="34">
        <f t="shared" si="18"/>
        <v>0</v>
      </c>
      <c r="AK26" s="34">
        <f t="shared" si="19"/>
        <v>0</v>
      </c>
      <c r="AL26" s="34">
        <f t="shared" si="20"/>
        <v>0</v>
      </c>
      <c r="AM26" s="34">
        <f t="shared" si="21"/>
        <v>3</v>
      </c>
      <c r="AN26" s="34">
        <f t="shared" si="22"/>
        <v>128</v>
      </c>
      <c r="AO26" s="34">
        <f t="shared" si="23"/>
        <v>0</v>
      </c>
      <c r="AP26" s="34">
        <f t="shared" si="24"/>
        <v>0</v>
      </c>
      <c r="AQ26" s="34">
        <f t="shared" si="25"/>
        <v>0</v>
      </c>
      <c r="AR26" s="34">
        <f t="shared" si="2"/>
        <v>0</v>
      </c>
      <c r="AS26" s="34">
        <f t="shared" si="3"/>
        <v>0</v>
      </c>
      <c r="AT26" s="34">
        <f t="shared" si="4"/>
        <v>0</v>
      </c>
      <c r="AU26" s="34">
        <f t="shared" si="5"/>
        <v>0</v>
      </c>
      <c r="AV26" s="34">
        <f t="shared" si="6"/>
        <v>0</v>
      </c>
      <c r="AW26" s="34">
        <f t="shared" si="7"/>
        <v>0</v>
      </c>
      <c r="AX26" s="34">
        <f t="shared" si="8"/>
        <v>31</v>
      </c>
      <c r="AY26" s="34">
        <f t="shared" si="9"/>
        <v>364</v>
      </c>
      <c r="AZ26" s="35">
        <f t="shared" si="10"/>
        <v>0</v>
      </c>
      <c r="BC26">
        <v>24</v>
      </c>
      <c r="BD26">
        <v>67</v>
      </c>
      <c r="BE26">
        <v>0</v>
      </c>
      <c r="BF26">
        <v>1</v>
      </c>
      <c r="BG26">
        <v>0</v>
      </c>
      <c r="BH26">
        <v>1</v>
      </c>
      <c r="BI26">
        <v>3</v>
      </c>
      <c r="BJ26">
        <v>1</v>
      </c>
      <c r="BK26">
        <v>1</v>
      </c>
      <c r="BL26">
        <v>0</v>
      </c>
      <c r="BM26">
        <v>0</v>
      </c>
      <c r="BN26">
        <v>0</v>
      </c>
      <c r="BO26">
        <v>3</v>
      </c>
      <c r="BP26">
        <v>125</v>
      </c>
      <c r="BQ26">
        <v>0</v>
      </c>
      <c r="BR26">
        <v>0</v>
      </c>
      <c r="BS26">
        <v>0</v>
      </c>
      <c r="BT26">
        <v>0</v>
      </c>
      <c r="BU26">
        <v>0</v>
      </c>
      <c r="BV26">
        <v>0</v>
      </c>
      <c r="BW26">
        <v>0</v>
      </c>
      <c r="BX26">
        <v>0</v>
      </c>
      <c r="BY26">
        <v>0</v>
      </c>
      <c r="BZ26">
        <v>29</v>
      </c>
      <c r="CA26">
        <v>350</v>
      </c>
      <c r="CB26">
        <v>0</v>
      </c>
    </row>
    <row r="27" spans="1:80" x14ac:dyDescent="0.25">
      <c r="A27">
        <v>25</v>
      </c>
      <c r="B27">
        <f>IF(ISNA(VLOOKUP($A27,SXS_Transit_input!$A$5:$W$26,MATCH(SXS_Transit_temp!B$2,SXS_Transit_input!$B$4:$W$4,0)+1,FALSE)),0,VLOOKUP($A27,SXS_Transit_input!$A$5:$W$26,MATCH(SXS_Transit_temp!B$2,SXS_Transit_input!$B$4:$W$4,0)+1,FALSE))+IF(ISNA(VLOOKUP($A27,SXS_Transit_input!$A$53:$R$69,MATCH(SXS_Transit_temp!B$2,SXS_Transit_input!$B$52:$R$52,0)+1,FALSE)),0,VLOOKUP($A27,SXS_Transit_input!$A$53:$R$69,MATCH(SXS_Transit_temp!B$2,SXS_Transit_input!$B$52:$R$52,0)+1,FALSE))</f>
        <v>9547.9187000000002</v>
      </c>
      <c r="C27">
        <f>IF(ISNA(VLOOKUP($A27,SXS_Transit_input!$A$5:$W$26,MATCH(SXS_Transit_temp!C$2,SXS_Transit_input!$B$4:$W$4,0)+1,FALSE)),0,VLOOKUP($A27,SXS_Transit_input!$A$5:$W$26,MATCH(SXS_Transit_temp!C$2,SXS_Transit_input!$B$4:$W$4,0)+1,FALSE))+IF(ISNA(VLOOKUP($A27,SXS_Transit_input!$A$53:$R$69,MATCH(SXS_Transit_temp!C$2,SXS_Transit_input!$B$52:$R$52,0)+1,FALSE)),0,VLOOKUP($A27,SXS_Transit_input!$A$53:$R$69,MATCH(SXS_Transit_temp!C$2,SXS_Transit_input!$B$52:$R$52,0)+1,FALSE))</f>
        <v>0</v>
      </c>
      <c r="D27">
        <f>IF(ISNA(VLOOKUP($A27,SXS_Transit_input!$A$5:$W$26,MATCH(SXS_Transit_temp!D$2,SXS_Transit_input!$B$4:$W$4,0)+1,FALSE)),0,VLOOKUP($A27,SXS_Transit_input!$A$5:$W$26,MATCH(SXS_Transit_temp!D$2,SXS_Transit_input!$B$4:$W$4,0)+1,FALSE))+IF(ISNA(VLOOKUP($A27,SXS_Transit_input!$A$53:$R$69,MATCH(SXS_Transit_temp!D$2,SXS_Transit_input!$B$52:$R$52,0)+1,FALSE)),0,VLOOKUP($A27,SXS_Transit_input!$A$53:$R$69,MATCH(SXS_Transit_temp!D$2,SXS_Transit_input!$B$52:$R$52,0)+1,FALSE))</f>
        <v>0</v>
      </c>
      <c r="E27">
        <f>IF(ISNA(VLOOKUP($A27,SXS_Transit_input!$A$5:$W$26,MATCH(SXS_Transit_temp!E$2,SXS_Transit_input!$B$4:$W$4,0)+1,FALSE)),0,VLOOKUP($A27,SXS_Transit_input!$A$5:$W$26,MATCH(SXS_Transit_temp!E$2,SXS_Transit_input!$B$4:$W$4,0)+1,FALSE))+IF(ISNA(VLOOKUP($A27,SXS_Transit_input!$A$53:$R$69,MATCH(SXS_Transit_temp!E$2,SXS_Transit_input!$B$52:$R$52,0)+1,FALSE)),0,VLOOKUP($A27,SXS_Transit_input!$A$53:$R$69,MATCH(SXS_Transit_temp!E$2,SXS_Transit_input!$B$52:$R$52,0)+1,FALSE))</f>
        <v>0</v>
      </c>
      <c r="F27">
        <f>IF(ISNA(VLOOKUP($A27,SXS_Transit_input!$A$5:$W$26,MATCH(SXS_Transit_temp!F$2,SXS_Transit_input!$B$4:$W$4,0)+1,FALSE)),0,VLOOKUP($A27,SXS_Transit_input!$A$5:$W$26,MATCH(SXS_Transit_temp!F$2,SXS_Transit_input!$B$4:$W$4,0)+1,FALSE))+IF(ISNA(VLOOKUP($A27,SXS_Transit_input!$A$53:$R$69,MATCH(SXS_Transit_temp!F$2,SXS_Transit_input!$B$52:$R$52,0)+1,FALSE)),0,VLOOKUP($A27,SXS_Transit_input!$A$53:$R$69,MATCH(SXS_Transit_temp!F$2,SXS_Transit_input!$B$52:$R$52,0)+1,FALSE))</f>
        <v>0</v>
      </c>
      <c r="G27">
        <f>IF(ISNA(VLOOKUP($A27,SXS_Transit_input!$A$5:$W$26,MATCH(SXS_Transit_temp!G$2,SXS_Transit_input!$B$4:$W$4,0)+1,FALSE)),0,VLOOKUP($A27,SXS_Transit_input!$A$5:$W$26,MATCH(SXS_Transit_temp!G$2,SXS_Transit_input!$B$4:$W$4,0)+1,FALSE))+IF(ISNA(VLOOKUP($A27,SXS_Transit_input!$A$53:$R$69,MATCH(SXS_Transit_temp!G$2,SXS_Transit_input!$B$52:$R$52,0)+1,FALSE)),0,VLOOKUP($A27,SXS_Transit_input!$A$53:$R$69,MATCH(SXS_Transit_temp!G$2,SXS_Transit_input!$B$52:$R$52,0)+1,FALSE))</f>
        <v>0</v>
      </c>
      <c r="H27">
        <f>IF(ISNA(VLOOKUP($A27,SXS_Transit_input!$A$5:$W$26,MATCH(SXS_Transit_temp!H$2,SXS_Transit_input!$B$4:$W$4,0)+1,FALSE)),0,VLOOKUP($A27,SXS_Transit_input!$A$5:$W$26,MATCH(SXS_Transit_temp!H$2,SXS_Transit_input!$B$4:$W$4,0)+1,FALSE))+IF(ISNA(VLOOKUP($A27,SXS_Transit_input!$A$53:$R$69,MATCH(SXS_Transit_temp!H$2,SXS_Transit_input!$B$52:$R$52,0)+1,FALSE)),0,VLOOKUP($A27,SXS_Transit_input!$A$53:$R$69,MATCH(SXS_Transit_temp!H$2,SXS_Transit_input!$B$52:$R$52,0)+1,FALSE))</f>
        <v>0</v>
      </c>
      <c r="I27">
        <f>IF(ISNA(VLOOKUP($A27,SXS_Transit_input!$A$5:$W$26,MATCH(SXS_Transit_temp!I$2,SXS_Transit_input!$B$4:$W$4,0)+1,FALSE)),0,VLOOKUP($A27,SXS_Transit_input!$A$5:$W$26,MATCH(SXS_Transit_temp!I$2,SXS_Transit_input!$B$4:$W$4,0)+1,FALSE))+IF(ISNA(VLOOKUP($A27,SXS_Transit_input!$A$53:$R$69,MATCH(SXS_Transit_temp!I$2,SXS_Transit_input!$B$52:$R$52,0)+1,FALSE)),0,VLOOKUP($A27,SXS_Transit_input!$A$53:$R$69,MATCH(SXS_Transit_temp!I$2,SXS_Transit_input!$B$52:$R$52,0)+1,FALSE))</f>
        <v>0</v>
      </c>
      <c r="J27">
        <f>IF(ISNA(VLOOKUP($A27,SXS_Transit_input!$A$5:$W$26,MATCH(SXS_Transit_temp!J$2,SXS_Transit_input!$B$4:$W$4,0)+1,FALSE)),0,VLOOKUP($A27,SXS_Transit_input!$A$5:$W$26,MATCH(SXS_Transit_temp!J$2,SXS_Transit_input!$B$4:$W$4,0)+1,FALSE))+IF(ISNA(VLOOKUP($A27,SXS_Transit_input!$A$53:$R$69,MATCH(SXS_Transit_temp!J$2,SXS_Transit_input!$B$52:$R$52,0)+1,FALSE)),0,VLOOKUP($A27,SXS_Transit_input!$A$53:$R$69,MATCH(SXS_Transit_temp!J$2,SXS_Transit_input!$B$52:$R$52,0)+1,FALSE))</f>
        <v>0</v>
      </c>
      <c r="K27">
        <f>IF(ISNA(VLOOKUP($A27,SXS_Transit_input!$A$5:$W$26,MATCH(SXS_Transit_temp!K$2,SXS_Transit_input!$B$4:$W$4,0)+1,FALSE)),0,VLOOKUP($A27,SXS_Transit_input!$A$5:$W$26,MATCH(SXS_Transit_temp!K$2,SXS_Transit_input!$B$4:$W$4,0)+1,FALSE))+IF(ISNA(VLOOKUP($A27,SXS_Transit_input!$A$53:$R$69,MATCH(SXS_Transit_temp!K$2,SXS_Transit_input!$B$52:$R$52,0)+1,FALSE)),0,VLOOKUP($A27,SXS_Transit_input!$A$53:$R$69,MATCH(SXS_Transit_temp!K$2,SXS_Transit_input!$B$52:$R$52,0)+1,FALSE))</f>
        <v>0</v>
      </c>
      <c r="L27">
        <f>IF(ISNA(VLOOKUP($A27,SXS_Transit_input!$A$5:$W$26,MATCH(SXS_Transit_temp!L$2,SXS_Transit_input!$B$4:$W$4,0)+1,FALSE)),0,VLOOKUP($A27,SXS_Transit_input!$A$5:$W$26,MATCH(SXS_Transit_temp!L$2,SXS_Transit_input!$B$4:$W$4,0)+1,FALSE))+IF(ISNA(VLOOKUP($A27,SXS_Transit_input!$A$53:$R$69,MATCH(SXS_Transit_temp!L$2,SXS_Transit_input!$B$52:$R$52,0)+1,FALSE)),0,VLOOKUP($A27,SXS_Transit_input!$A$53:$R$69,MATCH(SXS_Transit_temp!L$2,SXS_Transit_input!$B$52:$R$52,0)+1,FALSE))</f>
        <v>0</v>
      </c>
      <c r="M27">
        <f>IF(ISNA(VLOOKUP($A27,SXS_Transit_input!$A$5:$W$26,MATCH(SXS_Transit_temp!M$2,SXS_Transit_input!$B$4:$W$4,0)+1,FALSE)),0,VLOOKUP($A27,SXS_Transit_input!$A$5:$W$26,MATCH(SXS_Transit_temp!M$2,SXS_Transit_input!$B$4:$W$4,0)+1,FALSE))+IF(ISNA(VLOOKUP($A27,SXS_Transit_input!$A$53:$R$69,MATCH(SXS_Transit_temp!M$2,SXS_Transit_input!$B$52:$R$52,0)+1,FALSE)),0,VLOOKUP($A27,SXS_Transit_input!$A$53:$R$69,MATCH(SXS_Transit_temp!M$2,SXS_Transit_input!$B$52:$R$52,0)+1,FALSE))</f>
        <v>617.72496999999998</v>
      </c>
      <c r="N27">
        <f>IF(ISNA(VLOOKUP($A27,SXS_Transit_input!$A$5:$W$26,MATCH(SXS_Transit_temp!N$2,SXS_Transit_input!$B$4:$W$4,0)+1,FALSE)),0,VLOOKUP($A27,SXS_Transit_input!$A$5:$W$26,MATCH(SXS_Transit_temp!N$2,SXS_Transit_input!$B$4:$W$4,0)+1,FALSE))+IF(ISNA(VLOOKUP($A27,SXS_Transit_input!$A$53:$R$69,MATCH(SXS_Transit_temp!N$2,SXS_Transit_input!$B$52:$R$52,0)+1,FALSE)),0,VLOOKUP($A27,SXS_Transit_input!$A$53:$R$69,MATCH(SXS_Transit_temp!N$2,SXS_Transit_input!$B$52:$R$52,0)+1,FALSE))</f>
        <v>576.18448000000001</v>
      </c>
      <c r="O27">
        <f>IF(ISNA(VLOOKUP($A27,SXS_Transit_input!$A$5:$W$26,MATCH(SXS_Transit_temp!O$2,SXS_Transit_input!$B$4:$W$4,0)+1,FALSE)),0,VLOOKUP($A27,SXS_Transit_input!$A$5:$W$26,MATCH(SXS_Transit_temp!O$2,SXS_Transit_input!$B$4:$W$4,0)+1,FALSE))+IF(ISNA(VLOOKUP($A27,SXS_Transit_input!$A$53:$R$69,MATCH(SXS_Transit_temp!O$2,SXS_Transit_input!$B$52:$R$52,0)+1,FALSE)),0,VLOOKUP($A27,SXS_Transit_input!$A$53:$R$69,MATCH(SXS_Transit_temp!O$2,SXS_Transit_input!$B$52:$R$52,0)+1,FALSE))</f>
        <v>189.87280999999999</v>
      </c>
      <c r="P27">
        <f>IF(ISNA(VLOOKUP($A27,SXS_Transit_input!$A$5:$W$26,MATCH(SXS_Transit_temp!P$2,SXS_Transit_input!$B$4:$W$4,0)+1,FALSE)),0,VLOOKUP($A27,SXS_Transit_input!$A$5:$W$26,MATCH(SXS_Transit_temp!P$2,SXS_Transit_input!$B$4:$W$4,0)+1,FALSE))+IF(ISNA(VLOOKUP($A27,SXS_Transit_input!$A$53:$R$69,MATCH(SXS_Transit_temp!P$2,SXS_Transit_input!$B$52:$R$52,0)+1,FALSE)),0,VLOOKUP($A27,SXS_Transit_input!$A$53:$R$69,MATCH(SXS_Transit_temp!P$2,SXS_Transit_input!$B$52:$R$52,0)+1,FALSE))</f>
        <v>1599.8379500000001</v>
      </c>
      <c r="Q27">
        <f>IF(ISNA(VLOOKUP($A27,SXS_Transit_input!$A$5:$W$26,MATCH(SXS_Transit_temp!Q$2,SXS_Transit_input!$B$4:$W$4,0)+1,FALSE)),0,VLOOKUP($A27,SXS_Transit_input!$A$5:$W$26,MATCH(SXS_Transit_temp!Q$2,SXS_Transit_input!$B$4:$W$4,0)+1,FALSE))+IF(ISNA(VLOOKUP($A27,SXS_Transit_input!$A$53:$R$69,MATCH(SXS_Transit_temp!Q$2,SXS_Transit_input!$B$52:$R$52,0)+1,FALSE)),0,VLOOKUP($A27,SXS_Transit_input!$A$53:$R$69,MATCH(SXS_Transit_temp!Q$2,SXS_Transit_input!$B$52:$R$52,0)+1,FALSE))</f>
        <v>0</v>
      </c>
      <c r="R27">
        <f>IF(ISNA(VLOOKUP($A27,SXS_Transit_input!$A$5:$W$26,MATCH(SXS_Transit_temp!R$2,SXS_Transit_input!$B$4:$W$4,0)+1,FALSE)),0,VLOOKUP($A27,SXS_Transit_input!$A$5:$W$26,MATCH(SXS_Transit_temp!R$2,SXS_Transit_input!$B$4:$W$4,0)+1,FALSE))+IF(ISNA(VLOOKUP($A27,SXS_Transit_input!$A$53:$R$69,MATCH(SXS_Transit_temp!R$2,SXS_Transit_input!$B$52:$R$52,0)+1,FALSE)),0,VLOOKUP($A27,SXS_Transit_input!$A$53:$R$69,MATCH(SXS_Transit_temp!R$2,SXS_Transit_input!$B$52:$R$52,0)+1,FALSE))</f>
        <v>0</v>
      </c>
      <c r="S27">
        <f>IF(ISNA(VLOOKUP($A27,SXS_Transit_input!$A$5:$W$26,MATCH(SXS_Transit_temp!S$2,SXS_Transit_input!$B$4:$W$4,0)+1,FALSE)),0,VLOOKUP($A27,SXS_Transit_input!$A$5:$W$26,MATCH(SXS_Transit_temp!S$2,SXS_Transit_input!$B$4:$W$4,0)+1,FALSE))+IF(ISNA(VLOOKUP($A27,SXS_Transit_input!$A$53:$R$69,MATCH(SXS_Transit_temp!S$2,SXS_Transit_input!$B$52:$R$52,0)+1,FALSE)),0,VLOOKUP($A27,SXS_Transit_input!$A$53:$R$69,MATCH(SXS_Transit_temp!S$2,SXS_Transit_input!$B$52:$R$52,0)+1,FALSE))</f>
        <v>0</v>
      </c>
      <c r="T27">
        <f>IF(ISNA(VLOOKUP($A27,SXS_Transit_input!$A$5:$W$26,MATCH(SXS_Transit_temp!T$2,SXS_Transit_input!$B$4:$W$4,0)+1,FALSE)),0,VLOOKUP($A27,SXS_Transit_input!$A$5:$W$26,MATCH(SXS_Transit_temp!T$2,SXS_Transit_input!$B$4:$W$4,0)+1,FALSE))+IF(ISNA(VLOOKUP($A27,SXS_Transit_input!$A$53:$R$69,MATCH(SXS_Transit_temp!T$2,SXS_Transit_input!$B$52:$R$52,0)+1,FALSE)),0,VLOOKUP($A27,SXS_Transit_input!$A$53:$R$69,MATCH(SXS_Transit_temp!T$2,SXS_Transit_input!$B$52:$R$52,0)+1,FALSE))</f>
        <v>0</v>
      </c>
      <c r="U27">
        <f>IF(ISNA(VLOOKUP($A27,SXS_Transit_input!$A$5:$W$26,MATCH(SXS_Transit_temp!U$2,SXS_Transit_input!$B$4:$W$4,0)+1,FALSE)),0,VLOOKUP($A27,SXS_Transit_input!$A$5:$W$26,MATCH(SXS_Transit_temp!U$2,SXS_Transit_input!$B$4:$W$4,0)+1,FALSE))+IF(ISNA(VLOOKUP($A27,SXS_Transit_input!$A$53:$R$69,MATCH(SXS_Transit_temp!U$2,SXS_Transit_input!$B$52:$R$52,0)+1,FALSE)),0,VLOOKUP($A27,SXS_Transit_input!$A$53:$R$69,MATCH(SXS_Transit_temp!U$2,SXS_Transit_input!$B$52:$R$52,0)+1,FALSE))</f>
        <v>0</v>
      </c>
      <c r="V27">
        <f>IF(ISNA(VLOOKUP($A27,SXS_Transit_input!$A$5:$W$26,MATCH(SXS_Transit_temp!V$2,SXS_Transit_input!$B$4:$W$4,0)+1,FALSE)),0,VLOOKUP($A27,SXS_Transit_input!$A$5:$W$26,MATCH(SXS_Transit_temp!V$2,SXS_Transit_input!$B$4:$W$4,0)+1,FALSE))+IF(ISNA(VLOOKUP($A27,SXS_Transit_input!$A$53:$R$69,MATCH(SXS_Transit_temp!V$2,SXS_Transit_input!$B$52:$R$52,0)+1,FALSE)),0,VLOOKUP($A27,SXS_Transit_input!$A$53:$R$69,MATCH(SXS_Transit_temp!V$2,SXS_Transit_input!$B$52:$R$52,0)+1,FALSE))</f>
        <v>0</v>
      </c>
      <c r="W27">
        <f>IF(ISNA(VLOOKUP($A27,SXS_Transit_input!$A$5:$W$26,MATCH(SXS_Transit_temp!W$2,SXS_Transit_input!$B$4:$W$4,0)+1,FALSE)),0,VLOOKUP($A27,SXS_Transit_input!$A$5:$W$26,MATCH(SXS_Transit_temp!W$2,SXS_Transit_input!$B$4:$W$4,0)+1,FALSE))+IF(ISNA(VLOOKUP($A27,SXS_Transit_input!$A$53:$R$69,MATCH(SXS_Transit_temp!W$2,SXS_Transit_input!$B$52:$R$52,0)+1,FALSE)),0,VLOOKUP($A27,SXS_Transit_input!$A$53:$R$69,MATCH(SXS_Transit_temp!W$2,SXS_Transit_input!$B$52:$R$52,0)+1,FALSE))</f>
        <v>0</v>
      </c>
      <c r="X27">
        <f>IF(ISNA(VLOOKUP($A27,SXS_Transit_input!$A$5:$W$26,MATCH(SXS_Transit_temp!X$2,SXS_Transit_input!$B$4:$W$4,0)+1,FALSE)),0,VLOOKUP($A27,SXS_Transit_input!$A$5:$W$26,MATCH(SXS_Transit_temp!X$2,SXS_Transit_input!$B$4:$W$4,0)+1,FALSE))+IF(ISNA(VLOOKUP($A27,SXS_Transit_input!$A$53:$R$69,MATCH(SXS_Transit_temp!X$2,SXS_Transit_input!$B$52:$R$52,0)+1,FALSE)),0,VLOOKUP($A27,SXS_Transit_input!$A$53:$R$69,MATCH(SXS_Transit_temp!X$2,SXS_Transit_input!$B$52:$R$52,0)+1,FALSE))</f>
        <v>0</v>
      </c>
      <c r="Y27">
        <f>IF(ISNA(VLOOKUP($A27,SXS_Transit_input!$A$5:$W$26,MATCH(SXS_Transit_temp!Y$2,SXS_Transit_input!$B$4:$W$4,0)+1,FALSE)),0,VLOOKUP($A27,SXS_Transit_input!$A$5:$W$26,MATCH(SXS_Transit_temp!Y$2,SXS_Transit_input!$B$4:$W$4,0)+1,FALSE))+IF(ISNA(VLOOKUP($A27,SXS_Transit_input!$A$53:$R$69,MATCH(SXS_Transit_temp!Y$2,SXS_Transit_input!$B$52:$R$52,0)+1,FALSE)),0,VLOOKUP($A27,SXS_Transit_input!$A$53:$R$69,MATCH(SXS_Transit_temp!Y$2,SXS_Transit_input!$B$52:$R$52,0)+1,FALSE))</f>
        <v>415.61423000000002</v>
      </c>
      <c r="Z27">
        <f>IF(ISNA(VLOOKUP($A27,SXS_Transit_input!$A$5:$W$26,MATCH(SXS_Transit_temp!Z$2,SXS_Transit_input!$B$4:$W$4,0)+1,FALSE)),0,VLOOKUP($A27,SXS_Transit_input!$A$5:$W$26,MATCH(SXS_Transit_temp!Z$2,SXS_Transit_input!$B$4:$W$4,0)+1,FALSE))+IF(ISNA(VLOOKUP($A27,SXS_Transit_input!$A$53:$R$69,MATCH(SXS_Transit_temp!Z$2,SXS_Transit_input!$B$52:$R$52,0)+1,FALSE)),0,VLOOKUP($A27,SXS_Transit_input!$A$53:$R$69,MATCH(SXS_Transit_temp!Z$2,SXS_Transit_input!$B$52:$R$52,0)+1,FALSE))</f>
        <v>4700.6674000000003</v>
      </c>
      <c r="AA27">
        <v>25</v>
      </c>
      <c r="AB27" s="36">
        <f t="shared" si="1"/>
        <v>45</v>
      </c>
      <c r="AC27" s="37">
        <f t="shared" si="11"/>
        <v>2</v>
      </c>
      <c r="AD27" s="37">
        <f t="shared" si="12"/>
        <v>2</v>
      </c>
      <c r="AE27" s="37">
        <f t="shared" si="13"/>
        <v>1</v>
      </c>
      <c r="AF27" s="37">
        <f t="shared" si="14"/>
        <v>0</v>
      </c>
      <c r="AG27" s="37">
        <f t="shared" si="15"/>
        <v>1</v>
      </c>
      <c r="AH27" s="37">
        <f t="shared" si="16"/>
        <v>1</v>
      </c>
      <c r="AI27" s="37">
        <f t="shared" si="17"/>
        <v>3</v>
      </c>
      <c r="AJ27" s="37">
        <f t="shared" si="18"/>
        <v>0</v>
      </c>
      <c r="AK27" s="37">
        <f t="shared" si="19"/>
        <v>0</v>
      </c>
      <c r="AL27" s="37">
        <f t="shared" si="20"/>
        <v>0</v>
      </c>
      <c r="AM27" s="37">
        <f t="shared" si="21"/>
        <v>0</v>
      </c>
      <c r="AN27" s="37">
        <f t="shared" si="22"/>
        <v>6</v>
      </c>
      <c r="AO27" s="37">
        <f t="shared" si="23"/>
        <v>15</v>
      </c>
      <c r="AP27" s="37">
        <f t="shared" si="24"/>
        <v>0</v>
      </c>
      <c r="AQ27" s="37">
        <f t="shared" si="25"/>
        <v>0</v>
      </c>
      <c r="AR27" s="37">
        <f t="shared" si="2"/>
        <v>0</v>
      </c>
      <c r="AS27" s="37">
        <f t="shared" si="3"/>
        <v>0</v>
      </c>
      <c r="AT27" s="37">
        <f t="shared" si="4"/>
        <v>0</v>
      </c>
      <c r="AU27" s="37">
        <f t="shared" si="5"/>
        <v>0</v>
      </c>
      <c r="AV27" s="37">
        <f t="shared" si="6"/>
        <v>0</v>
      </c>
      <c r="AW27" s="37">
        <f t="shared" si="7"/>
        <v>0</v>
      </c>
      <c r="AX27" s="37">
        <f t="shared" si="8"/>
        <v>0</v>
      </c>
      <c r="AY27" s="37">
        <f t="shared" si="9"/>
        <v>0</v>
      </c>
      <c r="AZ27" s="194">
        <f t="shared" si="10"/>
        <v>310</v>
      </c>
      <c r="BC27">
        <v>25</v>
      </c>
      <c r="BD27">
        <v>45</v>
      </c>
      <c r="BE27">
        <v>2</v>
      </c>
      <c r="BF27">
        <v>2</v>
      </c>
      <c r="BG27">
        <v>1</v>
      </c>
      <c r="BH27">
        <v>0</v>
      </c>
      <c r="BI27">
        <v>1</v>
      </c>
      <c r="BJ27">
        <v>1</v>
      </c>
      <c r="BK27">
        <v>3</v>
      </c>
      <c r="BL27">
        <v>0</v>
      </c>
      <c r="BM27">
        <v>0</v>
      </c>
      <c r="BN27">
        <v>0</v>
      </c>
      <c r="BO27">
        <v>0</v>
      </c>
      <c r="BP27">
        <v>6</v>
      </c>
      <c r="BQ27">
        <v>15</v>
      </c>
      <c r="BR27">
        <v>0</v>
      </c>
      <c r="BS27">
        <v>0</v>
      </c>
      <c r="BT27">
        <v>0</v>
      </c>
      <c r="BU27">
        <v>0</v>
      </c>
      <c r="BV27">
        <v>0</v>
      </c>
      <c r="BW27">
        <v>0</v>
      </c>
      <c r="BX27">
        <v>0</v>
      </c>
      <c r="BY27">
        <v>0</v>
      </c>
      <c r="BZ27">
        <v>0</v>
      </c>
      <c r="CA27">
        <v>0</v>
      </c>
      <c r="CB27">
        <v>288</v>
      </c>
    </row>
    <row r="28" spans="1:80" x14ac:dyDescent="0.25">
      <c r="B28">
        <v>1</v>
      </c>
      <c r="C28">
        <v>2</v>
      </c>
      <c r="D28">
        <v>3</v>
      </c>
      <c r="E28">
        <v>4</v>
      </c>
      <c r="F28">
        <v>5</v>
      </c>
      <c r="G28">
        <v>6</v>
      </c>
      <c r="H28">
        <v>7</v>
      </c>
      <c r="I28">
        <v>8</v>
      </c>
      <c r="J28">
        <v>9</v>
      </c>
      <c r="K28">
        <v>10</v>
      </c>
      <c r="L28">
        <v>11</v>
      </c>
      <c r="M28">
        <v>12</v>
      </c>
      <c r="N28">
        <v>13</v>
      </c>
      <c r="O28">
        <v>14</v>
      </c>
      <c r="P28">
        <v>15</v>
      </c>
      <c r="Q28">
        <v>16</v>
      </c>
      <c r="R28">
        <v>17</v>
      </c>
      <c r="S28">
        <v>18</v>
      </c>
      <c r="T28">
        <v>19</v>
      </c>
      <c r="U28">
        <v>20</v>
      </c>
      <c r="V28">
        <v>21</v>
      </c>
      <c r="W28">
        <v>22</v>
      </c>
      <c r="X28">
        <v>23</v>
      </c>
      <c r="Y28">
        <v>24</v>
      </c>
      <c r="Z28">
        <v>25</v>
      </c>
      <c r="AS28">
        <v>18</v>
      </c>
      <c r="AT28">
        <v>19</v>
      </c>
      <c r="AU28">
        <v>20</v>
      </c>
      <c r="AV28">
        <v>21</v>
      </c>
      <c r="AW28">
        <v>22</v>
      </c>
      <c r="AX28">
        <v>23</v>
      </c>
      <c r="AY28">
        <v>24</v>
      </c>
      <c r="AZ28">
        <v>25</v>
      </c>
    </row>
    <row r="29" spans="1:80" x14ac:dyDescent="0.25">
      <c r="A29">
        <v>1</v>
      </c>
      <c r="B29">
        <f>IF(ISNA(VLOOKUP($A29,SXS_Transit_input!$A$28:$W$49,MATCH(SXS_Transit_temp!B$28,SXS_Transit_input!$B$27:$W$27,0)+1,FALSE)),0,VLOOKUP($A29,SXS_Transit_input!$A$28:$W$49,MATCH(SXS_Transit_temp!B$28,SXS_Transit_input!$B$27:$W$27,0)+1,FALSE))+IF(ISNA(VLOOKUP($A29,SXS_Transit_input!$A$71:$L$81,MATCH(SXS_Transit_temp!B$28,SXS_Transit_input!$B$70:$L$70,0)+1,FALSE)),0,VLOOKUP($A29,SXS_Transit_input!$A$71:$L$81,MATCH(SXS_Transit_temp!B$28,SXS_Transit_input!$B$70:$L$70,0)+1,FALSE))</f>
        <v>35201.655059999997</v>
      </c>
      <c r="C29">
        <f>IF(ISNA(VLOOKUP($A29,SXS_Transit_input!$A$28:$W$49,MATCH(SXS_Transit_temp!C$28,SXS_Transit_input!$B$27:$W$27,0)+1,FALSE)),0,VLOOKUP($A29,SXS_Transit_input!$A$28:$W$49,MATCH(SXS_Transit_temp!C$28,SXS_Transit_input!$B$27:$W$27,0)+1,FALSE))+IF(ISNA(VLOOKUP($A29,SXS_Transit_input!$A$71:$L$81,MATCH(SXS_Transit_temp!C$28,SXS_Transit_input!$B$70:$L$70,0)+1,FALSE)),0,VLOOKUP($A29,SXS_Transit_input!$A$71:$L$81,MATCH(SXS_Transit_temp!C$28,SXS_Transit_input!$B$70:$L$70,0)+1,FALSE))</f>
        <v>32232.036240000001</v>
      </c>
      <c r="D29">
        <f>IF(ISNA(VLOOKUP($A29,SXS_Transit_input!$A$28:$W$49,MATCH(SXS_Transit_temp!D$28,SXS_Transit_input!$B$27:$W$27,0)+1,FALSE)),0,VLOOKUP($A29,SXS_Transit_input!$A$28:$W$49,MATCH(SXS_Transit_temp!D$28,SXS_Transit_input!$B$27:$W$27,0)+1,FALSE))+IF(ISNA(VLOOKUP($A29,SXS_Transit_input!$A$71:$L$81,MATCH(SXS_Transit_temp!D$28,SXS_Transit_input!$B$70:$L$70,0)+1,FALSE)),0,VLOOKUP($A29,SXS_Transit_input!$A$71:$L$81,MATCH(SXS_Transit_temp!D$28,SXS_Transit_input!$B$70:$L$70,0)+1,FALSE))</f>
        <v>11110.54321</v>
      </c>
      <c r="E29">
        <f>IF(ISNA(VLOOKUP($A29,SXS_Transit_input!$A$28:$W$49,MATCH(SXS_Transit_temp!E$28,SXS_Transit_input!$B$27:$W$27,0)+1,FALSE)),0,VLOOKUP($A29,SXS_Transit_input!$A$28:$W$49,MATCH(SXS_Transit_temp!E$28,SXS_Transit_input!$B$27:$W$27,0)+1,FALSE))+IF(ISNA(VLOOKUP($A29,SXS_Transit_input!$A$71:$L$81,MATCH(SXS_Transit_temp!E$28,SXS_Transit_input!$B$70:$L$70,0)+1,FALSE)),0,VLOOKUP($A29,SXS_Transit_input!$A$71:$L$81,MATCH(SXS_Transit_temp!E$28,SXS_Transit_input!$B$70:$L$70,0)+1,FALSE))</f>
        <v>1492.7546400000001</v>
      </c>
      <c r="F29">
        <f>IF(ISNA(VLOOKUP($A29,SXS_Transit_input!$A$28:$W$49,MATCH(SXS_Transit_temp!F$28,SXS_Transit_input!$B$27:$W$27,0)+1,FALSE)),0,VLOOKUP($A29,SXS_Transit_input!$A$28:$W$49,MATCH(SXS_Transit_temp!F$28,SXS_Transit_input!$B$27:$W$27,0)+1,FALSE))+IF(ISNA(VLOOKUP($A29,SXS_Transit_input!$A$71:$L$81,MATCH(SXS_Transit_temp!F$28,SXS_Transit_input!$B$70:$L$70,0)+1,FALSE)),0,VLOOKUP($A29,SXS_Transit_input!$A$71:$L$81,MATCH(SXS_Transit_temp!F$28,SXS_Transit_input!$B$70:$L$70,0)+1,FALSE))</f>
        <v>3633.0404699999999</v>
      </c>
      <c r="G29">
        <f>IF(ISNA(VLOOKUP($A29,SXS_Transit_input!$A$28:$W$49,MATCH(SXS_Transit_temp!G$28,SXS_Transit_input!$B$27:$W$27,0)+1,FALSE)),0,VLOOKUP($A29,SXS_Transit_input!$A$28:$W$49,MATCH(SXS_Transit_temp!G$28,SXS_Transit_input!$B$27:$W$27,0)+1,FALSE))+IF(ISNA(VLOOKUP($A29,SXS_Transit_input!$A$71:$L$81,MATCH(SXS_Transit_temp!G$28,SXS_Transit_input!$B$70:$L$70,0)+1,FALSE)),0,VLOOKUP($A29,SXS_Transit_input!$A$71:$L$81,MATCH(SXS_Transit_temp!G$28,SXS_Transit_input!$B$70:$L$70,0)+1,FALSE))</f>
        <v>3729.0208600000001</v>
      </c>
      <c r="H29">
        <f>IF(ISNA(VLOOKUP($A29,SXS_Transit_input!$A$28:$W$49,MATCH(SXS_Transit_temp!H$28,SXS_Transit_input!$B$27:$W$27,0)+1,FALSE)),0,VLOOKUP($A29,SXS_Transit_input!$A$28:$W$49,MATCH(SXS_Transit_temp!H$28,SXS_Transit_input!$B$27:$W$27,0)+1,FALSE))+IF(ISNA(VLOOKUP($A29,SXS_Transit_input!$A$71:$L$81,MATCH(SXS_Transit_temp!H$28,SXS_Transit_input!$B$70:$L$70,0)+1,FALSE)),0,VLOOKUP($A29,SXS_Transit_input!$A$71:$L$81,MATCH(SXS_Transit_temp!H$28,SXS_Transit_input!$B$70:$L$70,0)+1,FALSE))</f>
        <v>4936.0161200000002</v>
      </c>
      <c r="I29">
        <f>IF(ISNA(VLOOKUP($A29,SXS_Transit_input!$A$28:$W$49,MATCH(SXS_Transit_temp!I$28,SXS_Transit_input!$B$27:$W$27,0)+1,FALSE)),0,VLOOKUP($A29,SXS_Transit_input!$A$28:$W$49,MATCH(SXS_Transit_temp!I$28,SXS_Transit_input!$B$27:$W$27,0)+1,FALSE))+IF(ISNA(VLOOKUP($A29,SXS_Transit_input!$A$71:$L$81,MATCH(SXS_Transit_temp!I$28,SXS_Transit_input!$B$70:$L$70,0)+1,FALSE)),0,VLOOKUP($A29,SXS_Transit_input!$A$71:$L$81,MATCH(SXS_Transit_temp!I$28,SXS_Transit_input!$B$70:$L$70,0)+1,FALSE))</f>
        <v>14211.44472</v>
      </c>
      <c r="J29">
        <f>IF(ISNA(VLOOKUP($A29,SXS_Transit_input!$A$28:$W$49,MATCH(SXS_Transit_temp!J$28,SXS_Transit_input!$B$27:$W$27,0)+1,FALSE)),0,VLOOKUP($A29,SXS_Transit_input!$A$28:$W$49,MATCH(SXS_Transit_temp!J$28,SXS_Transit_input!$B$27:$W$27,0)+1,FALSE))+IF(ISNA(VLOOKUP($A29,SXS_Transit_input!$A$71:$L$81,MATCH(SXS_Transit_temp!J$28,SXS_Transit_input!$B$70:$L$70,0)+1,FALSE)),0,VLOOKUP($A29,SXS_Transit_input!$A$71:$L$81,MATCH(SXS_Transit_temp!J$28,SXS_Transit_input!$B$70:$L$70,0)+1,FALSE))</f>
        <v>5476.0736800000004</v>
      </c>
      <c r="K29">
        <f>IF(ISNA(VLOOKUP($A29,SXS_Transit_input!$A$28:$W$49,MATCH(SXS_Transit_temp!K$28,SXS_Transit_input!$B$27:$W$27,0)+1,FALSE)),0,VLOOKUP($A29,SXS_Transit_input!$A$28:$W$49,MATCH(SXS_Transit_temp!K$28,SXS_Transit_input!$B$27:$W$27,0)+1,FALSE))+IF(ISNA(VLOOKUP($A29,SXS_Transit_input!$A$71:$L$81,MATCH(SXS_Transit_temp!K$28,SXS_Transit_input!$B$70:$L$70,0)+1,FALSE)),0,VLOOKUP($A29,SXS_Transit_input!$A$71:$L$81,MATCH(SXS_Transit_temp!K$28,SXS_Transit_input!$B$70:$L$70,0)+1,FALSE))</f>
        <v>2911.8161599999999</v>
      </c>
      <c r="L29">
        <f>IF(ISNA(VLOOKUP($A29,SXS_Transit_input!$A$28:$W$49,MATCH(SXS_Transit_temp!L$28,SXS_Transit_input!$B$27:$W$27,0)+1,FALSE)),0,VLOOKUP($A29,SXS_Transit_input!$A$28:$W$49,MATCH(SXS_Transit_temp!L$28,SXS_Transit_input!$B$27:$W$27,0)+1,FALSE))+IF(ISNA(VLOOKUP($A29,SXS_Transit_input!$A$71:$L$81,MATCH(SXS_Transit_temp!L$28,SXS_Transit_input!$B$70:$L$70,0)+1,FALSE)),0,VLOOKUP($A29,SXS_Transit_input!$A$71:$L$81,MATCH(SXS_Transit_temp!L$28,SXS_Transit_input!$B$70:$L$70,0)+1,FALSE))</f>
        <v>3224.8840599999999</v>
      </c>
      <c r="M29">
        <f>IF(ISNA(VLOOKUP($A29,SXS_Transit_input!$A$28:$W$49,MATCH(SXS_Transit_temp!M$28,SXS_Transit_input!$B$27:$W$27,0)+1,FALSE)),0,VLOOKUP($A29,SXS_Transit_input!$A$28:$W$49,MATCH(SXS_Transit_temp!M$28,SXS_Transit_input!$B$27:$W$27,0)+1,FALSE))+IF(ISNA(VLOOKUP($A29,SXS_Transit_input!$A$71:$L$81,MATCH(SXS_Transit_temp!M$28,SXS_Transit_input!$B$70:$L$70,0)+1,FALSE)),0,VLOOKUP($A29,SXS_Transit_input!$A$71:$L$81,MATCH(SXS_Transit_temp!M$28,SXS_Transit_input!$B$70:$L$70,0)+1,FALSE))</f>
        <v>1330.65635</v>
      </c>
      <c r="N29">
        <f>IF(ISNA(VLOOKUP($A29,SXS_Transit_input!$A$28:$W$49,MATCH(SXS_Transit_temp!N$28,SXS_Transit_input!$B$27:$W$27,0)+1,FALSE)),0,VLOOKUP($A29,SXS_Transit_input!$A$28:$W$49,MATCH(SXS_Transit_temp!N$28,SXS_Transit_input!$B$27:$W$27,0)+1,FALSE))+IF(ISNA(VLOOKUP($A29,SXS_Transit_input!$A$71:$L$81,MATCH(SXS_Transit_temp!N$28,SXS_Transit_input!$B$70:$L$70,0)+1,FALSE)),0,VLOOKUP($A29,SXS_Transit_input!$A$71:$L$81,MATCH(SXS_Transit_temp!N$28,SXS_Transit_input!$B$70:$L$70,0)+1,FALSE))</f>
        <v>6688.7624100000003</v>
      </c>
      <c r="O29">
        <f>IF(ISNA(VLOOKUP($A29,SXS_Transit_input!$A$28:$W$49,MATCH(SXS_Transit_temp!O$28,SXS_Transit_input!$B$27:$W$27,0)+1,FALSE)),0,VLOOKUP($A29,SXS_Transit_input!$A$28:$W$49,MATCH(SXS_Transit_temp!O$28,SXS_Transit_input!$B$27:$W$27,0)+1,FALSE))+IF(ISNA(VLOOKUP($A29,SXS_Transit_input!$A$71:$L$81,MATCH(SXS_Transit_temp!O$28,SXS_Transit_input!$B$70:$L$70,0)+1,FALSE)),0,VLOOKUP($A29,SXS_Transit_input!$A$71:$L$81,MATCH(SXS_Transit_temp!O$28,SXS_Transit_input!$B$70:$L$70,0)+1,FALSE))</f>
        <v>3811.8791299999998</v>
      </c>
      <c r="P29">
        <f>IF(ISNA(VLOOKUP($A29,SXS_Transit_input!$A$28:$W$49,MATCH(SXS_Transit_temp!P$28,SXS_Transit_input!$B$27:$W$27,0)+1,FALSE)),0,VLOOKUP($A29,SXS_Transit_input!$A$28:$W$49,MATCH(SXS_Transit_temp!P$28,SXS_Transit_input!$B$27:$W$27,0)+1,FALSE))+IF(ISNA(VLOOKUP($A29,SXS_Transit_input!$A$71:$L$81,MATCH(SXS_Transit_temp!P$28,SXS_Transit_input!$B$70:$L$70,0)+1,FALSE)),0,VLOOKUP($A29,SXS_Transit_input!$A$71:$L$81,MATCH(SXS_Transit_temp!P$28,SXS_Transit_input!$B$70:$L$70,0)+1,FALSE))</f>
        <v>1847.7592199999999</v>
      </c>
      <c r="Q29">
        <f>IF(ISNA(VLOOKUP($A29,SXS_Transit_input!$A$28:$W$49,MATCH(SXS_Transit_temp!Q$28,SXS_Transit_input!$B$27:$W$27,0)+1,FALSE)),0,VLOOKUP($A29,SXS_Transit_input!$A$28:$W$49,MATCH(SXS_Transit_temp!Q$28,SXS_Transit_input!$B$27:$W$27,0)+1,FALSE))+IF(ISNA(VLOOKUP($A29,SXS_Transit_input!$A$71:$L$81,MATCH(SXS_Transit_temp!Q$28,SXS_Transit_input!$B$70:$L$70,0)+1,FALSE)),0,VLOOKUP($A29,SXS_Transit_input!$A$71:$L$81,MATCH(SXS_Transit_temp!Q$28,SXS_Transit_input!$B$70:$L$70,0)+1,FALSE))</f>
        <v>0</v>
      </c>
      <c r="R29">
        <f>IF(ISNA(VLOOKUP($A29,SXS_Transit_input!$A$28:$W$49,MATCH(SXS_Transit_temp!R$28,SXS_Transit_input!$B$27:$W$27,0)+1,FALSE)),0,VLOOKUP($A29,SXS_Transit_input!$A$28:$W$49,MATCH(SXS_Transit_temp!R$28,SXS_Transit_input!$B$27:$W$27,0)+1,FALSE))+IF(ISNA(VLOOKUP($A29,SXS_Transit_input!$A$71:$L$81,MATCH(SXS_Transit_temp!R$28,SXS_Transit_input!$B$70:$L$70,0)+1,FALSE)),0,VLOOKUP($A29,SXS_Transit_input!$A$71:$L$81,MATCH(SXS_Transit_temp!R$28,SXS_Transit_input!$B$70:$L$70,0)+1,FALSE))</f>
        <v>0</v>
      </c>
      <c r="S29">
        <f>IF(ISNA(VLOOKUP($A29,SXS_Transit_input!$A$28:$W$49,MATCH(SXS_Transit_temp!S$28,SXS_Transit_input!$B$27:$W$27,0)+1,FALSE)),0,VLOOKUP($A29,SXS_Transit_input!$A$28:$W$49,MATCH(SXS_Transit_temp!S$28,SXS_Transit_input!$B$27:$W$27,0)+1,FALSE))+IF(ISNA(VLOOKUP($A29,SXS_Transit_input!$A$71:$L$81,MATCH(SXS_Transit_temp!S$28,SXS_Transit_input!$B$70:$L$70,0)+1,FALSE)),0,VLOOKUP($A29,SXS_Transit_input!$A$71:$L$81,MATCH(SXS_Transit_temp!S$28,SXS_Transit_input!$B$70:$L$70,0)+1,FALSE))</f>
        <v>0</v>
      </c>
      <c r="T29">
        <f>IF(ISNA(VLOOKUP($A29,SXS_Transit_input!$A$28:$W$49,MATCH(SXS_Transit_temp!T$28,SXS_Transit_input!$B$27:$W$27,0)+1,FALSE)),0,VLOOKUP($A29,SXS_Transit_input!$A$28:$W$49,MATCH(SXS_Transit_temp!T$28,SXS_Transit_input!$B$27:$W$27,0)+1,FALSE))+IF(ISNA(VLOOKUP($A29,SXS_Transit_input!$A$71:$L$81,MATCH(SXS_Transit_temp!T$28,SXS_Transit_input!$B$70:$L$70,0)+1,FALSE)),0,VLOOKUP($A29,SXS_Transit_input!$A$71:$L$81,MATCH(SXS_Transit_temp!T$28,SXS_Transit_input!$B$70:$L$70,0)+1,FALSE))</f>
        <v>0</v>
      </c>
      <c r="U29">
        <f>IF(ISNA(VLOOKUP($A29,SXS_Transit_input!$A$28:$W$49,MATCH(SXS_Transit_temp!U$28,SXS_Transit_input!$B$27:$W$27,0)+1,FALSE)),0,VLOOKUP($A29,SXS_Transit_input!$A$28:$W$49,MATCH(SXS_Transit_temp!U$28,SXS_Transit_input!$B$27:$W$27,0)+1,FALSE))+IF(ISNA(VLOOKUP($A29,SXS_Transit_input!$A$71:$L$81,MATCH(SXS_Transit_temp!U$28,SXS_Transit_input!$B$70:$L$70,0)+1,FALSE)),0,VLOOKUP($A29,SXS_Transit_input!$A$71:$L$81,MATCH(SXS_Transit_temp!U$28,SXS_Transit_input!$B$70:$L$70,0)+1,FALSE))</f>
        <v>6611.3256099999999</v>
      </c>
      <c r="V29">
        <f>IF(ISNA(VLOOKUP($A29,SXS_Transit_input!$A$28:$W$49,MATCH(SXS_Transit_temp!V$28,SXS_Transit_input!$B$27:$W$27,0)+1,FALSE)),0,VLOOKUP($A29,SXS_Transit_input!$A$28:$W$49,MATCH(SXS_Transit_temp!V$28,SXS_Transit_input!$B$27:$W$27,0)+1,FALSE))+IF(ISNA(VLOOKUP($A29,SXS_Transit_input!$A$71:$L$81,MATCH(SXS_Transit_temp!V$28,SXS_Transit_input!$B$70:$L$70,0)+1,FALSE)),0,VLOOKUP($A29,SXS_Transit_input!$A$71:$L$81,MATCH(SXS_Transit_temp!V$28,SXS_Transit_input!$B$70:$L$70,0)+1,FALSE))</f>
        <v>2581.0901199999998</v>
      </c>
      <c r="W29">
        <f>IF(ISNA(VLOOKUP($A29,SXS_Transit_input!$A$28:$W$49,MATCH(SXS_Transit_temp!W$28,SXS_Transit_input!$B$27:$W$27,0)+1,FALSE)),0,VLOOKUP($A29,SXS_Transit_input!$A$28:$W$49,MATCH(SXS_Transit_temp!W$28,SXS_Transit_input!$B$27:$W$27,0)+1,FALSE))+IF(ISNA(VLOOKUP($A29,SXS_Transit_input!$A$71:$L$81,MATCH(SXS_Transit_temp!W$28,SXS_Transit_input!$B$70:$L$70,0)+1,FALSE)),0,VLOOKUP($A29,SXS_Transit_input!$A$71:$L$81,MATCH(SXS_Transit_temp!W$28,SXS_Transit_input!$B$70:$L$70,0)+1,FALSE))</f>
        <v>113.00305</v>
      </c>
      <c r="X29">
        <f>IF(ISNA(VLOOKUP($A29,SXS_Transit_input!$A$28:$W$49,MATCH(SXS_Transit_temp!X$28,SXS_Transit_input!$B$27:$W$27,0)+1,FALSE)),0,VLOOKUP($A29,SXS_Transit_input!$A$28:$W$49,MATCH(SXS_Transit_temp!X$28,SXS_Transit_input!$B$27:$W$27,0)+1,FALSE))+IF(ISNA(VLOOKUP($A29,SXS_Transit_input!$A$71:$L$81,MATCH(SXS_Transit_temp!X$28,SXS_Transit_input!$B$70:$L$70,0)+1,FALSE)),0,VLOOKUP($A29,SXS_Transit_input!$A$71:$L$81,MATCH(SXS_Transit_temp!X$28,SXS_Transit_input!$B$70:$L$70,0)+1,FALSE))</f>
        <v>5850.2102999999997</v>
      </c>
      <c r="Y29">
        <f>IF(ISNA(VLOOKUP($A29,SXS_Transit_input!$A$28:$W$49,MATCH(SXS_Transit_temp!Y$28,SXS_Transit_input!$B$27:$W$27,0)+1,FALSE)),0,VLOOKUP($A29,SXS_Transit_input!$A$28:$W$49,MATCH(SXS_Transit_temp!Y$28,SXS_Transit_input!$B$27:$W$27,0)+1,FALSE))+IF(ISNA(VLOOKUP($A29,SXS_Transit_input!$A$71:$L$81,MATCH(SXS_Transit_temp!Y$28,SXS_Transit_input!$B$70:$L$70,0)+1,FALSE)),0,VLOOKUP($A29,SXS_Transit_input!$A$71:$L$81,MATCH(SXS_Transit_temp!Y$28,SXS_Transit_input!$B$70:$L$70,0)+1,FALSE))</f>
        <v>683.18708000000004</v>
      </c>
      <c r="Z29">
        <f>IF(ISNA(VLOOKUP($A29,SXS_Transit_input!$A$28:$W$49,MATCH(SXS_Transit_temp!Z$28,SXS_Transit_input!$B$27:$W$27,0)+1,FALSE)),0,VLOOKUP($A29,SXS_Transit_input!$A$28:$W$49,MATCH(SXS_Transit_temp!Z$28,SXS_Transit_input!$B$27:$W$27,0)+1,FALSE))+IF(ISNA(VLOOKUP($A29,SXS_Transit_input!$A$71:$L$81,MATCH(SXS_Transit_temp!Z$28,SXS_Transit_input!$B$70:$L$70,0)+1,FALSE)),0,VLOOKUP($A29,SXS_Transit_input!$A$71:$L$81,MATCH(SXS_Transit_temp!Z$28,SXS_Transit_input!$B$70:$L$70,0)+1,FALSE))</f>
        <v>1736.7569900000001</v>
      </c>
      <c r="AA29">
        <v>1</v>
      </c>
      <c r="AB29" s="30">
        <f>BD30+BD84</f>
        <v>852</v>
      </c>
      <c r="AC29" s="31">
        <f t="shared" ref="AC29:AZ39" si="26">BE30+BE84</f>
        <v>22</v>
      </c>
      <c r="AD29" s="31">
        <f t="shared" si="26"/>
        <v>4</v>
      </c>
      <c r="AE29" s="31">
        <f t="shared" si="26"/>
        <v>6</v>
      </c>
      <c r="AF29" s="31">
        <f t="shared" si="26"/>
        <v>6</v>
      </c>
      <c r="AG29" s="31">
        <f t="shared" si="26"/>
        <v>2</v>
      </c>
      <c r="AH29" s="31">
        <f t="shared" si="26"/>
        <v>12</v>
      </c>
      <c r="AI29" s="31">
        <f t="shared" si="26"/>
        <v>14</v>
      </c>
      <c r="AJ29" s="31">
        <f t="shared" si="26"/>
        <v>0</v>
      </c>
      <c r="AK29" s="31">
        <f t="shared" si="26"/>
        <v>0</v>
      </c>
      <c r="AL29" s="31">
        <f t="shared" si="26"/>
        <v>0</v>
      </c>
      <c r="AM29" s="31">
        <f t="shared" si="26"/>
        <v>0</v>
      </c>
      <c r="AN29" s="31">
        <f t="shared" si="26"/>
        <v>0</v>
      </c>
      <c r="AO29" s="31">
        <f t="shared" si="26"/>
        <v>0</v>
      </c>
      <c r="AP29" s="31">
        <f t="shared" si="26"/>
        <v>0</v>
      </c>
      <c r="AQ29" s="31">
        <f t="shared" si="26"/>
        <v>0</v>
      </c>
      <c r="AR29" s="31">
        <f t="shared" si="26"/>
        <v>0</v>
      </c>
      <c r="AS29" s="31">
        <f t="shared" si="26"/>
        <v>0</v>
      </c>
      <c r="AT29" s="31">
        <f t="shared" si="26"/>
        <v>0</v>
      </c>
      <c r="AU29" s="31">
        <f t="shared" si="26"/>
        <v>0</v>
      </c>
      <c r="AV29" s="31">
        <f t="shared" si="26"/>
        <v>0</v>
      </c>
      <c r="AW29" s="31">
        <f t="shared" si="26"/>
        <v>0</v>
      </c>
      <c r="AX29" s="31">
        <f t="shared" si="26"/>
        <v>0</v>
      </c>
      <c r="AY29" s="31">
        <f t="shared" si="26"/>
        <v>0</v>
      </c>
      <c r="AZ29" s="32">
        <f t="shared" si="26"/>
        <v>0</v>
      </c>
      <c r="BC29" s="157"/>
      <c r="BD29">
        <v>1</v>
      </c>
      <c r="BE29">
        <v>2</v>
      </c>
      <c r="BF29">
        <v>3</v>
      </c>
      <c r="BG29">
        <v>4</v>
      </c>
      <c r="BH29">
        <v>5</v>
      </c>
      <c r="BI29">
        <v>6</v>
      </c>
      <c r="BJ29">
        <v>7</v>
      </c>
      <c r="BK29">
        <v>8</v>
      </c>
      <c r="BL29">
        <v>9</v>
      </c>
      <c r="BM29">
        <v>10</v>
      </c>
      <c r="BN29">
        <v>11</v>
      </c>
      <c r="BO29">
        <v>12</v>
      </c>
      <c r="BP29">
        <v>13</v>
      </c>
      <c r="BQ29">
        <v>14</v>
      </c>
      <c r="BR29">
        <v>15</v>
      </c>
      <c r="BS29">
        <v>16</v>
      </c>
      <c r="BT29">
        <v>17</v>
      </c>
      <c r="BU29">
        <v>18</v>
      </c>
      <c r="BV29">
        <v>19</v>
      </c>
      <c r="BW29">
        <v>20</v>
      </c>
      <c r="BX29">
        <v>21</v>
      </c>
      <c r="BY29">
        <v>22</v>
      </c>
      <c r="BZ29">
        <v>23</v>
      </c>
      <c r="CA29">
        <v>24</v>
      </c>
      <c r="CB29">
        <v>25</v>
      </c>
    </row>
    <row r="30" spans="1:80" x14ac:dyDescent="0.25">
      <c r="A30">
        <v>2</v>
      </c>
      <c r="B30">
        <f>IF(ISNA(VLOOKUP($A30,SXS_Transit_input!$A$28:$W$49,MATCH(SXS_Transit_temp!B$28,SXS_Transit_input!$B$27:$W$27,0)+1,FALSE)),0,VLOOKUP($A30,SXS_Transit_input!$A$28:$W$49,MATCH(SXS_Transit_temp!B$28,SXS_Transit_input!$B$27:$W$27,0)+1,FALSE))+IF(ISNA(VLOOKUP($A30,SXS_Transit_input!$A$71:$L$81,MATCH(SXS_Transit_temp!B$28,SXS_Transit_input!$B$70:$L$70,0)+1,FALSE)),0,VLOOKUP($A30,SXS_Transit_input!$A$71:$L$81,MATCH(SXS_Transit_temp!B$28,SXS_Transit_input!$B$70:$L$70,0)+1,FALSE))</f>
        <v>32159.55171</v>
      </c>
      <c r="C30">
        <f>IF(ISNA(VLOOKUP($A30,SXS_Transit_input!$A$28:$W$49,MATCH(SXS_Transit_temp!C$28,SXS_Transit_input!$B$27:$W$27,0)+1,FALSE)),0,VLOOKUP($A30,SXS_Transit_input!$A$28:$W$49,MATCH(SXS_Transit_temp!C$28,SXS_Transit_input!$B$27:$W$27,0)+1,FALSE))+IF(ISNA(VLOOKUP($A30,SXS_Transit_input!$A$71:$L$81,MATCH(SXS_Transit_temp!C$28,SXS_Transit_input!$B$70:$L$70,0)+1,FALSE)),0,VLOOKUP($A30,SXS_Transit_input!$A$71:$L$81,MATCH(SXS_Transit_temp!C$28,SXS_Transit_input!$B$70:$L$70,0)+1,FALSE))</f>
        <v>20250.797880000002</v>
      </c>
      <c r="D30">
        <f>IF(ISNA(VLOOKUP($A30,SXS_Transit_input!$A$28:$W$49,MATCH(SXS_Transit_temp!D$28,SXS_Transit_input!$B$27:$W$27,0)+1,FALSE)),0,VLOOKUP($A30,SXS_Transit_input!$A$28:$W$49,MATCH(SXS_Transit_temp!D$28,SXS_Transit_input!$B$27:$W$27,0)+1,FALSE))+IF(ISNA(VLOOKUP($A30,SXS_Transit_input!$A$71:$L$81,MATCH(SXS_Transit_temp!D$28,SXS_Transit_input!$B$70:$L$70,0)+1,FALSE)),0,VLOOKUP($A30,SXS_Transit_input!$A$71:$L$81,MATCH(SXS_Transit_temp!D$28,SXS_Transit_input!$B$70:$L$70,0)+1,FALSE))</f>
        <v>2536.12934</v>
      </c>
      <c r="E30">
        <f>IF(ISNA(VLOOKUP($A30,SXS_Transit_input!$A$28:$W$49,MATCH(SXS_Transit_temp!E$28,SXS_Transit_input!$B$27:$W$27,0)+1,FALSE)),0,VLOOKUP($A30,SXS_Transit_input!$A$28:$W$49,MATCH(SXS_Transit_temp!E$28,SXS_Transit_input!$B$27:$W$27,0)+1,FALSE))+IF(ISNA(VLOOKUP($A30,SXS_Transit_input!$A$71:$L$81,MATCH(SXS_Transit_temp!E$28,SXS_Transit_input!$B$70:$L$70,0)+1,FALSE)),0,VLOOKUP($A30,SXS_Transit_input!$A$71:$L$81,MATCH(SXS_Transit_temp!E$28,SXS_Transit_input!$B$70:$L$70,0)+1,FALSE))</f>
        <v>204.59817000000001</v>
      </c>
      <c r="F30">
        <f>IF(ISNA(VLOOKUP($A30,SXS_Transit_input!$A$28:$W$49,MATCH(SXS_Transit_temp!F$28,SXS_Transit_input!$B$27:$W$27,0)+1,FALSE)),0,VLOOKUP($A30,SXS_Transit_input!$A$28:$W$49,MATCH(SXS_Transit_temp!F$28,SXS_Transit_input!$B$27:$W$27,0)+1,FALSE))+IF(ISNA(VLOOKUP($A30,SXS_Transit_input!$A$71:$L$81,MATCH(SXS_Transit_temp!F$28,SXS_Transit_input!$B$70:$L$70,0)+1,FALSE)),0,VLOOKUP($A30,SXS_Transit_input!$A$71:$L$81,MATCH(SXS_Transit_temp!F$28,SXS_Transit_input!$B$70:$L$70,0)+1,FALSE))</f>
        <v>511.56101999999998</v>
      </c>
      <c r="G30">
        <f>IF(ISNA(VLOOKUP($A30,SXS_Transit_input!$A$28:$W$49,MATCH(SXS_Transit_temp!G$28,SXS_Transit_input!$B$27:$W$27,0)+1,FALSE)),0,VLOOKUP($A30,SXS_Transit_input!$A$28:$W$49,MATCH(SXS_Transit_temp!G$28,SXS_Transit_input!$B$27:$W$27,0)+1,FALSE))+IF(ISNA(VLOOKUP($A30,SXS_Transit_input!$A$71:$L$81,MATCH(SXS_Transit_temp!G$28,SXS_Transit_input!$B$70:$L$70,0)+1,FALSE)),0,VLOOKUP($A30,SXS_Transit_input!$A$71:$L$81,MATCH(SXS_Transit_temp!G$28,SXS_Transit_input!$B$70:$L$70,0)+1,FALSE))</f>
        <v>2387.991</v>
      </c>
      <c r="H30">
        <f>IF(ISNA(VLOOKUP($A30,SXS_Transit_input!$A$28:$W$49,MATCH(SXS_Transit_temp!H$28,SXS_Transit_input!$B$27:$W$27,0)+1,FALSE)),0,VLOOKUP($A30,SXS_Transit_input!$A$28:$W$49,MATCH(SXS_Transit_temp!H$28,SXS_Transit_input!$B$27:$W$27,0)+1,FALSE))+IF(ISNA(VLOOKUP($A30,SXS_Transit_input!$A$71:$L$81,MATCH(SXS_Transit_temp!H$28,SXS_Transit_input!$B$70:$L$70,0)+1,FALSE)),0,VLOOKUP($A30,SXS_Transit_input!$A$71:$L$81,MATCH(SXS_Transit_temp!H$28,SXS_Transit_input!$B$70:$L$70,0)+1,FALSE))</f>
        <v>92.528989999999993</v>
      </c>
      <c r="I30">
        <f>IF(ISNA(VLOOKUP($A30,SXS_Transit_input!$A$28:$W$49,MATCH(SXS_Transit_temp!I$28,SXS_Transit_input!$B$27:$W$27,0)+1,FALSE)),0,VLOOKUP($A30,SXS_Transit_input!$A$28:$W$49,MATCH(SXS_Transit_temp!I$28,SXS_Transit_input!$B$27:$W$27,0)+1,FALSE))+IF(ISNA(VLOOKUP($A30,SXS_Transit_input!$A$71:$L$81,MATCH(SXS_Transit_temp!I$28,SXS_Transit_input!$B$70:$L$70,0)+1,FALSE)),0,VLOOKUP($A30,SXS_Transit_input!$A$71:$L$81,MATCH(SXS_Transit_temp!I$28,SXS_Transit_input!$B$70:$L$70,0)+1,FALSE))</f>
        <v>246.28182000000001</v>
      </c>
      <c r="J30">
        <f>IF(ISNA(VLOOKUP($A30,SXS_Transit_input!$A$28:$W$49,MATCH(SXS_Transit_temp!J$28,SXS_Transit_input!$B$27:$W$27,0)+1,FALSE)),0,VLOOKUP($A30,SXS_Transit_input!$A$28:$W$49,MATCH(SXS_Transit_temp!J$28,SXS_Transit_input!$B$27:$W$27,0)+1,FALSE))+IF(ISNA(VLOOKUP($A30,SXS_Transit_input!$A$71:$L$81,MATCH(SXS_Transit_temp!J$28,SXS_Transit_input!$B$70:$L$70,0)+1,FALSE)),0,VLOOKUP($A30,SXS_Transit_input!$A$71:$L$81,MATCH(SXS_Transit_temp!J$28,SXS_Transit_input!$B$70:$L$70,0)+1,FALSE))</f>
        <v>349.00179000000003</v>
      </c>
      <c r="K30">
        <f>IF(ISNA(VLOOKUP($A30,SXS_Transit_input!$A$28:$W$49,MATCH(SXS_Transit_temp!K$28,SXS_Transit_input!$B$27:$W$27,0)+1,FALSE)),0,VLOOKUP($A30,SXS_Transit_input!$A$28:$W$49,MATCH(SXS_Transit_temp!K$28,SXS_Transit_input!$B$27:$W$27,0)+1,FALSE))+IF(ISNA(VLOOKUP($A30,SXS_Transit_input!$A$71:$L$81,MATCH(SXS_Transit_temp!K$28,SXS_Transit_input!$B$70:$L$70,0)+1,FALSE)),0,VLOOKUP($A30,SXS_Transit_input!$A$71:$L$81,MATCH(SXS_Transit_temp!K$28,SXS_Transit_input!$B$70:$L$70,0)+1,FALSE))</f>
        <v>84.101759999999999</v>
      </c>
      <c r="L30">
        <f>IF(ISNA(VLOOKUP($A30,SXS_Transit_input!$A$28:$W$49,MATCH(SXS_Transit_temp!L$28,SXS_Transit_input!$B$27:$W$27,0)+1,FALSE)),0,VLOOKUP($A30,SXS_Transit_input!$A$28:$W$49,MATCH(SXS_Transit_temp!L$28,SXS_Transit_input!$B$27:$W$27,0)+1,FALSE))+IF(ISNA(VLOOKUP($A30,SXS_Transit_input!$A$71:$L$81,MATCH(SXS_Transit_temp!L$28,SXS_Transit_input!$B$70:$L$70,0)+1,FALSE)),0,VLOOKUP($A30,SXS_Transit_input!$A$71:$L$81,MATCH(SXS_Transit_temp!L$28,SXS_Transit_input!$B$70:$L$70,0)+1,FALSE))</f>
        <v>0</v>
      </c>
      <c r="M30">
        <f>IF(ISNA(VLOOKUP($A30,SXS_Transit_input!$A$28:$W$49,MATCH(SXS_Transit_temp!M$28,SXS_Transit_input!$B$27:$W$27,0)+1,FALSE)),0,VLOOKUP($A30,SXS_Transit_input!$A$28:$W$49,MATCH(SXS_Transit_temp!M$28,SXS_Transit_input!$B$27:$W$27,0)+1,FALSE))+IF(ISNA(VLOOKUP($A30,SXS_Transit_input!$A$71:$L$81,MATCH(SXS_Transit_temp!M$28,SXS_Transit_input!$B$70:$L$70,0)+1,FALSE)),0,VLOOKUP($A30,SXS_Transit_input!$A$71:$L$81,MATCH(SXS_Transit_temp!M$28,SXS_Transit_input!$B$70:$L$70,0)+1,FALSE))</f>
        <v>1077.3635400000001</v>
      </c>
      <c r="N30">
        <f>IF(ISNA(VLOOKUP($A30,SXS_Transit_input!$A$28:$W$49,MATCH(SXS_Transit_temp!N$28,SXS_Transit_input!$B$27:$W$27,0)+1,FALSE)),0,VLOOKUP($A30,SXS_Transit_input!$A$28:$W$49,MATCH(SXS_Transit_temp!N$28,SXS_Transit_input!$B$27:$W$27,0)+1,FALSE))+IF(ISNA(VLOOKUP($A30,SXS_Transit_input!$A$71:$L$81,MATCH(SXS_Transit_temp!N$28,SXS_Transit_input!$B$70:$L$70,0)+1,FALSE)),0,VLOOKUP($A30,SXS_Transit_input!$A$71:$L$81,MATCH(SXS_Transit_temp!N$28,SXS_Transit_input!$B$70:$L$70,0)+1,FALSE))</f>
        <v>7.5394199999999998</v>
      </c>
      <c r="O30">
        <f>IF(ISNA(VLOOKUP($A30,SXS_Transit_input!$A$28:$W$49,MATCH(SXS_Transit_temp!O$28,SXS_Transit_input!$B$27:$W$27,0)+1,FALSE)),0,VLOOKUP($A30,SXS_Transit_input!$A$28:$W$49,MATCH(SXS_Transit_temp!O$28,SXS_Transit_input!$B$27:$W$27,0)+1,FALSE))+IF(ISNA(VLOOKUP($A30,SXS_Transit_input!$A$71:$L$81,MATCH(SXS_Transit_temp!O$28,SXS_Transit_input!$B$70:$L$70,0)+1,FALSE)),0,VLOOKUP($A30,SXS_Transit_input!$A$71:$L$81,MATCH(SXS_Transit_temp!O$28,SXS_Transit_input!$B$70:$L$70,0)+1,FALSE))</f>
        <v>0</v>
      </c>
      <c r="P30">
        <f>IF(ISNA(VLOOKUP($A30,SXS_Transit_input!$A$28:$W$49,MATCH(SXS_Transit_temp!P$28,SXS_Transit_input!$B$27:$W$27,0)+1,FALSE)),0,VLOOKUP($A30,SXS_Transit_input!$A$28:$W$49,MATCH(SXS_Transit_temp!P$28,SXS_Transit_input!$B$27:$W$27,0)+1,FALSE))+IF(ISNA(VLOOKUP($A30,SXS_Transit_input!$A$71:$L$81,MATCH(SXS_Transit_temp!P$28,SXS_Transit_input!$B$70:$L$70,0)+1,FALSE)),0,VLOOKUP($A30,SXS_Transit_input!$A$71:$L$81,MATCH(SXS_Transit_temp!P$28,SXS_Transit_input!$B$70:$L$70,0)+1,FALSE))</f>
        <v>0</v>
      </c>
      <c r="Q30">
        <f>IF(ISNA(VLOOKUP($A30,SXS_Transit_input!$A$28:$W$49,MATCH(SXS_Transit_temp!Q$28,SXS_Transit_input!$B$27:$W$27,0)+1,FALSE)),0,VLOOKUP($A30,SXS_Transit_input!$A$28:$W$49,MATCH(SXS_Transit_temp!Q$28,SXS_Transit_input!$B$27:$W$27,0)+1,FALSE))+IF(ISNA(VLOOKUP($A30,SXS_Transit_input!$A$71:$L$81,MATCH(SXS_Transit_temp!Q$28,SXS_Transit_input!$B$70:$L$70,0)+1,FALSE)),0,VLOOKUP($A30,SXS_Transit_input!$A$71:$L$81,MATCH(SXS_Transit_temp!Q$28,SXS_Transit_input!$B$70:$L$70,0)+1,FALSE))</f>
        <v>0</v>
      </c>
      <c r="R30">
        <f>IF(ISNA(VLOOKUP($A30,SXS_Transit_input!$A$28:$W$49,MATCH(SXS_Transit_temp!R$28,SXS_Transit_input!$B$27:$W$27,0)+1,FALSE)),0,VLOOKUP($A30,SXS_Transit_input!$A$28:$W$49,MATCH(SXS_Transit_temp!R$28,SXS_Transit_input!$B$27:$W$27,0)+1,FALSE))+IF(ISNA(VLOOKUP($A30,SXS_Transit_input!$A$71:$L$81,MATCH(SXS_Transit_temp!R$28,SXS_Transit_input!$B$70:$L$70,0)+1,FALSE)),0,VLOOKUP($A30,SXS_Transit_input!$A$71:$L$81,MATCH(SXS_Transit_temp!R$28,SXS_Transit_input!$B$70:$L$70,0)+1,FALSE))</f>
        <v>0</v>
      </c>
      <c r="S30">
        <f>IF(ISNA(VLOOKUP($A30,SXS_Transit_input!$A$28:$W$49,MATCH(SXS_Transit_temp!S$28,SXS_Transit_input!$B$27:$W$27,0)+1,FALSE)),0,VLOOKUP($A30,SXS_Transit_input!$A$28:$W$49,MATCH(SXS_Transit_temp!S$28,SXS_Transit_input!$B$27:$W$27,0)+1,FALSE))+IF(ISNA(VLOOKUP($A30,SXS_Transit_input!$A$71:$L$81,MATCH(SXS_Transit_temp!S$28,SXS_Transit_input!$B$70:$L$70,0)+1,FALSE)),0,VLOOKUP($A30,SXS_Transit_input!$A$71:$L$81,MATCH(SXS_Transit_temp!S$28,SXS_Transit_input!$B$70:$L$70,0)+1,FALSE))</f>
        <v>0</v>
      </c>
      <c r="T30">
        <f>IF(ISNA(VLOOKUP($A30,SXS_Transit_input!$A$28:$W$49,MATCH(SXS_Transit_temp!T$28,SXS_Transit_input!$B$27:$W$27,0)+1,FALSE)),0,VLOOKUP($A30,SXS_Transit_input!$A$28:$W$49,MATCH(SXS_Transit_temp!T$28,SXS_Transit_input!$B$27:$W$27,0)+1,FALSE))+IF(ISNA(VLOOKUP($A30,SXS_Transit_input!$A$71:$L$81,MATCH(SXS_Transit_temp!T$28,SXS_Transit_input!$B$70:$L$70,0)+1,FALSE)),0,VLOOKUP($A30,SXS_Transit_input!$A$71:$L$81,MATCH(SXS_Transit_temp!T$28,SXS_Transit_input!$B$70:$L$70,0)+1,FALSE))</f>
        <v>0</v>
      </c>
      <c r="U30">
        <f>IF(ISNA(VLOOKUP($A30,SXS_Transit_input!$A$28:$W$49,MATCH(SXS_Transit_temp!U$28,SXS_Transit_input!$B$27:$W$27,0)+1,FALSE)),0,VLOOKUP($A30,SXS_Transit_input!$A$28:$W$49,MATCH(SXS_Transit_temp!U$28,SXS_Transit_input!$B$27:$W$27,0)+1,FALSE))+IF(ISNA(VLOOKUP($A30,SXS_Transit_input!$A$71:$L$81,MATCH(SXS_Transit_temp!U$28,SXS_Transit_input!$B$70:$L$70,0)+1,FALSE)),0,VLOOKUP($A30,SXS_Transit_input!$A$71:$L$81,MATCH(SXS_Transit_temp!U$28,SXS_Transit_input!$B$70:$L$70,0)+1,FALSE))</f>
        <v>161.19513000000001</v>
      </c>
      <c r="V30">
        <f>IF(ISNA(VLOOKUP($A30,SXS_Transit_input!$A$28:$W$49,MATCH(SXS_Transit_temp!V$28,SXS_Transit_input!$B$27:$W$27,0)+1,FALSE)),0,VLOOKUP($A30,SXS_Transit_input!$A$28:$W$49,MATCH(SXS_Transit_temp!V$28,SXS_Transit_input!$B$27:$W$27,0)+1,FALSE))+IF(ISNA(VLOOKUP($A30,SXS_Transit_input!$A$71:$L$81,MATCH(SXS_Transit_temp!V$28,SXS_Transit_input!$B$70:$L$70,0)+1,FALSE)),0,VLOOKUP($A30,SXS_Transit_input!$A$71:$L$81,MATCH(SXS_Transit_temp!V$28,SXS_Transit_input!$B$70:$L$70,0)+1,FALSE))</f>
        <v>462.55230999999998</v>
      </c>
      <c r="W30">
        <f>IF(ISNA(VLOOKUP($A30,SXS_Transit_input!$A$28:$W$49,MATCH(SXS_Transit_temp!W$28,SXS_Transit_input!$B$27:$W$27,0)+1,FALSE)),0,VLOOKUP($A30,SXS_Transit_input!$A$28:$W$49,MATCH(SXS_Transit_temp!W$28,SXS_Transit_input!$B$27:$W$27,0)+1,FALSE))+IF(ISNA(VLOOKUP($A30,SXS_Transit_input!$A$71:$L$81,MATCH(SXS_Transit_temp!W$28,SXS_Transit_input!$B$70:$L$70,0)+1,FALSE)),0,VLOOKUP($A30,SXS_Transit_input!$A$71:$L$81,MATCH(SXS_Transit_temp!W$28,SXS_Transit_input!$B$70:$L$70,0)+1,FALSE))</f>
        <v>0</v>
      </c>
      <c r="X30">
        <f>IF(ISNA(VLOOKUP($A30,SXS_Transit_input!$A$28:$W$49,MATCH(SXS_Transit_temp!X$28,SXS_Transit_input!$B$27:$W$27,0)+1,FALSE)),0,VLOOKUP($A30,SXS_Transit_input!$A$28:$W$49,MATCH(SXS_Transit_temp!X$28,SXS_Transit_input!$B$27:$W$27,0)+1,FALSE))+IF(ISNA(VLOOKUP($A30,SXS_Transit_input!$A$71:$L$81,MATCH(SXS_Transit_temp!X$28,SXS_Transit_input!$B$70:$L$70,0)+1,FALSE)),0,VLOOKUP($A30,SXS_Transit_input!$A$71:$L$81,MATCH(SXS_Transit_temp!X$28,SXS_Transit_input!$B$70:$L$70,0)+1,FALSE))</f>
        <v>0</v>
      </c>
      <c r="Y30">
        <f>IF(ISNA(VLOOKUP($A30,SXS_Transit_input!$A$28:$W$49,MATCH(SXS_Transit_temp!Y$28,SXS_Transit_input!$B$27:$W$27,0)+1,FALSE)),0,VLOOKUP($A30,SXS_Transit_input!$A$28:$W$49,MATCH(SXS_Transit_temp!Y$28,SXS_Transit_input!$B$27:$W$27,0)+1,FALSE))+IF(ISNA(VLOOKUP($A30,SXS_Transit_input!$A$71:$L$81,MATCH(SXS_Transit_temp!Y$28,SXS_Transit_input!$B$70:$L$70,0)+1,FALSE)),0,VLOOKUP($A30,SXS_Transit_input!$A$71:$L$81,MATCH(SXS_Transit_temp!Y$28,SXS_Transit_input!$B$70:$L$70,0)+1,FALSE))</f>
        <v>0</v>
      </c>
      <c r="Z30">
        <f>IF(ISNA(VLOOKUP($A30,SXS_Transit_input!$A$28:$W$49,MATCH(SXS_Transit_temp!Z$28,SXS_Transit_input!$B$27:$W$27,0)+1,FALSE)),0,VLOOKUP($A30,SXS_Transit_input!$A$28:$W$49,MATCH(SXS_Transit_temp!Z$28,SXS_Transit_input!$B$27:$W$27,0)+1,FALSE))+IF(ISNA(VLOOKUP($A30,SXS_Transit_input!$A$71:$L$81,MATCH(SXS_Transit_temp!Z$28,SXS_Transit_input!$B$70:$L$70,0)+1,FALSE)),0,VLOOKUP($A30,SXS_Transit_input!$A$71:$L$81,MATCH(SXS_Transit_temp!Z$28,SXS_Transit_input!$B$70:$L$70,0)+1,FALSE))</f>
        <v>0</v>
      </c>
      <c r="AA30">
        <v>2</v>
      </c>
      <c r="AB30" s="33">
        <f t="shared" ref="AB30:AB53" si="27">BD31+BD85</f>
        <v>3346</v>
      </c>
      <c r="AC30" s="34">
        <f t="shared" si="26"/>
        <v>504</v>
      </c>
      <c r="AD30" s="34">
        <f t="shared" si="26"/>
        <v>46</v>
      </c>
      <c r="AE30" s="34">
        <f t="shared" si="26"/>
        <v>22</v>
      </c>
      <c r="AF30" s="34">
        <f t="shared" si="26"/>
        <v>4</v>
      </c>
      <c r="AG30" s="34">
        <f t="shared" si="26"/>
        <v>2</v>
      </c>
      <c r="AH30" s="34">
        <f t="shared" si="26"/>
        <v>2</v>
      </c>
      <c r="AI30" s="34">
        <f t="shared" si="26"/>
        <v>14</v>
      </c>
      <c r="AJ30" s="34">
        <f t="shared" si="26"/>
        <v>16</v>
      </c>
      <c r="AK30" s="34">
        <f t="shared" si="26"/>
        <v>2</v>
      </c>
      <c r="AL30" s="34">
        <f t="shared" si="26"/>
        <v>0</v>
      </c>
      <c r="AM30" s="34">
        <f t="shared" si="26"/>
        <v>0</v>
      </c>
      <c r="AN30" s="34">
        <f t="shared" si="26"/>
        <v>0</v>
      </c>
      <c r="AO30" s="34">
        <f t="shared" si="26"/>
        <v>0</v>
      </c>
      <c r="AP30" s="34">
        <f t="shared" si="26"/>
        <v>0</v>
      </c>
      <c r="AQ30" s="34">
        <f t="shared" si="26"/>
        <v>0</v>
      </c>
      <c r="AR30" s="34">
        <f t="shared" si="26"/>
        <v>0</v>
      </c>
      <c r="AS30" s="34">
        <f t="shared" si="26"/>
        <v>0</v>
      </c>
      <c r="AT30" s="34">
        <f t="shared" si="26"/>
        <v>0</v>
      </c>
      <c r="AU30" s="34">
        <f t="shared" si="26"/>
        <v>0</v>
      </c>
      <c r="AV30" s="34">
        <f t="shared" si="26"/>
        <v>2</v>
      </c>
      <c r="AW30" s="34">
        <f t="shared" si="26"/>
        <v>0</v>
      </c>
      <c r="AX30" s="34">
        <f t="shared" si="26"/>
        <v>0</v>
      </c>
      <c r="AY30" s="34">
        <f t="shared" si="26"/>
        <v>0</v>
      </c>
      <c r="AZ30" s="35">
        <f t="shared" si="26"/>
        <v>0</v>
      </c>
      <c r="BC30" s="157">
        <v>1</v>
      </c>
      <c r="BD30">
        <v>836</v>
      </c>
      <c r="BE30">
        <v>20</v>
      </c>
      <c r="BF30">
        <v>4</v>
      </c>
      <c r="BG30">
        <v>6</v>
      </c>
      <c r="BH30">
        <v>6</v>
      </c>
      <c r="BI30">
        <v>2</v>
      </c>
      <c r="BJ30">
        <v>10</v>
      </c>
      <c r="BK30">
        <v>12</v>
      </c>
      <c r="BL30">
        <v>0</v>
      </c>
      <c r="BM30">
        <v>0</v>
      </c>
      <c r="BN30">
        <v>0</v>
      </c>
      <c r="BO30">
        <v>0</v>
      </c>
      <c r="BP30">
        <v>0</v>
      </c>
      <c r="BQ30">
        <v>0</v>
      </c>
      <c r="BR30">
        <v>0</v>
      </c>
      <c r="BS30">
        <v>0</v>
      </c>
      <c r="BT30">
        <v>0</v>
      </c>
      <c r="BU30">
        <v>0</v>
      </c>
      <c r="BV30">
        <v>0</v>
      </c>
      <c r="BW30">
        <v>0</v>
      </c>
      <c r="BX30">
        <v>0</v>
      </c>
      <c r="BY30">
        <v>0</v>
      </c>
      <c r="BZ30">
        <v>0</v>
      </c>
      <c r="CA30">
        <v>0</v>
      </c>
      <c r="CB30">
        <v>0</v>
      </c>
    </row>
    <row r="31" spans="1:80" x14ac:dyDescent="0.25">
      <c r="A31">
        <v>3</v>
      </c>
      <c r="B31">
        <f>IF(ISNA(VLOOKUP($A31,SXS_Transit_input!$A$28:$W$49,MATCH(SXS_Transit_temp!B$28,SXS_Transit_input!$B$27:$W$27,0)+1,FALSE)),0,VLOOKUP($A31,SXS_Transit_input!$A$28:$W$49,MATCH(SXS_Transit_temp!B$28,SXS_Transit_input!$B$27:$W$27,0)+1,FALSE))+IF(ISNA(VLOOKUP($A31,SXS_Transit_input!$A$71:$L$81,MATCH(SXS_Transit_temp!B$28,SXS_Transit_input!$B$70:$L$70,0)+1,FALSE)),0,VLOOKUP($A31,SXS_Transit_input!$A$71:$L$81,MATCH(SXS_Transit_temp!B$28,SXS_Transit_input!$B$70:$L$70,0)+1,FALSE))</f>
        <v>10448.40725</v>
      </c>
      <c r="C31">
        <f>IF(ISNA(VLOOKUP($A31,SXS_Transit_input!$A$28:$W$49,MATCH(SXS_Transit_temp!C$28,SXS_Transit_input!$B$27:$W$27,0)+1,FALSE)),0,VLOOKUP($A31,SXS_Transit_input!$A$28:$W$49,MATCH(SXS_Transit_temp!C$28,SXS_Transit_input!$B$27:$W$27,0)+1,FALSE))+IF(ISNA(VLOOKUP($A31,SXS_Transit_input!$A$71:$L$81,MATCH(SXS_Transit_temp!C$28,SXS_Transit_input!$B$70:$L$70,0)+1,FALSE)),0,VLOOKUP($A31,SXS_Transit_input!$A$71:$L$81,MATCH(SXS_Transit_temp!C$28,SXS_Transit_input!$B$70:$L$70,0)+1,FALSE))</f>
        <v>2006.89356</v>
      </c>
      <c r="D31">
        <f>IF(ISNA(VLOOKUP($A31,SXS_Transit_input!$A$28:$W$49,MATCH(SXS_Transit_temp!D$28,SXS_Transit_input!$B$27:$W$27,0)+1,FALSE)),0,VLOOKUP($A31,SXS_Transit_input!$A$28:$W$49,MATCH(SXS_Transit_temp!D$28,SXS_Transit_input!$B$27:$W$27,0)+1,FALSE))+IF(ISNA(VLOOKUP($A31,SXS_Transit_input!$A$71:$L$81,MATCH(SXS_Transit_temp!D$28,SXS_Transit_input!$B$70:$L$70,0)+1,FALSE)),0,VLOOKUP($A31,SXS_Transit_input!$A$71:$L$81,MATCH(SXS_Transit_temp!D$28,SXS_Transit_input!$B$70:$L$70,0)+1,FALSE))</f>
        <v>3601.8515700000003</v>
      </c>
      <c r="E31">
        <f>IF(ISNA(VLOOKUP($A31,SXS_Transit_input!$A$28:$W$49,MATCH(SXS_Transit_temp!E$28,SXS_Transit_input!$B$27:$W$27,0)+1,FALSE)),0,VLOOKUP($A31,SXS_Transit_input!$A$28:$W$49,MATCH(SXS_Transit_temp!E$28,SXS_Transit_input!$B$27:$W$27,0)+1,FALSE))+IF(ISNA(VLOOKUP($A31,SXS_Transit_input!$A$71:$L$81,MATCH(SXS_Transit_temp!E$28,SXS_Transit_input!$B$70:$L$70,0)+1,FALSE)),0,VLOOKUP($A31,SXS_Transit_input!$A$71:$L$81,MATCH(SXS_Transit_temp!E$28,SXS_Transit_input!$B$70:$L$70,0)+1,FALSE))</f>
        <v>1115.96976</v>
      </c>
      <c r="F31">
        <f>IF(ISNA(VLOOKUP($A31,SXS_Transit_input!$A$28:$W$49,MATCH(SXS_Transit_temp!F$28,SXS_Transit_input!$B$27:$W$27,0)+1,FALSE)),0,VLOOKUP($A31,SXS_Transit_input!$A$28:$W$49,MATCH(SXS_Transit_temp!F$28,SXS_Transit_input!$B$27:$W$27,0)+1,FALSE))+IF(ISNA(VLOOKUP($A31,SXS_Transit_input!$A$71:$L$81,MATCH(SXS_Transit_temp!F$28,SXS_Transit_input!$B$70:$L$70,0)+1,FALSE)),0,VLOOKUP($A31,SXS_Transit_input!$A$71:$L$81,MATCH(SXS_Transit_temp!F$28,SXS_Transit_input!$B$70:$L$70,0)+1,FALSE))</f>
        <v>320.42063000000002</v>
      </c>
      <c r="G31">
        <f>IF(ISNA(VLOOKUP($A31,SXS_Transit_input!$A$28:$W$49,MATCH(SXS_Transit_temp!G$28,SXS_Transit_input!$B$27:$W$27,0)+1,FALSE)),0,VLOOKUP($A31,SXS_Transit_input!$A$28:$W$49,MATCH(SXS_Transit_temp!G$28,SXS_Transit_input!$B$27:$W$27,0)+1,FALSE))+IF(ISNA(VLOOKUP($A31,SXS_Transit_input!$A$71:$L$81,MATCH(SXS_Transit_temp!G$28,SXS_Transit_input!$B$70:$L$70,0)+1,FALSE)),0,VLOOKUP($A31,SXS_Transit_input!$A$71:$L$81,MATCH(SXS_Transit_temp!G$28,SXS_Transit_input!$B$70:$L$70,0)+1,FALSE))</f>
        <v>94.183000000000007</v>
      </c>
      <c r="H31">
        <f>IF(ISNA(VLOOKUP($A31,SXS_Transit_input!$A$28:$W$49,MATCH(SXS_Transit_temp!H$28,SXS_Transit_input!$B$27:$W$27,0)+1,FALSE)),0,VLOOKUP($A31,SXS_Transit_input!$A$28:$W$49,MATCH(SXS_Transit_temp!H$28,SXS_Transit_input!$B$27:$W$27,0)+1,FALSE))+IF(ISNA(VLOOKUP($A31,SXS_Transit_input!$A$71:$L$81,MATCH(SXS_Transit_temp!H$28,SXS_Transit_input!$B$70:$L$70,0)+1,FALSE)),0,VLOOKUP($A31,SXS_Transit_input!$A$71:$L$81,MATCH(SXS_Transit_temp!H$28,SXS_Transit_input!$B$70:$L$70,0)+1,FALSE))</f>
        <v>1027.8295000000001</v>
      </c>
      <c r="I31">
        <f>IF(ISNA(VLOOKUP($A31,SXS_Transit_input!$A$28:$W$49,MATCH(SXS_Transit_temp!I$28,SXS_Transit_input!$B$27:$W$27,0)+1,FALSE)),0,VLOOKUP($A31,SXS_Transit_input!$A$28:$W$49,MATCH(SXS_Transit_temp!I$28,SXS_Transit_input!$B$27:$W$27,0)+1,FALSE))+IF(ISNA(VLOOKUP($A31,SXS_Transit_input!$A$71:$L$81,MATCH(SXS_Transit_temp!I$28,SXS_Transit_input!$B$70:$L$70,0)+1,FALSE)),0,VLOOKUP($A31,SXS_Transit_input!$A$71:$L$81,MATCH(SXS_Transit_temp!I$28,SXS_Transit_input!$B$70:$L$70,0)+1,FALSE))</f>
        <v>422.90848</v>
      </c>
      <c r="J31">
        <f>IF(ISNA(VLOOKUP($A31,SXS_Transit_input!$A$28:$W$49,MATCH(SXS_Transit_temp!J$28,SXS_Transit_input!$B$27:$W$27,0)+1,FALSE)),0,VLOOKUP($A31,SXS_Transit_input!$A$28:$W$49,MATCH(SXS_Transit_temp!J$28,SXS_Transit_input!$B$27:$W$27,0)+1,FALSE))+IF(ISNA(VLOOKUP($A31,SXS_Transit_input!$A$71:$L$81,MATCH(SXS_Transit_temp!J$28,SXS_Transit_input!$B$70:$L$70,0)+1,FALSE)),0,VLOOKUP($A31,SXS_Transit_input!$A$71:$L$81,MATCH(SXS_Transit_temp!J$28,SXS_Transit_input!$B$70:$L$70,0)+1,FALSE))</f>
        <v>0</v>
      </c>
      <c r="K31">
        <f>IF(ISNA(VLOOKUP($A31,SXS_Transit_input!$A$28:$W$49,MATCH(SXS_Transit_temp!K$28,SXS_Transit_input!$B$27:$W$27,0)+1,FALSE)),0,VLOOKUP($A31,SXS_Transit_input!$A$28:$W$49,MATCH(SXS_Transit_temp!K$28,SXS_Transit_input!$B$27:$W$27,0)+1,FALSE))+IF(ISNA(VLOOKUP($A31,SXS_Transit_input!$A$71:$L$81,MATCH(SXS_Transit_temp!K$28,SXS_Transit_input!$B$70:$L$70,0)+1,FALSE)),0,VLOOKUP($A31,SXS_Transit_input!$A$71:$L$81,MATCH(SXS_Transit_temp!K$28,SXS_Transit_input!$B$70:$L$70,0)+1,FALSE))</f>
        <v>0</v>
      </c>
      <c r="L31">
        <f>IF(ISNA(VLOOKUP($A31,SXS_Transit_input!$A$28:$W$49,MATCH(SXS_Transit_temp!L$28,SXS_Transit_input!$B$27:$W$27,0)+1,FALSE)),0,VLOOKUP($A31,SXS_Transit_input!$A$28:$W$49,MATCH(SXS_Transit_temp!L$28,SXS_Transit_input!$B$27:$W$27,0)+1,FALSE))+IF(ISNA(VLOOKUP($A31,SXS_Transit_input!$A$71:$L$81,MATCH(SXS_Transit_temp!L$28,SXS_Transit_input!$B$70:$L$70,0)+1,FALSE)),0,VLOOKUP($A31,SXS_Transit_input!$A$71:$L$81,MATCH(SXS_Transit_temp!L$28,SXS_Transit_input!$B$70:$L$70,0)+1,FALSE))</f>
        <v>380.65186999999997</v>
      </c>
      <c r="M31">
        <f>IF(ISNA(VLOOKUP($A31,SXS_Transit_input!$A$28:$W$49,MATCH(SXS_Transit_temp!M$28,SXS_Transit_input!$B$27:$W$27,0)+1,FALSE)),0,VLOOKUP($A31,SXS_Transit_input!$A$28:$W$49,MATCH(SXS_Transit_temp!M$28,SXS_Transit_input!$B$27:$W$27,0)+1,FALSE))+IF(ISNA(VLOOKUP($A31,SXS_Transit_input!$A$71:$L$81,MATCH(SXS_Transit_temp!M$28,SXS_Transit_input!$B$70:$L$70,0)+1,FALSE)),0,VLOOKUP($A31,SXS_Transit_input!$A$71:$L$81,MATCH(SXS_Transit_temp!M$28,SXS_Transit_input!$B$70:$L$70,0)+1,FALSE))</f>
        <v>0</v>
      </c>
      <c r="N31">
        <f>IF(ISNA(VLOOKUP($A31,SXS_Transit_input!$A$28:$W$49,MATCH(SXS_Transit_temp!N$28,SXS_Transit_input!$B$27:$W$27,0)+1,FALSE)),0,VLOOKUP($A31,SXS_Transit_input!$A$28:$W$49,MATCH(SXS_Transit_temp!N$28,SXS_Transit_input!$B$27:$W$27,0)+1,FALSE))+IF(ISNA(VLOOKUP($A31,SXS_Transit_input!$A$71:$L$81,MATCH(SXS_Transit_temp!N$28,SXS_Transit_input!$B$70:$L$70,0)+1,FALSE)),0,VLOOKUP($A31,SXS_Transit_input!$A$71:$L$81,MATCH(SXS_Transit_temp!N$28,SXS_Transit_input!$B$70:$L$70,0)+1,FALSE))</f>
        <v>0</v>
      </c>
      <c r="O31">
        <f>IF(ISNA(VLOOKUP($A31,SXS_Transit_input!$A$28:$W$49,MATCH(SXS_Transit_temp!O$28,SXS_Transit_input!$B$27:$W$27,0)+1,FALSE)),0,VLOOKUP($A31,SXS_Transit_input!$A$28:$W$49,MATCH(SXS_Transit_temp!O$28,SXS_Transit_input!$B$27:$W$27,0)+1,FALSE))+IF(ISNA(VLOOKUP($A31,SXS_Transit_input!$A$71:$L$81,MATCH(SXS_Transit_temp!O$28,SXS_Transit_input!$B$70:$L$70,0)+1,FALSE)),0,VLOOKUP($A31,SXS_Transit_input!$A$71:$L$81,MATCH(SXS_Transit_temp!O$28,SXS_Transit_input!$B$70:$L$70,0)+1,FALSE))</f>
        <v>0</v>
      </c>
      <c r="P31">
        <f>IF(ISNA(VLOOKUP($A31,SXS_Transit_input!$A$28:$W$49,MATCH(SXS_Transit_temp!P$28,SXS_Transit_input!$B$27:$W$27,0)+1,FALSE)),0,VLOOKUP($A31,SXS_Transit_input!$A$28:$W$49,MATCH(SXS_Transit_temp!P$28,SXS_Transit_input!$B$27:$W$27,0)+1,FALSE))+IF(ISNA(VLOOKUP($A31,SXS_Transit_input!$A$71:$L$81,MATCH(SXS_Transit_temp!P$28,SXS_Transit_input!$B$70:$L$70,0)+1,FALSE)),0,VLOOKUP($A31,SXS_Transit_input!$A$71:$L$81,MATCH(SXS_Transit_temp!P$28,SXS_Transit_input!$B$70:$L$70,0)+1,FALSE))</f>
        <v>0</v>
      </c>
      <c r="Q31">
        <f>IF(ISNA(VLOOKUP($A31,SXS_Transit_input!$A$28:$W$49,MATCH(SXS_Transit_temp!Q$28,SXS_Transit_input!$B$27:$W$27,0)+1,FALSE)),0,VLOOKUP($A31,SXS_Transit_input!$A$28:$W$49,MATCH(SXS_Transit_temp!Q$28,SXS_Transit_input!$B$27:$W$27,0)+1,FALSE))+IF(ISNA(VLOOKUP($A31,SXS_Transit_input!$A$71:$L$81,MATCH(SXS_Transit_temp!Q$28,SXS_Transit_input!$B$70:$L$70,0)+1,FALSE)),0,VLOOKUP($A31,SXS_Transit_input!$A$71:$L$81,MATCH(SXS_Transit_temp!Q$28,SXS_Transit_input!$B$70:$L$70,0)+1,FALSE))</f>
        <v>0</v>
      </c>
      <c r="R31">
        <f>IF(ISNA(VLOOKUP($A31,SXS_Transit_input!$A$28:$W$49,MATCH(SXS_Transit_temp!R$28,SXS_Transit_input!$B$27:$W$27,0)+1,FALSE)),0,VLOOKUP($A31,SXS_Transit_input!$A$28:$W$49,MATCH(SXS_Transit_temp!R$28,SXS_Transit_input!$B$27:$W$27,0)+1,FALSE))+IF(ISNA(VLOOKUP($A31,SXS_Transit_input!$A$71:$L$81,MATCH(SXS_Transit_temp!R$28,SXS_Transit_input!$B$70:$L$70,0)+1,FALSE)),0,VLOOKUP($A31,SXS_Transit_input!$A$71:$L$81,MATCH(SXS_Transit_temp!R$28,SXS_Transit_input!$B$70:$L$70,0)+1,FALSE))</f>
        <v>0</v>
      </c>
      <c r="S31">
        <f>IF(ISNA(VLOOKUP($A31,SXS_Transit_input!$A$28:$W$49,MATCH(SXS_Transit_temp!S$28,SXS_Transit_input!$B$27:$W$27,0)+1,FALSE)),0,VLOOKUP($A31,SXS_Transit_input!$A$28:$W$49,MATCH(SXS_Transit_temp!S$28,SXS_Transit_input!$B$27:$W$27,0)+1,FALSE))+IF(ISNA(VLOOKUP($A31,SXS_Transit_input!$A$71:$L$81,MATCH(SXS_Transit_temp!S$28,SXS_Transit_input!$B$70:$L$70,0)+1,FALSE)),0,VLOOKUP($A31,SXS_Transit_input!$A$71:$L$81,MATCH(SXS_Transit_temp!S$28,SXS_Transit_input!$B$70:$L$70,0)+1,FALSE))</f>
        <v>182.81926000000001</v>
      </c>
      <c r="T31">
        <f>IF(ISNA(VLOOKUP($A31,SXS_Transit_input!$A$28:$W$49,MATCH(SXS_Transit_temp!T$28,SXS_Transit_input!$B$27:$W$27,0)+1,FALSE)),0,VLOOKUP($A31,SXS_Transit_input!$A$28:$W$49,MATCH(SXS_Transit_temp!T$28,SXS_Transit_input!$B$27:$W$27,0)+1,FALSE))+IF(ISNA(VLOOKUP($A31,SXS_Transit_input!$A$71:$L$81,MATCH(SXS_Transit_temp!T$28,SXS_Transit_input!$B$70:$L$70,0)+1,FALSE)),0,VLOOKUP($A31,SXS_Transit_input!$A$71:$L$81,MATCH(SXS_Transit_temp!T$28,SXS_Transit_input!$B$70:$L$70,0)+1,FALSE))</f>
        <v>0</v>
      </c>
      <c r="U31">
        <f>IF(ISNA(VLOOKUP($A31,SXS_Transit_input!$A$28:$W$49,MATCH(SXS_Transit_temp!U$28,SXS_Transit_input!$B$27:$W$27,0)+1,FALSE)),0,VLOOKUP($A31,SXS_Transit_input!$A$28:$W$49,MATCH(SXS_Transit_temp!U$28,SXS_Transit_input!$B$27:$W$27,0)+1,FALSE))+IF(ISNA(VLOOKUP($A31,SXS_Transit_input!$A$71:$L$81,MATCH(SXS_Transit_temp!U$28,SXS_Transit_input!$B$70:$L$70,0)+1,FALSE)),0,VLOOKUP($A31,SXS_Transit_input!$A$71:$L$81,MATCH(SXS_Transit_temp!U$28,SXS_Transit_input!$B$70:$L$70,0)+1,FALSE))</f>
        <v>385.0367</v>
      </c>
      <c r="V31">
        <f>IF(ISNA(VLOOKUP($A31,SXS_Transit_input!$A$28:$W$49,MATCH(SXS_Transit_temp!V$28,SXS_Transit_input!$B$27:$W$27,0)+1,FALSE)),0,VLOOKUP($A31,SXS_Transit_input!$A$28:$W$49,MATCH(SXS_Transit_temp!V$28,SXS_Transit_input!$B$27:$W$27,0)+1,FALSE))+IF(ISNA(VLOOKUP($A31,SXS_Transit_input!$A$71:$L$81,MATCH(SXS_Transit_temp!V$28,SXS_Transit_input!$B$70:$L$70,0)+1,FALSE)),0,VLOOKUP($A31,SXS_Transit_input!$A$71:$L$81,MATCH(SXS_Transit_temp!V$28,SXS_Transit_input!$B$70:$L$70,0)+1,FALSE))</f>
        <v>0</v>
      </c>
      <c r="W31">
        <f>IF(ISNA(VLOOKUP($A31,SXS_Transit_input!$A$28:$W$49,MATCH(SXS_Transit_temp!W$28,SXS_Transit_input!$B$27:$W$27,0)+1,FALSE)),0,VLOOKUP($A31,SXS_Transit_input!$A$28:$W$49,MATCH(SXS_Transit_temp!W$28,SXS_Transit_input!$B$27:$W$27,0)+1,FALSE))+IF(ISNA(VLOOKUP($A31,SXS_Transit_input!$A$71:$L$81,MATCH(SXS_Transit_temp!W$28,SXS_Transit_input!$B$70:$L$70,0)+1,FALSE)),0,VLOOKUP($A31,SXS_Transit_input!$A$71:$L$81,MATCH(SXS_Transit_temp!W$28,SXS_Transit_input!$B$70:$L$70,0)+1,FALSE))</f>
        <v>0</v>
      </c>
      <c r="X31">
        <f>IF(ISNA(VLOOKUP($A31,SXS_Transit_input!$A$28:$W$49,MATCH(SXS_Transit_temp!X$28,SXS_Transit_input!$B$27:$W$27,0)+1,FALSE)),0,VLOOKUP($A31,SXS_Transit_input!$A$28:$W$49,MATCH(SXS_Transit_temp!X$28,SXS_Transit_input!$B$27:$W$27,0)+1,FALSE))+IF(ISNA(VLOOKUP($A31,SXS_Transit_input!$A$71:$L$81,MATCH(SXS_Transit_temp!X$28,SXS_Transit_input!$B$70:$L$70,0)+1,FALSE)),0,VLOOKUP($A31,SXS_Transit_input!$A$71:$L$81,MATCH(SXS_Transit_temp!X$28,SXS_Transit_input!$B$70:$L$70,0)+1,FALSE))</f>
        <v>0</v>
      </c>
      <c r="Y31">
        <f>IF(ISNA(VLOOKUP($A31,SXS_Transit_input!$A$28:$W$49,MATCH(SXS_Transit_temp!Y$28,SXS_Transit_input!$B$27:$W$27,0)+1,FALSE)),0,VLOOKUP($A31,SXS_Transit_input!$A$28:$W$49,MATCH(SXS_Transit_temp!Y$28,SXS_Transit_input!$B$27:$W$27,0)+1,FALSE))+IF(ISNA(VLOOKUP($A31,SXS_Transit_input!$A$71:$L$81,MATCH(SXS_Transit_temp!Y$28,SXS_Transit_input!$B$70:$L$70,0)+1,FALSE)),0,VLOOKUP($A31,SXS_Transit_input!$A$71:$L$81,MATCH(SXS_Transit_temp!Y$28,SXS_Transit_input!$B$70:$L$70,0)+1,FALSE))</f>
        <v>0</v>
      </c>
      <c r="Z31">
        <f>IF(ISNA(VLOOKUP($A31,SXS_Transit_input!$A$28:$W$49,MATCH(SXS_Transit_temp!Z$28,SXS_Transit_input!$B$27:$W$27,0)+1,FALSE)),0,VLOOKUP($A31,SXS_Transit_input!$A$28:$W$49,MATCH(SXS_Transit_temp!Z$28,SXS_Transit_input!$B$27:$W$27,0)+1,FALSE))+IF(ISNA(VLOOKUP($A31,SXS_Transit_input!$A$71:$L$81,MATCH(SXS_Transit_temp!Z$28,SXS_Transit_input!$B$70:$L$70,0)+1,FALSE)),0,VLOOKUP($A31,SXS_Transit_input!$A$71:$L$81,MATCH(SXS_Transit_temp!Z$28,SXS_Transit_input!$B$70:$L$70,0)+1,FALSE))</f>
        <v>0</v>
      </c>
      <c r="AA31">
        <v>3</v>
      </c>
      <c r="AB31" s="33">
        <f t="shared" si="27"/>
        <v>1970</v>
      </c>
      <c r="AC31" s="34">
        <f t="shared" si="26"/>
        <v>68</v>
      </c>
      <c r="AD31" s="34">
        <f t="shared" si="26"/>
        <v>186</v>
      </c>
      <c r="AE31" s="34">
        <f t="shared" si="26"/>
        <v>34</v>
      </c>
      <c r="AF31" s="34">
        <f t="shared" si="26"/>
        <v>10</v>
      </c>
      <c r="AG31" s="34">
        <f t="shared" si="26"/>
        <v>0</v>
      </c>
      <c r="AH31" s="34">
        <f t="shared" si="26"/>
        <v>0</v>
      </c>
      <c r="AI31" s="34">
        <f t="shared" si="26"/>
        <v>12</v>
      </c>
      <c r="AJ31" s="34">
        <f t="shared" si="26"/>
        <v>8</v>
      </c>
      <c r="AK31" s="34">
        <f t="shared" si="26"/>
        <v>2</v>
      </c>
      <c r="AL31" s="34">
        <f t="shared" si="26"/>
        <v>0</v>
      </c>
      <c r="AM31" s="34">
        <f t="shared" si="26"/>
        <v>0</v>
      </c>
      <c r="AN31" s="34">
        <f t="shared" si="26"/>
        <v>0</v>
      </c>
      <c r="AO31" s="34">
        <f t="shared" si="26"/>
        <v>0</v>
      </c>
      <c r="AP31" s="34">
        <f t="shared" si="26"/>
        <v>0</v>
      </c>
      <c r="AQ31" s="34">
        <f t="shared" si="26"/>
        <v>0</v>
      </c>
      <c r="AR31" s="34">
        <f t="shared" si="26"/>
        <v>0</v>
      </c>
      <c r="AS31" s="34">
        <f t="shared" si="26"/>
        <v>0</v>
      </c>
      <c r="AT31" s="34">
        <f t="shared" si="26"/>
        <v>0</v>
      </c>
      <c r="AU31" s="34">
        <f t="shared" si="26"/>
        <v>0</v>
      </c>
      <c r="AV31" s="34">
        <f t="shared" si="26"/>
        <v>0</v>
      </c>
      <c r="AW31" s="34">
        <f t="shared" si="26"/>
        <v>0</v>
      </c>
      <c r="AX31" s="34">
        <f t="shared" si="26"/>
        <v>0</v>
      </c>
      <c r="AY31" s="34">
        <f t="shared" si="26"/>
        <v>0</v>
      </c>
      <c r="AZ31" s="35">
        <f t="shared" si="26"/>
        <v>0</v>
      </c>
      <c r="BC31" s="157">
        <v>2</v>
      </c>
      <c r="BD31">
        <v>3320</v>
      </c>
      <c r="BE31">
        <v>482</v>
      </c>
      <c r="BF31">
        <v>44</v>
      </c>
      <c r="BG31">
        <v>20</v>
      </c>
      <c r="BH31">
        <v>4</v>
      </c>
      <c r="BI31">
        <v>2</v>
      </c>
      <c r="BJ31">
        <v>2</v>
      </c>
      <c r="BK31">
        <v>14</v>
      </c>
      <c r="BL31">
        <v>16</v>
      </c>
      <c r="BM31">
        <v>2</v>
      </c>
      <c r="BN31">
        <v>0</v>
      </c>
      <c r="BO31">
        <v>0</v>
      </c>
      <c r="BP31">
        <v>0</v>
      </c>
      <c r="BQ31">
        <v>0</v>
      </c>
      <c r="BR31">
        <v>0</v>
      </c>
      <c r="BS31">
        <v>0</v>
      </c>
      <c r="BT31">
        <v>0</v>
      </c>
      <c r="BU31">
        <v>0</v>
      </c>
      <c r="BV31">
        <v>0</v>
      </c>
      <c r="BW31">
        <v>0</v>
      </c>
      <c r="BX31">
        <v>2</v>
      </c>
      <c r="BY31">
        <v>0</v>
      </c>
      <c r="BZ31">
        <v>0</v>
      </c>
      <c r="CA31">
        <v>0</v>
      </c>
      <c r="CB31">
        <v>0</v>
      </c>
    </row>
    <row r="32" spans="1:80" x14ac:dyDescent="0.25">
      <c r="A32">
        <v>4</v>
      </c>
      <c r="B32">
        <f>IF(ISNA(VLOOKUP($A32,SXS_Transit_input!$A$28:$W$49,MATCH(SXS_Transit_temp!B$28,SXS_Transit_input!$B$27:$W$27,0)+1,FALSE)),0,VLOOKUP($A32,SXS_Transit_input!$A$28:$W$49,MATCH(SXS_Transit_temp!B$28,SXS_Transit_input!$B$27:$W$27,0)+1,FALSE))+IF(ISNA(VLOOKUP($A32,SXS_Transit_input!$A$71:$L$81,MATCH(SXS_Transit_temp!B$28,SXS_Transit_input!$B$70:$L$70,0)+1,FALSE)),0,VLOOKUP($A32,SXS_Transit_input!$A$71:$L$81,MATCH(SXS_Transit_temp!B$28,SXS_Transit_input!$B$70:$L$70,0)+1,FALSE))</f>
        <v>1758.2408700000001</v>
      </c>
      <c r="C32">
        <f>IF(ISNA(VLOOKUP($A32,SXS_Transit_input!$A$28:$W$49,MATCH(SXS_Transit_temp!C$28,SXS_Transit_input!$B$27:$W$27,0)+1,FALSE)),0,VLOOKUP($A32,SXS_Transit_input!$A$28:$W$49,MATCH(SXS_Transit_temp!C$28,SXS_Transit_input!$B$27:$W$27,0)+1,FALSE))+IF(ISNA(VLOOKUP($A32,SXS_Transit_input!$A$71:$L$81,MATCH(SXS_Transit_temp!C$28,SXS_Transit_input!$B$70:$L$70,0)+1,FALSE)),0,VLOOKUP($A32,SXS_Transit_input!$A$71:$L$81,MATCH(SXS_Transit_temp!C$28,SXS_Transit_input!$B$70:$L$70,0)+1,FALSE))</f>
        <v>15.00403</v>
      </c>
      <c r="D32">
        <f>IF(ISNA(VLOOKUP($A32,SXS_Transit_input!$A$28:$W$49,MATCH(SXS_Transit_temp!D$28,SXS_Transit_input!$B$27:$W$27,0)+1,FALSE)),0,VLOOKUP($A32,SXS_Transit_input!$A$28:$W$49,MATCH(SXS_Transit_temp!D$28,SXS_Transit_input!$B$27:$W$27,0)+1,FALSE))+IF(ISNA(VLOOKUP($A32,SXS_Transit_input!$A$71:$L$81,MATCH(SXS_Transit_temp!D$28,SXS_Transit_input!$B$70:$L$70,0)+1,FALSE)),0,VLOOKUP($A32,SXS_Transit_input!$A$71:$L$81,MATCH(SXS_Transit_temp!D$28,SXS_Transit_input!$B$70:$L$70,0)+1,FALSE))</f>
        <v>2499.41255</v>
      </c>
      <c r="E32">
        <f>IF(ISNA(VLOOKUP($A32,SXS_Transit_input!$A$28:$W$49,MATCH(SXS_Transit_temp!E$28,SXS_Transit_input!$B$27:$W$27,0)+1,FALSE)),0,VLOOKUP($A32,SXS_Transit_input!$A$28:$W$49,MATCH(SXS_Transit_temp!E$28,SXS_Transit_input!$B$27:$W$27,0)+1,FALSE))+IF(ISNA(VLOOKUP($A32,SXS_Transit_input!$A$71:$L$81,MATCH(SXS_Transit_temp!E$28,SXS_Transit_input!$B$70:$L$70,0)+1,FALSE)),0,VLOOKUP($A32,SXS_Transit_input!$A$71:$L$81,MATCH(SXS_Transit_temp!E$28,SXS_Transit_input!$B$70:$L$70,0)+1,FALSE))</f>
        <v>707.68591000000004</v>
      </c>
      <c r="F32">
        <f>IF(ISNA(VLOOKUP($A32,SXS_Transit_input!$A$28:$W$49,MATCH(SXS_Transit_temp!F$28,SXS_Transit_input!$B$27:$W$27,0)+1,FALSE)),0,VLOOKUP($A32,SXS_Transit_input!$A$28:$W$49,MATCH(SXS_Transit_temp!F$28,SXS_Transit_input!$B$27:$W$27,0)+1,FALSE))+IF(ISNA(VLOOKUP($A32,SXS_Transit_input!$A$71:$L$81,MATCH(SXS_Transit_temp!F$28,SXS_Transit_input!$B$70:$L$70,0)+1,FALSE)),0,VLOOKUP($A32,SXS_Transit_input!$A$71:$L$81,MATCH(SXS_Transit_temp!F$28,SXS_Transit_input!$B$70:$L$70,0)+1,FALSE))</f>
        <v>593.91488000000004</v>
      </c>
      <c r="G32">
        <f>IF(ISNA(VLOOKUP($A32,SXS_Transit_input!$A$28:$W$49,MATCH(SXS_Transit_temp!G$28,SXS_Transit_input!$B$27:$W$27,0)+1,FALSE)),0,VLOOKUP($A32,SXS_Transit_input!$A$28:$W$49,MATCH(SXS_Transit_temp!G$28,SXS_Transit_input!$B$27:$W$27,0)+1,FALSE))+IF(ISNA(VLOOKUP($A32,SXS_Transit_input!$A$71:$L$81,MATCH(SXS_Transit_temp!G$28,SXS_Transit_input!$B$70:$L$70,0)+1,FALSE)),0,VLOOKUP($A32,SXS_Transit_input!$A$71:$L$81,MATCH(SXS_Transit_temp!G$28,SXS_Transit_input!$B$70:$L$70,0)+1,FALSE))</f>
        <v>0</v>
      </c>
      <c r="H32">
        <f>IF(ISNA(VLOOKUP($A32,SXS_Transit_input!$A$28:$W$49,MATCH(SXS_Transit_temp!H$28,SXS_Transit_input!$B$27:$W$27,0)+1,FALSE)),0,VLOOKUP($A32,SXS_Transit_input!$A$28:$W$49,MATCH(SXS_Transit_temp!H$28,SXS_Transit_input!$B$27:$W$27,0)+1,FALSE))+IF(ISNA(VLOOKUP($A32,SXS_Transit_input!$A$71:$L$81,MATCH(SXS_Transit_temp!H$28,SXS_Transit_input!$B$70:$L$70,0)+1,FALSE)),0,VLOOKUP($A32,SXS_Transit_input!$A$71:$L$81,MATCH(SXS_Transit_temp!H$28,SXS_Transit_input!$B$70:$L$70,0)+1,FALSE))</f>
        <v>0</v>
      </c>
      <c r="I32">
        <f>IF(ISNA(VLOOKUP($A32,SXS_Transit_input!$A$28:$W$49,MATCH(SXS_Transit_temp!I$28,SXS_Transit_input!$B$27:$W$27,0)+1,FALSE)),0,VLOOKUP($A32,SXS_Transit_input!$A$28:$W$49,MATCH(SXS_Transit_temp!I$28,SXS_Transit_input!$B$27:$W$27,0)+1,FALSE))+IF(ISNA(VLOOKUP($A32,SXS_Transit_input!$A$71:$L$81,MATCH(SXS_Transit_temp!I$28,SXS_Transit_input!$B$70:$L$70,0)+1,FALSE)),0,VLOOKUP($A32,SXS_Transit_input!$A$71:$L$81,MATCH(SXS_Transit_temp!I$28,SXS_Transit_input!$B$70:$L$70,0)+1,FALSE))</f>
        <v>0</v>
      </c>
      <c r="J32">
        <f>IF(ISNA(VLOOKUP($A32,SXS_Transit_input!$A$28:$W$49,MATCH(SXS_Transit_temp!J$28,SXS_Transit_input!$B$27:$W$27,0)+1,FALSE)),0,VLOOKUP($A32,SXS_Transit_input!$A$28:$W$49,MATCH(SXS_Transit_temp!J$28,SXS_Transit_input!$B$27:$W$27,0)+1,FALSE))+IF(ISNA(VLOOKUP($A32,SXS_Transit_input!$A$71:$L$81,MATCH(SXS_Transit_temp!J$28,SXS_Transit_input!$B$70:$L$70,0)+1,FALSE)),0,VLOOKUP($A32,SXS_Transit_input!$A$71:$L$81,MATCH(SXS_Transit_temp!J$28,SXS_Transit_input!$B$70:$L$70,0)+1,FALSE))</f>
        <v>0</v>
      </c>
      <c r="K32">
        <f>IF(ISNA(VLOOKUP($A32,SXS_Transit_input!$A$28:$W$49,MATCH(SXS_Transit_temp!K$28,SXS_Transit_input!$B$27:$W$27,0)+1,FALSE)),0,VLOOKUP($A32,SXS_Transit_input!$A$28:$W$49,MATCH(SXS_Transit_temp!K$28,SXS_Transit_input!$B$27:$W$27,0)+1,FALSE))+IF(ISNA(VLOOKUP($A32,SXS_Transit_input!$A$71:$L$81,MATCH(SXS_Transit_temp!K$28,SXS_Transit_input!$B$70:$L$70,0)+1,FALSE)),0,VLOOKUP($A32,SXS_Transit_input!$A$71:$L$81,MATCH(SXS_Transit_temp!K$28,SXS_Transit_input!$B$70:$L$70,0)+1,FALSE))</f>
        <v>0</v>
      </c>
      <c r="L32">
        <f>IF(ISNA(VLOOKUP($A32,SXS_Transit_input!$A$28:$W$49,MATCH(SXS_Transit_temp!L$28,SXS_Transit_input!$B$27:$W$27,0)+1,FALSE)),0,VLOOKUP($A32,SXS_Transit_input!$A$28:$W$49,MATCH(SXS_Transit_temp!L$28,SXS_Transit_input!$B$27:$W$27,0)+1,FALSE))+IF(ISNA(VLOOKUP($A32,SXS_Transit_input!$A$71:$L$81,MATCH(SXS_Transit_temp!L$28,SXS_Transit_input!$B$70:$L$70,0)+1,FALSE)),0,VLOOKUP($A32,SXS_Transit_input!$A$71:$L$81,MATCH(SXS_Transit_temp!L$28,SXS_Transit_input!$B$70:$L$70,0)+1,FALSE))</f>
        <v>0</v>
      </c>
      <c r="M32">
        <f>IF(ISNA(VLOOKUP($A32,SXS_Transit_input!$A$28:$W$49,MATCH(SXS_Transit_temp!M$28,SXS_Transit_input!$B$27:$W$27,0)+1,FALSE)),0,VLOOKUP($A32,SXS_Transit_input!$A$28:$W$49,MATCH(SXS_Transit_temp!M$28,SXS_Transit_input!$B$27:$W$27,0)+1,FALSE))+IF(ISNA(VLOOKUP($A32,SXS_Transit_input!$A$71:$L$81,MATCH(SXS_Transit_temp!M$28,SXS_Transit_input!$B$70:$L$70,0)+1,FALSE)),0,VLOOKUP($A32,SXS_Transit_input!$A$71:$L$81,MATCH(SXS_Transit_temp!M$28,SXS_Transit_input!$B$70:$L$70,0)+1,FALSE))</f>
        <v>0</v>
      </c>
      <c r="N32">
        <f>IF(ISNA(VLOOKUP($A32,SXS_Transit_input!$A$28:$W$49,MATCH(SXS_Transit_temp!N$28,SXS_Transit_input!$B$27:$W$27,0)+1,FALSE)),0,VLOOKUP($A32,SXS_Transit_input!$A$28:$W$49,MATCH(SXS_Transit_temp!N$28,SXS_Transit_input!$B$27:$W$27,0)+1,FALSE))+IF(ISNA(VLOOKUP($A32,SXS_Transit_input!$A$71:$L$81,MATCH(SXS_Transit_temp!N$28,SXS_Transit_input!$B$70:$L$70,0)+1,FALSE)),0,VLOOKUP($A32,SXS_Transit_input!$A$71:$L$81,MATCH(SXS_Transit_temp!N$28,SXS_Transit_input!$B$70:$L$70,0)+1,FALSE))</f>
        <v>0</v>
      </c>
      <c r="O32">
        <f>IF(ISNA(VLOOKUP($A32,SXS_Transit_input!$A$28:$W$49,MATCH(SXS_Transit_temp!O$28,SXS_Transit_input!$B$27:$W$27,0)+1,FALSE)),0,VLOOKUP($A32,SXS_Transit_input!$A$28:$W$49,MATCH(SXS_Transit_temp!O$28,SXS_Transit_input!$B$27:$W$27,0)+1,FALSE))+IF(ISNA(VLOOKUP($A32,SXS_Transit_input!$A$71:$L$81,MATCH(SXS_Transit_temp!O$28,SXS_Transit_input!$B$70:$L$70,0)+1,FALSE)),0,VLOOKUP($A32,SXS_Transit_input!$A$71:$L$81,MATCH(SXS_Transit_temp!O$28,SXS_Transit_input!$B$70:$L$70,0)+1,FALSE))</f>
        <v>0</v>
      </c>
      <c r="P32">
        <f>IF(ISNA(VLOOKUP($A32,SXS_Transit_input!$A$28:$W$49,MATCH(SXS_Transit_temp!P$28,SXS_Transit_input!$B$27:$W$27,0)+1,FALSE)),0,VLOOKUP($A32,SXS_Transit_input!$A$28:$W$49,MATCH(SXS_Transit_temp!P$28,SXS_Transit_input!$B$27:$W$27,0)+1,FALSE))+IF(ISNA(VLOOKUP($A32,SXS_Transit_input!$A$71:$L$81,MATCH(SXS_Transit_temp!P$28,SXS_Transit_input!$B$70:$L$70,0)+1,FALSE)),0,VLOOKUP($A32,SXS_Transit_input!$A$71:$L$81,MATCH(SXS_Transit_temp!P$28,SXS_Transit_input!$B$70:$L$70,0)+1,FALSE))</f>
        <v>0</v>
      </c>
      <c r="Q32">
        <f>IF(ISNA(VLOOKUP($A32,SXS_Transit_input!$A$28:$W$49,MATCH(SXS_Transit_temp!Q$28,SXS_Transit_input!$B$27:$W$27,0)+1,FALSE)),0,VLOOKUP($A32,SXS_Transit_input!$A$28:$W$49,MATCH(SXS_Transit_temp!Q$28,SXS_Transit_input!$B$27:$W$27,0)+1,FALSE))+IF(ISNA(VLOOKUP($A32,SXS_Transit_input!$A$71:$L$81,MATCH(SXS_Transit_temp!Q$28,SXS_Transit_input!$B$70:$L$70,0)+1,FALSE)),0,VLOOKUP($A32,SXS_Transit_input!$A$71:$L$81,MATCH(SXS_Transit_temp!Q$28,SXS_Transit_input!$B$70:$L$70,0)+1,FALSE))</f>
        <v>0</v>
      </c>
      <c r="R32">
        <f>IF(ISNA(VLOOKUP($A32,SXS_Transit_input!$A$28:$W$49,MATCH(SXS_Transit_temp!R$28,SXS_Transit_input!$B$27:$W$27,0)+1,FALSE)),0,VLOOKUP($A32,SXS_Transit_input!$A$28:$W$49,MATCH(SXS_Transit_temp!R$28,SXS_Transit_input!$B$27:$W$27,0)+1,FALSE))+IF(ISNA(VLOOKUP($A32,SXS_Transit_input!$A$71:$L$81,MATCH(SXS_Transit_temp!R$28,SXS_Transit_input!$B$70:$L$70,0)+1,FALSE)),0,VLOOKUP($A32,SXS_Transit_input!$A$71:$L$81,MATCH(SXS_Transit_temp!R$28,SXS_Transit_input!$B$70:$L$70,0)+1,FALSE))</f>
        <v>0</v>
      </c>
      <c r="S32">
        <f>IF(ISNA(VLOOKUP($A32,SXS_Transit_input!$A$28:$W$49,MATCH(SXS_Transit_temp!S$28,SXS_Transit_input!$B$27:$W$27,0)+1,FALSE)),0,VLOOKUP($A32,SXS_Transit_input!$A$28:$W$49,MATCH(SXS_Transit_temp!S$28,SXS_Transit_input!$B$27:$W$27,0)+1,FALSE))+IF(ISNA(VLOOKUP($A32,SXS_Transit_input!$A$71:$L$81,MATCH(SXS_Transit_temp!S$28,SXS_Transit_input!$B$70:$L$70,0)+1,FALSE)),0,VLOOKUP($A32,SXS_Transit_input!$A$71:$L$81,MATCH(SXS_Transit_temp!S$28,SXS_Transit_input!$B$70:$L$70,0)+1,FALSE))</f>
        <v>0</v>
      </c>
      <c r="T32">
        <f>IF(ISNA(VLOOKUP($A32,SXS_Transit_input!$A$28:$W$49,MATCH(SXS_Transit_temp!T$28,SXS_Transit_input!$B$27:$W$27,0)+1,FALSE)),0,VLOOKUP($A32,SXS_Transit_input!$A$28:$W$49,MATCH(SXS_Transit_temp!T$28,SXS_Transit_input!$B$27:$W$27,0)+1,FALSE))+IF(ISNA(VLOOKUP($A32,SXS_Transit_input!$A$71:$L$81,MATCH(SXS_Transit_temp!T$28,SXS_Transit_input!$B$70:$L$70,0)+1,FALSE)),0,VLOOKUP($A32,SXS_Transit_input!$A$71:$L$81,MATCH(SXS_Transit_temp!T$28,SXS_Transit_input!$B$70:$L$70,0)+1,FALSE))</f>
        <v>0</v>
      </c>
      <c r="U32">
        <f>IF(ISNA(VLOOKUP($A32,SXS_Transit_input!$A$28:$W$49,MATCH(SXS_Transit_temp!U$28,SXS_Transit_input!$B$27:$W$27,0)+1,FALSE)),0,VLOOKUP($A32,SXS_Transit_input!$A$28:$W$49,MATCH(SXS_Transit_temp!U$28,SXS_Transit_input!$B$27:$W$27,0)+1,FALSE))+IF(ISNA(VLOOKUP($A32,SXS_Transit_input!$A$71:$L$81,MATCH(SXS_Transit_temp!U$28,SXS_Transit_input!$B$70:$L$70,0)+1,FALSE)),0,VLOOKUP($A32,SXS_Transit_input!$A$71:$L$81,MATCH(SXS_Transit_temp!U$28,SXS_Transit_input!$B$70:$L$70,0)+1,FALSE))</f>
        <v>0</v>
      </c>
      <c r="V32">
        <f>IF(ISNA(VLOOKUP($A32,SXS_Transit_input!$A$28:$W$49,MATCH(SXS_Transit_temp!V$28,SXS_Transit_input!$B$27:$W$27,0)+1,FALSE)),0,VLOOKUP($A32,SXS_Transit_input!$A$28:$W$49,MATCH(SXS_Transit_temp!V$28,SXS_Transit_input!$B$27:$W$27,0)+1,FALSE))+IF(ISNA(VLOOKUP($A32,SXS_Transit_input!$A$71:$L$81,MATCH(SXS_Transit_temp!V$28,SXS_Transit_input!$B$70:$L$70,0)+1,FALSE)),0,VLOOKUP($A32,SXS_Transit_input!$A$71:$L$81,MATCH(SXS_Transit_temp!V$28,SXS_Transit_input!$B$70:$L$70,0)+1,FALSE))</f>
        <v>0</v>
      </c>
      <c r="W32">
        <f>IF(ISNA(VLOOKUP($A32,SXS_Transit_input!$A$28:$W$49,MATCH(SXS_Transit_temp!W$28,SXS_Transit_input!$B$27:$W$27,0)+1,FALSE)),0,VLOOKUP($A32,SXS_Transit_input!$A$28:$W$49,MATCH(SXS_Transit_temp!W$28,SXS_Transit_input!$B$27:$W$27,0)+1,FALSE))+IF(ISNA(VLOOKUP($A32,SXS_Transit_input!$A$71:$L$81,MATCH(SXS_Transit_temp!W$28,SXS_Transit_input!$B$70:$L$70,0)+1,FALSE)),0,VLOOKUP($A32,SXS_Transit_input!$A$71:$L$81,MATCH(SXS_Transit_temp!W$28,SXS_Transit_input!$B$70:$L$70,0)+1,FALSE))</f>
        <v>36.45082</v>
      </c>
      <c r="X32">
        <f>IF(ISNA(VLOOKUP($A32,SXS_Transit_input!$A$28:$W$49,MATCH(SXS_Transit_temp!X$28,SXS_Transit_input!$B$27:$W$27,0)+1,FALSE)),0,VLOOKUP($A32,SXS_Transit_input!$A$28:$W$49,MATCH(SXS_Transit_temp!X$28,SXS_Transit_input!$B$27:$W$27,0)+1,FALSE))+IF(ISNA(VLOOKUP($A32,SXS_Transit_input!$A$71:$L$81,MATCH(SXS_Transit_temp!X$28,SXS_Transit_input!$B$70:$L$70,0)+1,FALSE)),0,VLOOKUP($A32,SXS_Transit_input!$A$71:$L$81,MATCH(SXS_Transit_temp!X$28,SXS_Transit_input!$B$70:$L$70,0)+1,FALSE))</f>
        <v>0</v>
      </c>
      <c r="Y32">
        <f>IF(ISNA(VLOOKUP($A32,SXS_Transit_input!$A$28:$W$49,MATCH(SXS_Transit_temp!Y$28,SXS_Transit_input!$B$27:$W$27,0)+1,FALSE)),0,VLOOKUP($A32,SXS_Transit_input!$A$28:$W$49,MATCH(SXS_Transit_temp!Y$28,SXS_Transit_input!$B$27:$W$27,0)+1,FALSE))+IF(ISNA(VLOOKUP($A32,SXS_Transit_input!$A$71:$L$81,MATCH(SXS_Transit_temp!Y$28,SXS_Transit_input!$B$70:$L$70,0)+1,FALSE)),0,VLOOKUP($A32,SXS_Transit_input!$A$71:$L$81,MATCH(SXS_Transit_temp!Y$28,SXS_Transit_input!$B$70:$L$70,0)+1,FALSE))</f>
        <v>0</v>
      </c>
      <c r="Z32">
        <f>IF(ISNA(VLOOKUP($A32,SXS_Transit_input!$A$28:$W$49,MATCH(SXS_Transit_temp!Z$28,SXS_Transit_input!$B$27:$W$27,0)+1,FALSE)),0,VLOOKUP($A32,SXS_Transit_input!$A$28:$W$49,MATCH(SXS_Transit_temp!Z$28,SXS_Transit_input!$B$27:$W$27,0)+1,FALSE))+IF(ISNA(VLOOKUP($A32,SXS_Transit_input!$A$71:$L$81,MATCH(SXS_Transit_temp!Z$28,SXS_Transit_input!$B$70:$L$70,0)+1,FALSE)),0,VLOOKUP($A32,SXS_Transit_input!$A$71:$L$81,MATCH(SXS_Transit_temp!Z$28,SXS_Transit_input!$B$70:$L$70,0)+1,FALSE))</f>
        <v>0</v>
      </c>
      <c r="AA32">
        <v>4</v>
      </c>
      <c r="AB32" s="33">
        <f t="shared" si="27"/>
        <v>724</v>
      </c>
      <c r="AC32" s="34">
        <f t="shared" si="26"/>
        <v>16</v>
      </c>
      <c r="AD32" s="34">
        <f t="shared" si="26"/>
        <v>46</v>
      </c>
      <c r="AE32" s="34">
        <f t="shared" si="26"/>
        <v>56</v>
      </c>
      <c r="AF32" s="34">
        <f t="shared" si="26"/>
        <v>30</v>
      </c>
      <c r="AG32" s="34">
        <f t="shared" si="26"/>
        <v>0</v>
      </c>
      <c r="AH32" s="34">
        <f t="shared" si="26"/>
        <v>0</v>
      </c>
      <c r="AI32" s="34">
        <f t="shared" si="26"/>
        <v>0</v>
      </c>
      <c r="AJ32" s="34">
        <f t="shared" si="26"/>
        <v>0</v>
      </c>
      <c r="AK32" s="34">
        <f t="shared" si="26"/>
        <v>0</v>
      </c>
      <c r="AL32" s="34">
        <f t="shared" si="26"/>
        <v>4</v>
      </c>
      <c r="AM32" s="34">
        <f t="shared" si="26"/>
        <v>0</v>
      </c>
      <c r="AN32" s="34">
        <f t="shared" si="26"/>
        <v>0</v>
      </c>
      <c r="AO32" s="34">
        <f t="shared" si="26"/>
        <v>0</v>
      </c>
      <c r="AP32" s="34">
        <f t="shared" si="26"/>
        <v>0</v>
      </c>
      <c r="AQ32" s="34">
        <f t="shared" si="26"/>
        <v>0</v>
      </c>
      <c r="AR32" s="34">
        <f t="shared" si="26"/>
        <v>0</v>
      </c>
      <c r="AS32" s="34">
        <f t="shared" si="26"/>
        <v>0</v>
      </c>
      <c r="AT32" s="34">
        <f t="shared" si="26"/>
        <v>0</v>
      </c>
      <c r="AU32" s="34">
        <f t="shared" si="26"/>
        <v>0</v>
      </c>
      <c r="AV32" s="34">
        <f t="shared" si="26"/>
        <v>0</v>
      </c>
      <c r="AW32" s="34">
        <f t="shared" si="26"/>
        <v>0</v>
      </c>
      <c r="AX32" s="34">
        <f t="shared" si="26"/>
        <v>0</v>
      </c>
      <c r="AY32" s="34">
        <f t="shared" si="26"/>
        <v>0</v>
      </c>
      <c r="AZ32" s="35">
        <f t="shared" si="26"/>
        <v>0</v>
      </c>
      <c r="BC32" s="157">
        <v>3</v>
      </c>
      <c r="BD32">
        <v>1958</v>
      </c>
      <c r="BE32">
        <v>66</v>
      </c>
      <c r="BF32">
        <v>170</v>
      </c>
      <c r="BG32">
        <v>28</v>
      </c>
      <c r="BH32">
        <v>10</v>
      </c>
      <c r="BI32">
        <v>0</v>
      </c>
      <c r="BJ32">
        <v>0</v>
      </c>
      <c r="BK32">
        <v>12</v>
      </c>
      <c r="BL32">
        <v>6</v>
      </c>
      <c r="BM32">
        <v>2</v>
      </c>
      <c r="BN32">
        <v>0</v>
      </c>
      <c r="BO32">
        <v>0</v>
      </c>
      <c r="BP32">
        <v>0</v>
      </c>
      <c r="BQ32">
        <v>0</v>
      </c>
      <c r="BR32">
        <v>0</v>
      </c>
      <c r="BS32">
        <v>0</v>
      </c>
      <c r="BT32">
        <v>0</v>
      </c>
      <c r="BU32">
        <v>0</v>
      </c>
      <c r="BV32">
        <v>0</v>
      </c>
      <c r="BW32">
        <v>0</v>
      </c>
      <c r="BX32">
        <v>0</v>
      </c>
      <c r="BY32">
        <v>0</v>
      </c>
      <c r="BZ32">
        <v>0</v>
      </c>
      <c r="CA32">
        <v>0</v>
      </c>
      <c r="CB32">
        <v>0</v>
      </c>
    </row>
    <row r="33" spans="1:80" x14ac:dyDescent="0.25">
      <c r="A33">
        <v>5</v>
      </c>
      <c r="B33">
        <f>IF(ISNA(VLOOKUP($A33,SXS_Transit_input!$A$28:$W$49,MATCH(SXS_Transit_temp!B$28,SXS_Transit_input!$B$27:$W$27,0)+1,FALSE)),0,VLOOKUP($A33,SXS_Transit_input!$A$28:$W$49,MATCH(SXS_Transit_temp!B$28,SXS_Transit_input!$B$27:$W$27,0)+1,FALSE))+IF(ISNA(VLOOKUP($A33,SXS_Transit_input!$A$71:$L$81,MATCH(SXS_Transit_temp!B$28,SXS_Transit_input!$B$70:$L$70,0)+1,FALSE)),0,VLOOKUP($A33,SXS_Transit_input!$A$71:$L$81,MATCH(SXS_Transit_temp!B$28,SXS_Transit_input!$B$70:$L$70,0)+1,FALSE))</f>
        <v>6594.1615999999995</v>
      </c>
      <c r="C33">
        <f>IF(ISNA(VLOOKUP($A33,SXS_Transit_input!$A$28:$W$49,MATCH(SXS_Transit_temp!C$28,SXS_Transit_input!$B$27:$W$27,0)+1,FALSE)),0,VLOOKUP($A33,SXS_Transit_input!$A$28:$W$49,MATCH(SXS_Transit_temp!C$28,SXS_Transit_input!$B$27:$W$27,0)+1,FALSE))+IF(ISNA(VLOOKUP($A33,SXS_Transit_input!$A$71:$L$81,MATCH(SXS_Transit_temp!C$28,SXS_Transit_input!$B$70:$L$70,0)+1,FALSE)),0,VLOOKUP($A33,SXS_Transit_input!$A$71:$L$81,MATCH(SXS_Transit_temp!C$28,SXS_Transit_input!$B$70:$L$70,0)+1,FALSE))</f>
        <v>1429.77874</v>
      </c>
      <c r="D33">
        <f>IF(ISNA(VLOOKUP($A33,SXS_Transit_input!$A$28:$W$49,MATCH(SXS_Transit_temp!D$28,SXS_Transit_input!$B$27:$W$27,0)+1,FALSE)),0,VLOOKUP($A33,SXS_Transit_input!$A$28:$W$49,MATCH(SXS_Transit_temp!D$28,SXS_Transit_input!$B$27:$W$27,0)+1,FALSE))+IF(ISNA(VLOOKUP($A33,SXS_Transit_input!$A$71:$L$81,MATCH(SXS_Transit_temp!D$28,SXS_Transit_input!$B$70:$L$70,0)+1,FALSE)),0,VLOOKUP($A33,SXS_Transit_input!$A$71:$L$81,MATCH(SXS_Transit_temp!D$28,SXS_Transit_input!$B$70:$L$70,0)+1,FALSE))</f>
        <v>320.42063000000002</v>
      </c>
      <c r="E33">
        <f>IF(ISNA(VLOOKUP($A33,SXS_Transit_input!$A$28:$W$49,MATCH(SXS_Transit_temp!E$28,SXS_Transit_input!$B$27:$W$27,0)+1,FALSE)),0,VLOOKUP($A33,SXS_Transit_input!$A$28:$W$49,MATCH(SXS_Transit_temp!E$28,SXS_Transit_input!$B$27:$W$27,0)+1,FALSE))+IF(ISNA(VLOOKUP($A33,SXS_Transit_input!$A$71:$L$81,MATCH(SXS_Transit_temp!E$28,SXS_Transit_input!$B$70:$L$70,0)+1,FALSE)),0,VLOOKUP($A33,SXS_Transit_input!$A$71:$L$81,MATCH(SXS_Transit_temp!E$28,SXS_Transit_input!$B$70:$L$70,0)+1,FALSE))</f>
        <v>644.86762999999996</v>
      </c>
      <c r="F33">
        <f>IF(ISNA(VLOOKUP($A33,SXS_Transit_input!$A$28:$W$49,MATCH(SXS_Transit_temp!F$28,SXS_Transit_input!$B$27:$W$27,0)+1,FALSE)),0,VLOOKUP($A33,SXS_Transit_input!$A$28:$W$49,MATCH(SXS_Transit_temp!F$28,SXS_Transit_input!$B$27:$W$27,0)+1,FALSE))+IF(ISNA(VLOOKUP($A33,SXS_Transit_input!$A$71:$L$81,MATCH(SXS_Transit_temp!F$28,SXS_Transit_input!$B$70:$L$70,0)+1,FALSE)),0,VLOOKUP($A33,SXS_Transit_input!$A$71:$L$81,MATCH(SXS_Transit_temp!F$28,SXS_Transit_input!$B$70:$L$70,0)+1,FALSE))</f>
        <v>4101.4449500000001</v>
      </c>
      <c r="G33">
        <f>IF(ISNA(VLOOKUP($A33,SXS_Transit_input!$A$28:$W$49,MATCH(SXS_Transit_temp!G$28,SXS_Transit_input!$B$27:$W$27,0)+1,FALSE)),0,VLOOKUP($A33,SXS_Transit_input!$A$28:$W$49,MATCH(SXS_Transit_temp!G$28,SXS_Transit_input!$B$27:$W$27,0)+1,FALSE))+IF(ISNA(VLOOKUP($A33,SXS_Transit_input!$A$71:$L$81,MATCH(SXS_Transit_temp!G$28,SXS_Transit_input!$B$70:$L$70,0)+1,FALSE)),0,VLOOKUP($A33,SXS_Transit_input!$A$71:$L$81,MATCH(SXS_Transit_temp!G$28,SXS_Transit_input!$B$70:$L$70,0)+1,FALSE))</f>
        <v>1545.59707</v>
      </c>
      <c r="H33">
        <f>IF(ISNA(VLOOKUP($A33,SXS_Transit_input!$A$28:$W$49,MATCH(SXS_Transit_temp!H$28,SXS_Transit_input!$B$27:$W$27,0)+1,FALSE)),0,VLOOKUP($A33,SXS_Transit_input!$A$28:$W$49,MATCH(SXS_Transit_temp!H$28,SXS_Transit_input!$B$27:$W$27,0)+1,FALSE))+IF(ISNA(VLOOKUP($A33,SXS_Transit_input!$A$71:$L$81,MATCH(SXS_Transit_temp!H$28,SXS_Transit_input!$B$70:$L$70,0)+1,FALSE)),0,VLOOKUP($A33,SXS_Transit_input!$A$71:$L$81,MATCH(SXS_Transit_temp!H$28,SXS_Transit_input!$B$70:$L$70,0)+1,FALSE))</f>
        <v>24.02957</v>
      </c>
      <c r="I33">
        <f>IF(ISNA(VLOOKUP($A33,SXS_Transit_input!$A$28:$W$49,MATCH(SXS_Transit_temp!I$28,SXS_Transit_input!$B$27:$W$27,0)+1,FALSE)),0,VLOOKUP($A33,SXS_Transit_input!$A$28:$W$49,MATCH(SXS_Transit_temp!I$28,SXS_Transit_input!$B$27:$W$27,0)+1,FALSE))+IF(ISNA(VLOOKUP($A33,SXS_Transit_input!$A$71:$L$81,MATCH(SXS_Transit_temp!I$28,SXS_Transit_input!$B$70:$L$70,0)+1,FALSE)),0,VLOOKUP($A33,SXS_Transit_input!$A$71:$L$81,MATCH(SXS_Transit_temp!I$28,SXS_Transit_input!$B$70:$L$70,0)+1,FALSE))</f>
        <v>201.64965000000001</v>
      </c>
      <c r="J33">
        <f>IF(ISNA(VLOOKUP($A33,SXS_Transit_input!$A$28:$W$49,MATCH(SXS_Transit_temp!J$28,SXS_Transit_input!$B$27:$W$27,0)+1,FALSE)),0,VLOOKUP($A33,SXS_Transit_input!$A$28:$W$49,MATCH(SXS_Transit_temp!J$28,SXS_Transit_input!$B$27:$W$27,0)+1,FALSE))+IF(ISNA(VLOOKUP($A33,SXS_Transit_input!$A$71:$L$81,MATCH(SXS_Transit_temp!J$28,SXS_Transit_input!$B$70:$L$70,0)+1,FALSE)),0,VLOOKUP($A33,SXS_Transit_input!$A$71:$L$81,MATCH(SXS_Transit_temp!J$28,SXS_Transit_input!$B$70:$L$70,0)+1,FALSE))</f>
        <v>0</v>
      </c>
      <c r="K33">
        <f>IF(ISNA(VLOOKUP($A33,SXS_Transit_input!$A$28:$W$49,MATCH(SXS_Transit_temp!K$28,SXS_Transit_input!$B$27:$W$27,0)+1,FALSE)),0,VLOOKUP($A33,SXS_Transit_input!$A$28:$W$49,MATCH(SXS_Transit_temp!K$28,SXS_Transit_input!$B$27:$W$27,0)+1,FALSE))+IF(ISNA(VLOOKUP($A33,SXS_Transit_input!$A$71:$L$81,MATCH(SXS_Transit_temp!K$28,SXS_Transit_input!$B$70:$L$70,0)+1,FALSE)),0,VLOOKUP($A33,SXS_Transit_input!$A$71:$L$81,MATCH(SXS_Transit_temp!K$28,SXS_Transit_input!$B$70:$L$70,0)+1,FALSE))</f>
        <v>0</v>
      </c>
      <c r="L33">
        <f>IF(ISNA(VLOOKUP($A33,SXS_Transit_input!$A$28:$W$49,MATCH(SXS_Transit_temp!L$28,SXS_Transit_input!$B$27:$W$27,0)+1,FALSE)),0,VLOOKUP($A33,SXS_Transit_input!$A$28:$W$49,MATCH(SXS_Transit_temp!L$28,SXS_Transit_input!$B$27:$W$27,0)+1,FALSE))+IF(ISNA(VLOOKUP($A33,SXS_Transit_input!$A$71:$L$81,MATCH(SXS_Transit_temp!L$28,SXS_Transit_input!$B$70:$L$70,0)+1,FALSE)),0,VLOOKUP($A33,SXS_Transit_input!$A$71:$L$81,MATCH(SXS_Transit_temp!L$28,SXS_Transit_input!$B$70:$L$70,0)+1,FALSE))</f>
        <v>0</v>
      </c>
      <c r="M33">
        <f>IF(ISNA(VLOOKUP($A33,SXS_Transit_input!$A$28:$W$49,MATCH(SXS_Transit_temp!M$28,SXS_Transit_input!$B$27:$W$27,0)+1,FALSE)),0,VLOOKUP($A33,SXS_Transit_input!$A$28:$W$49,MATCH(SXS_Transit_temp!M$28,SXS_Transit_input!$B$27:$W$27,0)+1,FALSE))+IF(ISNA(VLOOKUP($A33,SXS_Transit_input!$A$71:$L$81,MATCH(SXS_Transit_temp!M$28,SXS_Transit_input!$B$70:$L$70,0)+1,FALSE)),0,VLOOKUP($A33,SXS_Transit_input!$A$71:$L$81,MATCH(SXS_Transit_temp!M$28,SXS_Transit_input!$B$70:$L$70,0)+1,FALSE))</f>
        <v>249.34957</v>
      </c>
      <c r="N33">
        <f>IF(ISNA(VLOOKUP($A33,SXS_Transit_input!$A$28:$W$49,MATCH(SXS_Transit_temp!N$28,SXS_Transit_input!$B$27:$W$27,0)+1,FALSE)),0,VLOOKUP($A33,SXS_Transit_input!$A$28:$W$49,MATCH(SXS_Transit_temp!N$28,SXS_Transit_input!$B$27:$W$27,0)+1,FALSE))+IF(ISNA(VLOOKUP($A33,SXS_Transit_input!$A$71:$L$81,MATCH(SXS_Transit_temp!N$28,SXS_Transit_input!$B$70:$L$70,0)+1,FALSE)),0,VLOOKUP($A33,SXS_Transit_input!$A$71:$L$81,MATCH(SXS_Transit_temp!N$28,SXS_Transit_input!$B$70:$L$70,0)+1,FALSE))</f>
        <v>34.28248</v>
      </c>
      <c r="O33">
        <f>IF(ISNA(VLOOKUP($A33,SXS_Transit_input!$A$28:$W$49,MATCH(SXS_Transit_temp!O$28,SXS_Transit_input!$B$27:$W$27,0)+1,FALSE)),0,VLOOKUP($A33,SXS_Transit_input!$A$28:$W$49,MATCH(SXS_Transit_temp!O$28,SXS_Transit_input!$B$27:$W$27,0)+1,FALSE))+IF(ISNA(VLOOKUP($A33,SXS_Transit_input!$A$71:$L$81,MATCH(SXS_Transit_temp!O$28,SXS_Transit_input!$B$70:$L$70,0)+1,FALSE)),0,VLOOKUP($A33,SXS_Transit_input!$A$71:$L$81,MATCH(SXS_Transit_temp!O$28,SXS_Transit_input!$B$70:$L$70,0)+1,FALSE))</f>
        <v>191.37289000000001</v>
      </c>
      <c r="P33">
        <f>IF(ISNA(VLOOKUP($A33,SXS_Transit_input!$A$28:$W$49,MATCH(SXS_Transit_temp!P$28,SXS_Transit_input!$B$27:$W$27,0)+1,FALSE)),0,VLOOKUP($A33,SXS_Transit_input!$A$28:$W$49,MATCH(SXS_Transit_temp!P$28,SXS_Transit_input!$B$27:$W$27,0)+1,FALSE))+IF(ISNA(VLOOKUP($A33,SXS_Transit_input!$A$71:$L$81,MATCH(SXS_Transit_temp!P$28,SXS_Transit_input!$B$70:$L$70,0)+1,FALSE)),0,VLOOKUP($A33,SXS_Transit_input!$A$71:$L$81,MATCH(SXS_Transit_temp!P$28,SXS_Transit_input!$B$70:$L$70,0)+1,FALSE))</f>
        <v>0</v>
      </c>
      <c r="Q33">
        <f>IF(ISNA(VLOOKUP($A33,SXS_Transit_input!$A$28:$W$49,MATCH(SXS_Transit_temp!Q$28,SXS_Transit_input!$B$27:$W$27,0)+1,FALSE)),0,VLOOKUP($A33,SXS_Transit_input!$A$28:$W$49,MATCH(SXS_Transit_temp!Q$28,SXS_Transit_input!$B$27:$W$27,0)+1,FALSE))+IF(ISNA(VLOOKUP($A33,SXS_Transit_input!$A$71:$L$81,MATCH(SXS_Transit_temp!Q$28,SXS_Transit_input!$B$70:$L$70,0)+1,FALSE)),0,VLOOKUP($A33,SXS_Transit_input!$A$71:$L$81,MATCH(SXS_Transit_temp!Q$28,SXS_Transit_input!$B$70:$L$70,0)+1,FALSE))</f>
        <v>0</v>
      </c>
      <c r="R33">
        <f>IF(ISNA(VLOOKUP($A33,SXS_Transit_input!$A$28:$W$49,MATCH(SXS_Transit_temp!R$28,SXS_Transit_input!$B$27:$W$27,0)+1,FALSE)),0,VLOOKUP($A33,SXS_Transit_input!$A$28:$W$49,MATCH(SXS_Transit_temp!R$28,SXS_Transit_input!$B$27:$W$27,0)+1,FALSE))+IF(ISNA(VLOOKUP($A33,SXS_Transit_input!$A$71:$L$81,MATCH(SXS_Transit_temp!R$28,SXS_Transit_input!$B$70:$L$70,0)+1,FALSE)),0,VLOOKUP($A33,SXS_Transit_input!$A$71:$L$81,MATCH(SXS_Transit_temp!R$28,SXS_Transit_input!$B$70:$L$70,0)+1,FALSE))</f>
        <v>0</v>
      </c>
      <c r="S33">
        <f>IF(ISNA(VLOOKUP($A33,SXS_Transit_input!$A$28:$W$49,MATCH(SXS_Transit_temp!S$28,SXS_Transit_input!$B$27:$W$27,0)+1,FALSE)),0,VLOOKUP($A33,SXS_Transit_input!$A$28:$W$49,MATCH(SXS_Transit_temp!S$28,SXS_Transit_input!$B$27:$W$27,0)+1,FALSE))+IF(ISNA(VLOOKUP($A33,SXS_Transit_input!$A$71:$L$81,MATCH(SXS_Transit_temp!S$28,SXS_Transit_input!$B$70:$L$70,0)+1,FALSE)),0,VLOOKUP($A33,SXS_Transit_input!$A$71:$L$81,MATCH(SXS_Transit_temp!S$28,SXS_Transit_input!$B$70:$L$70,0)+1,FALSE))</f>
        <v>0</v>
      </c>
      <c r="T33">
        <f>IF(ISNA(VLOOKUP($A33,SXS_Transit_input!$A$28:$W$49,MATCH(SXS_Transit_temp!T$28,SXS_Transit_input!$B$27:$W$27,0)+1,FALSE)),0,VLOOKUP($A33,SXS_Transit_input!$A$28:$W$49,MATCH(SXS_Transit_temp!T$28,SXS_Transit_input!$B$27:$W$27,0)+1,FALSE))+IF(ISNA(VLOOKUP($A33,SXS_Transit_input!$A$71:$L$81,MATCH(SXS_Transit_temp!T$28,SXS_Transit_input!$B$70:$L$70,0)+1,FALSE)),0,VLOOKUP($A33,SXS_Transit_input!$A$71:$L$81,MATCH(SXS_Transit_temp!T$28,SXS_Transit_input!$B$70:$L$70,0)+1,FALSE))</f>
        <v>0</v>
      </c>
      <c r="U33">
        <f>IF(ISNA(VLOOKUP($A33,SXS_Transit_input!$A$28:$W$49,MATCH(SXS_Transit_temp!U$28,SXS_Transit_input!$B$27:$W$27,0)+1,FALSE)),0,VLOOKUP($A33,SXS_Transit_input!$A$28:$W$49,MATCH(SXS_Transit_temp!U$28,SXS_Transit_input!$B$27:$W$27,0)+1,FALSE))+IF(ISNA(VLOOKUP($A33,SXS_Transit_input!$A$71:$L$81,MATCH(SXS_Transit_temp!U$28,SXS_Transit_input!$B$70:$L$70,0)+1,FALSE)),0,VLOOKUP($A33,SXS_Transit_input!$A$71:$L$81,MATCH(SXS_Transit_temp!U$28,SXS_Transit_input!$B$70:$L$70,0)+1,FALSE))</f>
        <v>295.72027000000003</v>
      </c>
      <c r="V33">
        <f>IF(ISNA(VLOOKUP($A33,SXS_Transit_input!$A$28:$W$49,MATCH(SXS_Transit_temp!V$28,SXS_Transit_input!$B$27:$W$27,0)+1,FALSE)),0,VLOOKUP($A33,SXS_Transit_input!$A$28:$W$49,MATCH(SXS_Transit_temp!V$28,SXS_Transit_input!$B$27:$W$27,0)+1,FALSE))+IF(ISNA(VLOOKUP($A33,SXS_Transit_input!$A$71:$L$81,MATCH(SXS_Transit_temp!V$28,SXS_Transit_input!$B$70:$L$70,0)+1,FALSE)),0,VLOOKUP($A33,SXS_Transit_input!$A$71:$L$81,MATCH(SXS_Transit_temp!V$28,SXS_Transit_input!$B$70:$L$70,0)+1,FALSE))</f>
        <v>0</v>
      </c>
      <c r="W33">
        <f>IF(ISNA(VLOOKUP($A33,SXS_Transit_input!$A$28:$W$49,MATCH(SXS_Transit_temp!W$28,SXS_Transit_input!$B$27:$W$27,0)+1,FALSE)),0,VLOOKUP($A33,SXS_Transit_input!$A$28:$W$49,MATCH(SXS_Transit_temp!W$28,SXS_Transit_input!$B$27:$W$27,0)+1,FALSE))+IF(ISNA(VLOOKUP($A33,SXS_Transit_input!$A$71:$L$81,MATCH(SXS_Transit_temp!W$28,SXS_Transit_input!$B$70:$L$70,0)+1,FALSE)),0,VLOOKUP($A33,SXS_Transit_input!$A$71:$L$81,MATCH(SXS_Transit_temp!W$28,SXS_Transit_input!$B$70:$L$70,0)+1,FALSE))</f>
        <v>0</v>
      </c>
      <c r="X33">
        <f>IF(ISNA(VLOOKUP($A33,SXS_Transit_input!$A$28:$W$49,MATCH(SXS_Transit_temp!X$28,SXS_Transit_input!$B$27:$W$27,0)+1,FALSE)),0,VLOOKUP($A33,SXS_Transit_input!$A$28:$W$49,MATCH(SXS_Transit_temp!X$28,SXS_Transit_input!$B$27:$W$27,0)+1,FALSE))+IF(ISNA(VLOOKUP($A33,SXS_Transit_input!$A$71:$L$81,MATCH(SXS_Transit_temp!X$28,SXS_Transit_input!$B$70:$L$70,0)+1,FALSE)),0,VLOOKUP($A33,SXS_Transit_input!$A$71:$L$81,MATCH(SXS_Transit_temp!X$28,SXS_Transit_input!$B$70:$L$70,0)+1,FALSE))</f>
        <v>0</v>
      </c>
      <c r="Y33">
        <f>IF(ISNA(VLOOKUP($A33,SXS_Transit_input!$A$28:$W$49,MATCH(SXS_Transit_temp!Y$28,SXS_Transit_input!$B$27:$W$27,0)+1,FALSE)),0,VLOOKUP($A33,SXS_Transit_input!$A$28:$W$49,MATCH(SXS_Transit_temp!Y$28,SXS_Transit_input!$B$27:$W$27,0)+1,FALSE))+IF(ISNA(VLOOKUP($A33,SXS_Transit_input!$A$71:$L$81,MATCH(SXS_Transit_temp!Y$28,SXS_Transit_input!$B$70:$L$70,0)+1,FALSE)),0,VLOOKUP($A33,SXS_Transit_input!$A$71:$L$81,MATCH(SXS_Transit_temp!Y$28,SXS_Transit_input!$B$70:$L$70,0)+1,FALSE))</f>
        <v>0</v>
      </c>
      <c r="Z33">
        <f>IF(ISNA(VLOOKUP($A33,SXS_Transit_input!$A$28:$W$49,MATCH(SXS_Transit_temp!Z$28,SXS_Transit_input!$B$27:$W$27,0)+1,FALSE)),0,VLOOKUP($A33,SXS_Transit_input!$A$28:$W$49,MATCH(SXS_Transit_temp!Z$28,SXS_Transit_input!$B$27:$W$27,0)+1,FALSE))+IF(ISNA(VLOOKUP($A33,SXS_Transit_input!$A$71:$L$81,MATCH(SXS_Transit_temp!Z$28,SXS_Transit_input!$B$70:$L$70,0)+1,FALSE)),0,VLOOKUP($A33,SXS_Transit_input!$A$71:$L$81,MATCH(SXS_Transit_temp!Z$28,SXS_Transit_input!$B$70:$L$70,0)+1,FALSE))</f>
        <v>0</v>
      </c>
      <c r="AA33">
        <v>5</v>
      </c>
      <c r="AB33" s="33">
        <f t="shared" si="27"/>
        <v>1006</v>
      </c>
      <c r="AC33" s="34">
        <f t="shared" si="26"/>
        <v>4</v>
      </c>
      <c r="AD33" s="34">
        <f t="shared" si="26"/>
        <v>12</v>
      </c>
      <c r="AE33" s="34">
        <f t="shared" si="26"/>
        <v>22</v>
      </c>
      <c r="AF33" s="34">
        <f t="shared" si="26"/>
        <v>146</v>
      </c>
      <c r="AG33" s="34">
        <f t="shared" si="26"/>
        <v>20</v>
      </c>
      <c r="AH33" s="34">
        <f t="shared" si="26"/>
        <v>4</v>
      </c>
      <c r="AI33" s="34">
        <f t="shared" si="26"/>
        <v>6</v>
      </c>
      <c r="AJ33" s="34">
        <f t="shared" si="26"/>
        <v>0</v>
      </c>
      <c r="AK33" s="34">
        <f t="shared" si="26"/>
        <v>2</v>
      </c>
      <c r="AL33" s="34">
        <f t="shared" si="26"/>
        <v>0</v>
      </c>
      <c r="AM33" s="34">
        <f t="shared" si="26"/>
        <v>2</v>
      </c>
      <c r="AN33" s="34">
        <f t="shared" si="26"/>
        <v>2</v>
      </c>
      <c r="AO33" s="34">
        <f t="shared" si="26"/>
        <v>0</v>
      </c>
      <c r="AP33" s="34">
        <f t="shared" si="26"/>
        <v>0</v>
      </c>
      <c r="AQ33" s="34">
        <f t="shared" si="26"/>
        <v>0</v>
      </c>
      <c r="AR33" s="34">
        <f t="shared" si="26"/>
        <v>0</v>
      </c>
      <c r="AS33" s="34">
        <f t="shared" si="26"/>
        <v>0</v>
      </c>
      <c r="AT33" s="34">
        <f t="shared" si="26"/>
        <v>0</v>
      </c>
      <c r="AU33" s="34">
        <f t="shared" si="26"/>
        <v>0</v>
      </c>
      <c r="AV33" s="34">
        <f t="shared" si="26"/>
        <v>2</v>
      </c>
      <c r="AW33" s="34">
        <f t="shared" si="26"/>
        <v>0</v>
      </c>
      <c r="AX33" s="34">
        <f t="shared" si="26"/>
        <v>0</v>
      </c>
      <c r="AY33" s="34">
        <f t="shared" si="26"/>
        <v>0</v>
      </c>
      <c r="AZ33" s="35">
        <f t="shared" si="26"/>
        <v>0</v>
      </c>
      <c r="BC33" s="157">
        <v>4</v>
      </c>
      <c r="BD33">
        <v>718</v>
      </c>
      <c r="BE33">
        <v>14</v>
      </c>
      <c r="BF33">
        <v>42</v>
      </c>
      <c r="BG33">
        <v>56</v>
      </c>
      <c r="BH33">
        <v>28</v>
      </c>
      <c r="BI33">
        <v>0</v>
      </c>
      <c r="BJ33">
        <v>0</v>
      </c>
      <c r="BK33">
        <v>0</v>
      </c>
      <c r="BL33">
        <v>0</v>
      </c>
      <c r="BM33">
        <v>0</v>
      </c>
      <c r="BN33">
        <v>4</v>
      </c>
      <c r="BO33">
        <v>0</v>
      </c>
      <c r="BP33">
        <v>0</v>
      </c>
      <c r="BQ33">
        <v>0</v>
      </c>
      <c r="BR33">
        <v>0</v>
      </c>
      <c r="BS33">
        <v>0</v>
      </c>
      <c r="BT33">
        <v>0</v>
      </c>
      <c r="BU33">
        <v>0</v>
      </c>
      <c r="BV33">
        <v>0</v>
      </c>
      <c r="BW33">
        <v>0</v>
      </c>
      <c r="BX33">
        <v>0</v>
      </c>
      <c r="BY33">
        <v>0</v>
      </c>
      <c r="BZ33">
        <v>0</v>
      </c>
      <c r="CA33">
        <v>0</v>
      </c>
      <c r="CB33">
        <v>0</v>
      </c>
    </row>
    <row r="34" spans="1:80" x14ac:dyDescent="0.25">
      <c r="A34">
        <v>6</v>
      </c>
      <c r="B34">
        <f>IF(ISNA(VLOOKUP($A34,SXS_Transit_input!$A$28:$W$49,MATCH(SXS_Transit_temp!B$28,SXS_Transit_input!$B$27:$W$27,0)+1,FALSE)),0,VLOOKUP($A34,SXS_Transit_input!$A$28:$W$49,MATCH(SXS_Transit_temp!B$28,SXS_Transit_input!$B$27:$W$27,0)+1,FALSE))+IF(ISNA(VLOOKUP($A34,SXS_Transit_input!$A$71:$L$81,MATCH(SXS_Transit_temp!B$28,SXS_Transit_input!$B$70:$L$70,0)+1,FALSE)),0,VLOOKUP($A34,SXS_Transit_input!$A$71:$L$81,MATCH(SXS_Transit_temp!B$28,SXS_Transit_input!$B$70:$L$70,0)+1,FALSE))</f>
        <v>3518.4277499999998</v>
      </c>
      <c r="C34">
        <f>IF(ISNA(VLOOKUP($A34,SXS_Transit_input!$A$28:$W$49,MATCH(SXS_Transit_temp!C$28,SXS_Transit_input!$B$27:$W$27,0)+1,FALSE)),0,VLOOKUP($A34,SXS_Transit_input!$A$28:$W$49,MATCH(SXS_Transit_temp!C$28,SXS_Transit_input!$B$27:$W$27,0)+1,FALSE))+IF(ISNA(VLOOKUP($A34,SXS_Transit_input!$A$71:$L$81,MATCH(SXS_Transit_temp!C$28,SXS_Transit_input!$B$70:$L$70,0)+1,FALSE)),0,VLOOKUP($A34,SXS_Transit_input!$A$71:$L$81,MATCH(SXS_Transit_temp!C$28,SXS_Transit_input!$B$70:$L$70,0)+1,FALSE))</f>
        <v>786.44676000000004</v>
      </c>
      <c r="D34">
        <f>IF(ISNA(VLOOKUP($A34,SXS_Transit_input!$A$28:$W$49,MATCH(SXS_Transit_temp!D$28,SXS_Transit_input!$B$27:$W$27,0)+1,FALSE)),0,VLOOKUP($A34,SXS_Transit_input!$A$28:$W$49,MATCH(SXS_Transit_temp!D$28,SXS_Transit_input!$B$27:$W$27,0)+1,FALSE))+IF(ISNA(VLOOKUP($A34,SXS_Transit_input!$A$71:$L$81,MATCH(SXS_Transit_temp!D$28,SXS_Transit_input!$B$70:$L$70,0)+1,FALSE)),0,VLOOKUP($A34,SXS_Transit_input!$A$71:$L$81,MATCH(SXS_Transit_temp!D$28,SXS_Transit_input!$B$70:$L$70,0)+1,FALSE))</f>
        <v>0</v>
      </c>
      <c r="E34">
        <f>IF(ISNA(VLOOKUP($A34,SXS_Transit_input!$A$28:$W$49,MATCH(SXS_Transit_temp!E$28,SXS_Transit_input!$B$27:$W$27,0)+1,FALSE)),0,VLOOKUP($A34,SXS_Transit_input!$A$28:$W$49,MATCH(SXS_Transit_temp!E$28,SXS_Transit_input!$B$27:$W$27,0)+1,FALSE))+IF(ISNA(VLOOKUP($A34,SXS_Transit_input!$A$71:$L$81,MATCH(SXS_Transit_temp!E$28,SXS_Transit_input!$B$70:$L$70,0)+1,FALSE)),0,VLOOKUP($A34,SXS_Transit_input!$A$71:$L$81,MATCH(SXS_Transit_temp!E$28,SXS_Transit_input!$B$70:$L$70,0)+1,FALSE))</f>
        <v>0</v>
      </c>
      <c r="F34">
        <f>IF(ISNA(VLOOKUP($A34,SXS_Transit_input!$A$28:$W$49,MATCH(SXS_Transit_temp!F$28,SXS_Transit_input!$B$27:$W$27,0)+1,FALSE)),0,VLOOKUP($A34,SXS_Transit_input!$A$28:$W$49,MATCH(SXS_Transit_temp!F$28,SXS_Transit_input!$B$27:$W$27,0)+1,FALSE))+IF(ISNA(VLOOKUP($A34,SXS_Transit_input!$A$71:$L$81,MATCH(SXS_Transit_temp!F$28,SXS_Transit_input!$B$70:$L$70,0)+1,FALSE)),0,VLOOKUP($A34,SXS_Transit_input!$A$71:$L$81,MATCH(SXS_Transit_temp!F$28,SXS_Transit_input!$B$70:$L$70,0)+1,FALSE))</f>
        <v>835.81579999999997</v>
      </c>
      <c r="G34">
        <f>IF(ISNA(VLOOKUP($A34,SXS_Transit_input!$A$28:$W$49,MATCH(SXS_Transit_temp!G$28,SXS_Transit_input!$B$27:$W$27,0)+1,FALSE)),0,VLOOKUP($A34,SXS_Transit_input!$A$28:$W$49,MATCH(SXS_Transit_temp!G$28,SXS_Transit_input!$B$27:$W$27,0)+1,FALSE))+IF(ISNA(VLOOKUP($A34,SXS_Transit_input!$A$71:$L$81,MATCH(SXS_Transit_temp!G$28,SXS_Transit_input!$B$70:$L$70,0)+1,FALSE)),0,VLOOKUP($A34,SXS_Transit_input!$A$71:$L$81,MATCH(SXS_Transit_temp!G$28,SXS_Transit_input!$B$70:$L$70,0)+1,FALSE))</f>
        <v>4251.8094000000001</v>
      </c>
      <c r="H34">
        <f>IF(ISNA(VLOOKUP($A34,SXS_Transit_input!$A$28:$W$49,MATCH(SXS_Transit_temp!H$28,SXS_Transit_input!$B$27:$W$27,0)+1,FALSE)),0,VLOOKUP($A34,SXS_Transit_input!$A$28:$W$49,MATCH(SXS_Transit_temp!H$28,SXS_Transit_input!$B$27:$W$27,0)+1,FALSE))+IF(ISNA(VLOOKUP($A34,SXS_Transit_input!$A$71:$L$81,MATCH(SXS_Transit_temp!H$28,SXS_Transit_input!$B$70:$L$70,0)+1,FALSE)),0,VLOOKUP($A34,SXS_Transit_input!$A$71:$L$81,MATCH(SXS_Transit_temp!H$28,SXS_Transit_input!$B$70:$L$70,0)+1,FALSE))</f>
        <v>84.101759999999999</v>
      </c>
      <c r="I34">
        <f>IF(ISNA(VLOOKUP($A34,SXS_Transit_input!$A$28:$W$49,MATCH(SXS_Transit_temp!I$28,SXS_Transit_input!$B$27:$W$27,0)+1,FALSE)),0,VLOOKUP($A34,SXS_Transit_input!$A$28:$W$49,MATCH(SXS_Transit_temp!I$28,SXS_Transit_input!$B$27:$W$27,0)+1,FALSE))+IF(ISNA(VLOOKUP($A34,SXS_Transit_input!$A$71:$L$81,MATCH(SXS_Transit_temp!I$28,SXS_Transit_input!$B$70:$L$70,0)+1,FALSE)),0,VLOOKUP($A34,SXS_Transit_input!$A$71:$L$81,MATCH(SXS_Transit_temp!I$28,SXS_Transit_input!$B$70:$L$70,0)+1,FALSE))</f>
        <v>0</v>
      </c>
      <c r="J34">
        <f>IF(ISNA(VLOOKUP($A34,SXS_Transit_input!$A$28:$W$49,MATCH(SXS_Transit_temp!J$28,SXS_Transit_input!$B$27:$W$27,0)+1,FALSE)),0,VLOOKUP($A34,SXS_Transit_input!$A$28:$W$49,MATCH(SXS_Transit_temp!J$28,SXS_Transit_input!$B$27:$W$27,0)+1,FALSE))+IF(ISNA(VLOOKUP($A34,SXS_Transit_input!$A$71:$L$81,MATCH(SXS_Transit_temp!J$28,SXS_Transit_input!$B$70:$L$70,0)+1,FALSE)),0,VLOOKUP($A34,SXS_Transit_input!$A$71:$L$81,MATCH(SXS_Transit_temp!J$28,SXS_Transit_input!$B$70:$L$70,0)+1,FALSE))</f>
        <v>0</v>
      </c>
      <c r="K34">
        <f>IF(ISNA(VLOOKUP($A34,SXS_Transit_input!$A$28:$W$49,MATCH(SXS_Transit_temp!K$28,SXS_Transit_input!$B$27:$W$27,0)+1,FALSE)),0,VLOOKUP($A34,SXS_Transit_input!$A$28:$W$49,MATCH(SXS_Transit_temp!K$28,SXS_Transit_input!$B$27:$W$27,0)+1,FALSE))+IF(ISNA(VLOOKUP($A34,SXS_Transit_input!$A$71:$L$81,MATCH(SXS_Transit_temp!K$28,SXS_Transit_input!$B$70:$L$70,0)+1,FALSE)),0,VLOOKUP($A34,SXS_Transit_input!$A$71:$L$81,MATCH(SXS_Transit_temp!K$28,SXS_Transit_input!$B$70:$L$70,0)+1,FALSE))</f>
        <v>0</v>
      </c>
      <c r="L34">
        <f>IF(ISNA(VLOOKUP($A34,SXS_Transit_input!$A$28:$W$49,MATCH(SXS_Transit_temp!L$28,SXS_Transit_input!$B$27:$W$27,0)+1,FALSE)),0,VLOOKUP($A34,SXS_Transit_input!$A$28:$W$49,MATCH(SXS_Transit_temp!L$28,SXS_Transit_input!$B$27:$W$27,0)+1,FALSE))+IF(ISNA(VLOOKUP($A34,SXS_Transit_input!$A$71:$L$81,MATCH(SXS_Transit_temp!L$28,SXS_Transit_input!$B$70:$L$70,0)+1,FALSE)),0,VLOOKUP($A34,SXS_Transit_input!$A$71:$L$81,MATCH(SXS_Transit_temp!L$28,SXS_Transit_input!$B$70:$L$70,0)+1,FALSE))</f>
        <v>0</v>
      </c>
      <c r="M34">
        <f>IF(ISNA(VLOOKUP($A34,SXS_Transit_input!$A$28:$W$49,MATCH(SXS_Transit_temp!M$28,SXS_Transit_input!$B$27:$W$27,0)+1,FALSE)),0,VLOOKUP($A34,SXS_Transit_input!$A$28:$W$49,MATCH(SXS_Transit_temp!M$28,SXS_Transit_input!$B$27:$W$27,0)+1,FALSE))+IF(ISNA(VLOOKUP($A34,SXS_Transit_input!$A$71:$L$81,MATCH(SXS_Transit_temp!M$28,SXS_Transit_input!$B$70:$L$70,0)+1,FALSE)),0,VLOOKUP($A34,SXS_Transit_input!$A$71:$L$81,MATCH(SXS_Transit_temp!M$28,SXS_Transit_input!$B$70:$L$70,0)+1,FALSE))</f>
        <v>0</v>
      </c>
      <c r="N34">
        <f>IF(ISNA(VLOOKUP($A34,SXS_Transit_input!$A$28:$W$49,MATCH(SXS_Transit_temp!N$28,SXS_Transit_input!$B$27:$W$27,0)+1,FALSE)),0,VLOOKUP($A34,SXS_Transit_input!$A$28:$W$49,MATCH(SXS_Transit_temp!N$28,SXS_Transit_input!$B$27:$W$27,0)+1,FALSE))+IF(ISNA(VLOOKUP($A34,SXS_Transit_input!$A$71:$L$81,MATCH(SXS_Transit_temp!N$28,SXS_Transit_input!$B$70:$L$70,0)+1,FALSE)),0,VLOOKUP($A34,SXS_Transit_input!$A$71:$L$81,MATCH(SXS_Transit_temp!N$28,SXS_Transit_input!$B$70:$L$70,0)+1,FALSE))</f>
        <v>0</v>
      </c>
      <c r="O34">
        <f>IF(ISNA(VLOOKUP($A34,SXS_Transit_input!$A$28:$W$49,MATCH(SXS_Transit_temp!O$28,SXS_Transit_input!$B$27:$W$27,0)+1,FALSE)),0,VLOOKUP($A34,SXS_Transit_input!$A$28:$W$49,MATCH(SXS_Transit_temp!O$28,SXS_Transit_input!$B$27:$W$27,0)+1,FALSE))+IF(ISNA(VLOOKUP($A34,SXS_Transit_input!$A$71:$L$81,MATCH(SXS_Transit_temp!O$28,SXS_Transit_input!$B$70:$L$70,0)+1,FALSE)),0,VLOOKUP($A34,SXS_Transit_input!$A$71:$L$81,MATCH(SXS_Transit_temp!O$28,SXS_Transit_input!$B$70:$L$70,0)+1,FALSE))</f>
        <v>328.74176</v>
      </c>
      <c r="P34">
        <f>IF(ISNA(VLOOKUP($A34,SXS_Transit_input!$A$28:$W$49,MATCH(SXS_Transit_temp!P$28,SXS_Transit_input!$B$27:$W$27,0)+1,FALSE)),0,VLOOKUP($A34,SXS_Transit_input!$A$28:$W$49,MATCH(SXS_Transit_temp!P$28,SXS_Transit_input!$B$27:$W$27,0)+1,FALSE))+IF(ISNA(VLOOKUP($A34,SXS_Transit_input!$A$71:$L$81,MATCH(SXS_Transit_temp!P$28,SXS_Transit_input!$B$70:$L$70,0)+1,FALSE)),0,VLOOKUP($A34,SXS_Transit_input!$A$71:$L$81,MATCH(SXS_Transit_temp!P$28,SXS_Transit_input!$B$70:$L$70,0)+1,FALSE))</f>
        <v>0</v>
      </c>
      <c r="Q34">
        <f>IF(ISNA(VLOOKUP($A34,SXS_Transit_input!$A$28:$W$49,MATCH(SXS_Transit_temp!Q$28,SXS_Transit_input!$B$27:$W$27,0)+1,FALSE)),0,VLOOKUP($A34,SXS_Transit_input!$A$28:$W$49,MATCH(SXS_Transit_temp!Q$28,SXS_Transit_input!$B$27:$W$27,0)+1,FALSE))+IF(ISNA(VLOOKUP($A34,SXS_Transit_input!$A$71:$L$81,MATCH(SXS_Transit_temp!Q$28,SXS_Transit_input!$B$70:$L$70,0)+1,FALSE)),0,VLOOKUP($A34,SXS_Transit_input!$A$71:$L$81,MATCH(SXS_Transit_temp!Q$28,SXS_Transit_input!$B$70:$L$70,0)+1,FALSE))</f>
        <v>0</v>
      </c>
      <c r="R34">
        <f>IF(ISNA(VLOOKUP($A34,SXS_Transit_input!$A$28:$W$49,MATCH(SXS_Transit_temp!R$28,SXS_Transit_input!$B$27:$W$27,0)+1,FALSE)),0,VLOOKUP($A34,SXS_Transit_input!$A$28:$W$49,MATCH(SXS_Transit_temp!R$28,SXS_Transit_input!$B$27:$W$27,0)+1,FALSE))+IF(ISNA(VLOOKUP($A34,SXS_Transit_input!$A$71:$L$81,MATCH(SXS_Transit_temp!R$28,SXS_Transit_input!$B$70:$L$70,0)+1,FALSE)),0,VLOOKUP($A34,SXS_Transit_input!$A$71:$L$81,MATCH(SXS_Transit_temp!R$28,SXS_Transit_input!$B$70:$L$70,0)+1,FALSE))</f>
        <v>0</v>
      </c>
      <c r="S34">
        <f>IF(ISNA(VLOOKUP($A34,SXS_Transit_input!$A$28:$W$49,MATCH(SXS_Transit_temp!S$28,SXS_Transit_input!$B$27:$W$27,0)+1,FALSE)),0,VLOOKUP($A34,SXS_Transit_input!$A$28:$W$49,MATCH(SXS_Transit_temp!S$28,SXS_Transit_input!$B$27:$W$27,0)+1,FALSE))+IF(ISNA(VLOOKUP($A34,SXS_Transit_input!$A$71:$L$81,MATCH(SXS_Transit_temp!S$28,SXS_Transit_input!$B$70:$L$70,0)+1,FALSE)),0,VLOOKUP($A34,SXS_Transit_input!$A$71:$L$81,MATCH(SXS_Transit_temp!S$28,SXS_Transit_input!$B$70:$L$70,0)+1,FALSE))</f>
        <v>0</v>
      </c>
      <c r="T34">
        <f>IF(ISNA(VLOOKUP($A34,SXS_Transit_input!$A$28:$W$49,MATCH(SXS_Transit_temp!T$28,SXS_Transit_input!$B$27:$W$27,0)+1,FALSE)),0,VLOOKUP($A34,SXS_Transit_input!$A$28:$W$49,MATCH(SXS_Transit_temp!T$28,SXS_Transit_input!$B$27:$W$27,0)+1,FALSE))+IF(ISNA(VLOOKUP($A34,SXS_Transit_input!$A$71:$L$81,MATCH(SXS_Transit_temp!T$28,SXS_Transit_input!$B$70:$L$70,0)+1,FALSE)),0,VLOOKUP($A34,SXS_Transit_input!$A$71:$L$81,MATCH(SXS_Transit_temp!T$28,SXS_Transit_input!$B$70:$L$70,0)+1,FALSE))</f>
        <v>0</v>
      </c>
      <c r="U34">
        <f>IF(ISNA(VLOOKUP($A34,SXS_Transit_input!$A$28:$W$49,MATCH(SXS_Transit_temp!U$28,SXS_Transit_input!$B$27:$W$27,0)+1,FALSE)),0,VLOOKUP($A34,SXS_Transit_input!$A$28:$W$49,MATCH(SXS_Transit_temp!U$28,SXS_Transit_input!$B$27:$W$27,0)+1,FALSE))+IF(ISNA(VLOOKUP($A34,SXS_Transit_input!$A$71:$L$81,MATCH(SXS_Transit_temp!U$28,SXS_Transit_input!$B$70:$L$70,0)+1,FALSE)),0,VLOOKUP($A34,SXS_Transit_input!$A$71:$L$81,MATCH(SXS_Transit_temp!U$28,SXS_Transit_input!$B$70:$L$70,0)+1,FALSE))</f>
        <v>0</v>
      </c>
      <c r="V34">
        <f>IF(ISNA(VLOOKUP($A34,SXS_Transit_input!$A$28:$W$49,MATCH(SXS_Transit_temp!V$28,SXS_Transit_input!$B$27:$W$27,0)+1,FALSE)),0,VLOOKUP($A34,SXS_Transit_input!$A$28:$W$49,MATCH(SXS_Transit_temp!V$28,SXS_Transit_input!$B$27:$W$27,0)+1,FALSE))+IF(ISNA(VLOOKUP($A34,SXS_Transit_input!$A$71:$L$81,MATCH(SXS_Transit_temp!V$28,SXS_Transit_input!$B$70:$L$70,0)+1,FALSE)),0,VLOOKUP($A34,SXS_Transit_input!$A$71:$L$81,MATCH(SXS_Transit_temp!V$28,SXS_Transit_input!$B$70:$L$70,0)+1,FALSE))</f>
        <v>0</v>
      </c>
      <c r="W34">
        <f>IF(ISNA(VLOOKUP($A34,SXS_Transit_input!$A$28:$W$49,MATCH(SXS_Transit_temp!W$28,SXS_Transit_input!$B$27:$W$27,0)+1,FALSE)),0,VLOOKUP($A34,SXS_Transit_input!$A$28:$W$49,MATCH(SXS_Transit_temp!W$28,SXS_Transit_input!$B$27:$W$27,0)+1,FALSE))+IF(ISNA(VLOOKUP($A34,SXS_Transit_input!$A$71:$L$81,MATCH(SXS_Transit_temp!W$28,SXS_Transit_input!$B$70:$L$70,0)+1,FALSE)),0,VLOOKUP($A34,SXS_Transit_input!$A$71:$L$81,MATCH(SXS_Transit_temp!W$28,SXS_Transit_input!$B$70:$L$70,0)+1,FALSE))</f>
        <v>0</v>
      </c>
      <c r="X34">
        <f>IF(ISNA(VLOOKUP($A34,SXS_Transit_input!$A$28:$W$49,MATCH(SXS_Transit_temp!X$28,SXS_Transit_input!$B$27:$W$27,0)+1,FALSE)),0,VLOOKUP($A34,SXS_Transit_input!$A$28:$W$49,MATCH(SXS_Transit_temp!X$28,SXS_Transit_input!$B$27:$W$27,0)+1,FALSE))+IF(ISNA(VLOOKUP($A34,SXS_Transit_input!$A$71:$L$81,MATCH(SXS_Transit_temp!X$28,SXS_Transit_input!$B$70:$L$70,0)+1,FALSE)),0,VLOOKUP($A34,SXS_Transit_input!$A$71:$L$81,MATCH(SXS_Transit_temp!X$28,SXS_Transit_input!$B$70:$L$70,0)+1,FALSE))</f>
        <v>0</v>
      </c>
      <c r="Y34">
        <f>IF(ISNA(VLOOKUP($A34,SXS_Transit_input!$A$28:$W$49,MATCH(SXS_Transit_temp!Y$28,SXS_Transit_input!$B$27:$W$27,0)+1,FALSE)),0,VLOOKUP($A34,SXS_Transit_input!$A$28:$W$49,MATCH(SXS_Transit_temp!Y$28,SXS_Transit_input!$B$27:$W$27,0)+1,FALSE))+IF(ISNA(VLOOKUP($A34,SXS_Transit_input!$A$71:$L$81,MATCH(SXS_Transit_temp!Y$28,SXS_Transit_input!$B$70:$L$70,0)+1,FALSE)),0,VLOOKUP($A34,SXS_Transit_input!$A$71:$L$81,MATCH(SXS_Transit_temp!Y$28,SXS_Transit_input!$B$70:$L$70,0)+1,FALSE))</f>
        <v>0</v>
      </c>
      <c r="Z34">
        <f>IF(ISNA(VLOOKUP($A34,SXS_Transit_input!$A$28:$W$49,MATCH(SXS_Transit_temp!Z$28,SXS_Transit_input!$B$27:$W$27,0)+1,FALSE)),0,VLOOKUP($A34,SXS_Transit_input!$A$28:$W$49,MATCH(SXS_Transit_temp!Z$28,SXS_Transit_input!$B$27:$W$27,0)+1,FALSE))+IF(ISNA(VLOOKUP($A34,SXS_Transit_input!$A$71:$L$81,MATCH(SXS_Transit_temp!Z$28,SXS_Transit_input!$B$70:$L$70,0)+1,FALSE)),0,VLOOKUP($A34,SXS_Transit_input!$A$71:$L$81,MATCH(SXS_Transit_temp!Z$28,SXS_Transit_input!$B$70:$L$70,0)+1,FALSE))</f>
        <v>0</v>
      </c>
      <c r="AA34">
        <v>6</v>
      </c>
      <c r="AB34" s="33">
        <f t="shared" si="27"/>
        <v>816</v>
      </c>
      <c r="AC34" s="34">
        <f t="shared" si="26"/>
        <v>0</v>
      </c>
      <c r="AD34" s="34">
        <f t="shared" si="26"/>
        <v>10</v>
      </c>
      <c r="AE34" s="34">
        <f t="shared" si="26"/>
        <v>2</v>
      </c>
      <c r="AF34" s="34">
        <f t="shared" si="26"/>
        <v>20</v>
      </c>
      <c r="AG34" s="34">
        <f t="shared" si="26"/>
        <v>58</v>
      </c>
      <c r="AH34" s="34">
        <f t="shared" si="26"/>
        <v>12</v>
      </c>
      <c r="AI34" s="34">
        <f t="shared" si="26"/>
        <v>2</v>
      </c>
      <c r="AJ34" s="34">
        <f t="shared" si="26"/>
        <v>0</v>
      </c>
      <c r="AK34" s="34">
        <f t="shared" si="26"/>
        <v>0</v>
      </c>
      <c r="AL34" s="34">
        <f t="shared" si="26"/>
        <v>0</v>
      </c>
      <c r="AM34" s="34">
        <f t="shared" si="26"/>
        <v>2</v>
      </c>
      <c r="AN34" s="34">
        <f t="shared" si="26"/>
        <v>4</v>
      </c>
      <c r="AO34" s="34">
        <f t="shared" si="26"/>
        <v>0</v>
      </c>
      <c r="AP34" s="34">
        <f t="shared" si="26"/>
        <v>0</v>
      </c>
      <c r="AQ34" s="34">
        <f t="shared" si="26"/>
        <v>0</v>
      </c>
      <c r="AR34" s="34">
        <f t="shared" si="26"/>
        <v>0</v>
      </c>
      <c r="AS34" s="34">
        <f t="shared" si="26"/>
        <v>0</v>
      </c>
      <c r="AT34" s="34">
        <f t="shared" si="26"/>
        <v>0</v>
      </c>
      <c r="AU34" s="34">
        <f t="shared" si="26"/>
        <v>0</v>
      </c>
      <c r="AV34" s="34">
        <f t="shared" si="26"/>
        <v>0</v>
      </c>
      <c r="AW34" s="34">
        <f t="shared" si="26"/>
        <v>0</v>
      </c>
      <c r="AX34" s="34">
        <f t="shared" si="26"/>
        <v>0</v>
      </c>
      <c r="AY34" s="34">
        <f t="shared" si="26"/>
        <v>0</v>
      </c>
      <c r="AZ34" s="35">
        <f t="shared" si="26"/>
        <v>0</v>
      </c>
      <c r="BC34" s="157">
        <v>5</v>
      </c>
      <c r="BD34">
        <v>988</v>
      </c>
      <c r="BE34">
        <v>4</v>
      </c>
      <c r="BF34">
        <v>12</v>
      </c>
      <c r="BG34">
        <v>22</v>
      </c>
      <c r="BH34">
        <v>136</v>
      </c>
      <c r="BI34">
        <v>18</v>
      </c>
      <c r="BJ34">
        <v>2</v>
      </c>
      <c r="BK34">
        <v>4</v>
      </c>
      <c r="BL34">
        <v>0</v>
      </c>
      <c r="BM34">
        <v>2</v>
      </c>
      <c r="BN34">
        <v>0</v>
      </c>
      <c r="BO34">
        <v>2</v>
      </c>
      <c r="BP34">
        <v>2</v>
      </c>
      <c r="BQ34">
        <v>0</v>
      </c>
      <c r="BR34">
        <v>0</v>
      </c>
      <c r="BS34">
        <v>0</v>
      </c>
      <c r="BT34">
        <v>0</v>
      </c>
      <c r="BU34">
        <v>0</v>
      </c>
      <c r="BV34">
        <v>0</v>
      </c>
      <c r="BW34">
        <v>0</v>
      </c>
      <c r="BX34">
        <v>2</v>
      </c>
      <c r="BY34">
        <v>0</v>
      </c>
      <c r="BZ34">
        <v>0</v>
      </c>
      <c r="CA34">
        <v>0</v>
      </c>
      <c r="CB34">
        <v>0</v>
      </c>
    </row>
    <row r="35" spans="1:80" x14ac:dyDescent="0.25">
      <c r="A35">
        <v>7</v>
      </c>
      <c r="B35">
        <f>IF(ISNA(VLOOKUP($A35,SXS_Transit_input!$A$28:$W$49,MATCH(SXS_Transit_temp!B$28,SXS_Transit_input!$B$27:$W$27,0)+1,FALSE)),0,VLOOKUP($A35,SXS_Transit_input!$A$28:$W$49,MATCH(SXS_Transit_temp!B$28,SXS_Transit_input!$B$27:$W$27,0)+1,FALSE))+IF(ISNA(VLOOKUP($A35,SXS_Transit_input!$A$71:$L$81,MATCH(SXS_Transit_temp!B$28,SXS_Transit_input!$B$70:$L$70,0)+1,FALSE)),0,VLOOKUP($A35,SXS_Transit_input!$A$71:$L$81,MATCH(SXS_Transit_temp!B$28,SXS_Transit_input!$B$70:$L$70,0)+1,FALSE))</f>
        <v>3901.6713399999999</v>
      </c>
      <c r="C35">
        <f>IF(ISNA(VLOOKUP($A35,SXS_Transit_input!$A$28:$W$49,MATCH(SXS_Transit_temp!C$28,SXS_Transit_input!$B$27:$W$27,0)+1,FALSE)),0,VLOOKUP($A35,SXS_Transit_input!$A$28:$W$49,MATCH(SXS_Transit_temp!C$28,SXS_Transit_input!$B$27:$W$27,0)+1,FALSE))+IF(ISNA(VLOOKUP($A35,SXS_Transit_input!$A$71:$L$81,MATCH(SXS_Transit_temp!C$28,SXS_Transit_input!$B$70:$L$70,0)+1,FALSE)),0,VLOOKUP($A35,SXS_Transit_input!$A$71:$L$81,MATCH(SXS_Transit_temp!C$28,SXS_Transit_input!$B$70:$L$70,0)+1,FALSE))</f>
        <v>0</v>
      </c>
      <c r="D35">
        <f>IF(ISNA(VLOOKUP($A35,SXS_Transit_input!$A$28:$W$49,MATCH(SXS_Transit_temp!D$28,SXS_Transit_input!$B$27:$W$27,0)+1,FALSE)),0,VLOOKUP($A35,SXS_Transit_input!$A$28:$W$49,MATCH(SXS_Transit_temp!D$28,SXS_Transit_input!$B$27:$W$27,0)+1,FALSE))+IF(ISNA(VLOOKUP($A35,SXS_Transit_input!$A$71:$L$81,MATCH(SXS_Transit_temp!D$28,SXS_Transit_input!$B$70:$L$70,0)+1,FALSE)),0,VLOOKUP($A35,SXS_Transit_input!$A$71:$L$81,MATCH(SXS_Transit_temp!D$28,SXS_Transit_input!$B$70:$L$70,0)+1,FALSE))</f>
        <v>413.72300000000001</v>
      </c>
      <c r="E35">
        <f>IF(ISNA(VLOOKUP($A35,SXS_Transit_input!$A$28:$W$49,MATCH(SXS_Transit_temp!E$28,SXS_Transit_input!$B$27:$W$27,0)+1,FALSE)),0,VLOOKUP($A35,SXS_Transit_input!$A$28:$W$49,MATCH(SXS_Transit_temp!E$28,SXS_Transit_input!$B$27:$W$27,0)+1,FALSE))+IF(ISNA(VLOOKUP($A35,SXS_Transit_input!$A$71:$L$81,MATCH(SXS_Transit_temp!E$28,SXS_Transit_input!$B$70:$L$70,0)+1,FALSE)),0,VLOOKUP($A35,SXS_Transit_input!$A$71:$L$81,MATCH(SXS_Transit_temp!E$28,SXS_Transit_input!$B$70:$L$70,0)+1,FALSE))</f>
        <v>0</v>
      </c>
      <c r="F35">
        <f>IF(ISNA(VLOOKUP($A35,SXS_Transit_input!$A$28:$W$49,MATCH(SXS_Transit_temp!F$28,SXS_Transit_input!$B$27:$W$27,0)+1,FALSE)),0,VLOOKUP($A35,SXS_Transit_input!$A$28:$W$49,MATCH(SXS_Transit_temp!F$28,SXS_Transit_input!$B$27:$W$27,0)+1,FALSE))+IF(ISNA(VLOOKUP($A35,SXS_Transit_input!$A$71:$L$81,MATCH(SXS_Transit_temp!F$28,SXS_Transit_input!$B$70:$L$70,0)+1,FALSE)),0,VLOOKUP($A35,SXS_Transit_input!$A$71:$L$81,MATCH(SXS_Transit_temp!F$28,SXS_Transit_input!$B$70:$L$70,0)+1,FALSE))</f>
        <v>61.827979999999997</v>
      </c>
      <c r="G35">
        <f>IF(ISNA(VLOOKUP($A35,SXS_Transit_input!$A$28:$W$49,MATCH(SXS_Transit_temp!G$28,SXS_Transit_input!$B$27:$W$27,0)+1,FALSE)),0,VLOOKUP($A35,SXS_Transit_input!$A$28:$W$49,MATCH(SXS_Transit_temp!G$28,SXS_Transit_input!$B$27:$W$27,0)+1,FALSE))+IF(ISNA(VLOOKUP($A35,SXS_Transit_input!$A$71:$L$81,MATCH(SXS_Transit_temp!G$28,SXS_Transit_input!$B$70:$L$70,0)+1,FALSE)),0,VLOOKUP($A35,SXS_Transit_input!$A$71:$L$81,MATCH(SXS_Transit_temp!G$28,SXS_Transit_input!$B$70:$L$70,0)+1,FALSE))</f>
        <v>543.63887</v>
      </c>
      <c r="H35">
        <f>IF(ISNA(VLOOKUP($A35,SXS_Transit_input!$A$28:$W$49,MATCH(SXS_Transit_temp!H$28,SXS_Transit_input!$B$27:$W$27,0)+1,FALSE)),0,VLOOKUP($A35,SXS_Transit_input!$A$28:$W$49,MATCH(SXS_Transit_temp!H$28,SXS_Transit_input!$B$27:$W$27,0)+1,FALSE))+IF(ISNA(VLOOKUP($A35,SXS_Transit_input!$A$71:$L$81,MATCH(SXS_Transit_temp!H$28,SXS_Transit_input!$B$70:$L$70,0)+1,FALSE)),0,VLOOKUP($A35,SXS_Transit_input!$A$71:$L$81,MATCH(SXS_Transit_temp!H$28,SXS_Transit_input!$B$70:$L$70,0)+1,FALSE))</f>
        <v>6023.2979500000001</v>
      </c>
      <c r="I35">
        <f>IF(ISNA(VLOOKUP($A35,SXS_Transit_input!$A$28:$W$49,MATCH(SXS_Transit_temp!I$28,SXS_Transit_input!$B$27:$W$27,0)+1,FALSE)),0,VLOOKUP($A35,SXS_Transit_input!$A$28:$W$49,MATCH(SXS_Transit_temp!I$28,SXS_Transit_input!$B$27:$W$27,0)+1,FALSE))+IF(ISNA(VLOOKUP($A35,SXS_Transit_input!$A$71:$L$81,MATCH(SXS_Transit_temp!I$28,SXS_Transit_input!$B$70:$L$70,0)+1,FALSE)),0,VLOOKUP($A35,SXS_Transit_input!$A$71:$L$81,MATCH(SXS_Transit_temp!I$28,SXS_Transit_input!$B$70:$L$70,0)+1,FALSE))</f>
        <v>109.24102000000001</v>
      </c>
      <c r="J35">
        <f>IF(ISNA(VLOOKUP($A35,SXS_Transit_input!$A$28:$W$49,MATCH(SXS_Transit_temp!J$28,SXS_Transit_input!$B$27:$W$27,0)+1,FALSE)),0,VLOOKUP($A35,SXS_Transit_input!$A$28:$W$49,MATCH(SXS_Transit_temp!J$28,SXS_Transit_input!$B$27:$W$27,0)+1,FALSE))+IF(ISNA(VLOOKUP($A35,SXS_Transit_input!$A$71:$L$81,MATCH(SXS_Transit_temp!J$28,SXS_Transit_input!$B$70:$L$70,0)+1,FALSE)),0,VLOOKUP($A35,SXS_Transit_input!$A$71:$L$81,MATCH(SXS_Transit_temp!J$28,SXS_Transit_input!$B$70:$L$70,0)+1,FALSE))</f>
        <v>101.20013</v>
      </c>
      <c r="K35">
        <f>IF(ISNA(VLOOKUP($A35,SXS_Transit_input!$A$28:$W$49,MATCH(SXS_Transit_temp!K$28,SXS_Transit_input!$B$27:$W$27,0)+1,FALSE)),0,VLOOKUP($A35,SXS_Transit_input!$A$28:$W$49,MATCH(SXS_Transit_temp!K$28,SXS_Transit_input!$B$27:$W$27,0)+1,FALSE))+IF(ISNA(VLOOKUP($A35,SXS_Transit_input!$A$71:$L$81,MATCH(SXS_Transit_temp!K$28,SXS_Transit_input!$B$70:$L$70,0)+1,FALSE)),0,VLOOKUP($A35,SXS_Transit_input!$A$71:$L$81,MATCH(SXS_Transit_temp!K$28,SXS_Transit_input!$B$70:$L$70,0)+1,FALSE))</f>
        <v>13.72339</v>
      </c>
      <c r="L35">
        <f>IF(ISNA(VLOOKUP($A35,SXS_Transit_input!$A$28:$W$49,MATCH(SXS_Transit_temp!L$28,SXS_Transit_input!$B$27:$W$27,0)+1,FALSE)),0,VLOOKUP($A35,SXS_Transit_input!$A$28:$W$49,MATCH(SXS_Transit_temp!L$28,SXS_Transit_input!$B$27:$W$27,0)+1,FALSE))+IF(ISNA(VLOOKUP($A35,SXS_Transit_input!$A$71:$L$81,MATCH(SXS_Transit_temp!L$28,SXS_Transit_input!$B$70:$L$70,0)+1,FALSE)),0,VLOOKUP($A35,SXS_Transit_input!$A$71:$L$81,MATCH(SXS_Transit_temp!L$28,SXS_Transit_input!$B$70:$L$70,0)+1,FALSE))</f>
        <v>0</v>
      </c>
      <c r="M35">
        <f>IF(ISNA(VLOOKUP($A35,SXS_Transit_input!$A$28:$W$49,MATCH(SXS_Transit_temp!M$28,SXS_Transit_input!$B$27:$W$27,0)+1,FALSE)),0,VLOOKUP($A35,SXS_Transit_input!$A$28:$W$49,MATCH(SXS_Transit_temp!M$28,SXS_Transit_input!$B$27:$W$27,0)+1,FALSE))+IF(ISNA(VLOOKUP($A35,SXS_Transit_input!$A$71:$L$81,MATCH(SXS_Transit_temp!M$28,SXS_Transit_input!$B$70:$L$70,0)+1,FALSE)),0,VLOOKUP($A35,SXS_Transit_input!$A$71:$L$81,MATCH(SXS_Transit_temp!M$28,SXS_Transit_input!$B$70:$L$70,0)+1,FALSE))</f>
        <v>0</v>
      </c>
      <c r="N35">
        <f>IF(ISNA(VLOOKUP($A35,SXS_Transit_input!$A$28:$W$49,MATCH(SXS_Transit_temp!N$28,SXS_Transit_input!$B$27:$W$27,0)+1,FALSE)),0,VLOOKUP($A35,SXS_Transit_input!$A$28:$W$49,MATCH(SXS_Transit_temp!N$28,SXS_Transit_input!$B$27:$W$27,0)+1,FALSE))+IF(ISNA(VLOOKUP($A35,SXS_Transit_input!$A$71:$L$81,MATCH(SXS_Transit_temp!N$28,SXS_Transit_input!$B$70:$L$70,0)+1,FALSE)),0,VLOOKUP($A35,SXS_Transit_input!$A$71:$L$81,MATCH(SXS_Transit_temp!N$28,SXS_Transit_input!$B$70:$L$70,0)+1,FALSE))</f>
        <v>0</v>
      </c>
      <c r="O35">
        <f>IF(ISNA(VLOOKUP($A35,SXS_Transit_input!$A$28:$W$49,MATCH(SXS_Transit_temp!O$28,SXS_Transit_input!$B$27:$W$27,0)+1,FALSE)),0,VLOOKUP($A35,SXS_Transit_input!$A$28:$W$49,MATCH(SXS_Transit_temp!O$28,SXS_Transit_input!$B$27:$W$27,0)+1,FALSE))+IF(ISNA(VLOOKUP($A35,SXS_Transit_input!$A$71:$L$81,MATCH(SXS_Transit_temp!O$28,SXS_Transit_input!$B$70:$L$70,0)+1,FALSE)),0,VLOOKUP($A35,SXS_Transit_input!$A$71:$L$81,MATCH(SXS_Transit_temp!O$28,SXS_Transit_input!$B$70:$L$70,0)+1,FALSE))</f>
        <v>0</v>
      </c>
      <c r="P35">
        <f>IF(ISNA(VLOOKUP($A35,SXS_Transit_input!$A$28:$W$49,MATCH(SXS_Transit_temp!P$28,SXS_Transit_input!$B$27:$W$27,0)+1,FALSE)),0,VLOOKUP($A35,SXS_Transit_input!$A$28:$W$49,MATCH(SXS_Transit_temp!P$28,SXS_Transit_input!$B$27:$W$27,0)+1,FALSE))+IF(ISNA(VLOOKUP($A35,SXS_Transit_input!$A$71:$L$81,MATCH(SXS_Transit_temp!P$28,SXS_Transit_input!$B$70:$L$70,0)+1,FALSE)),0,VLOOKUP($A35,SXS_Transit_input!$A$71:$L$81,MATCH(SXS_Transit_temp!P$28,SXS_Transit_input!$B$70:$L$70,0)+1,FALSE))</f>
        <v>44.210099999999997</v>
      </c>
      <c r="Q35">
        <f>IF(ISNA(VLOOKUP($A35,SXS_Transit_input!$A$28:$W$49,MATCH(SXS_Transit_temp!Q$28,SXS_Transit_input!$B$27:$W$27,0)+1,FALSE)),0,VLOOKUP($A35,SXS_Transit_input!$A$28:$W$49,MATCH(SXS_Transit_temp!Q$28,SXS_Transit_input!$B$27:$W$27,0)+1,FALSE))+IF(ISNA(VLOOKUP($A35,SXS_Transit_input!$A$71:$L$81,MATCH(SXS_Transit_temp!Q$28,SXS_Transit_input!$B$70:$L$70,0)+1,FALSE)),0,VLOOKUP($A35,SXS_Transit_input!$A$71:$L$81,MATCH(SXS_Transit_temp!Q$28,SXS_Transit_input!$B$70:$L$70,0)+1,FALSE))</f>
        <v>0</v>
      </c>
      <c r="R35">
        <f>IF(ISNA(VLOOKUP($A35,SXS_Transit_input!$A$28:$W$49,MATCH(SXS_Transit_temp!R$28,SXS_Transit_input!$B$27:$W$27,0)+1,FALSE)),0,VLOOKUP($A35,SXS_Transit_input!$A$28:$W$49,MATCH(SXS_Transit_temp!R$28,SXS_Transit_input!$B$27:$W$27,0)+1,FALSE))+IF(ISNA(VLOOKUP($A35,SXS_Transit_input!$A$71:$L$81,MATCH(SXS_Transit_temp!R$28,SXS_Transit_input!$B$70:$L$70,0)+1,FALSE)),0,VLOOKUP($A35,SXS_Transit_input!$A$71:$L$81,MATCH(SXS_Transit_temp!R$28,SXS_Transit_input!$B$70:$L$70,0)+1,FALSE))</f>
        <v>0</v>
      </c>
      <c r="S35">
        <f>IF(ISNA(VLOOKUP($A35,SXS_Transit_input!$A$28:$W$49,MATCH(SXS_Transit_temp!S$28,SXS_Transit_input!$B$27:$W$27,0)+1,FALSE)),0,VLOOKUP($A35,SXS_Transit_input!$A$28:$W$49,MATCH(SXS_Transit_temp!S$28,SXS_Transit_input!$B$27:$W$27,0)+1,FALSE))+IF(ISNA(VLOOKUP($A35,SXS_Transit_input!$A$71:$L$81,MATCH(SXS_Transit_temp!S$28,SXS_Transit_input!$B$70:$L$70,0)+1,FALSE)),0,VLOOKUP($A35,SXS_Transit_input!$A$71:$L$81,MATCH(SXS_Transit_temp!S$28,SXS_Transit_input!$B$70:$L$70,0)+1,FALSE))</f>
        <v>249.15765999999999</v>
      </c>
      <c r="T35">
        <f>IF(ISNA(VLOOKUP($A35,SXS_Transit_input!$A$28:$W$49,MATCH(SXS_Transit_temp!T$28,SXS_Transit_input!$B$27:$W$27,0)+1,FALSE)),0,VLOOKUP($A35,SXS_Transit_input!$A$28:$W$49,MATCH(SXS_Transit_temp!T$28,SXS_Transit_input!$B$27:$W$27,0)+1,FALSE))+IF(ISNA(VLOOKUP($A35,SXS_Transit_input!$A$71:$L$81,MATCH(SXS_Transit_temp!T$28,SXS_Transit_input!$B$70:$L$70,0)+1,FALSE)),0,VLOOKUP($A35,SXS_Transit_input!$A$71:$L$81,MATCH(SXS_Transit_temp!T$28,SXS_Transit_input!$B$70:$L$70,0)+1,FALSE))</f>
        <v>0</v>
      </c>
      <c r="U35">
        <f>IF(ISNA(VLOOKUP($A35,SXS_Transit_input!$A$28:$W$49,MATCH(SXS_Transit_temp!U$28,SXS_Transit_input!$B$27:$W$27,0)+1,FALSE)),0,VLOOKUP($A35,SXS_Transit_input!$A$28:$W$49,MATCH(SXS_Transit_temp!U$28,SXS_Transit_input!$B$27:$W$27,0)+1,FALSE))+IF(ISNA(VLOOKUP($A35,SXS_Transit_input!$A$71:$L$81,MATCH(SXS_Transit_temp!U$28,SXS_Transit_input!$B$70:$L$70,0)+1,FALSE)),0,VLOOKUP($A35,SXS_Transit_input!$A$71:$L$81,MATCH(SXS_Transit_temp!U$28,SXS_Transit_input!$B$70:$L$70,0)+1,FALSE))</f>
        <v>0</v>
      </c>
      <c r="V35">
        <f>IF(ISNA(VLOOKUP($A35,SXS_Transit_input!$A$28:$W$49,MATCH(SXS_Transit_temp!V$28,SXS_Transit_input!$B$27:$W$27,0)+1,FALSE)),0,VLOOKUP($A35,SXS_Transit_input!$A$28:$W$49,MATCH(SXS_Transit_temp!V$28,SXS_Transit_input!$B$27:$W$27,0)+1,FALSE))+IF(ISNA(VLOOKUP($A35,SXS_Transit_input!$A$71:$L$81,MATCH(SXS_Transit_temp!V$28,SXS_Transit_input!$B$70:$L$70,0)+1,FALSE)),0,VLOOKUP($A35,SXS_Transit_input!$A$71:$L$81,MATCH(SXS_Transit_temp!V$28,SXS_Transit_input!$B$70:$L$70,0)+1,FALSE))</f>
        <v>0</v>
      </c>
      <c r="W35">
        <f>IF(ISNA(VLOOKUP($A35,SXS_Transit_input!$A$28:$W$49,MATCH(SXS_Transit_temp!W$28,SXS_Transit_input!$B$27:$W$27,0)+1,FALSE)),0,VLOOKUP($A35,SXS_Transit_input!$A$28:$W$49,MATCH(SXS_Transit_temp!W$28,SXS_Transit_input!$B$27:$W$27,0)+1,FALSE))+IF(ISNA(VLOOKUP($A35,SXS_Transit_input!$A$71:$L$81,MATCH(SXS_Transit_temp!W$28,SXS_Transit_input!$B$70:$L$70,0)+1,FALSE)),0,VLOOKUP($A35,SXS_Transit_input!$A$71:$L$81,MATCH(SXS_Transit_temp!W$28,SXS_Transit_input!$B$70:$L$70,0)+1,FALSE))</f>
        <v>0</v>
      </c>
      <c r="X35">
        <f>IF(ISNA(VLOOKUP($A35,SXS_Transit_input!$A$28:$W$49,MATCH(SXS_Transit_temp!X$28,SXS_Transit_input!$B$27:$W$27,0)+1,FALSE)),0,VLOOKUP($A35,SXS_Transit_input!$A$28:$W$49,MATCH(SXS_Transit_temp!X$28,SXS_Transit_input!$B$27:$W$27,0)+1,FALSE))+IF(ISNA(VLOOKUP($A35,SXS_Transit_input!$A$71:$L$81,MATCH(SXS_Transit_temp!X$28,SXS_Transit_input!$B$70:$L$70,0)+1,FALSE)),0,VLOOKUP($A35,SXS_Transit_input!$A$71:$L$81,MATCH(SXS_Transit_temp!X$28,SXS_Transit_input!$B$70:$L$70,0)+1,FALSE))</f>
        <v>0</v>
      </c>
      <c r="Y35">
        <f>IF(ISNA(VLOOKUP($A35,SXS_Transit_input!$A$28:$W$49,MATCH(SXS_Transit_temp!Y$28,SXS_Transit_input!$B$27:$W$27,0)+1,FALSE)),0,VLOOKUP($A35,SXS_Transit_input!$A$28:$W$49,MATCH(SXS_Transit_temp!Y$28,SXS_Transit_input!$B$27:$W$27,0)+1,FALSE))+IF(ISNA(VLOOKUP($A35,SXS_Transit_input!$A$71:$L$81,MATCH(SXS_Transit_temp!Y$28,SXS_Transit_input!$B$70:$L$70,0)+1,FALSE)),0,VLOOKUP($A35,SXS_Transit_input!$A$71:$L$81,MATCH(SXS_Transit_temp!Y$28,SXS_Transit_input!$B$70:$L$70,0)+1,FALSE))</f>
        <v>0</v>
      </c>
      <c r="Z35">
        <f>IF(ISNA(VLOOKUP($A35,SXS_Transit_input!$A$28:$W$49,MATCH(SXS_Transit_temp!Z$28,SXS_Transit_input!$B$27:$W$27,0)+1,FALSE)),0,VLOOKUP($A35,SXS_Transit_input!$A$28:$W$49,MATCH(SXS_Transit_temp!Z$28,SXS_Transit_input!$B$27:$W$27,0)+1,FALSE))+IF(ISNA(VLOOKUP($A35,SXS_Transit_input!$A$71:$L$81,MATCH(SXS_Transit_temp!Z$28,SXS_Transit_input!$B$70:$L$70,0)+1,FALSE)),0,VLOOKUP($A35,SXS_Transit_input!$A$71:$L$81,MATCH(SXS_Transit_temp!Z$28,SXS_Transit_input!$B$70:$L$70,0)+1,FALSE))</f>
        <v>0</v>
      </c>
      <c r="AA35">
        <v>7</v>
      </c>
      <c r="AB35" s="33">
        <f t="shared" si="27"/>
        <v>1718</v>
      </c>
      <c r="AC35" s="34">
        <f t="shared" si="26"/>
        <v>8</v>
      </c>
      <c r="AD35" s="34">
        <f t="shared" si="26"/>
        <v>0</v>
      </c>
      <c r="AE35" s="34">
        <f t="shared" si="26"/>
        <v>0</v>
      </c>
      <c r="AF35" s="34">
        <f t="shared" si="26"/>
        <v>2</v>
      </c>
      <c r="AG35" s="34">
        <f t="shared" si="26"/>
        <v>14</v>
      </c>
      <c r="AH35" s="34">
        <f t="shared" si="26"/>
        <v>204</v>
      </c>
      <c r="AI35" s="34">
        <f t="shared" si="26"/>
        <v>42</v>
      </c>
      <c r="AJ35" s="34">
        <f t="shared" si="26"/>
        <v>0</v>
      </c>
      <c r="AK35" s="34">
        <f t="shared" si="26"/>
        <v>0</v>
      </c>
      <c r="AL35" s="34">
        <f t="shared" si="26"/>
        <v>0</v>
      </c>
      <c r="AM35" s="34">
        <f t="shared" si="26"/>
        <v>0</v>
      </c>
      <c r="AN35" s="34">
        <f t="shared" si="26"/>
        <v>0</v>
      </c>
      <c r="AO35" s="34">
        <f t="shared" si="26"/>
        <v>18</v>
      </c>
      <c r="AP35" s="34">
        <f t="shared" si="26"/>
        <v>0</v>
      </c>
      <c r="AQ35" s="34">
        <f t="shared" si="26"/>
        <v>0</v>
      </c>
      <c r="AR35" s="34">
        <f t="shared" si="26"/>
        <v>0</v>
      </c>
      <c r="AS35" s="34">
        <f t="shared" si="26"/>
        <v>0</v>
      </c>
      <c r="AT35" s="34">
        <f t="shared" si="26"/>
        <v>0</v>
      </c>
      <c r="AU35" s="34">
        <f t="shared" si="26"/>
        <v>0</v>
      </c>
      <c r="AV35" s="34">
        <f t="shared" si="26"/>
        <v>0</v>
      </c>
      <c r="AW35" s="34">
        <f t="shared" si="26"/>
        <v>0</v>
      </c>
      <c r="AX35" s="34">
        <f t="shared" si="26"/>
        <v>0</v>
      </c>
      <c r="AY35" s="34">
        <f t="shared" si="26"/>
        <v>0</v>
      </c>
      <c r="AZ35" s="35">
        <f t="shared" si="26"/>
        <v>0</v>
      </c>
      <c r="BC35" s="157">
        <v>6</v>
      </c>
      <c r="BD35">
        <v>806</v>
      </c>
      <c r="BE35">
        <v>0</v>
      </c>
      <c r="BF35">
        <v>10</v>
      </c>
      <c r="BG35">
        <v>0</v>
      </c>
      <c r="BH35">
        <v>18</v>
      </c>
      <c r="BI35">
        <v>54</v>
      </c>
      <c r="BJ35">
        <v>12</v>
      </c>
      <c r="BK35">
        <v>2</v>
      </c>
      <c r="BL35">
        <v>0</v>
      </c>
      <c r="BM35">
        <v>0</v>
      </c>
      <c r="BN35">
        <v>0</v>
      </c>
      <c r="BO35">
        <v>2</v>
      </c>
      <c r="BP35">
        <v>4</v>
      </c>
      <c r="BQ35">
        <v>0</v>
      </c>
      <c r="BR35">
        <v>0</v>
      </c>
      <c r="BS35">
        <v>0</v>
      </c>
      <c r="BT35">
        <v>0</v>
      </c>
      <c r="BU35">
        <v>0</v>
      </c>
      <c r="BV35">
        <v>0</v>
      </c>
      <c r="BW35">
        <v>0</v>
      </c>
      <c r="BX35">
        <v>0</v>
      </c>
      <c r="BY35">
        <v>0</v>
      </c>
      <c r="BZ35">
        <v>0</v>
      </c>
      <c r="CA35">
        <v>0</v>
      </c>
      <c r="CB35">
        <v>0</v>
      </c>
    </row>
    <row r="36" spans="1:80" x14ac:dyDescent="0.25">
      <c r="A36">
        <v>8</v>
      </c>
      <c r="B36">
        <f>IF(ISNA(VLOOKUP($A36,SXS_Transit_input!$A$28:$W$49,MATCH(SXS_Transit_temp!B$28,SXS_Transit_input!$B$27:$W$27,0)+1,FALSE)),0,VLOOKUP($A36,SXS_Transit_input!$A$28:$W$49,MATCH(SXS_Transit_temp!B$28,SXS_Transit_input!$B$27:$W$27,0)+1,FALSE))+IF(ISNA(VLOOKUP($A36,SXS_Transit_input!$A$71:$L$81,MATCH(SXS_Transit_temp!B$28,SXS_Transit_input!$B$70:$L$70,0)+1,FALSE)),0,VLOOKUP($A36,SXS_Transit_input!$A$71:$L$81,MATCH(SXS_Transit_temp!B$28,SXS_Transit_input!$B$70:$L$70,0)+1,FALSE))</f>
        <v>18547.399859999998</v>
      </c>
      <c r="C36">
        <f>IF(ISNA(VLOOKUP($A36,SXS_Transit_input!$A$28:$W$49,MATCH(SXS_Transit_temp!C$28,SXS_Transit_input!$B$27:$W$27,0)+1,FALSE)),0,VLOOKUP($A36,SXS_Transit_input!$A$28:$W$49,MATCH(SXS_Transit_temp!C$28,SXS_Transit_input!$B$27:$W$27,0)+1,FALSE))+IF(ISNA(VLOOKUP($A36,SXS_Transit_input!$A$71:$L$81,MATCH(SXS_Transit_temp!C$28,SXS_Transit_input!$B$70:$L$70,0)+1,FALSE)),0,VLOOKUP($A36,SXS_Transit_input!$A$71:$L$81,MATCH(SXS_Transit_temp!C$28,SXS_Transit_input!$B$70:$L$70,0)+1,FALSE))</f>
        <v>1064.52631</v>
      </c>
      <c r="D36">
        <f>IF(ISNA(VLOOKUP($A36,SXS_Transit_input!$A$28:$W$49,MATCH(SXS_Transit_temp!D$28,SXS_Transit_input!$B$27:$W$27,0)+1,FALSE)),0,VLOOKUP($A36,SXS_Transit_input!$A$28:$W$49,MATCH(SXS_Transit_temp!D$28,SXS_Transit_input!$B$27:$W$27,0)+1,FALSE))+IF(ISNA(VLOOKUP($A36,SXS_Transit_input!$A$71:$L$81,MATCH(SXS_Transit_temp!D$28,SXS_Transit_input!$B$70:$L$70,0)+1,FALSE)),0,VLOOKUP($A36,SXS_Transit_input!$A$71:$L$81,MATCH(SXS_Transit_temp!D$28,SXS_Transit_input!$B$70:$L$70,0)+1,FALSE))</f>
        <v>0</v>
      </c>
      <c r="E36">
        <f>IF(ISNA(VLOOKUP($A36,SXS_Transit_input!$A$28:$W$49,MATCH(SXS_Transit_temp!E$28,SXS_Transit_input!$B$27:$W$27,0)+1,FALSE)),0,VLOOKUP($A36,SXS_Transit_input!$A$28:$W$49,MATCH(SXS_Transit_temp!E$28,SXS_Transit_input!$B$27:$W$27,0)+1,FALSE))+IF(ISNA(VLOOKUP($A36,SXS_Transit_input!$A$71:$L$81,MATCH(SXS_Transit_temp!E$28,SXS_Transit_input!$B$70:$L$70,0)+1,FALSE)),0,VLOOKUP($A36,SXS_Transit_input!$A$71:$L$81,MATCH(SXS_Transit_temp!E$28,SXS_Transit_input!$B$70:$L$70,0)+1,FALSE))</f>
        <v>44.190469999999998</v>
      </c>
      <c r="F36">
        <f>IF(ISNA(VLOOKUP($A36,SXS_Transit_input!$A$28:$W$49,MATCH(SXS_Transit_temp!F$28,SXS_Transit_input!$B$27:$W$27,0)+1,FALSE)),0,VLOOKUP($A36,SXS_Transit_input!$A$28:$W$49,MATCH(SXS_Transit_temp!F$28,SXS_Transit_input!$B$27:$W$27,0)+1,FALSE))+IF(ISNA(VLOOKUP($A36,SXS_Transit_input!$A$71:$L$81,MATCH(SXS_Transit_temp!F$28,SXS_Transit_input!$B$70:$L$70,0)+1,FALSE)),0,VLOOKUP($A36,SXS_Transit_input!$A$71:$L$81,MATCH(SXS_Transit_temp!F$28,SXS_Transit_input!$B$70:$L$70,0)+1,FALSE))</f>
        <v>791.02428999999995</v>
      </c>
      <c r="G36">
        <f>IF(ISNA(VLOOKUP($A36,SXS_Transit_input!$A$28:$W$49,MATCH(SXS_Transit_temp!G$28,SXS_Transit_input!$B$27:$W$27,0)+1,FALSE)),0,VLOOKUP($A36,SXS_Transit_input!$A$28:$W$49,MATCH(SXS_Transit_temp!G$28,SXS_Transit_input!$B$27:$W$27,0)+1,FALSE))+IF(ISNA(VLOOKUP($A36,SXS_Transit_input!$A$71:$L$81,MATCH(SXS_Transit_temp!G$28,SXS_Transit_input!$B$70:$L$70,0)+1,FALSE)),0,VLOOKUP($A36,SXS_Transit_input!$A$71:$L$81,MATCH(SXS_Transit_temp!G$28,SXS_Transit_input!$B$70:$L$70,0)+1,FALSE))</f>
        <v>34.143380000000001</v>
      </c>
      <c r="H36">
        <f>IF(ISNA(VLOOKUP($A36,SXS_Transit_input!$A$28:$W$49,MATCH(SXS_Transit_temp!H$28,SXS_Transit_input!$B$27:$W$27,0)+1,FALSE)),0,VLOOKUP($A36,SXS_Transit_input!$A$28:$W$49,MATCH(SXS_Transit_temp!H$28,SXS_Transit_input!$B$27:$W$27,0)+1,FALSE))+IF(ISNA(VLOOKUP($A36,SXS_Transit_input!$A$71:$L$81,MATCH(SXS_Transit_temp!H$28,SXS_Transit_input!$B$70:$L$70,0)+1,FALSE)),0,VLOOKUP($A36,SXS_Transit_input!$A$71:$L$81,MATCH(SXS_Transit_temp!H$28,SXS_Transit_input!$B$70:$L$70,0)+1,FALSE))</f>
        <v>1197.0995800000001</v>
      </c>
      <c r="I36">
        <f>IF(ISNA(VLOOKUP($A36,SXS_Transit_input!$A$28:$W$49,MATCH(SXS_Transit_temp!I$28,SXS_Transit_input!$B$27:$W$27,0)+1,FALSE)),0,VLOOKUP($A36,SXS_Transit_input!$A$28:$W$49,MATCH(SXS_Transit_temp!I$28,SXS_Transit_input!$B$27:$W$27,0)+1,FALSE))+IF(ISNA(VLOOKUP($A36,SXS_Transit_input!$A$71:$L$81,MATCH(SXS_Transit_temp!I$28,SXS_Transit_input!$B$70:$L$70,0)+1,FALSE)),0,VLOOKUP($A36,SXS_Transit_input!$A$71:$L$81,MATCH(SXS_Transit_temp!I$28,SXS_Transit_input!$B$70:$L$70,0)+1,FALSE))</f>
        <v>14248.614510000001</v>
      </c>
      <c r="J36">
        <f>IF(ISNA(VLOOKUP($A36,SXS_Transit_input!$A$28:$W$49,MATCH(SXS_Transit_temp!J$28,SXS_Transit_input!$B$27:$W$27,0)+1,FALSE)),0,VLOOKUP($A36,SXS_Transit_input!$A$28:$W$49,MATCH(SXS_Transit_temp!J$28,SXS_Transit_input!$B$27:$W$27,0)+1,FALSE))+IF(ISNA(VLOOKUP($A36,SXS_Transit_input!$A$71:$L$81,MATCH(SXS_Transit_temp!J$28,SXS_Transit_input!$B$70:$L$70,0)+1,FALSE)),0,VLOOKUP($A36,SXS_Transit_input!$A$71:$L$81,MATCH(SXS_Transit_temp!J$28,SXS_Transit_input!$B$70:$L$70,0)+1,FALSE))</f>
        <v>355.32866000000001</v>
      </c>
      <c r="K36">
        <f>IF(ISNA(VLOOKUP($A36,SXS_Transit_input!$A$28:$W$49,MATCH(SXS_Transit_temp!K$28,SXS_Transit_input!$B$27:$W$27,0)+1,FALSE)),0,VLOOKUP($A36,SXS_Transit_input!$A$28:$W$49,MATCH(SXS_Transit_temp!K$28,SXS_Transit_input!$B$27:$W$27,0)+1,FALSE))+IF(ISNA(VLOOKUP($A36,SXS_Transit_input!$A$71:$L$81,MATCH(SXS_Transit_temp!K$28,SXS_Transit_input!$B$70:$L$70,0)+1,FALSE)),0,VLOOKUP($A36,SXS_Transit_input!$A$71:$L$81,MATCH(SXS_Transit_temp!K$28,SXS_Transit_input!$B$70:$L$70,0)+1,FALSE))</f>
        <v>91.409630000000007</v>
      </c>
      <c r="L36">
        <f>IF(ISNA(VLOOKUP($A36,SXS_Transit_input!$A$28:$W$49,MATCH(SXS_Transit_temp!L$28,SXS_Transit_input!$B$27:$W$27,0)+1,FALSE)),0,VLOOKUP($A36,SXS_Transit_input!$A$28:$W$49,MATCH(SXS_Transit_temp!L$28,SXS_Transit_input!$B$27:$W$27,0)+1,FALSE))+IF(ISNA(VLOOKUP($A36,SXS_Transit_input!$A$71:$L$81,MATCH(SXS_Transit_temp!L$28,SXS_Transit_input!$B$70:$L$70,0)+1,FALSE)),0,VLOOKUP($A36,SXS_Transit_input!$A$71:$L$81,MATCH(SXS_Transit_temp!L$28,SXS_Transit_input!$B$70:$L$70,0)+1,FALSE))</f>
        <v>0</v>
      </c>
      <c r="M36">
        <f>IF(ISNA(VLOOKUP($A36,SXS_Transit_input!$A$28:$W$49,MATCH(SXS_Transit_temp!M$28,SXS_Transit_input!$B$27:$W$27,0)+1,FALSE)),0,VLOOKUP($A36,SXS_Transit_input!$A$28:$W$49,MATCH(SXS_Transit_temp!M$28,SXS_Transit_input!$B$27:$W$27,0)+1,FALSE))+IF(ISNA(VLOOKUP($A36,SXS_Transit_input!$A$71:$L$81,MATCH(SXS_Transit_temp!M$28,SXS_Transit_input!$B$70:$L$70,0)+1,FALSE)),0,VLOOKUP($A36,SXS_Transit_input!$A$71:$L$81,MATCH(SXS_Transit_temp!M$28,SXS_Transit_input!$B$70:$L$70,0)+1,FALSE))</f>
        <v>0</v>
      </c>
      <c r="N36">
        <f>IF(ISNA(VLOOKUP($A36,SXS_Transit_input!$A$28:$W$49,MATCH(SXS_Transit_temp!N$28,SXS_Transit_input!$B$27:$W$27,0)+1,FALSE)),0,VLOOKUP($A36,SXS_Transit_input!$A$28:$W$49,MATCH(SXS_Transit_temp!N$28,SXS_Transit_input!$B$27:$W$27,0)+1,FALSE))+IF(ISNA(VLOOKUP($A36,SXS_Transit_input!$A$71:$L$81,MATCH(SXS_Transit_temp!N$28,SXS_Transit_input!$B$70:$L$70,0)+1,FALSE)),0,VLOOKUP($A36,SXS_Transit_input!$A$71:$L$81,MATCH(SXS_Transit_temp!N$28,SXS_Transit_input!$B$70:$L$70,0)+1,FALSE))</f>
        <v>0</v>
      </c>
      <c r="O36">
        <f>IF(ISNA(VLOOKUP($A36,SXS_Transit_input!$A$28:$W$49,MATCH(SXS_Transit_temp!O$28,SXS_Transit_input!$B$27:$W$27,0)+1,FALSE)),0,VLOOKUP($A36,SXS_Transit_input!$A$28:$W$49,MATCH(SXS_Transit_temp!O$28,SXS_Transit_input!$B$27:$W$27,0)+1,FALSE))+IF(ISNA(VLOOKUP($A36,SXS_Transit_input!$A$71:$L$81,MATCH(SXS_Transit_temp!O$28,SXS_Transit_input!$B$70:$L$70,0)+1,FALSE)),0,VLOOKUP($A36,SXS_Transit_input!$A$71:$L$81,MATCH(SXS_Transit_temp!O$28,SXS_Transit_input!$B$70:$L$70,0)+1,FALSE))</f>
        <v>0</v>
      </c>
      <c r="P36">
        <f>IF(ISNA(VLOOKUP($A36,SXS_Transit_input!$A$28:$W$49,MATCH(SXS_Transit_temp!P$28,SXS_Transit_input!$B$27:$W$27,0)+1,FALSE)),0,VLOOKUP($A36,SXS_Transit_input!$A$28:$W$49,MATCH(SXS_Transit_temp!P$28,SXS_Transit_input!$B$27:$W$27,0)+1,FALSE))+IF(ISNA(VLOOKUP($A36,SXS_Transit_input!$A$71:$L$81,MATCH(SXS_Transit_temp!P$28,SXS_Transit_input!$B$70:$L$70,0)+1,FALSE)),0,VLOOKUP($A36,SXS_Transit_input!$A$71:$L$81,MATCH(SXS_Transit_temp!P$28,SXS_Transit_input!$B$70:$L$70,0)+1,FALSE))</f>
        <v>88.624219999999994</v>
      </c>
      <c r="Q36">
        <f>IF(ISNA(VLOOKUP($A36,SXS_Transit_input!$A$28:$W$49,MATCH(SXS_Transit_temp!Q$28,SXS_Transit_input!$B$27:$W$27,0)+1,FALSE)),0,VLOOKUP($A36,SXS_Transit_input!$A$28:$W$49,MATCH(SXS_Transit_temp!Q$28,SXS_Transit_input!$B$27:$W$27,0)+1,FALSE))+IF(ISNA(VLOOKUP($A36,SXS_Transit_input!$A$71:$L$81,MATCH(SXS_Transit_temp!Q$28,SXS_Transit_input!$B$70:$L$70,0)+1,FALSE)),0,VLOOKUP($A36,SXS_Transit_input!$A$71:$L$81,MATCH(SXS_Transit_temp!Q$28,SXS_Transit_input!$B$70:$L$70,0)+1,FALSE))</f>
        <v>0</v>
      </c>
      <c r="R36">
        <f>IF(ISNA(VLOOKUP($A36,SXS_Transit_input!$A$28:$W$49,MATCH(SXS_Transit_temp!R$28,SXS_Transit_input!$B$27:$W$27,0)+1,FALSE)),0,VLOOKUP($A36,SXS_Transit_input!$A$28:$W$49,MATCH(SXS_Transit_temp!R$28,SXS_Transit_input!$B$27:$W$27,0)+1,FALSE))+IF(ISNA(VLOOKUP($A36,SXS_Transit_input!$A$71:$L$81,MATCH(SXS_Transit_temp!R$28,SXS_Transit_input!$B$70:$L$70,0)+1,FALSE)),0,VLOOKUP($A36,SXS_Transit_input!$A$71:$L$81,MATCH(SXS_Transit_temp!R$28,SXS_Transit_input!$B$70:$L$70,0)+1,FALSE))</f>
        <v>0</v>
      </c>
      <c r="S36">
        <f>IF(ISNA(VLOOKUP($A36,SXS_Transit_input!$A$28:$W$49,MATCH(SXS_Transit_temp!S$28,SXS_Transit_input!$B$27:$W$27,0)+1,FALSE)),0,VLOOKUP($A36,SXS_Transit_input!$A$28:$W$49,MATCH(SXS_Transit_temp!S$28,SXS_Transit_input!$B$27:$W$27,0)+1,FALSE))+IF(ISNA(VLOOKUP($A36,SXS_Transit_input!$A$71:$L$81,MATCH(SXS_Transit_temp!S$28,SXS_Transit_input!$B$70:$L$70,0)+1,FALSE)),0,VLOOKUP($A36,SXS_Transit_input!$A$71:$L$81,MATCH(SXS_Transit_temp!S$28,SXS_Transit_input!$B$70:$L$70,0)+1,FALSE))</f>
        <v>36.317729999999997</v>
      </c>
      <c r="T36">
        <f>IF(ISNA(VLOOKUP($A36,SXS_Transit_input!$A$28:$W$49,MATCH(SXS_Transit_temp!T$28,SXS_Transit_input!$B$27:$W$27,0)+1,FALSE)),0,VLOOKUP($A36,SXS_Transit_input!$A$28:$W$49,MATCH(SXS_Transit_temp!T$28,SXS_Transit_input!$B$27:$W$27,0)+1,FALSE))+IF(ISNA(VLOOKUP($A36,SXS_Transit_input!$A$71:$L$81,MATCH(SXS_Transit_temp!T$28,SXS_Transit_input!$B$70:$L$70,0)+1,FALSE)),0,VLOOKUP($A36,SXS_Transit_input!$A$71:$L$81,MATCH(SXS_Transit_temp!T$28,SXS_Transit_input!$B$70:$L$70,0)+1,FALSE))</f>
        <v>0</v>
      </c>
      <c r="U36">
        <f>IF(ISNA(VLOOKUP($A36,SXS_Transit_input!$A$28:$W$49,MATCH(SXS_Transit_temp!U$28,SXS_Transit_input!$B$27:$W$27,0)+1,FALSE)),0,VLOOKUP($A36,SXS_Transit_input!$A$28:$W$49,MATCH(SXS_Transit_temp!U$28,SXS_Transit_input!$B$27:$W$27,0)+1,FALSE))+IF(ISNA(VLOOKUP($A36,SXS_Transit_input!$A$71:$L$81,MATCH(SXS_Transit_temp!U$28,SXS_Transit_input!$B$70:$L$70,0)+1,FALSE)),0,VLOOKUP($A36,SXS_Transit_input!$A$71:$L$81,MATCH(SXS_Transit_temp!U$28,SXS_Transit_input!$B$70:$L$70,0)+1,FALSE))</f>
        <v>0</v>
      </c>
      <c r="V36">
        <f>IF(ISNA(VLOOKUP($A36,SXS_Transit_input!$A$28:$W$49,MATCH(SXS_Transit_temp!V$28,SXS_Transit_input!$B$27:$W$27,0)+1,FALSE)),0,VLOOKUP($A36,SXS_Transit_input!$A$28:$W$49,MATCH(SXS_Transit_temp!V$28,SXS_Transit_input!$B$27:$W$27,0)+1,FALSE))+IF(ISNA(VLOOKUP($A36,SXS_Transit_input!$A$71:$L$81,MATCH(SXS_Transit_temp!V$28,SXS_Transit_input!$B$70:$L$70,0)+1,FALSE)),0,VLOOKUP($A36,SXS_Transit_input!$A$71:$L$81,MATCH(SXS_Transit_temp!V$28,SXS_Transit_input!$B$70:$L$70,0)+1,FALSE))</f>
        <v>0</v>
      </c>
      <c r="W36">
        <f>IF(ISNA(VLOOKUP($A36,SXS_Transit_input!$A$28:$W$49,MATCH(SXS_Transit_temp!W$28,SXS_Transit_input!$B$27:$W$27,0)+1,FALSE)),0,VLOOKUP($A36,SXS_Transit_input!$A$28:$W$49,MATCH(SXS_Transit_temp!W$28,SXS_Transit_input!$B$27:$W$27,0)+1,FALSE))+IF(ISNA(VLOOKUP($A36,SXS_Transit_input!$A$71:$L$81,MATCH(SXS_Transit_temp!W$28,SXS_Transit_input!$B$70:$L$70,0)+1,FALSE)),0,VLOOKUP($A36,SXS_Transit_input!$A$71:$L$81,MATCH(SXS_Transit_temp!W$28,SXS_Transit_input!$B$70:$L$70,0)+1,FALSE))</f>
        <v>0</v>
      </c>
      <c r="X36">
        <f>IF(ISNA(VLOOKUP($A36,SXS_Transit_input!$A$28:$W$49,MATCH(SXS_Transit_temp!X$28,SXS_Transit_input!$B$27:$W$27,0)+1,FALSE)),0,VLOOKUP($A36,SXS_Transit_input!$A$28:$W$49,MATCH(SXS_Transit_temp!X$28,SXS_Transit_input!$B$27:$W$27,0)+1,FALSE))+IF(ISNA(VLOOKUP($A36,SXS_Transit_input!$A$71:$L$81,MATCH(SXS_Transit_temp!X$28,SXS_Transit_input!$B$70:$L$70,0)+1,FALSE)),0,VLOOKUP($A36,SXS_Transit_input!$A$71:$L$81,MATCH(SXS_Transit_temp!X$28,SXS_Transit_input!$B$70:$L$70,0)+1,FALSE))</f>
        <v>0</v>
      </c>
      <c r="Y36">
        <f>IF(ISNA(VLOOKUP($A36,SXS_Transit_input!$A$28:$W$49,MATCH(SXS_Transit_temp!Y$28,SXS_Transit_input!$B$27:$W$27,0)+1,FALSE)),0,VLOOKUP($A36,SXS_Transit_input!$A$28:$W$49,MATCH(SXS_Transit_temp!Y$28,SXS_Transit_input!$B$27:$W$27,0)+1,FALSE))+IF(ISNA(VLOOKUP($A36,SXS_Transit_input!$A$71:$L$81,MATCH(SXS_Transit_temp!Y$28,SXS_Transit_input!$B$70:$L$70,0)+1,FALSE)),0,VLOOKUP($A36,SXS_Transit_input!$A$71:$L$81,MATCH(SXS_Transit_temp!Y$28,SXS_Transit_input!$B$70:$L$70,0)+1,FALSE))</f>
        <v>142.92786000000001</v>
      </c>
      <c r="Z36">
        <f>IF(ISNA(VLOOKUP($A36,SXS_Transit_input!$A$28:$W$49,MATCH(SXS_Transit_temp!Z$28,SXS_Transit_input!$B$27:$W$27,0)+1,FALSE)),0,VLOOKUP($A36,SXS_Transit_input!$A$28:$W$49,MATCH(SXS_Transit_temp!Z$28,SXS_Transit_input!$B$27:$W$27,0)+1,FALSE))+IF(ISNA(VLOOKUP($A36,SXS_Transit_input!$A$71:$L$81,MATCH(SXS_Transit_temp!Z$28,SXS_Transit_input!$B$70:$L$70,0)+1,FALSE)),0,VLOOKUP($A36,SXS_Transit_input!$A$71:$L$81,MATCH(SXS_Transit_temp!Z$28,SXS_Transit_input!$B$70:$L$70,0)+1,FALSE))</f>
        <v>0</v>
      </c>
      <c r="AA36">
        <v>8</v>
      </c>
      <c r="AB36" s="33">
        <f t="shared" si="27"/>
        <v>2814</v>
      </c>
      <c r="AC36" s="34">
        <f t="shared" si="26"/>
        <v>6</v>
      </c>
      <c r="AD36" s="34">
        <f t="shared" si="26"/>
        <v>2</v>
      </c>
      <c r="AE36" s="34">
        <f t="shared" si="26"/>
        <v>0</v>
      </c>
      <c r="AF36" s="34">
        <f t="shared" si="26"/>
        <v>4</v>
      </c>
      <c r="AG36" s="34">
        <f t="shared" si="26"/>
        <v>6</v>
      </c>
      <c r="AH36" s="34">
        <f t="shared" si="26"/>
        <v>74</v>
      </c>
      <c r="AI36" s="34">
        <f t="shared" si="26"/>
        <v>438</v>
      </c>
      <c r="AJ36" s="34">
        <f t="shared" si="26"/>
        <v>0</v>
      </c>
      <c r="AK36" s="34">
        <f t="shared" si="26"/>
        <v>0</v>
      </c>
      <c r="AL36" s="34">
        <f t="shared" si="26"/>
        <v>0</v>
      </c>
      <c r="AM36" s="34">
        <f t="shared" si="26"/>
        <v>2</v>
      </c>
      <c r="AN36" s="34">
        <f t="shared" si="26"/>
        <v>0</v>
      </c>
      <c r="AO36" s="34">
        <f t="shared" si="26"/>
        <v>10</v>
      </c>
      <c r="AP36" s="34">
        <f t="shared" si="26"/>
        <v>4</v>
      </c>
      <c r="AQ36" s="34">
        <f t="shared" si="26"/>
        <v>0</v>
      </c>
      <c r="AR36" s="34">
        <f t="shared" si="26"/>
        <v>0</v>
      </c>
      <c r="AS36" s="34">
        <f t="shared" si="26"/>
        <v>2</v>
      </c>
      <c r="AT36" s="34">
        <f t="shared" si="26"/>
        <v>0</v>
      </c>
      <c r="AU36" s="34">
        <f t="shared" si="26"/>
        <v>0</v>
      </c>
      <c r="AV36" s="34">
        <f t="shared" si="26"/>
        <v>0</v>
      </c>
      <c r="AW36" s="34">
        <f t="shared" si="26"/>
        <v>0</v>
      </c>
      <c r="AX36" s="34">
        <f t="shared" si="26"/>
        <v>0</v>
      </c>
      <c r="AY36" s="34">
        <f t="shared" si="26"/>
        <v>0</v>
      </c>
      <c r="AZ36" s="35">
        <f t="shared" si="26"/>
        <v>2</v>
      </c>
      <c r="BC36" s="157">
        <v>7</v>
      </c>
      <c r="BD36">
        <v>1708</v>
      </c>
      <c r="BE36">
        <v>6</v>
      </c>
      <c r="BF36">
        <v>0</v>
      </c>
      <c r="BG36">
        <v>0</v>
      </c>
      <c r="BH36">
        <v>2</v>
      </c>
      <c r="BI36">
        <v>14</v>
      </c>
      <c r="BJ36">
        <v>190</v>
      </c>
      <c r="BK36">
        <v>40</v>
      </c>
      <c r="BL36">
        <v>0</v>
      </c>
      <c r="BM36">
        <v>0</v>
      </c>
      <c r="BN36">
        <v>0</v>
      </c>
      <c r="BO36">
        <v>0</v>
      </c>
      <c r="BP36">
        <v>0</v>
      </c>
      <c r="BQ36">
        <v>18</v>
      </c>
      <c r="BR36">
        <v>0</v>
      </c>
      <c r="BS36">
        <v>0</v>
      </c>
      <c r="BT36">
        <v>0</v>
      </c>
      <c r="BU36">
        <v>0</v>
      </c>
      <c r="BV36">
        <v>0</v>
      </c>
      <c r="BW36">
        <v>0</v>
      </c>
      <c r="BX36">
        <v>0</v>
      </c>
      <c r="BY36">
        <v>0</v>
      </c>
      <c r="BZ36">
        <v>0</v>
      </c>
      <c r="CA36">
        <v>0</v>
      </c>
      <c r="CB36">
        <v>0</v>
      </c>
    </row>
    <row r="37" spans="1:80" x14ac:dyDescent="0.25">
      <c r="A37">
        <v>9</v>
      </c>
      <c r="B37">
        <f>IF(ISNA(VLOOKUP($A37,SXS_Transit_input!$A$28:$W$49,MATCH(SXS_Transit_temp!B$28,SXS_Transit_input!$B$27:$W$27,0)+1,FALSE)),0,VLOOKUP($A37,SXS_Transit_input!$A$28:$W$49,MATCH(SXS_Transit_temp!B$28,SXS_Transit_input!$B$27:$W$27,0)+1,FALSE))+IF(ISNA(VLOOKUP($A37,SXS_Transit_input!$A$71:$L$81,MATCH(SXS_Transit_temp!B$28,SXS_Transit_input!$B$70:$L$70,0)+1,FALSE)),0,VLOOKUP($A37,SXS_Transit_input!$A$71:$L$81,MATCH(SXS_Transit_temp!B$28,SXS_Transit_input!$B$70:$L$70,0)+1,FALSE))</f>
        <v>2113.95253</v>
      </c>
      <c r="C37">
        <f>IF(ISNA(VLOOKUP($A37,SXS_Transit_input!$A$28:$W$49,MATCH(SXS_Transit_temp!C$28,SXS_Transit_input!$B$27:$W$27,0)+1,FALSE)),0,VLOOKUP($A37,SXS_Transit_input!$A$28:$W$49,MATCH(SXS_Transit_temp!C$28,SXS_Transit_input!$B$27:$W$27,0)+1,FALSE))+IF(ISNA(VLOOKUP($A37,SXS_Transit_input!$A$71:$L$81,MATCH(SXS_Transit_temp!C$28,SXS_Transit_input!$B$70:$L$70,0)+1,FALSE)),0,VLOOKUP($A37,SXS_Transit_input!$A$71:$L$81,MATCH(SXS_Transit_temp!C$28,SXS_Transit_input!$B$70:$L$70,0)+1,FALSE))</f>
        <v>209.00414000000001</v>
      </c>
      <c r="D37">
        <f>IF(ISNA(VLOOKUP($A37,SXS_Transit_input!$A$28:$W$49,MATCH(SXS_Transit_temp!D$28,SXS_Transit_input!$B$27:$W$27,0)+1,FALSE)),0,VLOOKUP($A37,SXS_Transit_input!$A$28:$W$49,MATCH(SXS_Transit_temp!D$28,SXS_Transit_input!$B$27:$W$27,0)+1,FALSE))+IF(ISNA(VLOOKUP($A37,SXS_Transit_input!$A$71:$L$81,MATCH(SXS_Transit_temp!D$28,SXS_Transit_input!$B$70:$L$70,0)+1,FALSE)),0,VLOOKUP($A37,SXS_Transit_input!$A$71:$L$81,MATCH(SXS_Transit_temp!D$28,SXS_Transit_input!$B$70:$L$70,0)+1,FALSE))</f>
        <v>0</v>
      </c>
      <c r="E37">
        <f>IF(ISNA(VLOOKUP($A37,SXS_Transit_input!$A$28:$W$49,MATCH(SXS_Transit_temp!E$28,SXS_Transit_input!$B$27:$W$27,0)+1,FALSE)),0,VLOOKUP($A37,SXS_Transit_input!$A$28:$W$49,MATCH(SXS_Transit_temp!E$28,SXS_Transit_input!$B$27:$W$27,0)+1,FALSE))+IF(ISNA(VLOOKUP($A37,SXS_Transit_input!$A$71:$L$81,MATCH(SXS_Transit_temp!E$28,SXS_Transit_input!$B$70:$L$70,0)+1,FALSE)),0,VLOOKUP($A37,SXS_Transit_input!$A$71:$L$81,MATCH(SXS_Transit_temp!E$28,SXS_Transit_input!$B$70:$L$70,0)+1,FALSE))</f>
        <v>0</v>
      </c>
      <c r="F37">
        <f>IF(ISNA(VLOOKUP($A37,SXS_Transit_input!$A$28:$W$49,MATCH(SXS_Transit_temp!F$28,SXS_Transit_input!$B$27:$W$27,0)+1,FALSE)),0,VLOOKUP($A37,SXS_Transit_input!$A$28:$W$49,MATCH(SXS_Transit_temp!F$28,SXS_Transit_input!$B$27:$W$27,0)+1,FALSE))+IF(ISNA(VLOOKUP($A37,SXS_Transit_input!$A$71:$L$81,MATCH(SXS_Transit_temp!F$28,SXS_Transit_input!$B$70:$L$70,0)+1,FALSE)),0,VLOOKUP($A37,SXS_Transit_input!$A$71:$L$81,MATCH(SXS_Transit_temp!F$28,SXS_Transit_input!$B$70:$L$70,0)+1,FALSE))</f>
        <v>0</v>
      </c>
      <c r="G37">
        <f>IF(ISNA(VLOOKUP($A37,SXS_Transit_input!$A$28:$W$49,MATCH(SXS_Transit_temp!G$28,SXS_Transit_input!$B$27:$W$27,0)+1,FALSE)),0,VLOOKUP($A37,SXS_Transit_input!$A$28:$W$49,MATCH(SXS_Transit_temp!G$28,SXS_Transit_input!$B$27:$W$27,0)+1,FALSE))+IF(ISNA(VLOOKUP($A37,SXS_Transit_input!$A$71:$L$81,MATCH(SXS_Transit_temp!G$28,SXS_Transit_input!$B$70:$L$70,0)+1,FALSE)),0,VLOOKUP($A37,SXS_Transit_input!$A$71:$L$81,MATCH(SXS_Transit_temp!G$28,SXS_Transit_input!$B$70:$L$70,0)+1,FALSE))</f>
        <v>0</v>
      </c>
      <c r="H37">
        <f>IF(ISNA(VLOOKUP($A37,SXS_Transit_input!$A$28:$W$49,MATCH(SXS_Transit_temp!H$28,SXS_Transit_input!$B$27:$W$27,0)+1,FALSE)),0,VLOOKUP($A37,SXS_Transit_input!$A$28:$W$49,MATCH(SXS_Transit_temp!H$28,SXS_Transit_input!$B$27:$W$27,0)+1,FALSE))+IF(ISNA(VLOOKUP($A37,SXS_Transit_input!$A$71:$L$81,MATCH(SXS_Transit_temp!H$28,SXS_Transit_input!$B$70:$L$70,0)+1,FALSE)),0,VLOOKUP($A37,SXS_Transit_input!$A$71:$L$81,MATCH(SXS_Transit_temp!H$28,SXS_Transit_input!$B$70:$L$70,0)+1,FALSE))</f>
        <v>198.07945000000001</v>
      </c>
      <c r="I37">
        <f>IF(ISNA(VLOOKUP($A37,SXS_Transit_input!$A$28:$W$49,MATCH(SXS_Transit_temp!I$28,SXS_Transit_input!$B$27:$W$27,0)+1,FALSE)),0,VLOOKUP($A37,SXS_Transit_input!$A$28:$W$49,MATCH(SXS_Transit_temp!I$28,SXS_Transit_input!$B$27:$W$27,0)+1,FALSE))+IF(ISNA(VLOOKUP($A37,SXS_Transit_input!$A$71:$L$81,MATCH(SXS_Transit_temp!I$28,SXS_Transit_input!$B$70:$L$70,0)+1,FALSE)),0,VLOOKUP($A37,SXS_Transit_input!$A$71:$L$81,MATCH(SXS_Transit_temp!I$28,SXS_Transit_input!$B$70:$L$70,0)+1,FALSE))</f>
        <v>0</v>
      </c>
      <c r="J37">
        <f>IF(ISNA(VLOOKUP($A37,SXS_Transit_input!$A$28:$W$49,MATCH(SXS_Transit_temp!J$28,SXS_Transit_input!$B$27:$W$27,0)+1,FALSE)),0,VLOOKUP($A37,SXS_Transit_input!$A$28:$W$49,MATCH(SXS_Transit_temp!J$28,SXS_Transit_input!$B$27:$W$27,0)+1,FALSE))+IF(ISNA(VLOOKUP($A37,SXS_Transit_input!$A$71:$L$81,MATCH(SXS_Transit_temp!J$28,SXS_Transit_input!$B$70:$L$70,0)+1,FALSE)),0,VLOOKUP($A37,SXS_Transit_input!$A$71:$L$81,MATCH(SXS_Transit_temp!J$28,SXS_Transit_input!$B$70:$L$70,0)+1,FALSE))</f>
        <v>248.52853999999999</v>
      </c>
      <c r="K37">
        <f>IF(ISNA(VLOOKUP($A37,SXS_Transit_input!$A$28:$W$49,MATCH(SXS_Transit_temp!K$28,SXS_Transit_input!$B$27:$W$27,0)+1,FALSE)),0,VLOOKUP($A37,SXS_Transit_input!$A$28:$W$49,MATCH(SXS_Transit_temp!K$28,SXS_Transit_input!$B$27:$W$27,0)+1,FALSE))+IF(ISNA(VLOOKUP($A37,SXS_Transit_input!$A$71:$L$81,MATCH(SXS_Transit_temp!K$28,SXS_Transit_input!$B$70:$L$70,0)+1,FALSE)),0,VLOOKUP($A37,SXS_Transit_input!$A$71:$L$81,MATCH(SXS_Transit_temp!K$28,SXS_Transit_input!$B$70:$L$70,0)+1,FALSE))</f>
        <v>17.819379999999999</v>
      </c>
      <c r="L37">
        <f>IF(ISNA(VLOOKUP($A37,SXS_Transit_input!$A$28:$W$49,MATCH(SXS_Transit_temp!L$28,SXS_Transit_input!$B$27:$W$27,0)+1,FALSE)),0,VLOOKUP($A37,SXS_Transit_input!$A$28:$W$49,MATCH(SXS_Transit_temp!L$28,SXS_Transit_input!$B$27:$W$27,0)+1,FALSE))+IF(ISNA(VLOOKUP($A37,SXS_Transit_input!$A$71:$L$81,MATCH(SXS_Transit_temp!L$28,SXS_Transit_input!$B$70:$L$70,0)+1,FALSE)),0,VLOOKUP($A37,SXS_Transit_input!$A$71:$L$81,MATCH(SXS_Transit_temp!L$28,SXS_Transit_input!$B$70:$L$70,0)+1,FALSE))</f>
        <v>0</v>
      </c>
      <c r="M37">
        <f>IF(ISNA(VLOOKUP($A37,SXS_Transit_input!$A$28:$W$49,MATCH(SXS_Transit_temp!M$28,SXS_Transit_input!$B$27:$W$27,0)+1,FALSE)),0,VLOOKUP($A37,SXS_Transit_input!$A$28:$W$49,MATCH(SXS_Transit_temp!M$28,SXS_Transit_input!$B$27:$W$27,0)+1,FALSE))+IF(ISNA(VLOOKUP($A37,SXS_Transit_input!$A$71:$L$81,MATCH(SXS_Transit_temp!M$28,SXS_Transit_input!$B$70:$L$70,0)+1,FALSE)),0,VLOOKUP($A37,SXS_Transit_input!$A$71:$L$81,MATCH(SXS_Transit_temp!M$28,SXS_Transit_input!$B$70:$L$70,0)+1,FALSE))</f>
        <v>0</v>
      </c>
      <c r="N37">
        <f>IF(ISNA(VLOOKUP($A37,SXS_Transit_input!$A$28:$W$49,MATCH(SXS_Transit_temp!N$28,SXS_Transit_input!$B$27:$W$27,0)+1,FALSE)),0,VLOOKUP($A37,SXS_Transit_input!$A$28:$W$49,MATCH(SXS_Transit_temp!N$28,SXS_Transit_input!$B$27:$W$27,0)+1,FALSE))+IF(ISNA(VLOOKUP($A37,SXS_Transit_input!$A$71:$L$81,MATCH(SXS_Transit_temp!N$28,SXS_Transit_input!$B$70:$L$70,0)+1,FALSE)),0,VLOOKUP($A37,SXS_Transit_input!$A$71:$L$81,MATCH(SXS_Transit_temp!N$28,SXS_Transit_input!$B$70:$L$70,0)+1,FALSE))</f>
        <v>0</v>
      </c>
      <c r="O37">
        <f>IF(ISNA(VLOOKUP($A37,SXS_Transit_input!$A$28:$W$49,MATCH(SXS_Transit_temp!O$28,SXS_Transit_input!$B$27:$W$27,0)+1,FALSE)),0,VLOOKUP($A37,SXS_Transit_input!$A$28:$W$49,MATCH(SXS_Transit_temp!O$28,SXS_Transit_input!$B$27:$W$27,0)+1,FALSE))+IF(ISNA(VLOOKUP($A37,SXS_Transit_input!$A$71:$L$81,MATCH(SXS_Transit_temp!O$28,SXS_Transit_input!$B$70:$L$70,0)+1,FALSE)),0,VLOOKUP($A37,SXS_Transit_input!$A$71:$L$81,MATCH(SXS_Transit_temp!O$28,SXS_Transit_input!$B$70:$L$70,0)+1,FALSE))</f>
        <v>0</v>
      </c>
      <c r="P37">
        <f>IF(ISNA(VLOOKUP($A37,SXS_Transit_input!$A$28:$W$49,MATCH(SXS_Transit_temp!P$28,SXS_Transit_input!$B$27:$W$27,0)+1,FALSE)),0,VLOOKUP($A37,SXS_Transit_input!$A$28:$W$49,MATCH(SXS_Transit_temp!P$28,SXS_Transit_input!$B$27:$W$27,0)+1,FALSE))+IF(ISNA(VLOOKUP($A37,SXS_Transit_input!$A$71:$L$81,MATCH(SXS_Transit_temp!P$28,SXS_Transit_input!$B$70:$L$70,0)+1,FALSE)),0,VLOOKUP($A37,SXS_Transit_input!$A$71:$L$81,MATCH(SXS_Transit_temp!P$28,SXS_Transit_input!$B$70:$L$70,0)+1,FALSE))</f>
        <v>0</v>
      </c>
      <c r="Q37">
        <f>IF(ISNA(VLOOKUP($A37,SXS_Transit_input!$A$28:$W$49,MATCH(SXS_Transit_temp!Q$28,SXS_Transit_input!$B$27:$W$27,0)+1,FALSE)),0,VLOOKUP($A37,SXS_Transit_input!$A$28:$W$49,MATCH(SXS_Transit_temp!Q$28,SXS_Transit_input!$B$27:$W$27,0)+1,FALSE))+IF(ISNA(VLOOKUP($A37,SXS_Transit_input!$A$71:$L$81,MATCH(SXS_Transit_temp!Q$28,SXS_Transit_input!$B$70:$L$70,0)+1,FALSE)),0,VLOOKUP($A37,SXS_Transit_input!$A$71:$L$81,MATCH(SXS_Transit_temp!Q$28,SXS_Transit_input!$B$70:$L$70,0)+1,FALSE))</f>
        <v>0</v>
      </c>
      <c r="R37">
        <f>IF(ISNA(VLOOKUP($A37,SXS_Transit_input!$A$28:$W$49,MATCH(SXS_Transit_temp!R$28,SXS_Transit_input!$B$27:$W$27,0)+1,FALSE)),0,VLOOKUP($A37,SXS_Transit_input!$A$28:$W$49,MATCH(SXS_Transit_temp!R$28,SXS_Transit_input!$B$27:$W$27,0)+1,FALSE))+IF(ISNA(VLOOKUP($A37,SXS_Transit_input!$A$71:$L$81,MATCH(SXS_Transit_temp!R$28,SXS_Transit_input!$B$70:$L$70,0)+1,FALSE)),0,VLOOKUP($A37,SXS_Transit_input!$A$71:$L$81,MATCH(SXS_Transit_temp!R$28,SXS_Transit_input!$B$70:$L$70,0)+1,FALSE))</f>
        <v>0</v>
      </c>
      <c r="S37">
        <f>IF(ISNA(VLOOKUP($A37,SXS_Transit_input!$A$28:$W$49,MATCH(SXS_Transit_temp!S$28,SXS_Transit_input!$B$27:$W$27,0)+1,FALSE)),0,VLOOKUP($A37,SXS_Transit_input!$A$28:$W$49,MATCH(SXS_Transit_temp!S$28,SXS_Transit_input!$B$27:$W$27,0)+1,FALSE))+IF(ISNA(VLOOKUP($A37,SXS_Transit_input!$A$71:$L$81,MATCH(SXS_Transit_temp!S$28,SXS_Transit_input!$B$70:$L$70,0)+1,FALSE)),0,VLOOKUP($A37,SXS_Transit_input!$A$71:$L$81,MATCH(SXS_Transit_temp!S$28,SXS_Transit_input!$B$70:$L$70,0)+1,FALSE))</f>
        <v>0</v>
      </c>
      <c r="T37">
        <f>IF(ISNA(VLOOKUP($A37,SXS_Transit_input!$A$28:$W$49,MATCH(SXS_Transit_temp!T$28,SXS_Transit_input!$B$27:$W$27,0)+1,FALSE)),0,VLOOKUP($A37,SXS_Transit_input!$A$28:$W$49,MATCH(SXS_Transit_temp!T$28,SXS_Transit_input!$B$27:$W$27,0)+1,FALSE))+IF(ISNA(VLOOKUP($A37,SXS_Transit_input!$A$71:$L$81,MATCH(SXS_Transit_temp!T$28,SXS_Transit_input!$B$70:$L$70,0)+1,FALSE)),0,VLOOKUP($A37,SXS_Transit_input!$A$71:$L$81,MATCH(SXS_Transit_temp!T$28,SXS_Transit_input!$B$70:$L$70,0)+1,FALSE))</f>
        <v>0</v>
      </c>
      <c r="U37">
        <f>IF(ISNA(VLOOKUP($A37,SXS_Transit_input!$A$28:$W$49,MATCH(SXS_Transit_temp!U$28,SXS_Transit_input!$B$27:$W$27,0)+1,FALSE)),0,VLOOKUP($A37,SXS_Transit_input!$A$28:$W$49,MATCH(SXS_Transit_temp!U$28,SXS_Transit_input!$B$27:$W$27,0)+1,FALSE))+IF(ISNA(VLOOKUP($A37,SXS_Transit_input!$A$71:$L$81,MATCH(SXS_Transit_temp!U$28,SXS_Transit_input!$B$70:$L$70,0)+1,FALSE)),0,VLOOKUP($A37,SXS_Transit_input!$A$71:$L$81,MATCH(SXS_Transit_temp!U$28,SXS_Transit_input!$B$70:$L$70,0)+1,FALSE))</f>
        <v>58.410069999999997</v>
      </c>
      <c r="V37">
        <f>IF(ISNA(VLOOKUP($A37,SXS_Transit_input!$A$28:$W$49,MATCH(SXS_Transit_temp!V$28,SXS_Transit_input!$B$27:$W$27,0)+1,FALSE)),0,VLOOKUP($A37,SXS_Transit_input!$A$28:$W$49,MATCH(SXS_Transit_temp!V$28,SXS_Transit_input!$B$27:$W$27,0)+1,FALSE))+IF(ISNA(VLOOKUP($A37,SXS_Transit_input!$A$71:$L$81,MATCH(SXS_Transit_temp!V$28,SXS_Transit_input!$B$70:$L$70,0)+1,FALSE)),0,VLOOKUP($A37,SXS_Transit_input!$A$71:$L$81,MATCH(SXS_Transit_temp!V$28,SXS_Transit_input!$B$70:$L$70,0)+1,FALSE))</f>
        <v>0</v>
      </c>
      <c r="W37">
        <f>IF(ISNA(VLOOKUP($A37,SXS_Transit_input!$A$28:$W$49,MATCH(SXS_Transit_temp!W$28,SXS_Transit_input!$B$27:$W$27,0)+1,FALSE)),0,VLOOKUP($A37,SXS_Transit_input!$A$28:$W$49,MATCH(SXS_Transit_temp!W$28,SXS_Transit_input!$B$27:$W$27,0)+1,FALSE))+IF(ISNA(VLOOKUP($A37,SXS_Transit_input!$A$71:$L$81,MATCH(SXS_Transit_temp!W$28,SXS_Transit_input!$B$70:$L$70,0)+1,FALSE)),0,VLOOKUP($A37,SXS_Transit_input!$A$71:$L$81,MATCH(SXS_Transit_temp!W$28,SXS_Transit_input!$B$70:$L$70,0)+1,FALSE))</f>
        <v>0</v>
      </c>
      <c r="X37">
        <f>IF(ISNA(VLOOKUP($A37,SXS_Transit_input!$A$28:$W$49,MATCH(SXS_Transit_temp!X$28,SXS_Transit_input!$B$27:$W$27,0)+1,FALSE)),0,VLOOKUP($A37,SXS_Transit_input!$A$28:$W$49,MATCH(SXS_Transit_temp!X$28,SXS_Transit_input!$B$27:$W$27,0)+1,FALSE))+IF(ISNA(VLOOKUP($A37,SXS_Transit_input!$A$71:$L$81,MATCH(SXS_Transit_temp!X$28,SXS_Transit_input!$B$70:$L$70,0)+1,FALSE)),0,VLOOKUP($A37,SXS_Transit_input!$A$71:$L$81,MATCH(SXS_Transit_temp!X$28,SXS_Transit_input!$B$70:$L$70,0)+1,FALSE))</f>
        <v>0</v>
      </c>
      <c r="Y37">
        <f>IF(ISNA(VLOOKUP($A37,SXS_Transit_input!$A$28:$W$49,MATCH(SXS_Transit_temp!Y$28,SXS_Transit_input!$B$27:$W$27,0)+1,FALSE)),0,VLOOKUP($A37,SXS_Transit_input!$A$28:$W$49,MATCH(SXS_Transit_temp!Y$28,SXS_Transit_input!$B$27:$W$27,0)+1,FALSE))+IF(ISNA(VLOOKUP($A37,SXS_Transit_input!$A$71:$L$81,MATCH(SXS_Transit_temp!Y$28,SXS_Transit_input!$B$70:$L$70,0)+1,FALSE)),0,VLOOKUP($A37,SXS_Transit_input!$A$71:$L$81,MATCH(SXS_Transit_temp!Y$28,SXS_Transit_input!$B$70:$L$70,0)+1,FALSE))</f>
        <v>0</v>
      </c>
      <c r="Z37">
        <f>IF(ISNA(VLOOKUP($A37,SXS_Transit_input!$A$28:$W$49,MATCH(SXS_Transit_temp!Z$28,SXS_Transit_input!$B$27:$W$27,0)+1,FALSE)),0,VLOOKUP($A37,SXS_Transit_input!$A$28:$W$49,MATCH(SXS_Transit_temp!Z$28,SXS_Transit_input!$B$27:$W$27,0)+1,FALSE))+IF(ISNA(VLOOKUP($A37,SXS_Transit_input!$A$71:$L$81,MATCH(SXS_Transit_temp!Z$28,SXS_Transit_input!$B$70:$L$70,0)+1,FALSE)),0,VLOOKUP($A37,SXS_Transit_input!$A$71:$L$81,MATCH(SXS_Transit_temp!Z$28,SXS_Transit_input!$B$70:$L$70,0)+1,FALSE))</f>
        <v>0</v>
      </c>
      <c r="AA37">
        <v>9</v>
      </c>
      <c r="AB37" s="33">
        <f t="shared" si="27"/>
        <v>326</v>
      </c>
      <c r="AC37" s="34">
        <f t="shared" si="26"/>
        <v>34</v>
      </c>
      <c r="AD37" s="34">
        <f t="shared" si="26"/>
        <v>4</v>
      </c>
      <c r="AE37" s="34">
        <f t="shared" si="26"/>
        <v>0</v>
      </c>
      <c r="AF37" s="34">
        <f t="shared" si="26"/>
        <v>0</v>
      </c>
      <c r="AG37" s="34">
        <f t="shared" si="26"/>
        <v>0</v>
      </c>
      <c r="AH37" s="34">
        <f t="shared" si="26"/>
        <v>0</v>
      </c>
      <c r="AI37" s="34">
        <f t="shared" si="26"/>
        <v>4</v>
      </c>
      <c r="AJ37" s="34">
        <f t="shared" si="26"/>
        <v>44</v>
      </c>
      <c r="AK37" s="34">
        <f t="shared" si="26"/>
        <v>0</v>
      </c>
      <c r="AL37" s="34">
        <f t="shared" si="26"/>
        <v>0</v>
      </c>
      <c r="AM37" s="34">
        <f t="shared" si="26"/>
        <v>0</v>
      </c>
      <c r="AN37" s="34">
        <f t="shared" si="26"/>
        <v>0</v>
      </c>
      <c r="AO37" s="34">
        <f t="shared" si="26"/>
        <v>0</v>
      </c>
      <c r="AP37" s="34">
        <f t="shared" si="26"/>
        <v>0</v>
      </c>
      <c r="AQ37" s="34">
        <f t="shared" si="26"/>
        <v>0</v>
      </c>
      <c r="AR37" s="34">
        <f t="shared" si="26"/>
        <v>0</v>
      </c>
      <c r="AS37" s="34">
        <f t="shared" si="26"/>
        <v>0</v>
      </c>
      <c r="AT37" s="34">
        <f t="shared" si="26"/>
        <v>0</v>
      </c>
      <c r="AU37" s="34">
        <f t="shared" si="26"/>
        <v>6</v>
      </c>
      <c r="AV37" s="34">
        <f t="shared" si="26"/>
        <v>10</v>
      </c>
      <c r="AW37" s="34">
        <f t="shared" si="26"/>
        <v>0</v>
      </c>
      <c r="AX37" s="34">
        <f t="shared" si="26"/>
        <v>0</v>
      </c>
      <c r="AY37" s="34">
        <f t="shared" si="26"/>
        <v>0</v>
      </c>
      <c r="AZ37" s="35">
        <f t="shared" si="26"/>
        <v>0</v>
      </c>
      <c r="BC37" s="157">
        <v>8</v>
      </c>
      <c r="BD37">
        <v>2802</v>
      </c>
      <c r="BE37">
        <v>6</v>
      </c>
      <c r="BF37">
        <v>2</v>
      </c>
      <c r="BG37">
        <v>0</v>
      </c>
      <c r="BH37">
        <v>4</v>
      </c>
      <c r="BI37">
        <v>2</v>
      </c>
      <c r="BJ37">
        <v>58</v>
      </c>
      <c r="BK37">
        <v>414</v>
      </c>
      <c r="BL37">
        <v>0</v>
      </c>
      <c r="BM37">
        <v>0</v>
      </c>
      <c r="BN37">
        <v>0</v>
      </c>
      <c r="BO37">
        <v>2</v>
      </c>
      <c r="BP37">
        <v>0</v>
      </c>
      <c r="BQ37">
        <v>10</v>
      </c>
      <c r="BR37">
        <v>4</v>
      </c>
      <c r="BS37">
        <v>0</v>
      </c>
      <c r="BT37">
        <v>0</v>
      </c>
      <c r="BU37">
        <v>0</v>
      </c>
      <c r="BV37">
        <v>0</v>
      </c>
      <c r="BW37">
        <v>0</v>
      </c>
      <c r="BX37">
        <v>0</v>
      </c>
      <c r="BY37">
        <v>0</v>
      </c>
      <c r="BZ37">
        <v>0</v>
      </c>
      <c r="CA37">
        <v>0</v>
      </c>
      <c r="CB37">
        <v>0</v>
      </c>
    </row>
    <row r="38" spans="1:80" x14ac:dyDescent="0.25">
      <c r="A38">
        <v>10</v>
      </c>
      <c r="B38">
        <f>IF(ISNA(VLOOKUP($A38,SXS_Transit_input!$A$28:$W$49,MATCH(SXS_Transit_temp!B$28,SXS_Transit_input!$B$27:$W$27,0)+1,FALSE)),0,VLOOKUP($A38,SXS_Transit_input!$A$28:$W$49,MATCH(SXS_Transit_temp!B$28,SXS_Transit_input!$B$27:$W$27,0)+1,FALSE))+IF(ISNA(VLOOKUP($A38,SXS_Transit_input!$A$71:$L$81,MATCH(SXS_Transit_temp!B$28,SXS_Transit_input!$B$70:$L$70,0)+1,FALSE)),0,VLOOKUP($A38,SXS_Transit_input!$A$71:$L$81,MATCH(SXS_Transit_temp!B$28,SXS_Transit_input!$B$70:$L$70,0)+1,FALSE))</f>
        <v>2599.0194299999998</v>
      </c>
      <c r="C38">
        <f>IF(ISNA(VLOOKUP($A38,SXS_Transit_input!$A$28:$W$49,MATCH(SXS_Transit_temp!C$28,SXS_Transit_input!$B$27:$W$27,0)+1,FALSE)),0,VLOOKUP($A38,SXS_Transit_input!$A$28:$W$49,MATCH(SXS_Transit_temp!C$28,SXS_Transit_input!$B$27:$W$27,0)+1,FALSE))+IF(ISNA(VLOOKUP($A38,SXS_Transit_input!$A$71:$L$81,MATCH(SXS_Transit_temp!C$28,SXS_Transit_input!$B$70:$L$70,0)+1,FALSE)),0,VLOOKUP($A38,SXS_Transit_input!$A$71:$L$81,MATCH(SXS_Transit_temp!C$28,SXS_Transit_input!$B$70:$L$70,0)+1,FALSE))</f>
        <v>0</v>
      </c>
      <c r="D38">
        <f>IF(ISNA(VLOOKUP($A38,SXS_Transit_input!$A$28:$W$49,MATCH(SXS_Transit_temp!D$28,SXS_Transit_input!$B$27:$W$27,0)+1,FALSE)),0,VLOOKUP($A38,SXS_Transit_input!$A$28:$W$49,MATCH(SXS_Transit_temp!D$28,SXS_Transit_input!$B$27:$W$27,0)+1,FALSE))+IF(ISNA(VLOOKUP($A38,SXS_Transit_input!$A$71:$L$81,MATCH(SXS_Transit_temp!D$28,SXS_Transit_input!$B$70:$L$70,0)+1,FALSE)),0,VLOOKUP($A38,SXS_Transit_input!$A$71:$L$81,MATCH(SXS_Transit_temp!D$28,SXS_Transit_input!$B$70:$L$70,0)+1,FALSE))</f>
        <v>0</v>
      </c>
      <c r="E38">
        <f>IF(ISNA(VLOOKUP($A38,SXS_Transit_input!$A$28:$W$49,MATCH(SXS_Transit_temp!E$28,SXS_Transit_input!$B$27:$W$27,0)+1,FALSE)),0,VLOOKUP($A38,SXS_Transit_input!$A$28:$W$49,MATCH(SXS_Transit_temp!E$28,SXS_Transit_input!$B$27:$W$27,0)+1,FALSE))+IF(ISNA(VLOOKUP($A38,SXS_Transit_input!$A$71:$L$81,MATCH(SXS_Transit_temp!E$28,SXS_Transit_input!$B$70:$L$70,0)+1,FALSE)),0,VLOOKUP($A38,SXS_Transit_input!$A$71:$L$81,MATCH(SXS_Transit_temp!E$28,SXS_Transit_input!$B$70:$L$70,0)+1,FALSE))</f>
        <v>0</v>
      </c>
      <c r="F38">
        <f>IF(ISNA(VLOOKUP($A38,SXS_Transit_input!$A$28:$W$49,MATCH(SXS_Transit_temp!F$28,SXS_Transit_input!$B$27:$W$27,0)+1,FALSE)),0,VLOOKUP($A38,SXS_Transit_input!$A$28:$W$49,MATCH(SXS_Transit_temp!F$28,SXS_Transit_input!$B$27:$W$27,0)+1,FALSE))+IF(ISNA(VLOOKUP($A38,SXS_Transit_input!$A$71:$L$81,MATCH(SXS_Transit_temp!F$28,SXS_Transit_input!$B$70:$L$70,0)+1,FALSE)),0,VLOOKUP($A38,SXS_Transit_input!$A$71:$L$81,MATCH(SXS_Transit_temp!F$28,SXS_Transit_input!$B$70:$L$70,0)+1,FALSE))</f>
        <v>0</v>
      </c>
      <c r="G38">
        <f>IF(ISNA(VLOOKUP($A38,SXS_Transit_input!$A$28:$W$49,MATCH(SXS_Transit_temp!G$28,SXS_Transit_input!$B$27:$W$27,0)+1,FALSE)),0,VLOOKUP($A38,SXS_Transit_input!$A$28:$W$49,MATCH(SXS_Transit_temp!G$28,SXS_Transit_input!$B$27:$W$27,0)+1,FALSE))+IF(ISNA(VLOOKUP($A38,SXS_Transit_input!$A$71:$L$81,MATCH(SXS_Transit_temp!G$28,SXS_Transit_input!$B$70:$L$70,0)+1,FALSE)),0,VLOOKUP($A38,SXS_Transit_input!$A$71:$L$81,MATCH(SXS_Transit_temp!G$28,SXS_Transit_input!$B$70:$L$70,0)+1,FALSE))</f>
        <v>1726.00279</v>
      </c>
      <c r="H38">
        <f>IF(ISNA(VLOOKUP($A38,SXS_Transit_input!$A$28:$W$49,MATCH(SXS_Transit_temp!H$28,SXS_Transit_input!$B$27:$W$27,0)+1,FALSE)),0,VLOOKUP($A38,SXS_Transit_input!$A$28:$W$49,MATCH(SXS_Transit_temp!H$28,SXS_Transit_input!$B$27:$W$27,0)+1,FALSE))+IF(ISNA(VLOOKUP($A38,SXS_Transit_input!$A$71:$L$81,MATCH(SXS_Transit_temp!H$28,SXS_Transit_input!$B$70:$L$70,0)+1,FALSE)),0,VLOOKUP($A38,SXS_Transit_input!$A$71:$L$81,MATCH(SXS_Transit_temp!H$28,SXS_Transit_input!$B$70:$L$70,0)+1,FALSE))</f>
        <v>739.66630999999995</v>
      </c>
      <c r="I38">
        <f>IF(ISNA(VLOOKUP($A38,SXS_Transit_input!$A$28:$W$49,MATCH(SXS_Transit_temp!I$28,SXS_Transit_input!$B$27:$W$27,0)+1,FALSE)),0,VLOOKUP($A38,SXS_Transit_input!$A$28:$W$49,MATCH(SXS_Transit_temp!I$28,SXS_Transit_input!$B$27:$W$27,0)+1,FALSE))+IF(ISNA(VLOOKUP($A38,SXS_Transit_input!$A$71:$L$81,MATCH(SXS_Transit_temp!I$28,SXS_Transit_input!$B$70:$L$70,0)+1,FALSE)),0,VLOOKUP($A38,SXS_Transit_input!$A$71:$L$81,MATCH(SXS_Transit_temp!I$28,SXS_Transit_input!$B$70:$L$70,0)+1,FALSE))</f>
        <v>0</v>
      </c>
      <c r="J38">
        <f>IF(ISNA(VLOOKUP($A38,SXS_Transit_input!$A$28:$W$49,MATCH(SXS_Transit_temp!J$28,SXS_Transit_input!$B$27:$W$27,0)+1,FALSE)),0,VLOOKUP($A38,SXS_Transit_input!$A$28:$W$49,MATCH(SXS_Transit_temp!J$28,SXS_Transit_input!$B$27:$W$27,0)+1,FALSE))+IF(ISNA(VLOOKUP($A38,SXS_Transit_input!$A$71:$L$81,MATCH(SXS_Transit_temp!J$28,SXS_Transit_input!$B$70:$L$70,0)+1,FALSE)),0,VLOOKUP($A38,SXS_Transit_input!$A$71:$L$81,MATCH(SXS_Transit_temp!J$28,SXS_Transit_input!$B$70:$L$70,0)+1,FALSE))</f>
        <v>0</v>
      </c>
      <c r="K38">
        <f>IF(ISNA(VLOOKUP($A38,SXS_Transit_input!$A$28:$W$49,MATCH(SXS_Transit_temp!K$28,SXS_Transit_input!$B$27:$W$27,0)+1,FALSE)),0,VLOOKUP($A38,SXS_Transit_input!$A$28:$W$49,MATCH(SXS_Transit_temp!K$28,SXS_Transit_input!$B$27:$W$27,0)+1,FALSE))+IF(ISNA(VLOOKUP($A38,SXS_Transit_input!$A$71:$L$81,MATCH(SXS_Transit_temp!K$28,SXS_Transit_input!$B$70:$L$70,0)+1,FALSE)),0,VLOOKUP($A38,SXS_Transit_input!$A$71:$L$81,MATCH(SXS_Transit_temp!K$28,SXS_Transit_input!$B$70:$L$70,0)+1,FALSE))</f>
        <v>217.72524000000001</v>
      </c>
      <c r="L38">
        <f>IF(ISNA(VLOOKUP($A38,SXS_Transit_input!$A$28:$W$49,MATCH(SXS_Transit_temp!L$28,SXS_Transit_input!$B$27:$W$27,0)+1,FALSE)),0,VLOOKUP($A38,SXS_Transit_input!$A$28:$W$49,MATCH(SXS_Transit_temp!L$28,SXS_Transit_input!$B$27:$W$27,0)+1,FALSE))+IF(ISNA(VLOOKUP($A38,SXS_Transit_input!$A$71:$L$81,MATCH(SXS_Transit_temp!L$28,SXS_Transit_input!$B$70:$L$70,0)+1,FALSE)),0,VLOOKUP($A38,SXS_Transit_input!$A$71:$L$81,MATCH(SXS_Transit_temp!L$28,SXS_Transit_input!$B$70:$L$70,0)+1,FALSE))</f>
        <v>0</v>
      </c>
      <c r="M38">
        <f>IF(ISNA(VLOOKUP($A38,SXS_Transit_input!$A$28:$W$49,MATCH(SXS_Transit_temp!M$28,SXS_Transit_input!$B$27:$W$27,0)+1,FALSE)),0,VLOOKUP($A38,SXS_Transit_input!$A$28:$W$49,MATCH(SXS_Transit_temp!M$28,SXS_Transit_input!$B$27:$W$27,0)+1,FALSE))+IF(ISNA(VLOOKUP($A38,SXS_Transit_input!$A$71:$L$81,MATCH(SXS_Transit_temp!M$28,SXS_Transit_input!$B$70:$L$70,0)+1,FALSE)),0,VLOOKUP($A38,SXS_Transit_input!$A$71:$L$81,MATCH(SXS_Transit_temp!M$28,SXS_Transit_input!$B$70:$L$70,0)+1,FALSE))</f>
        <v>0</v>
      </c>
      <c r="N38">
        <f>IF(ISNA(VLOOKUP($A38,SXS_Transit_input!$A$28:$W$49,MATCH(SXS_Transit_temp!N$28,SXS_Transit_input!$B$27:$W$27,0)+1,FALSE)),0,VLOOKUP($A38,SXS_Transit_input!$A$28:$W$49,MATCH(SXS_Transit_temp!N$28,SXS_Transit_input!$B$27:$W$27,0)+1,FALSE))+IF(ISNA(VLOOKUP($A38,SXS_Transit_input!$A$71:$L$81,MATCH(SXS_Transit_temp!N$28,SXS_Transit_input!$B$70:$L$70,0)+1,FALSE)),0,VLOOKUP($A38,SXS_Transit_input!$A$71:$L$81,MATCH(SXS_Transit_temp!N$28,SXS_Transit_input!$B$70:$L$70,0)+1,FALSE))</f>
        <v>0</v>
      </c>
      <c r="O38">
        <f>IF(ISNA(VLOOKUP($A38,SXS_Transit_input!$A$28:$W$49,MATCH(SXS_Transit_temp!O$28,SXS_Transit_input!$B$27:$W$27,0)+1,FALSE)),0,VLOOKUP($A38,SXS_Transit_input!$A$28:$W$49,MATCH(SXS_Transit_temp!O$28,SXS_Transit_input!$B$27:$W$27,0)+1,FALSE))+IF(ISNA(VLOOKUP($A38,SXS_Transit_input!$A$71:$L$81,MATCH(SXS_Transit_temp!O$28,SXS_Transit_input!$B$70:$L$70,0)+1,FALSE)),0,VLOOKUP($A38,SXS_Transit_input!$A$71:$L$81,MATCH(SXS_Transit_temp!O$28,SXS_Transit_input!$B$70:$L$70,0)+1,FALSE))</f>
        <v>0</v>
      </c>
      <c r="P38">
        <f>IF(ISNA(VLOOKUP($A38,SXS_Transit_input!$A$28:$W$49,MATCH(SXS_Transit_temp!P$28,SXS_Transit_input!$B$27:$W$27,0)+1,FALSE)),0,VLOOKUP($A38,SXS_Transit_input!$A$28:$W$49,MATCH(SXS_Transit_temp!P$28,SXS_Transit_input!$B$27:$W$27,0)+1,FALSE))+IF(ISNA(VLOOKUP($A38,SXS_Transit_input!$A$71:$L$81,MATCH(SXS_Transit_temp!P$28,SXS_Transit_input!$B$70:$L$70,0)+1,FALSE)),0,VLOOKUP($A38,SXS_Transit_input!$A$71:$L$81,MATCH(SXS_Transit_temp!P$28,SXS_Transit_input!$B$70:$L$70,0)+1,FALSE))</f>
        <v>0</v>
      </c>
      <c r="Q38">
        <f>IF(ISNA(VLOOKUP($A38,SXS_Transit_input!$A$28:$W$49,MATCH(SXS_Transit_temp!Q$28,SXS_Transit_input!$B$27:$W$27,0)+1,FALSE)),0,VLOOKUP($A38,SXS_Transit_input!$A$28:$W$49,MATCH(SXS_Transit_temp!Q$28,SXS_Transit_input!$B$27:$W$27,0)+1,FALSE))+IF(ISNA(VLOOKUP($A38,SXS_Transit_input!$A$71:$L$81,MATCH(SXS_Transit_temp!Q$28,SXS_Transit_input!$B$70:$L$70,0)+1,FALSE)),0,VLOOKUP($A38,SXS_Transit_input!$A$71:$L$81,MATCH(SXS_Transit_temp!Q$28,SXS_Transit_input!$B$70:$L$70,0)+1,FALSE))</f>
        <v>0</v>
      </c>
      <c r="R38">
        <f>IF(ISNA(VLOOKUP($A38,SXS_Transit_input!$A$28:$W$49,MATCH(SXS_Transit_temp!R$28,SXS_Transit_input!$B$27:$W$27,0)+1,FALSE)),0,VLOOKUP($A38,SXS_Transit_input!$A$28:$W$49,MATCH(SXS_Transit_temp!R$28,SXS_Transit_input!$B$27:$W$27,0)+1,FALSE))+IF(ISNA(VLOOKUP($A38,SXS_Transit_input!$A$71:$L$81,MATCH(SXS_Transit_temp!R$28,SXS_Transit_input!$B$70:$L$70,0)+1,FALSE)),0,VLOOKUP($A38,SXS_Transit_input!$A$71:$L$81,MATCH(SXS_Transit_temp!R$28,SXS_Transit_input!$B$70:$L$70,0)+1,FALSE))</f>
        <v>0</v>
      </c>
      <c r="S38">
        <f>IF(ISNA(VLOOKUP($A38,SXS_Transit_input!$A$28:$W$49,MATCH(SXS_Transit_temp!S$28,SXS_Transit_input!$B$27:$W$27,0)+1,FALSE)),0,VLOOKUP($A38,SXS_Transit_input!$A$28:$W$49,MATCH(SXS_Transit_temp!S$28,SXS_Transit_input!$B$27:$W$27,0)+1,FALSE))+IF(ISNA(VLOOKUP($A38,SXS_Transit_input!$A$71:$L$81,MATCH(SXS_Transit_temp!S$28,SXS_Transit_input!$B$70:$L$70,0)+1,FALSE)),0,VLOOKUP($A38,SXS_Transit_input!$A$71:$L$81,MATCH(SXS_Transit_temp!S$28,SXS_Transit_input!$B$70:$L$70,0)+1,FALSE))</f>
        <v>0</v>
      </c>
      <c r="T38">
        <f>IF(ISNA(VLOOKUP($A38,SXS_Transit_input!$A$28:$W$49,MATCH(SXS_Transit_temp!T$28,SXS_Transit_input!$B$27:$W$27,0)+1,FALSE)),0,VLOOKUP($A38,SXS_Transit_input!$A$28:$W$49,MATCH(SXS_Transit_temp!T$28,SXS_Transit_input!$B$27:$W$27,0)+1,FALSE))+IF(ISNA(VLOOKUP($A38,SXS_Transit_input!$A$71:$L$81,MATCH(SXS_Transit_temp!T$28,SXS_Transit_input!$B$70:$L$70,0)+1,FALSE)),0,VLOOKUP($A38,SXS_Transit_input!$A$71:$L$81,MATCH(SXS_Transit_temp!T$28,SXS_Transit_input!$B$70:$L$70,0)+1,FALSE))</f>
        <v>0</v>
      </c>
      <c r="U38">
        <f>IF(ISNA(VLOOKUP($A38,SXS_Transit_input!$A$28:$W$49,MATCH(SXS_Transit_temp!U$28,SXS_Transit_input!$B$27:$W$27,0)+1,FALSE)),0,VLOOKUP($A38,SXS_Transit_input!$A$28:$W$49,MATCH(SXS_Transit_temp!U$28,SXS_Transit_input!$B$27:$W$27,0)+1,FALSE))+IF(ISNA(VLOOKUP($A38,SXS_Transit_input!$A$71:$L$81,MATCH(SXS_Transit_temp!U$28,SXS_Transit_input!$B$70:$L$70,0)+1,FALSE)),0,VLOOKUP($A38,SXS_Transit_input!$A$71:$L$81,MATCH(SXS_Transit_temp!U$28,SXS_Transit_input!$B$70:$L$70,0)+1,FALSE))</f>
        <v>138.10592</v>
      </c>
      <c r="V38">
        <f>IF(ISNA(VLOOKUP($A38,SXS_Transit_input!$A$28:$W$49,MATCH(SXS_Transit_temp!V$28,SXS_Transit_input!$B$27:$W$27,0)+1,FALSE)),0,VLOOKUP($A38,SXS_Transit_input!$A$28:$W$49,MATCH(SXS_Transit_temp!V$28,SXS_Transit_input!$B$27:$W$27,0)+1,FALSE))+IF(ISNA(VLOOKUP($A38,SXS_Transit_input!$A$71:$L$81,MATCH(SXS_Transit_temp!V$28,SXS_Transit_input!$B$70:$L$70,0)+1,FALSE)),0,VLOOKUP($A38,SXS_Transit_input!$A$71:$L$81,MATCH(SXS_Transit_temp!V$28,SXS_Transit_input!$B$70:$L$70,0)+1,FALSE))</f>
        <v>0</v>
      </c>
      <c r="W38">
        <f>IF(ISNA(VLOOKUP($A38,SXS_Transit_input!$A$28:$W$49,MATCH(SXS_Transit_temp!W$28,SXS_Transit_input!$B$27:$W$27,0)+1,FALSE)),0,VLOOKUP($A38,SXS_Transit_input!$A$28:$W$49,MATCH(SXS_Transit_temp!W$28,SXS_Transit_input!$B$27:$W$27,0)+1,FALSE))+IF(ISNA(VLOOKUP($A38,SXS_Transit_input!$A$71:$L$81,MATCH(SXS_Transit_temp!W$28,SXS_Transit_input!$B$70:$L$70,0)+1,FALSE)),0,VLOOKUP($A38,SXS_Transit_input!$A$71:$L$81,MATCH(SXS_Transit_temp!W$28,SXS_Transit_input!$B$70:$L$70,0)+1,FALSE))</f>
        <v>0</v>
      </c>
      <c r="X38">
        <f>IF(ISNA(VLOOKUP($A38,SXS_Transit_input!$A$28:$W$49,MATCH(SXS_Transit_temp!X$28,SXS_Transit_input!$B$27:$W$27,0)+1,FALSE)),0,VLOOKUP($A38,SXS_Transit_input!$A$28:$W$49,MATCH(SXS_Transit_temp!X$28,SXS_Transit_input!$B$27:$W$27,0)+1,FALSE))+IF(ISNA(VLOOKUP($A38,SXS_Transit_input!$A$71:$L$81,MATCH(SXS_Transit_temp!X$28,SXS_Transit_input!$B$70:$L$70,0)+1,FALSE)),0,VLOOKUP($A38,SXS_Transit_input!$A$71:$L$81,MATCH(SXS_Transit_temp!X$28,SXS_Transit_input!$B$70:$L$70,0)+1,FALSE))</f>
        <v>0</v>
      </c>
      <c r="Y38">
        <f>IF(ISNA(VLOOKUP($A38,SXS_Transit_input!$A$28:$W$49,MATCH(SXS_Transit_temp!Y$28,SXS_Transit_input!$B$27:$W$27,0)+1,FALSE)),0,VLOOKUP($A38,SXS_Transit_input!$A$28:$W$49,MATCH(SXS_Transit_temp!Y$28,SXS_Transit_input!$B$27:$W$27,0)+1,FALSE))+IF(ISNA(VLOOKUP($A38,SXS_Transit_input!$A$71:$L$81,MATCH(SXS_Transit_temp!Y$28,SXS_Transit_input!$B$70:$L$70,0)+1,FALSE)),0,VLOOKUP($A38,SXS_Transit_input!$A$71:$L$81,MATCH(SXS_Transit_temp!Y$28,SXS_Transit_input!$B$70:$L$70,0)+1,FALSE))</f>
        <v>0</v>
      </c>
      <c r="Z38">
        <f>IF(ISNA(VLOOKUP($A38,SXS_Transit_input!$A$28:$W$49,MATCH(SXS_Transit_temp!Z$28,SXS_Transit_input!$B$27:$W$27,0)+1,FALSE)),0,VLOOKUP($A38,SXS_Transit_input!$A$28:$W$49,MATCH(SXS_Transit_temp!Z$28,SXS_Transit_input!$B$27:$W$27,0)+1,FALSE))+IF(ISNA(VLOOKUP($A38,SXS_Transit_input!$A$71:$L$81,MATCH(SXS_Transit_temp!Z$28,SXS_Transit_input!$B$70:$L$70,0)+1,FALSE)),0,VLOOKUP($A38,SXS_Transit_input!$A$71:$L$81,MATCH(SXS_Transit_temp!Z$28,SXS_Transit_input!$B$70:$L$70,0)+1,FALSE))</f>
        <v>0</v>
      </c>
      <c r="AA38">
        <v>10</v>
      </c>
      <c r="AB38" s="33">
        <f t="shared" si="27"/>
        <v>284</v>
      </c>
      <c r="AC38" s="34">
        <f t="shared" si="26"/>
        <v>8</v>
      </c>
      <c r="AD38" s="34">
        <f t="shared" si="26"/>
        <v>26</v>
      </c>
      <c r="AE38" s="34">
        <f t="shared" si="26"/>
        <v>0</v>
      </c>
      <c r="AF38" s="34">
        <f t="shared" si="26"/>
        <v>0</v>
      </c>
      <c r="AG38" s="34">
        <f t="shared" si="26"/>
        <v>2</v>
      </c>
      <c r="AH38" s="34">
        <f t="shared" si="26"/>
        <v>0</v>
      </c>
      <c r="AI38" s="34">
        <f t="shared" si="26"/>
        <v>2</v>
      </c>
      <c r="AJ38" s="34">
        <f t="shared" si="26"/>
        <v>6</v>
      </c>
      <c r="AK38" s="34">
        <f t="shared" si="26"/>
        <v>42</v>
      </c>
      <c r="AL38" s="34">
        <f t="shared" si="26"/>
        <v>18</v>
      </c>
      <c r="AM38" s="34">
        <f t="shared" si="26"/>
        <v>0</v>
      </c>
      <c r="AN38" s="34">
        <f t="shared" si="26"/>
        <v>0</v>
      </c>
      <c r="AO38" s="34">
        <f t="shared" si="26"/>
        <v>0</v>
      </c>
      <c r="AP38" s="34">
        <f t="shared" si="26"/>
        <v>0</v>
      </c>
      <c r="AQ38" s="34">
        <f t="shared" si="26"/>
        <v>0</v>
      </c>
      <c r="AR38" s="34">
        <f t="shared" si="26"/>
        <v>0</v>
      </c>
      <c r="AS38" s="34">
        <f t="shared" si="26"/>
        <v>0</v>
      </c>
      <c r="AT38" s="34">
        <f t="shared" si="26"/>
        <v>0</v>
      </c>
      <c r="AU38" s="34">
        <f t="shared" si="26"/>
        <v>12</v>
      </c>
      <c r="AV38" s="34">
        <f t="shared" si="26"/>
        <v>10</v>
      </c>
      <c r="AW38" s="34">
        <f t="shared" si="26"/>
        <v>0</v>
      </c>
      <c r="AX38" s="34">
        <f t="shared" si="26"/>
        <v>0</v>
      </c>
      <c r="AY38" s="34">
        <f t="shared" si="26"/>
        <v>0</v>
      </c>
      <c r="AZ38" s="35">
        <f t="shared" si="26"/>
        <v>0</v>
      </c>
      <c r="BC38" s="157">
        <v>9</v>
      </c>
      <c r="BD38">
        <v>326</v>
      </c>
      <c r="BE38">
        <v>32</v>
      </c>
      <c r="BF38">
        <v>4</v>
      </c>
      <c r="BG38">
        <v>0</v>
      </c>
      <c r="BH38">
        <v>0</v>
      </c>
      <c r="BI38">
        <v>0</v>
      </c>
      <c r="BJ38">
        <v>0</v>
      </c>
      <c r="BK38">
        <v>4</v>
      </c>
      <c r="BL38">
        <v>44</v>
      </c>
      <c r="BM38">
        <v>0</v>
      </c>
      <c r="BN38">
        <v>0</v>
      </c>
      <c r="BO38">
        <v>0</v>
      </c>
      <c r="BP38">
        <v>0</v>
      </c>
      <c r="BQ38">
        <v>0</v>
      </c>
      <c r="BR38">
        <v>0</v>
      </c>
      <c r="BS38">
        <v>0</v>
      </c>
      <c r="BT38">
        <v>0</v>
      </c>
      <c r="BU38">
        <v>0</v>
      </c>
      <c r="BV38">
        <v>0</v>
      </c>
      <c r="BW38">
        <v>6</v>
      </c>
      <c r="BX38">
        <v>10</v>
      </c>
      <c r="BY38">
        <v>0</v>
      </c>
      <c r="BZ38">
        <v>0</v>
      </c>
      <c r="CA38">
        <v>0</v>
      </c>
      <c r="CB38">
        <v>0</v>
      </c>
    </row>
    <row r="39" spans="1:80" x14ac:dyDescent="0.25">
      <c r="A39">
        <v>11</v>
      </c>
      <c r="B39">
        <f>IF(ISNA(VLOOKUP($A39,SXS_Transit_input!$A$28:$W$49,MATCH(SXS_Transit_temp!B$28,SXS_Transit_input!$B$27:$W$27,0)+1,FALSE)),0,VLOOKUP($A39,SXS_Transit_input!$A$28:$W$49,MATCH(SXS_Transit_temp!B$28,SXS_Transit_input!$B$27:$W$27,0)+1,FALSE))+IF(ISNA(VLOOKUP($A39,SXS_Transit_input!$A$71:$L$81,MATCH(SXS_Transit_temp!B$28,SXS_Transit_input!$B$70:$L$70,0)+1,FALSE)),0,VLOOKUP($A39,SXS_Transit_input!$A$71:$L$81,MATCH(SXS_Transit_temp!B$28,SXS_Transit_input!$B$70:$L$70,0)+1,FALSE))</f>
        <v>2151.2342699999999</v>
      </c>
      <c r="C39">
        <f>IF(ISNA(VLOOKUP($A39,SXS_Transit_input!$A$28:$W$49,MATCH(SXS_Transit_temp!C$28,SXS_Transit_input!$B$27:$W$27,0)+1,FALSE)),0,VLOOKUP($A39,SXS_Transit_input!$A$28:$W$49,MATCH(SXS_Transit_temp!C$28,SXS_Transit_input!$B$27:$W$27,0)+1,FALSE))+IF(ISNA(VLOOKUP($A39,SXS_Transit_input!$A$71:$L$81,MATCH(SXS_Transit_temp!C$28,SXS_Transit_input!$B$70:$L$70,0)+1,FALSE)),0,VLOOKUP($A39,SXS_Transit_input!$A$71:$L$81,MATCH(SXS_Transit_temp!C$28,SXS_Transit_input!$B$70:$L$70,0)+1,FALSE))</f>
        <v>0</v>
      </c>
      <c r="D39">
        <f>IF(ISNA(VLOOKUP($A39,SXS_Transit_input!$A$28:$W$49,MATCH(SXS_Transit_temp!D$28,SXS_Transit_input!$B$27:$W$27,0)+1,FALSE)),0,VLOOKUP($A39,SXS_Transit_input!$A$28:$W$49,MATCH(SXS_Transit_temp!D$28,SXS_Transit_input!$B$27:$W$27,0)+1,FALSE))+IF(ISNA(VLOOKUP($A39,SXS_Transit_input!$A$71:$L$81,MATCH(SXS_Transit_temp!D$28,SXS_Transit_input!$B$70:$L$70,0)+1,FALSE)),0,VLOOKUP($A39,SXS_Transit_input!$A$71:$L$81,MATCH(SXS_Transit_temp!D$28,SXS_Transit_input!$B$70:$L$70,0)+1,FALSE))</f>
        <v>0</v>
      </c>
      <c r="E39">
        <f>IF(ISNA(VLOOKUP($A39,SXS_Transit_input!$A$28:$W$49,MATCH(SXS_Transit_temp!E$28,SXS_Transit_input!$B$27:$W$27,0)+1,FALSE)),0,VLOOKUP($A39,SXS_Transit_input!$A$28:$W$49,MATCH(SXS_Transit_temp!E$28,SXS_Transit_input!$B$27:$W$27,0)+1,FALSE))+IF(ISNA(VLOOKUP($A39,SXS_Transit_input!$A$71:$L$81,MATCH(SXS_Transit_temp!E$28,SXS_Transit_input!$B$70:$L$70,0)+1,FALSE)),0,VLOOKUP($A39,SXS_Transit_input!$A$71:$L$81,MATCH(SXS_Transit_temp!E$28,SXS_Transit_input!$B$70:$L$70,0)+1,FALSE))</f>
        <v>0</v>
      </c>
      <c r="F39">
        <f>IF(ISNA(VLOOKUP($A39,SXS_Transit_input!$A$28:$W$49,MATCH(SXS_Transit_temp!F$28,SXS_Transit_input!$B$27:$W$27,0)+1,FALSE)),0,VLOOKUP($A39,SXS_Transit_input!$A$28:$W$49,MATCH(SXS_Transit_temp!F$28,SXS_Transit_input!$B$27:$W$27,0)+1,FALSE))+IF(ISNA(VLOOKUP($A39,SXS_Transit_input!$A$71:$L$81,MATCH(SXS_Transit_temp!F$28,SXS_Transit_input!$B$70:$L$70,0)+1,FALSE)),0,VLOOKUP($A39,SXS_Transit_input!$A$71:$L$81,MATCH(SXS_Transit_temp!F$28,SXS_Transit_input!$B$70:$L$70,0)+1,FALSE))</f>
        <v>0</v>
      </c>
      <c r="G39">
        <f>IF(ISNA(VLOOKUP($A39,SXS_Transit_input!$A$28:$W$49,MATCH(SXS_Transit_temp!G$28,SXS_Transit_input!$B$27:$W$27,0)+1,FALSE)),0,VLOOKUP($A39,SXS_Transit_input!$A$28:$W$49,MATCH(SXS_Transit_temp!G$28,SXS_Transit_input!$B$27:$W$27,0)+1,FALSE))+IF(ISNA(VLOOKUP($A39,SXS_Transit_input!$A$71:$L$81,MATCH(SXS_Transit_temp!G$28,SXS_Transit_input!$B$70:$L$70,0)+1,FALSE)),0,VLOOKUP($A39,SXS_Transit_input!$A$71:$L$81,MATCH(SXS_Transit_temp!G$28,SXS_Transit_input!$B$70:$L$70,0)+1,FALSE))</f>
        <v>0</v>
      </c>
      <c r="H39">
        <f>IF(ISNA(VLOOKUP($A39,SXS_Transit_input!$A$28:$W$49,MATCH(SXS_Transit_temp!H$28,SXS_Transit_input!$B$27:$W$27,0)+1,FALSE)),0,VLOOKUP($A39,SXS_Transit_input!$A$28:$W$49,MATCH(SXS_Transit_temp!H$28,SXS_Transit_input!$B$27:$W$27,0)+1,FALSE))+IF(ISNA(VLOOKUP($A39,SXS_Transit_input!$A$71:$L$81,MATCH(SXS_Transit_temp!H$28,SXS_Transit_input!$B$70:$L$70,0)+1,FALSE)),0,VLOOKUP($A39,SXS_Transit_input!$A$71:$L$81,MATCH(SXS_Transit_temp!H$28,SXS_Transit_input!$B$70:$L$70,0)+1,FALSE))</f>
        <v>0</v>
      </c>
      <c r="I39">
        <f>IF(ISNA(VLOOKUP($A39,SXS_Transit_input!$A$28:$W$49,MATCH(SXS_Transit_temp!I$28,SXS_Transit_input!$B$27:$W$27,0)+1,FALSE)),0,VLOOKUP($A39,SXS_Transit_input!$A$28:$W$49,MATCH(SXS_Transit_temp!I$28,SXS_Transit_input!$B$27:$W$27,0)+1,FALSE))+IF(ISNA(VLOOKUP($A39,SXS_Transit_input!$A$71:$L$81,MATCH(SXS_Transit_temp!I$28,SXS_Transit_input!$B$70:$L$70,0)+1,FALSE)),0,VLOOKUP($A39,SXS_Transit_input!$A$71:$L$81,MATCH(SXS_Transit_temp!I$28,SXS_Transit_input!$B$70:$L$70,0)+1,FALSE))</f>
        <v>0</v>
      </c>
      <c r="J39">
        <f>IF(ISNA(VLOOKUP($A39,SXS_Transit_input!$A$28:$W$49,MATCH(SXS_Transit_temp!J$28,SXS_Transit_input!$B$27:$W$27,0)+1,FALSE)),0,VLOOKUP($A39,SXS_Transit_input!$A$28:$W$49,MATCH(SXS_Transit_temp!J$28,SXS_Transit_input!$B$27:$W$27,0)+1,FALSE))+IF(ISNA(VLOOKUP($A39,SXS_Transit_input!$A$71:$L$81,MATCH(SXS_Transit_temp!J$28,SXS_Transit_input!$B$70:$L$70,0)+1,FALSE)),0,VLOOKUP($A39,SXS_Transit_input!$A$71:$L$81,MATCH(SXS_Transit_temp!J$28,SXS_Transit_input!$B$70:$L$70,0)+1,FALSE))</f>
        <v>0</v>
      </c>
      <c r="K39">
        <f>IF(ISNA(VLOOKUP($A39,SXS_Transit_input!$A$28:$W$49,MATCH(SXS_Transit_temp!K$28,SXS_Transit_input!$B$27:$W$27,0)+1,FALSE)),0,VLOOKUP($A39,SXS_Transit_input!$A$28:$W$49,MATCH(SXS_Transit_temp!K$28,SXS_Transit_input!$B$27:$W$27,0)+1,FALSE))+IF(ISNA(VLOOKUP($A39,SXS_Transit_input!$A$71:$L$81,MATCH(SXS_Transit_temp!K$28,SXS_Transit_input!$B$70:$L$70,0)+1,FALSE)),0,VLOOKUP($A39,SXS_Transit_input!$A$71:$L$81,MATCH(SXS_Transit_temp!K$28,SXS_Transit_input!$B$70:$L$70,0)+1,FALSE))</f>
        <v>0</v>
      </c>
      <c r="L39">
        <f>IF(ISNA(VLOOKUP($A39,SXS_Transit_input!$A$28:$W$49,MATCH(SXS_Transit_temp!L$28,SXS_Transit_input!$B$27:$W$27,0)+1,FALSE)),0,VLOOKUP($A39,SXS_Transit_input!$A$28:$W$49,MATCH(SXS_Transit_temp!L$28,SXS_Transit_input!$B$27:$W$27,0)+1,FALSE))+IF(ISNA(VLOOKUP($A39,SXS_Transit_input!$A$71:$L$81,MATCH(SXS_Transit_temp!L$28,SXS_Transit_input!$B$70:$L$70,0)+1,FALSE)),0,VLOOKUP($A39,SXS_Transit_input!$A$71:$L$81,MATCH(SXS_Transit_temp!L$28,SXS_Transit_input!$B$70:$L$70,0)+1,FALSE))</f>
        <v>52.289610000000003</v>
      </c>
      <c r="M39">
        <f>IF(ISNA(VLOOKUP($A39,SXS_Transit_input!$A$28:$W$49,MATCH(SXS_Transit_temp!M$28,SXS_Transit_input!$B$27:$W$27,0)+1,FALSE)),0,VLOOKUP($A39,SXS_Transit_input!$A$28:$W$49,MATCH(SXS_Transit_temp!M$28,SXS_Transit_input!$B$27:$W$27,0)+1,FALSE))+IF(ISNA(VLOOKUP($A39,SXS_Transit_input!$A$71:$L$81,MATCH(SXS_Transit_temp!M$28,SXS_Transit_input!$B$70:$L$70,0)+1,FALSE)),0,VLOOKUP($A39,SXS_Transit_input!$A$71:$L$81,MATCH(SXS_Transit_temp!M$28,SXS_Transit_input!$B$70:$L$70,0)+1,FALSE))</f>
        <v>34.875660000000003</v>
      </c>
      <c r="N39">
        <f>IF(ISNA(VLOOKUP($A39,SXS_Transit_input!$A$28:$W$49,MATCH(SXS_Transit_temp!N$28,SXS_Transit_input!$B$27:$W$27,0)+1,FALSE)),0,VLOOKUP($A39,SXS_Transit_input!$A$28:$W$49,MATCH(SXS_Transit_temp!N$28,SXS_Transit_input!$B$27:$W$27,0)+1,FALSE))+IF(ISNA(VLOOKUP($A39,SXS_Transit_input!$A$71:$L$81,MATCH(SXS_Transit_temp!N$28,SXS_Transit_input!$B$70:$L$70,0)+1,FALSE)),0,VLOOKUP($A39,SXS_Transit_input!$A$71:$L$81,MATCH(SXS_Transit_temp!N$28,SXS_Transit_input!$B$70:$L$70,0)+1,FALSE))</f>
        <v>229.75550000000001</v>
      </c>
      <c r="O39">
        <f>IF(ISNA(VLOOKUP($A39,SXS_Transit_input!$A$28:$W$49,MATCH(SXS_Transit_temp!O$28,SXS_Transit_input!$B$27:$W$27,0)+1,FALSE)),0,VLOOKUP($A39,SXS_Transit_input!$A$28:$W$49,MATCH(SXS_Transit_temp!O$28,SXS_Transit_input!$B$27:$W$27,0)+1,FALSE))+IF(ISNA(VLOOKUP($A39,SXS_Transit_input!$A$71:$L$81,MATCH(SXS_Transit_temp!O$28,SXS_Transit_input!$B$70:$L$70,0)+1,FALSE)),0,VLOOKUP($A39,SXS_Transit_input!$A$71:$L$81,MATCH(SXS_Transit_temp!O$28,SXS_Transit_input!$B$70:$L$70,0)+1,FALSE))</f>
        <v>0</v>
      </c>
      <c r="P39">
        <f>IF(ISNA(VLOOKUP($A39,SXS_Transit_input!$A$28:$W$49,MATCH(SXS_Transit_temp!P$28,SXS_Transit_input!$B$27:$W$27,0)+1,FALSE)),0,VLOOKUP($A39,SXS_Transit_input!$A$28:$W$49,MATCH(SXS_Transit_temp!P$28,SXS_Transit_input!$B$27:$W$27,0)+1,FALSE))+IF(ISNA(VLOOKUP($A39,SXS_Transit_input!$A$71:$L$81,MATCH(SXS_Transit_temp!P$28,SXS_Transit_input!$B$70:$L$70,0)+1,FALSE)),0,VLOOKUP($A39,SXS_Transit_input!$A$71:$L$81,MATCH(SXS_Transit_temp!P$28,SXS_Transit_input!$B$70:$L$70,0)+1,FALSE))</f>
        <v>0</v>
      </c>
      <c r="Q39">
        <f>IF(ISNA(VLOOKUP($A39,SXS_Transit_input!$A$28:$W$49,MATCH(SXS_Transit_temp!Q$28,SXS_Transit_input!$B$27:$W$27,0)+1,FALSE)),0,VLOOKUP($A39,SXS_Transit_input!$A$28:$W$49,MATCH(SXS_Transit_temp!Q$28,SXS_Transit_input!$B$27:$W$27,0)+1,FALSE))+IF(ISNA(VLOOKUP($A39,SXS_Transit_input!$A$71:$L$81,MATCH(SXS_Transit_temp!Q$28,SXS_Transit_input!$B$70:$L$70,0)+1,FALSE)),0,VLOOKUP($A39,SXS_Transit_input!$A$71:$L$81,MATCH(SXS_Transit_temp!Q$28,SXS_Transit_input!$B$70:$L$70,0)+1,FALSE))</f>
        <v>0</v>
      </c>
      <c r="R39">
        <f>IF(ISNA(VLOOKUP($A39,SXS_Transit_input!$A$28:$W$49,MATCH(SXS_Transit_temp!R$28,SXS_Transit_input!$B$27:$W$27,0)+1,FALSE)),0,VLOOKUP($A39,SXS_Transit_input!$A$28:$W$49,MATCH(SXS_Transit_temp!R$28,SXS_Transit_input!$B$27:$W$27,0)+1,FALSE))+IF(ISNA(VLOOKUP($A39,SXS_Transit_input!$A$71:$L$81,MATCH(SXS_Transit_temp!R$28,SXS_Transit_input!$B$70:$L$70,0)+1,FALSE)),0,VLOOKUP($A39,SXS_Transit_input!$A$71:$L$81,MATCH(SXS_Transit_temp!R$28,SXS_Transit_input!$B$70:$L$70,0)+1,FALSE))</f>
        <v>0</v>
      </c>
      <c r="S39">
        <f>IF(ISNA(VLOOKUP($A39,SXS_Transit_input!$A$28:$W$49,MATCH(SXS_Transit_temp!S$28,SXS_Transit_input!$B$27:$W$27,0)+1,FALSE)),0,VLOOKUP($A39,SXS_Transit_input!$A$28:$W$49,MATCH(SXS_Transit_temp!S$28,SXS_Transit_input!$B$27:$W$27,0)+1,FALSE))+IF(ISNA(VLOOKUP($A39,SXS_Transit_input!$A$71:$L$81,MATCH(SXS_Transit_temp!S$28,SXS_Transit_input!$B$70:$L$70,0)+1,FALSE)),0,VLOOKUP($A39,SXS_Transit_input!$A$71:$L$81,MATCH(SXS_Transit_temp!S$28,SXS_Transit_input!$B$70:$L$70,0)+1,FALSE))</f>
        <v>0</v>
      </c>
      <c r="T39">
        <f>IF(ISNA(VLOOKUP($A39,SXS_Transit_input!$A$28:$W$49,MATCH(SXS_Transit_temp!T$28,SXS_Transit_input!$B$27:$W$27,0)+1,FALSE)),0,VLOOKUP($A39,SXS_Transit_input!$A$28:$W$49,MATCH(SXS_Transit_temp!T$28,SXS_Transit_input!$B$27:$W$27,0)+1,FALSE))+IF(ISNA(VLOOKUP($A39,SXS_Transit_input!$A$71:$L$81,MATCH(SXS_Transit_temp!T$28,SXS_Transit_input!$B$70:$L$70,0)+1,FALSE)),0,VLOOKUP($A39,SXS_Transit_input!$A$71:$L$81,MATCH(SXS_Transit_temp!T$28,SXS_Transit_input!$B$70:$L$70,0)+1,FALSE))</f>
        <v>0</v>
      </c>
      <c r="U39">
        <f>IF(ISNA(VLOOKUP($A39,SXS_Transit_input!$A$28:$W$49,MATCH(SXS_Transit_temp!U$28,SXS_Transit_input!$B$27:$W$27,0)+1,FALSE)),0,VLOOKUP($A39,SXS_Transit_input!$A$28:$W$49,MATCH(SXS_Transit_temp!U$28,SXS_Transit_input!$B$27:$W$27,0)+1,FALSE))+IF(ISNA(VLOOKUP($A39,SXS_Transit_input!$A$71:$L$81,MATCH(SXS_Transit_temp!U$28,SXS_Transit_input!$B$70:$L$70,0)+1,FALSE)),0,VLOOKUP($A39,SXS_Transit_input!$A$71:$L$81,MATCH(SXS_Transit_temp!U$28,SXS_Transit_input!$B$70:$L$70,0)+1,FALSE))</f>
        <v>0</v>
      </c>
      <c r="V39">
        <f>IF(ISNA(VLOOKUP($A39,SXS_Transit_input!$A$28:$W$49,MATCH(SXS_Transit_temp!V$28,SXS_Transit_input!$B$27:$W$27,0)+1,FALSE)),0,VLOOKUP($A39,SXS_Transit_input!$A$28:$W$49,MATCH(SXS_Transit_temp!V$28,SXS_Transit_input!$B$27:$W$27,0)+1,FALSE))+IF(ISNA(VLOOKUP($A39,SXS_Transit_input!$A$71:$L$81,MATCH(SXS_Transit_temp!V$28,SXS_Transit_input!$B$70:$L$70,0)+1,FALSE)),0,VLOOKUP($A39,SXS_Transit_input!$A$71:$L$81,MATCH(SXS_Transit_temp!V$28,SXS_Transit_input!$B$70:$L$70,0)+1,FALSE))</f>
        <v>0</v>
      </c>
      <c r="W39">
        <f>IF(ISNA(VLOOKUP($A39,SXS_Transit_input!$A$28:$W$49,MATCH(SXS_Transit_temp!W$28,SXS_Transit_input!$B$27:$W$27,0)+1,FALSE)),0,VLOOKUP($A39,SXS_Transit_input!$A$28:$W$49,MATCH(SXS_Transit_temp!W$28,SXS_Transit_input!$B$27:$W$27,0)+1,FALSE))+IF(ISNA(VLOOKUP($A39,SXS_Transit_input!$A$71:$L$81,MATCH(SXS_Transit_temp!W$28,SXS_Transit_input!$B$70:$L$70,0)+1,FALSE)),0,VLOOKUP($A39,SXS_Transit_input!$A$71:$L$81,MATCH(SXS_Transit_temp!W$28,SXS_Transit_input!$B$70:$L$70,0)+1,FALSE))</f>
        <v>0</v>
      </c>
      <c r="X39">
        <f>IF(ISNA(VLOOKUP($A39,SXS_Transit_input!$A$28:$W$49,MATCH(SXS_Transit_temp!X$28,SXS_Transit_input!$B$27:$W$27,0)+1,FALSE)),0,VLOOKUP($A39,SXS_Transit_input!$A$28:$W$49,MATCH(SXS_Transit_temp!X$28,SXS_Transit_input!$B$27:$W$27,0)+1,FALSE))+IF(ISNA(VLOOKUP($A39,SXS_Transit_input!$A$71:$L$81,MATCH(SXS_Transit_temp!X$28,SXS_Transit_input!$B$70:$L$70,0)+1,FALSE)),0,VLOOKUP($A39,SXS_Transit_input!$A$71:$L$81,MATCH(SXS_Transit_temp!X$28,SXS_Transit_input!$B$70:$L$70,0)+1,FALSE))</f>
        <v>0</v>
      </c>
      <c r="Y39">
        <f>IF(ISNA(VLOOKUP($A39,SXS_Transit_input!$A$28:$W$49,MATCH(SXS_Transit_temp!Y$28,SXS_Transit_input!$B$27:$W$27,0)+1,FALSE)),0,VLOOKUP($A39,SXS_Transit_input!$A$28:$W$49,MATCH(SXS_Transit_temp!Y$28,SXS_Transit_input!$B$27:$W$27,0)+1,FALSE))+IF(ISNA(VLOOKUP($A39,SXS_Transit_input!$A$71:$L$81,MATCH(SXS_Transit_temp!Y$28,SXS_Transit_input!$B$70:$L$70,0)+1,FALSE)),0,VLOOKUP($A39,SXS_Transit_input!$A$71:$L$81,MATCH(SXS_Transit_temp!Y$28,SXS_Transit_input!$B$70:$L$70,0)+1,FALSE))</f>
        <v>0</v>
      </c>
      <c r="Z39">
        <f>IF(ISNA(VLOOKUP($A39,SXS_Transit_input!$A$28:$W$49,MATCH(SXS_Transit_temp!Z$28,SXS_Transit_input!$B$27:$W$27,0)+1,FALSE)),0,VLOOKUP($A39,SXS_Transit_input!$A$28:$W$49,MATCH(SXS_Transit_temp!Z$28,SXS_Transit_input!$B$27:$W$27,0)+1,FALSE))+IF(ISNA(VLOOKUP($A39,SXS_Transit_input!$A$71:$L$81,MATCH(SXS_Transit_temp!Z$28,SXS_Transit_input!$B$70:$L$70,0)+1,FALSE)),0,VLOOKUP($A39,SXS_Transit_input!$A$71:$L$81,MATCH(SXS_Transit_temp!Z$28,SXS_Transit_input!$B$70:$L$70,0)+1,FALSE))</f>
        <v>0</v>
      </c>
      <c r="AA39">
        <v>11</v>
      </c>
      <c r="AB39" s="33">
        <f t="shared" si="27"/>
        <v>392</v>
      </c>
      <c r="AC39" s="34">
        <f t="shared" si="26"/>
        <v>2</v>
      </c>
      <c r="AD39" s="34">
        <f t="shared" si="26"/>
        <v>2</v>
      </c>
      <c r="AE39" s="34">
        <f t="shared" si="26"/>
        <v>6</v>
      </c>
      <c r="AF39" s="34">
        <f t="shared" si="26"/>
        <v>2</v>
      </c>
      <c r="AG39" s="34">
        <f t="shared" si="26"/>
        <v>0</v>
      </c>
      <c r="AH39" s="34">
        <f t="shared" si="26"/>
        <v>0</v>
      </c>
      <c r="AI39" s="34">
        <f t="shared" si="26"/>
        <v>4</v>
      </c>
      <c r="AJ39" s="34">
        <f t="shared" si="26"/>
        <v>0</v>
      </c>
      <c r="AK39" s="34">
        <f t="shared" si="26"/>
        <v>26</v>
      </c>
      <c r="AL39" s="34">
        <f t="shared" si="26"/>
        <v>46</v>
      </c>
      <c r="AM39" s="34">
        <f t="shared" si="26"/>
        <v>8</v>
      </c>
      <c r="AN39" s="34">
        <f t="shared" si="26"/>
        <v>0</v>
      </c>
      <c r="AO39" s="34">
        <f t="shared" si="26"/>
        <v>0</v>
      </c>
      <c r="AP39" s="34">
        <f t="shared" si="26"/>
        <v>0</v>
      </c>
      <c r="AQ39" s="34">
        <f t="shared" si="26"/>
        <v>0</v>
      </c>
      <c r="AR39" s="34">
        <f t="shared" ref="AR39:AR53" si="28">BT40+BT94</f>
        <v>0</v>
      </c>
      <c r="AS39" s="34">
        <f t="shared" ref="AS39:AS53" si="29">BU40+BU94</f>
        <v>0</v>
      </c>
      <c r="AT39" s="34">
        <f t="shared" ref="AT39:AT53" si="30">BV40+BV94</f>
        <v>0</v>
      </c>
      <c r="AU39" s="34">
        <f t="shared" ref="AU39:AU53" si="31">BW40+BW94</f>
        <v>0</v>
      </c>
      <c r="AV39" s="34">
        <f t="shared" ref="AV39:AV53" si="32">BX40+BX94</f>
        <v>0</v>
      </c>
      <c r="AW39" s="34">
        <f t="shared" ref="AW39:AW53" si="33">BY40+BY94</f>
        <v>4</v>
      </c>
      <c r="AX39" s="34">
        <f t="shared" ref="AX39:AX53" si="34">BZ40+BZ94</f>
        <v>0</v>
      </c>
      <c r="AY39" s="34">
        <f t="shared" ref="AY39:AY53" si="35">CA40+CA94</f>
        <v>0</v>
      </c>
      <c r="AZ39" s="35">
        <f t="shared" ref="AZ39:AZ53" si="36">CB40+CB94</f>
        <v>0</v>
      </c>
      <c r="BC39" s="157">
        <v>10</v>
      </c>
      <c r="BD39">
        <v>284</v>
      </c>
      <c r="BE39">
        <v>8</v>
      </c>
      <c r="BF39">
        <v>24</v>
      </c>
      <c r="BG39">
        <v>0</v>
      </c>
      <c r="BH39">
        <v>0</v>
      </c>
      <c r="BI39">
        <v>2</v>
      </c>
      <c r="BJ39">
        <v>0</v>
      </c>
      <c r="BK39">
        <v>2</v>
      </c>
      <c r="BL39">
        <v>0</v>
      </c>
      <c r="BM39">
        <v>40</v>
      </c>
      <c r="BN39">
        <v>18</v>
      </c>
      <c r="BO39">
        <v>0</v>
      </c>
      <c r="BP39">
        <v>0</v>
      </c>
      <c r="BQ39">
        <v>0</v>
      </c>
      <c r="BR39">
        <v>0</v>
      </c>
      <c r="BS39">
        <v>0</v>
      </c>
      <c r="BT39">
        <v>0</v>
      </c>
      <c r="BU39">
        <v>0</v>
      </c>
      <c r="BV39">
        <v>0</v>
      </c>
      <c r="BW39">
        <v>12</v>
      </c>
      <c r="BX39">
        <v>10</v>
      </c>
      <c r="BY39">
        <v>0</v>
      </c>
      <c r="BZ39">
        <v>0</v>
      </c>
      <c r="CA39">
        <v>0</v>
      </c>
      <c r="CB39">
        <v>0</v>
      </c>
    </row>
    <row r="40" spans="1:80" x14ac:dyDescent="0.25">
      <c r="A40">
        <v>12</v>
      </c>
      <c r="B40">
        <f>IF(ISNA(VLOOKUP($A40,SXS_Transit_input!$A$28:$W$49,MATCH(SXS_Transit_temp!B$28,SXS_Transit_input!$B$27:$W$27,0)+1,FALSE)),0,VLOOKUP($A40,SXS_Transit_input!$A$28:$W$49,MATCH(SXS_Transit_temp!B$28,SXS_Transit_input!$B$27:$W$27,0)+1,FALSE))+IF(ISNA(VLOOKUP($A40,SXS_Transit_input!$A$71:$L$81,MATCH(SXS_Transit_temp!B$28,SXS_Transit_input!$B$70:$L$70,0)+1,FALSE)),0,VLOOKUP($A40,SXS_Transit_input!$A$71:$L$81,MATCH(SXS_Transit_temp!B$28,SXS_Transit_input!$B$70:$L$70,0)+1,FALSE))</f>
        <v>2018.82447</v>
      </c>
      <c r="C40">
        <f>IF(ISNA(VLOOKUP($A40,SXS_Transit_input!$A$28:$W$49,MATCH(SXS_Transit_temp!C$28,SXS_Transit_input!$B$27:$W$27,0)+1,FALSE)),0,VLOOKUP($A40,SXS_Transit_input!$A$28:$W$49,MATCH(SXS_Transit_temp!C$28,SXS_Transit_input!$B$27:$W$27,0)+1,FALSE))+IF(ISNA(VLOOKUP($A40,SXS_Transit_input!$A$71:$L$81,MATCH(SXS_Transit_temp!C$28,SXS_Transit_input!$B$70:$L$70,0)+1,FALSE)),0,VLOOKUP($A40,SXS_Transit_input!$A$71:$L$81,MATCH(SXS_Transit_temp!C$28,SXS_Transit_input!$B$70:$L$70,0)+1,FALSE))</f>
        <v>378.34109000000001</v>
      </c>
      <c r="D40">
        <f>IF(ISNA(VLOOKUP($A40,SXS_Transit_input!$A$28:$W$49,MATCH(SXS_Transit_temp!D$28,SXS_Transit_input!$B$27:$W$27,0)+1,FALSE)),0,VLOOKUP($A40,SXS_Transit_input!$A$28:$W$49,MATCH(SXS_Transit_temp!D$28,SXS_Transit_input!$B$27:$W$27,0)+1,FALSE))+IF(ISNA(VLOOKUP($A40,SXS_Transit_input!$A$71:$L$81,MATCH(SXS_Transit_temp!D$28,SXS_Transit_input!$B$70:$L$70,0)+1,FALSE)),0,VLOOKUP($A40,SXS_Transit_input!$A$71:$L$81,MATCH(SXS_Transit_temp!D$28,SXS_Transit_input!$B$70:$L$70,0)+1,FALSE))</f>
        <v>0</v>
      </c>
      <c r="E40">
        <f>IF(ISNA(VLOOKUP($A40,SXS_Transit_input!$A$28:$W$49,MATCH(SXS_Transit_temp!E$28,SXS_Transit_input!$B$27:$W$27,0)+1,FALSE)),0,VLOOKUP($A40,SXS_Transit_input!$A$28:$W$49,MATCH(SXS_Transit_temp!E$28,SXS_Transit_input!$B$27:$W$27,0)+1,FALSE))+IF(ISNA(VLOOKUP($A40,SXS_Transit_input!$A$71:$L$81,MATCH(SXS_Transit_temp!E$28,SXS_Transit_input!$B$70:$L$70,0)+1,FALSE)),0,VLOOKUP($A40,SXS_Transit_input!$A$71:$L$81,MATCH(SXS_Transit_temp!E$28,SXS_Transit_input!$B$70:$L$70,0)+1,FALSE))</f>
        <v>0</v>
      </c>
      <c r="F40">
        <f>IF(ISNA(VLOOKUP($A40,SXS_Transit_input!$A$28:$W$49,MATCH(SXS_Transit_temp!F$28,SXS_Transit_input!$B$27:$W$27,0)+1,FALSE)),0,VLOOKUP($A40,SXS_Transit_input!$A$28:$W$49,MATCH(SXS_Transit_temp!F$28,SXS_Transit_input!$B$27:$W$27,0)+1,FALSE))+IF(ISNA(VLOOKUP($A40,SXS_Transit_input!$A$71:$L$81,MATCH(SXS_Transit_temp!F$28,SXS_Transit_input!$B$70:$L$70,0)+1,FALSE)),0,VLOOKUP($A40,SXS_Transit_input!$A$71:$L$81,MATCH(SXS_Transit_temp!F$28,SXS_Transit_input!$B$70:$L$70,0)+1,FALSE))</f>
        <v>215.38507000000001</v>
      </c>
      <c r="G40">
        <f>IF(ISNA(VLOOKUP($A40,SXS_Transit_input!$A$28:$W$49,MATCH(SXS_Transit_temp!G$28,SXS_Transit_input!$B$27:$W$27,0)+1,FALSE)),0,VLOOKUP($A40,SXS_Transit_input!$A$28:$W$49,MATCH(SXS_Transit_temp!G$28,SXS_Transit_input!$B$27:$W$27,0)+1,FALSE))+IF(ISNA(VLOOKUP($A40,SXS_Transit_input!$A$71:$L$81,MATCH(SXS_Transit_temp!G$28,SXS_Transit_input!$B$70:$L$70,0)+1,FALSE)),0,VLOOKUP($A40,SXS_Transit_input!$A$71:$L$81,MATCH(SXS_Transit_temp!G$28,SXS_Transit_input!$B$70:$L$70,0)+1,FALSE))</f>
        <v>0</v>
      </c>
      <c r="H40">
        <f>IF(ISNA(VLOOKUP($A40,SXS_Transit_input!$A$28:$W$49,MATCH(SXS_Transit_temp!H$28,SXS_Transit_input!$B$27:$W$27,0)+1,FALSE)),0,VLOOKUP($A40,SXS_Transit_input!$A$28:$W$49,MATCH(SXS_Transit_temp!H$28,SXS_Transit_input!$B$27:$W$27,0)+1,FALSE))+IF(ISNA(VLOOKUP($A40,SXS_Transit_input!$A$71:$L$81,MATCH(SXS_Transit_temp!H$28,SXS_Transit_input!$B$70:$L$70,0)+1,FALSE)),0,VLOOKUP($A40,SXS_Transit_input!$A$71:$L$81,MATCH(SXS_Transit_temp!H$28,SXS_Transit_input!$B$70:$L$70,0)+1,FALSE))</f>
        <v>0</v>
      </c>
      <c r="I40">
        <f>IF(ISNA(VLOOKUP($A40,SXS_Transit_input!$A$28:$W$49,MATCH(SXS_Transit_temp!I$28,SXS_Transit_input!$B$27:$W$27,0)+1,FALSE)),0,VLOOKUP($A40,SXS_Transit_input!$A$28:$W$49,MATCH(SXS_Transit_temp!I$28,SXS_Transit_input!$B$27:$W$27,0)+1,FALSE))+IF(ISNA(VLOOKUP($A40,SXS_Transit_input!$A$71:$L$81,MATCH(SXS_Transit_temp!I$28,SXS_Transit_input!$B$70:$L$70,0)+1,FALSE)),0,VLOOKUP($A40,SXS_Transit_input!$A$71:$L$81,MATCH(SXS_Transit_temp!I$28,SXS_Transit_input!$B$70:$L$70,0)+1,FALSE))</f>
        <v>0</v>
      </c>
      <c r="J40">
        <f>IF(ISNA(VLOOKUP($A40,SXS_Transit_input!$A$28:$W$49,MATCH(SXS_Transit_temp!J$28,SXS_Transit_input!$B$27:$W$27,0)+1,FALSE)),0,VLOOKUP($A40,SXS_Transit_input!$A$28:$W$49,MATCH(SXS_Transit_temp!J$28,SXS_Transit_input!$B$27:$W$27,0)+1,FALSE))+IF(ISNA(VLOOKUP($A40,SXS_Transit_input!$A$71:$L$81,MATCH(SXS_Transit_temp!J$28,SXS_Transit_input!$B$70:$L$70,0)+1,FALSE)),0,VLOOKUP($A40,SXS_Transit_input!$A$71:$L$81,MATCH(SXS_Transit_temp!J$28,SXS_Transit_input!$B$70:$L$70,0)+1,FALSE))</f>
        <v>0</v>
      </c>
      <c r="K40">
        <f>IF(ISNA(VLOOKUP($A40,SXS_Transit_input!$A$28:$W$49,MATCH(SXS_Transit_temp!K$28,SXS_Transit_input!$B$27:$W$27,0)+1,FALSE)),0,VLOOKUP($A40,SXS_Transit_input!$A$28:$W$49,MATCH(SXS_Transit_temp!K$28,SXS_Transit_input!$B$27:$W$27,0)+1,FALSE))+IF(ISNA(VLOOKUP($A40,SXS_Transit_input!$A$71:$L$81,MATCH(SXS_Transit_temp!K$28,SXS_Transit_input!$B$70:$L$70,0)+1,FALSE)),0,VLOOKUP($A40,SXS_Transit_input!$A$71:$L$81,MATCH(SXS_Transit_temp!K$28,SXS_Transit_input!$B$70:$L$70,0)+1,FALSE))</f>
        <v>0</v>
      </c>
      <c r="L40">
        <f>IF(ISNA(VLOOKUP($A40,SXS_Transit_input!$A$28:$W$49,MATCH(SXS_Transit_temp!L$28,SXS_Transit_input!$B$27:$W$27,0)+1,FALSE)),0,VLOOKUP($A40,SXS_Transit_input!$A$28:$W$49,MATCH(SXS_Transit_temp!L$28,SXS_Transit_input!$B$27:$W$27,0)+1,FALSE))+IF(ISNA(VLOOKUP($A40,SXS_Transit_input!$A$71:$L$81,MATCH(SXS_Transit_temp!L$28,SXS_Transit_input!$B$70:$L$70,0)+1,FALSE)),0,VLOOKUP($A40,SXS_Transit_input!$A$71:$L$81,MATCH(SXS_Transit_temp!L$28,SXS_Transit_input!$B$70:$L$70,0)+1,FALSE))</f>
        <v>0</v>
      </c>
      <c r="M40">
        <f>IF(ISNA(VLOOKUP($A40,SXS_Transit_input!$A$28:$W$49,MATCH(SXS_Transit_temp!M$28,SXS_Transit_input!$B$27:$W$27,0)+1,FALSE)),0,VLOOKUP($A40,SXS_Transit_input!$A$28:$W$49,MATCH(SXS_Transit_temp!M$28,SXS_Transit_input!$B$27:$W$27,0)+1,FALSE))+IF(ISNA(VLOOKUP($A40,SXS_Transit_input!$A$71:$L$81,MATCH(SXS_Transit_temp!M$28,SXS_Transit_input!$B$70:$L$70,0)+1,FALSE)),0,VLOOKUP($A40,SXS_Transit_input!$A$71:$L$81,MATCH(SXS_Transit_temp!M$28,SXS_Transit_input!$B$70:$L$70,0)+1,FALSE))</f>
        <v>142.36975000000001</v>
      </c>
      <c r="N40">
        <f>IF(ISNA(VLOOKUP($A40,SXS_Transit_input!$A$28:$W$49,MATCH(SXS_Transit_temp!N$28,SXS_Transit_input!$B$27:$W$27,0)+1,FALSE)),0,VLOOKUP($A40,SXS_Transit_input!$A$28:$W$49,MATCH(SXS_Transit_temp!N$28,SXS_Transit_input!$B$27:$W$27,0)+1,FALSE))+IF(ISNA(VLOOKUP($A40,SXS_Transit_input!$A$71:$L$81,MATCH(SXS_Transit_temp!N$28,SXS_Transit_input!$B$70:$L$70,0)+1,FALSE)),0,VLOOKUP($A40,SXS_Transit_input!$A$71:$L$81,MATCH(SXS_Transit_temp!N$28,SXS_Transit_input!$B$70:$L$70,0)+1,FALSE))</f>
        <v>530.08164999999997</v>
      </c>
      <c r="O40">
        <f>IF(ISNA(VLOOKUP($A40,SXS_Transit_input!$A$28:$W$49,MATCH(SXS_Transit_temp!O$28,SXS_Transit_input!$B$27:$W$27,0)+1,FALSE)),0,VLOOKUP($A40,SXS_Transit_input!$A$28:$W$49,MATCH(SXS_Transit_temp!O$28,SXS_Transit_input!$B$27:$W$27,0)+1,FALSE))+IF(ISNA(VLOOKUP($A40,SXS_Transit_input!$A$71:$L$81,MATCH(SXS_Transit_temp!O$28,SXS_Transit_input!$B$70:$L$70,0)+1,FALSE)),0,VLOOKUP($A40,SXS_Transit_input!$A$71:$L$81,MATCH(SXS_Transit_temp!O$28,SXS_Transit_input!$B$70:$L$70,0)+1,FALSE))</f>
        <v>0</v>
      </c>
      <c r="P40">
        <f>IF(ISNA(VLOOKUP($A40,SXS_Transit_input!$A$28:$W$49,MATCH(SXS_Transit_temp!P$28,SXS_Transit_input!$B$27:$W$27,0)+1,FALSE)),0,VLOOKUP($A40,SXS_Transit_input!$A$28:$W$49,MATCH(SXS_Transit_temp!P$28,SXS_Transit_input!$B$27:$W$27,0)+1,FALSE))+IF(ISNA(VLOOKUP($A40,SXS_Transit_input!$A$71:$L$81,MATCH(SXS_Transit_temp!P$28,SXS_Transit_input!$B$70:$L$70,0)+1,FALSE)),0,VLOOKUP($A40,SXS_Transit_input!$A$71:$L$81,MATCH(SXS_Transit_temp!P$28,SXS_Transit_input!$B$70:$L$70,0)+1,FALSE))</f>
        <v>0</v>
      </c>
      <c r="Q40">
        <f>IF(ISNA(VLOOKUP($A40,SXS_Transit_input!$A$28:$W$49,MATCH(SXS_Transit_temp!Q$28,SXS_Transit_input!$B$27:$W$27,0)+1,FALSE)),0,VLOOKUP($A40,SXS_Transit_input!$A$28:$W$49,MATCH(SXS_Transit_temp!Q$28,SXS_Transit_input!$B$27:$W$27,0)+1,FALSE))+IF(ISNA(VLOOKUP($A40,SXS_Transit_input!$A$71:$L$81,MATCH(SXS_Transit_temp!Q$28,SXS_Transit_input!$B$70:$L$70,0)+1,FALSE)),0,VLOOKUP($A40,SXS_Transit_input!$A$71:$L$81,MATCH(SXS_Transit_temp!Q$28,SXS_Transit_input!$B$70:$L$70,0)+1,FALSE))</f>
        <v>0</v>
      </c>
      <c r="R40">
        <f>IF(ISNA(VLOOKUP($A40,SXS_Transit_input!$A$28:$W$49,MATCH(SXS_Transit_temp!R$28,SXS_Transit_input!$B$27:$W$27,0)+1,FALSE)),0,VLOOKUP($A40,SXS_Transit_input!$A$28:$W$49,MATCH(SXS_Transit_temp!R$28,SXS_Transit_input!$B$27:$W$27,0)+1,FALSE))+IF(ISNA(VLOOKUP($A40,SXS_Transit_input!$A$71:$L$81,MATCH(SXS_Transit_temp!R$28,SXS_Transit_input!$B$70:$L$70,0)+1,FALSE)),0,VLOOKUP($A40,SXS_Transit_input!$A$71:$L$81,MATCH(SXS_Transit_temp!R$28,SXS_Transit_input!$B$70:$L$70,0)+1,FALSE))</f>
        <v>0</v>
      </c>
      <c r="S40">
        <f>IF(ISNA(VLOOKUP($A40,SXS_Transit_input!$A$28:$W$49,MATCH(SXS_Transit_temp!S$28,SXS_Transit_input!$B$27:$W$27,0)+1,FALSE)),0,VLOOKUP($A40,SXS_Transit_input!$A$28:$W$49,MATCH(SXS_Transit_temp!S$28,SXS_Transit_input!$B$27:$W$27,0)+1,FALSE))+IF(ISNA(VLOOKUP($A40,SXS_Transit_input!$A$71:$L$81,MATCH(SXS_Transit_temp!S$28,SXS_Transit_input!$B$70:$L$70,0)+1,FALSE)),0,VLOOKUP($A40,SXS_Transit_input!$A$71:$L$81,MATCH(SXS_Transit_temp!S$28,SXS_Transit_input!$B$70:$L$70,0)+1,FALSE))</f>
        <v>0</v>
      </c>
      <c r="T40">
        <f>IF(ISNA(VLOOKUP($A40,SXS_Transit_input!$A$28:$W$49,MATCH(SXS_Transit_temp!T$28,SXS_Transit_input!$B$27:$W$27,0)+1,FALSE)),0,VLOOKUP($A40,SXS_Transit_input!$A$28:$W$49,MATCH(SXS_Transit_temp!T$28,SXS_Transit_input!$B$27:$W$27,0)+1,FALSE))+IF(ISNA(VLOOKUP($A40,SXS_Transit_input!$A$71:$L$81,MATCH(SXS_Transit_temp!T$28,SXS_Transit_input!$B$70:$L$70,0)+1,FALSE)),0,VLOOKUP($A40,SXS_Transit_input!$A$71:$L$81,MATCH(SXS_Transit_temp!T$28,SXS_Transit_input!$B$70:$L$70,0)+1,FALSE))</f>
        <v>0</v>
      </c>
      <c r="U40">
        <f>IF(ISNA(VLOOKUP($A40,SXS_Transit_input!$A$28:$W$49,MATCH(SXS_Transit_temp!U$28,SXS_Transit_input!$B$27:$W$27,0)+1,FALSE)),0,VLOOKUP($A40,SXS_Transit_input!$A$28:$W$49,MATCH(SXS_Transit_temp!U$28,SXS_Transit_input!$B$27:$W$27,0)+1,FALSE))+IF(ISNA(VLOOKUP($A40,SXS_Transit_input!$A$71:$L$81,MATCH(SXS_Transit_temp!U$28,SXS_Transit_input!$B$70:$L$70,0)+1,FALSE)),0,VLOOKUP($A40,SXS_Transit_input!$A$71:$L$81,MATCH(SXS_Transit_temp!U$28,SXS_Transit_input!$B$70:$L$70,0)+1,FALSE))</f>
        <v>0</v>
      </c>
      <c r="V40">
        <f>IF(ISNA(VLOOKUP($A40,SXS_Transit_input!$A$28:$W$49,MATCH(SXS_Transit_temp!V$28,SXS_Transit_input!$B$27:$W$27,0)+1,FALSE)),0,VLOOKUP($A40,SXS_Transit_input!$A$28:$W$49,MATCH(SXS_Transit_temp!V$28,SXS_Transit_input!$B$27:$W$27,0)+1,FALSE))+IF(ISNA(VLOOKUP($A40,SXS_Transit_input!$A$71:$L$81,MATCH(SXS_Transit_temp!V$28,SXS_Transit_input!$B$70:$L$70,0)+1,FALSE)),0,VLOOKUP($A40,SXS_Transit_input!$A$71:$L$81,MATCH(SXS_Transit_temp!V$28,SXS_Transit_input!$B$70:$L$70,0)+1,FALSE))</f>
        <v>0</v>
      </c>
      <c r="W40">
        <f>IF(ISNA(VLOOKUP($A40,SXS_Transit_input!$A$28:$W$49,MATCH(SXS_Transit_temp!W$28,SXS_Transit_input!$B$27:$W$27,0)+1,FALSE)),0,VLOOKUP($A40,SXS_Transit_input!$A$28:$W$49,MATCH(SXS_Transit_temp!W$28,SXS_Transit_input!$B$27:$W$27,0)+1,FALSE))+IF(ISNA(VLOOKUP($A40,SXS_Transit_input!$A$71:$L$81,MATCH(SXS_Transit_temp!W$28,SXS_Transit_input!$B$70:$L$70,0)+1,FALSE)),0,VLOOKUP($A40,SXS_Transit_input!$A$71:$L$81,MATCH(SXS_Transit_temp!W$28,SXS_Transit_input!$B$70:$L$70,0)+1,FALSE))</f>
        <v>0</v>
      </c>
      <c r="X40">
        <f>IF(ISNA(VLOOKUP($A40,SXS_Transit_input!$A$28:$W$49,MATCH(SXS_Transit_temp!X$28,SXS_Transit_input!$B$27:$W$27,0)+1,FALSE)),0,VLOOKUP($A40,SXS_Transit_input!$A$28:$W$49,MATCH(SXS_Transit_temp!X$28,SXS_Transit_input!$B$27:$W$27,0)+1,FALSE))+IF(ISNA(VLOOKUP($A40,SXS_Transit_input!$A$71:$L$81,MATCH(SXS_Transit_temp!X$28,SXS_Transit_input!$B$70:$L$70,0)+1,FALSE)),0,VLOOKUP($A40,SXS_Transit_input!$A$71:$L$81,MATCH(SXS_Transit_temp!X$28,SXS_Transit_input!$B$70:$L$70,0)+1,FALSE))</f>
        <v>308.32069999999999</v>
      </c>
      <c r="Y40">
        <f>IF(ISNA(VLOOKUP($A40,SXS_Transit_input!$A$28:$W$49,MATCH(SXS_Transit_temp!Y$28,SXS_Transit_input!$B$27:$W$27,0)+1,FALSE)),0,VLOOKUP($A40,SXS_Transit_input!$A$28:$W$49,MATCH(SXS_Transit_temp!Y$28,SXS_Transit_input!$B$27:$W$27,0)+1,FALSE))+IF(ISNA(VLOOKUP($A40,SXS_Transit_input!$A$71:$L$81,MATCH(SXS_Transit_temp!Y$28,SXS_Transit_input!$B$70:$L$70,0)+1,FALSE)),0,VLOOKUP($A40,SXS_Transit_input!$A$71:$L$81,MATCH(SXS_Transit_temp!Y$28,SXS_Transit_input!$B$70:$L$70,0)+1,FALSE))</f>
        <v>0</v>
      </c>
      <c r="Z40">
        <f>IF(ISNA(VLOOKUP($A40,SXS_Transit_input!$A$28:$W$49,MATCH(SXS_Transit_temp!Z$28,SXS_Transit_input!$B$27:$W$27,0)+1,FALSE)),0,VLOOKUP($A40,SXS_Transit_input!$A$28:$W$49,MATCH(SXS_Transit_temp!Z$28,SXS_Transit_input!$B$27:$W$27,0)+1,FALSE))+IF(ISNA(VLOOKUP($A40,SXS_Transit_input!$A$71:$L$81,MATCH(SXS_Transit_temp!Z$28,SXS_Transit_input!$B$70:$L$70,0)+1,FALSE)),0,VLOOKUP($A40,SXS_Transit_input!$A$71:$L$81,MATCH(SXS_Transit_temp!Z$28,SXS_Transit_input!$B$70:$L$70,0)+1,FALSE))</f>
        <v>34.28248</v>
      </c>
      <c r="AA40">
        <v>12</v>
      </c>
      <c r="AB40" s="33">
        <f t="shared" si="27"/>
        <v>600</v>
      </c>
      <c r="AC40" s="34">
        <f t="shared" ref="AC40:AC53" si="37">BE41+BE95</f>
        <v>0</v>
      </c>
      <c r="AD40" s="34">
        <f t="shared" ref="AD40:AD53" si="38">BF41+BF95</f>
        <v>0</v>
      </c>
      <c r="AE40" s="34">
        <f t="shared" ref="AE40:AE53" si="39">BG41+BG95</f>
        <v>0</v>
      </c>
      <c r="AF40" s="34">
        <f t="shared" ref="AF40:AF53" si="40">BH41+BH95</f>
        <v>6</v>
      </c>
      <c r="AG40" s="34">
        <f t="shared" ref="AG40:AG53" si="41">BI41+BI95</f>
        <v>2</v>
      </c>
      <c r="AH40" s="34">
        <f t="shared" ref="AH40:AH53" si="42">BJ41+BJ95</f>
        <v>2</v>
      </c>
      <c r="AI40" s="34">
        <f t="shared" ref="AI40:AI53" si="43">BK41+BK95</f>
        <v>0</v>
      </c>
      <c r="AJ40" s="34">
        <f t="shared" ref="AJ40:AJ53" si="44">BL41+BL95</f>
        <v>0</v>
      </c>
      <c r="AK40" s="34">
        <f t="shared" ref="AK40:AK53" si="45">BM41+BM95</f>
        <v>0</v>
      </c>
      <c r="AL40" s="34">
        <f t="shared" ref="AL40:AL53" si="46">BN41+BN95</f>
        <v>6</v>
      </c>
      <c r="AM40" s="34">
        <f t="shared" ref="AM40:AM53" si="47">BO41+BO95</f>
        <v>90</v>
      </c>
      <c r="AN40" s="34">
        <f t="shared" ref="AN40:AN53" si="48">BP41+BP95</f>
        <v>18</v>
      </c>
      <c r="AO40" s="34">
        <f t="shared" ref="AO40:AO53" si="49">BQ41+BQ95</f>
        <v>0</v>
      </c>
      <c r="AP40" s="34">
        <f t="shared" ref="AP40:AP53" si="50">BR41+BR95</f>
        <v>0</v>
      </c>
      <c r="AQ40" s="34">
        <f t="shared" ref="AQ40:AQ53" si="51">BS41+BS95</f>
        <v>0</v>
      </c>
      <c r="AR40" s="34">
        <f t="shared" si="28"/>
        <v>0</v>
      </c>
      <c r="AS40" s="34">
        <f t="shared" si="29"/>
        <v>0</v>
      </c>
      <c r="AT40" s="34">
        <f t="shared" si="30"/>
        <v>0</v>
      </c>
      <c r="AU40" s="34">
        <f t="shared" si="31"/>
        <v>0</v>
      </c>
      <c r="AV40" s="34">
        <f t="shared" si="32"/>
        <v>0</v>
      </c>
      <c r="AW40" s="34">
        <f t="shared" si="33"/>
        <v>0</v>
      </c>
      <c r="AX40" s="34">
        <f t="shared" si="34"/>
        <v>0</v>
      </c>
      <c r="AY40" s="34">
        <f t="shared" si="35"/>
        <v>2</v>
      </c>
      <c r="AZ40" s="35">
        <f t="shared" si="36"/>
        <v>0</v>
      </c>
      <c r="BC40" s="157">
        <v>11</v>
      </c>
      <c r="BD40">
        <v>390</v>
      </c>
      <c r="BE40">
        <v>2</v>
      </c>
      <c r="BF40">
        <v>2</v>
      </c>
      <c r="BG40">
        <v>6</v>
      </c>
      <c r="BH40">
        <v>2</v>
      </c>
      <c r="BI40">
        <v>0</v>
      </c>
      <c r="BJ40">
        <v>0</v>
      </c>
      <c r="BK40">
        <v>2</v>
      </c>
      <c r="BL40">
        <v>0</v>
      </c>
      <c r="BM40">
        <v>16</v>
      </c>
      <c r="BN40">
        <v>46</v>
      </c>
      <c r="BO40">
        <v>8</v>
      </c>
      <c r="BP40">
        <v>0</v>
      </c>
      <c r="BQ40">
        <v>0</v>
      </c>
      <c r="BR40">
        <v>0</v>
      </c>
      <c r="BS40">
        <v>0</v>
      </c>
      <c r="BT40">
        <v>0</v>
      </c>
      <c r="BU40">
        <v>0</v>
      </c>
      <c r="BV40">
        <v>0</v>
      </c>
      <c r="BW40">
        <v>0</v>
      </c>
      <c r="BX40">
        <v>0</v>
      </c>
      <c r="BY40">
        <v>4</v>
      </c>
      <c r="BZ40">
        <v>0</v>
      </c>
      <c r="CA40">
        <v>0</v>
      </c>
      <c r="CB40">
        <v>0</v>
      </c>
    </row>
    <row r="41" spans="1:80" x14ac:dyDescent="0.25">
      <c r="A41">
        <v>13</v>
      </c>
      <c r="B41">
        <f>IF(ISNA(VLOOKUP($A41,SXS_Transit_input!$A$28:$W$49,MATCH(SXS_Transit_temp!B$28,SXS_Transit_input!$B$27:$W$27,0)+1,FALSE)),0,VLOOKUP($A41,SXS_Transit_input!$A$28:$W$49,MATCH(SXS_Transit_temp!B$28,SXS_Transit_input!$B$27:$W$27,0)+1,FALSE))+IF(ISNA(VLOOKUP($A41,SXS_Transit_input!$A$71:$L$81,MATCH(SXS_Transit_temp!B$28,SXS_Transit_input!$B$70:$L$70,0)+1,FALSE)),0,VLOOKUP($A41,SXS_Transit_input!$A$71:$L$81,MATCH(SXS_Transit_temp!B$28,SXS_Transit_input!$B$70:$L$70,0)+1,FALSE))</f>
        <v>11169.93442</v>
      </c>
      <c r="C41">
        <f>IF(ISNA(VLOOKUP($A41,SXS_Transit_input!$A$28:$W$49,MATCH(SXS_Transit_temp!C$28,SXS_Transit_input!$B$27:$W$27,0)+1,FALSE)),0,VLOOKUP($A41,SXS_Transit_input!$A$28:$W$49,MATCH(SXS_Transit_temp!C$28,SXS_Transit_input!$B$27:$W$27,0)+1,FALSE))+IF(ISNA(VLOOKUP($A41,SXS_Transit_input!$A$71:$L$81,MATCH(SXS_Transit_temp!C$28,SXS_Transit_input!$B$70:$L$70,0)+1,FALSE)),0,VLOOKUP($A41,SXS_Transit_input!$A$71:$L$81,MATCH(SXS_Transit_temp!C$28,SXS_Transit_input!$B$70:$L$70,0)+1,FALSE))</f>
        <v>0</v>
      </c>
      <c r="D41">
        <f>IF(ISNA(VLOOKUP($A41,SXS_Transit_input!$A$28:$W$49,MATCH(SXS_Transit_temp!D$28,SXS_Transit_input!$B$27:$W$27,0)+1,FALSE)),0,VLOOKUP($A41,SXS_Transit_input!$A$28:$W$49,MATCH(SXS_Transit_temp!D$28,SXS_Transit_input!$B$27:$W$27,0)+1,FALSE))+IF(ISNA(VLOOKUP($A41,SXS_Transit_input!$A$71:$L$81,MATCH(SXS_Transit_temp!D$28,SXS_Transit_input!$B$70:$L$70,0)+1,FALSE)),0,VLOOKUP($A41,SXS_Transit_input!$A$71:$L$81,MATCH(SXS_Transit_temp!D$28,SXS_Transit_input!$B$70:$L$70,0)+1,FALSE))</f>
        <v>0</v>
      </c>
      <c r="E41">
        <f>IF(ISNA(VLOOKUP($A41,SXS_Transit_input!$A$28:$W$49,MATCH(SXS_Transit_temp!E$28,SXS_Transit_input!$B$27:$W$27,0)+1,FALSE)),0,VLOOKUP($A41,SXS_Transit_input!$A$28:$W$49,MATCH(SXS_Transit_temp!E$28,SXS_Transit_input!$B$27:$W$27,0)+1,FALSE))+IF(ISNA(VLOOKUP($A41,SXS_Transit_input!$A$71:$L$81,MATCH(SXS_Transit_temp!E$28,SXS_Transit_input!$B$70:$L$70,0)+1,FALSE)),0,VLOOKUP($A41,SXS_Transit_input!$A$71:$L$81,MATCH(SXS_Transit_temp!E$28,SXS_Transit_input!$B$70:$L$70,0)+1,FALSE))</f>
        <v>0</v>
      </c>
      <c r="F41">
        <f>IF(ISNA(VLOOKUP($A41,SXS_Transit_input!$A$28:$W$49,MATCH(SXS_Transit_temp!F$28,SXS_Transit_input!$B$27:$W$27,0)+1,FALSE)),0,VLOOKUP($A41,SXS_Transit_input!$A$28:$W$49,MATCH(SXS_Transit_temp!F$28,SXS_Transit_input!$B$27:$W$27,0)+1,FALSE))+IF(ISNA(VLOOKUP($A41,SXS_Transit_input!$A$71:$L$81,MATCH(SXS_Transit_temp!F$28,SXS_Transit_input!$B$70:$L$70,0)+1,FALSE)),0,VLOOKUP($A41,SXS_Transit_input!$A$71:$L$81,MATCH(SXS_Transit_temp!F$28,SXS_Transit_input!$B$70:$L$70,0)+1,FALSE))</f>
        <v>34.28248</v>
      </c>
      <c r="G41">
        <f>IF(ISNA(VLOOKUP($A41,SXS_Transit_input!$A$28:$W$49,MATCH(SXS_Transit_temp!G$28,SXS_Transit_input!$B$27:$W$27,0)+1,FALSE)),0,VLOOKUP($A41,SXS_Transit_input!$A$28:$W$49,MATCH(SXS_Transit_temp!G$28,SXS_Transit_input!$B$27:$W$27,0)+1,FALSE))+IF(ISNA(VLOOKUP($A41,SXS_Transit_input!$A$71:$L$81,MATCH(SXS_Transit_temp!G$28,SXS_Transit_input!$B$70:$L$70,0)+1,FALSE)),0,VLOOKUP($A41,SXS_Transit_input!$A$71:$L$81,MATCH(SXS_Transit_temp!G$28,SXS_Transit_input!$B$70:$L$70,0)+1,FALSE))</f>
        <v>0</v>
      </c>
      <c r="H41">
        <f>IF(ISNA(VLOOKUP($A41,SXS_Transit_input!$A$28:$W$49,MATCH(SXS_Transit_temp!H$28,SXS_Transit_input!$B$27:$W$27,0)+1,FALSE)),0,VLOOKUP($A41,SXS_Transit_input!$A$28:$W$49,MATCH(SXS_Transit_temp!H$28,SXS_Transit_input!$B$27:$W$27,0)+1,FALSE))+IF(ISNA(VLOOKUP($A41,SXS_Transit_input!$A$71:$L$81,MATCH(SXS_Transit_temp!H$28,SXS_Transit_input!$B$70:$L$70,0)+1,FALSE)),0,VLOOKUP($A41,SXS_Transit_input!$A$71:$L$81,MATCH(SXS_Transit_temp!H$28,SXS_Transit_input!$B$70:$L$70,0)+1,FALSE))</f>
        <v>0</v>
      </c>
      <c r="I41">
        <f>IF(ISNA(VLOOKUP($A41,SXS_Transit_input!$A$28:$W$49,MATCH(SXS_Transit_temp!I$28,SXS_Transit_input!$B$27:$W$27,0)+1,FALSE)),0,VLOOKUP($A41,SXS_Transit_input!$A$28:$W$49,MATCH(SXS_Transit_temp!I$28,SXS_Transit_input!$B$27:$W$27,0)+1,FALSE))+IF(ISNA(VLOOKUP($A41,SXS_Transit_input!$A$71:$L$81,MATCH(SXS_Transit_temp!I$28,SXS_Transit_input!$B$70:$L$70,0)+1,FALSE)),0,VLOOKUP($A41,SXS_Transit_input!$A$71:$L$81,MATCH(SXS_Transit_temp!I$28,SXS_Transit_input!$B$70:$L$70,0)+1,FALSE))</f>
        <v>0</v>
      </c>
      <c r="J41">
        <f>IF(ISNA(VLOOKUP($A41,SXS_Transit_input!$A$28:$W$49,MATCH(SXS_Transit_temp!J$28,SXS_Transit_input!$B$27:$W$27,0)+1,FALSE)),0,VLOOKUP($A41,SXS_Transit_input!$A$28:$W$49,MATCH(SXS_Transit_temp!J$28,SXS_Transit_input!$B$27:$W$27,0)+1,FALSE))+IF(ISNA(VLOOKUP($A41,SXS_Transit_input!$A$71:$L$81,MATCH(SXS_Transit_temp!J$28,SXS_Transit_input!$B$70:$L$70,0)+1,FALSE)),0,VLOOKUP($A41,SXS_Transit_input!$A$71:$L$81,MATCH(SXS_Transit_temp!J$28,SXS_Transit_input!$B$70:$L$70,0)+1,FALSE))</f>
        <v>0</v>
      </c>
      <c r="K41">
        <f>IF(ISNA(VLOOKUP($A41,SXS_Transit_input!$A$28:$W$49,MATCH(SXS_Transit_temp!K$28,SXS_Transit_input!$B$27:$W$27,0)+1,FALSE)),0,VLOOKUP($A41,SXS_Transit_input!$A$28:$W$49,MATCH(SXS_Transit_temp!K$28,SXS_Transit_input!$B$27:$W$27,0)+1,FALSE))+IF(ISNA(VLOOKUP($A41,SXS_Transit_input!$A$71:$L$81,MATCH(SXS_Transit_temp!K$28,SXS_Transit_input!$B$70:$L$70,0)+1,FALSE)),0,VLOOKUP($A41,SXS_Transit_input!$A$71:$L$81,MATCH(SXS_Transit_temp!K$28,SXS_Transit_input!$B$70:$L$70,0)+1,FALSE))</f>
        <v>0</v>
      </c>
      <c r="L41">
        <f>IF(ISNA(VLOOKUP($A41,SXS_Transit_input!$A$28:$W$49,MATCH(SXS_Transit_temp!L$28,SXS_Transit_input!$B$27:$W$27,0)+1,FALSE)),0,VLOOKUP($A41,SXS_Transit_input!$A$28:$W$49,MATCH(SXS_Transit_temp!L$28,SXS_Transit_input!$B$27:$W$27,0)+1,FALSE))+IF(ISNA(VLOOKUP($A41,SXS_Transit_input!$A$71:$L$81,MATCH(SXS_Transit_temp!L$28,SXS_Transit_input!$B$70:$L$70,0)+1,FALSE)),0,VLOOKUP($A41,SXS_Transit_input!$A$71:$L$81,MATCH(SXS_Transit_temp!L$28,SXS_Transit_input!$B$70:$L$70,0)+1,FALSE))</f>
        <v>117.88124000000001</v>
      </c>
      <c r="M41">
        <f>IF(ISNA(VLOOKUP($A41,SXS_Transit_input!$A$28:$W$49,MATCH(SXS_Transit_temp!M$28,SXS_Transit_input!$B$27:$W$27,0)+1,FALSE)),0,VLOOKUP($A41,SXS_Transit_input!$A$28:$W$49,MATCH(SXS_Transit_temp!M$28,SXS_Transit_input!$B$27:$W$27,0)+1,FALSE))+IF(ISNA(VLOOKUP($A41,SXS_Transit_input!$A$71:$L$81,MATCH(SXS_Transit_temp!M$28,SXS_Transit_input!$B$70:$L$70,0)+1,FALSE)),0,VLOOKUP($A41,SXS_Transit_input!$A$71:$L$81,MATCH(SXS_Transit_temp!M$28,SXS_Transit_input!$B$70:$L$70,0)+1,FALSE))</f>
        <v>183.27045000000001</v>
      </c>
      <c r="N41">
        <f>IF(ISNA(VLOOKUP($A41,SXS_Transit_input!$A$28:$W$49,MATCH(SXS_Transit_temp!N$28,SXS_Transit_input!$B$27:$W$27,0)+1,FALSE)),0,VLOOKUP($A41,SXS_Transit_input!$A$28:$W$49,MATCH(SXS_Transit_temp!N$28,SXS_Transit_input!$B$27:$W$27,0)+1,FALSE))+IF(ISNA(VLOOKUP($A41,SXS_Transit_input!$A$71:$L$81,MATCH(SXS_Transit_temp!N$28,SXS_Transit_input!$B$70:$L$70,0)+1,FALSE)),0,VLOOKUP($A41,SXS_Transit_input!$A$71:$L$81,MATCH(SXS_Transit_temp!N$28,SXS_Transit_input!$B$70:$L$70,0)+1,FALSE))</f>
        <v>271.40096999999997</v>
      </c>
      <c r="O41">
        <f>IF(ISNA(VLOOKUP($A41,SXS_Transit_input!$A$28:$W$49,MATCH(SXS_Transit_temp!O$28,SXS_Transit_input!$B$27:$W$27,0)+1,FALSE)),0,VLOOKUP($A41,SXS_Transit_input!$A$28:$W$49,MATCH(SXS_Transit_temp!O$28,SXS_Transit_input!$B$27:$W$27,0)+1,FALSE))+IF(ISNA(VLOOKUP($A41,SXS_Transit_input!$A$71:$L$81,MATCH(SXS_Transit_temp!O$28,SXS_Transit_input!$B$70:$L$70,0)+1,FALSE)),0,VLOOKUP($A41,SXS_Transit_input!$A$71:$L$81,MATCH(SXS_Transit_temp!O$28,SXS_Transit_input!$B$70:$L$70,0)+1,FALSE))</f>
        <v>143.37578999999999</v>
      </c>
      <c r="P41">
        <f>IF(ISNA(VLOOKUP($A41,SXS_Transit_input!$A$28:$W$49,MATCH(SXS_Transit_temp!P$28,SXS_Transit_input!$B$27:$W$27,0)+1,FALSE)),0,VLOOKUP($A41,SXS_Transit_input!$A$28:$W$49,MATCH(SXS_Transit_temp!P$28,SXS_Transit_input!$B$27:$W$27,0)+1,FALSE))+IF(ISNA(VLOOKUP($A41,SXS_Transit_input!$A$71:$L$81,MATCH(SXS_Transit_temp!P$28,SXS_Transit_input!$B$70:$L$70,0)+1,FALSE)),0,VLOOKUP($A41,SXS_Transit_input!$A$71:$L$81,MATCH(SXS_Transit_temp!P$28,SXS_Transit_input!$B$70:$L$70,0)+1,FALSE))</f>
        <v>0</v>
      </c>
      <c r="Q41">
        <f>IF(ISNA(VLOOKUP($A41,SXS_Transit_input!$A$28:$W$49,MATCH(SXS_Transit_temp!Q$28,SXS_Transit_input!$B$27:$W$27,0)+1,FALSE)),0,VLOOKUP($A41,SXS_Transit_input!$A$28:$W$49,MATCH(SXS_Transit_temp!Q$28,SXS_Transit_input!$B$27:$W$27,0)+1,FALSE))+IF(ISNA(VLOOKUP($A41,SXS_Transit_input!$A$71:$L$81,MATCH(SXS_Transit_temp!Q$28,SXS_Transit_input!$B$70:$L$70,0)+1,FALSE)),0,VLOOKUP($A41,SXS_Transit_input!$A$71:$L$81,MATCH(SXS_Transit_temp!Q$28,SXS_Transit_input!$B$70:$L$70,0)+1,FALSE))</f>
        <v>0</v>
      </c>
      <c r="R41">
        <f>IF(ISNA(VLOOKUP($A41,SXS_Transit_input!$A$28:$W$49,MATCH(SXS_Transit_temp!R$28,SXS_Transit_input!$B$27:$W$27,0)+1,FALSE)),0,VLOOKUP($A41,SXS_Transit_input!$A$28:$W$49,MATCH(SXS_Transit_temp!R$28,SXS_Transit_input!$B$27:$W$27,0)+1,FALSE))+IF(ISNA(VLOOKUP($A41,SXS_Transit_input!$A$71:$L$81,MATCH(SXS_Transit_temp!R$28,SXS_Transit_input!$B$70:$L$70,0)+1,FALSE)),0,VLOOKUP($A41,SXS_Transit_input!$A$71:$L$81,MATCH(SXS_Transit_temp!R$28,SXS_Transit_input!$B$70:$L$70,0)+1,FALSE))</f>
        <v>0</v>
      </c>
      <c r="S41">
        <f>IF(ISNA(VLOOKUP($A41,SXS_Transit_input!$A$28:$W$49,MATCH(SXS_Transit_temp!S$28,SXS_Transit_input!$B$27:$W$27,0)+1,FALSE)),0,VLOOKUP($A41,SXS_Transit_input!$A$28:$W$49,MATCH(SXS_Transit_temp!S$28,SXS_Transit_input!$B$27:$W$27,0)+1,FALSE))+IF(ISNA(VLOOKUP($A41,SXS_Transit_input!$A$71:$L$81,MATCH(SXS_Transit_temp!S$28,SXS_Transit_input!$B$70:$L$70,0)+1,FALSE)),0,VLOOKUP($A41,SXS_Transit_input!$A$71:$L$81,MATCH(SXS_Transit_temp!S$28,SXS_Transit_input!$B$70:$L$70,0)+1,FALSE))</f>
        <v>0</v>
      </c>
      <c r="T41">
        <f>IF(ISNA(VLOOKUP($A41,SXS_Transit_input!$A$28:$W$49,MATCH(SXS_Transit_temp!T$28,SXS_Transit_input!$B$27:$W$27,0)+1,FALSE)),0,VLOOKUP($A41,SXS_Transit_input!$A$28:$W$49,MATCH(SXS_Transit_temp!T$28,SXS_Transit_input!$B$27:$W$27,0)+1,FALSE))+IF(ISNA(VLOOKUP($A41,SXS_Transit_input!$A$71:$L$81,MATCH(SXS_Transit_temp!T$28,SXS_Transit_input!$B$70:$L$70,0)+1,FALSE)),0,VLOOKUP($A41,SXS_Transit_input!$A$71:$L$81,MATCH(SXS_Transit_temp!T$28,SXS_Transit_input!$B$70:$L$70,0)+1,FALSE))</f>
        <v>0</v>
      </c>
      <c r="U41">
        <f>IF(ISNA(VLOOKUP($A41,SXS_Transit_input!$A$28:$W$49,MATCH(SXS_Transit_temp!U$28,SXS_Transit_input!$B$27:$W$27,0)+1,FALSE)),0,VLOOKUP($A41,SXS_Transit_input!$A$28:$W$49,MATCH(SXS_Transit_temp!U$28,SXS_Transit_input!$B$27:$W$27,0)+1,FALSE))+IF(ISNA(VLOOKUP($A41,SXS_Transit_input!$A$71:$L$81,MATCH(SXS_Transit_temp!U$28,SXS_Transit_input!$B$70:$L$70,0)+1,FALSE)),0,VLOOKUP($A41,SXS_Transit_input!$A$71:$L$81,MATCH(SXS_Transit_temp!U$28,SXS_Transit_input!$B$70:$L$70,0)+1,FALSE))</f>
        <v>0</v>
      </c>
      <c r="V41">
        <f>IF(ISNA(VLOOKUP($A41,SXS_Transit_input!$A$28:$W$49,MATCH(SXS_Transit_temp!V$28,SXS_Transit_input!$B$27:$W$27,0)+1,FALSE)),0,VLOOKUP($A41,SXS_Transit_input!$A$28:$W$49,MATCH(SXS_Transit_temp!V$28,SXS_Transit_input!$B$27:$W$27,0)+1,FALSE))+IF(ISNA(VLOOKUP($A41,SXS_Transit_input!$A$71:$L$81,MATCH(SXS_Transit_temp!V$28,SXS_Transit_input!$B$70:$L$70,0)+1,FALSE)),0,VLOOKUP($A41,SXS_Transit_input!$A$71:$L$81,MATCH(SXS_Transit_temp!V$28,SXS_Transit_input!$B$70:$L$70,0)+1,FALSE))</f>
        <v>87.097200000000001</v>
      </c>
      <c r="W41">
        <f>IF(ISNA(VLOOKUP($A41,SXS_Transit_input!$A$28:$W$49,MATCH(SXS_Transit_temp!W$28,SXS_Transit_input!$B$27:$W$27,0)+1,FALSE)),0,VLOOKUP($A41,SXS_Transit_input!$A$28:$W$49,MATCH(SXS_Transit_temp!W$28,SXS_Transit_input!$B$27:$W$27,0)+1,FALSE))+IF(ISNA(VLOOKUP($A41,SXS_Transit_input!$A$71:$L$81,MATCH(SXS_Transit_temp!W$28,SXS_Transit_input!$B$70:$L$70,0)+1,FALSE)),0,VLOOKUP($A41,SXS_Transit_input!$A$71:$L$81,MATCH(SXS_Transit_temp!W$28,SXS_Transit_input!$B$70:$L$70,0)+1,FALSE))</f>
        <v>0</v>
      </c>
      <c r="X41">
        <f>IF(ISNA(VLOOKUP($A41,SXS_Transit_input!$A$28:$W$49,MATCH(SXS_Transit_temp!X$28,SXS_Transit_input!$B$27:$W$27,0)+1,FALSE)),0,VLOOKUP($A41,SXS_Transit_input!$A$28:$W$49,MATCH(SXS_Transit_temp!X$28,SXS_Transit_input!$B$27:$W$27,0)+1,FALSE))+IF(ISNA(VLOOKUP($A41,SXS_Transit_input!$A$71:$L$81,MATCH(SXS_Transit_temp!X$28,SXS_Transit_input!$B$70:$L$70,0)+1,FALSE)),0,VLOOKUP($A41,SXS_Transit_input!$A$71:$L$81,MATCH(SXS_Transit_temp!X$28,SXS_Transit_input!$B$70:$L$70,0)+1,FALSE))</f>
        <v>0</v>
      </c>
      <c r="Y41">
        <f>IF(ISNA(VLOOKUP($A41,SXS_Transit_input!$A$28:$W$49,MATCH(SXS_Transit_temp!Y$28,SXS_Transit_input!$B$27:$W$27,0)+1,FALSE)),0,VLOOKUP($A41,SXS_Transit_input!$A$28:$W$49,MATCH(SXS_Transit_temp!Y$28,SXS_Transit_input!$B$27:$W$27,0)+1,FALSE))+IF(ISNA(VLOOKUP($A41,SXS_Transit_input!$A$71:$L$81,MATCH(SXS_Transit_temp!Y$28,SXS_Transit_input!$B$70:$L$70,0)+1,FALSE)),0,VLOOKUP($A41,SXS_Transit_input!$A$71:$L$81,MATCH(SXS_Transit_temp!Y$28,SXS_Transit_input!$B$70:$L$70,0)+1,FALSE))</f>
        <v>285.85570999999999</v>
      </c>
      <c r="Z41">
        <f>IF(ISNA(VLOOKUP($A41,SXS_Transit_input!$A$28:$W$49,MATCH(SXS_Transit_temp!Z$28,SXS_Transit_input!$B$27:$W$27,0)+1,FALSE)),0,VLOOKUP($A41,SXS_Transit_input!$A$28:$W$49,MATCH(SXS_Transit_temp!Z$28,SXS_Transit_input!$B$27:$W$27,0)+1,FALSE))+IF(ISNA(VLOOKUP($A41,SXS_Transit_input!$A$71:$L$81,MATCH(SXS_Transit_temp!Z$28,SXS_Transit_input!$B$70:$L$70,0)+1,FALSE)),0,VLOOKUP($A41,SXS_Transit_input!$A$71:$L$81,MATCH(SXS_Transit_temp!Z$28,SXS_Transit_input!$B$70:$L$70,0)+1,FALSE))</f>
        <v>0</v>
      </c>
      <c r="AA41">
        <v>13</v>
      </c>
      <c r="AB41" s="33">
        <f t="shared" si="27"/>
        <v>820</v>
      </c>
      <c r="AC41" s="34">
        <f t="shared" si="37"/>
        <v>2</v>
      </c>
      <c r="AD41" s="34">
        <f t="shared" si="38"/>
        <v>2</v>
      </c>
      <c r="AE41" s="34">
        <f t="shared" si="39"/>
        <v>0</v>
      </c>
      <c r="AF41" s="34">
        <f t="shared" si="40"/>
        <v>2</v>
      </c>
      <c r="AG41" s="34">
        <f t="shared" si="41"/>
        <v>8</v>
      </c>
      <c r="AH41" s="34">
        <f t="shared" si="42"/>
        <v>2</v>
      </c>
      <c r="AI41" s="34">
        <f t="shared" si="43"/>
        <v>0</v>
      </c>
      <c r="AJ41" s="34">
        <f t="shared" si="44"/>
        <v>0</v>
      </c>
      <c r="AK41" s="34">
        <f t="shared" si="45"/>
        <v>2</v>
      </c>
      <c r="AL41" s="34">
        <f t="shared" si="46"/>
        <v>2</v>
      </c>
      <c r="AM41" s="34">
        <f t="shared" si="47"/>
        <v>28</v>
      </c>
      <c r="AN41" s="34">
        <f t="shared" si="48"/>
        <v>184</v>
      </c>
      <c r="AO41" s="34">
        <f t="shared" si="49"/>
        <v>4</v>
      </c>
      <c r="AP41" s="34">
        <f t="shared" si="50"/>
        <v>0</v>
      </c>
      <c r="AQ41" s="34">
        <f t="shared" si="51"/>
        <v>0</v>
      </c>
      <c r="AR41" s="34">
        <f t="shared" si="28"/>
        <v>0</v>
      </c>
      <c r="AS41" s="34">
        <f t="shared" si="29"/>
        <v>0</v>
      </c>
      <c r="AT41" s="34">
        <f t="shared" si="30"/>
        <v>0</v>
      </c>
      <c r="AU41" s="34">
        <f t="shared" si="31"/>
        <v>0</v>
      </c>
      <c r="AV41" s="34">
        <f t="shared" si="32"/>
        <v>0</v>
      </c>
      <c r="AW41" s="34">
        <f t="shared" si="33"/>
        <v>0</v>
      </c>
      <c r="AX41" s="34">
        <f t="shared" si="34"/>
        <v>0</v>
      </c>
      <c r="AY41" s="34">
        <f t="shared" si="35"/>
        <v>8</v>
      </c>
      <c r="AZ41" s="35">
        <f t="shared" si="36"/>
        <v>0</v>
      </c>
      <c r="BC41" s="157">
        <v>12</v>
      </c>
      <c r="BD41">
        <v>600</v>
      </c>
      <c r="BE41">
        <v>0</v>
      </c>
      <c r="BF41">
        <v>0</v>
      </c>
      <c r="BG41">
        <v>0</v>
      </c>
      <c r="BH41">
        <v>6</v>
      </c>
      <c r="BI41">
        <v>0</v>
      </c>
      <c r="BJ41">
        <v>2</v>
      </c>
      <c r="BK41">
        <v>0</v>
      </c>
      <c r="BL41">
        <v>0</v>
      </c>
      <c r="BM41">
        <v>0</v>
      </c>
      <c r="BN41">
        <v>6</v>
      </c>
      <c r="BO41">
        <v>88</v>
      </c>
      <c r="BP41">
        <v>18</v>
      </c>
      <c r="BQ41">
        <v>0</v>
      </c>
      <c r="BR41">
        <v>0</v>
      </c>
      <c r="BS41">
        <v>0</v>
      </c>
      <c r="BT41">
        <v>0</v>
      </c>
      <c r="BU41">
        <v>0</v>
      </c>
      <c r="BV41">
        <v>0</v>
      </c>
      <c r="BW41">
        <v>0</v>
      </c>
      <c r="BX41">
        <v>0</v>
      </c>
      <c r="BY41">
        <v>0</v>
      </c>
      <c r="BZ41">
        <v>0</v>
      </c>
      <c r="CA41">
        <v>2</v>
      </c>
      <c r="CB41">
        <v>0</v>
      </c>
    </row>
    <row r="42" spans="1:80" x14ac:dyDescent="0.25">
      <c r="A42">
        <v>14</v>
      </c>
      <c r="B42">
        <f>IF(ISNA(VLOOKUP($A42,SXS_Transit_input!$A$28:$W$49,MATCH(SXS_Transit_temp!B$28,SXS_Transit_input!$B$27:$W$27,0)+1,FALSE)),0,VLOOKUP($A42,SXS_Transit_input!$A$28:$W$49,MATCH(SXS_Transit_temp!B$28,SXS_Transit_input!$B$27:$W$27,0)+1,FALSE))+IF(ISNA(VLOOKUP($A42,SXS_Transit_input!$A$71:$L$81,MATCH(SXS_Transit_temp!B$28,SXS_Transit_input!$B$70:$L$70,0)+1,FALSE)),0,VLOOKUP($A42,SXS_Transit_input!$A$71:$L$81,MATCH(SXS_Transit_temp!B$28,SXS_Transit_input!$B$70:$L$70,0)+1,FALSE))</f>
        <v>4399.7796500000004</v>
      </c>
      <c r="C42">
        <f>IF(ISNA(VLOOKUP($A42,SXS_Transit_input!$A$28:$W$49,MATCH(SXS_Transit_temp!C$28,SXS_Transit_input!$B$27:$W$27,0)+1,FALSE)),0,VLOOKUP($A42,SXS_Transit_input!$A$28:$W$49,MATCH(SXS_Transit_temp!C$28,SXS_Transit_input!$B$27:$W$27,0)+1,FALSE))+IF(ISNA(VLOOKUP($A42,SXS_Transit_input!$A$71:$L$81,MATCH(SXS_Transit_temp!C$28,SXS_Transit_input!$B$70:$L$70,0)+1,FALSE)),0,VLOOKUP($A42,SXS_Transit_input!$A$71:$L$81,MATCH(SXS_Transit_temp!C$28,SXS_Transit_input!$B$70:$L$70,0)+1,FALSE))</f>
        <v>0</v>
      </c>
      <c r="D42">
        <f>IF(ISNA(VLOOKUP($A42,SXS_Transit_input!$A$28:$W$49,MATCH(SXS_Transit_temp!D$28,SXS_Transit_input!$B$27:$W$27,0)+1,FALSE)),0,VLOOKUP($A42,SXS_Transit_input!$A$28:$W$49,MATCH(SXS_Transit_temp!D$28,SXS_Transit_input!$B$27:$W$27,0)+1,FALSE))+IF(ISNA(VLOOKUP($A42,SXS_Transit_input!$A$71:$L$81,MATCH(SXS_Transit_temp!D$28,SXS_Transit_input!$B$70:$L$70,0)+1,FALSE)),0,VLOOKUP($A42,SXS_Transit_input!$A$71:$L$81,MATCH(SXS_Transit_temp!D$28,SXS_Transit_input!$B$70:$L$70,0)+1,FALSE))</f>
        <v>0</v>
      </c>
      <c r="E42">
        <f>IF(ISNA(VLOOKUP($A42,SXS_Transit_input!$A$28:$W$49,MATCH(SXS_Transit_temp!E$28,SXS_Transit_input!$B$27:$W$27,0)+1,FALSE)),0,VLOOKUP($A42,SXS_Transit_input!$A$28:$W$49,MATCH(SXS_Transit_temp!E$28,SXS_Transit_input!$B$27:$W$27,0)+1,FALSE))+IF(ISNA(VLOOKUP($A42,SXS_Transit_input!$A$71:$L$81,MATCH(SXS_Transit_temp!E$28,SXS_Transit_input!$B$70:$L$70,0)+1,FALSE)),0,VLOOKUP($A42,SXS_Transit_input!$A$71:$L$81,MATCH(SXS_Transit_temp!E$28,SXS_Transit_input!$B$70:$L$70,0)+1,FALSE))</f>
        <v>83.996650000000002</v>
      </c>
      <c r="F42">
        <f>IF(ISNA(VLOOKUP($A42,SXS_Transit_input!$A$28:$W$49,MATCH(SXS_Transit_temp!F$28,SXS_Transit_input!$B$27:$W$27,0)+1,FALSE)),0,VLOOKUP($A42,SXS_Transit_input!$A$28:$W$49,MATCH(SXS_Transit_temp!F$28,SXS_Transit_input!$B$27:$W$27,0)+1,FALSE))+IF(ISNA(VLOOKUP($A42,SXS_Transit_input!$A$71:$L$81,MATCH(SXS_Transit_temp!F$28,SXS_Transit_input!$B$70:$L$70,0)+1,FALSE)),0,VLOOKUP($A42,SXS_Transit_input!$A$71:$L$81,MATCH(SXS_Transit_temp!F$28,SXS_Transit_input!$B$70:$L$70,0)+1,FALSE))</f>
        <v>0</v>
      </c>
      <c r="G42">
        <f>IF(ISNA(VLOOKUP($A42,SXS_Transit_input!$A$28:$W$49,MATCH(SXS_Transit_temp!G$28,SXS_Transit_input!$B$27:$W$27,0)+1,FALSE)),0,VLOOKUP($A42,SXS_Transit_input!$A$28:$W$49,MATCH(SXS_Transit_temp!G$28,SXS_Transit_input!$B$27:$W$27,0)+1,FALSE))+IF(ISNA(VLOOKUP($A42,SXS_Transit_input!$A$71:$L$81,MATCH(SXS_Transit_temp!G$28,SXS_Transit_input!$B$70:$L$70,0)+1,FALSE)),0,VLOOKUP($A42,SXS_Transit_input!$A$71:$L$81,MATCH(SXS_Transit_temp!G$28,SXS_Transit_input!$B$70:$L$70,0)+1,FALSE))</f>
        <v>344.59926000000002</v>
      </c>
      <c r="H42">
        <f>IF(ISNA(VLOOKUP($A42,SXS_Transit_input!$A$28:$W$49,MATCH(SXS_Transit_temp!H$28,SXS_Transit_input!$B$27:$W$27,0)+1,FALSE)),0,VLOOKUP($A42,SXS_Transit_input!$A$28:$W$49,MATCH(SXS_Transit_temp!H$28,SXS_Transit_input!$B$27:$W$27,0)+1,FALSE))+IF(ISNA(VLOOKUP($A42,SXS_Transit_input!$A$71:$L$81,MATCH(SXS_Transit_temp!H$28,SXS_Transit_input!$B$70:$L$70,0)+1,FALSE)),0,VLOOKUP($A42,SXS_Transit_input!$A$71:$L$81,MATCH(SXS_Transit_temp!H$28,SXS_Transit_input!$B$70:$L$70,0)+1,FALSE))</f>
        <v>0</v>
      </c>
      <c r="I42">
        <f>IF(ISNA(VLOOKUP($A42,SXS_Transit_input!$A$28:$W$49,MATCH(SXS_Transit_temp!I$28,SXS_Transit_input!$B$27:$W$27,0)+1,FALSE)),0,VLOOKUP($A42,SXS_Transit_input!$A$28:$W$49,MATCH(SXS_Transit_temp!I$28,SXS_Transit_input!$B$27:$W$27,0)+1,FALSE))+IF(ISNA(VLOOKUP($A42,SXS_Transit_input!$A$71:$L$81,MATCH(SXS_Transit_temp!I$28,SXS_Transit_input!$B$70:$L$70,0)+1,FALSE)),0,VLOOKUP($A42,SXS_Transit_input!$A$71:$L$81,MATCH(SXS_Transit_temp!I$28,SXS_Transit_input!$B$70:$L$70,0)+1,FALSE))</f>
        <v>17.819379999999999</v>
      </c>
      <c r="J42">
        <f>IF(ISNA(VLOOKUP($A42,SXS_Transit_input!$A$28:$W$49,MATCH(SXS_Transit_temp!J$28,SXS_Transit_input!$B$27:$W$27,0)+1,FALSE)),0,VLOOKUP($A42,SXS_Transit_input!$A$28:$W$49,MATCH(SXS_Transit_temp!J$28,SXS_Transit_input!$B$27:$W$27,0)+1,FALSE))+IF(ISNA(VLOOKUP($A42,SXS_Transit_input!$A$71:$L$81,MATCH(SXS_Transit_temp!J$28,SXS_Transit_input!$B$70:$L$70,0)+1,FALSE)),0,VLOOKUP($A42,SXS_Transit_input!$A$71:$L$81,MATCH(SXS_Transit_temp!J$28,SXS_Transit_input!$B$70:$L$70,0)+1,FALSE))</f>
        <v>0</v>
      </c>
      <c r="K42">
        <f>IF(ISNA(VLOOKUP($A42,SXS_Transit_input!$A$28:$W$49,MATCH(SXS_Transit_temp!K$28,SXS_Transit_input!$B$27:$W$27,0)+1,FALSE)),0,VLOOKUP($A42,SXS_Transit_input!$A$28:$W$49,MATCH(SXS_Transit_temp!K$28,SXS_Transit_input!$B$27:$W$27,0)+1,FALSE))+IF(ISNA(VLOOKUP($A42,SXS_Transit_input!$A$71:$L$81,MATCH(SXS_Transit_temp!K$28,SXS_Transit_input!$B$70:$L$70,0)+1,FALSE)),0,VLOOKUP($A42,SXS_Transit_input!$A$71:$L$81,MATCH(SXS_Transit_temp!K$28,SXS_Transit_input!$B$70:$L$70,0)+1,FALSE))</f>
        <v>0</v>
      </c>
      <c r="L42">
        <f>IF(ISNA(VLOOKUP($A42,SXS_Transit_input!$A$28:$W$49,MATCH(SXS_Transit_temp!L$28,SXS_Transit_input!$B$27:$W$27,0)+1,FALSE)),0,VLOOKUP($A42,SXS_Transit_input!$A$28:$W$49,MATCH(SXS_Transit_temp!L$28,SXS_Transit_input!$B$27:$W$27,0)+1,FALSE))+IF(ISNA(VLOOKUP($A42,SXS_Transit_input!$A$71:$L$81,MATCH(SXS_Transit_temp!L$28,SXS_Transit_input!$B$70:$L$70,0)+1,FALSE)),0,VLOOKUP($A42,SXS_Transit_input!$A$71:$L$81,MATCH(SXS_Transit_temp!L$28,SXS_Transit_input!$B$70:$L$70,0)+1,FALSE))</f>
        <v>0</v>
      </c>
      <c r="M42">
        <f>IF(ISNA(VLOOKUP($A42,SXS_Transit_input!$A$28:$W$49,MATCH(SXS_Transit_temp!M$28,SXS_Transit_input!$B$27:$W$27,0)+1,FALSE)),0,VLOOKUP($A42,SXS_Transit_input!$A$28:$W$49,MATCH(SXS_Transit_temp!M$28,SXS_Transit_input!$B$27:$W$27,0)+1,FALSE))+IF(ISNA(VLOOKUP($A42,SXS_Transit_input!$A$71:$L$81,MATCH(SXS_Transit_temp!M$28,SXS_Transit_input!$B$70:$L$70,0)+1,FALSE)),0,VLOOKUP($A42,SXS_Transit_input!$A$71:$L$81,MATCH(SXS_Transit_temp!M$28,SXS_Transit_input!$B$70:$L$70,0)+1,FALSE))</f>
        <v>0</v>
      </c>
      <c r="N42">
        <f>IF(ISNA(VLOOKUP($A42,SXS_Transit_input!$A$28:$W$49,MATCH(SXS_Transit_temp!N$28,SXS_Transit_input!$B$27:$W$27,0)+1,FALSE)),0,VLOOKUP($A42,SXS_Transit_input!$A$28:$W$49,MATCH(SXS_Transit_temp!N$28,SXS_Transit_input!$B$27:$W$27,0)+1,FALSE))+IF(ISNA(VLOOKUP($A42,SXS_Transit_input!$A$71:$L$81,MATCH(SXS_Transit_temp!N$28,SXS_Transit_input!$B$70:$L$70,0)+1,FALSE)),0,VLOOKUP($A42,SXS_Transit_input!$A$71:$L$81,MATCH(SXS_Transit_temp!N$28,SXS_Transit_input!$B$70:$L$70,0)+1,FALSE))</f>
        <v>44.190469999999998</v>
      </c>
      <c r="O42">
        <f>IF(ISNA(VLOOKUP($A42,SXS_Transit_input!$A$28:$W$49,MATCH(SXS_Transit_temp!O$28,SXS_Transit_input!$B$27:$W$27,0)+1,FALSE)),0,VLOOKUP($A42,SXS_Transit_input!$A$28:$W$49,MATCH(SXS_Transit_temp!O$28,SXS_Transit_input!$B$27:$W$27,0)+1,FALSE))+IF(ISNA(VLOOKUP($A42,SXS_Transit_input!$A$71:$L$81,MATCH(SXS_Transit_temp!O$28,SXS_Transit_input!$B$70:$L$70,0)+1,FALSE)),0,VLOOKUP($A42,SXS_Transit_input!$A$71:$L$81,MATCH(SXS_Transit_temp!O$28,SXS_Transit_input!$B$70:$L$70,0)+1,FALSE))</f>
        <v>0</v>
      </c>
      <c r="P42">
        <f>IF(ISNA(VLOOKUP($A42,SXS_Transit_input!$A$28:$W$49,MATCH(SXS_Transit_temp!P$28,SXS_Transit_input!$B$27:$W$27,0)+1,FALSE)),0,VLOOKUP($A42,SXS_Transit_input!$A$28:$W$49,MATCH(SXS_Transit_temp!P$28,SXS_Transit_input!$B$27:$W$27,0)+1,FALSE))+IF(ISNA(VLOOKUP($A42,SXS_Transit_input!$A$71:$L$81,MATCH(SXS_Transit_temp!P$28,SXS_Transit_input!$B$70:$L$70,0)+1,FALSE)),0,VLOOKUP($A42,SXS_Transit_input!$A$71:$L$81,MATCH(SXS_Transit_temp!P$28,SXS_Transit_input!$B$70:$L$70,0)+1,FALSE))</f>
        <v>0</v>
      </c>
      <c r="Q42">
        <f>IF(ISNA(VLOOKUP($A42,SXS_Transit_input!$A$28:$W$49,MATCH(SXS_Transit_temp!Q$28,SXS_Transit_input!$B$27:$W$27,0)+1,FALSE)),0,VLOOKUP($A42,SXS_Transit_input!$A$28:$W$49,MATCH(SXS_Transit_temp!Q$28,SXS_Transit_input!$B$27:$W$27,0)+1,FALSE))+IF(ISNA(VLOOKUP($A42,SXS_Transit_input!$A$71:$L$81,MATCH(SXS_Transit_temp!Q$28,SXS_Transit_input!$B$70:$L$70,0)+1,FALSE)),0,VLOOKUP($A42,SXS_Transit_input!$A$71:$L$81,MATCH(SXS_Transit_temp!Q$28,SXS_Transit_input!$B$70:$L$70,0)+1,FALSE))</f>
        <v>0</v>
      </c>
      <c r="R42">
        <f>IF(ISNA(VLOOKUP($A42,SXS_Transit_input!$A$28:$W$49,MATCH(SXS_Transit_temp!R$28,SXS_Transit_input!$B$27:$W$27,0)+1,FALSE)),0,VLOOKUP($A42,SXS_Transit_input!$A$28:$W$49,MATCH(SXS_Transit_temp!R$28,SXS_Transit_input!$B$27:$W$27,0)+1,FALSE))+IF(ISNA(VLOOKUP($A42,SXS_Transit_input!$A$71:$L$81,MATCH(SXS_Transit_temp!R$28,SXS_Transit_input!$B$70:$L$70,0)+1,FALSE)),0,VLOOKUP($A42,SXS_Transit_input!$A$71:$L$81,MATCH(SXS_Transit_temp!R$28,SXS_Transit_input!$B$70:$L$70,0)+1,FALSE))</f>
        <v>0</v>
      </c>
      <c r="S42">
        <f>IF(ISNA(VLOOKUP($A42,SXS_Transit_input!$A$28:$W$49,MATCH(SXS_Transit_temp!S$28,SXS_Transit_input!$B$27:$W$27,0)+1,FALSE)),0,VLOOKUP($A42,SXS_Transit_input!$A$28:$W$49,MATCH(SXS_Transit_temp!S$28,SXS_Transit_input!$B$27:$W$27,0)+1,FALSE))+IF(ISNA(VLOOKUP($A42,SXS_Transit_input!$A$71:$L$81,MATCH(SXS_Transit_temp!S$28,SXS_Transit_input!$B$70:$L$70,0)+1,FALSE)),0,VLOOKUP($A42,SXS_Transit_input!$A$71:$L$81,MATCH(SXS_Transit_temp!S$28,SXS_Transit_input!$B$70:$L$70,0)+1,FALSE))</f>
        <v>28.397030000000001</v>
      </c>
      <c r="T42">
        <f>IF(ISNA(VLOOKUP($A42,SXS_Transit_input!$A$28:$W$49,MATCH(SXS_Transit_temp!T$28,SXS_Transit_input!$B$27:$W$27,0)+1,FALSE)),0,VLOOKUP($A42,SXS_Transit_input!$A$28:$W$49,MATCH(SXS_Transit_temp!T$28,SXS_Transit_input!$B$27:$W$27,0)+1,FALSE))+IF(ISNA(VLOOKUP($A42,SXS_Transit_input!$A$71:$L$81,MATCH(SXS_Transit_temp!T$28,SXS_Transit_input!$B$70:$L$70,0)+1,FALSE)),0,VLOOKUP($A42,SXS_Transit_input!$A$71:$L$81,MATCH(SXS_Transit_temp!T$28,SXS_Transit_input!$B$70:$L$70,0)+1,FALSE))</f>
        <v>0</v>
      </c>
      <c r="U42">
        <f>IF(ISNA(VLOOKUP($A42,SXS_Transit_input!$A$28:$W$49,MATCH(SXS_Transit_temp!U$28,SXS_Transit_input!$B$27:$W$27,0)+1,FALSE)),0,VLOOKUP($A42,SXS_Transit_input!$A$28:$W$49,MATCH(SXS_Transit_temp!U$28,SXS_Transit_input!$B$27:$W$27,0)+1,FALSE))+IF(ISNA(VLOOKUP($A42,SXS_Transit_input!$A$71:$L$81,MATCH(SXS_Transit_temp!U$28,SXS_Transit_input!$B$70:$L$70,0)+1,FALSE)),0,VLOOKUP($A42,SXS_Transit_input!$A$71:$L$81,MATCH(SXS_Transit_temp!U$28,SXS_Transit_input!$B$70:$L$70,0)+1,FALSE))</f>
        <v>0</v>
      </c>
      <c r="V42">
        <f>IF(ISNA(VLOOKUP($A42,SXS_Transit_input!$A$28:$W$49,MATCH(SXS_Transit_temp!V$28,SXS_Transit_input!$B$27:$W$27,0)+1,FALSE)),0,VLOOKUP($A42,SXS_Transit_input!$A$28:$W$49,MATCH(SXS_Transit_temp!V$28,SXS_Transit_input!$B$27:$W$27,0)+1,FALSE))+IF(ISNA(VLOOKUP($A42,SXS_Transit_input!$A$71:$L$81,MATCH(SXS_Transit_temp!V$28,SXS_Transit_input!$B$70:$L$70,0)+1,FALSE)),0,VLOOKUP($A42,SXS_Transit_input!$A$71:$L$81,MATCH(SXS_Transit_temp!V$28,SXS_Transit_input!$B$70:$L$70,0)+1,FALSE))</f>
        <v>0</v>
      </c>
      <c r="W42">
        <f>IF(ISNA(VLOOKUP($A42,SXS_Transit_input!$A$28:$W$49,MATCH(SXS_Transit_temp!W$28,SXS_Transit_input!$B$27:$W$27,0)+1,FALSE)),0,VLOOKUP($A42,SXS_Transit_input!$A$28:$W$49,MATCH(SXS_Transit_temp!W$28,SXS_Transit_input!$B$27:$W$27,0)+1,FALSE))+IF(ISNA(VLOOKUP($A42,SXS_Transit_input!$A$71:$L$81,MATCH(SXS_Transit_temp!W$28,SXS_Transit_input!$B$70:$L$70,0)+1,FALSE)),0,VLOOKUP($A42,SXS_Transit_input!$A$71:$L$81,MATCH(SXS_Transit_temp!W$28,SXS_Transit_input!$B$70:$L$70,0)+1,FALSE))</f>
        <v>0</v>
      </c>
      <c r="X42">
        <f>IF(ISNA(VLOOKUP($A42,SXS_Transit_input!$A$28:$W$49,MATCH(SXS_Transit_temp!X$28,SXS_Transit_input!$B$27:$W$27,0)+1,FALSE)),0,VLOOKUP($A42,SXS_Transit_input!$A$28:$W$49,MATCH(SXS_Transit_temp!X$28,SXS_Transit_input!$B$27:$W$27,0)+1,FALSE))+IF(ISNA(VLOOKUP($A42,SXS_Transit_input!$A$71:$L$81,MATCH(SXS_Transit_temp!X$28,SXS_Transit_input!$B$70:$L$70,0)+1,FALSE)),0,VLOOKUP($A42,SXS_Transit_input!$A$71:$L$81,MATCH(SXS_Transit_temp!X$28,SXS_Transit_input!$B$70:$L$70,0)+1,FALSE))</f>
        <v>0</v>
      </c>
      <c r="Y42">
        <f>IF(ISNA(VLOOKUP($A42,SXS_Transit_input!$A$28:$W$49,MATCH(SXS_Transit_temp!Y$28,SXS_Transit_input!$B$27:$W$27,0)+1,FALSE)),0,VLOOKUP($A42,SXS_Transit_input!$A$28:$W$49,MATCH(SXS_Transit_temp!Y$28,SXS_Transit_input!$B$27:$W$27,0)+1,FALSE))+IF(ISNA(VLOOKUP($A42,SXS_Transit_input!$A$71:$L$81,MATCH(SXS_Transit_temp!Y$28,SXS_Transit_input!$B$70:$L$70,0)+1,FALSE)),0,VLOOKUP($A42,SXS_Transit_input!$A$71:$L$81,MATCH(SXS_Transit_temp!Y$28,SXS_Transit_input!$B$70:$L$70,0)+1,FALSE))</f>
        <v>0</v>
      </c>
      <c r="Z42">
        <f>IF(ISNA(VLOOKUP($A42,SXS_Transit_input!$A$28:$W$49,MATCH(SXS_Transit_temp!Z$28,SXS_Transit_input!$B$27:$W$27,0)+1,FALSE)),0,VLOOKUP($A42,SXS_Transit_input!$A$28:$W$49,MATCH(SXS_Transit_temp!Z$28,SXS_Transit_input!$B$27:$W$27,0)+1,FALSE))+IF(ISNA(VLOOKUP($A42,SXS_Transit_input!$A$71:$L$81,MATCH(SXS_Transit_temp!Z$28,SXS_Transit_input!$B$70:$L$70,0)+1,FALSE)),0,VLOOKUP($A42,SXS_Transit_input!$A$71:$L$81,MATCH(SXS_Transit_temp!Z$28,SXS_Transit_input!$B$70:$L$70,0)+1,FALSE))</f>
        <v>35.673409999999997</v>
      </c>
      <c r="AA42">
        <v>14</v>
      </c>
      <c r="AB42" s="33">
        <f t="shared" si="27"/>
        <v>626</v>
      </c>
      <c r="AC42" s="34">
        <f t="shared" si="37"/>
        <v>0</v>
      </c>
      <c r="AD42" s="34">
        <f t="shared" si="38"/>
        <v>2</v>
      </c>
      <c r="AE42" s="34">
        <f t="shared" si="39"/>
        <v>0</v>
      </c>
      <c r="AF42" s="34">
        <f t="shared" si="40"/>
        <v>0</v>
      </c>
      <c r="AG42" s="34">
        <f t="shared" si="41"/>
        <v>2</v>
      </c>
      <c r="AH42" s="34">
        <f t="shared" si="42"/>
        <v>38</v>
      </c>
      <c r="AI42" s="34">
        <f t="shared" si="43"/>
        <v>6</v>
      </c>
      <c r="AJ42" s="34">
        <f t="shared" si="44"/>
        <v>0</v>
      </c>
      <c r="AK42" s="34">
        <f t="shared" si="45"/>
        <v>0</v>
      </c>
      <c r="AL42" s="34">
        <f t="shared" si="46"/>
        <v>0</v>
      </c>
      <c r="AM42" s="34">
        <f t="shared" si="47"/>
        <v>0</v>
      </c>
      <c r="AN42" s="34">
        <f t="shared" si="48"/>
        <v>4</v>
      </c>
      <c r="AO42" s="34">
        <f t="shared" si="49"/>
        <v>66</v>
      </c>
      <c r="AP42" s="34">
        <f t="shared" si="50"/>
        <v>4</v>
      </c>
      <c r="AQ42" s="34">
        <f t="shared" si="51"/>
        <v>0</v>
      </c>
      <c r="AR42" s="34">
        <f t="shared" si="28"/>
        <v>0</v>
      </c>
      <c r="AS42" s="34">
        <f t="shared" si="29"/>
        <v>0</v>
      </c>
      <c r="AT42" s="34">
        <f t="shared" si="30"/>
        <v>0</v>
      </c>
      <c r="AU42" s="34">
        <f t="shared" si="31"/>
        <v>0</v>
      </c>
      <c r="AV42" s="34">
        <f t="shared" si="32"/>
        <v>0</v>
      </c>
      <c r="AW42" s="34">
        <f t="shared" si="33"/>
        <v>0</v>
      </c>
      <c r="AX42" s="34">
        <f t="shared" si="34"/>
        <v>0</v>
      </c>
      <c r="AY42" s="34">
        <f t="shared" si="35"/>
        <v>0</v>
      </c>
      <c r="AZ42" s="35">
        <f t="shared" si="36"/>
        <v>2</v>
      </c>
      <c r="BC42" s="157">
        <v>13</v>
      </c>
      <c r="BD42">
        <v>818</v>
      </c>
      <c r="BE42">
        <v>2</v>
      </c>
      <c r="BF42">
        <v>2</v>
      </c>
      <c r="BG42">
        <v>0</v>
      </c>
      <c r="BH42">
        <v>2</v>
      </c>
      <c r="BI42">
        <v>8</v>
      </c>
      <c r="BJ42">
        <v>0</v>
      </c>
      <c r="BK42">
        <v>0</v>
      </c>
      <c r="BL42">
        <v>0</v>
      </c>
      <c r="BM42">
        <v>2</v>
      </c>
      <c r="BN42">
        <v>0</v>
      </c>
      <c r="BO42">
        <v>28</v>
      </c>
      <c r="BP42">
        <v>182</v>
      </c>
      <c r="BQ42">
        <v>4</v>
      </c>
      <c r="BR42">
        <v>0</v>
      </c>
      <c r="BS42">
        <v>0</v>
      </c>
      <c r="BT42">
        <v>0</v>
      </c>
      <c r="BU42">
        <v>0</v>
      </c>
      <c r="BV42">
        <v>0</v>
      </c>
      <c r="BW42">
        <v>0</v>
      </c>
      <c r="BX42">
        <v>0</v>
      </c>
      <c r="BY42">
        <v>0</v>
      </c>
      <c r="BZ42">
        <v>0</v>
      </c>
      <c r="CA42">
        <v>8</v>
      </c>
      <c r="CB42">
        <v>0</v>
      </c>
    </row>
    <row r="43" spans="1:80" x14ac:dyDescent="0.25">
      <c r="A43">
        <v>15</v>
      </c>
      <c r="B43">
        <f>IF(ISNA(VLOOKUP($A43,SXS_Transit_input!$A$28:$W$49,MATCH(SXS_Transit_temp!B$28,SXS_Transit_input!$B$27:$W$27,0)+1,FALSE)),0,VLOOKUP($A43,SXS_Transit_input!$A$28:$W$49,MATCH(SXS_Transit_temp!B$28,SXS_Transit_input!$B$27:$W$27,0)+1,FALSE))+IF(ISNA(VLOOKUP($A43,SXS_Transit_input!$A$71:$L$81,MATCH(SXS_Transit_temp!B$28,SXS_Transit_input!$B$70:$L$70,0)+1,FALSE)),0,VLOOKUP($A43,SXS_Transit_input!$A$71:$L$81,MATCH(SXS_Transit_temp!B$28,SXS_Transit_input!$B$70:$L$70,0)+1,FALSE))</f>
        <v>1425.9871499999999</v>
      </c>
      <c r="C43">
        <f>IF(ISNA(VLOOKUP($A43,SXS_Transit_input!$A$28:$W$49,MATCH(SXS_Transit_temp!C$28,SXS_Transit_input!$B$27:$W$27,0)+1,FALSE)),0,VLOOKUP($A43,SXS_Transit_input!$A$28:$W$49,MATCH(SXS_Transit_temp!C$28,SXS_Transit_input!$B$27:$W$27,0)+1,FALSE))+IF(ISNA(VLOOKUP($A43,SXS_Transit_input!$A$71:$L$81,MATCH(SXS_Transit_temp!C$28,SXS_Transit_input!$B$70:$L$70,0)+1,FALSE)),0,VLOOKUP($A43,SXS_Transit_input!$A$71:$L$81,MATCH(SXS_Transit_temp!C$28,SXS_Transit_input!$B$70:$L$70,0)+1,FALSE))</f>
        <v>0</v>
      </c>
      <c r="D43">
        <f>IF(ISNA(VLOOKUP($A43,SXS_Transit_input!$A$28:$W$49,MATCH(SXS_Transit_temp!D$28,SXS_Transit_input!$B$27:$W$27,0)+1,FALSE)),0,VLOOKUP($A43,SXS_Transit_input!$A$28:$W$49,MATCH(SXS_Transit_temp!D$28,SXS_Transit_input!$B$27:$W$27,0)+1,FALSE))+IF(ISNA(VLOOKUP($A43,SXS_Transit_input!$A$71:$L$81,MATCH(SXS_Transit_temp!D$28,SXS_Transit_input!$B$70:$L$70,0)+1,FALSE)),0,VLOOKUP($A43,SXS_Transit_input!$A$71:$L$81,MATCH(SXS_Transit_temp!D$28,SXS_Transit_input!$B$70:$L$70,0)+1,FALSE))</f>
        <v>0</v>
      </c>
      <c r="E43">
        <f>IF(ISNA(VLOOKUP($A43,SXS_Transit_input!$A$28:$W$49,MATCH(SXS_Transit_temp!E$28,SXS_Transit_input!$B$27:$W$27,0)+1,FALSE)),0,VLOOKUP($A43,SXS_Transit_input!$A$28:$W$49,MATCH(SXS_Transit_temp!E$28,SXS_Transit_input!$B$27:$W$27,0)+1,FALSE))+IF(ISNA(VLOOKUP($A43,SXS_Transit_input!$A$71:$L$81,MATCH(SXS_Transit_temp!E$28,SXS_Transit_input!$B$70:$L$70,0)+1,FALSE)),0,VLOOKUP($A43,SXS_Transit_input!$A$71:$L$81,MATCH(SXS_Transit_temp!E$28,SXS_Transit_input!$B$70:$L$70,0)+1,FALSE))</f>
        <v>0</v>
      </c>
      <c r="F43">
        <f>IF(ISNA(VLOOKUP($A43,SXS_Transit_input!$A$28:$W$49,MATCH(SXS_Transit_temp!F$28,SXS_Transit_input!$B$27:$W$27,0)+1,FALSE)),0,VLOOKUP($A43,SXS_Transit_input!$A$28:$W$49,MATCH(SXS_Transit_temp!F$28,SXS_Transit_input!$B$27:$W$27,0)+1,FALSE))+IF(ISNA(VLOOKUP($A43,SXS_Transit_input!$A$71:$L$81,MATCH(SXS_Transit_temp!F$28,SXS_Transit_input!$B$70:$L$70,0)+1,FALSE)),0,VLOOKUP($A43,SXS_Transit_input!$A$71:$L$81,MATCH(SXS_Transit_temp!F$28,SXS_Transit_input!$B$70:$L$70,0)+1,FALSE))</f>
        <v>0</v>
      </c>
      <c r="G43">
        <f>IF(ISNA(VLOOKUP($A43,SXS_Transit_input!$A$28:$W$49,MATCH(SXS_Transit_temp!G$28,SXS_Transit_input!$B$27:$W$27,0)+1,FALSE)),0,VLOOKUP($A43,SXS_Transit_input!$A$28:$W$49,MATCH(SXS_Transit_temp!G$28,SXS_Transit_input!$B$27:$W$27,0)+1,FALSE))+IF(ISNA(VLOOKUP($A43,SXS_Transit_input!$A$71:$L$81,MATCH(SXS_Transit_temp!G$28,SXS_Transit_input!$B$70:$L$70,0)+1,FALSE)),0,VLOOKUP($A43,SXS_Transit_input!$A$71:$L$81,MATCH(SXS_Transit_temp!G$28,SXS_Transit_input!$B$70:$L$70,0)+1,FALSE))</f>
        <v>0</v>
      </c>
      <c r="H43">
        <f>IF(ISNA(VLOOKUP($A43,SXS_Transit_input!$A$28:$W$49,MATCH(SXS_Transit_temp!H$28,SXS_Transit_input!$B$27:$W$27,0)+1,FALSE)),0,VLOOKUP($A43,SXS_Transit_input!$A$28:$W$49,MATCH(SXS_Transit_temp!H$28,SXS_Transit_input!$B$27:$W$27,0)+1,FALSE))+IF(ISNA(VLOOKUP($A43,SXS_Transit_input!$A$71:$L$81,MATCH(SXS_Transit_temp!H$28,SXS_Transit_input!$B$70:$L$70,0)+1,FALSE)),0,VLOOKUP($A43,SXS_Transit_input!$A$71:$L$81,MATCH(SXS_Transit_temp!H$28,SXS_Transit_input!$B$70:$L$70,0)+1,FALSE))</f>
        <v>44.210099999999997</v>
      </c>
      <c r="I43">
        <f>IF(ISNA(VLOOKUP($A43,SXS_Transit_input!$A$28:$W$49,MATCH(SXS_Transit_temp!I$28,SXS_Transit_input!$B$27:$W$27,0)+1,FALSE)),0,VLOOKUP($A43,SXS_Transit_input!$A$28:$W$49,MATCH(SXS_Transit_temp!I$28,SXS_Transit_input!$B$27:$W$27,0)+1,FALSE))+IF(ISNA(VLOOKUP($A43,SXS_Transit_input!$A$71:$L$81,MATCH(SXS_Transit_temp!I$28,SXS_Transit_input!$B$70:$L$70,0)+1,FALSE)),0,VLOOKUP($A43,SXS_Transit_input!$A$71:$L$81,MATCH(SXS_Transit_temp!I$28,SXS_Transit_input!$B$70:$L$70,0)+1,FALSE))</f>
        <v>0</v>
      </c>
      <c r="J43">
        <f>IF(ISNA(VLOOKUP($A43,SXS_Transit_input!$A$28:$W$49,MATCH(SXS_Transit_temp!J$28,SXS_Transit_input!$B$27:$W$27,0)+1,FALSE)),0,VLOOKUP($A43,SXS_Transit_input!$A$28:$W$49,MATCH(SXS_Transit_temp!J$28,SXS_Transit_input!$B$27:$W$27,0)+1,FALSE))+IF(ISNA(VLOOKUP($A43,SXS_Transit_input!$A$71:$L$81,MATCH(SXS_Transit_temp!J$28,SXS_Transit_input!$B$70:$L$70,0)+1,FALSE)),0,VLOOKUP($A43,SXS_Transit_input!$A$71:$L$81,MATCH(SXS_Transit_temp!J$28,SXS_Transit_input!$B$70:$L$70,0)+1,FALSE))</f>
        <v>0</v>
      </c>
      <c r="K43">
        <f>IF(ISNA(VLOOKUP($A43,SXS_Transit_input!$A$28:$W$49,MATCH(SXS_Transit_temp!K$28,SXS_Transit_input!$B$27:$W$27,0)+1,FALSE)),0,VLOOKUP($A43,SXS_Transit_input!$A$28:$W$49,MATCH(SXS_Transit_temp!K$28,SXS_Transit_input!$B$27:$W$27,0)+1,FALSE))+IF(ISNA(VLOOKUP($A43,SXS_Transit_input!$A$71:$L$81,MATCH(SXS_Transit_temp!K$28,SXS_Transit_input!$B$70:$L$70,0)+1,FALSE)),0,VLOOKUP($A43,SXS_Transit_input!$A$71:$L$81,MATCH(SXS_Transit_temp!K$28,SXS_Transit_input!$B$70:$L$70,0)+1,FALSE))</f>
        <v>0</v>
      </c>
      <c r="L43">
        <f>IF(ISNA(VLOOKUP($A43,SXS_Transit_input!$A$28:$W$49,MATCH(SXS_Transit_temp!L$28,SXS_Transit_input!$B$27:$W$27,0)+1,FALSE)),0,VLOOKUP($A43,SXS_Transit_input!$A$28:$W$49,MATCH(SXS_Transit_temp!L$28,SXS_Transit_input!$B$27:$W$27,0)+1,FALSE))+IF(ISNA(VLOOKUP($A43,SXS_Transit_input!$A$71:$L$81,MATCH(SXS_Transit_temp!L$28,SXS_Transit_input!$B$70:$L$70,0)+1,FALSE)),0,VLOOKUP($A43,SXS_Transit_input!$A$71:$L$81,MATCH(SXS_Transit_temp!L$28,SXS_Transit_input!$B$70:$L$70,0)+1,FALSE))</f>
        <v>0</v>
      </c>
      <c r="M43">
        <f>IF(ISNA(VLOOKUP($A43,SXS_Transit_input!$A$28:$W$49,MATCH(SXS_Transit_temp!M$28,SXS_Transit_input!$B$27:$W$27,0)+1,FALSE)),0,VLOOKUP($A43,SXS_Transit_input!$A$28:$W$49,MATCH(SXS_Transit_temp!M$28,SXS_Transit_input!$B$27:$W$27,0)+1,FALSE))+IF(ISNA(VLOOKUP($A43,SXS_Transit_input!$A$71:$L$81,MATCH(SXS_Transit_temp!M$28,SXS_Transit_input!$B$70:$L$70,0)+1,FALSE)),0,VLOOKUP($A43,SXS_Transit_input!$A$71:$L$81,MATCH(SXS_Transit_temp!M$28,SXS_Transit_input!$B$70:$L$70,0)+1,FALSE))</f>
        <v>0</v>
      </c>
      <c r="N43">
        <f>IF(ISNA(VLOOKUP($A43,SXS_Transit_input!$A$28:$W$49,MATCH(SXS_Transit_temp!N$28,SXS_Transit_input!$B$27:$W$27,0)+1,FALSE)),0,VLOOKUP($A43,SXS_Transit_input!$A$28:$W$49,MATCH(SXS_Transit_temp!N$28,SXS_Transit_input!$B$27:$W$27,0)+1,FALSE))+IF(ISNA(VLOOKUP($A43,SXS_Transit_input!$A$71:$L$81,MATCH(SXS_Transit_temp!N$28,SXS_Transit_input!$B$70:$L$70,0)+1,FALSE)),0,VLOOKUP($A43,SXS_Transit_input!$A$71:$L$81,MATCH(SXS_Transit_temp!N$28,SXS_Transit_input!$B$70:$L$70,0)+1,FALSE))</f>
        <v>0</v>
      </c>
      <c r="O43">
        <f>IF(ISNA(VLOOKUP($A43,SXS_Transit_input!$A$28:$W$49,MATCH(SXS_Transit_temp!O$28,SXS_Transit_input!$B$27:$W$27,0)+1,FALSE)),0,VLOOKUP($A43,SXS_Transit_input!$A$28:$W$49,MATCH(SXS_Transit_temp!O$28,SXS_Transit_input!$B$27:$W$27,0)+1,FALSE))+IF(ISNA(VLOOKUP($A43,SXS_Transit_input!$A$71:$L$81,MATCH(SXS_Transit_temp!O$28,SXS_Transit_input!$B$70:$L$70,0)+1,FALSE)),0,VLOOKUP($A43,SXS_Transit_input!$A$71:$L$81,MATCH(SXS_Transit_temp!O$28,SXS_Transit_input!$B$70:$L$70,0)+1,FALSE))</f>
        <v>0</v>
      </c>
      <c r="P43">
        <f>IF(ISNA(VLOOKUP($A43,SXS_Transit_input!$A$28:$W$49,MATCH(SXS_Transit_temp!P$28,SXS_Transit_input!$B$27:$W$27,0)+1,FALSE)),0,VLOOKUP($A43,SXS_Transit_input!$A$28:$W$49,MATCH(SXS_Transit_temp!P$28,SXS_Transit_input!$B$27:$W$27,0)+1,FALSE))+IF(ISNA(VLOOKUP($A43,SXS_Transit_input!$A$71:$L$81,MATCH(SXS_Transit_temp!P$28,SXS_Transit_input!$B$70:$L$70,0)+1,FALSE)),0,VLOOKUP($A43,SXS_Transit_input!$A$71:$L$81,MATCH(SXS_Transit_temp!P$28,SXS_Transit_input!$B$70:$L$70,0)+1,FALSE))</f>
        <v>178.73715999999999</v>
      </c>
      <c r="Q43">
        <f>IF(ISNA(VLOOKUP($A43,SXS_Transit_input!$A$28:$W$49,MATCH(SXS_Transit_temp!Q$28,SXS_Transit_input!$B$27:$W$27,0)+1,FALSE)),0,VLOOKUP($A43,SXS_Transit_input!$A$28:$W$49,MATCH(SXS_Transit_temp!Q$28,SXS_Transit_input!$B$27:$W$27,0)+1,FALSE))+IF(ISNA(VLOOKUP($A43,SXS_Transit_input!$A$71:$L$81,MATCH(SXS_Transit_temp!Q$28,SXS_Transit_input!$B$70:$L$70,0)+1,FALSE)),0,VLOOKUP($A43,SXS_Transit_input!$A$71:$L$81,MATCH(SXS_Transit_temp!Q$28,SXS_Transit_input!$B$70:$L$70,0)+1,FALSE))</f>
        <v>0</v>
      </c>
      <c r="R43">
        <f>IF(ISNA(VLOOKUP($A43,SXS_Transit_input!$A$28:$W$49,MATCH(SXS_Transit_temp!R$28,SXS_Transit_input!$B$27:$W$27,0)+1,FALSE)),0,VLOOKUP($A43,SXS_Transit_input!$A$28:$W$49,MATCH(SXS_Transit_temp!R$28,SXS_Transit_input!$B$27:$W$27,0)+1,FALSE))+IF(ISNA(VLOOKUP($A43,SXS_Transit_input!$A$71:$L$81,MATCH(SXS_Transit_temp!R$28,SXS_Transit_input!$B$70:$L$70,0)+1,FALSE)),0,VLOOKUP($A43,SXS_Transit_input!$A$71:$L$81,MATCH(SXS_Transit_temp!R$28,SXS_Transit_input!$B$70:$L$70,0)+1,FALSE))</f>
        <v>0</v>
      </c>
      <c r="S43">
        <f>IF(ISNA(VLOOKUP($A43,SXS_Transit_input!$A$28:$W$49,MATCH(SXS_Transit_temp!S$28,SXS_Transit_input!$B$27:$W$27,0)+1,FALSE)),0,VLOOKUP($A43,SXS_Transit_input!$A$28:$W$49,MATCH(SXS_Transit_temp!S$28,SXS_Transit_input!$B$27:$W$27,0)+1,FALSE))+IF(ISNA(VLOOKUP($A43,SXS_Transit_input!$A$71:$L$81,MATCH(SXS_Transit_temp!S$28,SXS_Transit_input!$B$70:$L$70,0)+1,FALSE)),0,VLOOKUP($A43,SXS_Transit_input!$A$71:$L$81,MATCH(SXS_Transit_temp!S$28,SXS_Transit_input!$B$70:$L$70,0)+1,FALSE))</f>
        <v>0</v>
      </c>
      <c r="T43">
        <f>IF(ISNA(VLOOKUP($A43,SXS_Transit_input!$A$28:$W$49,MATCH(SXS_Transit_temp!T$28,SXS_Transit_input!$B$27:$W$27,0)+1,FALSE)),0,VLOOKUP($A43,SXS_Transit_input!$A$28:$W$49,MATCH(SXS_Transit_temp!T$28,SXS_Transit_input!$B$27:$W$27,0)+1,FALSE))+IF(ISNA(VLOOKUP($A43,SXS_Transit_input!$A$71:$L$81,MATCH(SXS_Transit_temp!T$28,SXS_Transit_input!$B$70:$L$70,0)+1,FALSE)),0,VLOOKUP($A43,SXS_Transit_input!$A$71:$L$81,MATCH(SXS_Transit_temp!T$28,SXS_Transit_input!$B$70:$L$70,0)+1,FALSE))</f>
        <v>0</v>
      </c>
      <c r="U43">
        <f>IF(ISNA(VLOOKUP($A43,SXS_Transit_input!$A$28:$W$49,MATCH(SXS_Transit_temp!U$28,SXS_Transit_input!$B$27:$W$27,0)+1,FALSE)),0,VLOOKUP($A43,SXS_Transit_input!$A$28:$W$49,MATCH(SXS_Transit_temp!U$28,SXS_Transit_input!$B$27:$W$27,0)+1,FALSE))+IF(ISNA(VLOOKUP($A43,SXS_Transit_input!$A$71:$L$81,MATCH(SXS_Transit_temp!U$28,SXS_Transit_input!$B$70:$L$70,0)+1,FALSE)),0,VLOOKUP($A43,SXS_Transit_input!$A$71:$L$81,MATCH(SXS_Transit_temp!U$28,SXS_Transit_input!$B$70:$L$70,0)+1,FALSE))</f>
        <v>0</v>
      </c>
      <c r="V43">
        <f>IF(ISNA(VLOOKUP($A43,SXS_Transit_input!$A$28:$W$49,MATCH(SXS_Transit_temp!V$28,SXS_Transit_input!$B$27:$W$27,0)+1,FALSE)),0,VLOOKUP($A43,SXS_Transit_input!$A$28:$W$49,MATCH(SXS_Transit_temp!V$28,SXS_Transit_input!$B$27:$W$27,0)+1,FALSE))+IF(ISNA(VLOOKUP($A43,SXS_Transit_input!$A$71:$L$81,MATCH(SXS_Transit_temp!V$28,SXS_Transit_input!$B$70:$L$70,0)+1,FALSE)),0,VLOOKUP($A43,SXS_Transit_input!$A$71:$L$81,MATCH(SXS_Transit_temp!V$28,SXS_Transit_input!$B$70:$L$70,0)+1,FALSE))</f>
        <v>0</v>
      </c>
      <c r="W43">
        <f>IF(ISNA(VLOOKUP($A43,SXS_Transit_input!$A$28:$W$49,MATCH(SXS_Transit_temp!W$28,SXS_Transit_input!$B$27:$W$27,0)+1,FALSE)),0,VLOOKUP($A43,SXS_Transit_input!$A$28:$W$49,MATCH(SXS_Transit_temp!W$28,SXS_Transit_input!$B$27:$W$27,0)+1,FALSE))+IF(ISNA(VLOOKUP($A43,SXS_Transit_input!$A$71:$L$81,MATCH(SXS_Transit_temp!W$28,SXS_Transit_input!$B$70:$L$70,0)+1,FALSE)),0,VLOOKUP($A43,SXS_Transit_input!$A$71:$L$81,MATCH(SXS_Transit_temp!W$28,SXS_Transit_input!$B$70:$L$70,0)+1,FALSE))</f>
        <v>0</v>
      </c>
      <c r="X43">
        <f>IF(ISNA(VLOOKUP($A43,SXS_Transit_input!$A$28:$W$49,MATCH(SXS_Transit_temp!X$28,SXS_Transit_input!$B$27:$W$27,0)+1,FALSE)),0,VLOOKUP($A43,SXS_Transit_input!$A$28:$W$49,MATCH(SXS_Transit_temp!X$28,SXS_Transit_input!$B$27:$W$27,0)+1,FALSE))+IF(ISNA(VLOOKUP($A43,SXS_Transit_input!$A$71:$L$81,MATCH(SXS_Transit_temp!X$28,SXS_Transit_input!$B$70:$L$70,0)+1,FALSE)),0,VLOOKUP($A43,SXS_Transit_input!$A$71:$L$81,MATCH(SXS_Transit_temp!X$28,SXS_Transit_input!$B$70:$L$70,0)+1,FALSE))</f>
        <v>0</v>
      </c>
      <c r="Y43">
        <f>IF(ISNA(VLOOKUP($A43,SXS_Transit_input!$A$28:$W$49,MATCH(SXS_Transit_temp!Y$28,SXS_Transit_input!$B$27:$W$27,0)+1,FALSE)),0,VLOOKUP($A43,SXS_Transit_input!$A$28:$W$49,MATCH(SXS_Transit_temp!Y$28,SXS_Transit_input!$B$27:$W$27,0)+1,FALSE))+IF(ISNA(VLOOKUP($A43,SXS_Transit_input!$A$71:$L$81,MATCH(SXS_Transit_temp!Y$28,SXS_Transit_input!$B$70:$L$70,0)+1,FALSE)),0,VLOOKUP($A43,SXS_Transit_input!$A$71:$L$81,MATCH(SXS_Transit_temp!Y$28,SXS_Transit_input!$B$70:$L$70,0)+1,FALSE))</f>
        <v>0</v>
      </c>
      <c r="Z43">
        <f>IF(ISNA(VLOOKUP($A43,SXS_Transit_input!$A$28:$W$49,MATCH(SXS_Transit_temp!Z$28,SXS_Transit_input!$B$27:$W$27,0)+1,FALSE)),0,VLOOKUP($A43,SXS_Transit_input!$A$28:$W$49,MATCH(SXS_Transit_temp!Z$28,SXS_Transit_input!$B$27:$W$27,0)+1,FALSE))+IF(ISNA(VLOOKUP($A43,SXS_Transit_input!$A$71:$L$81,MATCH(SXS_Transit_temp!Z$28,SXS_Transit_input!$B$70:$L$70,0)+1,FALSE)),0,VLOOKUP($A43,SXS_Transit_input!$A$71:$L$81,MATCH(SXS_Transit_temp!Z$28,SXS_Transit_input!$B$70:$L$70,0)+1,FALSE))</f>
        <v>0</v>
      </c>
      <c r="AA43">
        <v>15</v>
      </c>
      <c r="AB43" s="33">
        <f t="shared" si="27"/>
        <v>658</v>
      </c>
      <c r="AC43" s="34">
        <f t="shared" si="37"/>
        <v>0</v>
      </c>
      <c r="AD43" s="34">
        <f t="shared" si="38"/>
        <v>0</v>
      </c>
      <c r="AE43" s="34">
        <f t="shared" si="39"/>
        <v>0</v>
      </c>
      <c r="AF43" s="34">
        <f t="shared" si="40"/>
        <v>2</v>
      </c>
      <c r="AG43" s="34">
        <f t="shared" si="41"/>
        <v>0</v>
      </c>
      <c r="AH43" s="34">
        <f t="shared" si="42"/>
        <v>0</v>
      </c>
      <c r="AI43" s="34">
        <f t="shared" si="43"/>
        <v>26</v>
      </c>
      <c r="AJ43" s="34">
        <f t="shared" si="44"/>
        <v>0</v>
      </c>
      <c r="AK43" s="34">
        <f t="shared" si="45"/>
        <v>0</v>
      </c>
      <c r="AL43" s="34">
        <f t="shared" si="46"/>
        <v>0</v>
      </c>
      <c r="AM43" s="34">
        <f t="shared" si="47"/>
        <v>0</v>
      </c>
      <c r="AN43" s="34">
        <f t="shared" si="48"/>
        <v>0</v>
      </c>
      <c r="AO43" s="34">
        <f t="shared" si="49"/>
        <v>4</v>
      </c>
      <c r="AP43" s="34">
        <f t="shared" si="50"/>
        <v>70</v>
      </c>
      <c r="AQ43" s="34">
        <f t="shared" si="51"/>
        <v>0</v>
      </c>
      <c r="AR43" s="34">
        <f t="shared" si="28"/>
        <v>0</v>
      </c>
      <c r="AS43" s="34">
        <f t="shared" si="29"/>
        <v>4</v>
      </c>
      <c r="AT43" s="34">
        <f t="shared" si="30"/>
        <v>0</v>
      </c>
      <c r="AU43" s="34">
        <f t="shared" si="31"/>
        <v>0</v>
      </c>
      <c r="AV43" s="34">
        <f t="shared" si="32"/>
        <v>0</v>
      </c>
      <c r="AW43" s="34">
        <f t="shared" si="33"/>
        <v>0</v>
      </c>
      <c r="AX43" s="34">
        <f t="shared" si="34"/>
        <v>0</v>
      </c>
      <c r="AY43" s="34">
        <f t="shared" si="35"/>
        <v>0</v>
      </c>
      <c r="AZ43" s="35">
        <f t="shared" si="36"/>
        <v>0</v>
      </c>
      <c r="BC43" s="157">
        <v>14</v>
      </c>
      <c r="BD43">
        <v>626</v>
      </c>
      <c r="BE43">
        <v>0</v>
      </c>
      <c r="BF43">
        <v>2</v>
      </c>
      <c r="BG43">
        <v>0</v>
      </c>
      <c r="BH43">
        <v>0</v>
      </c>
      <c r="BI43">
        <v>2</v>
      </c>
      <c r="BJ43">
        <v>38</v>
      </c>
      <c r="BK43">
        <v>6</v>
      </c>
      <c r="BL43">
        <v>0</v>
      </c>
      <c r="BM43">
        <v>0</v>
      </c>
      <c r="BN43">
        <v>0</v>
      </c>
      <c r="BO43">
        <v>0</v>
      </c>
      <c r="BP43">
        <v>2</v>
      </c>
      <c r="BQ43">
        <v>58</v>
      </c>
      <c r="BR43">
        <v>4</v>
      </c>
      <c r="BS43">
        <v>0</v>
      </c>
      <c r="BT43">
        <v>0</v>
      </c>
      <c r="BU43">
        <v>0</v>
      </c>
      <c r="BV43">
        <v>0</v>
      </c>
      <c r="BW43">
        <v>0</v>
      </c>
      <c r="BX43">
        <v>0</v>
      </c>
      <c r="BY43">
        <v>0</v>
      </c>
      <c r="BZ43">
        <v>0</v>
      </c>
      <c r="CA43">
        <v>0</v>
      </c>
      <c r="CB43">
        <v>2</v>
      </c>
    </row>
    <row r="44" spans="1:80" x14ac:dyDescent="0.25">
      <c r="A44">
        <v>16</v>
      </c>
      <c r="B44">
        <f>IF(ISNA(VLOOKUP($A44,SXS_Transit_input!$A$28:$W$49,MATCH(SXS_Transit_temp!B$28,SXS_Transit_input!$B$27:$W$27,0)+1,FALSE)),0,VLOOKUP($A44,SXS_Transit_input!$A$28:$W$49,MATCH(SXS_Transit_temp!B$28,SXS_Transit_input!$B$27:$W$27,0)+1,FALSE))+IF(ISNA(VLOOKUP($A44,SXS_Transit_input!$A$71:$L$81,MATCH(SXS_Transit_temp!B$28,SXS_Transit_input!$B$70:$L$70,0)+1,FALSE)),0,VLOOKUP($A44,SXS_Transit_input!$A$71:$L$81,MATCH(SXS_Transit_temp!B$28,SXS_Transit_input!$B$70:$L$70,0)+1,FALSE))</f>
        <v>0</v>
      </c>
      <c r="C44">
        <f>IF(ISNA(VLOOKUP($A44,SXS_Transit_input!$A$28:$W$49,MATCH(SXS_Transit_temp!C$28,SXS_Transit_input!$B$27:$W$27,0)+1,FALSE)),0,VLOOKUP($A44,SXS_Transit_input!$A$28:$W$49,MATCH(SXS_Transit_temp!C$28,SXS_Transit_input!$B$27:$W$27,0)+1,FALSE))+IF(ISNA(VLOOKUP($A44,SXS_Transit_input!$A$71:$L$81,MATCH(SXS_Transit_temp!C$28,SXS_Transit_input!$B$70:$L$70,0)+1,FALSE)),0,VLOOKUP($A44,SXS_Transit_input!$A$71:$L$81,MATCH(SXS_Transit_temp!C$28,SXS_Transit_input!$B$70:$L$70,0)+1,FALSE))</f>
        <v>0</v>
      </c>
      <c r="D44">
        <f>IF(ISNA(VLOOKUP($A44,SXS_Transit_input!$A$28:$W$49,MATCH(SXS_Transit_temp!D$28,SXS_Transit_input!$B$27:$W$27,0)+1,FALSE)),0,VLOOKUP($A44,SXS_Transit_input!$A$28:$W$49,MATCH(SXS_Transit_temp!D$28,SXS_Transit_input!$B$27:$W$27,0)+1,FALSE))+IF(ISNA(VLOOKUP($A44,SXS_Transit_input!$A$71:$L$81,MATCH(SXS_Transit_temp!D$28,SXS_Transit_input!$B$70:$L$70,0)+1,FALSE)),0,VLOOKUP($A44,SXS_Transit_input!$A$71:$L$81,MATCH(SXS_Transit_temp!D$28,SXS_Transit_input!$B$70:$L$70,0)+1,FALSE))</f>
        <v>0</v>
      </c>
      <c r="E44">
        <f>IF(ISNA(VLOOKUP($A44,SXS_Transit_input!$A$28:$W$49,MATCH(SXS_Transit_temp!E$28,SXS_Transit_input!$B$27:$W$27,0)+1,FALSE)),0,VLOOKUP($A44,SXS_Transit_input!$A$28:$W$49,MATCH(SXS_Transit_temp!E$28,SXS_Transit_input!$B$27:$W$27,0)+1,FALSE))+IF(ISNA(VLOOKUP($A44,SXS_Transit_input!$A$71:$L$81,MATCH(SXS_Transit_temp!E$28,SXS_Transit_input!$B$70:$L$70,0)+1,FALSE)),0,VLOOKUP($A44,SXS_Transit_input!$A$71:$L$81,MATCH(SXS_Transit_temp!E$28,SXS_Transit_input!$B$70:$L$70,0)+1,FALSE))</f>
        <v>0</v>
      </c>
      <c r="F44">
        <f>IF(ISNA(VLOOKUP($A44,SXS_Transit_input!$A$28:$W$49,MATCH(SXS_Transit_temp!F$28,SXS_Transit_input!$B$27:$W$27,0)+1,FALSE)),0,VLOOKUP($A44,SXS_Transit_input!$A$28:$W$49,MATCH(SXS_Transit_temp!F$28,SXS_Transit_input!$B$27:$W$27,0)+1,FALSE))+IF(ISNA(VLOOKUP($A44,SXS_Transit_input!$A$71:$L$81,MATCH(SXS_Transit_temp!F$28,SXS_Transit_input!$B$70:$L$70,0)+1,FALSE)),0,VLOOKUP($A44,SXS_Transit_input!$A$71:$L$81,MATCH(SXS_Transit_temp!F$28,SXS_Transit_input!$B$70:$L$70,0)+1,FALSE))</f>
        <v>0</v>
      </c>
      <c r="G44">
        <f>IF(ISNA(VLOOKUP($A44,SXS_Transit_input!$A$28:$W$49,MATCH(SXS_Transit_temp!G$28,SXS_Transit_input!$B$27:$W$27,0)+1,FALSE)),0,VLOOKUP($A44,SXS_Transit_input!$A$28:$W$49,MATCH(SXS_Transit_temp!G$28,SXS_Transit_input!$B$27:$W$27,0)+1,FALSE))+IF(ISNA(VLOOKUP($A44,SXS_Transit_input!$A$71:$L$81,MATCH(SXS_Transit_temp!G$28,SXS_Transit_input!$B$70:$L$70,0)+1,FALSE)),0,VLOOKUP($A44,SXS_Transit_input!$A$71:$L$81,MATCH(SXS_Transit_temp!G$28,SXS_Transit_input!$B$70:$L$70,0)+1,FALSE))</f>
        <v>0</v>
      </c>
      <c r="H44">
        <f>IF(ISNA(VLOOKUP($A44,SXS_Transit_input!$A$28:$W$49,MATCH(SXS_Transit_temp!H$28,SXS_Transit_input!$B$27:$W$27,0)+1,FALSE)),0,VLOOKUP($A44,SXS_Transit_input!$A$28:$W$49,MATCH(SXS_Transit_temp!H$28,SXS_Transit_input!$B$27:$W$27,0)+1,FALSE))+IF(ISNA(VLOOKUP($A44,SXS_Transit_input!$A$71:$L$81,MATCH(SXS_Transit_temp!H$28,SXS_Transit_input!$B$70:$L$70,0)+1,FALSE)),0,VLOOKUP($A44,SXS_Transit_input!$A$71:$L$81,MATCH(SXS_Transit_temp!H$28,SXS_Transit_input!$B$70:$L$70,0)+1,FALSE))</f>
        <v>0</v>
      </c>
      <c r="I44">
        <f>IF(ISNA(VLOOKUP($A44,SXS_Transit_input!$A$28:$W$49,MATCH(SXS_Transit_temp!I$28,SXS_Transit_input!$B$27:$W$27,0)+1,FALSE)),0,VLOOKUP($A44,SXS_Transit_input!$A$28:$W$49,MATCH(SXS_Transit_temp!I$28,SXS_Transit_input!$B$27:$W$27,0)+1,FALSE))+IF(ISNA(VLOOKUP($A44,SXS_Transit_input!$A$71:$L$81,MATCH(SXS_Transit_temp!I$28,SXS_Transit_input!$B$70:$L$70,0)+1,FALSE)),0,VLOOKUP($A44,SXS_Transit_input!$A$71:$L$81,MATCH(SXS_Transit_temp!I$28,SXS_Transit_input!$B$70:$L$70,0)+1,FALSE))</f>
        <v>0</v>
      </c>
      <c r="J44">
        <f>IF(ISNA(VLOOKUP($A44,SXS_Transit_input!$A$28:$W$49,MATCH(SXS_Transit_temp!J$28,SXS_Transit_input!$B$27:$W$27,0)+1,FALSE)),0,VLOOKUP($A44,SXS_Transit_input!$A$28:$W$49,MATCH(SXS_Transit_temp!J$28,SXS_Transit_input!$B$27:$W$27,0)+1,FALSE))+IF(ISNA(VLOOKUP($A44,SXS_Transit_input!$A$71:$L$81,MATCH(SXS_Transit_temp!J$28,SXS_Transit_input!$B$70:$L$70,0)+1,FALSE)),0,VLOOKUP($A44,SXS_Transit_input!$A$71:$L$81,MATCH(SXS_Transit_temp!J$28,SXS_Transit_input!$B$70:$L$70,0)+1,FALSE))</f>
        <v>0</v>
      </c>
      <c r="K44">
        <f>IF(ISNA(VLOOKUP($A44,SXS_Transit_input!$A$28:$W$49,MATCH(SXS_Transit_temp!K$28,SXS_Transit_input!$B$27:$W$27,0)+1,FALSE)),0,VLOOKUP($A44,SXS_Transit_input!$A$28:$W$49,MATCH(SXS_Transit_temp!K$28,SXS_Transit_input!$B$27:$W$27,0)+1,FALSE))+IF(ISNA(VLOOKUP($A44,SXS_Transit_input!$A$71:$L$81,MATCH(SXS_Transit_temp!K$28,SXS_Transit_input!$B$70:$L$70,0)+1,FALSE)),0,VLOOKUP($A44,SXS_Transit_input!$A$71:$L$81,MATCH(SXS_Transit_temp!K$28,SXS_Transit_input!$B$70:$L$70,0)+1,FALSE))</f>
        <v>0</v>
      </c>
      <c r="L44">
        <f>IF(ISNA(VLOOKUP($A44,SXS_Transit_input!$A$28:$W$49,MATCH(SXS_Transit_temp!L$28,SXS_Transit_input!$B$27:$W$27,0)+1,FALSE)),0,VLOOKUP($A44,SXS_Transit_input!$A$28:$W$49,MATCH(SXS_Transit_temp!L$28,SXS_Transit_input!$B$27:$W$27,0)+1,FALSE))+IF(ISNA(VLOOKUP($A44,SXS_Transit_input!$A$71:$L$81,MATCH(SXS_Transit_temp!L$28,SXS_Transit_input!$B$70:$L$70,0)+1,FALSE)),0,VLOOKUP($A44,SXS_Transit_input!$A$71:$L$81,MATCH(SXS_Transit_temp!L$28,SXS_Transit_input!$B$70:$L$70,0)+1,FALSE))</f>
        <v>0</v>
      </c>
      <c r="M44">
        <f>IF(ISNA(VLOOKUP($A44,SXS_Transit_input!$A$28:$W$49,MATCH(SXS_Transit_temp!M$28,SXS_Transit_input!$B$27:$W$27,0)+1,FALSE)),0,VLOOKUP($A44,SXS_Transit_input!$A$28:$W$49,MATCH(SXS_Transit_temp!M$28,SXS_Transit_input!$B$27:$W$27,0)+1,FALSE))+IF(ISNA(VLOOKUP($A44,SXS_Transit_input!$A$71:$L$81,MATCH(SXS_Transit_temp!M$28,SXS_Transit_input!$B$70:$L$70,0)+1,FALSE)),0,VLOOKUP($A44,SXS_Transit_input!$A$71:$L$81,MATCH(SXS_Transit_temp!M$28,SXS_Transit_input!$B$70:$L$70,0)+1,FALSE))</f>
        <v>0</v>
      </c>
      <c r="N44">
        <f>IF(ISNA(VLOOKUP($A44,SXS_Transit_input!$A$28:$W$49,MATCH(SXS_Transit_temp!N$28,SXS_Transit_input!$B$27:$W$27,0)+1,FALSE)),0,VLOOKUP($A44,SXS_Transit_input!$A$28:$W$49,MATCH(SXS_Transit_temp!N$28,SXS_Transit_input!$B$27:$W$27,0)+1,FALSE))+IF(ISNA(VLOOKUP($A44,SXS_Transit_input!$A$71:$L$81,MATCH(SXS_Transit_temp!N$28,SXS_Transit_input!$B$70:$L$70,0)+1,FALSE)),0,VLOOKUP($A44,SXS_Transit_input!$A$71:$L$81,MATCH(SXS_Transit_temp!N$28,SXS_Transit_input!$B$70:$L$70,0)+1,FALSE))</f>
        <v>0</v>
      </c>
      <c r="O44">
        <f>IF(ISNA(VLOOKUP($A44,SXS_Transit_input!$A$28:$W$49,MATCH(SXS_Transit_temp!O$28,SXS_Transit_input!$B$27:$W$27,0)+1,FALSE)),0,VLOOKUP($A44,SXS_Transit_input!$A$28:$W$49,MATCH(SXS_Transit_temp!O$28,SXS_Transit_input!$B$27:$W$27,0)+1,FALSE))+IF(ISNA(VLOOKUP($A44,SXS_Transit_input!$A$71:$L$81,MATCH(SXS_Transit_temp!O$28,SXS_Transit_input!$B$70:$L$70,0)+1,FALSE)),0,VLOOKUP($A44,SXS_Transit_input!$A$71:$L$81,MATCH(SXS_Transit_temp!O$28,SXS_Transit_input!$B$70:$L$70,0)+1,FALSE))</f>
        <v>0</v>
      </c>
      <c r="P44">
        <f>IF(ISNA(VLOOKUP($A44,SXS_Transit_input!$A$28:$W$49,MATCH(SXS_Transit_temp!P$28,SXS_Transit_input!$B$27:$W$27,0)+1,FALSE)),0,VLOOKUP($A44,SXS_Transit_input!$A$28:$W$49,MATCH(SXS_Transit_temp!P$28,SXS_Transit_input!$B$27:$W$27,0)+1,FALSE))+IF(ISNA(VLOOKUP($A44,SXS_Transit_input!$A$71:$L$81,MATCH(SXS_Transit_temp!P$28,SXS_Transit_input!$B$70:$L$70,0)+1,FALSE)),0,VLOOKUP($A44,SXS_Transit_input!$A$71:$L$81,MATCH(SXS_Transit_temp!P$28,SXS_Transit_input!$B$70:$L$70,0)+1,FALSE))</f>
        <v>0</v>
      </c>
      <c r="Q44">
        <f>IF(ISNA(VLOOKUP($A44,SXS_Transit_input!$A$28:$W$49,MATCH(SXS_Transit_temp!Q$28,SXS_Transit_input!$B$27:$W$27,0)+1,FALSE)),0,VLOOKUP($A44,SXS_Transit_input!$A$28:$W$49,MATCH(SXS_Transit_temp!Q$28,SXS_Transit_input!$B$27:$W$27,0)+1,FALSE))+IF(ISNA(VLOOKUP($A44,SXS_Transit_input!$A$71:$L$81,MATCH(SXS_Transit_temp!Q$28,SXS_Transit_input!$B$70:$L$70,0)+1,FALSE)),0,VLOOKUP($A44,SXS_Transit_input!$A$71:$L$81,MATCH(SXS_Transit_temp!Q$28,SXS_Transit_input!$B$70:$L$70,0)+1,FALSE))</f>
        <v>0</v>
      </c>
      <c r="R44">
        <f>IF(ISNA(VLOOKUP($A44,SXS_Transit_input!$A$28:$W$49,MATCH(SXS_Transit_temp!R$28,SXS_Transit_input!$B$27:$W$27,0)+1,FALSE)),0,VLOOKUP($A44,SXS_Transit_input!$A$28:$W$49,MATCH(SXS_Transit_temp!R$28,SXS_Transit_input!$B$27:$W$27,0)+1,FALSE))+IF(ISNA(VLOOKUP($A44,SXS_Transit_input!$A$71:$L$81,MATCH(SXS_Transit_temp!R$28,SXS_Transit_input!$B$70:$L$70,0)+1,FALSE)),0,VLOOKUP($A44,SXS_Transit_input!$A$71:$L$81,MATCH(SXS_Transit_temp!R$28,SXS_Transit_input!$B$70:$L$70,0)+1,FALSE))</f>
        <v>0</v>
      </c>
      <c r="S44">
        <f>IF(ISNA(VLOOKUP($A44,SXS_Transit_input!$A$28:$W$49,MATCH(SXS_Transit_temp!S$28,SXS_Transit_input!$B$27:$W$27,0)+1,FALSE)),0,VLOOKUP($A44,SXS_Transit_input!$A$28:$W$49,MATCH(SXS_Transit_temp!S$28,SXS_Transit_input!$B$27:$W$27,0)+1,FALSE))+IF(ISNA(VLOOKUP($A44,SXS_Transit_input!$A$71:$L$81,MATCH(SXS_Transit_temp!S$28,SXS_Transit_input!$B$70:$L$70,0)+1,FALSE)),0,VLOOKUP($A44,SXS_Transit_input!$A$71:$L$81,MATCH(SXS_Transit_temp!S$28,SXS_Transit_input!$B$70:$L$70,0)+1,FALSE))</f>
        <v>0</v>
      </c>
      <c r="T44">
        <f>IF(ISNA(VLOOKUP($A44,SXS_Transit_input!$A$28:$W$49,MATCH(SXS_Transit_temp!T$28,SXS_Transit_input!$B$27:$W$27,0)+1,FALSE)),0,VLOOKUP($A44,SXS_Transit_input!$A$28:$W$49,MATCH(SXS_Transit_temp!T$28,SXS_Transit_input!$B$27:$W$27,0)+1,FALSE))+IF(ISNA(VLOOKUP($A44,SXS_Transit_input!$A$71:$L$81,MATCH(SXS_Transit_temp!T$28,SXS_Transit_input!$B$70:$L$70,0)+1,FALSE)),0,VLOOKUP($A44,SXS_Transit_input!$A$71:$L$81,MATCH(SXS_Transit_temp!T$28,SXS_Transit_input!$B$70:$L$70,0)+1,FALSE))</f>
        <v>0</v>
      </c>
      <c r="U44">
        <f>IF(ISNA(VLOOKUP($A44,SXS_Transit_input!$A$28:$W$49,MATCH(SXS_Transit_temp!U$28,SXS_Transit_input!$B$27:$W$27,0)+1,FALSE)),0,VLOOKUP($A44,SXS_Transit_input!$A$28:$W$49,MATCH(SXS_Transit_temp!U$28,SXS_Transit_input!$B$27:$W$27,0)+1,FALSE))+IF(ISNA(VLOOKUP($A44,SXS_Transit_input!$A$71:$L$81,MATCH(SXS_Transit_temp!U$28,SXS_Transit_input!$B$70:$L$70,0)+1,FALSE)),0,VLOOKUP($A44,SXS_Transit_input!$A$71:$L$81,MATCH(SXS_Transit_temp!U$28,SXS_Transit_input!$B$70:$L$70,0)+1,FALSE))</f>
        <v>0</v>
      </c>
      <c r="V44">
        <f>IF(ISNA(VLOOKUP($A44,SXS_Transit_input!$A$28:$W$49,MATCH(SXS_Transit_temp!V$28,SXS_Transit_input!$B$27:$W$27,0)+1,FALSE)),0,VLOOKUP($A44,SXS_Transit_input!$A$28:$W$49,MATCH(SXS_Transit_temp!V$28,SXS_Transit_input!$B$27:$W$27,0)+1,FALSE))+IF(ISNA(VLOOKUP($A44,SXS_Transit_input!$A$71:$L$81,MATCH(SXS_Transit_temp!V$28,SXS_Transit_input!$B$70:$L$70,0)+1,FALSE)),0,VLOOKUP($A44,SXS_Transit_input!$A$71:$L$81,MATCH(SXS_Transit_temp!V$28,SXS_Transit_input!$B$70:$L$70,0)+1,FALSE))</f>
        <v>0</v>
      </c>
      <c r="W44">
        <f>IF(ISNA(VLOOKUP($A44,SXS_Transit_input!$A$28:$W$49,MATCH(SXS_Transit_temp!W$28,SXS_Transit_input!$B$27:$W$27,0)+1,FALSE)),0,VLOOKUP($A44,SXS_Transit_input!$A$28:$W$49,MATCH(SXS_Transit_temp!W$28,SXS_Transit_input!$B$27:$W$27,0)+1,FALSE))+IF(ISNA(VLOOKUP($A44,SXS_Transit_input!$A$71:$L$81,MATCH(SXS_Transit_temp!W$28,SXS_Transit_input!$B$70:$L$70,0)+1,FALSE)),0,VLOOKUP($A44,SXS_Transit_input!$A$71:$L$81,MATCH(SXS_Transit_temp!W$28,SXS_Transit_input!$B$70:$L$70,0)+1,FALSE))</f>
        <v>0</v>
      </c>
      <c r="X44">
        <f>IF(ISNA(VLOOKUP($A44,SXS_Transit_input!$A$28:$W$49,MATCH(SXS_Transit_temp!X$28,SXS_Transit_input!$B$27:$W$27,0)+1,FALSE)),0,VLOOKUP($A44,SXS_Transit_input!$A$28:$W$49,MATCH(SXS_Transit_temp!X$28,SXS_Transit_input!$B$27:$W$27,0)+1,FALSE))+IF(ISNA(VLOOKUP($A44,SXS_Transit_input!$A$71:$L$81,MATCH(SXS_Transit_temp!X$28,SXS_Transit_input!$B$70:$L$70,0)+1,FALSE)),0,VLOOKUP($A44,SXS_Transit_input!$A$71:$L$81,MATCH(SXS_Transit_temp!X$28,SXS_Transit_input!$B$70:$L$70,0)+1,FALSE))</f>
        <v>0</v>
      </c>
      <c r="Y44">
        <f>IF(ISNA(VLOOKUP($A44,SXS_Transit_input!$A$28:$W$49,MATCH(SXS_Transit_temp!Y$28,SXS_Transit_input!$B$27:$W$27,0)+1,FALSE)),0,VLOOKUP($A44,SXS_Transit_input!$A$28:$W$49,MATCH(SXS_Transit_temp!Y$28,SXS_Transit_input!$B$27:$W$27,0)+1,FALSE))+IF(ISNA(VLOOKUP($A44,SXS_Transit_input!$A$71:$L$81,MATCH(SXS_Transit_temp!Y$28,SXS_Transit_input!$B$70:$L$70,0)+1,FALSE)),0,VLOOKUP($A44,SXS_Transit_input!$A$71:$L$81,MATCH(SXS_Transit_temp!Y$28,SXS_Transit_input!$B$70:$L$70,0)+1,FALSE))</f>
        <v>0</v>
      </c>
      <c r="Z44">
        <f>IF(ISNA(VLOOKUP($A44,SXS_Transit_input!$A$28:$W$49,MATCH(SXS_Transit_temp!Z$28,SXS_Transit_input!$B$27:$W$27,0)+1,FALSE)),0,VLOOKUP($A44,SXS_Transit_input!$A$28:$W$49,MATCH(SXS_Transit_temp!Z$28,SXS_Transit_input!$B$27:$W$27,0)+1,FALSE))+IF(ISNA(VLOOKUP($A44,SXS_Transit_input!$A$71:$L$81,MATCH(SXS_Transit_temp!Z$28,SXS_Transit_input!$B$70:$L$70,0)+1,FALSE)),0,VLOOKUP($A44,SXS_Transit_input!$A$71:$L$81,MATCH(SXS_Transit_temp!Z$28,SXS_Transit_input!$B$70:$L$70,0)+1,FALSE))</f>
        <v>0</v>
      </c>
      <c r="AA44">
        <v>16</v>
      </c>
      <c r="AB44" s="33">
        <f t="shared" si="27"/>
        <v>32</v>
      </c>
      <c r="AC44" s="34">
        <f t="shared" si="37"/>
        <v>0</v>
      </c>
      <c r="AD44" s="34">
        <f t="shared" si="38"/>
        <v>0</v>
      </c>
      <c r="AE44" s="34">
        <f t="shared" si="39"/>
        <v>0</v>
      </c>
      <c r="AF44" s="34">
        <f t="shared" si="40"/>
        <v>0</v>
      </c>
      <c r="AG44" s="34">
        <f t="shared" si="41"/>
        <v>0</v>
      </c>
      <c r="AH44" s="34">
        <f t="shared" si="42"/>
        <v>0</v>
      </c>
      <c r="AI44" s="34">
        <f t="shared" si="43"/>
        <v>0</v>
      </c>
      <c r="AJ44" s="34">
        <f t="shared" si="44"/>
        <v>0</v>
      </c>
      <c r="AK44" s="34">
        <f t="shared" si="45"/>
        <v>0</v>
      </c>
      <c r="AL44" s="34">
        <f t="shared" si="46"/>
        <v>0</v>
      </c>
      <c r="AM44" s="34">
        <f t="shared" si="47"/>
        <v>0</v>
      </c>
      <c r="AN44" s="34">
        <f t="shared" si="48"/>
        <v>0</v>
      </c>
      <c r="AO44" s="34">
        <f t="shared" si="49"/>
        <v>0</v>
      </c>
      <c r="AP44" s="34">
        <f t="shared" si="50"/>
        <v>0</v>
      </c>
      <c r="AQ44" s="34">
        <f t="shared" si="51"/>
        <v>0</v>
      </c>
      <c r="AR44" s="34">
        <f t="shared" si="28"/>
        <v>0</v>
      </c>
      <c r="AS44" s="34">
        <f t="shared" si="29"/>
        <v>0</v>
      </c>
      <c r="AT44" s="34">
        <f t="shared" si="30"/>
        <v>0</v>
      </c>
      <c r="AU44" s="34">
        <f t="shared" si="31"/>
        <v>2</v>
      </c>
      <c r="AV44" s="34">
        <f t="shared" si="32"/>
        <v>4</v>
      </c>
      <c r="AW44" s="34">
        <f t="shared" si="33"/>
        <v>0</v>
      </c>
      <c r="AX44" s="34">
        <f t="shared" si="34"/>
        <v>0</v>
      </c>
      <c r="AY44" s="34">
        <f t="shared" si="35"/>
        <v>0</v>
      </c>
      <c r="AZ44" s="35">
        <f t="shared" si="36"/>
        <v>0</v>
      </c>
      <c r="BC44" s="157">
        <v>15</v>
      </c>
      <c r="BD44">
        <v>658</v>
      </c>
      <c r="BE44">
        <v>0</v>
      </c>
      <c r="BF44">
        <v>0</v>
      </c>
      <c r="BG44">
        <v>0</v>
      </c>
      <c r="BH44">
        <v>2</v>
      </c>
      <c r="BI44">
        <v>0</v>
      </c>
      <c r="BJ44">
        <v>0</v>
      </c>
      <c r="BK44">
        <v>26</v>
      </c>
      <c r="BL44">
        <v>0</v>
      </c>
      <c r="BM44">
        <v>0</v>
      </c>
      <c r="BN44">
        <v>0</v>
      </c>
      <c r="BO44">
        <v>0</v>
      </c>
      <c r="BP44">
        <v>0</v>
      </c>
      <c r="BQ44">
        <v>4</v>
      </c>
      <c r="BR44">
        <v>70</v>
      </c>
      <c r="BS44">
        <v>0</v>
      </c>
      <c r="BT44">
        <v>0</v>
      </c>
      <c r="BU44">
        <v>4</v>
      </c>
      <c r="BV44">
        <v>0</v>
      </c>
      <c r="BW44">
        <v>0</v>
      </c>
      <c r="BX44">
        <v>0</v>
      </c>
      <c r="BY44">
        <v>0</v>
      </c>
      <c r="BZ44">
        <v>0</v>
      </c>
      <c r="CA44">
        <v>0</v>
      </c>
      <c r="CB44">
        <v>0</v>
      </c>
    </row>
    <row r="45" spans="1:80" x14ac:dyDescent="0.25">
      <c r="A45">
        <v>17</v>
      </c>
      <c r="B45">
        <f>IF(ISNA(VLOOKUP($A45,SXS_Transit_input!$A$28:$W$49,MATCH(SXS_Transit_temp!B$28,SXS_Transit_input!$B$27:$W$27,0)+1,FALSE)),0,VLOOKUP($A45,SXS_Transit_input!$A$28:$W$49,MATCH(SXS_Transit_temp!B$28,SXS_Transit_input!$B$27:$W$27,0)+1,FALSE))+IF(ISNA(VLOOKUP($A45,SXS_Transit_input!$A$71:$L$81,MATCH(SXS_Transit_temp!B$28,SXS_Transit_input!$B$70:$L$70,0)+1,FALSE)),0,VLOOKUP($A45,SXS_Transit_input!$A$71:$L$81,MATCH(SXS_Transit_temp!B$28,SXS_Transit_input!$B$70:$L$70,0)+1,FALSE))</f>
        <v>0</v>
      </c>
      <c r="C45">
        <f>IF(ISNA(VLOOKUP($A45,SXS_Transit_input!$A$28:$W$49,MATCH(SXS_Transit_temp!C$28,SXS_Transit_input!$B$27:$W$27,0)+1,FALSE)),0,VLOOKUP($A45,SXS_Transit_input!$A$28:$W$49,MATCH(SXS_Transit_temp!C$28,SXS_Transit_input!$B$27:$W$27,0)+1,FALSE))+IF(ISNA(VLOOKUP($A45,SXS_Transit_input!$A$71:$L$81,MATCH(SXS_Transit_temp!C$28,SXS_Transit_input!$B$70:$L$70,0)+1,FALSE)),0,VLOOKUP($A45,SXS_Transit_input!$A$71:$L$81,MATCH(SXS_Transit_temp!C$28,SXS_Transit_input!$B$70:$L$70,0)+1,FALSE))</f>
        <v>0</v>
      </c>
      <c r="D45">
        <f>IF(ISNA(VLOOKUP($A45,SXS_Transit_input!$A$28:$W$49,MATCH(SXS_Transit_temp!D$28,SXS_Transit_input!$B$27:$W$27,0)+1,FALSE)),0,VLOOKUP($A45,SXS_Transit_input!$A$28:$W$49,MATCH(SXS_Transit_temp!D$28,SXS_Transit_input!$B$27:$W$27,0)+1,FALSE))+IF(ISNA(VLOOKUP($A45,SXS_Transit_input!$A$71:$L$81,MATCH(SXS_Transit_temp!D$28,SXS_Transit_input!$B$70:$L$70,0)+1,FALSE)),0,VLOOKUP($A45,SXS_Transit_input!$A$71:$L$81,MATCH(SXS_Transit_temp!D$28,SXS_Transit_input!$B$70:$L$70,0)+1,FALSE))</f>
        <v>0</v>
      </c>
      <c r="E45">
        <f>IF(ISNA(VLOOKUP($A45,SXS_Transit_input!$A$28:$W$49,MATCH(SXS_Transit_temp!E$28,SXS_Transit_input!$B$27:$W$27,0)+1,FALSE)),0,VLOOKUP($A45,SXS_Transit_input!$A$28:$W$49,MATCH(SXS_Transit_temp!E$28,SXS_Transit_input!$B$27:$W$27,0)+1,FALSE))+IF(ISNA(VLOOKUP($A45,SXS_Transit_input!$A$71:$L$81,MATCH(SXS_Transit_temp!E$28,SXS_Transit_input!$B$70:$L$70,0)+1,FALSE)),0,VLOOKUP($A45,SXS_Transit_input!$A$71:$L$81,MATCH(SXS_Transit_temp!E$28,SXS_Transit_input!$B$70:$L$70,0)+1,FALSE))</f>
        <v>0</v>
      </c>
      <c r="F45">
        <f>IF(ISNA(VLOOKUP($A45,SXS_Transit_input!$A$28:$W$49,MATCH(SXS_Transit_temp!F$28,SXS_Transit_input!$B$27:$W$27,0)+1,FALSE)),0,VLOOKUP($A45,SXS_Transit_input!$A$28:$W$49,MATCH(SXS_Transit_temp!F$28,SXS_Transit_input!$B$27:$W$27,0)+1,FALSE))+IF(ISNA(VLOOKUP($A45,SXS_Transit_input!$A$71:$L$81,MATCH(SXS_Transit_temp!F$28,SXS_Transit_input!$B$70:$L$70,0)+1,FALSE)),0,VLOOKUP($A45,SXS_Transit_input!$A$71:$L$81,MATCH(SXS_Transit_temp!F$28,SXS_Transit_input!$B$70:$L$70,0)+1,FALSE))</f>
        <v>0</v>
      </c>
      <c r="G45">
        <f>IF(ISNA(VLOOKUP($A45,SXS_Transit_input!$A$28:$W$49,MATCH(SXS_Transit_temp!G$28,SXS_Transit_input!$B$27:$W$27,0)+1,FALSE)),0,VLOOKUP($A45,SXS_Transit_input!$A$28:$W$49,MATCH(SXS_Transit_temp!G$28,SXS_Transit_input!$B$27:$W$27,0)+1,FALSE))+IF(ISNA(VLOOKUP($A45,SXS_Transit_input!$A$71:$L$81,MATCH(SXS_Transit_temp!G$28,SXS_Transit_input!$B$70:$L$70,0)+1,FALSE)),0,VLOOKUP($A45,SXS_Transit_input!$A$71:$L$81,MATCH(SXS_Transit_temp!G$28,SXS_Transit_input!$B$70:$L$70,0)+1,FALSE))</f>
        <v>0</v>
      </c>
      <c r="H45">
        <f>IF(ISNA(VLOOKUP($A45,SXS_Transit_input!$A$28:$W$49,MATCH(SXS_Transit_temp!H$28,SXS_Transit_input!$B$27:$W$27,0)+1,FALSE)),0,VLOOKUP($A45,SXS_Transit_input!$A$28:$W$49,MATCH(SXS_Transit_temp!H$28,SXS_Transit_input!$B$27:$W$27,0)+1,FALSE))+IF(ISNA(VLOOKUP($A45,SXS_Transit_input!$A$71:$L$81,MATCH(SXS_Transit_temp!H$28,SXS_Transit_input!$B$70:$L$70,0)+1,FALSE)),0,VLOOKUP($A45,SXS_Transit_input!$A$71:$L$81,MATCH(SXS_Transit_temp!H$28,SXS_Transit_input!$B$70:$L$70,0)+1,FALSE))</f>
        <v>0</v>
      </c>
      <c r="I45">
        <f>IF(ISNA(VLOOKUP($A45,SXS_Transit_input!$A$28:$W$49,MATCH(SXS_Transit_temp!I$28,SXS_Transit_input!$B$27:$W$27,0)+1,FALSE)),0,VLOOKUP($A45,SXS_Transit_input!$A$28:$W$49,MATCH(SXS_Transit_temp!I$28,SXS_Transit_input!$B$27:$W$27,0)+1,FALSE))+IF(ISNA(VLOOKUP($A45,SXS_Transit_input!$A$71:$L$81,MATCH(SXS_Transit_temp!I$28,SXS_Transit_input!$B$70:$L$70,0)+1,FALSE)),0,VLOOKUP($A45,SXS_Transit_input!$A$71:$L$81,MATCH(SXS_Transit_temp!I$28,SXS_Transit_input!$B$70:$L$70,0)+1,FALSE))</f>
        <v>0</v>
      </c>
      <c r="J45">
        <f>IF(ISNA(VLOOKUP($A45,SXS_Transit_input!$A$28:$W$49,MATCH(SXS_Transit_temp!J$28,SXS_Transit_input!$B$27:$W$27,0)+1,FALSE)),0,VLOOKUP($A45,SXS_Transit_input!$A$28:$W$49,MATCH(SXS_Transit_temp!J$28,SXS_Transit_input!$B$27:$W$27,0)+1,FALSE))+IF(ISNA(VLOOKUP($A45,SXS_Transit_input!$A$71:$L$81,MATCH(SXS_Transit_temp!J$28,SXS_Transit_input!$B$70:$L$70,0)+1,FALSE)),0,VLOOKUP($A45,SXS_Transit_input!$A$71:$L$81,MATCH(SXS_Transit_temp!J$28,SXS_Transit_input!$B$70:$L$70,0)+1,FALSE))</f>
        <v>0</v>
      </c>
      <c r="K45">
        <f>IF(ISNA(VLOOKUP($A45,SXS_Transit_input!$A$28:$W$49,MATCH(SXS_Transit_temp!K$28,SXS_Transit_input!$B$27:$W$27,0)+1,FALSE)),0,VLOOKUP($A45,SXS_Transit_input!$A$28:$W$49,MATCH(SXS_Transit_temp!K$28,SXS_Transit_input!$B$27:$W$27,0)+1,FALSE))+IF(ISNA(VLOOKUP($A45,SXS_Transit_input!$A$71:$L$81,MATCH(SXS_Transit_temp!K$28,SXS_Transit_input!$B$70:$L$70,0)+1,FALSE)),0,VLOOKUP($A45,SXS_Transit_input!$A$71:$L$81,MATCH(SXS_Transit_temp!K$28,SXS_Transit_input!$B$70:$L$70,0)+1,FALSE))</f>
        <v>0</v>
      </c>
      <c r="L45">
        <f>IF(ISNA(VLOOKUP($A45,SXS_Transit_input!$A$28:$W$49,MATCH(SXS_Transit_temp!L$28,SXS_Transit_input!$B$27:$W$27,0)+1,FALSE)),0,VLOOKUP($A45,SXS_Transit_input!$A$28:$W$49,MATCH(SXS_Transit_temp!L$28,SXS_Transit_input!$B$27:$W$27,0)+1,FALSE))+IF(ISNA(VLOOKUP($A45,SXS_Transit_input!$A$71:$L$81,MATCH(SXS_Transit_temp!L$28,SXS_Transit_input!$B$70:$L$70,0)+1,FALSE)),0,VLOOKUP($A45,SXS_Transit_input!$A$71:$L$81,MATCH(SXS_Transit_temp!L$28,SXS_Transit_input!$B$70:$L$70,0)+1,FALSE))</f>
        <v>0</v>
      </c>
      <c r="M45">
        <f>IF(ISNA(VLOOKUP($A45,SXS_Transit_input!$A$28:$W$49,MATCH(SXS_Transit_temp!M$28,SXS_Transit_input!$B$27:$W$27,0)+1,FALSE)),0,VLOOKUP($A45,SXS_Transit_input!$A$28:$W$49,MATCH(SXS_Transit_temp!M$28,SXS_Transit_input!$B$27:$W$27,0)+1,FALSE))+IF(ISNA(VLOOKUP($A45,SXS_Transit_input!$A$71:$L$81,MATCH(SXS_Transit_temp!M$28,SXS_Transit_input!$B$70:$L$70,0)+1,FALSE)),0,VLOOKUP($A45,SXS_Transit_input!$A$71:$L$81,MATCH(SXS_Transit_temp!M$28,SXS_Transit_input!$B$70:$L$70,0)+1,FALSE))</f>
        <v>0</v>
      </c>
      <c r="N45">
        <f>IF(ISNA(VLOOKUP($A45,SXS_Transit_input!$A$28:$W$49,MATCH(SXS_Transit_temp!N$28,SXS_Transit_input!$B$27:$W$27,0)+1,FALSE)),0,VLOOKUP($A45,SXS_Transit_input!$A$28:$W$49,MATCH(SXS_Transit_temp!N$28,SXS_Transit_input!$B$27:$W$27,0)+1,FALSE))+IF(ISNA(VLOOKUP($A45,SXS_Transit_input!$A$71:$L$81,MATCH(SXS_Transit_temp!N$28,SXS_Transit_input!$B$70:$L$70,0)+1,FALSE)),0,VLOOKUP($A45,SXS_Transit_input!$A$71:$L$81,MATCH(SXS_Transit_temp!N$28,SXS_Transit_input!$B$70:$L$70,0)+1,FALSE))</f>
        <v>0</v>
      </c>
      <c r="O45">
        <f>IF(ISNA(VLOOKUP($A45,SXS_Transit_input!$A$28:$W$49,MATCH(SXS_Transit_temp!O$28,SXS_Transit_input!$B$27:$W$27,0)+1,FALSE)),0,VLOOKUP($A45,SXS_Transit_input!$A$28:$W$49,MATCH(SXS_Transit_temp!O$28,SXS_Transit_input!$B$27:$W$27,0)+1,FALSE))+IF(ISNA(VLOOKUP($A45,SXS_Transit_input!$A$71:$L$81,MATCH(SXS_Transit_temp!O$28,SXS_Transit_input!$B$70:$L$70,0)+1,FALSE)),0,VLOOKUP($A45,SXS_Transit_input!$A$71:$L$81,MATCH(SXS_Transit_temp!O$28,SXS_Transit_input!$B$70:$L$70,0)+1,FALSE))</f>
        <v>0</v>
      </c>
      <c r="P45">
        <f>IF(ISNA(VLOOKUP($A45,SXS_Transit_input!$A$28:$W$49,MATCH(SXS_Transit_temp!P$28,SXS_Transit_input!$B$27:$W$27,0)+1,FALSE)),0,VLOOKUP($A45,SXS_Transit_input!$A$28:$W$49,MATCH(SXS_Transit_temp!P$28,SXS_Transit_input!$B$27:$W$27,0)+1,FALSE))+IF(ISNA(VLOOKUP($A45,SXS_Transit_input!$A$71:$L$81,MATCH(SXS_Transit_temp!P$28,SXS_Transit_input!$B$70:$L$70,0)+1,FALSE)),0,VLOOKUP($A45,SXS_Transit_input!$A$71:$L$81,MATCH(SXS_Transit_temp!P$28,SXS_Transit_input!$B$70:$L$70,0)+1,FALSE))</f>
        <v>0</v>
      </c>
      <c r="Q45">
        <f>IF(ISNA(VLOOKUP($A45,SXS_Transit_input!$A$28:$W$49,MATCH(SXS_Transit_temp!Q$28,SXS_Transit_input!$B$27:$W$27,0)+1,FALSE)),0,VLOOKUP($A45,SXS_Transit_input!$A$28:$W$49,MATCH(SXS_Transit_temp!Q$28,SXS_Transit_input!$B$27:$W$27,0)+1,FALSE))+IF(ISNA(VLOOKUP($A45,SXS_Transit_input!$A$71:$L$81,MATCH(SXS_Transit_temp!Q$28,SXS_Transit_input!$B$70:$L$70,0)+1,FALSE)),0,VLOOKUP($A45,SXS_Transit_input!$A$71:$L$81,MATCH(SXS_Transit_temp!Q$28,SXS_Transit_input!$B$70:$L$70,0)+1,FALSE))</f>
        <v>0</v>
      </c>
      <c r="R45">
        <f>IF(ISNA(VLOOKUP($A45,SXS_Transit_input!$A$28:$W$49,MATCH(SXS_Transit_temp!R$28,SXS_Transit_input!$B$27:$W$27,0)+1,FALSE)),0,VLOOKUP($A45,SXS_Transit_input!$A$28:$W$49,MATCH(SXS_Transit_temp!R$28,SXS_Transit_input!$B$27:$W$27,0)+1,FALSE))+IF(ISNA(VLOOKUP($A45,SXS_Transit_input!$A$71:$L$81,MATCH(SXS_Transit_temp!R$28,SXS_Transit_input!$B$70:$L$70,0)+1,FALSE)),0,VLOOKUP($A45,SXS_Transit_input!$A$71:$L$81,MATCH(SXS_Transit_temp!R$28,SXS_Transit_input!$B$70:$L$70,0)+1,FALSE))</f>
        <v>0</v>
      </c>
      <c r="S45">
        <f>IF(ISNA(VLOOKUP($A45,SXS_Transit_input!$A$28:$W$49,MATCH(SXS_Transit_temp!S$28,SXS_Transit_input!$B$27:$W$27,0)+1,FALSE)),0,VLOOKUP($A45,SXS_Transit_input!$A$28:$W$49,MATCH(SXS_Transit_temp!S$28,SXS_Transit_input!$B$27:$W$27,0)+1,FALSE))+IF(ISNA(VLOOKUP($A45,SXS_Transit_input!$A$71:$L$81,MATCH(SXS_Transit_temp!S$28,SXS_Transit_input!$B$70:$L$70,0)+1,FALSE)),0,VLOOKUP($A45,SXS_Transit_input!$A$71:$L$81,MATCH(SXS_Transit_temp!S$28,SXS_Transit_input!$B$70:$L$70,0)+1,FALSE))</f>
        <v>0</v>
      </c>
      <c r="T45">
        <f>IF(ISNA(VLOOKUP($A45,SXS_Transit_input!$A$28:$W$49,MATCH(SXS_Transit_temp!T$28,SXS_Transit_input!$B$27:$W$27,0)+1,FALSE)),0,VLOOKUP($A45,SXS_Transit_input!$A$28:$W$49,MATCH(SXS_Transit_temp!T$28,SXS_Transit_input!$B$27:$W$27,0)+1,FALSE))+IF(ISNA(VLOOKUP($A45,SXS_Transit_input!$A$71:$L$81,MATCH(SXS_Transit_temp!T$28,SXS_Transit_input!$B$70:$L$70,0)+1,FALSE)),0,VLOOKUP($A45,SXS_Transit_input!$A$71:$L$81,MATCH(SXS_Transit_temp!T$28,SXS_Transit_input!$B$70:$L$70,0)+1,FALSE))</f>
        <v>0</v>
      </c>
      <c r="U45">
        <f>IF(ISNA(VLOOKUP($A45,SXS_Transit_input!$A$28:$W$49,MATCH(SXS_Transit_temp!U$28,SXS_Transit_input!$B$27:$W$27,0)+1,FALSE)),0,VLOOKUP($A45,SXS_Transit_input!$A$28:$W$49,MATCH(SXS_Transit_temp!U$28,SXS_Transit_input!$B$27:$W$27,0)+1,FALSE))+IF(ISNA(VLOOKUP($A45,SXS_Transit_input!$A$71:$L$81,MATCH(SXS_Transit_temp!U$28,SXS_Transit_input!$B$70:$L$70,0)+1,FALSE)),0,VLOOKUP($A45,SXS_Transit_input!$A$71:$L$81,MATCH(SXS_Transit_temp!U$28,SXS_Transit_input!$B$70:$L$70,0)+1,FALSE))</f>
        <v>0</v>
      </c>
      <c r="V45">
        <f>IF(ISNA(VLOOKUP($A45,SXS_Transit_input!$A$28:$W$49,MATCH(SXS_Transit_temp!V$28,SXS_Transit_input!$B$27:$W$27,0)+1,FALSE)),0,VLOOKUP($A45,SXS_Transit_input!$A$28:$W$49,MATCH(SXS_Transit_temp!V$28,SXS_Transit_input!$B$27:$W$27,0)+1,FALSE))+IF(ISNA(VLOOKUP($A45,SXS_Transit_input!$A$71:$L$81,MATCH(SXS_Transit_temp!V$28,SXS_Transit_input!$B$70:$L$70,0)+1,FALSE)),0,VLOOKUP($A45,SXS_Transit_input!$A$71:$L$81,MATCH(SXS_Transit_temp!V$28,SXS_Transit_input!$B$70:$L$70,0)+1,FALSE))</f>
        <v>0</v>
      </c>
      <c r="W45">
        <f>IF(ISNA(VLOOKUP($A45,SXS_Transit_input!$A$28:$W$49,MATCH(SXS_Transit_temp!W$28,SXS_Transit_input!$B$27:$W$27,0)+1,FALSE)),0,VLOOKUP($A45,SXS_Transit_input!$A$28:$W$49,MATCH(SXS_Transit_temp!W$28,SXS_Transit_input!$B$27:$W$27,0)+1,FALSE))+IF(ISNA(VLOOKUP($A45,SXS_Transit_input!$A$71:$L$81,MATCH(SXS_Transit_temp!W$28,SXS_Transit_input!$B$70:$L$70,0)+1,FALSE)),0,VLOOKUP($A45,SXS_Transit_input!$A$71:$L$81,MATCH(SXS_Transit_temp!W$28,SXS_Transit_input!$B$70:$L$70,0)+1,FALSE))</f>
        <v>0</v>
      </c>
      <c r="X45">
        <f>IF(ISNA(VLOOKUP($A45,SXS_Transit_input!$A$28:$W$49,MATCH(SXS_Transit_temp!X$28,SXS_Transit_input!$B$27:$W$27,0)+1,FALSE)),0,VLOOKUP($A45,SXS_Transit_input!$A$28:$W$49,MATCH(SXS_Transit_temp!X$28,SXS_Transit_input!$B$27:$W$27,0)+1,FALSE))+IF(ISNA(VLOOKUP($A45,SXS_Transit_input!$A$71:$L$81,MATCH(SXS_Transit_temp!X$28,SXS_Transit_input!$B$70:$L$70,0)+1,FALSE)),0,VLOOKUP($A45,SXS_Transit_input!$A$71:$L$81,MATCH(SXS_Transit_temp!X$28,SXS_Transit_input!$B$70:$L$70,0)+1,FALSE))</f>
        <v>0</v>
      </c>
      <c r="Y45">
        <f>IF(ISNA(VLOOKUP($A45,SXS_Transit_input!$A$28:$W$49,MATCH(SXS_Transit_temp!Y$28,SXS_Transit_input!$B$27:$W$27,0)+1,FALSE)),0,VLOOKUP($A45,SXS_Transit_input!$A$28:$W$49,MATCH(SXS_Transit_temp!Y$28,SXS_Transit_input!$B$27:$W$27,0)+1,FALSE))+IF(ISNA(VLOOKUP($A45,SXS_Transit_input!$A$71:$L$81,MATCH(SXS_Transit_temp!Y$28,SXS_Transit_input!$B$70:$L$70,0)+1,FALSE)),0,VLOOKUP($A45,SXS_Transit_input!$A$71:$L$81,MATCH(SXS_Transit_temp!Y$28,SXS_Transit_input!$B$70:$L$70,0)+1,FALSE))</f>
        <v>0</v>
      </c>
      <c r="Z45">
        <f>IF(ISNA(VLOOKUP($A45,SXS_Transit_input!$A$28:$W$49,MATCH(SXS_Transit_temp!Z$28,SXS_Transit_input!$B$27:$W$27,0)+1,FALSE)),0,VLOOKUP($A45,SXS_Transit_input!$A$28:$W$49,MATCH(SXS_Transit_temp!Z$28,SXS_Transit_input!$B$27:$W$27,0)+1,FALSE))+IF(ISNA(VLOOKUP($A45,SXS_Transit_input!$A$71:$L$81,MATCH(SXS_Transit_temp!Z$28,SXS_Transit_input!$B$70:$L$70,0)+1,FALSE)),0,VLOOKUP($A45,SXS_Transit_input!$A$71:$L$81,MATCH(SXS_Transit_temp!Z$28,SXS_Transit_input!$B$70:$L$70,0)+1,FALSE))</f>
        <v>0</v>
      </c>
      <c r="AA45">
        <v>17</v>
      </c>
      <c r="AB45" s="33">
        <f t="shared" si="27"/>
        <v>2</v>
      </c>
      <c r="AC45" s="34">
        <f t="shared" si="37"/>
        <v>0</v>
      </c>
      <c r="AD45" s="34">
        <f t="shared" si="38"/>
        <v>0</v>
      </c>
      <c r="AE45" s="34">
        <f t="shared" si="39"/>
        <v>0</v>
      </c>
      <c r="AF45" s="34">
        <f t="shared" si="40"/>
        <v>0</v>
      </c>
      <c r="AG45" s="34">
        <f t="shared" si="41"/>
        <v>0</v>
      </c>
      <c r="AH45" s="34">
        <f t="shared" si="42"/>
        <v>0</v>
      </c>
      <c r="AI45" s="34">
        <f t="shared" si="43"/>
        <v>4</v>
      </c>
      <c r="AJ45" s="34">
        <f t="shared" si="44"/>
        <v>0</v>
      </c>
      <c r="AK45" s="34">
        <f t="shared" si="45"/>
        <v>0</v>
      </c>
      <c r="AL45" s="34">
        <f t="shared" si="46"/>
        <v>0</v>
      </c>
      <c r="AM45" s="34">
        <f t="shared" si="47"/>
        <v>0</v>
      </c>
      <c r="AN45" s="34">
        <f t="shared" si="48"/>
        <v>0</v>
      </c>
      <c r="AO45" s="34">
        <f t="shared" si="49"/>
        <v>0</v>
      </c>
      <c r="AP45" s="34">
        <f t="shared" si="50"/>
        <v>0</v>
      </c>
      <c r="AQ45" s="34">
        <f t="shared" si="51"/>
        <v>0</v>
      </c>
      <c r="AR45" s="34">
        <f t="shared" si="28"/>
        <v>0</v>
      </c>
      <c r="AS45" s="34">
        <f t="shared" si="29"/>
        <v>0</v>
      </c>
      <c r="AT45" s="34">
        <f t="shared" si="30"/>
        <v>0</v>
      </c>
      <c r="AU45" s="34">
        <f t="shared" si="31"/>
        <v>0</v>
      </c>
      <c r="AV45" s="34">
        <f t="shared" si="32"/>
        <v>0</v>
      </c>
      <c r="AW45" s="34">
        <f t="shared" si="33"/>
        <v>0</v>
      </c>
      <c r="AX45" s="34">
        <f t="shared" si="34"/>
        <v>0</v>
      </c>
      <c r="AY45" s="34">
        <f t="shared" si="35"/>
        <v>0</v>
      </c>
      <c r="AZ45" s="35">
        <f t="shared" si="36"/>
        <v>0</v>
      </c>
      <c r="BC45" s="157">
        <v>16</v>
      </c>
      <c r="BD45">
        <v>32</v>
      </c>
      <c r="BE45">
        <v>0</v>
      </c>
      <c r="BF45">
        <v>0</v>
      </c>
      <c r="BG45">
        <v>0</v>
      </c>
      <c r="BH45">
        <v>0</v>
      </c>
      <c r="BI45">
        <v>0</v>
      </c>
      <c r="BJ45">
        <v>0</v>
      </c>
      <c r="BK45">
        <v>0</v>
      </c>
      <c r="BL45">
        <v>0</v>
      </c>
      <c r="BM45">
        <v>0</v>
      </c>
      <c r="BN45">
        <v>0</v>
      </c>
      <c r="BO45">
        <v>0</v>
      </c>
      <c r="BP45">
        <v>0</v>
      </c>
      <c r="BQ45">
        <v>0</v>
      </c>
      <c r="BR45">
        <v>0</v>
      </c>
      <c r="BS45">
        <v>0</v>
      </c>
      <c r="BT45">
        <v>0</v>
      </c>
      <c r="BU45">
        <v>0</v>
      </c>
      <c r="BV45">
        <v>0</v>
      </c>
      <c r="BW45">
        <v>2</v>
      </c>
      <c r="BX45">
        <v>4</v>
      </c>
      <c r="BY45">
        <v>0</v>
      </c>
      <c r="BZ45">
        <v>0</v>
      </c>
      <c r="CA45">
        <v>0</v>
      </c>
      <c r="CB45">
        <v>0</v>
      </c>
    </row>
    <row r="46" spans="1:80" x14ac:dyDescent="0.25">
      <c r="A46">
        <v>18</v>
      </c>
      <c r="B46">
        <f>IF(ISNA(VLOOKUP($A46,SXS_Transit_input!$A$28:$W$49,MATCH(SXS_Transit_temp!B$28,SXS_Transit_input!$B$27:$W$27,0)+1,FALSE)),0,VLOOKUP($A46,SXS_Transit_input!$A$28:$W$49,MATCH(SXS_Transit_temp!B$28,SXS_Transit_input!$B$27:$W$27,0)+1,FALSE))+IF(ISNA(VLOOKUP($A46,SXS_Transit_input!$A$71:$L$81,MATCH(SXS_Transit_temp!B$28,SXS_Transit_input!$B$70:$L$70,0)+1,FALSE)),0,VLOOKUP($A46,SXS_Transit_input!$A$71:$L$81,MATCH(SXS_Transit_temp!B$28,SXS_Transit_input!$B$70:$L$70,0)+1,FALSE))</f>
        <v>0</v>
      </c>
      <c r="C46">
        <f>IF(ISNA(VLOOKUP($A46,SXS_Transit_input!$A$28:$W$49,MATCH(SXS_Transit_temp!C$28,SXS_Transit_input!$B$27:$W$27,0)+1,FALSE)),0,VLOOKUP($A46,SXS_Transit_input!$A$28:$W$49,MATCH(SXS_Transit_temp!C$28,SXS_Transit_input!$B$27:$W$27,0)+1,FALSE))+IF(ISNA(VLOOKUP($A46,SXS_Transit_input!$A$71:$L$81,MATCH(SXS_Transit_temp!C$28,SXS_Transit_input!$B$70:$L$70,0)+1,FALSE)),0,VLOOKUP($A46,SXS_Transit_input!$A$71:$L$81,MATCH(SXS_Transit_temp!C$28,SXS_Transit_input!$B$70:$L$70,0)+1,FALSE))</f>
        <v>0</v>
      </c>
      <c r="D46">
        <f>IF(ISNA(VLOOKUP($A46,SXS_Transit_input!$A$28:$W$49,MATCH(SXS_Transit_temp!D$28,SXS_Transit_input!$B$27:$W$27,0)+1,FALSE)),0,VLOOKUP($A46,SXS_Transit_input!$A$28:$W$49,MATCH(SXS_Transit_temp!D$28,SXS_Transit_input!$B$27:$W$27,0)+1,FALSE))+IF(ISNA(VLOOKUP($A46,SXS_Transit_input!$A$71:$L$81,MATCH(SXS_Transit_temp!D$28,SXS_Transit_input!$B$70:$L$70,0)+1,FALSE)),0,VLOOKUP($A46,SXS_Transit_input!$A$71:$L$81,MATCH(SXS_Transit_temp!D$28,SXS_Transit_input!$B$70:$L$70,0)+1,FALSE))</f>
        <v>0</v>
      </c>
      <c r="E46">
        <f>IF(ISNA(VLOOKUP($A46,SXS_Transit_input!$A$28:$W$49,MATCH(SXS_Transit_temp!E$28,SXS_Transit_input!$B$27:$W$27,0)+1,FALSE)),0,VLOOKUP($A46,SXS_Transit_input!$A$28:$W$49,MATCH(SXS_Transit_temp!E$28,SXS_Transit_input!$B$27:$W$27,0)+1,FALSE))+IF(ISNA(VLOOKUP($A46,SXS_Transit_input!$A$71:$L$81,MATCH(SXS_Transit_temp!E$28,SXS_Transit_input!$B$70:$L$70,0)+1,FALSE)),0,VLOOKUP($A46,SXS_Transit_input!$A$71:$L$81,MATCH(SXS_Transit_temp!E$28,SXS_Transit_input!$B$70:$L$70,0)+1,FALSE))</f>
        <v>0</v>
      </c>
      <c r="F46">
        <f>IF(ISNA(VLOOKUP($A46,SXS_Transit_input!$A$28:$W$49,MATCH(SXS_Transit_temp!F$28,SXS_Transit_input!$B$27:$W$27,0)+1,FALSE)),0,VLOOKUP($A46,SXS_Transit_input!$A$28:$W$49,MATCH(SXS_Transit_temp!F$28,SXS_Transit_input!$B$27:$W$27,0)+1,FALSE))+IF(ISNA(VLOOKUP($A46,SXS_Transit_input!$A$71:$L$81,MATCH(SXS_Transit_temp!F$28,SXS_Transit_input!$B$70:$L$70,0)+1,FALSE)),0,VLOOKUP($A46,SXS_Transit_input!$A$71:$L$81,MATCH(SXS_Transit_temp!F$28,SXS_Transit_input!$B$70:$L$70,0)+1,FALSE))</f>
        <v>0</v>
      </c>
      <c r="G46">
        <f>IF(ISNA(VLOOKUP($A46,SXS_Transit_input!$A$28:$W$49,MATCH(SXS_Transit_temp!G$28,SXS_Transit_input!$B$27:$W$27,0)+1,FALSE)),0,VLOOKUP($A46,SXS_Transit_input!$A$28:$W$49,MATCH(SXS_Transit_temp!G$28,SXS_Transit_input!$B$27:$W$27,0)+1,FALSE))+IF(ISNA(VLOOKUP($A46,SXS_Transit_input!$A$71:$L$81,MATCH(SXS_Transit_temp!G$28,SXS_Transit_input!$B$70:$L$70,0)+1,FALSE)),0,VLOOKUP($A46,SXS_Transit_input!$A$71:$L$81,MATCH(SXS_Transit_temp!G$28,SXS_Transit_input!$B$70:$L$70,0)+1,FALSE))</f>
        <v>0</v>
      </c>
      <c r="H46">
        <f>IF(ISNA(VLOOKUP($A46,SXS_Transit_input!$A$28:$W$49,MATCH(SXS_Transit_temp!H$28,SXS_Transit_input!$B$27:$W$27,0)+1,FALSE)),0,VLOOKUP($A46,SXS_Transit_input!$A$28:$W$49,MATCH(SXS_Transit_temp!H$28,SXS_Transit_input!$B$27:$W$27,0)+1,FALSE))+IF(ISNA(VLOOKUP($A46,SXS_Transit_input!$A$71:$L$81,MATCH(SXS_Transit_temp!H$28,SXS_Transit_input!$B$70:$L$70,0)+1,FALSE)),0,VLOOKUP($A46,SXS_Transit_input!$A$71:$L$81,MATCH(SXS_Transit_temp!H$28,SXS_Transit_input!$B$70:$L$70,0)+1,FALSE))</f>
        <v>455.06024000000002</v>
      </c>
      <c r="I46">
        <f>IF(ISNA(VLOOKUP($A46,SXS_Transit_input!$A$28:$W$49,MATCH(SXS_Transit_temp!I$28,SXS_Transit_input!$B$27:$W$27,0)+1,FALSE)),0,VLOOKUP($A46,SXS_Transit_input!$A$28:$W$49,MATCH(SXS_Transit_temp!I$28,SXS_Transit_input!$B$27:$W$27,0)+1,FALSE))+IF(ISNA(VLOOKUP($A46,SXS_Transit_input!$A$71:$L$81,MATCH(SXS_Transit_temp!I$28,SXS_Transit_input!$B$70:$L$70,0)+1,FALSE)),0,VLOOKUP($A46,SXS_Transit_input!$A$71:$L$81,MATCH(SXS_Transit_temp!I$28,SXS_Transit_input!$B$70:$L$70,0)+1,FALSE))</f>
        <v>36.317729999999997</v>
      </c>
      <c r="J46">
        <f>IF(ISNA(VLOOKUP($A46,SXS_Transit_input!$A$28:$W$49,MATCH(SXS_Transit_temp!J$28,SXS_Transit_input!$B$27:$W$27,0)+1,FALSE)),0,VLOOKUP($A46,SXS_Transit_input!$A$28:$W$49,MATCH(SXS_Transit_temp!J$28,SXS_Transit_input!$B$27:$W$27,0)+1,FALSE))+IF(ISNA(VLOOKUP($A46,SXS_Transit_input!$A$71:$L$81,MATCH(SXS_Transit_temp!J$28,SXS_Transit_input!$B$70:$L$70,0)+1,FALSE)),0,VLOOKUP($A46,SXS_Transit_input!$A$71:$L$81,MATCH(SXS_Transit_temp!J$28,SXS_Transit_input!$B$70:$L$70,0)+1,FALSE))</f>
        <v>0</v>
      </c>
      <c r="K46">
        <f>IF(ISNA(VLOOKUP($A46,SXS_Transit_input!$A$28:$W$49,MATCH(SXS_Transit_temp!K$28,SXS_Transit_input!$B$27:$W$27,0)+1,FALSE)),0,VLOOKUP($A46,SXS_Transit_input!$A$28:$W$49,MATCH(SXS_Transit_temp!K$28,SXS_Transit_input!$B$27:$W$27,0)+1,FALSE))+IF(ISNA(VLOOKUP($A46,SXS_Transit_input!$A$71:$L$81,MATCH(SXS_Transit_temp!K$28,SXS_Transit_input!$B$70:$L$70,0)+1,FALSE)),0,VLOOKUP($A46,SXS_Transit_input!$A$71:$L$81,MATCH(SXS_Transit_temp!K$28,SXS_Transit_input!$B$70:$L$70,0)+1,FALSE))</f>
        <v>0</v>
      </c>
      <c r="L46">
        <f>IF(ISNA(VLOOKUP($A46,SXS_Transit_input!$A$28:$W$49,MATCH(SXS_Transit_temp!L$28,SXS_Transit_input!$B$27:$W$27,0)+1,FALSE)),0,VLOOKUP($A46,SXS_Transit_input!$A$28:$W$49,MATCH(SXS_Transit_temp!L$28,SXS_Transit_input!$B$27:$W$27,0)+1,FALSE))+IF(ISNA(VLOOKUP($A46,SXS_Transit_input!$A$71:$L$81,MATCH(SXS_Transit_temp!L$28,SXS_Transit_input!$B$70:$L$70,0)+1,FALSE)),0,VLOOKUP($A46,SXS_Transit_input!$A$71:$L$81,MATCH(SXS_Transit_temp!L$28,SXS_Transit_input!$B$70:$L$70,0)+1,FALSE))</f>
        <v>0</v>
      </c>
      <c r="M46">
        <f>IF(ISNA(VLOOKUP($A46,SXS_Transit_input!$A$28:$W$49,MATCH(SXS_Transit_temp!M$28,SXS_Transit_input!$B$27:$W$27,0)+1,FALSE)),0,VLOOKUP($A46,SXS_Transit_input!$A$28:$W$49,MATCH(SXS_Transit_temp!M$28,SXS_Transit_input!$B$27:$W$27,0)+1,FALSE))+IF(ISNA(VLOOKUP($A46,SXS_Transit_input!$A$71:$L$81,MATCH(SXS_Transit_temp!M$28,SXS_Transit_input!$B$70:$L$70,0)+1,FALSE)),0,VLOOKUP($A46,SXS_Transit_input!$A$71:$L$81,MATCH(SXS_Transit_temp!M$28,SXS_Transit_input!$B$70:$L$70,0)+1,FALSE))</f>
        <v>0</v>
      </c>
      <c r="N46">
        <f>IF(ISNA(VLOOKUP($A46,SXS_Transit_input!$A$28:$W$49,MATCH(SXS_Transit_temp!N$28,SXS_Transit_input!$B$27:$W$27,0)+1,FALSE)),0,VLOOKUP($A46,SXS_Transit_input!$A$28:$W$49,MATCH(SXS_Transit_temp!N$28,SXS_Transit_input!$B$27:$W$27,0)+1,FALSE))+IF(ISNA(VLOOKUP($A46,SXS_Transit_input!$A$71:$L$81,MATCH(SXS_Transit_temp!N$28,SXS_Transit_input!$B$70:$L$70,0)+1,FALSE)),0,VLOOKUP($A46,SXS_Transit_input!$A$71:$L$81,MATCH(SXS_Transit_temp!N$28,SXS_Transit_input!$B$70:$L$70,0)+1,FALSE))</f>
        <v>0</v>
      </c>
      <c r="O46">
        <f>IF(ISNA(VLOOKUP($A46,SXS_Transit_input!$A$28:$W$49,MATCH(SXS_Transit_temp!O$28,SXS_Transit_input!$B$27:$W$27,0)+1,FALSE)),0,VLOOKUP($A46,SXS_Transit_input!$A$28:$W$49,MATCH(SXS_Transit_temp!O$28,SXS_Transit_input!$B$27:$W$27,0)+1,FALSE))+IF(ISNA(VLOOKUP($A46,SXS_Transit_input!$A$71:$L$81,MATCH(SXS_Transit_temp!O$28,SXS_Transit_input!$B$70:$L$70,0)+1,FALSE)),0,VLOOKUP($A46,SXS_Transit_input!$A$71:$L$81,MATCH(SXS_Transit_temp!O$28,SXS_Transit_input!$B$70:$L$70,0)+1,FALSE))</f>
        <v>15.00403</v>
      </c>
      <c r="P46">
        <f>IF(ISNA(VLOOKUP($A46,SXS_Transit_input!$A$28:$W$49,MATCH(SXS_Transit_temp!P$28,SXS_Transit_input!$B$27:$W$27,0)+1,FALSE)),0,VLOOKUP($A46,SXS_Transit_input!$A$28:$W$49,MATCH(SXS_Transit_temp!P$28,SXS_Transit_input!$B$27:$W$27,0)+1,FALSE))+IF(ISNA(VLOOKUP($A46,SXS_Transit_input!$A$71:$L$81,MATCH(SXS_Transit_temp!P$28,SXS_Transit_input!$B$70:$L$70,0)+1,FALSE)),0,VLOOKUP($A46,SXS_Transit_input!$A$71:$L$81,MATCH(SXS_Transit_temp!P$28,SXS_Transit_input!$B$70:$L$70,0)+1,FALSE))</f>
        <v>0</v>
      </c>
      <c r="Q46">
        <f>IF(ISNA(VLOOKUP($A46,SXS_Transit_input!$A$28:$W$49,MATCH(SXS_Transit_temp!Q$28,SXS_Transit_input!$B$27:$W$27,0)+1,FALSE)),0,VLOOKUP($A46,SXS_Transit_input!$A$28:$W$49,MATCH(SXS_Transit_temp!Q$28,SXS_Transit_input!$B$27:$W$27,0)+1,FALSE))+IF(ISNA(VLOOKUP($A46,SXS_Transit_input!$A$71:$L$81,MATCH(SXS_Transit_temp!Q$28,SXS_Transit_input!$B$70:$L$70,0)+1,FALSE)),0,VLOOKUP($A46,SXS_Transit_input!$A$71:$L$81,MATCH(SXS_Transit_temp!Q$28,SXS_Transit_input!$B$70:$L$70,0)+1,FALSE))</f>
        <v>0</v>
      </c>
      <c r="R46">
        <f>IF(ISNA(VLOOKUP($A46,SXS_Transit_input!$A$28:$W$49,MATCH(SXS_Transit_temp!R$28,SXS_Transit_input!$B$27:$W$27,0)+1,FALSE)),0,VLOOKUP($A46,SXS_Transit_input!$A$28:$W$49,MATCH(SXS_Transit_temp!R$28,SXS_Transit_input!$B$27:$W$27,0)+1,FALSE))+IF(ISNA(VLOOKUP($A46,SXS_Transit_input!$A$71:$L$81,MATCH(SXS_Transit_temp!R$28,SXS_Transit_input!$B$70:$L$70,0)+1,FALSE)),0,VLOOKUP($A46,SXS_Transit_input!$A$71:$L$81,MATCH(SXS_Transit_temp!R$28,SXS_Transit_input!$B$70:$L$70,0)+1,FALSE))</f>
        <v>0</v>
      </c>
      <c r="S46">
        <f>IF(ISNA(VLOOKUP($A46,SXS_Transit_input!$A$28:$W$49,MATCH(SXS_Transit_temp!S$28,SXS_Transit_input!$B$27:$W$27,0)+1,FALSE)),0,VLOOKUP($A46,SXS_Transit_input!$A$28:$W$49,MATCH(SXS_Transit_temp!S$28,SXS_Transit_input!$B$27:$W$27,0)+1,FALSE))+IF(ISNA(VLOOKUP($A46,SXS_Transit_input!$A$71:$L$81,MATCH(SXS_Transit_temp!S$28,SXS_Transit_input!$B$70:$L$70,0)+1,FALSE)),0,VLOOKUP($A46,SXS_Transit_input!$A$71:$L$81,MATCH(SXS_Transit_temp!S$28,SXS_Transit_input!$B$70:$L$70,0)+1,FALSE))</f>
        <v>0</v>
      </c>
      <c r="T46">
        <f>IF(ISNA(VLOOKUP($A46,SXS_Transit_input!$A$28:$W$49,MATCH(SXS_Transit_temp!T$28,SXS_Transit_input!$B$27:$W$27,0)+1,FALSE)),0,VLOOKUP($A46,SXS_Transit_input!$A$28:$W$49,MATCH(SXS_Transit_temp!T$28,SXS_Transit_input!$B$27:$W$27,0)+1,FALSE))+IF(ISNA(VLOOKUP($A46,SXS_Transit_input!$A$71:$L$81,MATCH(SXS_Transit_temp!T$28,SXS_Transit_input!$B$70:$L$70,0)+1,FALSE)),0,VLOOKUP($A46,SXS_Transit_input!$A$71:$L$81,MATCH(SXS_Transit_temp!T$28,SXS_Transit_input!$B$70:$L$70,0)+1,FALSE))</f>
        <v>0</v>
      </c>
      <c r="U46">
        <f>IF(ISNA(VLOOKUP($A46,SXS_Transit_input!$A$28:$W$49,MATCH(SXS_Transit_temp!U$28,SXS_Transit_input!$B$27:$W$27,0)+1,FALSE)),0,VLOOKUP($A46,SXS_Transit_input!$A$28:$W$49,MATCH(SXS_Transit_temp!U$28,SXS_Transit_input!$B$27:$W$27,0)+1,FALSE))+IF(ISNA(VLOOKUP($A46,SXS_Transit_input!$A$71:$L$81,MATCH(SXS_Transit_temp!U$28,SXS_Transit_input!$B$70:$L$70,0)+1,FALSE)),0,VLOOKUP($A46,SXS_Transit_input!$A$71:$L$81,MATCH(SXS_Transit_temp!U$28,SXS_Transit_input!$B$70:$L$70,0)+1,FALSE))</f>
        <v>0</v>
      </c>
      <c r="V46">
        <f>IF(ISNA(VLOOKUP($A46,SXS_Transit_input!$A$28:$W$49,MATCH(SXS_Transit_temp!V$28,SXS_Transit_input!$B$27:$W$27,0)+1,FALSE)),0,VLOOKUP($A46,SXS_Transit_input!$A$28:$W$49,MATCH(SXS_Transit_temp!V$28,SXS_Transit_input!$B$27:$W$27,0)+1,FALSE))+IF(ISNA(VLOOKUP($A46,SXS_Transit_input!$A$71:$L$81,MATCH(SXS_Transit_temp!V$28,SXS_Transit_input!$B$70:$L$70,0)+1,FALSE)),0,VLOOKUP($A46,SXS_Transit_input!$A$71:$L$81,MATCH(SXS_Transit_temp!V$28,SXS_Transit_input!$B$70:$L$70,0)+1,FALSE))</f>
        <v>0</v>
      </c>
      <c r="W46">
        <f>IF(ISNA(VLOOKUP($A46,SXS_Transit_input!$A$28:$W$49,MATCH(SXS_Transit_temp!W$28,SXS_Transit_input!$B$27:$W$27,0)+1,FALSE)),0,VLOOKUP($A46,SXS_Transit_input!$A$28:$W$49,MATCH(SXS_Transit_temp!W$28,SXS_Transit_input!$B$27:$W$27,0)+1,FALSE))+IF(ISNA(VLOOKUP($A46,SXS_Transit_input!$A$71:$L$81,MATCH(SXS_Transit_temp!W$28,SXS_Transit_input!$B$70:$L$70,0)+1,FALSE)),0,VLOOKUP($A46,SXS_Transit_input!$A$71:$L$81,MATCH(SXS_Transit_temp!W$28,SXS_Transit_input!$B$70:$L$70,0)+1,FALSE))</f>
        <v>0</v>
      </c>
      <c r="X46">
        <f>IF(ISNA(VLOOKUP($A46,SXS_Transit_input!$A$28:$W$49,MATCH(SXS_Transit_temp!X$28,SXS_Transit_input!$B$27:$W$27,0)+1,FALSE)),0,VLOOKUP($A46,SXS_Transit_input!$A$28:$W$49,MATCH(SXS_Transit_temp!X$28,SXS_Transit_input!$B$27:$W$27,0)+1,FALSE))+IF(ISNA(VLOOKUP($A46,SXS_Transit_input!$A$71:$L$81,MATCH(SXS_Transit_temp!X$28,SXS_Transit_input!$B$70:$L$70,0)+1,FALSE)),0,VLOOKUP($A46,SXS_Transit_input!$A$71:$L$81,MATCH(SXS_Transit_temp!X$28,SXS_Transit_input!$B$70:$L$70,0)+1,FALSE))</f>
        <v>0</v>
      </c>
      <c r="Y46">
        <f>IF(ISNA(VLOOKUP($A46,SXS_Transit_input!$A$28:$W$49,MATCH(SXS_Transit_temp!Y$28,SXS_Transit_input!$B$27:$W$27,0)+1,FALSE)),0,VLOOKUP($A46,SXS_Transit_input!$A$28:$W$49,MATCH(SXS_Transit_temp!Y$28,SXS_Transit_input!$B$27:$W$27,0)+1,FALSE))+IF(ISNA(VLOOKUP($A46,SXS_Transit_input!$A$71:$L$81,MATCH(SXS_Transit_temp!Y$28,SXS_Transit_input!$B$70:$L$70,0)+1,FALSE)),0,VLOOKUP($A46,SXS_Transit_input!$A$71:$L$81,MATCH(SXS_Transit_temp!Y$28,SXS_Transit_input!$B$70:$L$70,0)+1,FALSE))</f>
        <v>0</v>
      </c>
      <c r="Z46">
        <f>IF(ISNA(VLOOKUP($A46,SXS_Transit_input!$A$28:$W$49,MATCH(SXS_Transit_temp!Z$28,SXS_Transit_input!$B$27:$W$27,0)+1,FALSE)),0,VLOOKUP($A46,SXS_Transit_input!$A$28:$W$49,MATCH(SXS_Transit_temp!Z$28,SXS_Transit_input!$B$27:$W$27,0)+1,FALSE))+IF(ISNA(VLOOKUP($A46,SXS_Transit_input!$A$71:$L$81,MATCH(SXS_Transit_temp!Z$28,SXS_Transit_input!$B$70:$L$70,0)+1,FALSE)),0,VLOOKUP($A46,SXS_Transit_input!$A$71:$L$81,MATCH(SXS_Transit_temp!Z$28,SXS_Transit_input!$B$70:$L$70,0)+1,FALSE))</f>
        <v>0</v>
      </c>
      <c r="AA46">
        <v>18</v>
      </c>
      <c r="AB46" s="33">
        <f t="shared" si="27"/>
        <v>408</v>
      </c>
      <c r="AC46" s="34">
        <f t="shared" si="37"/>
        <v>0</v>
      </c>
      <c r="AD46" s="34">
        <f t="shared" si="38"/>
        <v>0</v>
      </c>
      <c r="AE46" s="34">
        <f t="shared" si="39"/>
        <v>2</v>
      </c>
      <c r="AF46" s="34">
        <f t="shared" si="40"/>
        <v>0</v>
      </c>
      <c r="AG46" s="34">
        <f t="shared" si="41"/>
        <v>0</v>
      </c>
      <c r="AH46" s="34">
        <f t="shared" si="42"/>
        <v>0</v>
      </c>
      <c r="AI46" s="34">
        <f t="shared" si="43"/>
        <v>12</v>
      </c>
      <c r="AJ46" s="34">
        <f t="shared" si="44"/>
        <v>0</v>
      </c>
      <c r="AK46" s="34">
        <f t="shared" si="45"/>
        <v>0</v>
      </c>
      <c r="AL46" s="34">
        <f t="shared" si="46"/>
        <v>0</v>
      </c>
      <c r="AM46" s="34">
        <f t="shared" si="47"/>
        <v>0</v>
      </c>
      <c r="AN46" s="34">
        <f t="shared" si="48"/>
        <v>0</v>
      </c>
      <c r="AO46" s="34">
        <f t="shared" si="49"/>
        <v>0</v>
      </c>
      <c r="AP46" s="34">
        <f t="shared" si="50"/>
        <v>2</v>
      </c>
      <c r="AQ46" s="34">
        <f t="shared" si="51"/>
        <v>0</v>
      </c>
      <c r="AR46" s="34">
        <f t="shared" si="28"/>
        <v>0</v>
      </c>
      <c r="AS46" s="34">
        <f t="shared" si="29"/>
        <v>4</v>
      </c>
      <c r="AT46" s="34">
        <f t="shared" si="30"/>
        <v>2</v>
      </c>
      <c r="AU46" s="34">
        <f t="shared" si="31"/>
        <v>2</v>
      </c>
      <c r="AV46" s="34">
        <f t="shared" si="32"/>
        <v>0</v>
      </c>
      <c r="AW46" s="34">
        <f t="shared" si="33"/>
        <v>0</v>
      </c>
      <c r="AX46" s="34">
        <f t="shared" si="34"/>
        <v>0</v>
      </c>
      <c r="AY46" s="34">
        <f t="shared" si="35"/>
        <v>0</v>
      </c>
      <c r="AZ46" s="35">
        <f t="shared" si="36"/>
        <v>0</v>
      </c>
      <c r="BC46" s="157">
        <v>17</v>
      </c>
      <c r="BD46">
        <v>2</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row>
    <row r="47" spans="1:80" x14ac:dyDescent="0.25">
      <c r="A47">
        <v>19</v>
      </c>
      <c r="B47">
        <f>IF(ISNA(VLOOKUP($A47,SXS_Transit_input!$A$28:$W$49,MATCH(SXS_Transit_temp!B$28,SXS_Transit_input!$B$27:$W$27,0)+1,FALSE)),0,VLOOKUP($A47,SXS_Transit_input!$A$28:$W$49,MATCH(SXS_Transit_temp!B$28,SXS_Transit_input!$B$27:$W$27,0)+1,FALSE))+IF(ISNA(VLOOKUP($A47,SXS_Transit_input!$A$71:$L$81,MATCH(SXS_Transit_temp!B$28,SXS_Transit_input!$B$70:$L$70,0)+1,FALSE)),0,VLOOKUP($A47,SXS_Transit_input!$A$71:$L$81,MATCH(SXS_Transit_temp!B$28,SXS_Transit_input!$B$70:$L$70,0)+1,FALSE))</f>
        <v>0</v>
      </c>
      <c r="C47">
        <f>IF(ISNA(VLOOKUP($A47,SXS_Transit_input!$A$28:$W$49,MATCH(SXS_Transit_temp!C$28,SXS_Transit_input!$B$27:$W$27,0)+1,FALSE)),0,VLOOKUP($A47,SXS_Transit_input!$A$28:$W$49,MATCH(SXS_Transit_temp!C$28,SXS_Transit_input!$B$27:$W$27,0)+1,FALSE))+IF(ISNA(VLOOKUP($A47,SXS_Transit_input!$A$71:$L$81,MATCH(SXS_Transit_temp!C$28,SXS_Transit_input!$B$70:$L$70,0)+1,FALSE)),0,VLOOKUP($A47,SXS_Transit_input!$A$71:$L$81,MATCH(SXS_Transit_temp!C$28,SXS_Transit_input!$B$70:$L$70,0)+1,FALSE))</f>
        <v>0</v>
      </c>
      <c r="D47">
        <f>IF(ISNA(VLOOKUP($A47,SXS_Transit_input!$A$28:$W$49,MATCH(SXS_Transit_temp!D$28,SXS_Transit_input!$B$27:$W$27,0)+1,FALSE)),0,VLOOKUP($A47,SXS_Transit_input!$A$28:$W$49,MATCH(SXS_Transit_temp!D$28,SXS_Transit_input!$B$27:$W$27,0)+1,FALSE))+IF(ISNA(VLOOKUP($A47,SXS_Transit_input!$A$71:$L$81,MATCH(SXS_Transit_temp!D$28,SXS_Transit_input!$B$70:$L$70,0)+1,FALSE)),0,VLOOKUP($A47,SXS_Transit_input!$A$71:$L$81,MATCH(SXS_Transit_temp!D$28,SXS_Transit_input!$B$70:$L$70,0)+1,FALSE))</f>
        <v>0</v>
      </c>
      <c r="E47">
        <f>IF(ISNA(VLOOKUP($A47,SXS_Transit_input!$A$28:$W$49,MATCH(SXS_Transit_temp!E$28,SXS_Transit_input!$B$27:$W$27,0)+1,FALSE)),0,VLOOKUP($A47,SXS_Transit_input!$A$28:$W$49,MATCH(SXS_Transit_temp!E$28,SXS_Transit_input!$B$27:$W$27,0)+1,FALSE))+IF(ISNA(VLOOKUP($A47,SXS_Transit_input!$A$71:$L$81,MATCH(SXS_Transit_temp!E$28,SXS_Transit_input!$B$70:$L$70,0)+1,FALSE)),0,VLOOKUP($A47,SXS_Transit_input!$A$71:$L$81,MATCH(SXS_Transit_temp!E$28,SXS_Transit_input!$B$70:$L$70,0)+1,FALSE))</f>
        <v>0</v>
      </c>
      <c r="F47">
        <f>IF(ISNA(VLOOKUP($A47,SXS_Transit_input!$A$28:$W$49,MATCH(SXS_Transit_temp!F$28,SXS_Transit_input!$B$27:$W$27,0)+1,FALSE)),0,VLOOKUP($A47,SXS_Transit_input!$A$28:$W$49,MATCH(SXS_Transit_temp!F$28,SXS_Transit_input!$B$27:$W$27,0)+1,FALSE))+IF(ISNA(VLOOKUP($A47,SXS_Transit_input!$A$71:$L$81,MATCH(SXS_Transit_temp!F$28,SXS_Transit_input!$B$70:$L$70,0)+1,FALSE)),0,VLOOKUP($A47,SXS_Transit_input!$A$71:$L$81,MATCH(SXS_Transit_temp!F$28,SXS_Transit_input!$B$70:$L$70,0)+1,FALSE))</f>
        <v>0</v>
      </c>
      <c r="G47">
        <f>IF(ISNA(VLOOKUP($A47,SXS_Transit_input!$A$28:$W$49,MATCH(SXS_Transit_temp!G$28,SXS_Transit_input!$B$27:$W$27,0)+1,FALSE)),0,VLOOKUP($A47,SXS_Transit_input!$A$28:$W$49,MATCH(SXS_Transit_temp!G$28,SXS_Transit_input!$B$27:$W$27,0)+1,FALSE))+IF(ISNA(VLOOKUP($A47,SXS_Transit_input!$A$71:$L$81,MATCH(SXS_Transit_temp!G$28,SXS_Transit_input!$B$70:$L$70,0)+1,FALSE)),0,VLOOKUP($A47,SXS_Transit_input!$A$71:$L$81,MATCH(SXS_Transit_temp!G$28,SXS_Transit_input!$B$70:$L$70,0)+1,FALSE))</f>
        <v>0</v>
      </c>
      <c r="H47">
        <f>IF(ISNA(VLOOKUP($A47,SXS_Transit_input!$A$28:$W$49,MATCH(SXS_Transit_temp!H$28,SXS_Transit_input!$B$27:$W$27,0)+1,FALSE)),0,VLOOKUP($A47,SXS_Transit_input!$A$28:$W$49,MATCH(SXS_Transit_temp!H$28,SXS_Transit_input!$B$27:$W$27,0)+1,FALSE))+IF(ISNA(VLOOKUP($A47,SXS_Transit_input!$A$71:$L$81,MATCH(SXS_Transit_temp!H$28,SXS_Transit_input!$B$70:$L$70,0)+1,FALSE)),0,VLOOKUP($A47,SXS_Transit_input!$A$71:$L$81,MATCH(SXS_Transit_temp!H$28,SXS_Transit_input!$B$70:$L$70,0)+1,FALSE))</f>
        <v>0</v>
      </c>
      <c r="I47">
        <f>IF(ISNA(VLOOKUP($A47,SXS_Transit_input!$A$28:$W$49,MATCH(SXS_Transit_temp!I$28,SXS_Transit_input!$B$27:$W$27,0)+1,FALSE)),0,VLOOKUP($A47,SXS_Transit_input!$A$28:$W$49,MATCH(SXS_Transit_temp!I$28,SXS_Transit_input!$B$27:$W$27,0)+1,FALSE))+IF(ISNA(VLOOKUP($A47,SXS_Transit_input!$A$71:$L$81,MATCH(SXS_Transit_temp!I$28,SXS_Transit_input!$B$70:$L$70,0)+1,FALSE)),0,VLOOKUP($A47,SXS_Transit_input!$A$71:$L$81,MATCH(SXS_Transit_temp!I$28,SXS_Transit_input!$B$70:$L$70,0)+1,FALSE))</f>
        <v>0</v>
      </c>
      <c r="J47">
        <f>IF(ISNA(VLOOKUP($A47,SXS_Transit_input!$A$28:$W$49,MATCH(SXS_Transit_temp!J$28,SXS_Transit_input!$B$27:$W$27,0)+1,FALSE)),0,VLOOKUP($A47,SXS_Transit_input!$A$28:$W$49,MATCH(SXS_Transit_temp!J$28,SXS_Transit_input!$B$27:$W$27,0)+1,FALSE))+IF(ISNA(VLOOKUP($A47,SXS_Transit_input!$A$71:$L$81,MATCH(SXS_Transit_temp!J$28,SXS_Transit_input!$B$70:$L$70,0)+1,FALSE)),0,VLOOKUP($A47,SXS_Transit_input!$A$71:$L$81,MATCH(SXS_Transit_temp!J$28,SXS_Transit_input!$B$70:$L$70,0)+1,FALSE))</f>
        <v>0</v>
      </c>
      <c r="K47">
        <f>IF(ISNA(VLOOKUP($A47,SXS_Transit_input!$A$28:$W$49,MATCH(SXS_Transit_temp!K$28,SXS_Transit_input!$B$27:$W$27,0)+1,FALSE)),0,VLOOKUP($A47,SXS_Transit_input!$A$28:$W$49,MATCH(SXS_Transit_temp!K$28,SXS_Transit_input!$B$27:$W$27,0)+1,FALSE))+IF(ISNA(VLOOKUP($A47,SXS_Transit_input!$A$71:$L$81,MATCH(SXS_Transit_temp!K$28,SXS_Transit_input!$B$70:$L$70,0)+1,FALSE)),0,VLOOKUP($A47,SXS_Transit_input!$A$71:$L$81,MATCH(SXS_Transit_temp!K$28,SXS_Transit_input!$B$70:$L$70,0)+1,FALSE))</f>
        <v>0</v>
      </c>
      <c r="L47">
        <f>IF(ISNA(VLOOKUP($A47,SXS_Transit_input!$A$28:$W$49,MATCH(SXS_Transit_temp!L$28,SXS_Transit_input!$B$27:$W$27,0)+1,FALSE)),0,VLOOKUP($A47,SXS_Transit_input!$A$28:$W$49,MATCH(SXS_Transit_temp!L$28,SXS_Transit_input!$B$27:$W$27,0)+1,FALSE))+IF(ISNA(VLOOKUP($A47,SXS_Transit_input!$A$71:$L$81,MATCH(SXS_Transit_temp!L$28,SXS_Transit_input!$B$70:$L$70,0)+1,FALSE)),0,VLOOKUP($A47,SXS_Transit_input!$A$71:$L$81,MATCH(SXS_Transit_temp!L$28,SXS_Transit_input!$B$70:$L$70,0)+1,FALSE))</f>
        <v>0</v>
      </c>
      <c r="M47">
        <f>IF(ISNA(VLOOKUP($A47,SXS_Transit_input!$A$28:$W$49,MATCH(SXS_Transit_temp!M$28,SXS_Transit_input!$B$27:$W$27,0)+1,FALSE)),0,VLOOKUP($A47,SXS_Transit_input!$A$28:$W$49,MATCH(SXS_Transit_temp!M$28,SXS_Transit_input!$B$27:$W$27,0)+1,FALSE))+IF(ISNA(VLOOKUP($A47,SXS_Transit_input!$A$71:$L$81,MATCH(SXS_Transit_temp!M$28,SXS_Transit_input!$B$70:$L$70,0)+1,FALSE)),0,VLOOKUP($A47,SXS_Transit_input!$A$71:$L$81,MATCH(SXS_Transit_temp!M$28,SXS_Transit_input!$B$70:$L$70,0)+1,FALSE))</f>
        <v>0</v>
      </c>
      <c r="N47">
        <f>IF(ISNA(VLOOKUP($A47,SXS_Transit_input!$A$28:$W$49,MATCH(SXS_Transit_temp!N$28,SXS_Transit_input!$B$27:$W$27,0)+1,FALSE)),0,VLOOKUP($A47,SXS_Transit_input!$A$28:$W$49,MATCH(SXS_Transit_temp!N$28,SXS_Transit_input!$B$27:$W$27,0)+1,FALSE))+IF(ISNA(VLOOKUP($A47,SXS_Transit_input!$A$71:$L$81,MATCH(SXS_Transit_temp!N$28,SXS_Transit_input!$B$70:$L$70,0)+1,FALSE)),0,VLOOKUP($A47,SXS_Transit_input!$A$71:$L$81,MATCH(SXS_Transit_temp!N$28,SXS_Transit_input!$B$70:$L$70,0)+1,FALSE))</f>
        <v>0</v>
      </c>
      <c r="O47">
        <f>IF(ISNA(VLOOKUP($A47,SXS_Transit_input!$A$28:$W$49,MATCH(SXS_Transit_temp!O$28,SXS_Transit_input!$B$27:$W$27,0)+1,FALSE)),0,VLOOKUP($A47,SXS_Transit_input!$A$28:$W$49,MATCH(SXS_Transit_temp!O$28,SXS_Transit_input!$B$27:$W$27,0)+1,FALSE))+IF(ISNA(VLOOKUP($A47,SXS_Transit_input!$A$71:$L$81,MATCH(SXS_Transit_temp!O$28,SXS_Transit_input!$B$70:$L$70,0)+1,FALSE)),0,VLOOKUP($A47,SXS_Transit_input!$A$71:$L$81,MATCH(SXS_Transit_temp!O$28,SXS_Transit_input!$B$70:$L$70,0)+1,FALSE))</f>
        <v>0</v>
      </c>
      <c r="P47">
        <f>IF(ISNA(VLOOKUP($A47,SXS_Transit_input!$A$28:$W$49,MATCH(SXS_Transit_temp!P$28,SXS_Transit_input!$B$27:$W$27,0)+1,FALSE)),0,VLOOKUP($A47,SXS_Transit_input!$A$28:$W$49,MATCH(SXS_Transit_temp!P$28,SXS_Transit_input!$B$27:$W$27,0)+1,FALSE))+IF(ISNA(VLOOKUP($A47,SXS_Transit_input!$A$71:$L$81,MATCH(SXS_Transit_temp!P$28,SXS_Transit_input!$B$70:$L$70,0)+1,FALSE)),0,VLOOKUP($A47,SXS_Transit_input!$A$71:$L$81,MATCH(SXS_Transit_temp!P$28,SXS_Transit_input!$B$70:$L$70,0)+1,FALSE))</f>
        <v>0</v>
      </c>
      <c r="Q47">
        <f>IF(ISNA(VLOOKUP($A47,SXS_Transit_input!$A$28:$W$49,MATCH(SXS_Transit_temp!Q$28,SXS_Transit_input!$B$27:$W$27,0)+1,FALSE)),0,VLOOKUP($A47,SXS_Transit_input!$A$28:$W$49,MATCH(SXS_Transit_temp!Q$28,SXS_Transit_input!$B$27:$W$27,0)+1,FALSE))+IF(ISNA(VLOOKUP($A47,SXS_Transit_input!$A$71:$L$81,MATCH(SXS_Transit_temp!Q$28,SXS_Transit_input!$B$70:$L$70,0)+1,FALSE)),0,VLOOKUP($A47,SXS_Transit_input!$A$71:$L$81,MATCH(SXS_Transit_temp!Q$28,SXS_Transit_input!$B$70:$L$70,0)+1,FALSE))</f>
        <v>0</v>
      </c>
      <c r="R47">
        <f>IF(ISNA(VLOOKUP($A47,SXS_Transit_input!$A$28:$W$49,MATCH(SXS_Transit_temp!R$28,SXS_Transit_input!$B$27:$W$27,0)+1,FALSE)),0,VLOOKUP($A47,SXS_Transit_input!$A$28:$W$49,MATCH(SXS_Transit_temp!R$28,SXS_Transit_input!$B$27:$W$27,0)+1,FALSE))+IF(ISNA(VLOOKUP($A47,SXS_Transit_input!$A$71:$L$81,MATCH(SXS_Transit_temp!R$28,SXS_Transit_input!$B$70:$L$70,0)+1,FALSE)),0,VLOOKUP($A47,SXS_Transit_input!$A$71:$L$81,MATCH(SXS_Transit_temp!R$28,SXS_Transit_input!$B$70:$L$70,0)+1,FALSE))</f>
        <v>0</v>
      </c>
      <c r="S47">
        <f>IF(ISNA(VLOOKUP($A47,SXS_Transit_input!$A$28:$W$49,MATCH(SXS_Transit_temp!S$28,SXS_Transit_input!$B$27:$W$27,0)+1,FALSE)),0,VLOOKUP($A47,SXS_Transit_input!$A$28:$W$49,MATCH(SXS_Transit_temp!S$28,SXS_Transit_input!$B$27:$W$27,0)+1,FALSE))+IF(ISNA(VLOOKUP($A47,SXS_Transit_input!$A$71:$L$81,MATCH(SXS_Transit_temp!S$28,SXS_Transit_input!$B$70:$L$70,0)+1,FALSE)),0,VLOOKUP($A47,SXS_Transit_input!$A$71:$L$81,MATCH(SXS_Transit_temp!S$28,SXS_Transit_input!$B$70:$L$70,0)+1,FALSE))</f>
        <v>0</v>
      </c>
      <c r="T47">
        <f>IF(ISNA(VLOOKUP($A47,SXS_Transit_input!$A$28:$W$49,MATCH(SXS_Transit_temp!T$28,SXS_Transit_input!$B$27:$W$27,0)+1,FALSE)),0,VLOOKUP($A47,SXS_Transit_input!$A$28:$W$49,MATCH(SXS_Transit_temp!T$28,SXS_Transit_input!$B$27:$W$27,0)+1,FALSE))+IF(ISNA(VLOOKUP($A47,SXS_Transit_input!$A$71:$L$81,MATCH(SXS_Transit_temp!T$28,SXS_Transit_input!$B$70:$L$70,0)+1,FALSE)),0,VLOOKUP($A47,SXS_Transit_input!$A$71:$L$81,MATCH(SXS_Transit_temp!T$28,SXS_Transit_input!$B$70:$L$70,0)+1,FALSE))</f>
        <v>0</v>
      </c>
      <c r="U47">
        <f>IF(ISNA(VLOOKUP($A47,SXS_Transit_input!$A$28:$W$49,MATCH(SXS_Transit_temp!U$28,SXS_Transit_input!$B$27:$W$27,0)+1,FALSE)),0,VLOOKUP($A47,SXS_Transit_input!$A$28:$W$49,MATCH(SXS_Transit_temp!U$28,SXS_Transit_input!$B$27:$W$27,0)+1,FALSE))+IF(ISNA(VLOOKUP($A47,SXS_Transit_input!$A$71:$L$81,MATCH(SXS_Transit_temp!U$28,SXS_Transit_input!$B$70:$L$70,0)+1,FALSE)),0,VLOOKUP($A47,SXS_Transit_input!$A$71:$L$81,MATCH(SXS_Transit_temp!U$28,SXS_Transit_input!$B$70:$L$70,0)+1,FALSE))</f>
        <v>0</v>
      </c>
      <c r="V47">
        <f>IF(ISNA(VLOOKUP($A47,SXS_Transit_input!$A$28:$W$49,MATCH(SXS_Transit_temp!V$28,SXS_Transit_input!$B$27:$W$27,0)+1,FALSE)),0,VLOOKUP($A47,SXS_Transit_input!$A$28:$W$49,MATCH(SXS_Transit_temp!V$28,SXS_Transit_input!$B$27:$W$27,0)+1,FALSE))+IF(ISNA(VLOOKUP($A47,SXS_Transit_input!$A$71:$L$81,MATCH(SXS_Transit_temp!V$28,SXS_Transit_input!$B$70:$L$70,0)+1,FALSE)),0,VLOOKUP($A47,SXS_Transit_input!$A$71:$L$81,MATCH(SXS_Transit_temp!V$28,SXS_Transit_input!$B$70:$L$70,0)+1,FALSE))</f>
        <v>0</v>
      </c>
      <c r="W47">
        <f>IF(ISNA(VLOOKUP($A47,SXS_Transit_input!$A$28:$W$49,MATCH(SXS_Transit_temp!W$28,SXS_Transit_input!$B$27:$W$27,0)+1,FALSE)),0,VLOOKUP($A47,SXS_Transit_input!$A$28:$W$49,MATCH(SXS_Transit_temp!W$28,SXS_Transit_input!$B$27:$W$27,0)+1,FALSE))+IF(ISNA(VLOOKUP($A47,SXS_Transit_input!$A$71:$L$81,MATCH(SXS_Transit_temp!W$28,SXS_Transit_input!$B$70:$L$70,0)+1,FALSE)),0,VLOOKUP($A47,SXS_Transit_input!$A$71:$L$81,MATCH(SXS_Transit_temp!W$28,SXS_Transit_input!$B$70:$L$70,0)+1,FALSE))</f>
        <v>0</v>
      </c>
      <c r="X47">
        <f>IF(ISNA(VLOOKUP($A47,SXS_Transit_input!$A$28:$W$49,MATCH(SXS_Transit_temp!X$28,SXS_Transit_input!$B$27:$W$27,0)+1,FALSE)),0,VLOOKUP($A47,SXS_Transit_input!$A$28:$W$49,MATCH(SXS_Transit_temp!X$28,SXS_Transit_input!$B$27:$W$27,0)+1,FALSE))+IF(ISNA(VLOOKUP($A47,SXS_Transit_input!$A$71:$L$81,MATCH(SXS_Transit_temp!X$28,SXS_Transit_input!$B$70:$L$70,0)+1,FALSE)),0,VLOOKUP($A47,SXS_Transit_input!$A$71:$L$81,MATCH(SXS_Transit_temp!X$28,SXS_Transit_input!$B$70:$L$70,0)+1,FALSE))</f>
        <v>0</v>
      </c>
      <c r="Y47">
        <f>IF(ISNA(VLOOKUP($A47,SXS_Transit_input!$A$28:$W$49,MATCH(SXS_Transit_temp!Y$28,SXS_Transit_input!$B$27:$W$27,0)+1,FALSE)),0,VLOOKUP($A47,SXS_Transit_input!$A$28:$W$49,MATCH(SXS_Transit_temp!Y$28,SXS_Transit_input!$B$27:$W$27,0)+1,FALSE))+IF(ISNA(VLOOKUP($A47,SXS_Transit_input!$A$71:$L$81,MATCH(SXS_Transit_temp!Y$28,SXS_Transit_input!$B$70:$L$70,0)+1,FALSE)),0,VLOOKUP($A47,SXS_Transit_input!$A$71:$L$81,MATCH(SXS_Transit_temp!Y$28,SXS_Transit_input!$B$70:$L$70,0)+1,FALSE))</f>
        <v>0</v>
      </c>
      <c r="Z47">
        <f>IF(ISNA(VLOOKUP($A47,SXS_Transit_input!$A$28:$W$49,MATCH(SXS_Transit_temp!Z$28,SXS_Transit_input!$B$27:$W$27,0)+1,FALSE)),0,VLOOKUP($A47,SXS_Transit_input!$A$28:$W$49,MATCH(SXS_Transit_temp!Z$28,SXS_Transit_input!$B$27:$W$27,0)+1,FALSE))+IF(ISNA(VLOOKUP($A47,SXS_Transit_input!$A$71:$L$81,MATCH(SXS_Transit_temp!Z$28,SXS_Transit_input!$B$70:$L$70,0)+1,FALSE)),0,VLOOKUP($A47,SXS_Transit_input!$A$71:$L$81,MATCH(SXS_Transit_temp!Z$28,SXS_Transit_input!$B$70:$L$70,0)+1,FALSE))</f>
        <v>0</v>
      </c>
      <c r="AA47">
        <v>19</v>
      </c>
      <c r="AB47" s="33">
        <f t="shared" si="27"/>
        <v>36</v>
      </c>
      <c r="AC47" s="34">
        <f t="shared" si="37"/>
        <v>2</v>
      </c>
      <c r="AD47" s="34">
        <f t="shared" si="38"/>
        <v>0</v>
      </c>
      <c r="AE47" s="34">
        <f t="shared" si="39"/>
        <v>0</v>
      </c>
      <c r="AF47" s="34">
        <f t="shared" si="40"/>
        <v>0</v>
      </c>
      <c r="AG47" s="34">
        <f t="shared" si="41"/>
        <v>0</v>
      </c>
      <c r="AH47" s="34">
        <f t="shared" si="42"/>
        <v>0</v>
      </c>
      <c r="AI47" s="34">
        <f t="shared" si="43"/>
        <v>0</v>
      </c>
      <c r="AJ47" s="34">
        <f t="shared" si="44"/>
        <v>0</v>
      </c>
      <c r="AK47" s="34">
        <f t="shared" si="45"/>
        <v>0</v>
      </c>
      <c r="AL47" s="34">
        <f t="shared" si="46"/>
        <v>0</v>
      </c>
      <c r="AM47" s="34">
        <f t="shared" si="47"/>
        <v>0</v>
      </c>
      <c r="AN47" s="34">
        <f t="shared" si="48"/>
        <v>0</v>
      </c>
      <c r="AO47" s="34">
        <f t="shared" si="49"/>
        <v>0</v>
      </c>
      <c r="AP47" s="34">
        <f t="shared" si="50"/>
        <v>0</v>
      </c>
      <c r="AQ47" s="34">
        <f t="shared" si="51"/>
        <v>0</v>
      </c>
      <c r="AR47" s="34">
        <f t="shared" si="28"/>
        <v>0</v>
      </c>
      <c r="AS47" s="34">
        <f t="shared" si="29"/>
        <v>2</v>
      </c>
      <c r="AT47" s="34">
        <f t="shared" si="30"/>
        <v>4</v>
      </c>
      <c r="AU47" s="34">
        <f t="shared" si="31"/>
        <v>2</v>
      </c>
      <c r="AV47" s="34">
        <f t="shared" si="32"/>
        <v>6</v>
      </c>
      <c r="AW47" s="34">
        <f t="shared" si="33"/>
        <v>0</v>
      </c>
      <c r="AX47" s="34">
        <f t="shared" si="34"/>
        <v>0</v>
      </c>
      <c r="AY47" s="34">
        <f t="shared" si="35"/>
        <v>0</v>
      </c>
      <c r="AZ47" s="35">
        <f t="shared" si="36"/>
        <v>0</v>
      </c>
      <c r="BC47" s="157">
        <v>18</v>
      </c>
      <c r="BD47">
        <v>408</v>
      </c>
      <c r="BE47">
        <v>0</v>
      </c>
      <c r="BF47">
        <v>0</v>
      </c>
      <c r="BG47">
        <v>2</v>
      </c>
      <c r="BH47">
        <v>0</v>
      </c>
      <c r="BI47">
        <v>0</v>
      </c>
      <c r="BJ47">
        <v>0</v>
      </c>
      <c r="BK47">
        <v>12</v>
      </c>
      <c r="BL47">
        <v>0</v>
      </c>
      <c r="BM47">
        <v>0</v>
      </c>
      <c r="BN47">
        <v>0</v>
      </c>
      <c r="BO47">
        <v>0</v>
      </c>
      <c r="BP47">
        <v>0</v>
      </c>
      <c r="BQ47">
        <v>0</v>
      </c>
      <c r="BR47">
        <v>2</v>
      </c>
      <c r="BS47">
        <v>0</v>
      </c>
      <c r="BT47">
        <v>0</v>
      </c>
      <c r="BU47">
        <v>4</v>
      </c>
      <c r="BV47">
        <v>2</v>
      </c>
      <c r="BW47">
        <v>0</v>
      </c>
      <c r="BX47">
        <v>0</v>
      </c>
      <c r="BY47">
        <v>0</v>
      </c>
      <c r="BZ47">
        <v>0</v>
      </c>
      <c r="CA47">
        <v>0</v>
      </c>
      <c r="CB47">
        <v>0</v>
      </c>
    </row>
    <row r="48" spans="1:80" x14ac:dyDescent="0.25">
      <c r="A48">
        <v>20</v>
      </c>
      <c r="B48">
        <f>IF(ISNA(VLOOKUP($A48,SXS_Transit_input!$A$28:$W$49,MATCH(SXS_Transit_temp!B$28,SXS_Transit_input!$B$27:$W$27,0)+1,FALSE)),0,VLOOKUP($A48,SXS_Transit_input!$A$28:$W$49,MATCH(SXS_Transit_temp!B$28,SXS_Transit_input!$B$27:$W$27,0)+1,FALSE))+IF(ISNA(VLOOKUP($A48,SXS_Transit_input!$A$71:$L$81,MATCH(SXS_Transit_temp!B$28,SXS_Transit_input!$B$70:$L$70,0)+1,FALSE)),0,VLOOKUP($A48,SXS_Transit_input!$A$71:$L$81,MATCH(SXS_Transit_temp!B$28,SXS_Transit_input!$B$70:$L$70,0)+1,FALSE))</f>
        <v>0</v>
      </c>
      <c r="C48">
        <f>IF(ISNA(VLOOKUP($A48,SXS_Transit_input!$A$28:$W$49,MATCH(SXS_Transit_temp!C$28,SXS_Transit_input!$B$27:$W$27,0)+1,FALSE)),0,VLOOKUP($A48,SXS_Transit_input!$A$28:$W$49,MATCH(SXS_Transit_temp!C$28,SXS_Transit_input!$B$27:$W$27,0)+1,FALSE))+IF(ISNA(VLOOKUP($A48,SXS_Transit_input!$A$71:$L$81,MATCH(SXS_Transit_temp!C$28,SXS_Transit_input!$B$70:$L$70,0)+1,FALSE)),0,VLOOKUP($A48,SXS_Transit_input!$A$71:$L$81,MATCH(SXS_Transit_temp!C$28,SXS_Transit_input!$B$70:$L$70,0)+1,FALSE))</f>
        <v>0</v>
      </c>
      <c r="D48">
        <f>IF(ISNA(VLOOKUP($A48,SXS_Transit_input!$A$28:$W$49,MATCH(SXS_Transit_temp!D$28,SXS_Transit_input!$B$27:$W$27,0)+1,FALSE)),0,VLOOKUP($A48,SXS_Transit_input!$A$28:$W$49,MATCH(SXS_Transit_temp!D$28,SXS_Transit_input!$B$27:$W$27,0)+1,FALSE))+IF(ISNA(VLOOKUP($A48,SXS_Transit_input!$A$71:$L$81,MATCH(SXS_Transit_temp!D$28,SXS_Transit_input!$B$70:$L$70,0)+1,FALSE)),0,VLOOKUP($A48,SXS_Transit_input!$A$71:$L$81,MATCH(SXS_Transit_temp!D$28,SXS_Transit_input!$B$70:$L$70,0)+1,FALSE))</f>
        <v>0</v>
      </c>
      <c r="E48">
        <f>IF(ISNA(VLOOKUP($A48,SXS_Transit_input!$A$28:$W$49,MATCH(SXS_Transit_temp!E$28,SXS_Transit_input!$B$27:$W$27,0)+1,FALSE)),0,VLOOKUP($A48,SXS_Transit_input!$A$28:$W$49,MATCH(SXS_Transit_temp!E$28,SXS_Transit_input!$B$27:$W$27,0)+1,FALSE))+IF(ISNA(VLOOKUP($A48,SXS_Transit_input!$A$71:$L$81,MATCH(SXS_Transit_temp!E$28,SXS_Transit_input!$B$70:$L$70,0)+1,FALSE)),0,VLOOKUP($A48,SXS_Transit_input!$A$71:$L$81,MATCH(SXS_Transit_temp!E$28,SXS_Transit_input!$B$70:$L$70,0)+1,FALSE))</f>
        <v>0</v>
      </c>
      <c r="F48">
        <f>IF(ISNA(VLOOKUP($A48,SXS_Transit_input!$A$28:$W$49,MATCH(SXS_Transit_temp!F$28,SXS_Transit_input!$B$27:$W$27,0)+1,FALSE)),0,VLOOKUP($A48,SXS_Transit_input!$A$28:$W$49,MATCH(SXS_Transit_temp!F$28,SXS_Transit_input!$B$27:$W$27,0)+1,FALSE))+IF(ISNA(VLOOKUP($A48,SXS_Transit_input!$A$71:$L$81,MATCH(SXS_Transit_temp!F$28,SXS_Transit_input!$B$70:$L$70,0)+1,FALSE)),0,VLOOKUP($A48,SXS_Transit_input!$A$71:$L$81,MATCH(SXS_Transit_temp!F$28,SXS_Transit_input!$B$70:$L$70,0)+1,FALSE))</f>
        <v>0</v>
      </c>
      <c r="G48">
        <f>IF(ISNA(VLOOKUP($A48,SXS_Transit_input!$A$28:$W$49,MATCH(SXS_Transit_temp!G$28,SXS_Transit_input!$B$27:$W$27,0)+1,FALSE)),0,VLOOKUP($A48,SXS_Transit_input!$A$28:$W$49,MATCH(SXS_Transit_temp!G$28,SXS_Transit_input!$B$27:$W$27,0)+1,FALSE))+IF(ISNA(VLOOKUP($A48,SXS_Transit_input!$A$71:$L$81,MATCH(SXS_Transit_temp!G$28,SXS_Transit_input!$B$70:$L$70,0)+1,FALSE)),0,VLOOKUP($A48,SXS_Transit_input!$A$71:$L$81,MATCH(SXS_Transit_temp!G$28,SXS_Transit_input!$B$70:$L$70,0)+1,FALSE))</f>
        <v>0</v>
      </c>
      <c r="H48">
        <f>IF(ISNA(VLOOKUP($A48,SXS_Transit_input!$A$28:$W$49,MATCH(SXS_Transit_temp!H$28,SXS_Transit_input!$B$27:$W$27,0)+1,FALSE)),0,VLOOKUP($A48,SXS_Transit_input!$A$28:$W$49,MATCH(SXS_Transit_temp!H$28,SXS_Transit_input!$B$27:$W$27,0)+1,FALSE))+IF(ISNA(VLOOKUP($A48,SXS_Transit_input!$A$71:$L$81,MATCH(SXS_Transit_temp!H$28,SXS_Transit_input!$B$70:$L$70,0)+1,FALSE)),0,VLOOKUP($A48,SXS_Transit_input!$A$71:$L$81,MATCH(SXS_Transit_temp!H$28,SXS_Transit_input!$B$70:$L$70,0)+1,FALSE))</f>
        <v>0</v>
      </c>
      <c r="I48">
        <f>IF(ISNA(VLOOKUP($A48,SXS_Transit_input!$A$28:$W$49,MATCH(SXS_Transit_temp!I$28,SXS_Transit_input!$B$27:$W$27,0)+1,FALSE)),0,VLOOKUP($A48,SXS_Transit_input!$A$28:$W$49,MATCH(SXS_Transit_temp!I$28,SXS_Transit_input!$B$27:$W$27,0)+1,FALSE))+IF(ISNA(VLOOKUP($A48,SXS_Transit_input!$A$71:$L$81,MATCH(SXS_Transit_temp!I$28,SXS_Transit_input!$B$70:$L$70,0)+1,FALSE)),0,VLOOKUP($A48,SXS_Transit_input!$A$71:$L$81,MATCH(SXS_Transit_temp!I$28,SXS_Transit_input!$B$70:$L$70,0)+1,FALSE))</f>
        <v>0</v>
      </c>
      <c r="J48">
        <f>IF(ISNA(VLOOKUP($A48,SXS_Transit_input!$A$28:$W$49,MATCH(SXS_Transit_temp!J$28,SXS_Transit_input!$B$27:$W$27,0)+1,FALSE)),0,VLOOKUP($A48,SXS_Transit_input!$A$28:$W$49,MATCH(SXS_Transit_temp!J$28,SXS_Transit_input!$B$27:$W$27,0)+1,FALSE))+IF(ISNA(VLOOKUP($A48,SXS_Transit_input!$A$71:$L$81,MATCH(SXS_Transit_temp!J$28,SXS_Transit_input!$B$70:$L$70,0)+1,FALSE)),0,VLOOKUP($A48,SXS_Transit_input!$A$71:$L$81,MATCH(SXS_Transit_temp!J$28,SXS_Transit_input!$B$70:$L$70,0)+1,FALSE))</f>
        <v>0</v>
      </c>
      <c r="K48">
        <f>IF(ISNA(VLOOKUP($A48,SXS_Transit_input!$A$28:$W$49,MATCH(SXS_Transit_temp!K$28,SXS_Transit_input!$B$27:$W$27,0)+1,FALSE)),0,VLOOKUP($A48,SXS_Transit_input!$A$28:$W$49,MATCH(SXS_Transit_temp!K$28,SXS_Transit_input!$B$27:$W$27,0)+1,FALSE))+IF(ISNA(VLOOKUP($A48,SXS_Transit_input!$A$71:$L$81,MATCH(SXS_Transit_temp!K$28,SXS_Transit_input!$B$70:$L$70,0)+1,FALSE)),0,VLOOKUP($A48,SXS_Transit_input!$A$71:$L$81,MATCH(SXS_Transit_temp!K$28,SXS_Transit_input!$B$70:$L$70,0)+1,FALSE))</f>
        <v>0</v>
      </c>
      <c r="L48">
        <f>IF(ISNA(VLOOKUP($A48,SXS_Transit_input!$A$28:$W$49,MATCH(SXS_Transit_temp!L$28,SXS_Transit_input!$B$27:$W$27,0)+1,FALSE)),0,VLOOKUP($A48,SXS_Transit_input!$A$28:$W$49,MATCH(SXS_Transit_temp!L$28,SXS_Transit_input!$B$27:$W$27,0)+1,FALSE))+IF(ISNA(VLOOKUP($A48,SXS_Transit_input!$A$71:$L$81,MATCH(SXS_Transit_temp!L$28,SXS_Transit_input!$B$70:$L$70,0)+1,FALSE)),0,VLOOKUP($A48,SXS_Transit_input!$A$71:$L$81,MATCH(SXS_Transit_temp!L$28,SXS_Transit_input!$B$70:$L$70,0)+1,FALSE))</f>
        <v>0</v>
      </c>
      <c r="M48">
        <f>IF(ISNA(VLOOKUP($A48,SXS_Transit_input!$A$28:$W$49,MATCH(SXS_Transit_temp!M$28,SXS_Transit_input!$B$27:$W$27,0)+1,FALSE)),0,VLOOKUP($A48,SXS_Transit_input!$A$28:$W$49,MATCH(SXS_Transit_temp!M$28,SXS_Transit_input!$B$27:$W$27,0)+1,FALSE))+IF(ISNA(VLOOKUP($A48,SXS_Transit_input!$A$71:$L$81,MATCH(SXS_Transit_temp!M$28,SXS_Transit_input!$B$70:$L$70,0)+1,FALSE)),0,VLOOKUP($A48,SXS_Transit_input!$A$71:$L$81,MATCH(SXS_Transit_temp!M$28,SXS_Transit_input!$B$70:$L$70,0)+1,FALSE))</f>
        <v>0</v>
      </c>
      <c r="N48">
        <f>IF(ISNA(VLOOKUP($A48,SXS_Transit_input!$A$28:$W$49,MATCH(SXS_Transit_temp!N$28,SXS_Transit_input!$B$27:$W$27,0)+1,FALSE)),0,VLOOKUP($A48,SXS_Transit_input!$A$28:$W$49,MATCH(SXS_Transit_temp!N$28,SXS_Transit_input!$B$27:$W$27,0)+1,FALSE))+IF(ISNA(VLOOKUP($A48,SXS_Transit_input!$A$71:$L$81,MATCH(SXS_Transit_temp!N$28,SXS_Transit_input!$B$70:$L$70,0)+1,FALSE)),0,VLOOKUP($A48,SXS_Transit_input!$A$71:$L$81,MATCH(SXS_Transit_temp!N$28,SXS_Transit_input!$B$70:$L$70,0)+1,FALSE))</f>
        <v>0</v>
      </c>
      <c r="O48">
        <f>IF(ISNA(VLOOKUP($A48,SXS_Transit_input!$A$28:$W$49,MATCH(SXS_Transit_temp!O$28,SXS_Transit_input!$B$27:$W$27,0)+1,FALSE)),0,VLOOKUP($A48,SXS_Transit_input!$A$28:$W$49,MATCH(SXS_Transit_temp!O$28,SXS_Transit_input!$B$27:$W$27,0)+1,FALSE))+IF(ISNA(VLOOKUP($A48,SXS_Transit_input!$A$71:$L$81,MATCH(SXS_Transit_temp!O$28,SXS_Transit_input!$B$70:$L$70,0)+1,FALSE)),0,VLOOKUP($A48,SXS_Transit_input!$A$71:$L$81,MATCH(SXS_Transit_temp!O$28,SXS_Transit_input!$B$70:$L$70,0)+1,FALSE))</f>
        <v>0</v>
      </c>
      <c r="P48">
        <f>IF(ISNA(VLOOKUP($A48,SXS_Transit_input!$A$28:$W$49,MATCH(SXS_Transit_temp!P$28,SXS_Transit_input!$B$27:$W$27,0)+1,FALSE)),0,VLOOKUP($A48,SXS_Transit_input!$A$28:$W$49,MATCH(SXS_Transit_temp!P$28,SXS_Transit_input!$B$27:$W$27,0)+1,FALSE))+IF(ISNA(VLOOKUP($A48,SXS_Transit_input!$A$71:$L$81,MATCH(SXS_Transit_temp!P$28,SXS_Transit_input!$B$70:$L$70,0)+1,FALSE)),0,VLOOKUP($A48,SXS_Transit_input!$A$71:$L$81,MATCH(SXS_Transit_temp!P$28,SXS_Transit_input!$B$70:$L$70,0)+1,FALSE))</f>
        <v>0</v>
      </c>
      <c r="Q48">
        <f>IF(ISNA(VLOOKUP($A48,SXS_Transit_input!$A$28:$W$49,MATCH(SXS_Transit_temp!Q$28,SXS_Transit_input!$B$27:$W$27,0)+1,FALSE)),0,VLOOKUP($A48,SXS_Transit_input!$A$28:$W$49,MATCH(SXS_Transit_temp!Q$28,SXS_Transit_input!$B$27:$W$27,0)+1,FALSE))+IF(ISNA(VLOOKUP($A48,SXS_Transit_input!$A$71:$L$81,MATCH(SXS_Transit_temp!Q$28,SXS_Transit_input!$B$70:$L$70,0)+1,FALSE)),0,VLOOKUP($A48,SXS_Transit_input!$A$71:$L$81,MATCH(SXS_Transit_temp!Q$28,SXS_Transit_input!$B$70:$L$70,0)+1,FALSE))</f>
        <v>0</v>
      </c>
      <c r="R48">
        <f>IF(ISNA(VLOOKUP($A48,SXS_Transit_input!$A$28:$W$49,MATCH(SXS_Transit_temp!R$28,SXS_Transit_input!$B$27:$W$27,0)+1,FALSE)),0,VLOOKUP($A48,SXS_Transit_input!$A$28:$W$49,MATCH(SXS_Transit_temp!R$28,SXS_Transit_input!$B$27:$W$27,0)+1,FALSE))+IF(ISNA(VLOOKUP($A48,SXS_Transit_input!$A$71:$L$81,MATCH(SXS_Transit_temp!R$28,SXS_Transit_input!$B$70:$L$70,0)+1,FALSE)),0,VLOOKUP($A48,SXS_Transit_input!$A$71:$L$81,MATCH(SXS_Transit_temp!R$28,SXS_Transit_input!$B$70:$L$70,0)+1,FALSE))</f>
        <v>0</v>
      </c>
      <c r="S48">
        <f>IF(ISNA(VLOOKUP($A48,SXS_Transit_input!$A$28:$W$49,MATCH(SXS_Transit_temp!S$28,SXS_Transit_input!$B$27:$W$27,0)+1,FALSE)),0,VLOOKUP($A48,SXS_Transit_input!$A$28:$W$49,MATCH(SXS_Transit_temp!S$28,SXS_Transit_input!$B$27:$W$27,0)+1,FALSE))+IF(ISNA(VLOOKUP($A48,SXS_Transit_input!$A$71:$L$81,MATCH(SXS_Transit_temp!S$28,SXS_Transit_input!$B$70:$L$70,0)+1,FALSE)),0,VLOOKUP($A48,SXS_Transit_input!$A$71:$L$81,MATCH(SXS_Transit_temp!S$28,SXS_Transit_input!$B$70:$L$70,0)+1,FALSE))</f>
        <v>0</v>
      </c>
      <c r="T48">
        <f>IF(ISNA(VLOOKUP($A48,SXS_Transit_input!$A$28:$W$49,MATCH(SXS_Transit_temp!T$28,SXS_Transit_input!$B$27:$W$27,0)+1,FALSE)),0,VLOOKUP($A48,SXS_Transit_input!$A$28:$W$49,MATCH(SXS_Transit_temp!T$28,SXS_Transit_input!$B$27:$W$27,0)+1,FALSE))+IF(ISNA(VLOOKUP($A48,SXS_Transit_input!$A$71:$L$81,MATCH(SXS_Transit_temp!T$28,SXS_Transit_input!$B$70:$L$70,0)+1,FALSE)),0,VLOOKUP($A48,SXS_Transit_input!$A$71:$L$81,MATCH(SXS_Transit_temp!T$28,SXS_Transit_input!$B$70:$L$70,0)+1,FALSE))</f>
        <v>0</v>
      </c>
      <c r="U48">
        <f>IF(ISNA(VLOOKUP($A48,SXS_Transit_input!$A$28:$W$49,MATCH(SXS_Transit_temp!U$28,SXS_Transit_input!$B$27:$W$27,0)+1,FALSE)),0,VLOOKUP($A48,SXS_Transit_input!$A$28:$W$49,MATCH(SXS_Transit_temp!U$28,SXS_Transit_input!$B$27:$W$27,0)+1,FALSE))+IF(ISNA(VLOOKUP($A48,SXS_Transit_input!$A$71:$L$81,MATCH(SXS_Transit_temp!U$28,SXS_Transit_input!$B$70:$L$70,0)+1,FALSE)),0,VLOOKUP($A48,SXS_Transit_input!$A$71:$L$81,MATCH(SXS_Transit_temp!U$28,SXS_Transit_input!$B$70:$L$70,0)+1,FALSE))</f>
        <v>0</v>
      </c>
      <c r="V48">
        <f>IF(ISNA(VLOOKUP($A48,SXS_Transit_input!$A$28:$W$49,MATCH(SXS_Transit_temp!V$28,SXS_Transit_input!$B$27:$W$27,0)+1,FALSE)),0,VLOOKUP($A48,SXS_Transit_input!$A$28:$W$49,MATCH(SXS_Transit_temp!V$28,SXS_Transit_input!$B$27:$W$27,0)+1,FALSE))+IF(ISNA(VLOOKUP($A48,SXS_Transit_input!$A$71:$L$81,MATCH(SXS_Transit_temp!V$28,SXS_Transit_input!$B$70:$L$70,0)+1,FALSE)),0,VLOOKUP($A48,SXS_Transit_input!$A$71:$L$81,MATCH(SXS_Transit_temp!V$28,SXS_Transit_input!$B$70:$L$70,0)+1,FALSE))</f>
        <v>0</v>
      </c>
      <c r="W48">
        <f>IF(ISNA(VLOOKUP($A48,SXS_Transit_input!$A$28:$W$49,MATCH(SXS_Transit_temp!W$28,SXS_Transit_input!$B$27:$W$27,0)+1,FALSE)),0,VLOOKUP($A48,SXS_Transit_input!$A$28:$W$49,MATCH(SXS_Transit_temp!W$28,SXS_Transit_input!$B$27:$W$27,0)+1,FALSE))+IF(ISNA(VLOOKUP($A48,SXS_Transit_input!$A$71:$L$81,MATCH(SXS_Transit_temp!W$28,SXS_Transit_input!$B$70:$L$70,0)+1,FALSE)),0,VLOOKUP($A48,SXS_Transit_input!$A$71:$L$81,MATCH(SXS_Transit_temp!W$28,SXS_Transit_input!$B$70:$L$70,0)+1,FALSE))</f>
        <v>0</v>
      </c>
      <c r="X48">
        <f>IF(ISNA(VLOOKUP($A48,SXS_Transit_input!$A$28:$W$49,MATCH(SXS_Transit_temp!X$28,SXS_Transit_input!$B$27:$W$27,0)+1,FALSE)),0,VLOOKUP($A48,SXS_Transit_input!$A$28:$W$49,MATCH(SXS_Transit_temp!X$28,SXS_Transit_input!$B$27:$W$27,0)+1,FALSE))+IF(ISNA(VLOOKUP($A48,SXS_Transit_input!$A$71:$L$81,MATCH(SXS_Transit_temp!X$28,SXS_Transit_input!$B$70:$L$70,0)+1,FALSE)),0,VLOOKUP($A48,SXS_Transit_input!$A$71:$L$81,MATCH(SXS_Transit_temp!X$28,SXS_Transit_input!$B$70:$L$70,0)+1,FALSE))</f>
        <v>0</v>
      </c>
      <c r="Y48">
        <f>IF(ISNA(VLOOKUP($A48,SXS_Transit_input!$A$28:$W$49,MATCH(SXS_Transit_temp!Y$28,SXS_Transit_input!$B$27:$W$27,0)+1,FALSE)),0,VLOOKUP($A48,SXS_Transit_input!$A$28:$W$49,MATCH(SXS_Transit_temp!Y$28,SXS_Transit_input!$B$27:$W$27,0)+1,FALSE))+IF(ISNA(VLOOKUP($A48,SXS_Transit_input!$A$71:$L$81,MATCH(SXS_Transit_temp!Y$28,SXS_Transit_input!$B$70:$L$70,0)+1,FALSE)),0,VLOOKUP($A48,SXS_Transit_input!$A$71:$L$81,MATCH(SXS_Transit_temp!Y$28,SXS_Transit_input!$B$70:$L$70,0)+1,FALSE))</f>
        <v>0</v>
      </c>
      <c r="Z48">
        <f>IF(ISNA(VLOOKUP($A48,SXS_Transit_input!$A$28:$W$49,MATCH(SXS_Transit_temp!Z$28,SXS_Transit_input!$B$27:$W$27,0)+1,FALSE)),0,VLOOKUP($A48,SXS_Transit_input!$A$28:$W$49,MATCH(SXS_Transit_temp!Z$28,SXS_Transit_input!$B$27:$W$27,0)+1,FALSE))+IF(ISNA(VLOOKUP($A48,SXS_Transit_input!$A$71:$L$81,MATCH(SXS_Transit_temp!Z$28,SXS_Transit_input!$B$70:$L$70,0)+1,FALSE)),0,VLOOKUP($A48,SXS_Transit_input!$A$71:$L$81,MATCH(SXS_Transit_temp!Z$28,SXS_Transit_input!$B$70:$L$70,0)+1,FALSE))</f>
        <v>0</v>
      </c>
      <c r="AA48">
        <v>20</v>
      </c>
      <c r="AB48" s="33">
        <f t="shared" si="27"/>
        <v>288</v>
      </c>
      <c r="AC48" s="34">
        <f t="shared" si="37"/>
        <v>4</v>
      </c>
      <c r="AD48" s="34">
        <f t="shared" si="38"/>
        <v>14</v>
      </c>
      <c r="AE48" s="34">
        <f t="shared" si="39"/>
        <v>4</v>
      </c>
      <c r="AF48" s="34">
        <f t="shared" si="40"/>
        <v>0</v>
      </c>
      <c r="AG48" s="34">
        <f t="shared" si="41"/>
        <v>0</v>
      </c>
      <c r="AH48" s="34">
        <f t="shared" si="42"/>
        <v>0</v>
      </c>
      <c r="AI48" s="34">
        <f t="shared" si="43"/>
        <v>4</v>
      </c>
      <c r="AJ48" s="34">
        <f t="shared" si="44"/>
        <v>2</v>
      </c>
      <c r="AK48" s="34">
        <f t="shared" si="45"/>
        <v>20</v>
      </c>
      <c r="AL48" s="34">
        <f t="shared" si="46"/>
        <v>0</v>
      </c>
      <c r="AM48" s="34">
        <f t="shared" si="47"/>
        <v>2</v>
      </c>
      <c r="AN48" s="34">
        <f t="shared" si="48"/>
        <v>0</v>
      </c>
      <c r="AO48" s="34">
        <f t="shared" si="49"/>
        <v>0</v>
      </c>
      <c r="AP48" s="34">
        <f t="shared" si="50"/>
        <v>0</v>
      </c>
      <c r="AQ48" s="34">
        <f t="shared" si="51"/>
        <v>0</v>
      </c>
      <c r="AR48" s="34">
        <f t="shared" si="28"/>
        <v>0</v>
      </c>
      <c r="AS48" s="34">
        <f t="shared" si="29"/>
        <v>0</v>
      </c>
      <c r="AT48" s="34">
        <f t="shared" si="30"/>
        <v>0</v>
      </c>
      <c r="AU48" s="34">
        <f t="shared" si="31"/>
        <v>132</v>
      </c>
      <c r="AV48" s="34">
        <f t="shared" si="32"/>
        <v>22</v>
      </c>
      <c r="AW48" s="34">
        <f t="shared" si="33"/>
        <v>4</v>
      </c>
      <c r="AX48" s="34">
        <f t="shared" si="34"/>
        <v>4</v>
      </c>
      <c r="AY48" s="34">
        <f t="shared" si="35"/>
        <v>0</v>
      </c>
      <c r="AZ48" s="35">
        <f t="shared" si="36"/>
        <v>0</v>
      </c>
      <c r="BC48" s="157">
        <v>19</v>
      </c>
      <c r="BD48">
        <v>36</v>
      </c>
      <c r="BE48">
        <v>0</v>
      </c>
      <c r="BF48">
        <v>0</v>
      </c>
      <c r="BG48">
        <v>0</v>
      </c>
      <c r="BH48">
        <v>0</v>
      </c>
      <c r="BI48">
        <v>0</v>
      </c>
      <c r="BJ48">
        <v>0</v>
      </c>
      <c r="BK48">
        <v>0</v>
      </c>
      <c r="BL48">
        <v>0</v>
      </c>
      <c r="BM48">
        <v>0</v>
      </c>
      <c r="BN48">
        <v>0</v>
      </c>
      <c r="BO48">
        <v>0</v>
      </c>
      <c r="BP48">
        <v>0</v>
      </c>
      <c r="BQ48">
        <v>0</v>
      </c>
      <c r="BR48">
        <v>0</v>
      </c>
      <c r="BS48">
        <v>0</v>
      </c>
      <c r="BT48">
        <v>0</v>
      </c>
      <c r="BU48">
        <v>2</v>
      </c>
      <c r="BV48">
        <v>4</v>
      </c>
      <c r="BW48">
        <v>0</v>
      </c>
      <c r="BX48">
        <v>0</v>
      </c>
      <c r="BY48">
        <v>0</v>
      </c>
      <c r="BZ48">
        <v>0</v>
      </c>
      <c r="CA48">
        <v>0</v>
      </c>
      <c r="CB48">
        <v>0</v>
      </c>
    </row>
    <row r="49" spans="1:80" x14ac:dyDescent="0.25">
      <c r="A49">
        <v>21</v>
      </c>
      <c r="B49">
        <f>IF(ISNA(VLOOKUP($A49,SXS_Transit_input!$A$28:$W$49,MATCH(SXS_Transit_temp!B$28,SXS_Transit_input!$B$27:$W$27,0)+1,FALSE)),0,VLOOKUP($A49,SXS_Transit_input!$A$28:$W$49,MATCH(SXS_Transit_temp!B$28,SXS_Transit_input!$B$27:$W$27,0)+1,FALSE))+IF(ISNA(VLOOKUP($A49,SXS_Transit_input!$A$71:$L$81,MATCH(SXS_Transit_temp!B$28,SXS_Transit_input!$B$70:$L$70,0)+1,FALSE)),0,VLOOKUP($A49,SXS_Transit_input!$A$71:$L$81,MATCH(SXS_Transit_temp!B$28,SXS_Transit_input!$B$70:$L$70,0)+1,FALSE))</f>
        <v>0</v>
      </c>
      <c r="C49">
        <f>IF(ISNA(VLOOKUP($A49,SXS_Transit_input!$A$28:$W$49,MATCH(SXS_Transit_temp!C$28,SXS_Transit_input!$B$27:$W$27,0)+1,FALSE)),0,VLOOKUP($A49,SXS_Transit_input!$A$28:$W$49,MATCH(SXS_Transit_temp!C$28,SXS_Transit_input!$B$27:$W$27,0)+1,FALSE))+IF(ISNA(VLOOKUP($A49,SXS_Transit_input!$A$71:$L$81,MATCH(SXS_Transit_temp!C$28,SXS_Transit_input!$B$70:$L$70,0)+1,FALSE)),0,VLOOKUP($A49,SXS_Transit_input!$A$71:$L$81,MATCH(SXS_Transit_temp!C$28,SXS_Transit_input!$B$70:$L$70,0)+1,FALSE))</f>
        <v>0</v>
      </c>
      <c r="D49">
        <f>IF(ISNA(VLOOKUP($A49,SXS_Transit_input!$A$28:$W$49,MATCH(SXS_Transit_temp!D$28,SXS_Transit_input!$B$27:$W$27,0)+1,FALSE)),0,VLOOKUP($A49,SXS_Transit_input!$A$28:$W$49,MATCH(SXS_Transit_temp!D$28,SXS_Transit_input!$B$27:$W$27,0)+1,FALSE))+IF(ISNA(VLOOKUP($A49,SXS_Transit_input!$A$71:$L$81,MATCH(SXS_Transit_temp!D$28,SXS_Transit_input!$B$70:$L$70,0)+1,FALSE)),0,VLOOKUP($A49,SXS_Transit_input!$A$71:$L$81,MATCH(SXS_Transit_temp!D$28,SXS_Transit_input!$B$70:$L$70,0)+1,FALSE))</f>
        <v>0</v>
      </c>
      <c r="E49">
        <f>IF(ISNA(VLOOKUP($A49,SXS_Transit_input!$A$28:$W$49,MATCH(SXS_Transit_temp!E$28,SXS_Transit_input!$B$27:$W$27,0)+1,FALSE)),0,VLOOKUP($A49,SXS_Transit_input!$A$28:$W$49,MATCH(SXS_Transit_temp!E$28,SXS_Transit_input!$B$27:$W$27,0)+1,FALSE))+IF(ISNA(VLOOKUP($A49,SXS_Transit_input!$A$71:$L$81,MATCH(SXS_Transit_temp!E$28,SXS_Transit_input!$B$70:$L$70,0)+1,FALSE)),0,VLOOKUP($A49,SXS_Transit_input!$A$71:$L$81,MATCH(SXS_Transit_temp!E$28,SXS_Transit_input!$B$70:$L$70,0)+1,FALSE))</f>
        <v>0</v>
      </c>
      <c r="F49">
        <f>IF(ISNA(VLOOKUP($A49,SXS_Transit_input!$A$28:$W$49,MATCH(SXS_Transit_temp!F$28,SXS_Transit_input!$B$27:$W$27,0)+1,FALSE)),0,VLOOKUP($A49,SXS_Transit_input!$A$28:$W$49,MATCH(SXS_Transit_temp!F$28,SXS_Transit_input!$B$27:$W$27,0)+1,FALSE))+IF(ISNA(VLOOKUP($A49,SXS_Transit_input!$A$71:$L$81,MATCH(SXS_Transit_temp!F$28,SXS_Transit_input!$B$70:$L$70,0)+1,FALSE)),0,VLOOKUP($A49,SXS_Transit_input!$A$71:$L$81,MATCH(SXS_Transit_temp!F$28,SXS_Transit_input!$B$70:$L$70,0)+1,FALSE))</f>
        <v>0</v>
      </c>
      <c r="G49">
        <f>IF(ISNA(VLOOKUP($A49,SXS_Transit_input!$A$28:$W$49,MATCH(SXS_Transit_temp!G$28,SXS_Transit_input!$B$27:$W$27,0)+1,FALSE)),0,VLOOKUP($A49,SXS_Transit_input!$A$28:$W$49,MATCH(SXS_Transit_temp!G$28,SXS_Transit_input!$B$27:$W$27,0)+1,FALSE))+IF(ISNA(VLOOKUP($A49,SXS_Transit_input!$A$71:$L$81,MATCH(SXS_Transit_temp!G$28,SXS_Transit_input!$B$70:$L$70,0)+1,FALSE)),0,VLOOKUP($A49,SXS_Transit_input!$A$71:$L$81,MATCH(SXS_Transit_temp!G$28,SXS_Transit_input!$B$70:$L$70,0)+1,FALSE))</f>
        <v>0</v>
      </c>
      <c r="H49">
        <f>IF(ISNA(VLOOKUP($A49,SXS_Transit_input!$A$28:$W$49,MATCH(SXS_Transit_temp!H$28,SXS_Transit_input!$B$27:$W$27,0)+1,FALSE)),0,VLOOKUP($A49,SXS_Transit_input!$A$28:$W$49,MATCH(SXS_Transit_temp!H$28,SXS_Transit_input!$B$27:$W$27,0)+1,FALSE))+IF(ISNA(VLOOKUP($A49,SXS_Transit_input!$A$71:$L$81,MATCH(SXS_Transit_temp!H$28,SXS_Transit_input!$B$70:$L$70,0)+1,FALSE)),0,VLOOKUP($A49,SXS_Transit_input!$A$71:$L$81,MATCH(SXS_Transit_temp!H$28,SXS_Transit_input!$B$70:$L$70,0)+1,FALSE))</f>
        <v>0</v>
      </c>
      <c r="I49">
        <f>IF(ISNA(VLOOKUP($A49,SXS_Transit_input!$A$28:$W$49,MATCH(SXS_Transit_temp!I$28,SXS_Transit_input!$B$27:$W$27,0)+1,FALSE)),0,VLOOKUP($A49,SXS_Transit_input!$A$28:$W$49,MATCH(SXS_Transit_temp!I$28,SXS_Transit_input!$B$27:$W$27,0)+1,FALSE))+IF(ISNA(VLOOKUP($A49,SXS_Transit_input!$A$71:$L$81,MATCH(SXS_Transit_temp!I$28,SXS_Transit_input!$B$70:$L$70,0)+1,FALSE)),0,VLOOKUP($A49,SXS_Transit_input!$A$71:$L$81,MATCH(SXS_Transit_temp!I$28,SXS_Transit_input!$B$70:$L$70,0)+1,FALSE))</f>
        <v>0</v>
      </c>
      <c r="J49">
        <f>IF(ISNA(VLOOKUP($A49,SXS_Transit_input!$A$28:$W$49,MATCH(SXS_Transit_temp!J$28,SXS_Transit_input!$B$27:$W$27,0)+1,FALSE)),0,VLOOKUP($A49,SXS_Transit_input!$A$28:$W$49,MATCH(SXS_Transit_temp!J$28,SXS_Transit_input!$B$27:$W$27,0)+1,FALSE))+IF(ISNA(VLOOKUP($A49,SXS_Transit_input!$A$71:$L$81,MATCH(SXS_Transit_temp!J$28,SXS_Transit_input!$B$70:$L$70,0)+1,FALSE)),0,VLOOKUP($A49,SXS_Transit_input!$A$71:$L$81,MATCH(SXS_Transit_temp!J$28,SXS_Transit_input!$B$70:$L$70,0)+1,FALSE))</f>
        <v>0</v>
      </c>
      <c r="K49">
        <f>IF(ISNA(VLOOKUP($A49,SXS_Transit_input!$A$28:$W$49,MATCH(SXS_Transit_temp!K$28,SXS_Transit_input!$B$27:$W$27,0)+1,FALSE)),0,VLOOKUP($A49,SXS_Transit_input!$A$28:$W$49,MATCH(SXS_Transit_temp!K$28,SXS_Transit_input!$B$27:$W$27,0)+1,FALSE))+IF(ISNA(VLOOKUP($A49,SXS_Transit_input!$A$71:$L$81,MATCH(SXS_Transit_temp!K$28,SXS_Transit_input!$B$70:$L$70,0)+1,FALSE)),0,VLOOKUP($A49,SXS_Transit_input!$A$71:$L$81,MATCH(SXS_Transit_temp!K$28,SXS_Transit_input!$B$70:$L$70,0)+1,FALSE))</f>
        <v>0</v>
      </c>
      <c r="L49">
        <f>IF(ISNA(VLOOKUP($A49,SXS_Transit_input!$A$28:$W$49,MATCH(SXS_Transit_temp!L$28,SXS_Transit_input!$B$27:$W$27,0)+1,FALSE)),0,VLOOKUP($A49,SXS_Transit_input!$A$28:$W$49,MATCH(SXS_Transit_temp!L$28,SXS_Transit_input!$B$27:$W$27,0)+1,FALSE))+IF(ISNA(VLOOKUP($A49,SXS_Transit_input!$A$71:$L$81,MATCH(SXS_Transit_temp!L$28,SXS_Transit_input!$B$70:$L$70,0)+1,FALSE)),0,VLOOKUP($A49,SXS_Transit_input!$A$71:$L$81,MATCH(SXS_Transit_temp!L$28,SXS_Transit_input!$B$70:$L$70,0)+1,FALSE))</f>
        <v>0</v>
      </c>
      <c r="M49">
        <f>IF(ISNA(VLOOKUP($A49,SXS_Transit_input!$A$28:$W$49,MATCH(SXS_Transit_temp!M$28,SXS_Transit_input!$B$27:$W$27,0)+1,FALSE)),0,VLOOKUP($A49,SXS_Transit_input!$A$28:$W$49,MATCH(SXS_Transit_temp!M$28,SXS_Transit_input!$B$27:$W$27,0)+1,FALSE))+IF(ISNA(VLOOKUP($A49,SXS_Transit_input!$A$71:$L$81,MATCH(SXS_Transit_temp!M$28,SXS_Transit_input!$B$70:$L$70,0)+1,FALSE)),0,VLOOKUP($A49,SXS_Transit_input!$A$71:$L$81,MATCH(SXS_Transit_temp!M$28,SXS_Transit_input!$B$70:$L$70,0)+1,FALSE))</f>
        <v>0</v>
      </c>
      <c r="N49">
        <f>IF(ISNA(VLOOKUP($A49,SXS_Transit_input!$A$28:$W$49,MATCH(SXS_Transit_temp!N$28,SXS_Transit_input!$B$27:$W$27,0)+1,FALSE)),0,VLOOKUP($A49,SXS_Transit_input!$A$28:$W$49,MATCH(SXS_Transit_temp!N$28,SXS_Transit_input!$B$27:$W$27,0)+1,FALSE))+IF(ISNA(VLOOKUP($A49,SXS_Transit_input!$A$71:$L$81,MATCH(SXS_Transit_temp!N$28,SXS_Transit_input!$B$70:$L$70,0)+1,FALSE)),0,VLOOKUP($A49,SXS_Transit_input!$A$71:$L$81,MATCH(SXS_Transit_temp!N$28,SXS_Transit_input!$B$70:$L$70,0)+1,FALSE))</f>
        <v>0</v>
      </c>
      <c r="O49">
        <f>IF(ISNA(VLOOKUP($A49,SXS_Transit_input!$A$28:$W$49,MATCH(SXS_Transit_temp!O$28,SXS_Transit_input!$B$27:$W$27,0)+1,FALSE)),0,VLOOKUP($A49,SXS_Transit_input!$A$28:$W$49,MATCH(SXS_Transit_temp!O$28,SXS_Transit_input!$B$27:$W$27,0)+1,FALSE))+IF(ISNA(VLOOKUP($A49,SXS_Transit_input!$A$71:$L$81,MATCH(SXS_Transit_temp!O$28,SXS_Transit_input!$B$70:$L$70,0)+1,FALSE)),0,VLOOKUP($A49,SXS_Transit_input!$A$71:$L$81,MATCH(SXS_Transit_temp!O$28,SXS_Transit_input!$B$70:$L$70,0)+1,FALSE))</f>
        <v>0</v>
      </c>
      <c r="P49">
        <f>IF(ISNA(VLOOKUP($A49,SXS_Transit_input!$A$28:$W$49,MATCH(SXS_Transit_temp!P$28,SXS_Transit_input!$B$27:$W$27,0)+1,FALSE)),0,VLOOKUP($A49,SXS_Transit_input!$A$28:$W$49,MATCH(SXS_Transit_temp!P$28,SXS_Transit_input!$B$27:$W$27,0)+1,FALSE))+IF(ISNA(VLOOKUP($A49,SXS_Transit_input!$A$71:$L$81,MATCH(SXS_Transit_temp!P$28,SXS_Transit_input!$B$70:$L$70,0)+1,FALSE)),0,VLOOKUP($A49,SXS_Transit_input!$A$71:$L$81,MATCH(SXS_Transit_temp!P$28,SXS_Transit_input!$B$70:$L$70,0)+1,FALSE))</f>
        <v>0</v>
      </c>
      <c r="Q49">
        <f>IF(ISNA(VLOOKUP($A49,SXS_Transit_input!$A$28:$W$49,MATCH(SXS_Transit_temp!Q$28,SXS_Transit_input!$B$27:$W$27,0)+1,FALSE)),0,VLOOKUP($A49,SXS_Transit_input!$A$28:$W$49,MATCH(SXS_Transit_temp!Q$28,SXS_Transit_input!$B$27:$W$27,0)+1,FALSE))+IF(ISNA(VLOOKUP($A49,SXS_Transit_input!$A$71:$L$81,MATCH(SXS_Transit_temp!Q$28,SXS_Transit_input!$B$70:$L$70,0)+1,FALSE)),0,VLOOKUP($A49,SXS_Transit_input!$A$71:$L$81,MATCH(SXS_Transit_temp!Q$28,SXS_Transit_input!$B$70:$L$70,0)+1,FALSE))</f>
        <v>0</v>
      </c>
      <c r="R49">
        <f>IF(ISNA(VLOOKUP($A49,SXS_Transit_input!$A$28:$W$49,MATCH(SXS_Transit_temp!R$28,SXS_Transit_input!$B$27:$W$27,0)+1,FALSE)),0,VLOOKUP($A49,SXS_Transit_input!$A$28:$W$49,MATCH(SXS_Transit_temp!R$28,SXS_Transit_input!$B$27:$W$27,0)+1,FALSE))+IF(ISNA(VLOOKUP($A49,SXS_Transit_input!$A$71:$L$81,MATCH(SXS_Transit_temp!R$28,SXS_Transit_input!$B$70:$L$70,0)+1,FALSE)),0,VLOOKUP($A49,SXS_Transit_input!$A$71:$L$81,MATCH(SXS_Transit_temp!R$28,SXS_Transit_input!$B$70:$L$70,0)+1,FALSE))</f>
        <v>0</v>
      </c>
      <c r="S49">
        <f>IF(ISNA(VLOOKUP($A49,SXS_Transit_input!$A$28:$W$49,MATCH(SXS_Transit_temp!S$28,SXS_Transit_input!$B$27:$W$27,0)+1,FALSE)),0,VLOOKUP($A49,SXS_Transit_input!$A$28:$W$49,MATCH(SXS_Transit_temp!S$28,SXS_Transit_input!$B$27:$W$27,0)+1,FALSE))+IF(ISNA(VLOOKUP($A49,SXS_Transit_input!$A$71:$L$81,MATCH(SXS_Transit_temp!S$28,SXS_Transit_input!$B$70:$L$70,0)+1,FALSE)),0,VLOOKUP($A49,SXS_Transit_input!$A$71:$L$81,MATCH(SXS_Transit_temp!S$28,SXS_Transit_input!$B$70:$L$70,0)+1,FALSE))</f>
        <v>0</v>
      </c>
      <c r="T49">
        <f>IF(ISNA(VLOOKUP($A49,SXS_Transit_input!$A$28:$W$49,MATCH(SXS_Transit_temp!T$28,SXS_Transit_input!$B$27:$W$27,0)+1,FALSE)),0,VLOOKUP($A49,SXS_Transit_input!$A$28:$W$49,MATCH(SXS_Transit_temp!T$28,SXS_Transit_input!$B$27:$W$27,0)+1,FALSE))+IF(ISNA(VLOOKUP($A49,SXS_Transit_input!$A$71:$L$81,MATCH(SXS_Transit_temp!T$28,SXS_Transit_input!$B$70:$L$70,0)+1,FALSE)),0,VLOOKUP($A49,SXS_Transit_input!$A$71:$L$81,MATCH(SXS_Transit_temp!T$28,SXS_Transit_input!$B$70:$L$70,0)+1,FALSE))</f>
        <v>0</v>
      </c>
      <c r="U49">
        <f>IF(ISNA(VLOOKUP($A49,SXS_Transit_input!$A$28:$W$49,MATCH(SXS_Transit_temp!U$28,SXS_Transit_input!$B$27:$W$27,0)+1,FALSE)),0,VLOOKUP($A49,SXS_Transit_input!$A$28:$W$49,MATCH(SXS_Transit_temp!U$28,SXS_Transit_input!$B$27:$W$27,0)+1,FALSE))+IF(ISNA(VLOOKUP($A49,SXS_Transit_input!$A$71:$L$81,MATCH(SXS_Transit_temp!U$28,SXS_Transit_input!$B$70:$L$70,0)+1,FALSE)),0,VLOOKUP($A49,SXS_Transit_input!$A$71:$L$81,MATCH(SXS_Transit_temp!U$28,SXS_Transit_input!$B$70:$L$70,0)+1,FALSE))</f>
        <v>0</v>
      </c>
      <c r="V49">
        <f>IF(ISNA(VLOOKUP($A49,SXS_Transit_input!$A$28:$W$49,MATCH(SXS_Transit_temp!V$28,SXS_Transit_input!$B$27:$W$27,0)+1,FALSE)),0,VLOOKUP($A49,SXS_Transit_input!$A$28:$W$49,MATCH(SXS_Transit_temp!V$28,SXS_Transit_input!$B$27:$W$27,0)+1,FALSE))+IF(ISNA(VLOOKUP($A49,SXS_Transit_input!$A$71:$L$81,MATCH(SXS_Transit_temp!V$28,SXS_Transit_input!$B$70:$L$70,0)+1,FALSE)),0,VLOOKUP($A49,SXS_Transit_input!$A$71:$L$81,MATCH(SXS_Transit_temp!V$28,SXS_Transit_input!$B$70:$L$70,0)+1,FALSE))</f>
        <v>0</v>
      </c>
      <c r="W49">
        <f>IF(ISNA(VLOOKUP($A49,SXS_Transit_input!$A$28:$W$49,MATCH(SXS_Transit_temp!W$28,SXS_Transit_input!$B$27:$W$27,0)+1,FALSE)),0,VLOOKUP($A49,SXS_Transit_input!$A$28:$W$49,MATCH(SXS_Transit_temp!W$28,SXS_Transit_input!$B$27:$W$27,0)+1,FALSE))+IF(ISNA(VLOOKUP($A49,SXS_Transit_input!$A$71:$L$81,MATCH(SXS_Transit_temp!W$28,SXS_Transit_input!$B$70:$L$70,0)+1,FALSE)),0,VLOOKUP($A49,SXS_Transit_input!$A$71:$L$81,MATCH(SXS_Transit_temp!W$28,SXS_Transit_input!$B$70:$L$70,0)+1,FALSE))</f>
        <v>0</v>
      </c>
      <c r="X49">
        <f>IF(ISNA(VLOOKUP($A49,SXS_Transit_input!$A$28:$W$49,MATCH(SXS_Transit_temp!X$28,SXS_Transit_input!$B$27:$W$27,0)+1,FALSE)),0,VLOOKUP($A49,SXS_Transit_input!$A$28:$W$49,MATCH(SXS_Transit_temp!X$28,SXS_Transit_input!$B$27:$W$27,0)+1,FALSE))+IF(ISNA(VLOOKUP($A49,SXS_Transit_input!$A$71:$L$81,MATCH(SXS_Transit_temp!X$28,SXS_Transit_input!$B$70:$L$70,0)+1,FALSE)),0,VLOOKUP($A49,SXS_Transit_input!$A$71:$L$81,MATCH(SXS_Transit_temp!X$28,SXS_Transit_input!$B$70:$L$70,0)+1,FALSE))</f>
        <v>0</v>
      </c>
      <c r="Y49">
        <f>IF(ISNA(VLOOKUP($A49,SXS_Transit_input!$A$28:$W$49,MATCH(SXS_Transit_temp!Y$28,SXS_Transit_input!$B$27:$W$27,0)+1,FALSE)),0,VLOOKUP($A49,SXS_Transit_input!$A$28:$W$49,MATCH(SXS_Transit_temp!Y$28,SXS_Transit_input!$B$27:$W$27,0)+1,FALSE))+IF(ISNA(VLOOKUP($A49,SXS_Transit_input!$A$71:$L$81,MATCH(SXS_Transit_temp!Y$28,SXS_Transit_input!$B$70:$L$70,0)+1,FALSE)),0,VLOOKUP($A49,SXS_Transit_input!$A$71:$L$81,MATCH(SXS_Transit_temp!Y$28,SXS_Transit_input!$B$70:$L$70,0)+1,FALSE))</f>
        <v>0</v>
      </c>
      <c r="Z49">
        <f>IF(ISNA(VLOOKUP($A49,SXS_Transit_input!$A$28:$W$49,MATCH(SXS_Transit_temp!Z$28,SXS_Transit_input!$B$27:$W$27,0)+1,FALSE)),0,VLOOKUP($A49,SXS_Transit_input!$A$28:$W$49,MATCH(SXS_Transit_temp!Z$28,SXS_Transit_input!$B$27:$W$27,0)+1,FALSE))+IF(ISNA(VLOOKUP($A49,SXS_Transit_input!$A$71:$L$81,MATCH(SXS_Transit_temp!Z$28,SXS_Transit_input!$B$70:$L$70,0)+1,FALSE)),0,VLOOKUP($A49,SXS_Transit_input!$A$71:$L$81,MATCH(SXS_Transit_temp!Z$28,SXS_Transit_input!$B$70:$L$70,0)+1,FALSE))</f>
        <v>0</v>
      </c>
      <c r="AA49">
        <v>21</v>
      </c>
      <c r="AB49" s="33">
        <f t="shared" si="27"/>
        <v>210</v>
      </c>
      <c r="AC49" s="34">
        <f t="shared" si="37"/>
        <v>10</v>
      </c>
      <c r="AD49" s="34">
        <f t="shared" si="38"/>
        <v>2</v>
      </c>
      <c r="AE49" s="34">
        <f t="shared" si="39"/>
        <v>0</v>
      </c>
      <c r="AF49" s="34">
        <f t="shared" si="40"/>
        <v>0</v>
      </c>
      <c r="AG49" s="34">
        <f t="shared" si="41"/>
        <v>0</v>
      </c>
      <c r="AH49" s="34">
        <f t="shared" si="42"/>
        <v>0</v>
      </c>
      <c r="AI49" s="34">
        <f t="shared" si="43"/>
        <v>0</v>
      </c>
      <c r="AJ49" s="34">
        <f t="shared" si="44"/>
        <v>8</v>
      </c>
      <c r="AK49" s="34">
        <f t="shared" si="45"/>
        <v>0</v>
      </c>
      <c r="AL49" s="34">
        <f t="shared" si="46"/>
        <v>0</v>
      </c>
      <c r="AM49" s="34">
        <f t="shared" si="47"/>
        <v>0</v>
      </c>
      <c r="AN49" s="34">
        <f t="shared" si="48"/>
        <v>0</v>
      </c>
      <c r="AO49" s="34">
        <f t="shared" si="49"/>
        <v>0</v>
      </c>
      <c r="AP49" s="34">
        <f t="shared" si="50"/>
        <v>0</v>
      </c>
      <c r="AQ49" s="34">
        <f t="shared" si="51"/>
        <v>0</v>
      </c>
      <c r="AR49" s="34">
        <f t="shared" si="28"/>
        <v>0</v>
      </c>
      <c r="AS49" s="34">
        <f t="shared" si="29"/>
        <v>0</v>
      </c>
      <c r="AT49" s="34">
        <f t="shared" si="30"/>
        <v>0</v>
      </c>
      <c r="AU49" s="34">
        <f t="shared" si="31"/>
        <v>0</v>
      </c>
      <c r="AV49" s="34">
        <f t="shared" si="32"/>
        <v>84</v>
      </c>
      <c r="AW49" s="34">
        <f t="shared" si="33"/>
        <v>0</v>
      </c>
      <c r="AX49" s="34">
        <f t="shared" si="34"/>
        <v>2</v>
      </c>
      <c r="AY49" s="34">
        <f t="shared" si="35"/>
        <v>2</v>
      </c>
      <c r="AZ49" s="35">
        <f t="shared" si="36"/>
        <v>0</v>
      </c>
      <c r="BC49" s="157">
        <v>20</v>
      </c>
      <c r="BD49">
        <v>288</v>
      </c>
      <c r="BE49">
        <v>4</v>
      </c>
      <c r="BF49">
        <v>14</v>
      </c>
      <c r="BG49">
        <v>4</v>
      </c>
      <c r="BH49">
        <v>0</v>
      </c>
      <c r="BI49">
        <v>0</v>
      </c>
      <c r="BJ49">
        <v>0</v>
      </c>
      <c r="BK49">
        <v>4</v>
      </c>
      <c r="BL49">
        <v>2</v>
      </c>
      <c r="BM49">
        <v>20</v>
      </c>
      <c r="BN49">
        <v>0</v>
      </c>
      <c r="BO49">
        <v>2</v>
      </c>
      <c r="BP49">
        <v>0</v>
      </c>
      <c r="BQ49">
        <v>0</v>
      </c>
      <c r="BR49">
        <v>0</v>
      </c>
      <c r="BS49">
        <v>0</v>
      </c>
      <c r="BT49">
        <v>0</v>
      </c>
      <c r="BU49">
        <v>0</v>
      </c>
      <c r="BV49">
        <v>0</v>
      </c>
      <c r="BW49">
        <v>132</v>
      </c>
      <c r="BX49">
        <v>22</v>
      </c>
      <c r="BY49">
        <v>2</v>
      </c>
      <c r="BZ49">
        <v>0</v>
      </c>
      <c r="CA49">
        <v>0</v>
      </c>
      <c r="CB49">
        <v>0</v>
      </c>
    </row>
    <row r="50" spans="1:80" x14ac:dyDescent="0.25">
      <c r="A50">
        <v>22</v>
      </c>
      <c r="B50">
        <f>IF(ISNA(VLOOKUP($A50,SXS_Transit_input!$A$28:$W$49,MATCH(SXS_Transit_temp!B$28,SXS_Transit_input!$B$27:$W$27,0)+1,FALSE)),0,VLOOKUP($A50,SXS_Transit_input!$A$28:$W$49,MATCH(SXS_Transit_temp!B$28,SXS_Transit_input!$B$27:$W$27,0)+1,FALSE))+IF(ISNA(VLOOKUP($A50,SXS_Transit_input!$A$71:$L$81,MATCH(SXS_Transit_temp!B$28,SXS_Transit_input!$B$70:$L$70,0)+1,FALSE)),0,VLOOKUP($A50,SXS_Transit_input!$A$71:$L$81,MATCH(SXS_Transit_temp!B$28,SXS_Transit_input!$B$70:$L$70,0)+1,FALSE))</f>
        <v>152.70773</v>
      </c>
      <c r="C50">
        <f>IF(ISNA(VLOOKUP($A50,SXS_Transit_input!$A$28:$W$49,MATCH(SXS_Transit_temp!C$28,SXS_Transit_input!$B$27:$W$27,0)+1,FALSE)),0,VLOOKUP($A50,SXS_Transit_input!$A$28:$W$49,MATCH(SXS_Transit_temp!C$28,SXS_Transit_input!$B$27:$W$27,0)+1,FALSE))+IF(ISNA(VLOOKUP($A50,SXS_Transit_input!$A$71:$L$81,MATCH(SXS_Transit_temp!C$28,SXS_Transit_input!$B$70:$L$70,0)+1,FALSE)),0,VLOOKUP($A50,SXS_Transit_input!$A$71:$L$81,MATCH(SXS_Transit_temp!C$28,SXS_Transit_input!$B$70:$L$70,0)+1,FALSE))</f>
        <v>0</v>
      </c>
      <c r="D50">
        <f>IF(ISNA(VLOOKUP($A50,SXS_Transit_input!$A$28:$W$49,MATCH(SXS_Transit_temp!D$28,SXS_Transit_input!$B$27:$W$27,0)+1,FALSE)),0,VLOOKUP($A50,SXS_Transit_input!$A$28:$W$49,MATCH(SXS_Transit_temp!D$28,SXS_Transit_input!$B$27:$W$27,0)+1,FALSE))+IF(ISNA(VLOOKUP($A50,SXS_Transit_input!$A$71:$L$81,MATCH(SXS_Transit_temp!D$28,SXS_Transit_input!$B$70:$L$70,0)+1,FALSE)),0,VLOOKUP($A50,SXS_Transit_input!$A$71:$L$81,MATCH(SXS_Transit_temp!D$28,SXS_Transit_input!$B$70:$L$70,0)+1,FALSE))</f>
        <v>0</v>
      </c>
      <c r="E50">
        <f>IF(ISNA(VLOOKUP($A50,SXS_Transit_input!$A$28:$W$49,MATCH(SXS_Transit_temp!E$28,SXS_Transit_input!$B$27:$W$27,0)+1,FALSE)),0,VLOOKUP($A50,SXS_Transit_input!$A$28:$W$49,MATCH(SXS_Transit_temp!E$28,SXS_Transit_input!$B$27:$W$27,0)+1,FALSE))+IF(ISNA(VLOOKUP($A50,SXS_Transit_input!$A$71:$L$81,MATCH(SXS_Transit_temp!E$28,SXS_Transit_input!$B$70:$L$70,0)+1,FALSE)),0,VLOOKUP($A50,SXS_Transit_input!$A$71:$L$81,MATCH(SXS_Transit_temp!E$28,SXS_Transit_input!$B$70:$L$70,0)+1,FALSE))</f>
        <v>25.75367</v>
      </c>
      <c r="F50">
        <f>IF(ISNA(VLOOKUP($A50,SXS_Transit_input!$A$28:$W$49,MATCH(SXS_Transit_temp!F$28,SXS_Transit_input!$B$27:$W$27,0)+1,FALSE)),0,VLOOKUP($A50,SXS_Transit_input!$A$28:$W$49,MATCH(SXS_Transit_temp!F$28,SXS_Transit_input!$B$27:$W$27,0)+1,FALSE))+IF(ISNA(VLOOKUP($A50,SXS_Transit_input!$A$71:$L$81,MATCH(SXS_Transit_temp!F$28,SXS_Transit_input!$B$70:$L$70,0)+1,FALSE)),0,VLOOKUP($A50,SXS_Transit_input!$A$71:$L$81,MATCH(SXS_Transit_temp!F$28,SXS_Transit_input!$B$70:$L$70,0)+1,FALSE))</f>
        <v>0</v>
      </c>
      <c r="G50">
        <f>IF(ISNA(VLOOKUP($A50,SXS_Transit_input!$A$28:$W$49,MATCH(SXS_Transit_temp!G$28,SXS_Transit_input!$B$27:$W$27,0)+1,FALSE)),0,VLOOKUP($A50,SXS_Transit_input!$A$28:$W$49,MATCH(SXS_Transit_temp!G$28,SXS_Transit_input!$B$27:$W$27,0)+1,FALSE))+IF(ISNA(VLOOKUP($A50,SXS_Transit_input!$A$71:$L$81,MATCH(SXS_Transit_temp!G$28,SXS_Transit_input!$B$70:$L$70,0)+1,FALSE)),0,VLOOKUP($A50,SXS_Transit_input!$A$71:$L$81,MATCH(SXS_Transit_temp!G$28,SXS_Transit_input!$B$70:$L$70,0)+1,FALSE))</f>
        <v>0</v>
      </c>
      <c r="H50">
        <f>IF(ISNA(VLOOKUP($A50,SXS_Transit_input!$A$28:$W$49,MATCH(SXS_Transit_temp!H$28,SXS_Transit_input!$B$27:$W$27,0)+1,FALSE)),0,VLOOKUP($A50,SXS_Transit_input!$A$28:$W$49,MATCH(SXS_Transit_temp!H$28,SXS_Transit_input!$B$27:$W$27,0)+1,FALSE))+IF(ISNA(VLOOKUP($A50,SXS_Transit_input!$A$71:$L$81,MATCH(SXS_Transit_temp!H$28,SXS_Transit_input!$B$70:$L$70,0)+1,FALSE)),0,VLOOKUP($A50,SXS_Transit_input!$A$71:$L$81,MATCH(SXS_Transit_temp!H$28,SXS_Transit_input!$B$70:$L$70,0)+1,FALSE))</f>
        <v>0</v>
      </c>
      <c r="I50">
        <f>IF(ISNA(VLOOKUP($A50,SXS_Transit_input!$A$28:$W$49,MATCH(SXS_Transit_temp!I$28,SXS_Transit_input!$B$27:$W$27,0)+1,FALSE)),0,VLOOKUP($A50,SXS_Transit_input!$A$28:$W$49,MATCH(SXS_Transit_temp!I$28,SXS_Transit_input!$B$27:$W$27,0)+1,FALSE))+IF(ISNA(VLOOKUP($A50,SXS_Transit_input!$A$71:$L$81,MATCH(SXS_Transit_temp!I$28,SXS_Transit_input!$B$70:$L$70,0)+1,FALSE)),0,VLOOKUP($A50,SXS_Transit_input!$A$71:$L$81,MATCH(SXS_Transit_temp!I$28,SXS_Transit_input!$B$70:$L$70,0)+1,FALSE))</f>
        <v>0</v>
      </c>
      <c r="J50">
        <f>IF(ISNA(VLOOKUP($A50,SXS_Transit_input!$A$28:$W$49,MATCH(SXS_Transit_temp!J$28,SXS_Transit_input!$B$27:$W$27,0)+1,FALSE)),0,VLOOKUP($A50,SXS_Transit_input!$A$28:$W$49,MATCH(SXS_Transit_temp!J$28,SXS_Transit_input!$B$27:$W$27,0)+1,FALSE))+IF(ISNA(VLOOKUP($A50,SXS_Transit_input!$A$71:$L$81,MATCH(SXS_Transit_temp!J$28,SXS_Transit_input!$B$70:$L$70,0)+1,FALSE)),0,VLOOKUP($A50,SXS_Transit_input!$A$71:$L$81,MATCH(SXS_Transit_temp!J$28,SXS_Transit_input!$B$70:$L$70,0)+1,FALSE))</f>
        <v>0</v>
      </c>
      <c r="K50">
        <f>IF(ISNA(VLOOKUP($A50,SXS_Transit_input!$A$28:$W$49,MATCH(SXS_Transit_temp!K$28,SXS_Transit_input!$B$27:$W$27,0)+1,FALSE)),0,VLOOKUP($A50,SXS_Transit_input!$A$28:$W$49,MATCH(SXS_Transit_temp!K$28,SXS_Transit_input!$B$27:$W$27,0)+1,FALSE))+IF(ISNA(VLOOKUP($A50,SXS_Transit_input!$A$71:$L$81,MATCH(SXS_Transit_temp!K$28,SXS_Transit_input!$B$70:$L$70,0)+1,FALSE)),0,VLOOKUP($A50,SXS_Transit_input!$A$71:$L$81,MATCH(SXS_Transit_temp!K$28,SXS_Transit_input!$B$70:$L$70,0)+1,FALSE))</f>
        <v>0</v>
      </c>
      <c r="L50">
        <f>IF(ISNA(VLOOKUP($A50,SXS_Transit_input!$A$28:$W$49,MATCH(SXS_Transit_temp!L$28,SXS_Transit_input!$B$27:$W$27,0)+1,FALSE)),0,VLOOKUP($A50,SXS_Transit_input!$A$28:$W$49,MATCH(SXS_Transit_temp!L$28,SXS_Transit_input!$B$27:$W$27,0)+1,FALSE))+IF(ISNA(VLOOKUP($A50,SXS_Transit_input!$A$71:$L$81,MATCH(SXS_Transit_temp!L$28,SXS_Transit_input!$B$70:$L$70,0)+1,FALSE)),0,VLOOKUP($A50,SXS_Transit_input!$A$71:$L$81,MATCH(SXS_Transit_temp!L$28,SXS_Transit_input!$B$70:$L$70,0)+1,FALSE))</f>
        <v>0</v>
      </c>
      <c r="M50">
        <f>IF(ISNA(VLOOKUP($A50,SXS_Transit_input!$A$28:$W$49,MATCH(SXS_Transit_temp!M$28,SXS_Transit_input!$B$27:$W$27,0)+1,FALSE)),0,VLOOKUP($A50,SXS_Transit_input!$A$28:$W$49,MATCH(SXS_Transit_temp!M$28,SXS_Transit_input!$B$27:$W$27,0)+1,FALSE))+IF(ISNA(VLOOKUP($A50,SXS_Transit_input!$A$71:$L$81,MATCH(SXS_Transit_temp!M$28,SXS_Transit_input!$B$70:$L$70,0)+1,FALSE)),0,VLOOKUP($A50,SXS_Transit_input!$A$71:$L$81,MATCH(SXS_Transit_temp!M$28,SXS_Transit_input!$B$70:$L$70,0)+1,FALSE))</f>
        <v>0</v>
      </c>
      <c r="N50">
        <f>IF(ISNA(VLOOKUP($A50,SXS_Transit_input!$A$28:$W$49,MATCH(SXS_Transit_temp!N$28,SXS_Transit_input!$B$27:$W$27,0)+1,FALSE)),0,VLOOKUP($A50,SXS_Transit_input!$A$28:$W$49,MATCH(SXS_Transit_temp!N$28,SXS_Transit_input!$B$27:$W$27,0)+1,FALSE))+IF(ISNA(VLOOKUP($A50,SXS_Transit_input!$A$71:$L$81,MATCH(SXS_Transit_temp!N$28,SXS_Transit_input!$B$70:$L$70,0)+1,FALSE)),0,VLOOKUP($A50,SXS_Transit_input!$A$71:$L$81,MATCH(SXS_Transit_temp!N$28,SXS_Transit_input!$B$70:$L$70,0)+1,FALSE))</f>
        <v>0</v>
      </c>
      <c r="O50">
        <f>IF(ISNA(VLOOKUP($A50,SXS_Transit_input!$A$28:$W$49,MATCH(SXS_Transit_temp!O$28,SXS_Transit_input!$B$27:$W$27,0)+1,FALSE)),0,VLOOKUP($A50,SXS_Transit_input!$A$28:$W$49,MATCH(SXS_Transit_temp!O$28,SXS_Transit_input!$B$27:$W$27,0)+1,FALSE))+IF(ISNA(VLOOKUP($A50,SXS_Transit_input!$A$71:$L$81,MATCH(SXS_Transit_temp!O$28,SXS_Transit_input!$B$70:$L$70,0)+1,FALSE)),0,VLOOKUP($A50,SXS_Transit_input!$A$71:$L$81,MATCH(SXS_Transit_temp!O$28,SXS_Transit_input!$B$70:$L$70,0)+1,FALSE))</f>
        <v>0</v>
      </c>
      <c r="P50">
        <f>IF(ISNA(VLOOKUP($A50,SXS_Transit_input!$A$28:$W$49,MATCH(SXS_Transit_temp!P$28,SXS_Transit_input!$B$27:$W$27,0)+1,FALSE)),0,VLOOKUP($A50,SXS_Transit_input!$A$28:$W$49,MATCH(SXS_Transit_temp!P$28,SXS_Transit_input!$B$27:$W$27,0)+1,FALSE))+IF(ISNA(VLOOKUP($A50,SXS_Transit_input!$A$71:$L$81,MATCH(SXS_Transit_temp!P$28,SXS_Transit_input!$B$70:$L$70,0)+1,FALSE)),0,VLOOKUP($A50,SXS_Transit_input!$A$71:$L$81,MATCH(SXS_Transit_temp!P$28,SXS_Transit_input!$B$70:$L$70,0)+1,FALSE))</f>
        <v>0</v>
      </c>
      <c r="Q50">
        <f>IF(ISNA(VLOOKUP($A50,SXS_Transit_input!$A$28:$W$49,MATCH(SXS_Transit_temp!Q$28,SXS_Transit_input!$B$27:$W$27,0)+1,FALSE)),0,VLOOKUP($A50,SXS_Transit_input!$A$28:$W$49,MATCH(SXS_Transit_temp!Q$28,SXS_Transit_input!$B$27:$W$27,0)+1,FALSE))+IF(ISNA(VLOOKUP($A50,SXS_Transit_input!$A$71:$L$81,MATCH(SXS_Transit_temp!Q$28,SXS_Transit_input!$B$70:$L$70,0)+1,FALSE)),0,VLOOKUP($A50,SXS_Transit_input!$A$71:$L$81,MATCH(SXS_Transit_temp!Q$28,SXS_Transit_input!$B$70:$L$70,0)+1,FALSE))</f>
        <v>0</v>
      </c>
      <c r="R50">
        <f>IF(ISNA(VLOOKUP($A50,SXS_Transit_input!$A$28:$W$49,MATCH(SXS_Transit_temp!R$28,SXS_Transit_input!$B$27:$W$27,0)+1,FALSE)),0,VLOOKUP($A50,SXS_Transit_input!$A$28:$W$49,MATCH(SXS_Transit_temp!R$28,SXS_Transit_input!$B$27:$W$27,0)+1,FALSE))+IF(ISNA(VLOOKUP($A50,SXS_Transit_input!$A$71:$L$81,MATCH(SXS_Transit_temp!R$28,SXS_Transit_input!$B$70:$L$70,0)+1,FALSE)),0,VLOOKUP($A50,SXS_Transit_input!$A$71:$L$81,MATCH(SXS_Transit_temp!R$28,SXS_Transit_input!$B$70:$L$70,0)+1,FALSE))</f>
        <v>0</v>
      </c>
      <c r="S50">
        <f>IF(ISNA(VLOOKUP($A50,SXS_Transit_input!$A$28:$W$49,MATCH(SXS_Transit_temp!S$28,SXS_Transit_input!$B$27:$W$27,0)+1,FALSE)),0,VLOOKUP($A50,SXS_Transit_input!$A$28:$W$49,MATCH(SXS_Transit_temp!S$28,SXS_Transit_input!$B$27:$W$27,0)+1,FALSE))+IF(ISNA(VLOOKUP($A50,SXS_Transit_input!$A$71:$L$81,MATCH(SXS_Transit_temp!S$28,SXS_Transit_input!$B$70:$L$70,0)+1,FALSE)),0,VLOOKUP($A50,SXS_Transit_input!$A$71:$L$81,MATCH(SXS_Transit_temp!S$28,SXS_Transit_input!$B$70:$L$70,0)+1,FALSE))</f>
        <v>0</v>
      </c>
      <c r="T50">
        <f>IF(ISNA(VLOOKUP($A50,SXS_Transit_input!$A$28:$W$49,MATCH(SXS_Transit_temp!T$28,SXS_Transit_input!$B$27:$W$27,0)+1,FALSE)),0,VLOOKUP($A50,SXS_Transit_input!$A$28:$W$49,MATCH(SXS_Transit_temp!T$28,SXS_Transit_input!$B$27:$W$27,0)+1,FALSE))+IF(ISNA(VLOOKUP($A50,SXS_Transit_input!$A$71:$L$81,MATCH(SXS_Transit_temp!T$28,SXS_Transit_input!$B$70:$L$70,0)+1,FALSE)),0,VLOOKUP($A50,SXS_Transit_input!$A$71:$L$81,MATCH(SXS_Transit_temp!T$28,SXS_Transit_input!$B$70:$L$70,0)+1,FALSE))</f>
        <v>0</v>
      </c>
      <c r="U50">
        <f>IF(ISNA(VLOOKUP($A50,SXS_Transit_input!$A$28:$W$49,MATCH(SXS_Transit_temp!U$28,SXS_Transit_input!$B$27:$W$27,0)+1,FALSE)),0,VLOOKUP($A50,SXS_Transit_input!$A$28:$W$49,MATCH(SXS_Transit_temp!U$28,SXS_Transit_input!$B$27:$W$27,0)+1,FALSE))+IF(ISNA(VLOOKUP($A50,SXS_Transit_input!$A$71:$L$81,MATCH(SXS_Transit_temp!U$28,SXS_Transit_input!$B$70:$L$70,0)+1,FALSE)),0,VLOOKUP($A50,SXS_Transit_input!$A$71:$L$81,MATCH(SXS_Transit_temp!U$28,SXS_Transit_input!$B$70:$L$70,0)+1,FALSE))</f>
        <v>0</v>
      </c>
      <c r="V50">
        <f>IF(ISNA(VLOOKUP($A50,SXS_Transit_input!$A$28:$W$49,MATCH(SXS_Transit_temp!V$28,SXS_Transit_input!$B$27:$W$27,0)+1,FALSE)),0,VLOOKUP($A50,SXS_Transit_input!$A$28:$W$49,MATCH(SXS_Transit_temp!V$28,SXS_Transit_input!$B$27:$W$27,0)+1,FALSE))+IF(ISNA(VLOOKUP($A50,SXS_Transit_input!$A$71:$L$81,MATCH(SXS_Transit_temp!V$28,SXS_Transit_input!$B$70:$L$70,0)+1,FALSE)),0,VLOOKUP($A50,SXS_Transit_input!$A$71:$L$81,MATCH(SXS_Transit_temp!V$28,SXS_Transit_input!$B$70:$L$70,0)+1,FALSE))</f>
        <v>0</v>
      </c>
      <c r="W50">
        <f>IF(ISNA(VLOOKUP($A50,SXS_Transit_input!$A$28:$W$49,MATCH(SXS_Transit_temp!W$28,SXS_Transit_input!$B$27:$W$27,0)+1,FALSE)),0,VLOOKUP($A50,SXS_Transit_input!$A$28:$W$49,MATCH(SXS_Transit_temp!W$28,SXS_Transit_input!$B$27:$W$27,0)+1,FALSE))+IF(ISNA(VLOOKUP($A50,SXS_Transit_input!$A$71:$L$81,MATCH(SXS_Transit_temp!W$28,SXS_Transit_input!$B$70:$L$70,0)+1,FALSE)),0,VLOOKUP($A50,SXS_Transit_input!$A$71:$L$81,MATCH(SXS_Transit_temp!W$28,SXS_Transit_input!$B$70:$L$70,0)+1,FALSE))</f>
        <v>93.359319999999997</v>
      </c>
      <c r="X50">
        <f>IF(ISNA(VLOOKUP($A50,SXS_Transit_input!$A$28:$W$49,MATCH(SXS_Transit_temp!X$28,SXS_Transit_input!$B$27:$W$27,0)+1,FALSE)),0,VLOOKUP($A50,SXS_Transit_input!$A$28:$W$49,MATCH(SXS_Transit_temp!X$28,SXS_Transit_input!$B$27:$W$27,0)+1,FALSE))+IF(ISNA(VLOOKUP($A50,SXS_Transit_input!$A$71:$L$81,MATCH(SXS_Transit_temp!X$28,SXS_Transit_input!$B$70:$L$70,0)+1,FALSE)),0,VLOOKUP($A50,SXS_Transit_input!$A$71:$L$81,MATCH(SXS_Transit_temp!X$28,SXS_Transit_input!$B$70:$L$70,0)+1,FALSE))</f>
        <v>0</v>
      </c>
      <c r="Y50">
        <f>IF(ISNA(VLOOKUP($A50,SXS_Transit_input!$A$28:$W$49,MATCH(SXS_Transit_temp!Y$28,SXS_Transit_input!$B$27:$W$27,0)+1,FALSE)),0,VLOOKUP($A50,SXS_Transit_input!$A$28:$W$49,MATCH(SXS_Transit_temp!Y$28,SXS_Transit_input!$B$27:$W$27,0)+1,FALSE))+IF(ISNA(VLOOKUP($A50,SXS_Transit_input!$A$71:$L$81,MATCH(SXS_Transit_temp!Y$28,SXS_Transit_input!$B$70:$L$70,0)+1,FALSE)),0,VLOOKUP($A50,SXS_Transit_input!$A$71:$L$81,MATCH(SXS_Transit_temp!Y$28,SXS_Transit_input!$B$70:$L$70,0)+1,FALSE))</f>
        <v>0</v>
      </c>
      <c r="Z50">
        <f>IF(ISNA(VLOOKUP($A50,SXS_Transit_input!$A$28:$W$49,MATCH(SXS_Transit_temp!Z$28,SXS_Transit_input!$B$27:$W$27,0)+1,FALSE)),0,VLOOKUP($A50,SXS_Transit_input!$A$28:$W$49,MATCH(SXS_Transit_temp!Z$28,SXS_Transit_input!$B$27:$W$27,0)+1,FALSE))+IF(ISNA(VLOOKUP($A50,SXS_Transit_input!$A$71:$L$81,MATCH(SXS_Transit_temp!Z$28,SXS_Transit_input!$B$70:$L$70,0)+1,FALSE)),0,VLOOKUP($A50,SXS_Transit_input!$A$71:$L$81,MATCH(SXS_Transit_temp!Z$28,SXS_Transit_input!$B$70:$L$70,0)+1,FALSE))</f>
        <v>0</v>
      </c>
      <c r="AA50">
        <v>22</v>
      </c>
      <c r="AB50" s="33">
        <f t="shared" si="27"/>
        <v>60</v>
      </c>
      <c r="AC50" s="34">
        <f t="shared" si="37"/>
        <v>0</v>
      </c>
      <c r="AD50" s="34">
        <f t="shared" si="38"/>
        <v>6</v>
      </c>
      <c r="AE50" s="34">
        <f t="shared" si="39"/>
        <v>0</v>
      </c>
      <c r="AF50" s="34">
        <f t="shared" si="40"/>
        <v>2</v>
      </c>
      <c r="AG50" s="34">
        <f t="shared" si="41"/>
        <v>0</v>
      </c>
      <c r="AH50" s="34">
        <f t="shared" si="42"/>
        <v>0</v>
      </c>
      <c r="AI50" s="34">
        <f t="shared" si="43"/>
        <v>0</v>
      </c>
      <c r="AJ50" s="34">
        <f t="shared" si="44"/>
        <v>0</v>
      </c>
      <c r="AK50" s="34">
        <f t="shared" si="45"/>
        <v>0</v>
      </c>
      <c r="AL50" s="34">
        <f t="shared" si="46"/>
        <v>10</v>
      </c>
      <c r="AM50" s="34">
        <f t="shared" si="47"/>
        <v>0</v>
      </c>
      <c r="AN50" s="34">
        <f t="shared" si="48"/>
        <v>0</v>
      </c>
      <c r="AO50" s="34">
        <f t="shared" si="49"/>
        <v>0</v>
      </c>
      <c r="AP50" s="34">
        <f t="shared" si="50"/>
        <v>0</v>
      </c>
      <c r="AQ50" s="34">
        <f t="shared" si="51"/>
        <v>0</v>
      </c>
      <c r="AR50" s="34">
        <f t="shared" si="28"/>
        <v>0</v>
      </c>
      <c r="AS50" s="34">
        <f t="shared" si="29"/>
        <v>0</v>
      </c>
      <c r="AT50" s="34">
        <f t="shared" si="30"/>
        <v>0</v>
      </c>
      <c r="AU50" s="34">
        <f t="shared" si="31"/>
        <v>0</v>
      </c>
      <c r="AV50" s="34">
        <f t="shared" si="32"/>
        <v>0</v>
      </c>
      <c r="AW50" s="34">
        <f t="shared" si="33"/>
        <v>56</v>
      </c>
      <c r="AX50" s="34">
        <f t="shared" si="34"/>
        <v>0</v>
      </c>
      <c r="AY50" s="34">
        <f t="shared" si="35"/>
        <v>0</v>
      </c>
      <c r="AZ50" s="35">
        <f t="shared" si="36"/>
        <v>4</v>
      </c>
      <c r="BC50" s="157">
        <v>21</v>
      </c>
      <c r="BD50">
        <v>210</v>
      </c>
      <c r="BE50">
        <v>10</v>
      </c>
      <c r="BF50">
        <v>2</v>
      </c>
      <c r="BG50">
        <v>0</v>
      </c>
      <c r="BH50">
        <v>0</v>
      </c>
      <c r="BI50">
        <v>0</v>
      </c>
      <c r="BJ50">
        <v>0</v>
      </c>
      <c r="BK50">
        <v>0</v>
      </c>
      <c r="BL50">
        <v>8</v>
      </c>
      <c r="BM50">
        <v>0</v>
      </c>
      <c r="BN50">
        <v>0</v>
      </c>
      <c r="BO50">
        <v>0</v>
      </c>
      <c r="BP50">
        <v>0</v>
      </c>
      <c r="BQ50">
        <v>0</v>
      </c>
      <c r="BR50">
        <v>0</v>
      </c>
      <c r="BS50">
        <v>0</v>
      </c>
      <c r="BT50">
        <v>0</v>
      </c>
      <c r="BU50">
        <v>0</v>
      </c>
      <c r="BV50">
        <v>0</v>
      </c>
      <c r="BW50">
        <v>0</v>
      </c>
      <c r="BX50">
        <v>84</v>
      </c>
      <c r="BY50">
        <v>0</v>
      </c>
      <c r="BZ50">
        <v>0</v>
      </c>
      <c r="CA50">
        <v>0</v>
      </c>
      <c r="CB50">
        <v>0</v>
      </c>
    </row>
    <row r="51" spans="1:80" x14ac:dyDescent="0.25">
      <c r="A51">
        <v>23</v>
      </c>
      <c r="B51">
        <f>IF(ISNA(VLOOKUP($A51,SXS_Transit_input!$A$28:$W$49,MATCH(SXS_Transit_temp!B$28,SXS_Transit_input!$B$27:$W$27,0)+1,FALSE)),0,VLOOKUP($A51,SXS_Transit_input!$A$28:$W$49,MATCH(SXS_Transit_temp!B$28,SXS_Transit_input!$B$27:$W$27,0)+1,FALSE))+IF(ISNA(VLOOKUP($A51,SXS_Transit_input!$A$71:$L$81,MATCH(SXS_Transit_temp!B$28,SXS_Transit_input!$B$70:$L$70,0)+1,FALSE)),0,VLOOKUP($A51,SXS_Transit_input!$A$71:$L$81,MATCH(SXS_Transit_temp!B$28,SXS_Transit_input!$B$70:$L$70,0)+1,FALSE))</f>
        <v>1389.5677499999999</v>
      </c>
      <c r="C51">
        <f>IF(ISNA(VLOOKUP($A51,SXS_Transit_input!$A$28:$W$49,MATCH(SXS_Transit_temp!C$28,SXS_Transit_input!$B$27:$W$27,0)+1,FALSE)),0,VLOOKUP($A51,SXS_Transit_input!$A$28:$W$49,MATCH(SXS_Transit_temp!C$28,SXS_Transit_input!$B$27:$W$27,0)+1,FALSE))+IF(ISNA(VLOOKUP($A51,SXS_Transit_input!$A$71:$L$81,MATCH(SXS_Transit_temp!C$28,SXS_Transit_input!$B$70:$L$70,0)+1,FALSE)),0,VLOOKUP($A51,SXS_Transit_input!$A$71:$L$81,MATCH(SXS_Transit_temp!C$28,SXS_Transit_input!$B$70:$L$70,0)+1,FALSE))</f>
        <v>0</v>
      </c>
      <c r="D51">
        <f>IF(ISNA(VLOOKUP($A51,SXS_Transit_input!$A$28:$W$49,MATCH(SXS_Transit_temp!D$28,SXS_Transit_input!$B$27:$W$27,0)+1,FALSE)),0,VLOOKUP($A51,SXS_Transit_input!$A$28:$W$49,MATCH(SXS_Transit_temp!D$28,SXS_Transit_input!$B$27:$W$27,0)+1,FALSE))+IF(ISNA(VLOOKUP($A51,SXS_Transit_input!$A$71:$L$81,MATCH(SXS_Transit_temp!D$28,SXS_Transit_input!$B$70:$L$70,0)+1,FALSE)),0,VLOOKUP($A51,SXS_Transit_input!$A$71:$L$81,MATCH(SXS_Transit_temp!D$28,SXS_Transit_input!$B$70:$L$70,0)+1,FALSE))</f>
        <v>0</v>
      </c>
      <c r="E51">
        <f>IF(ISNA(VLOOKUP($A51,SXS_Transit_input!$A$28:$W$49,MATCH(SXS_Transit_temp!E$28,SXS_Transit_input!$B$27:$W$27,0)+1,FALSE)),0,VLOOKUP($A51,SXS_Transit_input!$A$28:$W$49,MATCH(SXS_Transit_temp!E$28,SXS_Transit_input!$B$27:$W$27,0)+1,FALSE))+IF(ISNA(VLOOKUP($A51,SXS_Transit_input!$A$71:$L$81,MATCH(SXS_Transit_temp!E$28,SXS_Transit_input!$B$70:$L$70,0)+1,FALSE)),0,VLOOKUP($A51,SXS_Transit_input!$A$71:$L$81,MATCH(SXS_Transit_temp!E$28,SXS_Transit_input!$B$70:$L$70,0)+1,FALSE))</f>
        <v>0</v>
      </c>
      <c r="F51">
        <f>IF(ISNA(VLOOKUP($A51,SXS_Transit_input!$A$28:$W$49,MATCH(SXS_Transit_temp!F$28,SXS_Transit_input!$B$27:$W$27,0)+1,FALSE)),0,VLOOKUP($A51,SXS_Transit_input!$A$28:$W$49,MATCH(SXS_Transit_temp!F$28,SXS_Transit_input!$B$27:$W$27,0)+1,FALSE))+IF(ISNA(VLOOKUP($A51,SXS_Transit_input!$A$71:$L$81,MATCH(SXS_Transit_temp!F$28,SXS_Transit_input!$B$70:$L$70,0)+1,FALSE)),0,VLOOKUP($A51,SXS_Transit_input!$A$71:$L$81,MATCH(SXS_Transit_temp!F$28,SXS_Transit_input!$B$70:$L$70,0)+1,FALSE))</f>
        <v>0</v>
      </c>
      <c r="G51">
        <f>IF(ISNA(VLOOKUP($A51,SXS_Transit_input!$A$28:$W$49,MATCH(SXS_Transit_temp!G$28,SXS_Transit_input!$B$27:$W$27,0)+1,FALSE)),0,VLOOKUP($A51,SXS_Transit_input!$A$28:$W$49,MATCH(SXS_Transit_temp!G$28,SXS_Transit_input!$B$27:$W$27,0)+1,FALSE))+IF(ISNA(VLOOKUP($A51,SXS_Transit_input!$A$71:$L$81,MATCH(SXS_Transit_temp!G$28,SXS_Transit_input!$B$70:$L$70,0)+1,FALSE)),0,VLOOKUP($A51,SXS_Transit_input!$A$71:$L$81,MATCH(SXS_Transit_temp!G$28,SXS_Transit_input!$B$70:$L$70,0)+1,FALSE))</f>
        <v>0</v>
      </c>
      <c r="H51">
        <f>IF(ISNA(VLOOKUP($A51,SXS_Transit_input!$A$28:$W$49,MATCH(SXS_Transit_temp!H$28,SXS_Transit_input!$B$27:$W$27,0)+1,FALSE)),0,VLOOKUP($A51,SXS_Transit_input!$A$28:$W$49,MATCH(SXS_Transit_temp!H$28,SXS_Transit_input!$B$27:$W$27,0)+1,FALSE))+IF(ISNA(VLOOKUP($A51,SXS_Transit_input!$A$71:$L$81,MATCH(SXS_Transit_temp!H$28,SXS_Transit_input!$B$70:$L$70,0)+1,FALSE)),0,VLOOKUP($A51,SXS_Transit_input!$A$71:$L$81,MATCH(SXS_Transit_temp!H$28,SXS_Transit_input!$B$70:$L$70,0)+1,FALSE))</f>
        <v>0</v>
      </c>
      <c r="I51">
        <f>IF(ISNA(VLOOKUP($A51,SXS_Transit_input!$A$28:$W$49,MATCH(SXS_Transit_temp!I$28,SXS_Transit_input!$B$27:$W$27,0)+1,FALSE)),0,VLOOKUP($A51,SXS_Transit_input!$A$28:$W$49,MATCH(SXS_Transit_temp!I$28,SXS_Transit_input!$B$27:$W$27,0)+1,FALSE))+IF(ISNA(VLOOKUP($A51,SXS_Transit_input!$A$71:$L$81,MATCH(SXS_Transit_temp!I$28,SXS_Transit_input!$B$70:$L$70,0)+1,FALSE)),0,VLOOKUP($A51,SXS_Transit_input!$A$71:$L$81,MATCH(SXS_Transit_temp!I$28,SXS_Transit_input!$B$70:$L$70,0)+1,FALSE))</f>
        <v>0</v>
      </c>
      <c r="J51">
        <f>IF(ISNA(VLOOKUP($A51,SXS_Transit_input!$A$28:$W$49,MATCH(SXS_Transit_temp!J$28,SXS_Transit_input!$B$27:$W$27,0)+1,FALSE)),0,VLOOKUP($A51,SXS_Transit_input!$A$28:$W$49,MATCH(SXS_Transit_temp!J$28,SXS_Transit_input!$B$27:$W$27,0)+1,FALSE))+IF(ISNA(VLOOKUP($A51,SXS_Transit_input!$A$71:$L$81,MATCH(SXS_Transit_temp!J$28,SXS_Transit_input!$B$70:$L$70,0)+1,FALSE)),0,VLOOKUP($A51,SXS_Transit_input!$A$71:$L$81,MATCH(SXS_Transit_temp!J$28,SXS_Transit_input!$B$70:$L$70,0)+1,FALSE))</f>
        <v>0</v>
      </c>
      <c r="K51">
        <f>IF(ISNA(VLOOKUP($A51,SXS_Transit_input!$A$28:$W$49,MATCH(SXS_Transit_temp!K$28,SXS_Transit_input!$B$27:$W$27,0)+1,FALSE)),0,VLOOKUP($A51,SXS_Transit_input!$A$28:$W$49,MATCH(SXS_Transit_temp!K$28,SXS_Transit_input!$B$27:$W$27,0)+1,FALSE))+IF(ISNA(VLOOKUP($A51,SXS_Transit_input!$A$71:$L$81,MATCH(SXS_Transit_temp!K$28,SXS_Transit_input!$B$70:$L$70,0)+1,FALSE)),0,VLOOKUP($A51,SXS_Transit_input!$A$71:$L$81,MATCH(SXS_Transit_temp!K$28,SXS_Transit_input!$B$70:$L$70,0)+1,FALSE))</f>
        <v>0</v>
      </c>
      <c r="L51">
        <f>IF(ISNA(VLOOKUP($A51,SXS_Transit_input!$A$28:$W$49,MATCH(SXS_Transit_temp!L$28,SXS_Transit_input!$B$27:$W$27,0)+1,FALSE)),0,VLOOKUP($A51,SXS_Transit_input!$A$28:$W$49,MATCH(SXS_Transit_temp!L$28,SXS_Transit_input!$B$27:$W$27,0)+1,FALSE))+IF(ISNA(VLOOKUP($A51,SXS_Transit_input!$A$71:$L$81,MATCH(SXS_Transit_temp!L$28,SXS_Transit_input!$B$70:$L$70,0)+1,FALSE)),0,VLOOKUP($A51,SXS_Transit_input!$A$71:$L$81,MATCH(SXS_Transit_temp!L$28,SXS_Transit_input!$B$70:$L$70,0)+1,FALSE))</f>
        <v>0</v>
      </c>
      <c r="M51">
        <f>IF(ISNA(VLOOKUP($A51,SXS_Transit_input!$A$28:$W$49,MATCH(SXS_Transit_temp!M$28,SXS_Transit_input!$B$27:$W$27,0)+1,FALSE)),0,VLOOKUP($A51,SXS_Transit_input!$A$28:$W$49,MATCH(SXS_Transit_temp!M$28,SXS_Transit_input!$B$27:$W$27,0)+1,FALSE))+IF(ISNA(VLOOKUP($A51,SXS_Transit_input!$A$71:$L$81,MATCH(SXS_Transit_temp!M$28,SXS_Transit_input!$B$70:$L$70,0)+1,FALSE)),0,VLOOKUP($A51,SXS_Transit_input!$A$71:$L$81,MATCH(SXS_Transit_temp!M$28,SXS_Transit_input!$B$70:$L$70,0)+1,FALSE))</f>
        <v>0</v>
      </c>
      <c r="N51">
        <f>IF(ISNA(VLOOKUP($A51,SXS_Transit_input!$A$28:$W$49,MATCH(SXS_Transit_temp!N$28,SXS_Transit_input!$B$27:$W$27,0)+1,FALSE)),0,VLOOKUP($A51,SXS_Transit_input!$A$28:$W$49,MATCH(SXS_Transit_temp!N$28,SXS_Transit_input!$B$27:$W$27,0)+1,FALSE))+IF(ISNA(VLOOKUP($A51,SXS_Transit_input!$A$71:$L$81,MATCH(SXS_Transit_temp!N$28,SXS_Transit_input!$B$70:$L$70,0)+1,FALSE)),0,VLOOKUP($A51,SXS_Transit_input!$A$71:$L$81,MATCH(SXS_Transit_temp!N$28,SXS_Transit_input!$B$70:$L$70,0)+1,FALSE))</f>
        <v>0</v>
      </c>
      <c r="O51">
        <f>IF(ISNA(VLOOKUP($A51,SXS_Transit_input!$A$28:$W$49,MATCH(SXS_Transit_temp!O$28,SXS_Transit_input!$B$27:$W$27,0)+1,FALSE)),0,VLOOKUP($A51,SXS_Transit_input!$A$28:$W$49,MATCH(SXS_Transit_temp!O$28,SXS_Transit_input!$B$27:$W$27,0)+1,FALSE))+IF(ISNA(VLOOKUP($A51,SXS_Transit_input!$A$71:$L$81,MATCH(SXS_Transit_temp!O$28,SXS_Transit_input!$B$70:$L$70,0)+1,FALSE)),0,VLOOKUP($A51,SXS_Transit_input!$A$71:$L$81,MATCH(SXS_Transit_temp!O$28,SXS_Transit_input!$B$70:$L$70,0)+1,FALSE))</f>
        <v>0</v>
      </c>
      <c r="P51">
        <f>IF(ISNA(VLOOKUP($A51,SXS_Transit_input!$A$28:$W$49,MATCH(SXS_Transit_temp!P$28,SXS_Transit_input!$B$27:$W$27,0)+1,FALSE)),0,VLOOKUP($A51,SXS_Transit_input!$A$28:$W$49,MATCH(SXS_Transit_temp!P$28,SXS_Transit_input!$B$27:$W$27,0)+1,FALSE))+IF(ISNA(VLOOKUP($A51,SXS_Transit_input!$A$71:$L$81,MATCH(SXS_Transit_temp!P$28,SXS_Transit_input!$B$70:$L$70,0)+1,FALSE)),0,VLOOKUP($A51,SXS_Transit_input!$A$71:$L$81,MATCH(SXS_Transit_temp!P$28,SXS_Transit_input!$B$70:$L$70,0)+1,FALSE))</f>
        <v>0</v>
      </c>
      <c r="Q51">
        <f>IF(ISNA(VLOOKUP($A51,SXS_Transit_input!$A$28:$W$49,MATCH(SXS_Transit_temp!Q$28,SXS_Transit_input!$B$27:$W$27,0)+1,FALSE)),0,VLOOKUP($A51,SXS_Transit_input!$A$28:$W$49,MATCH(SXS_Transit_temp!Q$28,SXS_Transit_input!$B$27:$W$27,0)+1,FALSE))+IF(ISNA(VLOOKUP($A51,SXS_Transit_input!$A$71:$L$81,MATCH(SXS_Transit_temp!Q$28,SXS_Transit_input!$B$70:$L$70,0)+1,FALSE)),0,VLOOKUP($A51,SXS_Transit_input!$A$71:$L$81,MATCH(SXS_Transit_temp!Q$28,SXS_Transit_input!$B$70:$L$70,0)+1,FALSE))</f>
        <v>0</v>
      </c>
      <c r="R51">
        <f>IF(ISNA(VLOOKUP($A51,SXS_Transit_input!$A$28:$W$49,MATCH(SXS_Transit_temp!R$28,SXS_Transit_input!$B$27:$W$27,0)+1,FALSE)),0,VLOOKUP($A51,SXS_Transit_input!$A$28:$W$49,MATCH(SXS_Transit_temp!R$28,SXS_Transit_input!$B$27:$W$27,0)+1,FALSE))+IF(ISNA(VLOOKUP($A51,SXS_Transit_input!$A$71:$L$81,MATCH(SXS_Transit_temp!R$28,SXS_Transit_input!$B$70:$L$70,0)+1,FALSE)),0,VLOOKUP($A51,SXS_Transit_input!$A$71:$L$81,MATCH(SXS_Transit_temp!R$28,SXS_Transit_input!$B$70:$L$70,0)+1,FALSE))</f>
        <v>0</v>
      </c>
      <c r="S51">
        <f>IF(ISNA(VLOOKUP($A51,SXS_Transit_input!$A$28:$W$49,MATCH(SXS_Transit_temp!S$28,SXS_Transit_input!$B$27:$W$27,0)+1,FALSE)),0,VLOOKUP($A51,SXS_Transit_input!$A$28:$W$49,MATCH(SXS_Transit_temp!S$28,SXS_Transit_input!$B$27:$W$27,0)+1,FALSE))+IF(ISNA(VLOOKUP($A51,SXS_Transit_input!$A$71:$L$81,MATCH(SXS_Transit_temp!S$28,SXS_Transit_input!$B$70:$L$70,0)+1,FALSE)),0,VLOOKUP($A51,SXS_Transit_input!$A$71:$L$81,MATCH(SXS_Transit_temp!S$28,SXS_Transit_input!$B$70:$L$70,0)+1,FALSE))</f>
        <v>0</v>
      </c>
      <c r="T51">
        <f>IF(ISNA(VLOOKUP($A51,SXS_Transit_input!$A$28:$W$49,MATCH(SXS_Transit_temp!T$28,SXS_Transit_input!$B$27:$W$27,0)+1,FALSE)),0,VLOOKUP($A51,SXS_Transit_input!$A$28:$W$49,MATCH(SXS_Transit_temp!T$28,SXS_Transit_input!$B$27:$W$27,0)+1,FALSE))+IF(ISNA(VLOOKUP($A51,SXS_Transit_input!$A$71:$L$81,MATCH(SXS_Transit_temp!T$28,SXS_Transit_input!$B$70:$L$70,0)+1,FALSE)),0,VLOOKUP($A51,SXS_Transit_input!$A$71:$L$81,MATCH(SXS_Transit_temp!T$28,SXS_Transit_input!$B$70:$L$70,0)+1,FALSE))</f>
        <v>0</v>
      </c>
      <c r="U51">
        <f>IF(ISNA(VLOOKUP($A51,SXS_Transit_input!$A$28:$W$49,MATCH(SXS_Transit_temp!U$28,SXS_Transit_input!$B$27:$W$27,0)+1,FALSE)),0,VLOOKUP($A51,SXS_Transit_input!$A$28:$W$49,MATCH(SXS_Transit_temp!U$28,SXS_Transit_input!$B$27:$W$27,0)+1,FALSE))+IF(ISNA(VLOOKUP($A51,SXS_Transit_input!$A$71:$L$81,MATCH(SXS_Transit_temp!U$28,SXS_Transit_input!$B$70:$L$70,0)+1,FALSE)),0,VLOOKUP($A51,SXS_Transit_input!$A$71:$L$81,MATCH(SXS_Transit_temp!U$28,SXS_Transit_input!$B$70:$L$70,0)+1,FALSE))</f>
        <v>0</v>
      </c>
      <c r="V51">
        <f>IF(ISNA(VLOOKUP($A51,SXS_Transit_input!$A$28:$W$49,MATCH(SXS_Transit_temp!V$28,SXS_Transit_input!$B$27:$W$27,0)+1,FALSE)),0,VLOOKUP($A51,SXS_Transit_input!$A$28:$W$49,MATCH(SXS_Transit_temp!V$28,SXS_Transit_input!$B$27:$W$27,0)+1,FALSE))+IF(ISNA(VLOOKUP($A51,SXS_Transit_input!$A$71:$L$81,MATCH(SXS_Transit_temp!V$28,SXS_Transit_input!$B$70:$L$70,0)+1,FALSE)),0,VLOOKUP($A51,SXS_Transit_input!$A$71:$L$81,MATCH(SXS_Transit_temp!V$28,SXS_Transit_input!$B$70:$L$70,0)+1,FALSE))</f>
        <v>0</v>
      </c>
      <c r="W51">
        <f>IF(ISNA(VLOOKUP($A51,SXS_Transit_input!$A$28:$W$49,MATCH(SXS_Transit_temp!W$28,SXS_Transit_input!$B$27:$W$27,0)+1,FALSE)),0,VLOOKUP($A51,SXS_Transit_input!$A$28:$W$49,MATCH(SXS_Transit_temp!W$28,SXS_Transit_input!$B$27:$W$27,0)+1,FALSE))+IF(ISNA(VLOOKUP($A51,SXS_Transit_input!$A$71:$L$81,MATCH(SXS_Transit_temp!W$28,SXS_Transit_input!$B$70:$L$70,0)+1,FALSE)),0,VLOOKUP($A51,SXS_Transit_input!$A$71:$L$81,MATCH(SXS_Transit_temp!W$28,SXS_Transit_input!$B$70:$L$70,0)+1,FALSE))</f>
        <v>0</v>
      </c>
      <c r="X51">
        <f>IF(ISNA(VLOOKUP($A51,SXS_Transit_input!$A$28:$W$49,MATCH(SXS_Transit_temp!X$28,SXS_Transit_input!$B$27:$W$27,0)+1,FALSE)),0,VLOOKUP($A51,SXS_Transit_input!$A$28:$W$49,MATCH(SXS_Transit_temp!X$28,SXS_Transit_input!$B$27:$W$27,0)+1,FALSE))+IF(ISNA(VLOOKUP($A51,SXS_Transit_input!$A$71:$L$81,MATCH(SXS_Transit_temp!X$28,SXS_Transit_input!$B$70:$L$70,0)+1,FALSE)),0,VLOOKUP($A51,SXS_Transit_input!$A$71:$L$81,MATCH(SXS_Transit_temp!X$28,SXS_Transit_input!$B$70:$L$70,0)+1,FALSE))</f>
        <v>0</v>
      </c>
      <c r="Y51">
        <f>IF(ISNA(VLOOKUP($A51,SXS_Transit_input!$A$28:$W$49,MATCH(SXS_Transit_temp!Y$28,SXS_Transit_input!$B$27:$W$27,0)+1,FALSE)),0,VLOOKUP($A51,SXS_Transit_input!$A$28:$W$49,MATCH(SXS_Transit_temp!Y$28,SXS_Transit_input!$B$27:$W$27,0)+1,FALSE))+IF(ISNA(VLOOKUP($A51,SXS_Transit_input!$A$71:$L$81,MATCH(SXS_Transit_temp!Y$28,SXS_Transit_input!$B$70:$L$70,0)+1,FALSE)),0,VLOOKUP($A51,SXS_Transit_input!$A$71:$L$81,MATCH(SXS_Transit_temp!Y$28,SXS_Transit_input!$B$70:$L$70,0)+1,FALSE))</f>
        <v>0</v>
      </c>
      <c r="Z51">
        <f>IF(ISNA(VLOOKUP($A51,SXS_Transit_input!$A$28:$W$49,MATCH(SXS_Transit_temp!Z$28,SXS_Transit_input!$B$27:$W$27,0)+1,FALSE)),0,VLOOKUP($A51,SXS_Transit_input!$A$28:$W$49,MATCH(SXS_Transit_temp!Z$28,SXS_Transit_input!$B$27:$W$27,0)+1,FALSE))+IF(ISNA(VLOOKUP($A51,SXS_Transit_input!$A$71:$L$81,MATCH(SXS_Transit_temp!Z$28,SXS_Transit_input!$B$70:$L$70,0)+1,FALSE)),0,VLOOKUP($A51,SXS_Transit_input!$A$71:$L$81,MATCH(SXS_Transit_temp!Z$28,SXS_Transit_input!$B$70:$L$70,0)+1,FALSE))</f>
        <v>0</v>
      </c>
      <c r="AA51">
        <v>23</v>
      </c>
      <c r="AB51" s="33">
        <f t="shared" si="27"/>
        <v>138</v>
      </c>
      <c r="AC51" s="34">
        <f t="shared" si="37"/>
        <v>0</v>
      </c>
      <c r="AD51" s="34">
        <f t="shared" si="38"/>
        <v>0</v>
      </c>
      <c r="AE51" s="34">
        <f t="shared" si="39"/>
        <v>0</v>
      </c>
      <c r="AF51" s="34">
        <f t="shared" si="40"/>
        <v>0</v>
      </c>
      <c r="AG51" s="34">
        <f t="shared" si="41"/>
        <v>2</v>
      </c>
      <c r="AH51" s="34">
        <f t="shared" si="42"/>
        <v>0</v>
      </c>
      <c r="AI51" s="34">
        <f t="shared" si="43"/>
        <v>0</v>
      </c>
      <c r="AJ51" s="34">
        <f t="shared" si="44"/>
        <v>0</v>
      </c>
      <c r="AK51" s="34">
        <f t="shared" si="45"/>
        <v>0</v>
      </c>
      <c r="AL51" s="34">
        <f t="shared" si="46"/>
        <v>0</v>
      </c>
      <c r="AM51" s="34">
        <f t="shared" si="47"/>
        <v>10</v>
      </c>
      <c r="AN51" s="34">
        <f t="shared" si="48"/>
        <v>2</v>
      </c>
      <c r="AO51" s="34">
        <f t="shared" si="49"/>
        <v>0</v>
      </c>
      <c r="AP51" s="34">
        <f t="shared" si="50"/>
        <v>0</v>
      </c>
      <c r="AQ51" s="34">
        <f t="shared" si="51"/>
        <v>0</v>
      </c>
      <c r="AR51" s="34">
        <f t="shared" si="28"/>
        <v>0</v>
      </c>
      <c r="AS51" s="34">
        <f t="shared" si="29"/>
        <v>0</v>
      </c>
      <c r="AT51" s="34">
        <f t="shared" si="30"/>
        <v>0</v>
      </c>
      <c r="AU51" s="34">
        <f t="shared" si="31"/>
        <v>0</v>
      </c>
      <c r="AV51" s="34">
        <f t="shared" si="32"/>
        <v>0</v>
      </c>
      <c r="AW51" s="34">
        <f t="shared" si="33"/>
        <v>0</v>
      </c>
      <c r="AX51" s="34">
        <f t="shared" si="34"/>
        <v>16</v>
      </c>
      <c r="AY51" s="34">
        <f t="shared" si="35"/>
        <v>2</v>
      </c>
      <c r="AZ51" s="35">
        <f t="shared" si="36"/>
        <v>0</v>
      </c>
      <c r="BC51" s="157">
        <v>22</v>
      </c>
      <c r="BD51">
        <v>60</v>
      </c>
      <c r="BE51">
        <v>0</v>
      </c>
      <c r="BF51">
        <v>6</v>
      </c>
      <c r="BG51">
        <v>0</v>
      </c>
      <c r="BH51">
        <v>2</v>
      </c>
      <c r="BI51">
        <v>0</v>
      </c>
      <c r="BJ51">
        <v>0</v>
      </c>
      <c r="BK51">
        <v>0</v>
      </c>
      <c r="BL51">
        <v>0</v>
      </c>
      <c r="BM51">
        <v>0</v>
      </c>
      <c r="BN51">
        <v>10</v>
      </c>
      <c r="BO51">
        <v>0</v>
      </c>
      <c r="BP51">
        <v>0</v>
      </c>
      <c r="BQ51">
        <v>0</v>
      </c>
      <c r="BR51">
        <v>0</v>
      </c>
      <c r="BS51">
        <v>0</v>
      </c>
      <c r="BT51">
        <v>0</v>
      </c>
      <c r="BU51">
        <v>0</v>
      </c>
      <c r="BV51">
        <v>0</v>
      </c>
      <c r="BW51">
        <v>0</v>
      </c>
      <c r="BX51">
        <v>0</v>
      </c>
      <c r="BY51">
        <v>56</v>
      </c>
      <c r="BZ51">
        <v>0</v>
      </c>
      <c r="CA51">
        <v>0</v>
      </c>
      <c r="CB51">
        <v>0</v>
      </c>
    </row>
    <row r="52" spans="1:80" x14ac:dyDescent="0.25">
      <c r="A52">
        <v>24</v>
      </c>
      <c r="B52">
        <f>IF(ISNA(VLOOKUP($A52,SXS_Transit_input!$A$28:$W$49,MATCH(SXS_Transit_temp!B$28,SXS_Transit_input!$B$27:$W$27,0)+1,FALSE)),0,VLOOKUP($A52,SXS_Transit_input!$A$28:$W$49,MATCH(SXS_Transit_temp!B$28,SXS_Transit_input!$B$27:$W$27,0)+1,FALSE))+IF(ISNA(VLOOKUP($A52,SXS_Transit_input!$A$71:$L$81,MATCH(SXS_Transit_temp!B$28,SXS_Transit_input!$B$70:$L$70,0)+1,FALSE)),0,VLOOKUP($A52,SXS_Transit_input!$A$71:$L$81,MATCH(SXS_Transit_temp!B$28,SXS_Transit_input!$B$70:$L$70,0)+1,FALSE))</f>
        <v>2128.3800999999999</v>
      </c>
      <c r="C52">
        <f>IF(ISNA(VLOOKUP($A52,SXS_Transit_input!$A$28:$W$49,MATCH(SXS_Transit_temp!C$28,SXS_Transit_input!$B$27:$W$27,0)+1,FALSE)),0,VLOOKUP($A52,SXS_Transit_input!$A$28:$W$49,MATCH(SXS_Transit_temp!C$28,SXS_Transit_input!$B$27:$W$27,0)+1,FALSE))+IF(ISNA(VLOOKUP($A52,SXS_Transit_input!$A$71:$L$81,MATCH(SXS_Transit_temp!C$28,SXS_Transit_input!$B$70:$L$70,0)+1,FALSE)),0,VLOOKUP($A52,SXS_Transit_input!$A$71:$L$81,MATCH(SXS_Transit_temp!C$28,SXS_Transit_input!$B$70:$L$70,0)+1,FALSE))</f>
        <v>0</v>
      </c>
      <c r="D52">
        <f>IF(ISNA(VLOOKUP($A52,SXS_Transit_input!$A$28:$W$49,MATCH(SXS_Transit_temp!D$28,SXS_Transit_input!$B$27:$W$27,0)+1,FALSE)),0,VLOOKUP($A52,SXS_Transit_input!$A$28:$W$49,MATCH(SXS_Transit_temp!D$28,SXS_Transit_input!$B$27:$W$27,0)+1,FALSE))+IF(ISNA(VLOOKUP($A52,SXS_Transit_input!$A$71:$L$81,MATCH(SXS_Transit_temp!D$28,SXS_Transit_input!$B$70:$L$70,0)+1,FALSE)),0,VLOOKUP($A52,SXS_Transit_input!$A$71:$L$81,MATCH(SXS_Transit_temp!D$28,SXS_Transit_input!$B$70:$L$70,0)+1,FALSE))</f>
        <v>0</v>
      </c>
      <c r="E52">
        <f>IF(ISNA(VLOOKUP($A52,SXS_Transit_input!$A$28:$W$49,MATCH(SXS_Transit_temp!E$28,SXS_Transit_input!$B$27:$W$27,0)+1,FALSE)),0,VLOOKUP($A52,SXS_Transit_input!$A$28:$W$49,MATCH(SXS_Transit_temp!E$28,SXS_Transit_input!$B$27:$W$27,0)+1,FALSE))+IF(ISNA(VLOOKUP($A52,SXS_Transit_input!$A$71:$L$81,MATCH(SXS_Transit_temp!E$28,SXS_Transit_input!$B$70:$L$70,0)+1,FALSE)),0,VLOOKUP($A52,SXS_Transit_input!$A$71:$L$81,MATCH(SXS_Transit_temp!E$28,SXS_Transit_input!$B$70:$L$70,0)+1,FALSE))</f>
        <v>0</v>
      </c>
      <c r="F52">
        <f>IF(ISNA(VLOOKUP($A52,SXS_Transit_input!$A$28:$W$49,MATCH(SXS_Transit_temp!F$28,SXS_Transit_input!$B$27:$W$27,0)+1,FALSE)),0,VLOOKUP($A52,SXS_Transit_input!$A$28:$W$49,MATCH(SXS_Transit_temp!F$28,SXS_Transit_input!$B$27:$W$27,0)+1,FALSE))+IF(ISNA(VLOOKUP($A52,SXS_Transit_input!$A$71:$L$81,MATCH(SXS_Transit_temp!F$28,SXS_Transit_input!$B$70:$L$70,0)+1,FALSE)),0,VLOOKUP($A52,SXS_Transit_input!$A$71:$L$81,MATCH(SXS_Transit_temp!F$28,SXS_Transit_input!$B$70:$L$70,0)+1,FALSE))</f>
        <v>0</v>
      </c>
      <c r="G52">
        <f>IF(ISNA(VLOOKUP($A52,SXS_Transit_input!$A$28:$W$49,MATCH(SXS_Transit_temp!G$28,SXS_Transit_input!$B$27:$W$27,0)+1,FALSE)),0,VLOOKUP($A52,SXS_Transit_input!$A$28:$W$49,MATCH(SXS_Transit_temp!G$28,SXS_Transit_input!$B$27:$W$27,0)+1,FALSE))+IF(ISNA(VLOOKUP($A52,SXS_Transit_input!$A$71:$L$81,MATCH(SXS_Transit_temp!G$28,SXS_Transit_input!$B$70:$L$70,0)+1,FALSE)),0,VLOOKUP($A52,SXS_Transit_input!$A$71:$L$81,MATCH(SXS_Transit_temp!G$28,SXS_Transit_input!$B$70:$L$70,0)+1,FALSE))</f>
        <v>0</v>
      </c>
      <c r="H52">
        <f>IF(ISNA(VLOOKUP($A52,SXS_Transit_input!$A$28:$W$49,MATCH(SXS_Transit_temp!H$28,SXS_Transit_input!$B$27:$W$27,0)+1,FALSE)),0,VLOOKUP($A52,SXS_Transit_input!$A$28:$W$49,MATCH(SXS_Transit_temp!H$28,SXS_Transit_input!$B$27:$W$27,0)+1,FALSE))+IF(ISNA(VLOOKUP($A52,SXS_Transit_input!$A$71:$L$81,MATCH(SXS_Transit_temp!H$28,SXS_Transit_input!$B$70:$L$70,0)+1,FALSE)),0,VLOOKUP($A52,SXS_Transit_input!$A$71:$L$81,MATCH(SXS_Transit_temp!H$28,SXS_Transit_input!$B$70:$L$70,0)+1,FALSE))</f>
        <v>0</v>
      </c>
      <c r="I52">
        <f>IF(ISNA(VLOOKUP($A52,SXS_Transit_input!$A$28:$W$49,MATCH(SXS_Transit_temp!I$28,SXS_Transit_input!$B$27:$W$27,0)+1,FALSE)),0,VLOOKUP($A52,SXS_Transit_input!$A$28:$W$49,MATCH(SXS_Transit_temp!I$28,SXS_Transit_input!$B$27:$W$27,0)+1,FALSE))+IF(ISNA(VLOOKUP($A52,SXS_Transit_input!$A$71:$L$81,MATCH(SXS_Transit_temp!I$28,SXS_Transit_input!$B$70:$L$70,0)+1,FALSE)),0,VLOOKUP($A52,SXS_Transit_input!$A$71:$L$81,MATCH(SXS_Transit_temp!I$28,SXS_Transit_input!$B$70:$L$70,0)+1,FALSE))</f>
        <v>0</v>
      </c>
      <c r="J52">
        <f>IF(ISNA(VLOOKUP($A52,SXS_Transit_input!$A$28:$W$49,MATCH(SXS_Transit_temp!J$28,SXS_Transit_input!$B$27:$W$27,0)+1,FALSE)),0,VLOOKUP($A52,SXS_Transit_input!$A$28:$W$49,MATCH(SXS_Transit_temp!J$28,SXS_Transit_input!$B$27:$W$27,0)+1,FALSE))+IF(ISNA(VLOOKUP($A52,SXS_Transit_input!$A$71:$L$81,MATCH(SXS_Transit_temp!J$28,SXS_Transit_input!$B$70:$L$70,0)+1,FALSE)),0,VLOOKUP($A52,SXS_Transit_input!$A$71:$L$81,MATCH(SXS_Transit_temp!J$28,SXS_Transit_input!$B$70:$L$70,0)+1,FALSE))</f>
        <v>0</v>
      </c>
      <c r="K52">
        <f>IF(ISNA(VLOOKUP($A52,SXS_Transit_input!$A$28:$W$49,MATCH(SXS_Transit_temp!K$28,SXS_Transit_input!$B$27:$W$27,0)+1,FALSE)),0,VLOOKUP($A52,SXS_Transit_input!$A$28:$W$49,MATCH(SXS_Transit_temp!K$28,SXS_Transit_input!$B$27:$W$27,0)+1,FALSE))+IF(ISNA(VLOOKUP($A52,SXS_Transit_input!$A$71:$L$81,MATCH(SXS_Transit_temp!K$28,SXS_Transit_input!$B$70:$L$70,0)+1,FALSE)),0,VLOOKUP($A52,SXS_Transit_input!$A$71:$L$81,MATCH(SXS_Transit_temp!K$28,SXS_Transit_input!$B$70:$L$70,0)+1,FALSE))</f>
        <v>0</v>
      </c>
      <c r="L52">
        <f>IF(ISNA(VLOOKUP($A52,SXS_Transit_input!$A$28:$W$49,MATCH(SXS_Transit_temp!L$28,SXS_Transit_input!$B$27:$W$27,0)+1,FALSE)),0,VLOOKUP($A52,SXS_Transit_input!$A$28:$W$49,MATCH(SXS_Transit_temp!L$28,SXS_Transit_input!$B$27:$W$27,0)+1,FALSE))+IF(ISNA(VLOOKUP($A52,SXS_Transit_input!$A$71:$L$81,MATCH(SXS_Transit_temp!L$28,SXS_Transit_input!$B$70:$L$70,0)+1,FALSE)),0,VLOOKUP($A52,SXS_Transit_input!$A$71:$L$81,MATCH(SXS_Transit_temp!L$28,SXS_Transit_input!$B$70:$L$70,0)+1,FALSE))</f>
        <v>0</v>
      </c>
      <c r="M52">
        <f>IF(ISNA(VLOOKUP($A52,SXS_Transit_input!$A$28:$W$49,MATCH(SXS_Transit_temp!M$28,SXS_Transit_input!$B$27:$W$27,0)+1,FALSE)),0,VLOOKUP($A52,SXS_Transit_input!$A$28:$W$49,MATCH(SXS_Transit_temp!M$28,SXS_Transit_input!$B$27:$W$27,0)+1,FALSE))+IF(ISNA(VLOOKUP($A52,SXS_Transit_input!$A$71:$L$81,MATCH(SXS_Transit_temp!M$28,SXS_Transit_input!$B$70:$L$70,0)+1,FALSE)),0,VLOOKUP($A52,SXS_Transit_input!$A$71:$L$81,MATCH(SXS_Transit_temp!M$28,SXS_Transit_input!$B$70:$L$70,0)+1,FALSE))</f>
        <v>0</v>
      </c>
      <c r="N52">
        <f>IF(ISNA(VLOOKUP($A52,SXS_Transit_input!$A$28:$W$49,MATCH(SXS_Transit_temp!N$28,SXS_Transit_input!$B$27:$W$27,0)+1,FALSE)),0,VLOOKUP($A52,SXS_Transit_input!$A$28:$W$49,MATCH(SXS_Transit_temp!N$28,SXS_Transit_input!$B$27:$W$27,0)+1,FALSE))+IF(ISNA(VLOOKUP($A52,SXS_Transit_input!$A$71:$L$81,MATCH(SXS_Transit_temp!N$28,SXS_Transit_input!$B$70:$L$70,0)+1,FALSE)),0,VLOOKUP($A52,SXS_Transit_input!$A$71:$L$81,MATCH(SXS_Transit_temp!N$28,SXS_Transit_input!$B$70:$L$70,0)+1,FALSE))</f>
        <v>84.101759999999999</v>
      </c>
      <c r="O52">
        <f>IF(ISNA(VLOOKUP($A52,SXS_Transit_input!$A$28:$W$49,MATCH(SXS_Transit_temp!O$28,SXS_Transit_input!$B$27:$W$27,0)+1,FALSE)),0,VLOOKUP($A52,SXS_Transit_input!$A$28:$W$49,MATCH(SXS_Transit_temp!O$28,SXS_Transit_input!$B$27:$W$27,0)+1,FALSE))+IF(ISNA(VLOOKUP($A52,SXS_Transit_input!$A$71:$L$81,MATCH(SXS_Transit_temp!O$28,SXS_Transit_input!$B$70:$L$70,0)+1,FALSE)),0,VLOOKUP($A52,SXS_Transit_input!$A$71:$L$81,MATCH(SXS_Transit_temp!O$28,SXS_Transit_input!$B$70:$L$70,0)+1,FALSE))</f>
        <v>0</v>
      </c>
      <c r="P52">
        <f>IF(ISNA(VLOOKUP($A52,SXS_Transit_input!$A$28:$W$49,MATCH(SXS_Transit_temp!P$28,SXS_Transit_input!$B$27:$W$27,0)+1,FALSE)),0,VLOOKUP($A52,SXS_Transit_input!$A$28:$W$49,MATCH(SXS_Transit_temp!P$28,SXS_Transit_input!$B$27:$W$27,0)+1,FALSE))+IF(ISNA(VLOOKUP($A52,SXS_Transit_input!$A$71:$L$81,MATCH(SXS_Transit_temp!P$28,SXS_Transit_input!$B$70:$L$70,0)+1,FALSE)),0,VLOOKUP($A52,SXS_Transit_input!$A$71:$L$81,MATCH(SXS_Transit_temp!P$28,SXS_Transit_input!$B$70:$L$70,0)+1,FALSE))</f>
        <v>0</v>
      </c>
      <c r="Q52">
        <f>IF(ISNA(VLOOKUP($A52,SXS_Transit_input!$A$28:$W$49,MATCH(SXS_Transit_temp!Q$28,SXS_Transit_input!$B$27:$W$27,0)+1,FALSE)),0,VLOOKUP($A52,SXS_Transit_input!$A$28:$W$49,MATCH(SXS_Transit_temp!Q$28,SXS_Transit_input!$B$27:$W$27,0)+1,FALSE))+IF(ISNA(VLOOKUP($A52,SXS_Transit_input!$A$71:$L$81,MATCH(SXS_Transit_temp!Q$28,SXS_Transit_input!$B$70:$L$70,0)+1,FALSE)),0,VLOOKUP($A52,SXS_Transit_input!$A$71:$L$81,MATCH(SXS_Transit_temp!Q$28,SXS_Transit_input!$B$70:$L$70,0)+1,FALSE))</f>
        <v>0</v>
      </c>
      <c r="R52">
        <f>IF(ISNA(VLOOKUP($A52,SXS_Transit_input!$A$28:$W$49,MATCH(SXS_Transit_temp!R$28,SXS_Transit_input!$B$27:$W$27,0)+1,FALSE)),0,VLOOKUP($A52,SXS_Transit_input!$A$28:$W$49,MATCH(SXS_Transit_temp!R$28,SXS_Transit_input!$B$27:$W$27,0)+1,FALSE))+IF(ISNA(VLOOKUP($A52,SXS_Transit_input!$A$71:$L$81,MATCH(SXS_Transit_temp!R$28,SXS_Transit_input!$B$70:$L$70,0)+1,FALSE)),0,VLOOKUP($A52,SXS_Transit_input!$A$71:$L$81,MATCH(SXS_Transit_temp!R$28,SXS_Transit_input!$B$70:$L$70,0)+1,FALSE))</f>
        <v>0</v>
      </c>
      <c r="S52">
        <f>IF(ISNA(VLOOKUP($A52,SXS_Transit_input!$A$28:$W$49,MATCH(SXS_Transit_temp!S$28,SXS_Transit_input!$B$27:$W$27,0)+1,FALSE)),0,VLOOKUP($A52,SXS_Transit_input!$A$28:$W$49,MATCH(SXS_Transit_temp!S$28,SXS_Transit_input!$B$27:$W$27,0)+1,FALSE))+IF(ISNA(VLOOKUP($A52,SXS_Transit_input!$A$71:$L$81,MATCH(SXS_Transit_temp!S$28,SXS_Transit_input!$B$70:$L$70,0)+1,FALSE)),0,VLOOKUP($A52,SXS_Transit_input!$A$71:$L$81,MATCH(SXS_Transit_temp!S$28,SXS_Transit_input!$B$70:$L$70,0)+1,FALSE))</f>
        <v>0</v>
      </c>
      <c r="T52">
        <f>IF(ISNA(VLOOKUP($A52,SXS_Transit_input!$A$28:$W$49,MATCH(SXS_Transit_temp!T$28,SXS_Transit_input!$B$27:$W$27,0)+1,FALSE)),0,VLOOKUP($A52,SXS_Transit_input!$A$28:$W$49,MATCH(SXS_Transit_temp!T$28,SXS_Transit_input!$B$27:$W$27,0)+1,FALSE))+IF(ISNA(VLOOKUP($A52,SXS_Transit_input!$A$71:$L$81,MATCH(SXS_Transit_temp!T$28,SXS_Transit_input!$B$70:$L$70,0)+1,FALSE)),0,VLOOKUP($A52,SXS_Transit_input!$A$71:$L$81,MATCH(SXS_Transit_temp!T$28,SXS_Transit_input!$B$70:$L$70,0)+1,FALSE))</f>
        <v>0</v>
      </c>
      <c r="U52">
        <f>IF(ISNA(VLOOKUP($A52,SXS_Transit_input!$A$28:$W$49,MATCH(SXS_Transit_temp!U$28,SXS_Transit_input!$B$27:$W$27,0)+1,FALSE)),0,VLOOKUP($A52,SXS_Transit_input!$A$28:$W$49,MATCH(SXS_Transit_temp!U$28,SXS_Transit_input!$B$27:$W$27,0)+1,FALSE))+IF(ISNA(VLOOKUP($A52,SXS_Transit_input!$A$71:$L$81,MATCH(SXS_Transit_temp!U$28,SXS_Transit_input!$B$70:$L$70,0)+1,FALSE)),0,VLOOKUP($A52,SXS_Transit_input!$A$71:$L$81,MATCH(SXS_Transit_temp!U$28,SXS_Transit_input!$B$70:$L$70,0)+1,FALSE))</f>
        <v>0</v>
      </c>
      <c r="V52">
        <f>IF(ISNA(VLOOKUP($A52,SXS_Transit_input!$A$28:$W$49,MATCH(SXS_Transit_temp!V$28,SXS_Transit_input!$B$27:$W$27,0)+1,FALSE)),0,VLOOKUP($A52,SXS_Transit_input!$A$28:$W$49,MATCH(SXS_Transit_temp!V$28,SXS_Transit_input!$B$27:$W$27,0)+1,FALSE))+IF(ISNA(VLOOKUP($A52,SXS_Transit_input!$A$71:$L$81,MATCH(SXS_Transit_temp!V$28,SXS_Transit_input!$B$70:$L$70,0)+1,FALSE)),0,VLOOKUP($A52,SXS_Transit_input!$A$71:$L$81,MATCH(SXS_Transit_temp!V$28,SXS_Transit_input!$B$70:$L$70,0)+1,FALSE))</f>
        <v>0</v>
      </c>
      <c r="W52">
        <f>IF(ISNA(VLOOKUP($A52,SXS_Transit_input!$A$28:$W$49,MATCH(SXS_Transit_temp!W$28,SXS_Transit_input!$B$27:$W$27,0)+1,FALSE)),0,VLOOKUP($A52,SXS_Transit_input!$A$28:$W$49,MATCH(SXS_Transit_temp!W$28,SXS_Transit_input!$B$27:$W$27,0)+1,FALSE))+IF(ISNA(VLOOKUP($A52,SXS_Transit_input!$A$71:$L$81,MATCH(SXS_Transit_temp!W$28,SXS_Transit_input!$B$70:$L$70,0)+1,FALSE)),0,VLOOKUP($A52,SXS_Transit_input!$A$71:$L$81,MATCH(SXS_Transit_temp!W$28,SXS_Transit_input!$B$70:$L$70,0)+1,FALSE))</f>
        <v>0</v>
      </c>
      <c r="X52">
        <f>IF(ISNA(VLOOKUP($A52,SXS_Transit_input!$A$28:$W$49,MATCH(SXS_Transit_temp!X$28,SXS_Transit_input!$B$27:$W$27,0)+1,FALSE)),0,VLOOKUP($A52,SXS_Transit_input!$A$28:$W$49,MATCH(SXS_Transit_temp!X$28,SXS_Transit_input!$B$27:$W$27,0)+1,FALSE))+IF(ISNA(VLOOKUP($A52,SXS_Transit_input!$A$71:$L$81,MATCH(SXS_Transit_temp!X$28,SXS_Transit_input!$B$70:$L$70,0)+1,FALSE)),0,VLOOKUP($A52,SXS_Transit_input!$A$71:$L$81,MATCH(SXS_Transit_temp!X$28,SXS_Transit_input!$B$70:$L$70,0)+1,FALSE))</f>
        <v>0</v>
      </c>
      <c r="Y52">
        <f>IF(ISNA(VLOOKUP($A52,SXS_Transit_input!$A$28:$W$49,MATCH(SXS_Transit_temp!Y$28,SXS_Transit_input!$B$27:$W$27,0)+1,FALSE)),0,VLOOKUP($A52,SXS_Transit_input!$A$28:$W$49,MATCH(SXS_Transit_temp!Y$28,SXS_Transit_input!$B$27:$W$27,0)+1,FALSE))+IF(ISNA(VLOOKUP($A52,SXS_Transit_input!$A$71:$L$81,MATCH(SXS_Transit_temp!Y$28,SXS_Transit_input!$B$70:$L$70,0)+1,FALSE)),0,VLOOKUP($A52,SXS_Transit_input!$A$71:$L$81,MATCH(SXS_Transit_temp!Y$28,SXS_Transit_input!$B$70:$L$70,0)+1,FALSE))</f>
        <v>269.62432000000001</v>
      </c>
      <c r="Z52">
        <f>IF(ISNA(VLOOKUP($A52,SXS_Transit_input!$A$28:$W$49,MATCH(SXS_Transit_temp!Z$28,SXS_Transit_input!$B$27:$W$27,0)+1,FALSE)),0,VLOOKUP($A52,SXS_Transit_input!$A$28:$W$49,MATCH(SXS_Transit_temp!Z$28,SXS_Transit_input!$B$27:$W$27,0)+1,FALSE))+IF(ISNA(VLOOKUP($A52,SXS_Transit_input!$A$71:$L$81,MATCH(SXS_Transit_temp!Z$28,SXS_Transit_input!$B$70:$L$70,0)+1,FALSE)),0,VLOOKUP($A52,SXS_Transit_input!$A$71:$L$81,MATCH(SXS_Transit_temp!Z$28,SXS_Transit_input!$B$70:$L$70,0)+1,FALSE))</f>
        <v>24.02957</v>
      </c>
      <c r="AA52">
        <v>24</v>
      </c>
      <c r="AB52" s="33">
        <f t="shared" si="27"/>
        <v>112</v>
      </c>
      <c r="AC52" s="34">
        <f t="shared" si="37"/>
        <v>2</v>
      </c>
      <c r="AD52" s="34">
        <f t="shared" si="38"/>
        <v>0</v>
      </c>
      <c r="AE52" s="34">
        <f t="shared" si="39"/>
        <v>0</v>
      </c>
      <c r="AF52" s="34">
        <f t="shared" si="40"/>
        <v>0</v>
      </c>
      <c r="AG52" s="34">
        <f t="shared" si="41"/>
        <v>2</v>
      </c>
      <c r="AH52" s="34">
        <f t="shared" si="42"/>
        <v>0</v>
      </c>
      <c r="AI52" s="34">
        <f t="shared" si="43"/>
        <v>0</v>
      </c>
      <c r="AJ52" s="34">
        <f t="shared" si="44"/>
        <v>0</v>
      </c>
      <c r="AK52" s="34">
        <f t="shared" si="45"/>
        <v>0</v>
      </c>
      <c r="AL52" s="34">
        <f t="shared" si="46"/>
        <v>0</v>
      </c>
      <c r="AM52" s="34">
        <f t="shared" si="47"/>
        <v>2</v>
      </c>
      <c r="AN52" s="34">
        <f t="shared" si="48"/>
        <v>16</v>
      </c>
      <c r="AO52" s="34">
        <f t="shared" si="49"/>
        <v>0</v>
      </c>
      <c r="AP52" s="34">
        <f t="shared" si="50"/>
        <v>0</v>
      </c>
      <c r="AQ52" s="34">
        <f t="shared" si="51"/>
        <v>0</v>
      </c>
      <c r="AR52" s="34">
        <f t="shared" si="28"/>
        <v>0</v>
      </c>
      <c r="AS52" s="34">
        <f t="shared" si="29"/>
        <v>0</v>
      </c>
      <c r="AT52" s="34">
        <f t="shared" si="30"/>
        <v>0</v>
      </c>
      <c r="AU52" s="34">
        <f t="shared" si="31"/>
        <v>0</v>
      </c>
      <c r="AV52" s="34">
        <f t="shared" si="32"/>
        <v>0</v>
      </c>
      <c r="AW52" s="34">
        <f t="shared" si="33"/>
        <v>0</v>
      </c>
      <c r="AX52" s="34">
        <f t="shared" si="34"/>
        <v>0</v>
      </c>
      <c r="AY52" s="34">
        <f t="shared" si="35"/>
        <v>62</v>
      </c>
      <c r="AZ52" s="35">
        <f t="shared" si="36"/>
        <v>0</v>
      </c>
      <c r="BC52" s="157">
        <v>23</v>
      </c>
      <c r="BD52">
        <v>138</v>
      </c>
      <c r="BE52">
        <v>0</v>
      </c>
      <c r="BF52">
        <v>0</v>
      </c>
      <c r="BG52">
        <v>0</v>
      </c>
      <c r="BH52">
        <v>0</v>
      </c>
      <c r="BI52">
        <v>2</v>
      </c>
      <c r="BJ52">
        <v>0</v>
      </c>
      <c r="BK52">
        <v>0</v>
      </c>
      <c r="BL52">
        <v>0</v>
      </c>
      <c r="BM52">
        <v>0</v>
      </c>
      <c r="BN52">
        <v>0</v>
      </c>
      <c r="BO52">
        <v>10</v>
      </c>
      <c r="BP52">
        <v>2</v>
      </c>
      <c r="BQ52">
        <v>0</v>
      </c>
      <c r="BR52">
        <v>0</v>
      </c>
      <c r="BS52">
        <v>0</v>
      </c>
      <c r="BT52">
        <v>0</v>
      </c>
      <c r="BU52">
        <v>0</v>
      </c>
      <c r="BV52">
        <v>0</v>
      </c>
      <c r="BW52">
        <v>0</v>
      </c>
      <c r="BX52">
        <v>0</v>
      </c>
      <c r="BY52">
        <v>0</v>
      </c>
      <c r="BZ52">
        <v>16</v>
      </c>
      <c r="CA52">
        <v>2</v>
      </c>
      <c r="CB52">
        <v>0</v>
      </c>
    </row>
    <row r="53" spans="1:80" x14ac:dyDescent="0.25">
      <c r="A53">
        <v>25</v>
      </c>
      <c r="B53">
        <f>IF(ISNA(VLOOKUP($A53,SXS_Transit_input!$A$28:$W$49,MATCH(SXS_Transit_temp!B$28,SXS_Transit_input!$B$27:$W$27,0)+1,FALSE)),0,VLOOKUP($A53,SXS_Transit_input!$A$28:$W$49,MATCH(SXS_Transit_temp!B$28,SXS_Transit_input!$B$27:$W$27,0)+1,FALSE))+IF(ISNA(VLOOKUP($A53,SXS_Transit_input!$A$71:$L$81,MATCH(SXS_Transit_temp!B$28,SXS_Transit_input!$B$70:$L$70,0)+1,FALSE)),0,VLOOKUP($A53,SXS_Transit_input!$A$71:$L$81,MATCH(SXS_Transit_temp!B$28,SXS_Transit_input!$B$70:$L$70,0)+1,FALSE))</f>
        <v>1555.7122999999999</v>
      </c>
      <c r="C53">
        <f>IF(ISNA(VLOOKUP($A53,SXS_Transit_input!$A$28:$W$49,MATCH(SXS_Transit_temp!C$28,SXS_Transit_input!$B$27:$W$27,0)+1,FALSE)),0,VLOOKUP($A53,SXS_Transit_input!$A$28:$W$49,MATCH(SXS_Transit_temp!C$28,SXS_Transit_input!$B$27:$W$27,0)+1,FALSE))+IF(ISNA(VLOOKUP($A53,SXS_Transit_input!$A$71:$L$81,MATCH(SXS_Transit_temp!C$28,SXS_Transit_input!$B$70:$L$70,0)+1,FALSE)),0,VLOOKUP($A53,SXS_Transit_input!$A$71:$L$81,MATCH(SXS_Transit_temp!C$28,SXS_Transit_input!$B$70:$L$70,0)+1,FALSE))</f>
        <v>0</v>
      </c>
      <c r="D53">
        <f>IF(ISNA(VLOOKUP($A53,SXS_Transit_input!$A$28:$W$49,MATCH(SXS_Transit_temp!D$28,SXS_Transit_input!$B$27:$W$27,0)+1,FALSE)),0,VLOOKUP($A53,SXS_Transit_input!$A$28:$W$49,MATCH(SXS_Transit_temp!D$28,SXS_Transit_input!$B$27:$W$27,0)+1,FALSE))+IF(ISNA(VLOOKUP($A53,SXS_Transit_input!$A$71:$L$81,MATCH(SXS_Transit_temp!D$28,SXS_Transit_input!$B$70:$L$70,0)+1,FALSE)),0,VLOOKUP($A53,SXS_Transit_input!$A$71:$L$81,MATCH(SXS_Transit_temp!D$28,SXS_Transit_input!$B$70:$L$70,0)+1,FALSE))</f>
        <v>0</v>
      </c>
      <c r="E53">
        <f>IF(ISNA(VLOOKUP($A53,SXS_Transit_input!$A$28:$W$49,MATCH(SXS_Transit_temp!E$28,SXS_Transit_input!$B$27:$W$27,0)+1,FALSE)),0,VLOOKUP($A53,SXS_Transit_input!$A$28:$W$49,MATCH(SXS_Transit_temp!E$28,SXS_Transit_input!$B$27:$W$27,0)+1,FALSE))+IF(ISNA(VLOOKUP($A53,SXS_Transit_input!$A$71:$L$81,MATCH(SXS_Transit_temp!E$28,SXS_Transit_input!$B$70:$L$70,0)+1,FALSE)),0,VLOOKUP($A53,SXS_Transit_input!$A$71:$L$81,MATCH(SXS_Transit_temp!E$28,SXS_Transit_input!$B$70:$L$70,0)+1,FALSE))</f>
        <v>0</v>
      </c>
      <c r="F53">
        <f>IF(ISNA(VLOOKUP($A53,SXS_Transit_input!$A$28:$W$49,MATCH(SXS_Transit_temp!F$28,SXS_Transit_input!$B$27:$W$27,0)+1,FALSE)),0,VLOOKUP($A53,SXS_Transit_input!$A$28:$W$49,MATCH(SXS_Transit_temp!F$28,SXS_Transit_input!$B$27:$W$27,0)+1,FALSE))+IF(ISNA(VLOOKUP($A53,SXS_Transit_input!$A$71:$L$81,MATCH(SXS_Transit_temp!F$28,SXS_Transit_input!$B$70:$L$70,0)+1,FALSE)),0,VLOOKUP($A53,SXS_Transit_input!$A$71:$L$81,MATCH(SXS_Transit_temp!F$28,SXS_Transit_input!$B$70:$L$70,0)+1,FALSE))</f>
        <v>0</v>
      </c>
      <c r="G53">
        <f>IF(ISNA(VLOOKUP($A53,SXS_Transit_input!$A$28:$W$49,MATCH(SXS_Transit_temp!G$28,SXS_Transit_input!$B$27:$W$27,0)+1,FALSE)),0,VLOOKUP($A53,SXS_Transit_input!$A$28:$W$49,MATCH(SXS_Transit_temp!G$28,SXS_Transit_input!$B$27:$W$27,0)+1,FALSE))+IF(ISNA(VLOOKUP($A53,SXS_Transit_input!$A$71:$L$81,MATCH(SXS_Transit_temp!G$28,SXS_Transit_input!$B$70:$L$70,0)+1,FALSE)),0,VLOOKUP($A53,SXS_Transit_input!$A$71:$L$81,MATCH(SXS_Transit_temp!G$28,SXS_Transit_input!$B$70:$L$70,0)+1,FALSE))</f>
        <v>0</v>
      </c>
      <c r="H53">
        <f>IF(ISNA(VLOOKUP($A53,SXS_Transit_input!$A$28:$W$49,MATCH(SXS_Transit_temp!H$28,SXS_Transit_input!$B$27:$W$27,0)+1,FALSE)),0,VLOOKUP($A53,SXS_Transit_input!$A$28:$W$49,MATCH(SXS_Transit_temp!H$28,SXS_Transit_input!$B$27:$W$27,0)+1,FALSE))+IF(ISNA(VLOOKUP($A53,SXS_Transit_input!$A$71:$L$81,MATCH(SXS_Transit_temp!H$28,SXS_Transit_input!$B$70:$L$70,0)+1,FALSE)),0,VLOOKUP($A53,SXS_Transit_input!$A$71:$L$81,MATCH(SXS_Transit_temp!H$28,SXS_Transit_input!$B$70:$L$70,0)+1,FALSE))</f>
        <v>0</v>
      </c>
      <c r="I53">
        <f>IF(ISNA(VLOOKUP($A53,SXS_Transit_input!$A$28:$W$49,MATCH(SXS_Transit_temp!I$28,SXS_Transit_input!$B$27:$W$27,0)+1,FALSE)),0,VLOOKUP($A53,SXS_Transit_input!$A$28:$W$49,MATCH(SXS_Transit_temp!I$28,SXS_Transit_input!$B$27:$W$27,0)+1,FALSE))+IF(ISNA(VLOOKUP($A53,SXS_Transit_input!$A$71:$L$81,MATCH(SXS_Transit_temp!I$28,SXS_Transit_input!$B$70:$L$70,0)+1,FALSE)),0,VLOOKUP($A53,SXS_Transit_input!$A$71:$L$81,MATCH(SXS_Transit_temp!I$28,SXS_Transit_input!$B$70:$L$70,0)+1,FALSE))</f>
        <v>0</v>
      </c>
      <c r="J53">
        <f>IF(ISNA(VLOOKUP($A53,SXS_Transit_input!$A$28:$W$49,MATCH(SXS_Transit_temp!J$28,SXS_Transit_input!$B$27:$W$27,0)+1,FALSE)),0,VLOOKUP($A53,SXS_Transit_input!$A$28:$W$49,MATCH(SXS_Transit_temp!J$28,SXS_Transit_input!$B$27:$W$27,0)+1,FALSE))+IF(ISNA(VLOOKUP($A53,SXS_Transit_input!$A$71:$L$81,MATCH(SXS_Transit_temp!J$28,SXS_Transit_input!$B$70:$L$70,0)+1,FALSE)),0,VLOOKUP($A53,SXS_Transit_input!$A$71:$L$81,MATCH(SXS_Transit_temp!J$28,SXS_Transit_input!$B$70:$L$70,0)+1,FALSE))</f>
        <v>0</v>
      </c>
      <c r="K53">
        <f>IF(ISNA(VLOOKUP($A53,SXS_Transit_input!$A$28:$W$49,MATCH(SXS_Transit_temp!K$28,SXS_Transit_input!$B$27:$W$27,0)+1,FALSE)),0,VLOOKUP($A53,SXS_Transit_input!$A$28:$W$49,MATCH(SXS_Transit_temp!K$28,SXS_Transit_input!$B$27:$W$27,0)+1,FALSE))+IF(ISNA(VLOOKUP($A53,SXS_Transit_input!$A$71:$L$81,MATCH(SXS_Transit_temp!K$28,SXS_Transit_input!$B$70:$L$70,0)+1,FALSE)),0,VLOOKUP($A53,SXS_Transit_input!$A$71:$L$81,MATCH(SXS_Transit_temp!K$28,SXS_Transit_input!$B$70:$L$70,0)+1,FALSE))</f>
        <v>0</v>
      </c>
      <c r="L53">
        <f>IF(ISNA(VLOOKUP($A53,SXS_Transit_input!$A$28:$W$49,MATCH(SXS_Transit_temp!L$28,SXS_Transit_input!$B$27:$W$27,0)+1,FALSE)),0,VLOOKUP($A53,SXS_Transit_input!$A$28:$W$49,MATCH(SXS_Transit_temp!L$28,SXS_Transit_input!$B$27:$W$27,0)+1,FALSE))+IF(ISNA(VLOOKUP($A53,SXS_Transit_input!$A$71:$L$81,MATCH(SXS_Transit_temp!L$28,SXS_Transit_input!$B$70:$L$70,0)+1,FALSE)),0,VLOOKUP($A53,SXS_Transit_input!$A$71:$L$81,MATCH(SXS_Transit_temp!L$28,SXS_Transit_input!$B$70:$L$70,0)+1,FALSE))</f>
        <v>0</v>
      </c>
      <c r="M53">
        <f>IF(ISNA(VLOOKUP($A53,SXS_Transit_input!$A$28:$W$49,MATCH(SXS_Transit_temp!M$28,SXS_Transit_input!$B$27:$W$27,0)+1,FALSE)),0,VLOOKUP($A53,SXS_Transit_input!$A$28:$W$49,MATCH(SXS_Transit_temp!M$28,SXS_Transit_input!$B$27:$W$27,0)+1,FALSE))+IF(ISNA(VLOOKUP($A53,SXS_Transit_input!$A$71:$L$81,MATCH(SXS_Transit_temp!M$28,SXS_Transit_input!$B$70:$L$70,0)+1,FALSE)),0,VLOOKUP($A53,SXS_Transit_input!$A$71:$L$81,MATCH(SXS_Transit_temp!M$28,SXS_Transit_input!$B$70:$L$70,0)+1,FALSE))</f>
        <v>487.05945000000003</v>
      </c>
      <c r="N53">
        <f>IF(ISNA(VLOOKUP($A53,SXS_Transit_input!$A$28:$W$49,MATCH(SXS_Transit_temp!N$28,SXS_Transit_input!$B$27:$W$27,0)+1,FALSE)),0,VLOOKUP($A53,SXS_Transit_input!$A$28:$W$49,MATCH(SXS_Transit_temp!N$28,SXS_Transit_input!$B$27:$W$27,0)+1,FALSE))+IF(ISNA(VLOOKUP($A53,SXS_Transit_input!$A$71:$L$81,MATCH(SXS_Transit_temp!N$28,SXS_Transit_input!$B$70:$L$70,0)+1,FALSE)),0,VLOOKUP($A53,SXS_Transit_input!$A$71:$L$81,MATCH(SXS_Transit_temp!N$28,SXS_Transit_input!$B$70:$L$70,0)+1,FALSE))</f>
        <v>0</v>
      </c>
      <c r="O53">
        <f>IF(ISNA(VLOOKUP($A53,SXS_Transit_input!$A$28:$W$49,MATCH(SXS_Transit_temp!O$28,SXS_Transit_input!$B$27:$W$27,0)+1,FALSE)),0,VLOOKUP($A53,SXS_Transit_input!$A$28:$W$49,MATCH(SXS_Transit_temp!O$28,SXS_Transit_input!$B$27:$W$27,0)+1,FALSE))+IF(ISNA(VLOOKUP($A53,SXS_Transit_input!$A$71:$L$81,MATCH(SXS_Transit_temp!O$28,SXS_Transit_input!$B$70:$L$70,0)+1,FALSE)),0,VLOOKUP($A53,SXS_Transit_input!$A$71:$L$81,MATCH(SXS_Transit_temp!O$28,SXS_Transit_input!$B$70:$L$70,0)+1,FALSE))</f>
        <v>21.3</v>
      </c>
      <c r="P53">
        <f>IF(ISNA(VLOOKUP($A53,SXS_Transit_input!$A$28:$W$49,MATCH(SXS_Transit_temp!P$28,SXS_Transit_input!$B$27:$W$27,0)+1,FALSE)),0,VLOOKUP($A53,SXS_Transit_input!$A$28:$W$49,MATCH(SXS_Transit_temp!P$28,SXS_Transit_input!$B$27:$W$27,0)+1,FALSE))+IF(ISNA(VLOOKUP($A53,SXS_Transit_input!$A$71:$L$81,MATCH(SXS_Transit_temp!P$28,SXS_Transit_input!$B$70:$L$70,0)+1,FALSE)),0,VLOOKUP($A53,SXS_Transit_input!$A$71:$L$81,MATCH(SXS_Transit_temp!P$28,SXS_Transit_input!$B$70:$L$70,0)+1,FALSE))</f>
        <v>0</v>
      </c>
      <c r="Q53">
        <f>IF(ISNA(VLOOKUP($A53,SXS_Transit_input!$A$28:$W$49,MATCH(SXS_Transit_temp!Q$28,SXS_Transit_input!$B$27:$W$27,0)+1,FALSE)),0,VLOOKUP($A53,SXS_Transit_input!$A$28:$W$49,MATCH(SXS_Transit_temp!Q$28,SXS_Transit_input!$B$27:$W$27,0)+1,FALSE))+IF(ISNA(VLOOKUP($A53,SXS_Transit_input!$A$71:$L$81,MATCH(SXS_Transit_temp!Q$28,SXS_Transit_input!$B$70:$L$70,0)+1,FALSE)),0,VLOOKUP($A53,SXS_Transit_input!$A$71:$L$81,MATCH(SXS_Transit_temp!Q$28,SXS_Transit_input!$B$70:$L$70,0)+1,FALSE))</f>
        <v>0</v>
      </c>
      <c r="R53">
        <f>IF(ISNA(VLOOKUP($A53,SXS_Transit_input!$A$28:$W$49,MATCH(SXS_Transit_temp!R$28,SXS_Transit_input!$B$27:$W$27,0)+1,FALSE)),0,VLOOKUP($A53,SXS_Transit_input!$A$28:$W$49,MATCH(SXS_Transit_temp!R$28,SXS_Transit_input!$B$27:$W$27,0)+1,FALSE))+IF(ISNA(VLOOKUP($A53,SXS_Transit_input!$A$71:$L$81,MATCH(SXS_Transit_temp!R$28,SXS_Transit_input!$B$70:$L$70,0)+1,FALSE)),0,VLOOKUP($A53,SXS_Transit_input!$A$71:$L$81,MATCH(SXS_Transit_temp!R$28,SXS_Transit_input!$B$70:$L$70,0)+1,FALSE))</f>
        <v>0</v>
      </c>
      <c r="S53">
        <f>IF(ISNA(VLOOKUP($A53,SXS_Transit_input!$A$28:$W$49,MATCH(SXS_Transit_temp!S$28,SXS_Transit_input!$B$27:$W$27,0)+1,FALSE)),0,VLOOKUP($A53,SXS_Transit_input!$A$28:$W$49,MATCH(SXS_Transit_temp!S$28,SXS_Transit_input!$B$27:$W$27,0)+1,FALSE))+IF(ISNA(VLOOKUP($A53,SXS_Transit_input!$A$71:$L$81,MATCH(SXS_Transit_temp!S$28,SXS_Transit_input!$B$70:$L$70,0)+1,FALSE)),0,VLOOKUP($A53,SXS_Transit_input!$A$71:$L$81,MATCH(SXS_Transit_temp!S$28,SXS_Transit_input!$B$70:$L$70,0)+1,FALSE))</f>
        <v>0</v>
      </c>
      <c r="T53">
        <f>IF(ISNA(VLOOKUP($A53,SXS_Transit_input!$A$28:$W$49,MATCH(SXS_Transit_temp!T$28,SXS_Transit_input!$B$27:$W$27,0)+1,FALSE)),0,VLOOKUP($A53,SXS_Transit_input!$A$28:$W$49,MATCH(SXS_Transit_temp!T$28,SXS_Transit_input!$B$27:$W$27,0)+1,FALSE))+IF(ISNA(VLOOKUP($A53,SXS_Transit_input!$A$71:$L$81,MATCH(SXS_Transit_temp!T$28,SXS_Transit_input!$B$70:$L$70,0)+1,FALSE)),0,VLOOKUP($A53,SXS_Transit_input!$A$71:$L$81,MATCH(SXS_Transit_temp!T$28,SXS_Transit_input!$B$70:$L$70,0)+1,FALSE))</f>
        <v>0</v>
      </c>
      <c r="U53">
        <f>IF(ISNA(VLOOKUP($A53,SXS_Transit_input!$A$28:$W$49,MATCH(SXS_Transit_temp!U$28,SXS_Transit_input!$B$27:$W$27,0)+1,FALSE)),0,VLOOKUP($A53,SXS_Transit_input!$A$28:$W$49,MATCH(SXS_Transit_temp!U$28,SXS_Transit_input!$B$27:$W$27,0)+1,FALSE))+IF(ISNA(VLOOKUP($A53,SXS_Transit_input!$A$71:$L$81,MATCH(SXS_Transit_temp!U$28,SXS_Transit_input!$B$70:$L$70,0)+1,FALSE)),0,VLOOKUP($A53,SXS_Transit_input!$A$71:$L$81,MATCH(SXS_Transit_temp!U$28,SXS_Transit_input!$B$70:$L$70,0)+1,FALSE))</f>
        <v>0</v>
      </c>
      <c r="V53">
        <f>IF(ISNA(VLOOKUP($A53,SXS_Transit_input!$A$28:$W$49,MATCH(SXS_Transit_temp!V$28,SXS_Transit_input!$B$27:$W$27,0)+1,FALSE)),0,VLOOKUP($A53,SXS_Transit_input!$A$28:$W$49,MATCH(SXS_Transit_temp!V$28,SXS_Transit_input!$B$27:$W$27,0)+1,FALSE))+IF(ISNA(VLOOKUP($A53,SXS_Transit_input!$A$71:$L$81,MATCH(SXS_Transit_temp!V$28,SXS_Transit_input!$B$70:$L$70,0)+1,FALSE)),0,VLOOKUP($A53,SXS_Transit_input!$A$71:$L$81,MATCH(SXS_Transit_temp!V$28,SXS_Transit_input!$B$70:$L$70,0)+1,FALSE))</f>
        <v>0</v>
      </c>
      <c r="W53">
        <f>IF(ISNA(VLOOKUP($A53,SXS_Transit_input!$A$28:$W$49,MATCH(SXS_Transit_temp!W$28,SXS_Transit_input!$B$27:$W$27,0)+1,FALSE)),0,VLOOKUP($A53,SXS_Transit_input!$A$28:$W$49,MATCH(SXS_Transit_temp!W$28,SXS_Transit_input!$B$27:$W$27,0)+1,FALSE))+IF(ISNA(VLOOKUP($A53,SXS_Transit_input!$A$71:$L$81,MATCH(SXS_Transit_temp!W$28,SXS_Transit_input!$B$70:$L$70,0)+1,FALSE)),0,VLOOKUP($A53,SXS_Transit_input!$A$71:$L$81,MATCH(SXS_Transit_temp!W$28,SXS_Transit_input!$B$70:$L$70,0)+1,FALSE))</f>
        <v>0</v>
      </c>
      <c r="X53">
        <f>IF(ISNA(VLOOKUP($A53,SXS_Transit_input!$A$28:$W$49,MATCH(SXS_Transit_temp!X$28,SXS_Transit_input!$B$27:$W$27,0)+1,FALSE)),0,VLOOKUP($A53,SXS_Transit_input!$A$28:$W$49,MATCH(SXS_Transit_temp!X$28,SXS_Transit_input!$B$27:$W$27,0)+1,FALSE))+IF(ISNA(VLOOKUP($A53,SXS_Transit_input!$A$71:$L$81,MATCH(SXS_Transit_temp!X$28,SXS_Transit_input!$B$70:$L$70,0)+1,FALSE)),0,VLOOKUP($A53,SXS_Transit_input!$A$71:$L$81,MATCH(SXS_Transit_temp!X$28,SXS_Transit_input!$B$70:$L$70,0)+1,FALSE))</f>
        <v>0</v>
      </c>
      <c r="Y53">
        <f>IF(ISNA(VLOOKUP($A53,SXS_Transit_input!$A$28:$W$49,MATCH(SXS_Transit_temp!Y$28,SXS_Transit_input!$B$27:$W$27,0)+1,FALSE)),0,VLOOKUP($A53,SXS_Transit_input!$A$28:$W$49,MATCH(SXS_Transit_temp!Y$28,SXS_Transit_input!$B$27:$W$27,0)+1,FALSE))+IF(ISNA(VLOOKUP($A53,SXS_Transit_input!$A$71:$L$81,MATCH(SXS_Transit_temp!Y$28,SXS_Transit_input!$B$70:$L$70,0)+1,FALSE)),0,VLOOKUP($A53,SXS_Transit_input!$A$71:$L$81,MATCH(SXS_Transit_temp!Y$28,SXS_Transit_input!$B$70:$L$70,0)+1,FALSE))</f>
        <v>0</v>
      </c>
      <c r="Z53">
        <f>IF(ISNA(VLOOKUP($A53,SXS_Transit_input!$A$28:$W$49,MATCH(SXS_Transit_temp!Z$28,SXS_Transit_input!$B$27:$W$27,0)+1,FALSE)),0,VLOOKUP($A53,SXS_Transit_input!$A$28:$W$49,MATCH(SXS_Transit_temp!Z$28,SXS_Transit_input!$B$27:$W$27,0)+1,FALSE))+IF(ISNA(VLOOKUP($A53,SXS_Transit_input!$A$71:$L$81,MATCH(SXS_Transit_temp!Z$28,SXS_Transit_input!$B$70:$L$70,0)+1,FALSE)),0,VLOOKUP($A53,SXS_Transit_input!$A$71:$L$81,MATCH(SXS_Transit_temp!Z$28,SXS_Transit_input!$B$70:$L$70,0)+1,FALSE))</f>
        <v>98.316789999999997</v>
      </c>
      <c r="AA53">
        <v>25</v>
      </c>
      <c r="AB53" s="36">
        <f t="shared" si="27"/>
        <v>236</v>
      </c>
      <c r="AC53" s="37">
        <f t="shared" si="37"/>
        <v>0</v>
      </c>
      <c r="AD53" s="37">
        <f t="shared" si="38"/>
        <v>0</v>
      </c>
      <c r="AE53" s="37">
        <f t="shared" si="39"/>
        <v>0</v>
      </c>
      <c r="AF53" s="37">
        <f t="shared" si="40"/>
        <v>0</v>
      </c>
      <c r="AG53" s="37">
        <f t="shared" si="41"/>
        <v>0</v>
      </c>
      <c r="AH53" s="37">
        <f t="shared" si="42"/>
        <v>0</v>
      </c>
      <c r="AI53" s="37">
        <f t="shared" si="43"/>
        <v>0</v>
      </c>
      <c r="AJ53" s="37">
        <f t="shared" si="44"/>
        <v>0</v>
      </c>
      <c r="AK53" s="37">
        <f t="shared" si="45"/>
        <v>0</v>
      </c>
      <c r="AL53" s="37">
        <f t="shared" si="46"/>
        <v>0</v>
      </c>
      <c r="AM53" s="37">
        <f t="shared" si="47"/>
        <v>0</v>
      </c>
      <c r="AN53" s="37">
        <f t="shared" si="48"/>
        <v>2</v>
      </c>
      <c r="AO53" s="37">
        <f t="shared" si="49"/>
        <v>12</v>
      </c>
      <c r="AP53" s="37">
        <f t="shared" si="50"/>
        <v>2</v>
      </c>
      <c r="AQ53" s="37">
        <f t="shared" si="51"/>
        <v>0</v>
      </c>
      <c r="AR53" s="37">
        <f t="shared" si="28"/>
        <v>0</v>
      </c>
      <c r="AS53" s="37">
        <f t="shared" si="29"/>
        <v>0</v>
      </c>
      <c r="AT53" s="37">
        <f t="shared" si="30"/>
        <v>0</v>
      </c>
      <c r="AU53" s="37">
        <f t="shared" si="31"/>
        <v>0</v>
      </c>
      <c r="AV53" s="37">
        <f t="shared" si="32"/>
        <v>0</v>
      </c>
      <c r="AW53" s="37">
        <f t="shared" si="33"/>
        <v>0</v>
      </c>
      <c r="AX53" s="37">
        <f t="shared" si="34"/>
        <v>0</v>
      </c>
      <c r="AY53" s="37">
        <f t="shared" si="35"/>
        <v>0</v>
      </c>
      <c r="AZ53" s="194">
        <f t="shared" si="36"/>
        <v>86</v>
      </c>
      <c r="BC53" s="157">
        <v>24</v>
      </c>
      <c r="BD53">
        <v>112</v>
      </c>
      <c r="BE53">
        <v>2</v>
      </c>
      <c r="BF53">
        <v>0</v>
      </c>
      <c r="BG53">
        <v>0</v>
      </c>
      <c r="BH53">
        <v>0</v>
      </c>
      <c r="BI53">
        <v>2</v>
      </c>
      <c r="BJ53">
        <v>0</v>
      </c>
      <c r="BK53">
        <v>0</v>
      </c>
      <c r="BL53">
        <v>0</v>
      </c>
      <c r="BM53">
        <v>0</v>
      </c>
      <c r="BN53">
        <v>0</v>
      </c>
      <c r="BO53">
        <v>2</v>
      </c>
      <c r="BP53">
        <v>16</v>
      </c>
      <c r="BQ53">
        <v>0</v>
      </c>
      <c r="BR53">
        <v>0</v>
      </c>
      <c r="BS53">
        <v>0</v>
      </c>
      <c r="BT53">
        <v>0</v>
      </c>
      <c r="BU53">
        <v>0</v>
      </c>
      <c r="BV53">
        <v>0</v>
      </c>
      <c r="BW53">
        <v>0</v>
      </c>
      <c r="BX53">
        <v>0</v>
      </c>
      <c r="BY53">
        <v>0</v>
      </c>
      <c r="BZ53">
        <v>0</v>
      </c>
      <c r="CA53">
        <v>62</v>
      </c>
      <c r="CB53">
        <v>0</v>
      </c>
    </row>
    <row r="54" spans="1:80" x14ac:dyDescent="0.25">
      <c r="BC54" s="157">
        <v>25</v>
      </c>
      <c r="BD54">
        <v>236</v>
      </c>
      <c r="BE54">
        <v>0</v>
      </c>
      <c r="BF54">
        <v>0</v>
      </c>
      <c r="BG54">
        <v>0</v>
      </c>
      <c r="BH54">
        <v>0</v>
      </c>
      <c r="BI54">
        <v>0</v>
      </c>
      <c r="BJ54">
        <v>0</v>
      </c>
      <c r="BK54">
        <v>0</v>
      </c>
      <c r="BL54">
        <v>0</v>
      </c>
      <c r="BM54">
        <v>0</v>
      </c>
      <c r="BN54">
        <v>0</v>
      </c>
      <c r="BO54">
        <v>0</v>
      </c>
      <c r="BP54">
        <v>2</v>
      </c>
      <c r="BQ54">
        <v>12</v>
      </c>
      <c r="BR54">
        <v>2</v>
      </c>
      <c r="BS54">
        <v>0</v>
      </c>
      <c r="BT54">
        <v>0</v>
      </c>
      <c r="BU54">
        <v>0</v>
      </c>
      <c r="BV54">
        <v>0</v>
      </c>
      <c r="BW54">
        <v>0</v>
      </c>
      <c r="BX54">
        <v>0</v>
      </c>
      <c r="BY54">
        <v>0</v>
      </c>
      <c r="BZ54">
        <v>0</v>
      </c>
      <c r="CA54">
        <v>0</v>
      </c>
      <c r="CB54">
        <v>86</v>
      </c>
    </row>
    <row r="56" spans="1:80" x14ac:dyDescent="0.25">
      <c r="BD56">
        <v>1</v>
      </c>
      <c r="BE56">
        <v>2</v>
      </c>
      <c r="BF56">
        <v>3</v>
      </c>
      <c r="BG56">
        <v>4</v>
      </c>
      <c r="BH56">
        <v>5</v>
      </c>
      <c r="BI56">
        <v>6</v>
      </c>
      <c r="BJ56">
        <v>7</v>
      </c>
      <c r="BK56">
        <v>8</v>
      </c>
      <c r="BL56">
        <v>9</v>
      </c>
      <c r="BM56">
        <v>10</v>
      </c>
      <c r="BN56">
        <v>11</v>
      </c>
      <c r="BO56">
        <v>12</v>
      </c>
      <c r="BP56">
        <v>13</v>
      </c>
      <c r="BQ56">
        <v>14</v>
      </c>
      <c r="BR56">
        <v>15</v>
      </c>
      <c r="BS56">
        <v>16</v>
      </c>
      <c r="BT56">
        <v>17</v>
      </c>
      <c r="BU56">
        <v>18</v>
      </c>
      <c r="BV56">
        <v>19</v>
      </c>
      <c r="BW56">
        <v>20</v>
      </c>
      <c r="BX56">
        <v>21</v>
      </c>
      <c r="BY56">
        <v>22</v>
      </c>
      <c r="BZ56">
        <v>23</v>
      </c>
      <c r="CA56">
        <v>24</v>
      </c>
      <c r="CB56">
        <v>25</v>
      </c>
    </row>
    <row r="57" spans="1:80" x14ac:dyDescent="0.25">
      <c r="BC57">
        <v>1</v>
      </c>
      <c r="BD57">
        <v>1384</v>
      </c>
      <c r="BE57">
        <v>13</v>
      </c>
      <c r="BF57">
        <v>5</v>
      </c>
      <c r="BG57">
        <v>3</v>
      </c>
      <c r="BH57">
        <v>2</v>
      </c>
      <c r="BI57">
        <v>0</v>
      </c>
      <c r="BJ57">
        <v>6</v>
      </c>
      <c r="BK57">
        <v>8</v>
      </c>
      <c r="BL57">
        <v>2</v>
      </c>
      <c r="BM57">
        <v>0</v>
      </c>
      <c r="BN57">
        <v>0</v>
      </c>
      <c r="BO57">
        <v>0</v>
      </c>
      <c r="BP57">
        <v>0</v>
      </c>
      <c r="BQ57">
        <v>0</v>
      </c>
      <c r="BR57">
        <v>0</v>
      </c>
      <c r="BS57">
        <v>0</v>
      </c>
      <c r="BT57">
        <v>0</v>
      </c>
      <c r="BU57">
        <v>0</v>
      </c>
      <c r="BV57">
        <v>0</v>
      </c>
      <c r="BW57">
        <v>0</v>
      </c>
      <c r="BX57">
        <v>0</v>
      </c>
      <c r="BY57">
        <v>0</v>
      </c>
      <c r="BZ57">
        <v>0</v>
      </c>
      <c r="CA57">
        <v>0</v>
      </c>
      <c r="CB57">
        <v>0</v>
      </c>
    </row>
    <row r="58" spans="1:80" x14ac:dyDescent="0.25">
      <c r="BC58">
        <v>2</v>
      </c>
      <c r="BD58">
        <v>303</v>
      </c>
      <c r="BE58">
        <v>310</v>
      </c>
      <c r="BF58">
        <v>51</v>
      </c>
      <c r="BG58">
        <v>10</v>
      </c>
      <c r="BH58">
        <v>1</v>
      </c>
      <c r="BI58">
        <v>2</v>
      </c>
      <c r="BJ58">
        <v>3</v>
      </c>
      <c r="BK58">
        <v>0</v>
      </c>
      <c r="BL58">
        <v>9</v>
      </c>
      <c r="BM58">
        <v>0</v>
      </c>
      <c r="BN58">
        <v>1</v>
      </c>
      <c r="BO58">
        <v>0</v>
      </c>
      <c r="BP58">
        <v>0</v>
      </c>
      <c r="BQ58">
        <v>0</v>
      </c>
      <c r="BR58">
        <v>0</v>
      </c>
      <c r="BS58">
        <v>0</v>
      </c>
      <c r="BT58">
        <v>0</v>
      </c>
      <c r="BU58">
        <v>0</v>
      </c>
      <c r="BV58">
        <v>0</v>
      </c>
      <c r="BW58">
        <v>0</v>
      </c>
      <c r="BX58">
        <v>0</v>
      </c>
      <c r="BY58">
        <v>0</v>
      </c>
      <c r="BZ58">
        <v>0</v>
      </c>
      <c r="CA58">
        <v>0</v>
      </c>
      <c r="CB58">
        <v>0</v>
      </c>
    </row>
    <row r="59" spans="1:80" x14ac:dyDescent="0.25">
      <c r="BC59">
        <v>3</v>
      </c>
      <c r="BD59">
        <v>102</v>
      </c>
      <c r="BE59">
        <v>50</v>
      </c>
      <c r="BF59">
        <v>119</v>
      </c>
      <c r="BG59">
        <v>35</v>
      </c>
      <c r="BH59">
        <v>8</v>
      </c>
      <c r="BI59">
        <v>3</v>
      </c>
      <c r="BJ59">
        <v>0</v>
      </c>
      <c r="BK59">
        <v>2</v>
      </c>
      <c r="BL59">
        <v>1</v>
      </c>
      <c r="BM59">
        <v>4</v>
      </c>
      <c r="BN59">
        <v>0</v>
      </c>
      <c r="BO59">
        <v>0</v>
      </c>
      <c r="BP59">
        <v>0</v>
      </c>
      <c r="BQ59">
        <v>0</v>
      </c>
      <c r="BR59">
        <v>0</v>
      </c>
      <c r="BS59">
        <v>0</v>
      </c>
      <c r="BT59">
        <v>0</v>
      </c>
      <c r="BU59">
        <v>0</v>
      </c>
      <c r="BV59">
        <v>0</v>
      </c>
      <c r="BW59">
        <v>0</v>
      </c>
      <c r="BX59">
        <v>0</v>
      </c>
      <c r="BY59">
        <v>0</v>
      </c>
      <c r="BZ59">
        <v>0</v>
      </c>
      <c r="CA59">
        <v>0</v>
      </c>
      <c r="CB59">
        <v>0</v>
      </c>
    </row>
    <row r="60" spans="1:80" x14ac:dyDescent="0.25">
      <c r="BC60">
        <v>4</v>
      </c>
      <c r="BD60">
        <v>87</v>
      </c>
      <c r="BE60">
        <v>31</v>
      </c>
      <c r="BF60">
        <v>54</v>
      </c>
      <c r="BG60">
        <v>30</v>
      </c>
      <c r="BH60">
        <v>22</v>
      </c>
      <c r="BI60">
        <v>6</v>
      </c>
      <c r="BJ60">
        <v>0</v>
      </c>
      <c r="BK60">
        <v>0</v>
      </c>
      <c r="BL60">
        <v>0</v>
      </c>
      <c r="BM60">
        <v>0</v>
      </c>
      <c r="BN60">
        <v>0</v>
      </c>
      <c r="BO60">
        <v>1</v>
      </c>
      <c r="BP60">
        <v>0</v>
      </c>
      <c r="BQ60">
        <v>0</v>
      </c>
      <c r="BR60">
        <v>0</v>
      </c>
      <c r="BS60">
        <v>0</v>
      </c>
      <c r="BT60">
        <v>0</v>
      </c>
      <c r="BU60">
        <v>0</v>
      </c>
      <c r="BV60">
        <v>0</v>
      </c>
      <c r="BW60">
        <v>0</v>
      </c>
      <c r="BX60">
        <v>0</v>
      </c>
      <c r="BY60">
        <v>0</v>
      </c>
      <c r="BZ60">
        <v>0</v>
      </c>
      <c r="CA60">
        <v>0</v>
      </c>
      <c r="CB60">
        <v>0</v>
      </c>
    </row>
    <row r="61" spans="1:80" x14ac:dyDescent="0.25">
      <c r="BC61">
        <v>5</v>
      </c>
      <c r="BD61">
        <v>179</v>
      </c>
      <c r="BE61">
        <v>14</v>
      </c>
      <c r="BF61">
        <v>31</v>
      </c>
      <c r="BG61">
        <v>27</v>
      </c>
      <c r="BH61">
        <v>74</v>
      </c>
      <c r="BI61">
        <v>20</v>
      </c>
      <c r="BJ61">
        <v>0</v>
      </c>
      <c r="BK61">
        <v>4</v>
      </c>
      <c r="BL61">
        <v>0</v>
      </c>
      <c r="BM61">
        <v>0</v>
      </c>
      <c r="BN61">
        <v>0</v>
      </c>
      <c r="BO61">
        <v>0</v>
      </c>
      <c r="BP61">
        <v>0</v>
      </c>
      <c r="BQ61">
        <v>0</v>
      </c>
      <c r="BR61">
        <v>0</v>
      </c>
      <c r="BS61">
        <v>0</v>
      </c>
      <c r="BT61">
        <v>0</v>
      </c>
      <c r="BU61">
        <v>0</v>
      </c>
      <c r="BV61">
        <v>0</v>
      </c>
      <c r="BW61">
        <v>0</v>
      </c>
      <c r="BX61">
        <v>0</v>
      </c>
      <c r="BY61">
        <v>0</v>
      </c>
      <c r="BZ61">
        <v>0</v>
      </c>
      <c r="CA61">
        <v>0</v>
      </c>
      <c r="CB61">
        <v>0</v>
      </c>
    </row>
    <row r="62" spans="1:80" x14ac:dyDescent="0.25">
      <c r="BC62">
        <v>6</v>
      </c>
      <c r="BD62">
        <v>124</v>
      </c>
      <c r="BE62">
        <v>2</v>
      </c>
      <c r="BF62">
        <v>2</v>
      </c>
      <c r="BG62">
        <v>6</v>
      </c>
      <c r="BH62">
        <v>34</v>
      </c>
      <c r="BI62">
        <v>69</v>
      </c>
      <c r="BJ62">
        <v>9</v>
      </c>
      <c r="BK62">
        <v>6</v>
      </c>
      <c r="BL62">
        <v>0</v>
      </c>
      <c r="BM62">
        <v>0</v>
      </c>
      <c r="BN62">
        <v>0</v>
      </c>
      <c r="BO62">
        <v>0</v>
      </c>
      <c r="BP62">
        <v>0</v>
      </c>
      <c r="BQ62">
        <v>0</v>
      </c>
      <c r="BR62">
        <v>0</v>
      </c>
      <c r="BS62">
        <v>0</v>
      </c>
      <c r="BT62">
        <v>0</v>
      </c>
      <c r="BU62">
        <v>0</v>
      </c>
      <c r="BV62">
        <v>0</v>
      </c>
      <c r="BW62">
        <v>0</v>
      </c>
      <c r="BX62">
        <v>2</v>
      </c>
      <c r="BY62">
        <v>0</v>
      </c>
      <c r="BZ62">
        <v>0</v>
      </c>
      <c r="CA62">
        <v>0</v>
      </c>
      <c r="CB62">
        <v>0</v>
      </c>
    </row>
    <row r="63" spans="1:80" x14ac:dyDescent="0.25">
      <c r="BC63">
        <v>7</v>
      </c>
      <c r="BD63">
        <v>112</v>
      </c>
      <c r="BE63">
        <v>2</v>
      </c>
      <c r="BF63">
        <v>2</v>
      </c>
      <c r="BG63">
        <v>2</v>
      </c>
      <c r="BH63">
        <v>2</v>
      </c>
      <c r="BI63">
        <v>12</v>
      </c>
      <c r="BJ63">
        <v>104</v>
      </c>
      <c r="BK63">
        <v>39</v>
      </c>
      <c r="BL63">
        <v>0</v>
      </c>
      <c r="BM63">
        <v>2</v>
      </c>
      <c r="BN63">
        <v>0</v>
      </c>
      <c r="BO63">
        <v>0</v>
      </c>
      <c r="BP63">
        <v>0</v>
      </c>
      <c r="BQ63">
        <v>7</v>
      </c>
      <c r="BR63">
        <v>0</v>
      </c>
      <c r="BS63">
        <v>0</v>
      </c>
      <c r="BT63">
        <v>0</v>
      </c>
      <c r="BU63">
        <v>1</v>
      </c>
      <c r="BV63">
        <v>0</v>
      </c>
      <c r="BW63">
        <v>0</v>
      </c>
      <c r="BX63">
        <v>0</v>
      </c>
      <c r="BY63">
        <v>0</v>
      </c>
      <c r="BZ63">
        <v>0</v>
      </c>
      <c r="CA63">
        <v>0</v>
      </c>
      <c r="CB63">
        <v>0</v>
      </c>
    </row>
    <row r="64" spans="1:80" x14ac:dyDescent="0.25">
      <c r="BC64">
        <v>8</v>
      </c>
      <c r="BD64">
        <v>296</v>
      </c>
      <c r="BE64">
        <v>2</v>
      </c>
      <c r="BF64">
        <v>3</v>
      </c>
      <c r="BG64">
        <v>0</v>
      </c>
      <c r="BH64">
        <v>4</v>
      </c>
      <c r="BI64">
        <v>2</v>
      </c>
      <c r="BJ64">
        <v>85</v>
      </c>
      <c r="BK64">
        <v>320</v>
      </c>
      <c r="BL64">
        <v>0</v>
      </c>
      <c r="BM64">
        <v>0</v>
      </c>
      <c r="BN64">
        <v>0</v>
      </c>
      <c r="BO64">
        <v>0</v>
      </c>
      <c r="BP64">
        <v>0</v>
      </c>
      <c r="BQ64">
        <v>7</v>
      </c>
      <c r="BR64">
        <v>0</v>
      </c>
      <c r="BS64">
        <v>0</v>
      </c>
      <c r="BT64">
        <v>0</v>
      </c>
      <c r="BU64">
        <v>7</v>
      </c>
      <c r="BV64">
        <v>0</v>
      </c>
      <c r="BW64">
        <v>0</v>
      </c>
      <c r="BX64">
        <v>0</v>
      </c>
      <c r="BY64">
        <v>0</v>
      </c>
      <c r="BZ64">
        <v>0</v>
      </c>
      <c r="CA64">
        <v>0</v>
      </c>
      <c r="CB64">
        <v>0</v>
      </c>
    </row>
    <row r="65" spans="55:80" x14ac:dyDescent="0.25">
      <c r="BC65">
        <v>9</v>
      </c>
      <c r="BD65">
        <v>2</v>
      </c>
      <c r="BE65">
        <v>5</v>
      </c>
      <c r="BF65">
        <v>1</v>
      </c>
      <c r="BG65">
        <v>0</v>
      </c>
      <c r="BH65">
        <v>0</v>
      </c>
      <c r="BI65">
        <v>0</v>
      </c>
      <c r="BJ65">
        <v>0</v>
      </c>
      <c r="BK65">
        <v>0</v>
      </c>
      <c r="BL65">
        <v>12</v>
      </c>
      <c r="BM65">
        <v>0</v>
      </c>
      <c r="BN65">
        <v>0</v>
      </c>
      <c r="BO65">
        <v>0</v>
      </c>
      <c r="BP65">
        <v>0</v>
      </c>
      <c r="BQ65">
        <v>0</v>
      </c>
      <c r="BR65">
        <v>0</v>
      </c>
      <c r="BS65">
        <v>0</v>
      </c>
      <c r="BT65">
        <v>0</v>
      </c>
      <c r="BU65">
        <v>0</v>
      </c>
      <c r="BV65">
        <v>0</v>
      </c>
      <c r="BW65">
        <v>0</v>
      </c>
      <c r="BX65">
        <v>2</v>
      </c>
      <c r="BY65">
        <v>0</v>
      </c>
      <c r="BZ65">
        <v>0</v>
      </c>
      <c r="CA65">
        <v>0</v>
      </c>
      <c r="CB65">
        <v>0</v>
      </c>
    </row>
    <row r="66" spans="55:80" x14ac:dyDescent="0.25">
      <c r="BC66">
        <v>10</v>
      </c>
      <c r="BD66">
        <v>2</v>
      </c>
      <c r="BE66">
        <v>0</v>
      </c>
      <c r="BF66">
        <v>10</v>
      </c>
      <c r="BG66">
        <v>0</v>
      </c>
      <c r="BH66">
        <v>0</v>
      </c>
      <c r="BI66">
        <v>0</v>
      </c>
      <c r="BJ66">
        <v>0</v>
      </c>
      <c r="BK66">
        <v>0</v>
      </c>
      <c r="BL66">
        <v>0</v>
      </c>
      <c r="BM66">
        <v>14</v>
      </c>
      <c r="BN66">
        <v>6</v>
      </c>
      <c r="BO66">
        <v>0</v>
      </c>
      <c r="BP66">
        <v>0</v>
      </c>
      <c r="BQ66">
        <v>0</v>
      </c>
      <c r="BR66">
        <v>0</v>
      </c>
      <c r="BS66">
        <v>0</v>
      </c>
      <c r="BT66">
        <v>0</v>
      </c>
      <c r="BU66">
        <v>0</v>
      </c>
      <c r="BV66">
        <v>0</v>
      </c>
      <c r="BW66">
        <v>2</v>
      </c>
      <c r="BX66">
        <v>0</v>
      </c>
      <c r="BY66">
        <v>0</v>
      </c>
      <c r="BZ66">
        <v>0</v>
      </c>
      <c r="CA66">
        <v>0</v>
      </c>
      <c r="CB66">
        <v>0</v>
      </c>
    </row>
    <row r="67" spans="55:80" x14ac:dyDescent="0.25">
      <c r="BC67">
        <v>11</v>
      </c>
      <c r="BD67">
        <v>0</v>
      </c>
      <c r="BE67">
        <v>0</v>
      </c>
      <c r="BF67">
        <v>3</v>
      </c>
      <c r="BG67">
        <v>0</v>
      </c>
      <c r="BH67">
        <v>1</v>
      </c>
      <c r="BI67">
        <v>0</v>
      </c>
      <c r="BJ67">
        <v>0</v>
      </c>
      <c r="BK67">
        <v>0</v>
      </c>
      <c r="BL67">
        <v>0</v>
      </c>
      <c r="BM67">
        <v>2</v>
      </c>
      <c r="BN67">
        <v>15</v>
      </c>
      <c r="BO67">
        <v>2</v>
      </c>
      <c r="BP67">
        <v>0</v>
      </c>
      <c r="BQ67">
        <v>0</v>
      </c>
      <c r="BR67">
        <v>0</v>
      </c>
      <c r="BS67">
        <v>0</v>
      </c>
      <c r="BT67">
        <v>0</v>
      </c>
      <c r="BU67">
        <v>0</v>
      </c>
      <c r="BV67">
        <v>0</v>
      </c>
      <c r="BW67">
        <v>0</v>
      </c>
      <c r="BX67">
        <v>0</v>
      </c>
      <c r="BY67">
        <v>2</v>
      </c>
      <c r="BZ67">
        <v>0</v>
      </c>
      <c r="CA67">
        <v>0</v>
      </c>
      <c r="CB67">
        <v>0</v>
      </c>
    </row>
    <row r="68" spans="55:80" x14ac:dyDescent="0.25">
      <c r="BC68">
        <v>12</v>
      </c>
      <c r="BD68">
        <v>0</v>
      </c>
      <c r="BE68">
        <v>0</v>
      </c>
      <c r="BF68">
        <v>0</v>
      </c>
      <c r="BG68">
        <v>0</v>
      </c>
      <c r="BH68">
        <v>4</v>
      </c>
      <c r="BI68">
        <v>0</v>
      </c>
      <c r="BJ68">
        <v>1</v>
      </c>
      <c r="BK68">
        <v>0</v>
      </c>
      <c r="BL68">
        <v>0</v>
      </c>
      <c r="BM68">
        <v>0</v>
      </c>
      <c r="BN68">
        <v>3</v>
      </c>
      <c r="BO68">
        <v>15</v>
      </c>
      <c r="BP68">
        <v>2</v>
      </c>
      <c r="BQ68">
        <v>0</v>
      </c>
      <c r="BR68">
        <v>0</v>
      </c>
      <c r="BS68">
        <v>0</v>
      </c>
      <c r="BT68">
        <v>0</v>
      </c>
      <c r="BU68">
        <v>0</v>
      </c>
      <c r="BV68">
        <v>0</v>
      </c>
      <c r="BW68">
        <v>0</v>
      </c>
      <c r="BX68">
        <v>0</v>
      </c>
      <c r="BY68">
        <v>0</v>
      </c>
      <c r="BZ68">
        <v>0</v>
      </c>
      <c r="CA68">
        <v>0</v>
      </c>
      <c r="CB68">
        <v>0</v>
      </c>
    </row>
    <row r="69" spans="55:80" x14ac:dyDescent="0.25">
      <c r="BC69">
        <v>13</v>
      </c>
      <c r="BD69">
        <v>2</v>
      </c>
      <c r="BE69">
        <v>0</v>
      </c>
      <c r="BF69">
        <v>0</v>
      </c>
      <c r="BG69">
        <v>0</v>
      </c>
      <c r="BH69">
        <v>0</v>
      </c>
      <c r="BI69">
        <v>2</v>
      </c>
      <c r="BJ69">
        <v>0</v>
      </c>
      <c r="BK69">
        <v>0</v>
      </c>
      <c r="BL69">
        <v>0</v>
      </c>
      <c r="BM69">
        <v>0</v>
      </c>
      <c r="BN69">
        <v>2</v>
      </c>
      <c r="BO69">
        <v>0</v>
      </c>
      <c r="BP69">
        <v>34</v>
      </c>
      <c r="BQ69">
        <v>2</v>
      </c>
      <c r="BR69">
        <v>0</v>
      </c>
      <c r="BS69">
        <v>0</v>
      </c>
      <c r="BT69">
        <v>0</v>
      </c>
      <c r="BU69">
        <v>0</v>
      </c>
      <c r="BV69">
        <v>0</v>
      </c>
      <c r="BW69">
        <v>0</v>
      </c>
      <c r="BX69">
        <v>0</v>
      </c>
      <c r="BY69">
        <v>0</v>
      </c>
      <c r="BZ69">
        <v>0</v>
      </c>
      <c r="CA69">
        <v>0</v>
      </c>
      <c r="CB69">
        <v>0</v>
      </c>
    </row>
    <row r="70" spans="55:80" x14ac:dyDescent="0.25">
      <c r="BC70">
        <v>14</v>
      </c>
      <c r="BD70">
        <v>4</v>
      </c>
      <c r="BE70">
        <v>0</v>
      </c>
      <c r="BF70">
        <v>0</v>
      </c>
      <c r="BG70">
        <v>0</v>
      </c>
      <c r="BH70">
        <v>0</v>
      </c>
      <c r="BI70">
        <v>0</v>
      </c>
      <c r="BJ70">
        <v>10</v>
      </c>
      <c r="BK70">
        <v>2</v>
      </c>
      <c r="BL70">
        <v>0</v>
      </c>
      <c r="BM70">
        <v>0</v>
      </c>
      <c r="BN70">
        <v>0</v>
      </c>
      <c r="BO70">
        <v>0</v>
      </c>
      <c r="BP70">
        <v>0</v>
      </c>
      <c r="BQ70">
        <v>18</v>
      </c>
      <c r="BR70">
        <v>0</v>
      </c>
      <c r="BS70">
        <v>0</v>
      </c>
      <c r="BT70">
        <v>0</v>
      </c>
      <c r="BU70">
        <v>0</v>
      </c>
      <c r="BV70">
        <v>0</v>
      </c>
      <c r="BW70">
        <v>0</v>
      </c>
      <c r="BX70">
        <v>0</v>
      </c>
      <c r="BY70">
        <v>0</v>
      </c>
      <c r="BZ70">
        <v>0</v>
      </c>
      <c r="CA70">
        <v>0</v>
      </c>
      <c r="CB70">
        <v>0</v>
      </c>
    </row>
    <row r="71" spans="55:80" x14ac:dyDescent="0.25">
      <c r="BC71">
        <v>15</v>
      </c>
      <c r="BD71">
        <v>2</v>
      </c>
      <c r="BE71">
        <v>0</v>
      </c>
      <c r="BF71">
        <v>0</v>
      </c>
      <c r="BG71">
        <v>0</v>
      </c>
      <c r="BH71">
        <v>0</v>
      </c>
      <c r="BI71">
        <v>0</v>
      </c>
      <c r="BJ71">
        <v>0</v>
      </c>
      <c r="BK71">
        <v>4</v>
      </c>
      <c r="BL71">
        <v>0</v>
      </c>
      <c r="BM71">
        <v>0</v>
      </c>
      <c r="BN71">
        <v>0</v>
      </c>
      <c r="BO71">
        <v>0</v>
      </c>
      <c r="BP71">
        <v>0</v>
      </c>
      <c r="BQ71">
        <v>0</v>
      </c>
      <c r="BR71">
        <v>0</v>
      </c>
      <c r="BS71">
        <v>0</v>
      </c>
      <c r="BT71">
        <v>0</v>
      </c>
      <c r="BU71">
        <v>26</v>
      </c>
      <c r="BV71">
        <v>0</v>
      </c>
      <c r="BW71">
        <v>0</v>
      </c>
      <c r="BX71">
        <v>0</v>
      </c>
      <c r="BY71">
        <v>0</v>
      </c>
      <c r="BZ71">
        <v>0</v>
      </c>
      <c r="CA71">
        <v>0</v>
      </c>
      <c r="CB71">
        <v>0</v>
      </c>
    </row>
    <row r="72" spans="55:80" x14ac:dyDescent="0.25">
      <c r="BC72">
        <v>16</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row>
    <row r="73" spans="55:80" x14ac:dyDescent="0.25">
      <c r="BC73">
        <v>17</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row>
    <row r="74" spans="55:80" x14ac:dyDescent="0.25">
      <c r="BC74">
        <v>18</v>
      </c>
      <c r="BD74">
        <v>0</v>
      </c>
      <c r="BE74">
        <v>0</v>
      </c>
      <c r="BF74">
        <v>0</v>
      </c>
      <c r="BG74">
        <v>0</v>
      </c>
      <c r="BH74">
        <v>0</v>
      </c>
      <c r="BI74">
        <v>0</v>
      </c>
      <c r="BJ74">
        <v>0</v>
      </c>
      <c r="BK74">
        <v>4</v>
      </c>
      <c r="BL74">
        <v>0</v>
      </c>
      <c r="BM74">
        <v>0</v>
      </c>
      <c r="BN74">
        <v>0</v>
      </c>
      <c r="BO74">
        <v>0</v>
      </c>
      <c r="BP74">
        <v>0</v>
      </c>
      <c r="BQ74">
        <v>0</v>
      </c>
      <c r="BR74">
        <v>0</v>
      </c>
      <c r="BS74">
        <v>0</v>
      </c>
      <c r="BT74">
        <v>0</v>
      </c>
      <c r="BU74">
        <v>1</v>
      </c>
      <c r="BV74">
        <v>0</v>
      </c>
      <c r="BW74">
        <v>0</v>
      </c>
      <c r="BX74">
        <v>0</v>
      </c>
      <c r="BY74">
        <v>0</v>
      </c>
      <c r="BZ74">
        <v>0</v>
      </c>
      <c r="CA74">
        <v>0</v>
      </c>
      <c r="CB74">
        <v>0</v>
      </c>
    </row>
    <row r="75" spans="55:80" x14ac:dyDescent="0.25">
      <c r="BC75">
        <v>19</v>
      </c>
      <c r="BD75">
        <v>0</v>
      </c>
      <c r="BE75">
        <v>0</v>
      </c>
      <c r="BF75">
        <v>0</v>
      </c>
      <c r="BG75">
        <v>0</v>
      </c>
      <c r="BH75">
        <v>0</v>
      </c>
      <c r="BI75">
        <v>0</v>
      </c>
      <c r="BJ75">
        <v>0</v>
      </c>
      <c r="BK75">
        <v>0</v>
      </c>
      <c r="BL75">
        <v>0</v>
      </c>
      <c r="BM75">
        <v>0</v>
      </c>
      <c r="BN75">
        <v>0</v>
      </c>
      <c r="BO75">
        <v>0</v>
      </c>
      <c r="BP75">
        <v>0</v>
      </c>
      <c r="BQ75">
        <v>0</v>
      </c>
      <c r="BR75">
        <v>0</v>
      </c>
      <c r="BS75">
        <v>0</v>
      </c>
      <c r="BT75">
        <v>0</v>
      </c>
      <c r="BU75">
        <v>0</v>
      </c>
      <c r="BV75">
        <v>2</v>
      </c>
      <c r="BW75">
        <v>0</v>
      </c>
      <c r="BX75">
        <v>0</v>
      </c>
      <c r="BY75">
        <v>0</v>
      </c>
      <c r="BZ75">
        <v>0</v>
      </c>
      <c r="CA75">
        <v>0</v>
      </c>
      <c r="CB75">
        <v>0</v>
      </c>
    </row>
    <row r="76" spans="55:80" x14ac:dyDescent="0.25">
      <c r="BC76">
        <v>20</v>
      </c>
      <c r="BD76">
        <v>0</v>
      </c>
      <c r="BE76">
        <v>0</v>
      </c>
      <c r="BF76">
        <v>0</v>
      </c>
      <c r="BG76">
        <v>0</v>
      </c>
      <c r="BH76">
        <v>0</v>
      </c>
      <c r="BI76">
        <v>1</v>
      </c>
      <c r="BJ76">
        <v>0</v>
      </c>
      <c r="BK76">
        <v>0</v>
      </c>
      <c r="BL76">
        <v>0</v>
      </c>
      <c r="BM76">
        <v>2</v>
      </c>
      <c r="BN76">
        <v>0</v>
      </c>
      <c r="BO76">
        <v>0</v>
      </c>
      <c r="BP76">
        <v>0</v>
      </c>
      <c r="BQ76">
        <v>0</v>
      </c>
      <c r="BR76">
        <v>0</v>
      </c>
      <c r="BS76">
        <v>0</v>
      </c>
      <c r="BT76">
        <v>0</v>
      </c>
      <c r="BU76">
        <v>0</v>
      </c>
      <c r="BV76">
        <v>0</v>
      </c>
      <c r="BW76">
        <v>12</v>
      </c>
      <c r="BX76">
        <v>4</v>
      </c>
      <c r="BY76">
        <v>0</v>
      </c>
      <c r="BZ76">
        <v>0</v>
      </c>
      <c r="CA76">
        <v>0</v>
      </c>
      <c r="CB76">
        <v>0</v>
      </c>
    </row>
    <row r="77" spans="55:80" x14ac:dyDescent="0.25">
      <c r="BC77">
        <v>21</v>
      </c>
      <c r="BD77">
        <v>0</v>
      </c>
      <c r="BE77">
        <v>0</v>
      </c>
      <c r="BF77">
        <v>0</v>
      </c>
      <c r="BG77">
        <v>0</v>
      </c>
      <c r="BH77">
        <v>0</v>
      </c>
      <c r="BI77">
        <v>0</v>
      </c>
      <c r="BJ77">
        <v>0</v>
      </c>
      <c r="BK77">
        <v>0</v>
      </c>
      <c r="BL77">
        <v>2</v>
      </c>
      <c r="BM77">
        <v>0</v>
      </c>
      <c r="BN77">
        <v>0</v>
      </c>
      <c r="BO77">
        <v>0</v>
      </c>
      <c r="BP77">
        <v>0</v>
      </c>
      <c r="BQ77">
        <v>0</v>
      </c>
      <c r="BR77">
        <v>0</v>
      </c>
      <c r="BS77">
        <v>0</v>
      </c>
      <c r="BT77">
        <v>0</v>
      </c>
      <c r="BU77">
        <v>0</v>
      </c>
      <c r="BV77">
        <v>0</v>
      </c>
      <c r="BW77">
        <v>9</v>
      </c>
      <c r="BX77">
        <v>30</v>
      </c>
      <c r="BY77">
        <v>0</v>
      </c>
      <c r="BZ77">
        <v>0</v>
      </c>
      <c r="CA77">
        <v>0</v>
      </c>
      <c r="CB77">
        <v>0</v>
      </c>
    </row>
    <row r="78" spans="55:80" x14ac:dyDescent="0.25">
      <c r="BC78">
        <v>22</v>
      </c>
      <c r="BD78">
        <v>0</v>
      </c>
      <c r="BE78">
        <v>0</v>
      </c>
      <c r="BF78">
        <v>0</v>
      </c>
      <c r="BG78">
        <v>0</v>
      </c>
      <c r="BH78">
        <v>0</v>
      </c>
      <c r="BI78">
        <v>0</v>
      </c>
      <c r="BJ78">
        <v>0</v>
      </c>
      <c r="BK78">
        <v>0</v>
      </c>
      <c r="BL78">
        <v>0</v>
      </c>
      <c r="BM78">
        <v>0</v>
      </c>
      <c r="BN78">
        <v>6</v>
      </c>
      <c r="BO78">
        <v>0</v>
      </c>
      <c r="BP78">
        <v>0</v>
      </c>
      <c r="BQ78">
        <v>0</v>
      </c>
      <c r="BR78">
        <v>0</v>
      </c>
      <c r="BS78">
        <v>0</v>
      </c>
      <c r="BT78">
        <v>0</v>
      </c>
      <c r="BU78">
        <v>0</v>
      </c>
      <c r="BV78">
        <v>0</v>
      </c>
      <c r="BW78">
        <v>1</v>
      </c>
      <c r="BX78">
        <v>0</v>
      </c>
      <c r="BY78">
        <v>14</v>
      </c>
      <c r="BZ78">
        <v>0</v>
      </c>
      <c r="CA78">
        <v>0</v>
      </c>
      <c r="CB78">
        <v>0</v>
      </c>
    </row>
    <row r="79" spans="55:80" x14ac:dyDescent="0.25">
      <c r="BC79">
        <v>23</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8</v>
      </c>
      <c r="CA79">
        <v>0</v>
      </c>
      <c r="CB79">
        <v>0</v>
      </c>
    </row>
    <row r="80" spans="55:80" x14ac:dyDescent="0.25">
      <c r="BC80">
        <v>24</v>
      </c>
      <c r="BD80">
        <v>2</v>
      </c>
      <c r="BE80">
        <v>0</v>
      </c>
      <c r="BF80">
        <v>0</v>
      </c>
      <c r="BG80">
        <v>0</v>
      </c>
      <c r="BH80">
        <v>0</v>
      </c>
      <c r="BI80">
        <v>0</v>
      </c>
      <c r="BJ80">
        <v>0</v>
      </c>
      <c r="BK80">
        <v>0</v>
      </c>
      <c r="BL80">
        <v>0</v>
      </c>
      <c r="BM80">
        <v>0</v>
      </c>
      <c r="BN80">
        <v>0</v>
      </c>
      <c r="BO80">
        <v>0</v>
      </c>
      <c r="BP80">
        <v>3</v>
      </c>
      <c r="BQ80">
        <v>0</v>
      </c>
      <c r="BR80">
        <v>0</v>
      </c>
      <c r="BS80">
        <v>0</v>
      </c>
      <c r="BT80">
        <v>0</v>
      </c>
      <c r="BU80">
        <v>0</v>
      </c>
      <c r="BV80">
        <v>0</v>
      </c>
      <c r="BW80">
        <v>0</v>
      </c>
      <c r="BX80">
        <v>0</v>
      </c>
      <c r="BY80">
        <v>0</v>
      </c>
      <c r="BZ80">
        <v>2</v>
      </c>
      <c r="CA80">
        <v>14</v>
      </c>
      <c r="CB80">
        <v>0</v>
      </c>
    </row>
    <row r="81" spans="55:80" x14ac:dyDescent="0.25">
      <c r="BC81">
        <v>25</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22</v>
      </c>
    </row>
    <row r="83" spans="55:80" x14ac:dyDescent="0.25">
      <c r="BD83">
        <v>1</v>
      </c>
      <c r="BE83">
        <v>2</v>
      </c>
      <c r="BF83">
        <v>3</v>
      </c>
      <c r="BG83">
        <v>4</v>
      </c>
      <c r="BH83">
        <v>5</v>
      </c>
      <c r="BI83">
        <v>6</v>
      </c>
      <c r="BJ83">
        <v>7</v>
      </c>
      <c r="BK83">
        <v>8</v>
      </c>
      <c r="BL83">
        <v>10</v>
      </c>
      <c r="BM83">
        <v>11</v>
      </c>
      <c r="BN83">
        <v>12</v>
      </c>
      <c r="BO83">
        <v>13</v>
      </c>
      <c r="BP83">
        <v>14</v>
      </c>
      <c r="BQ83">
        <v>15</v>
      </c>
      <c r="BR83">
        <v>16</v>
      </c>
      <c r="BS83">
        <v>17</v>
      </c>
      <c r="BT83">
        <v>18</v>
      </c>
      <c r="BU83">
        <v>18</v>
      </c>
      <c r="BV83">
        <v>19</v>
      </c>
      <c r="BW83">
        <v>20</v>
      </c>
      <c r="BX83">
        <v>21</v>
      </c>
      <c r="BY83">
        <v>22</v>
      </c>
      <c r="BZ83">
        <v>23</v>
      </c>
      <c r="CA83">
        <v>24</v>
      </c>
      <c r="CB83">
        <v>25</v>
      </c>
    </row>
    <row r="84" spans="55:80" x14ac:dyDescent="0.25">
      <c r="BC84">
        <v>1</v>
      </c>
      <c r="BD84">
        <v>16</v>
      </c>
      <c r="BE84">
        <v>2</v>
      </c>
      <c r="BF84">
        <v>0</v>
      </c>
      <c r="BG84">
        <v>0</v>
      </c>
      <c r="BH84">
        <v>0</v>
      </c>
      <c r="BI84">
        <v>0</v>
      </c>
      <c r="BJ84">
        <v>2</v>
      </c>
      <c r="BK84">
        <v>2</v>
      </c>
      <c r="BL84">
        <v>0</v>
      </c>
      <c r="BM84">
        <v>0</v>
      </c>
      <c r="BN84">
        <v>0</v>
      </c>
      <c r="BO84">
        <v>0</v>
      </c>
      <c r="BP84">
        <v>0</v>
      </c>
      <c r="BQ84">
        <v>0</v>
      </c>
      <c r="BR84">
        <v>0</v>
      </c>
      <c r="BS84">
        <v>0</v>
      </c>
      <c r="BT84">
        <v>0</v>
      </c>
      <c r="BU84">
        <v>0</v>
      </c>
      <c r="BV84">
        <v>0</v>
      </c>
      <c r="BW84">
        <v>0</v>
      </c>
      <c r="BX84">
        <v>0</v>
      </c>
      <c r="BY84">
        <v>0</v>
      </c>
      <c r="BZ84">
        <v>0</v>
      </c>
      <c r="CA84">
        <v>0</v>
      </c>
      <c r="CB84">
        <v>0</v>
      </c>
    </row>
    <row r="85" spans="55:80" x14ac:dyDescent="0.25">
      <c r="BC85">
        <v>2</v>
      </c>
      <c r="BD85">
        <v>26</v>
      </c>
      <c r="BE85">
        <v>22</v>
      </c>
      <c r="BF85">
        <v>2</v>
      </c>
      <c r="BG85">
        <v>2</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row>
    <row r="86" spans="55:80" x14ac:dyDescent="0.25">
      <c r="BC86">
        <v>3</v>
      </c>
      <c r="BD86">
        <v>12</v>
      </c>
      <c r="BE86">
        <v>2</v>
      </c>
      <c r="BF86">
        <v>16</v>
      </c>
      <c r="BG86">
        <v>6</v>
      </c>
      <c r="BH86">
        <v>0</v>
      </c>
      <c r="BI86">
        <v>0</v>
      </c>
      <c r="BJ86">
        <v>0</v>
      </c>
      <c r="BK86">
        <v>0</v>
      </c>
      <c r="BL86">
        <v>2</v>
      </c>
      <c r="BM86">
        <v>0</v>
      </c>
      <c r="BN86">
        <v>0</v>
      </c>
      <c r="BO86">
        <v>0</v>
      </c>
      <c r="BP86">
        <v>0</v>
      </c>
      <c r="BQ86">
        <v>0</v>
      </c>
      <c r="BR86">
        <v>0</v>
      </c>
      <c r="BS86">
        <v>0</v>
      </c>
      <c r="BT86">
        <v>0</v>
      </c>
      <c r="BU86">
        <v>0</v>
      </c>
      <c r="BV86">
        <v>0</v>
      </c>
      <c r="BW86">
        <v>0</v>
      </c>
      <c r="BX86">
        <v>0</v>
      </c>
      <c r="BY86">
        <v>0</v>
      </c>
      <c r="BZ86">
        <v>0</v>
      </c>
      <c r="CA86">
        <v>0</v>
      </c>
      <c r="CB86">
        <v>0</v>
      </c>
    </row>
    <row r="87" spans="55:80" x14ac:dyDescent="0.25">
      <c r="BC87">
        <v>4</v>
      </c>
      <c r="BD87">
        <v>6</v>
      </c>
      <c r="BE87">
        <v>2</v>
      </c>
      <c r="BF87">
        <v>4</v>
      </c>
      <c r="BG87">
        <v>0</v>
      </c>
      <c r="BH87">
        <v>2</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row>
    <row r="88" spans="55:80" x14ac:dyDescent="0.25">
      <c r="BC88">
        <v>5</v>
      </c>
      <c r="BD88">
        <v>18</v>
      </c>
      <c r="BE88">
        <v>0</v>
      </c>
      <c r="BF88">
        <v>0</v>
      </c>
      <c r="BG88">
        <v>0</v>
      </c>
      <c r="BH88">
        <v>10</v>
      </c>
      <c r="BI88">
        <v>2</v>
      </c>
      <c r="BJ88">
        <v>2</v>
      </c>
      <c r="BK88">
        <v>2</v>
      </c>
      <c r="BL88">
        <v>0</v>
      </c>
      <c r="BM88">
        <v>0</v>
      </c>
      <c r="BN88">
        <v>0</v>
      </c>
      <c r="BO88">
        <v>0</v>
      </c>
      <c r="BP88">
        <v>0</v>
      </c>
      <c r="BQ88">
        <v>0</v>
      </c>
      <c r="BR88">
        <v>0</v>
      </c>
      <c r="BS88">
        <v>0</v>
      </c>
      <c r="BT88">
        <v>0</v>
      </c>
      <c r="BU88">
        <v>0</v>
      </c>
      <c r="BV88">
        <v>0</v>
      </c>
      <c r="BW88">
        <v>0</v>
      </c>
      <c r="BX88">
        <v>0</v>
      </c>
      <c r="BY88">
        <v>0</v>
      </c>
      <c r="BZ88">
        <v>0</v>
      </c>
      <c r="CA88">
        <v>0</v>
      </c>
      <c r="CB88">
        <v>0</v>
      </c>
    </row>
    <row r="89" spans="55:80" x14ac:dyDescent="0.25">
      <c r="BC89">
        <v>6</v>
      </c>
      <c r="BD89">
        <v>10</v>
      </c>
      <c r="BE89">
        <v>0</v>
      </c>
      <c r="BF89">
        <v>0</v>
      </c>
      <c r="BG89">
        <v>2</v>
      </c>
      <c r="BH89">
        <v>2</v>
      </c>
      <c r="BI89">
        <v>4</v>
      </c>
      <c r="BJ89">
        <v>0</v>
      </c>
      <c r="BK89">
        <v>0</v>
      </c>
      <c r="BL89">
        <v>0</v>
      </c>
      <c r="BM89">
        <v>0</v>
      </c>
      <c r="BN89">
        <v>0</v>
      </c>
      <c r="BO89">
        <v>0</v>
      </c>
      <c r="BP89">
        <v>0</v>
      </c>
      <c r="BQ89">
        <v>0</v>
      </c>
      <c r="BR89">
        <v>0</v>
      </c>
      <c r="BS89">
        <v>0</v>
      </c>
      <c r="BT89">
        <v>0</v>
      </c>
      <c r="BU89">
        <v>0</v>
      </c>
      <c r="BV89">
        <v>0</v>
      </c>
      <c r="BW89">
        <v>0</v>
      </c>
      <c r="BX89">
        <v>0</v>
      </c>
      <c r="BY89">
        <v>0</v>
      </c>
      <c r="BZ89">
        <v>0</v>
      </c>
      <c r="CA89">
        <v>0</v>
      </c>
      <c r="CB89">
        <v>0</v>
      </c>
    </row>
    <row r="90" spans="55:80" x14ac:dyDescent="0.25">
      <c r="BC90">
        <v>7</v>
      </c>
      <c r="BD90">
        <v>10</v>
      </c>
      <c r="BE90">
        <v>2</v>
      </c>
      <c r="BF90">
        <v>0</v>
      </c>
      <c r="BG90">
        <v>0</v>
      </c>
      <c r="BH90">
        <v>0</v>
      </c>
      <c r="BI90">
        <v>0</v>
      </c>
      <c r="BJ90">
        <v>14</v>
      </c>
      <c r="BK90">
        <v>2</v>
      </c>
      <c r="BL90">
        <v>0</v>
      </c>
      <c r="BM90">
        <v>0</v>
      </c>
      <c r="BN90">
        <v>0</v>
      </c>
      <c r="BO90">
        <v>0</v>
      </c>
      <c r="BP90">
        <v>0</v>
      </c>
      <c r="BQ90">
        <v>0</v>
      </c>
      <c r="BR90">
        <v>0</v>
      </c>
      <c r="BS90">
        <v>0</v>
      </c>
      <c r="BT90">
        <v>0</v>
      </c>
      <c r="BU90">
        <v>0</v>
      </c>
      <c r="BV90">
        <v>0</v>
      </c>
      <c r="BW90">
        <v>0</v>
      </c>
      <c r="BX90">
        <v>0</v>
      </c>
      <c r="BY90">
        <v>0</v>
      </c>
      <c r="BZ90">
        <v>0</v>
      </c>
      <c r="CA90">
        <v>0</v>
      </c>
      <c r="CB90">
        <v>0</v>
      </c>
    </row>
    <row r="91" spans="55:80" x14ac:dyDescent="0.25">
      <c r="BC91">
        <v>8</v>
      </c>
      <c r="BD91">
        <v>12</v>
      </c>
      <c r="BE91">
        <v>0</v>
      </c>
      <c r="BF91">
        <v>0</v>
      </c>
      <c r="BG91">
        <v>0</v>
      </c>
      <c r="BH91">
        <v>0</v>
      </c>
      <c r="BI91">
        <v>4</v>
      </c>
      <c r="BJ91">
        <v>16</v>
      </c>
      <c r="BK91">
        <v>24</v>
      </c>
      <c r="BL91">
        <v>0</v>
      </c>
      <c r="BM91">
        <v>0</v>
      </c>
      <c r="BN91">
        <v>0</v>
      </c>
      <c r="BO91">
        <v>0</v>
      </c>
      <c r="BP91">
        <v>0</v>
      </c>
      <c r="BQ91">
        <v>0</v>
      </c>
      <c r="BR91">
        <v>0</v>
      </c>
      <c r="BS91">
        <v>0</v>
      </c>
      <c r="BT91">
        <v>0</v>
      </c>
      <c r="BU91">
        <v>2</v>
      </c>
      <c r="BV91">
        <v>0</v>
      </c>
      <c r="BW91">
        <v>0</v>
      </c>
      <c r="BX91">
        <v>0</v>
      </c>
      <c r="BY91">
        <v>0</v>
      </c>
      <c r="BZ91">
        <v>0</v>
      </c>
      <c r="CA91">
        <v>0</v>
      </c>
      <c r="CB91">
        <v>2</v>
      </c>
    </row>
    <row r="92" spans="55:80" x14ac:dyDescent="0.25">
      <c r="BC92">
        <v>9</v>
      </c>
      <c r="BD92">
        <v>0</v>
      </c>
      <c r="BE92">
        <v>2</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row>
    <row r="93" spans="55:80" x14ac:dyDescent="0.25">
      <c r="BC93">
        <v>10</v>
      </c>
      <c r="BD93">
        <v>0</v>
      </c>
      <c r="BE93">
        <v>0</v>
      </c>
      <c r="BF93">
        <v>2</v>
      </c>
      <c r="BG93">
        <v>0</v>
      </c>
      <c r="BH93">
        <v>0</v>
      </c>
      <c r="BI93">
        <v>0</v>
      </c>
      <c r="BJ93">
        <v>0</v>
      </c>
      <c r="BK93">
        <v>0</v>
      </c>
      <c r="BL93">
        <v>6</v>
      </c>
      <c r="BM93">
        <v>2</v>
      </c>
      <c r="BN93">
        <v>0</v>
      </c>
      <c r="BO93">
        <v>0</v>
      </c>
      <c r="BP93">
        <v>0</v>
      </c>
      <c r="BQ93">
        <v>0</v>
      </c>
      <c r="BR93">
        <v>0</v>
      </c>
      <c r="BS93">
        <v>0</v>
      </c>
      <c r="BT93">
        <v>0</v>
      </c>
      <c r="BU93">
        <v>0</v>
      </c>
      <c r="BV93">
        <v>0</v>
      </c>
      <c r="BW93">
        <v>0</v>
      </c>
      <c r="BX93">
        <v>0</v>
      </c>
      <c r="BY93">
        <v>0</v>
      </c>
      <c r="BZ93">
        <v>0</v>
      </c>
      <c r="CA93">
        <v>0</v>
      </c>
      <c r="CB93">
        <v>0</v>
      </c>
    </row>
    <row r="94" spans="55:80" x14ac:dyDescent="0.25">
      <c r="BC94">
        <v>11</v>
      </c>
      <c r="BD94">
        <v>2</v>
      </c>
      <c r="BE94">
        <v>0</v>
      </c>
      <c r="BF94">
        <v>0</v>
      </c>
      <c r="BG94">
        <v>0</v>
      </c>
      <c r="BH94">
        <v>0</v>
      </c>
      <c r="BI94">
        <v>0</v>
      </c>
      <c r="BJ94">
        <v>0</v>
      </c>
      <c r="BK94">
        <v>2</v>
      </c>
      <c r="BL94">
        <v>0</v>
      </c>
      <c r="BM94">
        <v>10</v>
      </c>
      <c r="BN94">
        <v>0</v>
      </c>
      <c r="BO94">
        <v>0</v>
      </c>
      <c r="BP94">
        <v>0</v>
      </c>
      <c r="BQ94">
        <v>0</v>
      </c>
      <c r="BR94">
        <v>0</v>
      </c>
      <c r="BS94">
        <v>0</v>
      </c>
      <c r="BT94">
        <v>0</v>
      </c>
      <c r="BU94">
        <v>0</v>
      </c>
      <c r="BV94">
        <v>0</v>
      </c>
      <c r="BW94">
        <v>0</v>
      </c>
      <c r="BX94">
        <v>0</v>
      </c>
      <c r="BY94">
        <v>0</v>
      </c>
      <c r="BZ94">
        <v>0</v>
      </c>
      <c r="CA94">
        <v>0</v>
      </c>
      <c r="CB94">
        <v>0</v>
      </c>
    </row>
    <row r="95" spans="55:80" x14ac:dyDescent="0.25">
      <c r="BC95">
        <v>13</v>
      </c>
      <c r="BD95">
        <v>0</v>
      </c>
      <c r="BE95">
        <v>0</v>
      </c>
      <c r="BF95">
        <v>0</v>
      </c>
      <c r="BG95">
        <v>0</v>
      </c>
      <c r="BH95">
        <v>0</v>
      </c>
      <c r="BI95">
        <v>2</v>
      </c>
      <c r="BJ95">
        <v>0</v>
      </c>
      <c r="BK95">
        <v>0</v>
      </c>
      <c r="BL95">
        <v>0</v>
      </c>
      <c r="BM95">
        <v>0</v>
      </c>
      <c r="BN95">
        <v>0</v>
      </c>
      <c r="BO95">
        <v>2</v>
      </c>
      <c r="BP95">
        <v>0</v>
      </c>
      <c r="BQ95">
        <v>0</v>
      </c>
      <c r="BR95">
        <v>0</v>
      </c>
      <c r="BS95">
        <v>0</v>
      </c>
      <c r="BT95">
        <v>0</v>
      </c>
      <c r="BU95">
        <v>0</v>
      </c>
      <c r="BV95">
        <v>0</v>
      </c>
      <c r="BW95">
        <v>0</v>
      </c>
      <c r="BX95">
        <v>0</v>
      </c>
      <c r="BY95">
        <v>0</v>
      </c>
      <c r="BZ95">
        <v>0</v>
      </c>
      <c r="CA95">
        <v>0</v>
      </c>
      <c r="CB95">
        <v>0</v>
      </c>
    </row>
    <row r="96" spans="55:80" x14ac:dyDescent="0.25">
      <c r="BC96">
        <v>14</v>
      </c>
      <c r="BD96">
        <v>2</v>
      </c>
      <c r="BE96">
        <v>0</v>
      </c>
      <c r="BF96">
        <v>0</v>
      </c>
      <c r="BG96">
        <v>0</v>
      </c>
      <c r="BH96">
        <v>0</v>
      </c>
      <c r="BI96">
        <v>0</v>
      </c>
      <c r="BJ96">
        <v>2</v>
      </c>
      <c r="BK96">
        <v>0</v>
      </c>
      <c r="BL96">
        <v>0</v>
      </c>
      <c r="BM96">
        <v>0</v>
      </c>
      <c r="BN96">
        <v>2</v>
      </c>
      <c r="BO96">
        <v>0</v>
      </c>
      <c r="BP96">
        <v>2</v>
      </c>
      <c r="BQ96">
        <v>0</v>
      </c>
      <c r="BR96">
        <v>0</v>
      </c>
      <c r="BS96">
        <v>0</v>
      </c>
      <c r="BT96">
        <v>0</v>
      </c>
      <c r="BU96">
        <v>0</v>
      </c>
      <c r="BV96">
        <v>0</v>
      </c>
      <c r="BW96">
        <v>0</v>
      </c>
      <c r="BX96">
        <v>0</v>
      </c>
      <c r="BY96">
        <v>0</v>
      </c>
      <c r="BZ96">
        <v>0</v>
      </c>
      <c r="CA96">
        <v>0</v>
      </c>
      <c r="CB96">
        <v>0</v>
      </c>
    </row>
    <row r="97" spans="55:80" x14ac:dyDescent="0.25">
      <c r="BC97">
        <v>15</v>
      </c>
      <c r="BD97">
        <v>0</v>
      </c>
      <c r="BE97">
        <v>0</v>
      </c>
      <c r="BF97">
        <v>0</v>
      </c>
      <c r="BG97">
        <v>0</v>
      </c>
      <c r="BH97">
        <v>0</v>
      </c>
      <c r="BI97">
        <v>0</v>
      </c>
      <c r="BJ97">
        <v>0</v>
      </c>
      <c r="BK97">
        <v>0</v>
      </c>
      <c r="BL97">
        <v>0</v>
      </c>
      <c r="BM97">
        <v>0</v>
      </c>
      <c r="BN97">
        <v>0</v>
      </c>
      <c r="BO97">
        <v>0</v>
      </c>
      <c r="BP97">
        <v>2</v>
      </c>
      <c r="BQ97">
        <v>8</v>
      </c>
      <c r="BR97">
        <v>0</v>
      </c>
      <c r="BS97">
        <v>0</v>
      </c>
      <c r="BT97">
        <v>0</v>
      </c>
      <c r="BU97">
        <v>0</v>
      </c>
      <c r="BV97">
        <v>0</v>
      </c>
      <c r="BW97">
        <v>0</v>
      </c>
      <c r="BX97">
        <v>0</v>
      </c>
      <c r="BY97">
        <v>0</v>
      </c>
      <c r="BZ97">
        <v>0</v>
      </c>
      <c r="CA97">
        <v>0</v>
      </c>
      <c r="CB97">
        <v>0</v>
      </c>
    </row>
    <row r="98" spans="55:80" x14ac:dyDescent="0.25">
      <c r="BC98">
        <v>16</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row>
    <row r="99" spans="55:80" x14ac:dyDescent="0.25">
      <c r="BC99">
        <v>17</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row>
    <row r="100" spans="55:80" x14ac:dyDescent="0.25">
      <c r="BC100">
        <v>18</v>
      </c>
      <c r="BD100">
        <v>0</v>
      </c>
      <c r="BE100">
        <v>0</v>
      </c>
      <c r="BF100">
        <v>0</v>
      </c>
      <c r="BG100">
        <v>0</v>
      </c>
      <c r="BH100">
        <v>0</v>
      </c>
      <c r="BI100">
        <v>0</v>
      </c>
      <c r="BJ100">
        <v>0</v>
      </c>
      <c r="BK100">
        <v>4</v>
      </c>
      <c r="BL100">
        <v>0</v>
      </c>
      <c r="BM100">
        <v>0</v>
      </c>
      <c r="BN100">
        <v>0</v>
      </c>
      <c r="BO100">
        <v>0</v>
      </c>
      <c r="BP100">
        <v>0</v>
      </c>
      <c r="BQ100">
        <v>0</v>
      </c>
      <c r="BR100">
        <v>0</v>
      </c>
      <c r="BS100">
        <v>0</v>
      </c>
      <c r="BT100">
        <v>0</v>
      </c>
      <c r="BU100">
        <v>0</v>
      </c>
      <c r="BV100">
        <v>0</v>
      </c>
      <c r="BW100">
        <v>0</v>
      </c>
      <c r="BX100">
        <v>0</v>
      </c>
      <c r="BY100">
        <v>0</v>
      </c>
      <c r="BZ100">
        <v>0</v>
      </c>
      <c r="CA100">
        <v>0</v>
      </c>
      <c r="CB100">
        <v>0</v>
      </c>
    </row>
    <row r="101" spans="55:80" x14ac:dyDescent="0.25">
      <c r="BC101">
        <v>20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2</v>
      </c>
      <c r="BX101">
        <v>0</v>
      </c>
      <c r="BY101">
        <v>0</v>
      </c>
      <c r="BZ101">
        <v>0</v>
      </c>
      <c r="CA101">
        <v>0</v>
      </c>
      <c r="CB101">
        <v>0</v>
      </c>
    </row>
    <row r="102" spans="55:80" x14ac:dyDescent="0.25">
      <c r="BC102">
        <v>21</v>
      </c>
      <c r="BD102">
        <v>0</v>
      </c>
      <c r="BE102">
        <v>2</v>
      </c>
      <c r="BF102">
        <v>0</v>
      </c>
      <c r="BG102">
        <v>0</v>
      </c>
      <c r="BH102">
        <v>0</v>
      </c>
      <c r="BI102">
        <v>0</v>
      </c>
      <c r="BJ102">
        <v>0</v>
      </c>
      <c r="BK102">
        <v>0</v>
      </c>
      <c r="BL102">
        <v>0</v>
      </c>
      <c r="BM102">
        <v>0</v>
      </c>
      <c r="BN102">
        <v>0</v>
      </c>
      <c r="BO102">
        <v>0</v>
      </c>
      <c r="BP102">
        <v>0</v>
      </c>
      <c r="BQ102">
        <v>0</v>
      </c>
      <c r="BR102">
        <v>0</v>
      </c>
      <c r="BS102">
        <v>0</v>
      </c>
      <c r="BT102">
        <v>0</v>
      </c>
      <c r="BU102">
        <v>0</v>
      </c>
      <c r="BV102">
        <v>0</v>
      </c>
      <c r="BW102">
        <v>2</v>
      </c>
      <c r="BX102">
        <v>6</v>
      </c>
      <c r="BY102">
        <v>0</v>
      </c>
      <c r="BZ102">
        <v>0</v>
      </c>
      <c r="CA102">
        <v>0</v>
      </c>
      <c r="CB102">
        <v>0</v>
      </c>
    </row>
    <row r="103" spans="55:80" x14ac:dyDescent="0.25">
      <c r="BC103">
        <v>23</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2</v>
      </c>
      <c r="BZ103">
        <v>4</v>
      </c>
      <c r="CA103">
        <v>0</v>
      </c>
      <c r="CB103">
        <v>0</v>
      </c>
    </row>
    <row r="104" spans="55:80" x14ac:dyDescent="0.25">
      <c r="BC104">
        <v>24</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2</v>
      </c>
      <c r="CA104">
        <v>2</v>
      </c>
      <c r="CB104">
        <v>0</v>
      </c>
    </row>
    <row r="105" spans="55:80" x14ac:dyDescent="0.25">
      <c r="BC105">
        <v>25</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4</v>
      </c>
    </row>
  </sheetData>
  <pageMargins left="0.7" right="0.7" top="0.75" bottom="0.75" header="0.3" footer="0.3"/>
  <pageSetup paperSize="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V107"/>
  <sheetViews>
    <sheetView topLeftCell="W46" workbookViewId="0">
      <selection activeCell="Z75" sqref="Z75"/>
    </sheetView>
  </sheetViews>
  <sheetFormatPr defaultRowHeight="15" x14ac:dyDescent="0.25"/>
  <sheetData>
    <row r="1" spans="1:50" x14ac:dyDescent="0.25">
      <c r="A1" t="s">
        <v>7</v>
      </c>
      <c r="Y1" t="s">
        <v>3</v>
      </c>
    </row>
    <row r="2" spans="1:50" x14ac:dyDescent="0.25">
      <c r="A2" t="s">
        <v>518</v>
      </c>
      <c r="Y2" t="s">
        <v>518</v>
      </c>
    </row>
    <row r="3" spans="1:50" x14ac:dyDescent="0.25">
      <c r="A3">
        <v>1</v>
      </c>
      <c r="B3" t="s">
        <v>519</v>
      </c>
      <c r="Y3">
        <v>1</v>
      </c>
      <c r="Z3" t="s">
        <v>519</v>
      </c>
    </row>
    <row r="4" spans="1:50" x14ac:dyDescent="0.25">
      <c r="B4">
        <v>1</v>
      </c>
      <c r="C4">
        <v>2</v>
      </c>
      <c r="D4">
        <v>3</v>
      </c>
      <c r="E4">
        <v>4</v>
      </c>
      <c r="F4">
        <v>5</v>
      </c>
      <c r="G4">
        <v>6</v>
      </c>
      <c r="H4">
        <v>7</v>
      </c>
      <c r="I4">
        <v>8</v>
      </c>
      <c r="J4">
        <v>9</v>
      </c>
      <c r="K4">
        <v>10</v>
      </c>
      <c r="L4">
        <v>11</v>
      </c>
      <c r="M4">
        <v>12</v>
      </c>
      <c r="N4">
        <v>13</v>
      </c>
      <c r="O4">
        <v>14</v>
      </c>
      <c r="P4">
        <v>15</v>
      </c>
      <c r="Q4">
        <v>18</v>
      </c>
      <c r="R4">
        <v>20</v>
      </c>
      <c r="S4">
        <v>21</v>
      </c>
      <c r="T4">
        <v>22</v>
      </c>
      <c r="U4">
        <v>23</v>
      </c>
      <c r="V4">
        <v>24</v>
      </c>
      <c r="W4">
        <v>25</v>
      </c>
      <c r="Y4">
        <v>1</v>
      </c>
      <c r="Z4">
        <v>2</v>
      </c>
      <c r="AA4">
        <v>3</v>
      </c>
      <c r="AB4">
        <v>4</v>
      </c>
      <c r="AC4">
        <v>5</v>
      </c>
      <c r="AD4">
        <v>6</v>
      </c>
      <c r="AE4">
        <v>7</v>
      </c>
      <c r="AF4">
        <v>8</v>
      </c>
      <c r="AG4">
        <v>9</v>
      </c>
      <c r="AH4">
        <v>10</v>
      </c>
      <c r="AI4">
        <v>11</v>
      </c>
      <c r="AJ4">
        <v>12</v>
      </c>
      <c r="AK4">
        <v>13</v>
      </c>
      <c r="AL4">
        <v>14</v>
      </c>
      <c r="AM4">
        <v>15</v>
      </c>
      <c r="AN4">
        <v>16</v>
      </c>
      <c r="AP4">
        <v>18</v>
      </c>
      <c r="AR4">
        <v>19</v>
      </c>
      <c r="AS4">
        <v>20</v>
      </c>
      <c r="AT4">
        <v>21</v>
      </c>
      <c r="AU4">
        <v>22</v>
      </c>
      <c r="AV4">
        <v>23</v>
      </c>
      <c r="AW4">
        <v>24</v>
      </c>
      <c r="AX4">
        <v>25</v>
      </c>
    </row>
    <row r="5" spans="1:50" x14ac:dyDescent="0.25">
      <c r="A5">
        <v>1</v>
      </c>
      <c r="B5">
        <v>104523.95982</v>
      </c>
      <c r="C5">
        <v>124621.17448</v>
      </c>
      <c r="D5">
        <v>21057.676019999999</v>
      </c>
      <c r="E5">
        <v>6114.9969300000002</v>
      </c>
      <c r="F5">
        <v>19492.609540000001</v>
      </c>
      <c r="G5">
        <v>13690.43339</v>
      </c>
      <c r="H5">
        <v>12929.127339999999</v>
      </c>
      <c r="I5">
        <v>40201.803950000001</v>
      </c>
      <c r="J5">
        <v>10649.52886</v>
      </c>
      <c r="K5">
        <v>8090.3030500000004</v>
      </c>
      <c r="L5">
        <v>10447.954309999999</v>
      </c>
      <c r="M5">
        <v>11946.94</v>
      </c>
      <c r="N5">
        <v>36008.694689999997</v>
      </c>
      <c r="O5">
        <v>12487.11218</v>
      </c>
      <c r="P5">
        <v>10577.93166</v>
      </c>
      <c r="Q5">
        <v>139.98264</v>
      </c>
      <c r="R5">
        <v>14528.166929999999</v>
      </c>
      <c r="S5">
        <v>10987.107480000001</v>
      </c>
      <c r="T5">
        <v>1051.2599700000001</v>
      </c>
      <c r="U5">
        <v>907.54295999999999</v>
      </c>
      <c r="V5">
        <v>3084.3863700000002</v>
      </c>
      <c r="W5">
        <v>11365.98429</v>
      </c>
      <c r="Y5">
        <v>1</v>
      </c>
      <c r="Z5" s="30">
        <v>37813</v>
      </c>
      <c r="AA5" s="31">
        <v>7800</v>
      </c>
      <c r="AB5" s="31">
        <v>2829</v>
      </c>
      <c r="AC5" s="31">
        <v>1598</v>
      </c>
      <c r="AD5" s="31">
        <v>1890</v>
      </c>
      <c r="AE5" s="31">
        <v>1455</v>
      </c>
      <c r="AF5" s="31">
        <v>1607</v>
      </c>
      <c r="AG5" s="31">
        <v>3177</v>
      </c>
      <c r="AH5" s="31">
        <v>46</v>
      </c>
      <c r="AI5" s="31">
        <v>20</v>
      </c>
      <c r="AJ5" s="31">
        <v>20</v>
      </c>
      <c r="AK5" s="31">
        <v>71</v>
      </c>
      <c r="AL5" s="31">
        <v>55</v>
      </c>
      <c r="AM5" s="31">
        <v>64</v>
      </c>
      <c r="AN5" s="31">
        <v>25</v>
      </c>
      <c r="AO5" s="31">
        <v>1</v>
      </c>
      <c r="AP5" s="31">
        <v>0</v>
      </c>
      <c r="AQ5" s="31">
        <v>3</v>
      </c>
      <c r="AR5" s="31">
        <v>0</v>
      </c>
      <c r="AS5" s="31">
        <v>5</v>
      </c>
      <c r="AT5" s="31">
        <v>11</v>
      </c>
      <c r="AU5" s="31">
        <v>0</v>
      </c>
      <c r="AV5" s="31">
        <v>0</v>
      </c>
      <c r="AW5" s="31">
        <v>4</v>
      </c>
      <c r="AX5" s="32">
        <v>3</v>
      </c>
    </row>
    <row r="6" spans="1:50" x14ac:dyDescent="0.25">
      <c r="A6">
        <v>2</v>
      </c>
      <c r="B6">
        <v>125221.80174</v>
      </c>
      <c r="C6">
        <v>82993.313609999997</v>
      </c>
      <c r="D6">
        <v>4623.9433399999998</v>
      </c>
      <c r="E6">
        <v>1046.81241</v>
      </c>
      <c r="F6">
        <v>431.56400000000002</v>
      </c>
      <c r="G6">
        <v>1123.1207199999999</v>
      </c>
      <c r="H6">
        <v>184.64464000000001</v>
      </c>
      <c r="I6">
        <v>7209.5327299999999</v>
      </c>
      <c r="J6">
        <v>1282.28449</v>
      </c>
      <c r="K6">
        <v>0</v>
      </c>
      <c r="L6">
        <v>0</v>
      </c>
      <c r="M6">
        <v>1617.1083100000001</v>
      </c>
      <c r="N6">
        <v>0</v>
      </c>
      <c r="O6">
        <v>0</v>
      </c>
      <c r="P6">
        <v>0</v>
      </c>
      <c r="Q6">
        <v>149.19650999999999</v>
      </c>
      <c r="R6">
        <v>655.39394000000004</v>
      </c>
      <c r="S6">
        <v>277.9597</v>
      </c>
      <c r="T6">
        <v>0</v>
      </c>
      <c r="U6">
        <v>0</v>
      </c>
      <c r="V6">
        <v>0</v>
      </c>
      <c r="W6">
        <v>0</v>
      </c>
      <c r="Y6">
        <v>2</v>
      </c>
      <c r="Z6" s="33">
        <v>17687</v>
      </c>
      <c r="AA6" s="34">
        <v>9152</v>
      </c>
      <c r="AB6" s="34">
        <v>1750</v>
      </c>
      <c r="AC6" s="34">
        <v>529</v>
      </c>
      <c r="AD6" s="34">
        <v>295</v>
      </c>
      <c r="AE6" s="34">
        <v>120</v>
      </c>
      <c r="AF6" s="34">
        <v>147</v>
      </c>
      <c r="AG6" s="34">
        <v>413</v>
      </c>
      <c r="AH6" s="34">
        <v>253</v>
      </c>
      <c r="AI6" s="34">
        <v>8</v>
      </c>
      <c r="AJ6" s="34">
        <v>8</v>
      </c>
      <c r="AK6" s="34">
        <v>3</v>
      </c>
      <c r="AL6" s="34">
        <v>5</v>
      </c>
      <c r="AM6" s="34">
        <v>2</v>
      </c>
      <c r="AN6" s="34">
        <v>0</v>
      </c>
      <c r="AO6" s="34">
        <v>0</v>
      </c>
      <c r="AP6" s="34">
        <v>0</v>
      </c>
      <c r="AQ6" s="34">
        <v>0</v>
      </c>
      <c r="AR6" s="34">
        <v>0</v>
      </c>
      <c r="AS6" s="34">
        <v>4</v>
      </c>
      <c r="AT6" s="34">
        <v>13</v>
      </c>
      <c r="AU6" s="34">
        <v>0</v>
      </c>
      <c r="AV6" s="34">
        <v>2</v>
      </c>
      <c r="AW6" s="34">
        <v>0</v>
      </c>
      <c r="AX6" s="35">
        <v>0</v>
      </c>
    </row>
    <row r="7" spans="1:50" x14ac:dyDescent="0.25">
      <c r="A7">
        <v>3</v>
      </c>
      <c r="B7">
        <v>23898.297439999998</v>
      </c>
      <c r="C7">
        <v>6329.3975099999998</v>
      </c>
      <c r="D7">
        <v>7154.2318699999996</v>
      </c>
      <c r="E7">
        <v>4092.1420400000002</v>
      </c>
      <c r="F7">
        <v>2186.9891899999998</v>
      </c>
      <c r="G7">
        <v>670.73897999999997</v>
      </c>
      <c r="H7">
        <v>229.59172000000001</v>
      </c>
      <c r="I7">
        <v>293.93002999999999</v>
      </c>
      <c r="J7">
        <v>0</v>
      </c>
      <c r="K7">
        <v>0</v>
      </c>
      <c r="L7">
        <v>3072.2866199999999</v>
      </c>
      <c r="M7">
        <v>0</v>
      </c>
      <c r="N7">
        <v>0</v>
      </c>
      <c r="O7">
        <v>0</v>
      </c>
      <c r="P7">
        <v>0</v>
      </c>
      <c r="Q7">
        <v>0</v>
      </c>
      <c r="R7">
        <v>593.85279000000003</v>
      </c>
      <c r="S7">
        <v>0</v>
      </c>
      <c r="T7">
        <v>0</v>
      </c>
      <c r="U7">
        <v>0</v>
      </c>
      <c r="V7">
        <v>0</v>
      </c>
      <c r="W7">
        <v>0</v>
      </c>
      <c r="Y7">
        <v>3</v>
      </c>
      <c r="Z7" s="33">
        <v>6630</v>
      </c>
      <c r="AA7" s="34">
        <v>1734</v>
      </c>
      <c r="AB7" s="34">
        <v>2558</v>
      </c>
      <c r="AC7" s="34">
        <v>602</v>
      </c>
      <c r="AD7" s="34">
        <v>354</v>
      </c>
      <c r="AE7" s="34">
        <v>135</v>
      </c>
      <c r="AF7" s="34">
        <v>75</v>
      </c>
      <c r="AG7" s="34">
        <v>119</v>
      </c>
      <c r="AH7" s="34">
        <v>34</v>
      </c>
      <c r="AI7" s="34">
        <v>100</v>
      </c>
      <c r="AJ7" s="34">
        <v>41</v>
      </c>
      <c r="AK7" s="34">
        <v>12</v>
      </c>
      <c r="AL7" s="34">
        <v>7</v>
      </c>
      <c r="AM7" s="34">
        <v>1</v>
      </c>
      <c r="AN7" s="34">
        <v>2</v>
      </c>
      <c r="AO7" s="34">
        <v>0</v>
      </c>
      <c r="AP7" s="34">
        <v>0</v>
      </c>
      <c r="AQ7" s="34">
        <v>0</v>
      </c>
      <c r="AR7" s="34">
        <v>0</v>
      </c>
      <c r="AS7" s="34">
        <v>8</v>
      </c>
      <c r="AT7" s="34">
        <v>4</v>
      </c>
      <c r="AU7" s="34">
        <v>0</v>
      </c>
      <c r="AV7" s="34">
        <v>0</v>
      </c>
      <c r="AW7" s="34">
        <v>0</v>
      </c>
      <c r="AX7" s="35">
        <v>1</v>
      </c>
    </row>
    <row r="8" spans="1:50" x14ac:dyDescent="0.25">
      <c r="A8">
        <v>4</v>
      </c>
      <c r="B8">
        <v>7007.3105400000004</v>
      </c>
      <c r="C8">
        <v>2231.5819299999998</v>
      </c>
      <c r="D8">
        <v>3260.2592100000002</v>
      </c>
      <c r="E8">
        <v>4512.5127700000003</v>
      </c>
      <c r="F8">
        <v>2547.0354499999999</v>
      </c>
      <c r="G8">
        <v>0</v>
      </c>
      <c r="H8">
        <v>0</v>
      </c>
      <c r="I8">
        <v>1251.89384</v>
      </c>
      <c r="J8">
        <v>0</v>
      </c>
      <c r="K8">
        <v>1520.7427700000001</v>
      </c>
      <c r="L8">
        <v>0</v>
      </c>
      <c r="M8">
        <v>160.27674999999999</v>
      </c>
      <c r="N8">
        <v>241.44669999999999</v>
      </c>
      <c r="O8">
        <v>243.99341000000001</v>
      </c>
      <c r="P8">
        <v>0</v>
      </c>
      <c r="Q8">
        <v>0</v>
      </c>
      <c r="R8">
        <v>139.71608000000001</v>
      </c>
      <c r="S8">
        <v>0</v>
      </c>
      <c r="T8">
        <v>0</v>
      </c>
      <c r="U8">
        <v>0</v>
      </c>
      <c r="V8">
        <v>0</v>
      </c>
      <c r="W8">
        <v>0</v>
      </c>
      <c r="Y8">
        <v>4</v>
      </c>
      <c r="Z8" s="33">
        <v>2963</v>
      </c>
      <c r="AA8" s="34">
        <v>502</v>
      </c>
      <c r="AB8" s="34">
        <v>730</v>
      </c>
      <c r="AC8" s="34">
        <v>763</v>
      </c>
      <c r="AD8" s="34">
        <v>459</v>
      </c>
      <c r="AE8" s="34">
        <v>106</v>
      </c>
      <c r="AF8" s="34">
        <v>46</v>
      </c>
      <c r="AG8" s="34">
        <v>57</v>
      </c>
      <c r="AH8" s="34">
        <v>2</v>
      </c>
      <c r="AI8" s="34">
        <v>2</v>
      </c>
      <c r="AJ8" s="34">
        <v>11</v>
      </c>
      <c r="AK8" s="34">
        <v>28</v>
      </c>
      <c r="AL8" s="34">
        <v>4</v>
      </c>
      <c r="AM8" s="34">
        <v>3</v>
      </c>
      <c r="AN8" s="34">
        <v>0</v>
      </c>
      <c r="AO8" s="34">
        <v>0</v>
      </c>
      <c r="AP8" s="34">
        <v>0</v>
      </c>
      <c r="AQ8" s="34">
        <v>0</v>
      </c>
      <c r="AR8" s="34">
        <v>0</v>
      </c>
      <c r="AS8" s="34">
        <v>0</v>
      </c>
      <c r="AT8" s="34">
        <v>3</v>
      </c>
      <c r="AU8" s="34">
        <v>0</v>
      </c>
      <c r="AV8" s="34">
        <v>1</v>
      </c>
      <c r="AW8" s="34">
        <v>0</v>
      </c>
      <c r="AX8" s="35">
        <v>0</v>
      </c>
    </row>
    <row r="9" spans="1:50" x14ac:dyDescent="0.25">
      <c r="A9">
        <v>5</v>
      </c>
      <c r="B9">
        <v>21913.642370000001</v>
      </c>
      <c r="C9">
        <v>269.47685000000001</v>
      </c>
      <c r="D9">
        <v>4588.3615799999998</v>
      </c>
      <c r="E9">
        <v>1458.33853</v>
      </c>
      <c r="F9">
        <v>5570.2843000000003</v>
      </c>
      <c r="G9">
        <v>636.24987999999996</v>
      </c>
      <c r="H9">
        <v>0</v>
      </c>
      <c r="I9">
        <v>3219.40661</v>
      </c>
      <c r="J9">
        <v>0</v>
      </c>
      <c r="K9">
        <v>0</v>
      </c>
      <c r="L9">
        <v>449.85316</v>
      </c>
      <c r="M9">
        <v>375.76794999999998</v>
      </c>
      <c r="N9">
        <v>37.614289999999997</v>
      </c>
      <c r="O9">
        <v>0</v>
      </c>
      <c r="P9">
        <v>0</v>
      </c>
      <c r="Q9">
        <v>0</v>
      </c>
      <c r="R9">
        <v>1032.5377100000001</v>
      </c>
      <c r="S9">
        <v>0</v>
      </c>
      <c r="T9">
        <v>0</v>
      </c>
      <c r="U9">
        <v>0</v>
      </c>
      <c r="V9">
        <v>0</v>
      </c>
      <c r="W9">
        <v>0</v>
      </c>
      <c r="Y9">
        <v>5</v>
      </c>
      <c r="Z9" s="33">
        <v>4248</v>
      </c>
      <c r="AA9" s="34">
        <v>339</v>
      </c>
      <c r="AB9" s="34">
        <v>370</v>
      </c>
      <c r="AC9" s="34">
        <v>452</v>
      </c>
      <c r="AD9" s="34">
        <v>1400</v>
      </c>
      <c r="AE9" s="34">
        <v>461</v>
      </c>
      <c r="AF9" s="34">
        <v>159</v>
      </c>
      <c r="AG9" s="34">
        <v>113</v>
      </c>
      <c r="AH9" s="34">
        <v>4</v>
      </c>
      <c r="AI9" s="34">
        <v>5</v>
      </c>
      <c r="AJ9" s="34">
        <v>7</v>
      </c>
      <c r="AK9" s="34">
        <v>90</v>
      </c>
      <c r="AL9" s="34">
        <v>15</v>
      </c>
      <c r="AM9" s="34">
        <v>8</v>
      </c>
      <c r="AN9" s="34">
        <v>0</v>
      </c>
      <c r="AO9" s="34">
        <v>0</v>
      </c>
      <c r="AP9" s="34">
        <v>0</v>
      </c>
      <c r="AQ9" s="34">
        <v>0</v>
      </c>
      <c r="AR9" s="34">
        <v>0</v>
      </c>
      <c r="AS9" s="34">
        <v>0</v>
      </c>
      <c r="AT9" s="34">
        <v>2</v>
      </c>
      <c r="AU9" s="34">
        <v>0</v>
      </c>
      <c r="AV9" s="34">
        <v>0</v>
      </c>
      <c r="AW9" s="34">
        <v>0</v>
      </c>
      <c r="AX9" s="35">
        <v>1</v>
      </c>
    </row>
    <row r="10" spans="1:50" x14ac:dyDescent="0.25">
      <c r="A10">
        <v>6</v>
      </c>
      <c r="B10">
        <v>12341.18866</v>
      </c>
      <c r="C10">
        <v>1605.81537</v>
      </c>
      <c r="D10">
        <v>552.02536999999995</v>
      </c>
      <c r="E10">
        <v>0</v>
      </c>
      <c r="F10">
        <v>319.98527000000001</v>
      </c>
      <c r="G10">
        <v>11852.43281</v>
      </c>
      <c r="H10">
        <v>597.18322999999998</v>
      </c>
      <c r="I10">
        <v>169.56994</v>
      </c>
      <c r="J10">
        <v>0</v>
      </c>
      <c r="K10">
        <v>0</v>
      </c>
      <c r="L10">
        <v>0</v>
      </c>
      <c r="M10">
        <v>0</v>
      </c>
      <c r="N10">
        <v>0</v>
      </c>
      <c r="O10">
        <v>0</v>
      </c>
      <c r="P10">
        <v>0</v>
      </c>
      <c r="Q10">
        <v>0</v>
      </c>
      <c r="R10">
        <v>0</v>
      </c>
      <c r="S10">
        <v>0</v>
      </c>
      <c r="T10">
        <v>0</v>
      </c>
      <c r="U10">
        <v>0</v>
      </c>
      <c r="V10">
        <v>0</v>
      </c>
      <c r="W10">
        <v>0</v>
      </c>
      <c r="Y10">
        <v>6</v>
      </c>
      <c r="Z10" s="33">
        <v>3713</v>
      </c>
      <c r="AA10" s="34">
        <v>155</v>
      </c>
      <c r="AB10" s="34">
        <v>170</v>
      </c>
      <c r="AC10" s="34">
        <v>144</v>
      </c>
      <c r="AD10" s="34">
        <v>477</v>
      </c>
      <c r="AE10" s="34">
        <v>961</v>
      </c>
      <c r="AF10" s="34">
        <v>322</v>
      </c>
      <c r="AG10" s="34">
        <v>144</v>
      </c>
      <c r="AH10" s="34">
        <v>1</v>
      </c>
      <c r="AI10" s="34">
        <v>2</v>
      </c>
      <c r="AJ10" s="34">
        <v>4</v>
      </c>
      <c r="AK10" s="34">
        <v>23</v>
      </c>
      <c r="AL10" s="34">
        <v>49</v>
      </c>
      <c r="AM10" s="34">
        <v>7</v>
      </c>
      <c r="AN10" s="34">
        <v>0</v>
      </c>
      <c r="AO10" s="34">
        <v>0</v>
      </c>
      <c r="AP10" s="34">
        <v>0</v>
      </c>
      <c r="AQ10" s="34">
        <v>0</v>
      </c>
      <c r="AR10" s="34">
        <v>0</v>
      </c>
      <c r="AS10" s="34">
        <v>0</v>
      </c>
      <c r="AT10" s="34">
        <v>0</v>
      </c>
      <c r="AU10" s="34">
        <v>0</v>
      </c>
      <c r="AV10" s="34">
        <v>0</v>
      </c>
      <c r="AW10" s="34">
        <v>0</v>
      </c>
      <c r="AX10" s="35">
        <v>0</v>
      </c>
    </row>
    <row r="11" spans="1:50" x14ac:dyDescent="0.25">
      <c r="A11">
        <v>7</v>
      </c>
      <c r="B11">
        <v>9959.9318399999993</v>
      </c>
      <c r="C11">
        <v>512.22442000000001</v>
      </c>
      <c r="D11">
        <v>2480.7258700000002</v>
      </c>
      <c r="E11">
        <v>0</v>
      </c>
      <c r="F11">
        <v>0</v>
      </c>
      <c r="G11">
        <v>982.42091000000005</v>
      </c>
      <c r="H11">
        <v>16573.790809999999</v>
      </c>
      <c r="I11">
        <v>3118.413</v>
      </c>
      <c r="J11">
        <v>563.02855</v>
      </c>
      <c r="K11">
        <v>195.28697</v>
      </c>
      <c r="L11">
        <v>0</v>
      </c>
      <c r="M11">
        <v>0</v>
      </c>
      <c r="N11">
        <v>0</v>
      </c>
      <c r="O11">
        <v>146.06639999999999</v>
      </c>
      <c r="P11">
        <v>84.101759999999999</v>
      </c>
      <c r="Q11">
        <v>597.30403000000001</v>
      </c>
      <c r="R11">
        <v>88.062920000000005</v>
      </c>
      <c r="S11">
        <v>0</v>
      </c>
      <c r="T11">
        <v>0</v>
      </c>
      <c r="U11">
        <v>0</v>
      </c>
      <c r="V11">
        <v>0</v>
      </c>
      <c r="W11">
        <v>0</v>
      </c>
      <c r="Y11">
        <v>7</v>
      </c>
      <c r="Z11" s="33">
        <v>4065</v>
      </c>
      <c r="AA11" s="34">
        <v>190</v>
      </c>
      <c r="AB11" s="34">
        <v>80</v>
      </c>
      <c r="AC11" s="34">
        <v>59</v>
      </c>
      <c r="AD11" s="34">
        <v>169</v>
      </c>
      <c r="AE11" s="34">
        <v>323</v>
      </c>
      <c r="AF11" s="34">
        <v>2299</v>
      </c>
      <c r="AG11" s="34">
        <v>828</v>
      </c>
      <c r="AH11" s="34">
        <v>0</v>
      </c>
      <c r="AI11" s="34">
        <v>0</v>
      </c>
      <c r="AJ11" s="34">
        <v>0</v>
      </c>
      <c r="AK11" s="34">
        <v>5</v>
      </c>
      <c r="AL11" s="34">
        <v>6</v>
      </c>
      <c r="AM11" s="34">
        <v>141</v>
      </c>
      <c r="AN11" s="34">
        <v>3</v>
      </c>
      <c r="AO11" s="34">
        <v>0</v>
      </c>
      <c r="AP11" s="34">
        <v>0</v>
      </c>
      <c r="AQ11" s="34">
        <v>0</v>
      </c>
      <c r="AR11" s="34">
        <v>0</v>
      </c>
      <c r="AS11" s="34">
        <v>0</v>
      </c>
      <c r="AT11" s="34">
        <v>1</v>
      </c>
      <c r="AU11" s="34">
        <v>0</v>
      </c>
      <c r="AV11" s="34">
        <v>0</v>
      </c>
      <c r="AW11" s="34">
        <v>0</v>
      </c>
      <c r="AX11" s="35">
        <v>0</v>
      </c>
    </row>
    <row r="12" spans="1:50" x14ac:dyDescent="0.25">
      <c r="A12">
        <v>8</v>
      </c>
      <c r="B12">
        <v>43585.087500000001</v>
      </c>
      <c r="C12">
        <v>4258.2508600000001</v>
      </c>
      <c r="D12">
        <v>488.36293999999998</v>
      </c>
      <c r="E12">
        <v>284.85811000000001</v>
      </c>
      <c r="F12">
        <v>921.84707000000003</v>
      </c>
      <c r="G12">
        <v>94.341369999999998</v>
      </c>
      <c r="H12">
        <v>2031.5522699999999</v>
      </c>
      <c r="I12">
        <v>42268.916060000003</v>
      </c>
      <c r="J12">
        <v>476.56941</v>
      </c>
      <c r="K12">
        <v>0</v>
      </c>
      <c r="L12">
        <v>0</v>
      </c>
      <c r="M12">
        <v>600.81861000000004</v>
      </c>
      <c r="N12">
        <v>189.87280999999999</v>
      </c>
      <c r="O12">
        <v>153.94639000000001</v>
      </c>
      <c r="P12">
        <v>2264.8803800000001</v>
      </c>
      <c r="Q12">
        <v>148.26369</v>
      </c>
      <c r="R12">
        <v>0</v>
      </c>
      <c r="S12">
        <v>0</v>
      </c>
      <c r="T12">
        <v>0</v>
      </c>
      <c r="U12">
        <v>0</v>
      </c>
      <c r="V12">
        <v>982.42091000000005</v>
      </c>
      <c r="W12">
        <v>0</v>
      </c>
      <c r="Y12">
        <v>8</v>
      </c>
      <c r="Z12" s="33">
        <v>11224</v>
      </c>
      <c r="AA12" s="34">
        <v>550</v>
      </c>
      <c r="AB12" s="34">
        <v>188</v>
      </c>
      <c r="AC12" s="34">
        <v>92</v>
      </c>
      <c r="AD12" s="34">
        <v>180</v>
      </c>
      <c r="AE12" s="34">
        <v>193</v>
      </c>
      <c r="AF12" s="34">
        <v>1296</v>
      </c>
      <c r="AG12" s="34">
        <v>5546</v>
      </c>
      <c r="AH12" s="34">
        <v>4</v>
      </c>
      <c r="AI12" s="34">
        <v>3</v>
      </c>
      <c r="AJ12" s="34">
        <v>0</v>
      </c>
      <c r="AK12" s="34">
        <v>8</v>
      </c>
      <c r="AL12" s="34">
        <v>4</v>
      </c>
      <c r="AM12" s="34">
        <v>137</v>
      </c>
      <c r="AN12" s="34">
        <v>50</v>
      </c>
      <c r="AO12" s="34">
        <v>0</v>
      </c>
      <c r="AP12" s="34">
        <v>0</v>
      </c>
      <c r="AQ12" s="34">
        <v>18</v>
      </c>
      <c r="AR12" s="34">
        <v>0</v>
      </c>
      <c r="AS12" s="34">
        <v>0</v>
      </c>
      <c r="AT12" s="34">
        <v>0</v>
      </c>
      <c r="AU12" s="34">
        <v>0</v>
      </c>
      <c r="AV12" s="34">
        <v>0</v>
      </c>
      <c r="AW12" s="34">
        <v>1</v>
      </c>
      <c r="AX12" s="35">
        <v>3</v>
      </c>
    </row>
    <row r="13" spans="1:50" x14ac:dyDescent="0.25">
      <c r="A13">
        <v>9</v>
      </c>
      <c r="B13">
        <v>11060.65559</v>
      </c>
      <c r="C13">
        <v>3311.4351799999999</v>
      </c>
      <c r="D13">
        <v>0</v>
      </c>
      <c r="E13">
        <v>0</v>
      </c>
      <c r="F13">
        <v>0</v>
      </c>
      <c r="G13">
        <v>0</v>
      </c>
      <c r="H13">
        <v>630.05777</v>
      </c>
      <c r="I13">
        <v>1445.58347</v>
      </c>
      <c r="J13">
        <v>843.36725000000001</v>
      </c>
      <c r="K13">
        <v>0</v>
      </c>
      <c r="L13">
        <v>0</v>
      </c>
      <c r="M13">
        <v>0</v>
      </c>
      <c r="N13">
        <v>0</v>
      </c>
      <c r="O13">
        <v>0</v>
      </c>
      <c r="P13">
        <v>0</v>
      </c>
      <c r="Q13">
        <v>0</v>
      </c>
      <c r="R13">
        <v>1453.6652099999999</v>
      </c>
      <c r="S13">
        <v>0</v>
      </c>
      <c r="T13">
        <v>0</v>
      </c>
      <c r="U13">
        <v>0</v>
      </c>
      <c r="V13">
        <v>0</v>
      </c>
      <c r="W13">
        <v>0</v>
      </c>
      <c r="Y13">
        <v>9</v>
      </c>
      <c r="Z13" s="33">
        <v>238</v>
      </c>
      <c r="AA13" s="34">
        <v>164</v>
      </c>
      <c r="AB13" s="34">
        <v>39</v>
      </c>
      <c r="AC13" s="34">
        <v>6</v>
      </c>
      <c r="AD13" s="34">
        <v>11</v>
      </c>
      <c r="AE13" s="34">
        <v>1</v>
      </c>
      <c r="AF13" s="34">
        <v>1</v>
      </c>
      <c r="AG13" s="34">
        <v>4</v>
      </c>
      <c r="AH13" s="34">
        <v>135</v>
      </c>
      <c r="AI13" s="34">
        <v>9</v>
      </c>
      <c r="AJ13" s="34">
        <v>0</v>
      </c>
      <c r="AK13" s="34">
        <v>0</v>
      </c>
      <c r="AL13" s="34">
        <v>0</v>
      </c>
      <c r="AM13" s="34">
        <v>0</v>
      </c>
      <c r="AN13" s="34">
        <v>0</v>
      </c>
      <c r="AO13" s="34">
        <v>0</v>
      </c>
      <c r="AP13" s="34">
        <v>0</v>
      </c>
      <c r="AQ13" s="34">
        <v>0</v>
      </c>
      <c r="AR13" s="34">
        <v>0</v>
      </c>
      <c r="AS13" s="34">
        <v>8</v>
      </c>
      <c r="AT13" s="34">
        <v>20</v>
      </c>
      <c r="AU13" s="34">
        <v>0</v>
      </c>
      <c r="AV13" s="34">
        <v>0</v>
      </c>
      <c r="AW13" s="34">
        <v>0</v>
      </c>
      <c r="AX13" s="35">
        <v>0</v>
      </c>
    </row>
    <row r="14" spans="1:50" x14ac:dyDescent="0.25">
      <c r="A14">
        <v>10</v>
      </c>
      <c r="B14">
        <v>9704.0837800000008</v>
      </c>
      <c r="C14">
        <v>162.64968999999999</v>
      </c>
      <c r="D14">
        <v>0</v>
      </c>
      <c r="E14">
        <v>1316.5356099999999</v>
      </c>
      <c r="F14">
        <v>0</v>
      </c>
      <c r="G14">
        <v>0</v>
      </c>
      <c r="H14">
        <v>354.21181999999999</v>
      </c>
      <c r="I14">
        <v>516.26886000000002</v>
      </c>
      <c r="J14">
        <v>0</v>
      </c>
      <c r="K14">
        <v>1796.64453</v>
      </c>
      <c r="L14">
        <v>153.07075</v>
      </c>
      <c r="M14">
        <v>0</v>
      </c>
      <c r="N14">
        <v>0</v>
      </c>
      <c r="O14">
        <v>0</v>
      </c>
      <c r="P14">
        <v>0</v>
      </c>
      <c r="Q14">
        <v>0</v>
      </c>
      <c r="R14">
        <v>439.11124000000001</v>
      </c>
      <c r="S14">
        <v>0</v>
      </c>
      <c r="T14">
        <v>0</v>
      </c>
      <c r="U14">
        <v>0</v>
      </c>
      <c r="V14">
        <v>0</v>
      </c>
      <c r="W14">
        <v>0</v>
      </c>
      <c r="Y14">
        <v>10</v>
      </c>
      <c r="Z14" s="33">
        <v>158</v>
      </c>
      <c r="AA14" s="34">
        <v>23</v>
      </c>
      <c r="AB14" s="34">
        <v>100</v>
      </c>
      <c r="AC14" s="34">
        <v>7</v>
      </c>
      <c r="AD14" s="34">
        <v>3</v>
      </c>
      <c r="AE14" s="34">
        <v>3</v>
      </c>
      <c r="AF14" s="34">
        <v>0</v>
      </c>
      <c r="AG14" s="34">
        <v>2</v>
      </c>
      <c r="AH14" s="34">
        <v>7</v>
      </c>
      <c r="AI14" s="34">
        <v>179</v>
      </c>
      <c r="AJ14" s="34">
        <v>44</v>
      </c>
      <c r="AK14" s="34">
        <v>1</v>
      </c>
      <c r="AL14" s="34">
        <v>0</v>
      </c>
      <c r="AM14" s="34">
        <v>0</v>
      </c>
      <c r="AN14" s="34">
        <v>0</v>
      </c>
      <c r="AO14" s="34">
        <v>0</v>
      </c>
      <c r="AP14" s="34">
        <v>0</v>
      </c>
      <c r="AQ14" s="34">
        <v>0</v>
      </c>
      <c r="AR14" s="34">
        <v>0</v>
      </c>
      <c r="AS14" s="34">
        <v>11</v>
      </c>
      <c r="AT14" s="34">
        <v>1</v>
      </c>
      <c r="AU14" s="34">
        <v>0</v>
      </c>
      <c r="AV14" s="34">
        <v>0</v>
      </c>
      <c r="AW14" s="34">
        <v>0</v>
      </c>
      <c r="AX14" s="35">
        <v>0</v>
      </c>
    </row>
    <row r="15" spans="1:50" x14ac:dyDescent="0.25">
      <c r="A15">
        <v>11</v>
      </c>
      <c r="B15">
        <v>9159.0709700000007</v>
      </c>
      <c r="C15">
        <v>0</v>
      </c>
      <c r="D15">
        <v>1607.89797</v>
      </c>
      <c r="E15">
        <v>0</v>
      </c>
      <c r="F15">
        <v>714.81709999999998</v>
      </c>
      <c r="G15">
        <v>0</v>
      </c>
      <c r="H15">
        <v>0</v>
      </c>
      <c r="I15">
        <v>0</v>
      </c>
      <c r="J15">
        <v>0</v>
      </c>
      <c r="K15">
        <v>206.23599999999999</v>
      </c>
      <c r="L15">
        <v>310.28084999999999</v>
      </c>
      <c r="M15">
        <v>0</v>
      </c>
      <c r="N15">
        <v>1801.01767</v>
      </c>
      <c r="O15">
        <v>0</v>
      </c>
      <c r="P15">
        <v>0</v>
      </c>
      <c r="Q15">
        <v>0</v>
      </c>
      <c r="R15">
        <v>1880.9345800000001</v>
      </c>
      <c r="S15">
        <v>0</v>
      </c>
      <c r="T15">
        <v>0</v>
      </c>
      <c r="U15">
        <v>0</v>
      </c>
      <c r="V15">
        <v>0</v>
      </c>
      <c r="W15">
        <v>0</v>
      </c>
      <c r="Y15">
        <v>11</v>
      </c>
      <c r="Z15" s="33">
        <v>169</v>
      </c>
      <c r="AA15" s="34">
        <v>12</v>
      </c>
      <c r="AB15" s="34">
        <v>13</v>
      </c>
      <c r="AC15" s="34">
        <v>8</v>
      </c>
      <c r="AD15" s="34">
        <v>5</v>
      </c>
      <c r="AE15" s="34">
        <v>1</v>
      </c>
      <c r="AF15" s="34">
        <v>3</v>
      </c>
      <c r="AG15" s="34">
        <v>8</v>
      </c>
      <c r="AH15" s="34">
        <v>1</v>
      </c>
      <c r="AI15" s="34">
        <v>22</v>
      </c>
      <c r="AJ15" s="34">
        <v>141</v>
      </c>
      <c r="AK15" s="34">
        <v>33</v>
      </c>
      <c r="AL15" s="34">
        <v>7</v>
      </c>
      <c r="AM15" s="34">
        <v>0</v>
      </c>
      <c r="AN15" s="34">
        <v>0</v>
      </c>
      <c r="AO15" s="34">
        <v>0</v>
      </c>
      <c r="AP15" s="34">
        <v>0</v>
      </c>
      <c r="AQ15" s="34">
        <v>0</v>
      </c>
      <c r="AR15" s="34">
        <v>0</v>
      </c>
      <c r="AS15" s="34">
        <v>1</v>
      </c>
      <c r="AT15" s="34">
        <v>1</v>
      </c>
      <c r="AU15" s="34">
        <v>33</v>
      </c>
      <c r="AV15" s="34">
        <v>4</v>
      </c>
      <c r="AW15" s="34">
        <v>0</v>
      </c>
      <c r="AX15" s="35">
        <v>0</v>
      </c>
    </row>
    <row r="16" spans="1:50" x14ac:dyDescent="0.25">
      <c r="A16">
        <v>12</v>
      </c>
      <c r="B16">
        <v>16341.18622</v>
      </c>
      <c r="C16">
        <v>854.53202999999996</v>
      </c>
      <c r="D16">
        <v>0</v>
      </c>
      <c r="E16">
        <v>160.01455999999999</v>
      </c>
      <c r="F16">
        <v>663.2971</v>
      </c>
      <c r="G16">
        <v>0</v>
      </c>
      <c r="H16">
        <v>0</v>
      </c>
      <c r="I16">
        <v>306.95483000000002</v>
      </c>
      <c r="J16">
        <v>0</v>
      </c>
      <c r="K16">
        <v>0</v>
      </c>
      <c r="L16">
        <v>1880.9345800000001</v>
      </c>
      <c r="M16">
        <v>2362.49442</v>
      </c>
      <c r="N16">
        <v>739.23865999999998</v>
      </c>
      <c r="O16">
        <v>0</v>
      </c>
      <c r="P16">
        <v>0</v>
      </c>
      <c r="Q16">
        <v>0</v>
      </c>
      <c r="R16">
        <v>0</v>
      </c>
      <c r="S16">
        <v>0</v>
      </c>
      <c r="T16">
        <v>0</v>
      </c>
      <c r="U16">
        <v>0</v>
      </c>
      <c r="V16">
        <v>0</v>
      </c>
      <c r="W16">
        <v>169.56217000000001</v>
      </c>
      <c r="Y16">
        <v>12</v>
      </c>
      <c r="Z16" s="33">
        <v>347</v>
      </c>
      <c r="AA16" s="34">
        <v>14</v>
      </c>
      <c r="AB16" s="34">
        <v>6</v>
      </c>
      <c r="AC16" s="34">
        <v>8</v>
      </c>
      <c r="AD16" s="34">
        <v>46</v>
      </c>
      <c r="AE16" s="34">
        <v>10</v>
      </c>
      <c r="AF16" s="34">
        <v>2</v>
      </c>
      <c r="AG16" s="34">
        <v>4</v>
      </c>
      <c r="AH16" s="34">
        <v>2</v>
      </c>
      <c r="AI16" s="34">
        <v>1</v>
      </c>
      <c r="AJ16" s="34">
        <v>37</v>
      </c>
      <c r="AK16" s="34">
        <v>325</v>
      </c>
      <c r="AL16" s="34">
        <v>92</v>
      </c>
      <c r="AM16" s="34">
        <v>0</v>
      </c>
      <c r="AN16" s="34">
        <v>0</v>
      </c>
      <c r="AO16" s="34">
        <v>0</v>
      </c>
      <c r="AP16" s="34">
        <v>0</v>
      </c>
      <c r="AQ16" s="34">
        <v>0</v>
      </c>
      <c r="AR16" s="34">
        <v>0</v>
      </c>
      <c r="AS16" s="34">
        <v>0</v>
      </c>
      <c r="AT16" s="34">
        <v>0</v>
      </c>
      <c r="AU16" s="34">
        <v>0</v>
      </c>
      <c r="AV16" s="34">
        <v>3</v>
      </c>
      <c r="AW16" s="34">
        <v>3</v>
      </c>
      <c r="AX16" s="35">
        <v>0</v>
      </c>
    </row>
    <row r="17" spans="1:50" x14ac:dyDescent="0.25">
      <c r="A17">
        <v>13</v>
      </c>
      <c r="B17">
        <v>31174.348979999999</v>
      </c>
      <c r="C17">
        <v>75.228570000000005</v>
      </c>
      <c r="D17">
        <v>0</v>
      </c>
      <c r="E17">
        <v>241.44669999999999</v>
      </c>
      <c r="F17">
        <v>71.896770000000004</v>
      </c>
      <c r="G17">
        <v>0</v>
      </c>
      <c r="H17">
        <v>364.91388000000001</v>
      </c>
      <c r="I17">
        <v>0</v>
      </c>
      <c r="J17">
        <v>0</v>
      </c>
      <c r="K17">
        <v>0</v>
      </c>
      <c r="L17">
        <v>2126.3170399999999</v>
      </c>
      <c r="M17">
        <v>546.56271000000004</v>
      </c>
      <c r="N17">
        <v>3601.2526400000002</v>
      </c>
      <c r="O17">
        <v>269.04023999999998</v>
      </c>
      <c r="P17">
        <v>0</v>
      </c>
      <c r="Q17">
        <v>0</v>
      </c>
      <c r="R17">
        <v>0</v>
      </c>
      <c r="S17">
        <v>123.82885</v>
      </c>
      <c r="T17">
        <v>0</v>
      </c>
      <c r="U17">
        <v>0</v>
      </c>
      <c r="V17">
        <v>662.32075999999995</v>
      </c>
      <c r="W17">
        <v>870.68579</v>
      </c>
      <c r="Y17">
        <v>13</v>
      </c>
      <c r="Z17" s="33">
        <v>479</v>
      </c>
      <c r="AA17" s="34">
        <v>9</v>
      </c>
      <c r="AB17" s="34">
        <v>4</v>
      </c>
      <c r="AC17" s="34">
        <v>6</v>
      </c>
      <c r="AD17" s="34">
        <v>14</v>
      </c>
      <c r="AE17" s="34">
        <v>25</v>
      </c>
      <c r="AF17" s="34">
        <v>4</v>
      </c>
      <c r="AG17" s="34">
        <v>7</v>
      </c>
      <c r="AH17" s="34">
        <v>0</v>
      </c>
      <c r="AI17" s="34">
        <v>0</v>
      </c>
      <c r="AJ17" s="34">
        <v>2</v>
      </c>
      <c r="AK17" s="34">
        <v>48</v>
      </c>
      <c r="AL17" s="34">
        <v>619</v>
      </c>
      <c r="AM17" s="34">
        <v>11</v>
      </c>
      <c r="AN17" s="34">
        <v>0</v>
      </c>
      <c r="AO17" s="34">
        <v>0</v>
      </c>
      <c r="AP17" s="34">
        <v>0</v>
      </c>
      <c r="AQ17" s="34">
        <v>0</v>
      </c>
      <c r="AR17" s="34">
        <v>0</v>
      </c>
      <c r="AS17" s="34">
        <v>0</v>
      </c>
      <c r="AT17" s="34">
        <v>0</v>
      </c>
      <c r="AU17" s="34">
        <v>0</v>
      </c>
      <c r="AV17" s="34">
        <v>0</v>
      </c>
      <c r="AW17" s="34">
        <v>23</v>
      </c>
      <c r="AX17" s="35">
        <v>2</v>
      </c>
    </row>
    <row r="18" spans="1:50" x14ac:dyDescent="0.25">
      <c r="A18">
        <v>14</v>
      </c>
      <c r="B18">
        <v>11543.06121</v>
      </c>
      <c r="C18">
        <v>0</v>
      </c>
      <c r="D18">
        <v>0</v>
      </c>
      <c r="E18">
        <v>0</v>
      </c>
      <c r="F18">
        <v>0</v>
      </c>
      <c r="G18">
        <v>0</v>
      </c>
      <c r="H18">
        <v>300.01279</v>
      </c>
      <c r="I18">
        <v>0</v>
      </c>
      <c r="J18">
        <v>0</v>
      </c>
      <c r="K18">
        <v>0</v>
      </c>
      <c r="L18">
        <v>0</v>
      </c>
      <c r="M18">
        <v>0</v>
      </c>
      <c r="N18">
        <v>143.37578999999999</v>
      </c>
      <c r="O18">
        <v>0</v>
      </c>
      <c r="P18">
        <v>0</v>
      </c>
      <c r="Q18">
        <v>0</v>
      </c>
      <c r="R18">
        <v>0</v>
      </c>
      <c r="S18">
        <v>0</v>
      </c>
      <c r="T18">
        <v>0</v>
      </c>
      <c r="U18">
        <v>0</v>
      </c>
      <c r="V18">
        <v>0</v>
      </c>
      <c r="W18">
        <v>189.87280999999999</v>
      </c>
      <c r="Y18">
        <v>14</v>
      </c>
      <c r="Z18" s="33">
        <v>291</v>
      </c>
      <c r="AA18" s="34">
        <v>9</v>
      </c>
      <c r="AB18" s="34">
        <v>5</v>
      </c>
      <c r="AC18" s="34">
        <v>0</v>
      </c>
      <c r="AD18" s="34">
        <v>6</v>
      </c>
      <c r="AE18" s="34">
        <v>9</v>
      </c>
      <c r="AF18" s="34">
        <v>134</v>
      </c>
      <c r="AG18" s="34">
        <v>86</v>
      </c>
      <c r="AH18" s="34">
        <v>0</v>
      </c>
      <c r="AI18" s="34">
        <v>0</v>
      </c>
      <c r="AJ18" s="34">
        <v>0</v>
      </c>
      <c r="AK18" s="34">
        <v>0</v>
      </c>
      <c r="AL18" s="34">
        <v>4</v>
      </c>
      <c r="AM18" s="34">
        <v>226</v>
      </c>
      <c r="AN18" s="34">
        <v>7</v>
      </c>
      <c r="AO18" s="34">
        <v>0</v>
      </c>
      <c r="AP18" s="34">
        <v>0</v>
      </c>
      <c r="AQ18" s="34">
        <v>0</v>
      </c>
      <c r="AR18" s="34">
        <v>0</v>
      </c>
      <c r="AS18" s="34">
        <v>0</v>
      </c>
      <c r="AT18" s="34">
        <v>0</v>
      </c>
      <c r="AU18" s="34">
        <v>0</v>
      </c>
      <c r="AV18" s="34">
        <v>0</v>
      </c>
      <c r="AW18" s="34">
        <v>0</v>
      </c>
      <c r="AX18" s="35">
        <v>15</v>
      </c>
    </row>
    <row r="19" spans="1:50" x14ac:dyDescent="0.25">
      <c r="A19">
        <v>15</v>
      </c>
      <c r="B19">
        <v>10665.691930000001</v>
      </c>
      <c r="C19">
        <v>0</v>
      </c>
      <c r="D19">
        <v>0</v>
      </c>
      <c r="E19">
        <v>0</v>
      </c>
      <c r="F19">
        <v>0</v>
      </c>
      <c r="G19">
        <v>0</v>
      </c>
      <c r="H19">
        <v>84.101759999999999</v>
      </c>
      <c r="I19">
        <v>4141.5166799999997</v>
      </c>
      <c r="J19">
        <v>0</v>
      </c>
      <c r="K19">
        <v>0</v>
      </c>
      <c r="L19">
        <v>0</v>
      </c>
      <c r="M19">
        <v>0</v>
      </c>
      <c r="N19">
        <v>0</v>
      </c>
      <c r="O19">
        <v>0</v>
      </c>
      <c r="P19">
        <v>567.04692999999997</v>
      </c>
      <c r="Q19">
        <v>0</v>
      </c>
      <c r="R19">
        <v>0</v>
      </c>
      <c r="S19">
        <v>0</v>
      </c>
      <c r="T19">
        <v>0</v>
      </c>
      <c r="U19">
        <v>0</v>
      </c>
      <c r="V19">
        <v>0</v>
      </c>
      <c r="W19">
        <v>1599.8379500000001</v>
      </c>
      <c r="Y19">
        <v>15</v>
      </c>
      <c r="Z19" s="33">
        <v>431</v>
      </c>
      <c r="AA19" s="34">
        <v>10</v>
      </c>
      <c r="AB19" s="34">
        <v>4</v>
      </c>
      <c r="AC19" s="34">
        <v>1</v>
      </c>
      <c r="AD19" s="34">
        <v>6</v>
      </c>
      <c r="AE19" s="34">
        <v>4</v>
      </c>
      <c r="AF19" s="34">
        <v>13</v>
      </c>
      <c r="AG19" s="34">
        <v>82</v>
      </c>
      <c r="AH19" s="34">
        <v>0</v>
      </c>
      <c r="AI19" s="34">
        <v>1</v>
      </c>
      <c r="AJ19" s="34">
        <v>0</v>
      </c>
      <c r="AK19" s="34">
        <v>0</v>
      </c>
      <c r="AL19" s="34">
        <v>0</v>
      </c>
      <c r="AM19" s="34">
        <v>22</v>
      </c>
      <c r="AN19" s="34">
        <v>180</v>
      </c>
      <c r="AO19" s="34">
        <v>0</v>
      </c>
      <c r="AP19" s="34">
        <v>0</v>
      </c>
      <c r="AQ19" s="34">
        <v>2</v>
      </c>
      <c r="AR19" s="34">
        <v>0</v>
      </c>
      <c r="AS19" s="34">
        <v>0</v>
      </c>
      <c r="AT19" s="34">
        <v>1</v>
      </c>
      <c r="AU19" s="34">
        <v>0</v>
      </c>
      <c r="AV19" s="34">
        <v>0</v>
      </c>
      <c r="AW19" s="34">
        <v>0</v>
      </c>
      <c r="AX19" s="35">
        <v>1</v>
      </c>
    </row>
    <row r="20" spans="1:50" x14ac:dyDescent="0.25">
      <c r="A20">
        <v>18</v>
      </c>
      <c r="B20">
        <v>193.65595999999999</v>
      </c>
      <c r="C20">
        <v>104.64711</v>
      </c>
      <c r="D20">
        <v>0</v>
      </c>
      <c r="E20">
        <v>0</v>
      </c>
      <c r="F20">
        <v>0</v>
      </c>
      <c r="G20">
        <v>0</v>
      </c>
      <c r="H20">
        <v>349.64632999999998</v>
      </c>
      <c r="I20">
        <v>354.21181999999999</v>
      </c>
      <c r="J20">
        <v>0</v>
      </c>
      <c r="K20">
        <v>0</v>
      </c>
      <c r="L20">
        <v>0</v>
      </c>
      <c r="M20">
        <v>0</v>
      </c>
      <c r="N20">
        <v>0</v>
      </c>
      <c r="O20">
        <v>0</v>
      </c>
      <c r="P20">
        <v>0</v>
      </c>
      <c r="Q20">
        <v>0</v>
      </c>
      <c r="R20">
        <v>0</v>
      </c>
      <c r="S20">
        <v>0</v>
      </c>
      <c r="T20">
        <v>0</v>
      </c>
      <c r="U20">
        <v>0</v>
      </c>
      <c r="V20">
        <v>0</v>
      </c>
      <c r="W20">
        <v>0</v>
      </c>
      <c r="Y20">
        <v>16</v>
      </c>
      <c r="Z20" s="33">
        <v>3</v>
      </c>
      <c r="AA20" s="34">
        <v>1</v>
      </c>
      <c r="AB20" s="34">
        <v>0</v>
      </c>
      <c r="AC20" s="34">
        <v>0</v>
      </c>
      <c r="AD20" s="34">
        <v>0</v>
      </c>
      <c r="AE20" s="34">
        <v>0</v>
      </c>
      <c r="AF20" s="34">
        <v>0</v>
      </c>
      <c r="AG20" s="34">
        <v>0</v>
      </c>
      <c r="AH20" s="34">
        <v>3</v>
      </c>
      <c r="AI20" s="34">
        <v>0</v>
      </c>
      <c r="AJ20" s="34">
        <v>0</v>
      </c>
      <c r="AK20" s="34">
        <v>0</v>
      </c>
      <c r="AL20" s="34">
        <v>0</v>
      </c>
      <c r="AM20" s="34">
        <v>0</v>
      </c>
      <c r="AN20" s="34">
        <v>0</v>
      </c>
      <c r="AO20" s="34">
        <v>0</v>
      </c>
      <c r="AP20" s="34">
        <v>0</v>
      </c>
      <c r="AQ20" s="34">
        <v>0</v>
      </c>
      <c r="AR20" s="34">
        <v>0</v>
      </c>
      <c r="AS20" s="34">
        <v>0</v>
      </c>
      <c r="AT20" s="34">
        <v>10</v>
      </c>
      <c r="AU20" s="34">
        <v>0</v>
      </c>
      <c r="AV20" s="34">
        <v>0</v>
      </c>
      <c r="AW20" s="34">
        <v>0</v>
      </c>
      <c r="AX20" s="35">
        <v>0</v>
      </c>
    </row>
    <row r="21" spans="1:50" x14ac:dyDescent="0.25">
      <c r="A21">
        <v>20</v>
      </c>
      <c r="B21">
        <v>18521.43648</v>
      </c>
      <c r="C21">
        <v>582.65425000000005</v>
      </c>
      <c r="D21">
        <v>575.68164999999999</v>
      </c>
      <c r="E21">
        <v>863.78243999999995</v>
      </c>
      <c r="F21">
        <v>84.101759999999999</v>
      </c>
      <c r="G21">
        <v>0</v>
      </c>
      <c r="H21">
        <v>0.124</v>
      </c>
      <c r="I21">
        <v>0</v>
      </c>
      <c r="J21">
        <v>1043.1081799999999</v>
      </c>
      <c r="K21">
        <v>1486.5951700000001</v>
      </c>
      <c r="L21">
        <v>0</v>
      </c>
      <c r="M21">
        <v>0</v>
      </c>
      <c r="N21">
        <v>0</v>
      </c>
      <c r="O21">
        <v>0</v>
      </c>
      <c r="P21">
        <v>0</v>
      </c>
      <c r="Q21">
        <v>0</v>
      </c>
      <c r="R21">
        <v>9091.2579600000008</v>
      </c>
      <c r="S21">
        <v>2563.61816</v>
      </c>
      <c r="T21">
        <v>0</v>
      </c>
      <c r="U21">
        <v>0</v>
      </c>
      <c r="V21">
        <v>0</v>
      </c>
      <c r="W21">
        <v>0</v>
      </c>
      <c r="Y21">
        <v>18</v>
      </c>
      <c r="Z21" s="33">
        <v>0</v>
      </c>
      <c r="AA21" s="34">
        <v>0</v>
      </c>
      <c r="AB21" s="34">
        <v>0</v>
      </c>
      <c r="AC21" s="34">
        <v>0</v>
      </c>
      <c r="AD21" s="34">
        <v>0</v>
      </c>
      <c r="AE21" s="34">
        <v>0</v>
      </c>
      <c r="AF21" s="34">
        <v>0</v>
      </c>
      <c r="AG21" s="34">
        <v>0</v>
      </c>
      <c r="AH21" s="34">
        <v>0</v>
      </c>
      <c r="AI21" s="34">
        <v>0</v>
      </c>
      <c r="AJ21" s="34">
        <v>0</v>
      </c>
      <c r="AK21" s="34">
        <v>0</v>
      </c>
      <c r="AL21" s="34">
        <v>0</v>
      </c>
      <c r="AM21" s="34">
        <v>0</v>
      </c>
      <c r="AN21" s="34">
        <v>0</v>
      </c>
      <c r="AO21" s="34">
        <v>0</v>
      </c>
      <c r="AP21" s="34">
        <v>0</v>
      </c>
      <c r="AQ21" s="34">
        <v>0</v>
      </c>
      <c r="AR21" s="34">
        <v>0</v>
      </c>
      <c r="AS21" s="34">
        <v>0</v>
      </c>
      <c r="AT21" s="34">
        <v>0</v>
      </c>
      <c r="AU21" s="34">
        <v>0</v>
      </c>
      <c r="AV21" s="34">
        <v>0</v>
      </c>
      <c r="AW21" s="34">
        <v>0</v>
      </c>
      <c r="AX21" s="35">
        <v>0</v>
      </c>
    </row>
    <row r="22" spans="1:50" x14ac:dyDescent="0.25">
      <c r="A22">
        <v>21</v>
      </c>
      <c r="B22">
        <v>11957.801439999999</v>
      </c>
      <c r="C22">
        <v>462.08211</v>
      </c>
      <c r="D22">
        <v>0</v>
      </c>
      <c r="E22">
        <v>0</v>
      </c>
      <c r="F22">
        <v>0</v>
      </c>
      <c r="G22">
        <v>0</v>
      </c>
      <c r="H22">
        <v>0</v>
      </c>
      <c r="I22">
        <v>0</v>
      </c>
      <c r="J22">
        <v>0</v>
      </c>
      <c r="K22">
        <v>0</v>
      </c>
      <c r="L22">
        <v>0</v>
      </c>
      <c r="M22">
        <v>0</v>
      </c>
      <c r="N22">
        <v>123.82885</v>
      </c>
      <c r="O22">
        <v>0</v>
      </c>
      <c r="P22">
        <v>0</v>
      </c>
      <c r="Q22">
        <v>0</v>
      </c>
      <c r="R22">
        <v>2578.4757</v>
      </c>
      <c r="S22">
        <v>3411.7668199999998</v>
      </c>
      <c r="T22">
        <v>0</v>
      </c>
      <c r="U22">
        <v>0</v>
      </c>
      <c r="V22">
        <v>0</v>
      </c>
      <c r="W22">
        <v>0</v>
      </c>
      <c r="Y22">
        <v>19</v>
      </c>
      <c r="Z22" s="33">
        <v>38</v>
      </c>
      <c r="AA22" s="34">
        <v>2</v>
      </c>
      <c r="AB22" s="34">
        <v>1</v>
      </c>
      <c r="AC22" s="34">
        <v>0</v>
      </c>
      <c r="AD22" s="34">
        <v>0</v>
      </c>
      <c r="AE22" s="34">
        <v>0</v>
      </c>
      <c r="AF22" s="34">
        <v>0</v>
      </c>
      <c r="AG22" s="34">
        <v>11</v>
      </c>
      <c r="AH22" s="34">
        <v>0</v>
      </c>
      <c r="AI22" s="34">
        <v>0</v>
      </c>
      <c r="AJ22" s="34">
        <v>0</v>
      </c>
      <c r="AK22" s="34">
        <v>0</v>
      </c>
      <c r="AL22" s="34">
        <v>0</v>
      </c>
      <c r="AM22" s="34">
        <v>1</v>
      </c>
      <c r="AN22" s="34">
        <v>0</v>
      </c>
      <c r="AO22" s="34">
        <v>0</v>
      </c>
      <c r="AP22" s="34">
        <v>0</v>
      </c>
      <c r="AQ22" s="34">
        <v>15</v>
      </c>
      <c r="AR22" s="34">
        <v>0</v>
      </c>
      <c r="AS22" s="34">
        <v>0</v>
      </c>
      <c r="AT22" s="34">
        <v>0</v>
      </c>
      <c r="AU22" s="34">
        <v>0</v>
      </c>
      <c r="AV22" s="34">
        <v>0</v>
      </c>
      <c r="AW22" s="34">
        <v>0</v>
      </c>
      <c r="AX22" s="35">
        <v>0</v>
      </c>
    </row>
    <row r="23" spans="1:50" x14ac:dyDescent="0.25">
      <c r="Y23">
        <v>20</v>
      </c>
      <c r="Z23" s="33">
        <v>2</v>
      </c>
      <c r="AA23" s="34">
        <v>0</v>
      </c>
      <c r="AB23" s="34">
        <v>0</v>
      </c>
      <c r="AC23" s="34">
        <v>0</v>
      </c>
      <c r="AD23" s="34">
        <v>0</v>
      </c>
      <c r="AE23" s="34">
        <v>0</v>
      </c>
      <c r="AF23" s="34">
        <v>0</v>
      </c>
      <c r="AG23" s="34">
        <v>4</v>
      </c>
      <c r="AH23" s="34">
        <v>0</v>
      </c>
      <c r="AI23" s="34">
        <v>0</v>
      </c>
      <c r="AJ23" s="34">
        <v>0</v>
      </c>
      <c r="AK23" s="34">
        <v>0</v>
      </c>
      <c r="AL23" s="34">
        <v>0</v>
      </c>
      <c r="AM23" s="34">
        <v>0</v>
      </c>
      <c r="AN23" s="34">
        <v>0</v>
      </c>
      <c r="AO23" s="34">
        <v>0</v>
      </c>
      <c r="AP23" s="34">
        <v>0</v>
      </c>
      <c r="AQ23" s="34">
        <v>0</v>
      </c>
      <c r="AR23" s="34">
        <v>0</v>
      </c>
      <c r="AS23" s="34">
        <v>0</v>
      </c>
      <c r="AT23" s="34">
        <v>0</v>
      </c>
      <c r="AU23" s="34">
        <v>0</v>
      </c>
      <c r="AV23" s="34">
        <v>0</v>
      </c>
      <c r="AW23" s="34">
        <v>0</v>
      </c>
      <c r="AX23" s="35">
        <v>0</v>
      </c>
    </row>
    <row r="24" spans="1:50" x14ac:dyDescent="0.25">
      <c r="A24">
        <v>23</v>
      </c>
      <c r="B24">
        <v>4001.7490699999998</v>
      </c>
      <c r="C24">
        <v>0</v>
      </c>
      <c r="D24">
        <v>0</v>
      </c>
      <c r="E24">
        <v>0</v>
      </c>
      <c r="F24">
        <v>0</v>
      </c>
      <c r="G24">
        <v>0</v>
      </c>
      <c r="H24">
        <v>0</v>
      </c>
      <c r="I24">
        <v>0</v>
      </c>
      <c r="J24">
        <v>0</v>
      </c>
      <c r="K24">
        <v>0</v>
      </c>
      <c r="L24">
        <v>0</v>
      </c>
      <c r="M24">
        <v>0</v>
      </c>
      <c r="N24">
        <v>0</v>
      </c>
      <c r="O24">
        <v>0</v>
      </c>
      <c r="P24">
        <v>0</v>
      </c>
      <c r="Q24">
        <v>0</v>
      </c>
      <c r="R24">
        <v>0</v>
      </c>
      <c r="S24">
        <v>0</v>
      </c>
      <c r="T24">
        <v>0</v>
      </c>
      <c r="U24">
        <v>189.87281999999999</v>
      </c>
      <c r="V24">
        <v>0</v>
      </c>
      <c r="W24">
        <v>0</v>
      </c>
      <c r="Y24">
        <v>21</v>
      </c>
      <c r="Z24" s="33">
        <v>72</v>
      </c>
      <c r="AA24" s="34">
        <v>8</v>
      </c>
      <c r="AB24" s="34">
        <v>7</v>
      </c>
      <c r="AC24" s="34">
        <v>0</v>
      </c>
      <c r="AD24" s="34">
        <v>2</v>
      </c>
      <c r="AE24" s="34">
        <v>1</v>
      </c>
      <c r="AF24" s="34">
        <v>0</v>
      </c>
      <c r="AG24" s="34">
        <v>0</v>
      </c>
      <c r="AH24" s="34">
        <v>7</v>
      </c>
      <c r="AI24" s="34">
        <v>10</v>
      </c>
      <c r="AJ24" s="34">
        <v>0</v>
      </c>
      <c r="AK24" s="34">
        <v>1</v>
      </c>
      <c r="AL24" s="34">
        <v>0</v>
      </c>
      <c r="AM24" s="34">
        <v>0</v>
      </c>
      <c r="AN24" s="34">
        <v>0</v>
      </c>
      <c r="AO24" s="34">
        <v>0</v>
      </c>
      <c r="AP24" s="34">
        <v>0</v>
      </c>
      <c r="AQ24" s="34">
        <v>0</v>
      </c>
      <c r="AR24" s="34">
        <v>0</v>
      </c>
      <c r="AS24" s="34">
        <v>237</v>
      </c>
      <c r="AT24" s="34">
        <v>37</v>
      </c>
      <c r="AU24" s="34">
        <v>0</v>
      </c>
      <c r="AV24" s="34">
        <v>0</v>
      </c>
      <c r="AW24" s="34">
        <v>0</v>
      </c>
      <c r="AX24" s="35">
        <v>0</v>
      </c>
    </row>
    <row r="25" spans="1:50" x14ac:dyDescent="0.25">
      <c r="A25">
        <v>24</v>
      </c>
      <c r="B25">
        <v>2108.8621600000001</v>
      </c>
      <c r="C25">
        <v>0</v>
      </c>
      <c r="D25">
        <v>0</v>
      </c>
      <c r="E25">
        <v>0</v>
      </c>
      <c r="F25">
        <v>0</v>
      </c>
      <c r="G25">
        <v>0</v>
      </c>
      <c r="H25">
        <v>0</v>
      </c>
      <c r="I25">
        <v>1019.65667</v>
      </c>
      <c r="J25">
        <v>0</v>
      </c>
      <c r="K25">
        <v>0</v>
      </c>
      <c r="L25">
        <v>0</v>
      </c>
      <c r="M25">
        <v>0</v>
      </c>
      <c r="N25">
        <v>532.85209999999995</v>
      </c>
      <c r="O25">
        <v>0</v>
      </c>
      <c r="P25">
        <v>0</v>
      </c>
      <c r="Q25">
        <v>0</v>
      </c>
      <c r="R25">
        <v>0</v>
      </c>
      <c r="S25">
        <v>0</v>
      </c>
      <c r="T25">
        <v>0</v>
      </c>
      <c r="U25">
        <v>0</v>
      </c>
      <c r="V25">
        <v>2547.3898800000002</v>
      </c>
      <c r="W25">
        <v>308.32069999999999</v>
      </c>
      <c r="Y25">
        <v>22</v>
      </c>
      <c r="Z25" s="33">
        <v>154</v>
      </c>
      <c r="AA25" s="34">
        <v>25</v>
      </c>
      <c r="AB25" s="34">
        <v>9</v>
      </c>
      <c r="AC25" s="34">
        <v>2</v>
      </c>
      <c r="AD25" s="34">
        <v>4</v>
      </c>
      <c r="AE25" s="34">
        <v>1</v>
      </c>
      <c r="AF25" s="34">
        <v>1</v>
      </c>
      <c r="AG25" s="34">
        <v>2</v>
      </c>
      <c r="AH25" s="34">
        <v>40</v>
      </c>
      <c r="AI25" s="34">
        <v>3</v>
      </c>
      <c r="AJ25" s="34">
        <v>0</v>
      </c>
      <c r="AK25" s="34">
        <v>0</v>
      </c>
      <c r="AL25" s="34">
        <v>0</v>
      </c>
      <c r="AM25" s="34">
        <v>0</v>
      </c>
      <c r="AN25" s="34">
        <v>0</v>
      </c>
      <c r="AO25" s="34">
        <v>2</v>
      </c>
      <c r="AP25" s="34">
        <v>0</v>
      </c>
      <c r="AQ25" s="34">
        <v>0</v>
      </c>
      <c r="AR25" s="34">
        <v>0</v>
      </c>
      <c r="AS25" s="34">
        <v>100</v>
      </c>
      <c r="AT25" s="34">
        <v>511</v>
      </c>
      <c r="AU25" s="34">
        <v>0</v>
      </c>
      <c r="AV25" s="34">
        <v>0</v>
      </c>
      <c r="AW25" s="34">
        <v>0</v>
      </c>
      <c r="AX25" s="35">
        <v>0</v>
      </c>
    </row>
    <row r="26" spans="1:50" x14ac:dyDescent="0.25">
      <c r="A26">
        <v>25</v>
      </c>
      <c r="B26">
        <v>9547.9187000000002</v>
      </c>
      <c r="C26">
        <v>0</v>
      </c>
      <c r="D26">
        <v>0</v>
      </c>
      <c r="E26">
        <v>0</v>
      </c>
      <c r="F26">
        <v>0</v>
      </c>
      <c r="G26">
        <v>0</v>
      </c>
      <c r="H26">
        <v>0</v>
      </c>
      <c r="I26">
        <v>0</v>
      </c>
      <c r="J26">
        <v>0</v>
      </c>
      <c r="K26">
        <v>0</v>
      </c>
      <c r="L26">
        <v>0</v>
      </c>
      <c r="M26">
        <v>617.72496999999998</v>
      </c>
      <c r="N26">
        <v>576.18448000000001</v>
      </c>
      <c r="O26">
        <v>189.87280999999999</v>
      </c>
      <c r="P26">
        <v>1599.8379500000001</v>
      </c>
      <c r="Q26">
        <v>0</v>
      </c>
      <c r="R26">
        <v>0</v>
      </c>
      <c r="S26">
        <v>0</v>
      </c>
      <c r="T26">
        <v>0</v>
      </c>
      <c r="U26">
        <v>0</v>
      </c>
      <c r="V26">
        <v>415.61423000000002</v>
      </c>
      <c r="W26">
        <v>4700.6674000000003</v>
      </c>
      <c r="Y26">
        <v>23</v>
      </c>
      <c r="Z26" s="33">
        <v>26</v>
      </c>
      <c r="AA26" s="34">
        <v>1</v>
      </c>
      <c r="AB26" s="34">
        <v>2</v>
      </c>
      <c r="AC26" s="34">
        <v>0</v>
      </c>
      <c r="AD26" s="34">
        <v>1</v>
      </c>
      <c r="AE26" s="34">
        <v>1</v>
      </c>
      <c r="AF26" s="34">
        <v>0</v>
      </c>
      <c r="AG26" s="34">
        <v>1</v>
      </c>
      <c r="AH26" s="34">
        <v>0</v>
      </c>
      <c r="AI26" s="34">
        <v>3</v>
      </c>
      <c r="AJ26" s="34">
        <v>76</v>
      </c>
      <c r="AK26" s="34">
        <v>0</v>
      </c>
      <c r="AL26" s="34">
        <v>0</v>
      </c>
      <c r="AM26" s="34">
        <v>0</v>
      </c>
      <c r="AN26" s="34">
        <v>0</v>
      </c>
      <c r="AO26" s="34">
        <v>0</v>
      </c>
      <c r="AP26" s="34">
        <v>0</v>
      </c>
      <c r="AQ26" s="34">
        <v>0</v>
      </c>
      <c r="AR26" s="34">
        <v>0</v>
      </c>
      <c r="AS26" s="34">
        <v>0</v>
      </c>
      <c r="AT26" s="34">
        <v>1</v>
      </c>
      <c r="AU26" s="34">
        <v>293</v>
      </c>
      <c r="AV26" s="34">
        <v>6</v>
      </c>
      <c r="AW26" s="34">
        <v>0</v>
      </c>
      <c r="AX26" s="35">
        <v>0</v>
      </c>
    </row>
    <row r="27" spans="1:50" x14ac:dyDescent="0.25">
      <c r="B27">
        <v>1</v>
      </c>
      <c r="C27">
        <v>2</v>
      </c>
      <c r="D27">
        <v>3</v>
      </c>
      <c r="E27">
        <v>4</v>
      </c>
      <c r="F27">
        <v>5</v>
      </c>
      <c r="G27">
        <v>6</v>
      </c>
      <c r="H27">
        <v>7</v>
      </c>
      <c r="I27">
        <v>8</v>
      </c>
      <c r="J27">
        <v>9</v>
      </c>
      <c r="K27">
        <v>10</v>
      </c>
      <c r="L27">
        <v>11</v>
      </c>
      <c r="M27">
        <v>12</v>
      </c>
      <c r="N27">
        <v>13</v>
      </c>
      <c r="O27">
        <v>14</v>
      </c>
      <c r="P27">
        <v>15</v>
      </c>
      <c r="Q27">
        <v>18</v>
      </c>
      <c r="R27">
        <v>20</v>
      </c>
      <c r="S27">
        <v>21</v>
      </c>
      <c r="T27">
        <v>22</v>
      </c>
      <c r="U27">
        <v>23</v>
      </c>
      <c r="V27">
        <v>24</v>
      </c>
      <c r="W27">
        <v>25</v>
      </c>
      <c r="Y27">
        <v>24</v>
      </c>
      <c r="Z27" s="33">
        <v>21</v>
      </c>
      <c r="AA27" s="34">
        <v>0</v>
      </c>
      <c r="AB27" s="34">
        <v>0</v>
      </c>
      <c r="AC27" s="34">
        <v>1</v>
      </c>
      <c r="AD27" s="34">
        <v>1</v>
      </c>
      <c r="AE27" s="34">
        <v>0</v>
      </c>
      <c r="AF27" s="34">
        <v>0</v>
      </c>
      <c r="AG27" s="34">
        <v>0</v>
      </c>
      <c r="AH27" s="34">
        <v>0</v>
      </c>
      <c r="AI27" s="34">
        <v>0</v>
      </c>
      <c r="AJ27" s="34">
        <v>0</v>
      </c>
      <c r="AK27" s="34">
        <v>10</v>
      </c>
      <c r="AL27" s="34">
        <v>2</v>
      </c>
      <c r="AM27" s="34">
        <v>0</v>
      </c>
      <c r="AN27" s="34">
        <v>0</v>
      </c>
      <c r="AO27" s="34">
        <v>0</v>
      </c>
      <c r="AP27" s="34">
        <v>0</v>
      </c>
      <c r="AQ27" s="34">
        <v>0</v>
      </c>
      <c r="AR27" s="34">
        <v>0</v>
      </c>
      <c r="AS27" s="34">
        <v>0</v>
      </c>
      <c r="AT27" s="34">
        <v>0</v>
      </c>
      <c r="AU27" s="34">
        <v>5</v>
      </c>
      <c r="AV27" s="34">
        <v>68</v>
      </c>
      <c r="AW27" s="34">
        <v>8</v>
      </c>
      <c r="AX27" s="35">
        <v>0</v>
      </c>
    </row>
    <row r="28" spans="1:50" x14ac:dyDescent="0.25">
      <c r="A28">
        <v>1</v>
      </c>
      <c r="B28">
        <v>34392.505899999996</v>
      </c>
      <c r="C28">
        <v>30773.831190000001</v>
      </c>
      <c r="D28">
        <v>9793.7379899999996</v>
      </c>
      <c r="E28">
        <v>1492.7546400000001</v>
      </c>
      <c r="F28">
        <v>3417.6554000000001</v>
      </c>
      <c r="G28">
        <v>3664.68532</v>
      </c>
      <c r="H28">
        <v>4936.0161200000002</v>
      </c>
      <c r="I28">
        <v>13969.86074</v>
      </c>
      <c r="J28">
        <v>5476.0736800000004</v>
      </c>
      <c r="K28">
        <v>2788.34843</v>
      </c>
      <c r="L28">
        <v>3224.8840599999999</v>
      </c>
      <c r="M28">
        <v>1330.65635</v>
      </c>
      <c r="N28">
        <v>6688.7624100000003</v>
      </c>
      <c r="O28">
        <v>3811.8791299999998</v>
      </c>
      <c r="P28">
        <v>1847.7592199999999</v>
      </c>
      <c r="Q28">
        <v>0</v>
      </c>
      <c r="R28">
        <v>5589.7537300000004</v>
      </c>
      <c r="S28">
        <v>2581.0901199999998</v>
      </c>
      <c r="T28">
        <v>113.00305</v>
      </c>
      <c r="U28">
        <v>5850.2102999999997</v>
      </c>
      <c r="V28">
        <v>448.30565000000001</v>
      </c>
      <c r="W28">
        <v>1736.7569900000001</v>
      </c>
      <c r="Y28">
        <v>25</v>
      </c>
      <c r="Z28" s="33">
        <v>67</v>
      </c>
      <c r="AA28" s="34">
        <v>0</v>
      </c>
      <c r="AB28" s="34">
        <v>1</v>
      </c>
      <c r="AC28" s="34">
        <v>0</v>
      </c>
      <c r="AD28" s="34">
        <v>1</v>
      </c>
      <c r="AE28" s="34">
        <v>3</v>
      </c>
      <c r="AF28" s="34">
        <v>1</v>
      </c>
      <c r="AG28" s="34">
        <v>1</v>
      </c>
      <c r="AH28" s="34">
        <v>0</v>
      </c>
      <c r="AI28" s="34">
        <v>0</v>
      </c>
      <c r="AJ28" s="34">
        <v>0</v>
      </c>
      <c r="AK28" s="34">
        <v>3</v>
      </c>
      <c r="AL28" s="34">
        <v>125</v>
      </c>
      <c r="AM28" s="34">
        <v>0</v>
      </c>
      <c r="AN28" s="34">
        <v>0</v>
      </c>
      <c r="AO28" s="34">
        <v>0</v>
      </c>
      <c r="AP28" s="34">
        <v>0</v>
      </c>
      <c r="AQ28" s="34">
        <v>0</v>
      </c>
      <c r="AR28" s="34">
        <v>0</v>
      </c>
      <c r="AS28" s="34">
        <v>0</v>
      </c>
      <c r="AT28" s="34">
        <v>0</v>
      </c>
      <c r="AU28" s="34">
        <v>0</v>
      </c>
      <c r="AV28" s="34">
        <v>29</v>
      </c>
      <c r="AW28" s="34">
        <v>350</v>
      </c>
      <c r="AX28" s="35">
        <v>0</v>
      </c>
    </row>
    <row r="29" spans="1:50" x14ac:dyDescent="0.25">
      <c r="A29">
        <v>2</v>
      </c>
      <c r="B29">
        <v>30524.30226</v>
      </c>
      <c r="C29">
        <v>18718.440060000001</v>
      </c>
      <c r="D29">
        <v>2536.12934</v>
      </c>
      <c r="E29">
        <v>204.59817000000001</v>
      </c>
      <c r="F29">
        <v>511.56101999999998</v>
      </c>
      <c r="G29">
        <v>2387.991</v>
      </c>
      <c r="H29">
        <v>92.528989999999993</v>
      </c>
      <c r="I29">
        <v>246.28182000000001</v>
      </c>
      <c r="J29">
        <v>349.00179000000003</v>
      </c>
      <c r="K29">
        <v>84.101759999999999</v>
      </c>
      <c r="L29">
        <v>0</v>
      </c>
      <c r="M29">
        <v>1077.3635400000001</v>
      </c>
      <c r="N29">
        <v>7.5394199999999998</v>
      </c>
      <c r="O29">
        <v>0</v>
      </c>
      <c r="P29">
        <v>0</v>
      </c>
      <c r="Q29">
        <v>0</v>
      </c>
      <c r="R29">
        <v>161.19513000000001</v>
      </c>
      <c r="S29">
        <v>462.55230999999998</v>
      </c>
      <c r="T29">
        <v>0</v>
      </c>
      <c r="U29">
        <v>0</v>
      </c>
      <c r="V29">
        <v>0</v>
      </c>
      <c r="W29">
        <v>0</v>
      </c>
      <c r="Z29" s="36">
        <v>45</v>
      </c>
      <c r="AA29" s="37">
        <v>2</v>
      </c>
      <c r="AB29" s="37">
        <v>2</v>
      </c>
      <c r="AC29" s="37">
        <v>1</v>
      </c>
      <c r="AD29" s="37">
        <v>0</v>
      </c>
      <c r="AE29" s="37">
        <v>1</v>
      </c>
      <c r="AF29" s="37">
        <v>1</v>
      </c>
      <c r="AG29" s="37">
        <v>3</v>
      </c>
      <c r="AH29" s="37">
        <v>0</v>
      </c>
      <c r="AI29" s="37">
        <v>0</v>
      </c>
      <c r="AJ29" s="37">
        <v>0</v>
      </c>
      <c r="AK29" s="37">
        <v>0</v>
      </c>
      <c r="AL29" s="37">
        <v>6</v>
      </c>
      <c r="AM29" s="37">
        <v>15</v>
      </c>
      <c r="AN29" s="37">
        <v>0</v>
      </c>
      <c r="AO29" s="37">
        <v>0</v>
      </c>
      <c r="AP29" s="37">
        <v>0</v>
      </c>
      <c r="AQ29" s="37">
        <v>0</v>
      </c>
      <c r="AR29" s="37">
        <v>0</v>
      </c>
      <c r="AS29" s="37">
        <v>0</v>
      </c>
      <c r="AT29" s="37">
        <v>0</v>
      </c>
      <c r="AU29" s="37">
        <v>0</v>
      </c>
      <c r="AV29" s="37">
        <v>0</v>
      </c>
      <c r="AW29" s="37">
        <v>0</v>
      </c>
      <c r="AX29" s="194">
        <v>288</v>
      </c>
    </row>
    <row r="30" spans="1:50" x14ac:dyDescent="0.25">
      <c r="A30">
        <v>3</v>
      </c>
      <c r="B30">
        <v>9328.3676400000004</v>
      </c>
      <c r="C30">
        <v>2006.89356</v>
      </c>
      <c r="D30">
        <v>2206.3498100000002</v>
      </c>
      <c r="E30">
        <v>1115.96976</v>
      </c>
      <c r="F30">
        <v>320.42063000000002</v>
      </c>
      <c r="G30">
        <v>94.183000000000007</v>
      </c>
      <c r="H30">
        <v>1027.8295000000001</v>
      </c>
      <c r="I30">
        <v>422.90848</v>
      </c>
      <c r="J30">
        <v>0</v>
      </c>
      <c r="K30">
        <v>0</v>
      </c>
      <c r="L30">
        <v>380.65186999999997</v>
      </c>
      <c r="M30">
        <v>0</v>
      </c>
      <c r="N30">
        <v>0</v>
      </c>
      <c r="O30">
        <v>0</v>
      </c>
      <c r="P30">
        <v>0</v>
      </c>
      <c r="Q30">
        <v>0</v>
      </c>
      <c r="R30">
        <v>385.0367</v>
      </c>
      <c r="S30">
        <v>0</v>
      </c>
      <c r="T30">
        <v>0</v>
      </c>
      <c r="U30">
        <v>0</v>
      </c>
      <c r="V30">
        <v>0</v>
      </c>
      <c r="W30">
        <v>0</v>
      </c>
      <c r="Y30">
        <v>1</v>
      </c>
      <c r="Z30">
        <v>2</v>
      </c>
      <c r="AA30">
        <v>3</v>
      </c>
      <c r="AB30">
        <v>4</v>
      </c>
      <c r="AC30">
        <v>5</v>
      </c>
      <c r="AD30">
        <v>6</v>
      </c>
      <c r="AE30">
        <v>7</v>
      </c>
      <c r="AF30">
        <v>8</v>
      </c>
      <c r="AG30">
        <v>9</v>
      </c>
      <c r="AH30">
        <v>10</v>
      </c>
      <c r="AI30">
        <v>11</v>
      </c>
      <c r="AJ30">
        <v>12</v>
      </c>
      <c r="AK30">
        <v>13</v>
      </c>
      <c r="AL30">
        <v>14</v>
      </c>
      <c r="AM30">
        <v>15</v>
      </c>
      <c r="AN30">
        <v>18</v>
      </c>
      <c r="AO30">
        <v>19</v>
      </c>
      <c r="AP30">
        <v>20</v>
      </c>
      <c r="AQ30">
        <v>21</v>
      </c>
      <c r="AR30">
        <v>22</v>
      </c>
      <c r="AS30">
        <v>23</v>
      </c>
      <c r="AT30">
        <v>24</v>
      </c>
      <c r="AU30">
        <v>25</v>
      </c>
    </row>
    <row r="31" spans="1:50" x14ac:dyDescent="0.25">
      <c r="A31">
        <v>4</v>
      </c>
      <c r="B31">
        <v>1758.2408700000001</v>
      </c>
      <c r="C31">
        <v>15.00403</v>
      </c>
      <c r="D31">
        <v>2499.41255</v>
      </c>
      <c r="E31">
        <v>707.68591000000004</v>
      </c>
      <c r="F31">
        <v>593.91488000000004</v>
      </c>
      <c r="G31">
        <v>0</v>
      </c>
      <c r="H31">
        <v>0</v>
      </c>
      <c r="I31">
        <v>0</v>
      </c>
      <c r="J31">
        <v>0</v>
      </c>
      <c r="K31">
        <v>0</v>
      </c>
      <c r="L31">
        <v>0</v>
      </c>
      <c r="M31">
        <v>0</v>
      </c>
      <c r="N31">
        <v>0</v>
      </c>
      <c r="O31">
        <v>0</v>
      </c>
      <c r="P31">
        <v>0</v>
      </c>
      <c r="Q31">
        <v>0</v>
      </c>
      <c r="R31">
        <v>0</v>
      </c>
      <c r="S31">
        <v>0</v>
      </c>
      <c r="T31">
        <v>36.45082</v>
      </c>
      <c r="U31">
        <v>0</v>
      </c>
      <c r="V31">
        <v>0</v>
      </c>
      <c r="W31">
        <v>0</v>
      </c>
      <c r="Y31">
        <v>1</v>
      </c>
      <c r="Z31" s="30">
        <v>836</v>
      </c>
      <c r="AA31" s="31">
        <v>20</v>
      </c>
      <c r="AB31" s="31">
        <v>4</v>
      </c>
      <c r="AC31" s="31">
        <v>6</v>
      </c>
      <c r="AD31" s="31">
        <v>6</v>
      </c>
      <c r="AE31" s="31">
        <v>2</v>
      </c>
      <c r="AF31" s="31">
        <v>10</v>
      </c>
      <c r="AG31" s="31">
        <v>12</v>
      </c>
      <c r="AH31" s="31">
        <v>0</v>
      </c>
      <c r="AI31" s="31">
        <v>0</v>
      </c>
      <c r="AJ31" s="31">
        <v>0</v>
      </c>
      <c r="AK31" s="31">
        <v>0</v>
      </c>
      <c r="AL31" s="31">
        <v>0</v>
      </c>
      <c r="AM31" s="31">
        <v>0</v>
      </c>
      <c r="AN31" s="31">
        <v>0</v>
      </c>
      <c r="AO31" s="31">
        <v>0</v>
      </c>
      <c r="AP31" s="31">
        <v>0</v>
      </c>
      <c r="AQ31" s="31">
        <v>0</v>
      </c>
      <c r="AR31" s="31">
        <v>0</v>
      </c>
      <c r="AS31" s="31">
        <v>0</v>
      </c>
      <c r="AT31" s="31">
        <v>0</v>
      </c>
      <c r="AU31" s="31">
        <v>0</v>
      </c>
      <c r="AV31" s="31">
        <v>0</v>
      </c>
      <c r="AW31" s="31">
        <v>0</v>
      </c>
      <c r="AX31" s="32">
        <v>0</v>
      </c>
    </row>
    <row r="32" spans="1:50" x14ac:dyDescent="0.25">
      <c r="A32">
        <v>5</v>
      </c>
      <c r="B32">
        <v>6259.4339799999998</v>
      </c>
      <c r="C32">
        <v>1429.77874</v>
      </c>
      <c r="D32">
        <v>320.42063000000002</v>
      </c>
      <c r="E32">
        <v>644.86762999999996</v>
      </c>
      <c r="F32">
        <v>4101.4449500000001</v>
      </c>
      <c r="G32">
        <v>1545.59707</v>
      </c>
      <c r="H32">
        <v>24.02957</v>
      </c>
      <c r="I32">
        <v>201.64965000000001</v>
      </c>
      <c r="J32">
        <v>0</v>
      </c>
      <c r="K32">
        <v>0</v>
      </c>
      <c r="L32">
        <v>0</v>
      </c>
      <c r="M32">
        <v>249.34957</v>
      </c>
      <c r="N32">
        <v>34.28248</v>
      </c>
      <c r="O32">
        <v>191.37289000000001</v>
      </c>
      <c r="P32">
        <v>0</v>
      </c>
      <c r="Q32">
        <v>0</v>
      </c>
      <c r="R32">
        <v>295.72027000000003</v>
      </c>
      <c r="S32">
        <v>0</v>
      </c>
      <c r="T32">
        <v>0</v>
      </c>
      <c r="U32">
        <v>0</v>
      </c>
      <c r="V32">
        <v>0</v>
      </c>
      <c r="W32">
        <v>0</v>
      </c>
      <c r="Y32">
        <v>2</v>
      </c>
      <c r="Z32" s="33">
        <v>3320</v>
      </c>
      <c r="AA32" s="34">
        <v>482</v>
      </c>
      <c r="AB32" s="34">
        <v>44</v>
      </c>
      <c r="AC32" s="34">
        <v>20</v>
      </c>
      <c r="AD32" s="34">
        <v>4</v>
      </c>
      <c r="AE32" s="34">
        <v>2</v>
      </c>
      <c r="AF32" s="34">
        <v>2</v>
      </c>
      <c r="AG32" s="34">
        <v>14</v>
      </c>
      <c r="AH32" s="34">
        <v>16</v>
      </c>
      <c r="AI32" s="34">
        <v>2</v>
      </c>
      <c r="AJ32" s="34">
        <v>0</v>
      </c>
      <c r="AK32" s="34">
        <v>0</v>
      </c>
      <c r="AL32" s="34">
        <v>0</v>
      </c>
      <c r="AM32" s="34">
        <v>0</v>
      </c>
      <c r="AN32" s="34">
        <v>0</v>
      </c>
      <c r="AO32" s="34">
        <v>0</v>
      </c>
      <c r="AP32" s="34">
        <v>0</v>
      </c>
      <c r="AQ32" s="34">
        <v>0</v>
      </c>
      <c r="AR32" s="34">
        <v>0</v>
      </c>
      <c r="AS32" s="34">
        <v>0</v>
      </c>
      <c r="AT32" s="34">
        <v>2</v>
      </c>
      <c r="AU32" s="34">
        <v>0</v>
      </c>
      <c r="AV32" s="34">
        <v>0</v>
      </c>
      <c r="AW32" s="34">
        <v>0</v>
      </c>
      <c r="AX32" s="35">
        <v>0</v>
      </c>
    </row>
    <row r="33" spans="1:50" x14ac:dyDescent="0.25">
      <c r="A33">
        <v>6</v>
      </c>
      <c r="B33">
        <v>3303.04268</v>
      </c>
      <c r="C33">
        <v>786.44676000000004</v>
      </c>
      <c r="D33">
        <v>0</v>
      </c>
      <c r="E33">
        <v>0</v>
      </c>
      <c r="F33">
        <v>835.81579999999997</v>
      </c>
      <c r="G33">
        <v>4251.8094000000001</v>
      </c>
      <c r="H33">
        <v>84.101759999999999</v>
      </c>
      <c r="I33">
        <v>0</v>
      </c>
      <c r="J33">
        <v>0</v>
      </c>
      <c r="K33">
        <v>0</v>
      </c>
      <c r="L33">
        <v>0</v>
      </c>
      <c r="M33">
        <v>0</v>
      </c>
      <c r="N33">
        <v>0</v>
      </c>
      <c r="O33">
        <v>328.74176</v>
      </c>
      <c r="P33">
        <v>0</v>
      </c>
      <c r="Q33">
        <v>0</v>
      </c>
      <c r="R33">
        <v>0</v>
      </c>
      <c r="S33">
        <v>0</v>
      </c>
      <c r="T33">
        <v>0</v>
      </c>
      <c r="U33">
        <v>0</v>
      </c>
      <c r="V33">
        <v>0</v>
      </c>
      <c r="W33">
        <v>0</v>
      </c>
      <c r="Y33">
        <v>3</v>
      </c>
      <c r="Z33" s="33">
        <v>1958</v>
      </c>
      <c r="AA33" s="34">
        <v>66</v>
      </c>
      <c r="AB33" s="34">
        <v>170</v>
      </c>
      <c r="AC33" s="34">
        <v>28</v>
      </c>
      <c r="AD33" s="34">
        <v>10</v>
      </c>
      <c r="AE33" s="34">
        <v>0</v>
      </c>
      <c r="AF33" s="34">
        <v>0</v>
      </c>
      <c r="AG33" s="34">
        <v>12</v>
      </c>
      <c r="AH33" s="34">
        <v>6</v>
      </c>
      <c r="AI33" s="34">
        <v>2</v>
      </c>
      <c r="AJ33" s="34">
        <v>0</v>
      </c>
      <c r="AK33" s="34">
        <v>0</v>
      </c>
      <c r="AL33" s="34">
        <v>0</v>
      </c>
      <c r="AM33" s="34">
        <v>0</v>
      </c>
      <c r="AN33" s="34">
        <v>0</v>
      </c>
      <c r="AO33" s="34">
        <v>0</v>
      </c>
      <c r="AP33" s="34">
        <v>0</v>
      </c>
      <c r="AQ33" s="34">
        <v>0</v>
      </c>
      <c r="AR33" s="34">
        <v>0</v>
      </c>
      <c r="AS33" s="34">
        <v>0</v>
      </c>
      <c r="AT33" s="34">
        <v>0</v>
      </c>
      <c r="AU33" s="34">
        <v>0</v>
      </c>
      <c r="AV33" s="34">
        <v>0</v>
      </c>
      <c r="AW33" s="34">
        <v>0</v>
      </c>
      <c r="AX33" s="35">
        <v>0</v>
      </c>
    </row>
    <row r="34" spans="1:50" x14ac:dyDescent="0.25">
      <c r="A34">
        <v>7</v>
      </c>
      <c r="B34">
        <v>3901.6713399999999</v>
      </c>
      <c r="C34">
        <v>0</v>
      </c>
      <c r="D34">
        <v>413.72300000000001</v>
      </c>
      <c r="E34">
        <v>0</v>
      </c>
      <c r="F34">
        <v>61.827979999999997</v>
      </c>
      <c r="G34">
        <v>543.63887</v>
      </c>
      <c r="H34">
        <v>6023.2979500000001</v>
      </c>
      <c r="I34">
        <v>109.24102000000001</v>
      </c>
      <c r="J34">
        <v>101.20013</v>
      </c>
      <c r="K34">
        <v>13.72339</v>
      </c>
      <c r="L34">
        <v>0</v>
      </c>
      <c r="M34">
        <v>0</v>
      </c>
      <c r="N34">
        <v>0</v>
      </c>
      <c r="O34">
        <v>0</v>
      </c>
      <c r="P34">
        <v>44.210099999999997</v>
      </c>
      <c r="Q34">
        <v>249.15765999999999</v>
      </c>
      <c r="R34">
        <v>0</v>
      </c>
      <c r="S34">
        <v>0</v>
      </c>
      <c r="T34">
        <v>0</v>
      </c>
      <c r="U34">
        <v>0</v>
      </c>
      <c r="V34">
        <v>0</v>
      </c>
      <c r="W34">
        <v>0</v>
      </c>
      <c r="Y34">
        <v>4</v>
      </c>
      <c r="Z34" s="33">
        <v>718</v>
      </c>
      <c r="AA34" s="34">
        <v>14</v>
      </c>
      <c r="AB34" s="34">
        <v>42</v>
      </c>
      <c r="AC34" s="34">
        <v>56</v>
      </c>
      <c r="AD34" s="34">
        <v>28</v>
      </c>
      <c r="AE34" s="34">
        <v>0</v>
      </c>
      <c r="AF34" s="34">
        <v>0</v>
      </c>
      <c r="AG34" s="34">
        <v>0</v>
      </c>
      <c r="AH34" s="34">
        <v>0</v>
      </c>
      <c r="AI34" s="34">
        <v>0</v>
      </c>
      <c r="AJ34" s="34">
        <v>4</v>
      </c>
      <c r="AK34" s="34">
        <v>0</v>
      </c>
      <c r="AL34" s="34">
        <v>0</v>
      </c>
      <c r="AM34" s="34">
        <v>0</v>
      </c>
      <c r="AN34" s="34">
        <v>0</v>
      </c>
      <c r="AO34" s="34">
        <v>0</v>
      </c>
      <c r="AP34" s="34">
        <v>0</v>
      </c>
      <c r="AQ34" s="34">
        <v>0</v>
      </c>
      <c r="AR34" s="34">
        <v>0</v>
      </c>
      <c r="AS34" s="34">
        <v>0</v>
      </c>
      <c r="AT34" s="34">
        <v>0</v>
      </c>
      <c r="AU34" s="34">
        <v>0</v>
      </c>
      <c r="AV34" s="34">
        <v>0</v>
      </c>
      <c r="AW34" s="34">
        <v>0</v>
      </c>
      <c r="AX34" s="35">
        <v>0</v>
      </c>
    </row>
    <row r="35" spans="1:50" x14ac:dyDescent="0.25">
      <c r="A35">
        <v>8</v>
      </c>
      <c r="B35">
        <v>17812.662929999999</v>
      </c>
      <c r="C35">
        <v>1064.52631</v>
      </c>
      <c r="D35">
        <v>0</v>
      </c>
      <c r="E35">
        <v>44.190469999999998</v>
      </c>
      <c r="F35">
        <v>791.02428999999995</v>
      </c>
      <c r="G35">
        <v>34.143380000000001</v>
      </c>
      <c r="H35">
        <v>1197.0995800000001</v>
      </c>
      <c r="I35">
        <v>13624.2021</v>
      </c>
      <c r="J35">
        <v>355.32866000000001</v>
      </c>
      <c r="K35">
        <v>91.409630000000007</v>
      </c>
      <c r="L35">
        <v>0</v>
      </c>
      <c r="M35">
        <v>0</v>
      </c>
      <c r="N35">
        <v>0</v>
      </c>
      <c r="O35">
        <v>0</v>
      </c>
      <c r="P35">
        <v>88.624219999999994</v>
      </c>
      <c r="Q35">
        <v>36.317729999999997</v>
      </c>
      <c r="R35">
        <v>0</v>
      </c>
      <c r="S35">
        <v>0</v>
      </c>
      <c r="T35">
        <v>0</v>
      </c>
      <c r="U35">
        <v>0</v>
      </c>
      <c r="V35">
        <v>142.92786000000001</v>
      </c>
      <c r="W35">
        <v>0</v>
      </c>
      <c r="Y35">
        <v>5</v>
      </c>
      <c r="Z35" s="33">
        <v>988</v>
      </c>
      <c r="AA35" s="34">
        <v>4</v>
      </c>
      <c r="AB35" s="34">
        <v>12</v>
      </c>
      <c r="AC35" s="34">
        <v>22</v>
      </c>
      <c r="AD35" s="34">
        <v>136</v>
      </c>
      <c r="AE35" s="34">
        <v>18</v>
      </c>
      <c r="AF35" s="34">
        <v>2</v>
      </c>
      <c r="AG35" s="34">
        <v>4</v>
      </c>
      <c r="AH35" s="34">
        <v>0</v>
      </c>
      <c r="AI35" s="34">
        <v>2</v>
      </c>
      <c r="AJ35" s="34">
        <v>0</v>
      </c>
      <c r="AK35" s="34">
        <v>2</v>
      </c>
      <c r="AL35" s="34">
        <v>2</v>
      </c>
      <c r="AM35" s="34">
        <v>0</v>
      </c>
      <c r="AN35" s="34">
        <v>0</v>
      </c>
      <c r="AO35" s="34">
        <v>0</v>
      </c>
      <c r="AP35" s="34">
        <v>0</v>
      </c>
      <c r="AQ35" s="34">
        <v>0</v>
      </c>
      <c r="AR35" s="34">
        <v>0</v>
      </c>
      <c r="AS35" s="34">
        <v>0</v>
      </c>
      <c r="AT35" s="34">
        <v>2</v>
      </c>
      <c r="AU35" s="34">
        <v>0</v>
      </c>
      <c r="AV35" s="34">
        <v>0</v>
      </c>
      <c r="AW35" s="34">
        <v>0</v>
      </c>
      <c r="AX35" s="35">
        <v>0</v>
      </c>
    </row>
    <row r="36" spans="1:50" x14ac:dyDescent="0.25">
      <c r="A36">
        <v>9</v>
      </c>
      <c r="B36">
        <v>2113.95253</v>
      </c>
      <c r="C36">
        <v>209.00414000000001</v>
      </c>
      <c r="D36">
        <v>0</v>
      </c>
      <c r="E36">
        <v>0</v>
      </c>
      <c r="F36">
        <v>0</v>
      </c>
      <c r="G36">
        <v>0</v>
      </c>
      <c r="H36">
        <v>198.07945000000001</v>
      </c>
      <c r="I36">
        <v>0</v>
      </c>
      <c r="J36">
        <v>248.52853999999999</v>
      </c>
      <c r="K36">
        <v>17.819379999999999</v>
      </c>
      <c r="L36">
        <v>0</v>
      </c>
      <c r="M36">
        <v>0</v>
      </c>
      <c r="N36">
        <v>0</v>
      </c>
      <c r="O36">
        <v>0</v>
      </c>
      <c r="P36">
        <v>0</v>
      </c>
      <c r="Q36">
        <v>0</v>
      </c>
      <c r="R36">
        <v>58.410069999999997</v>
      </c>
      <c r="S36">
        <v>0</v>
      </c>
      <c r="T36">
        <v>0</v>
      </c>
      <c r="U36">
        <v>0</v>
      </c>
      <c r="V36">
        <v>0</v>
      </c>
      <c r="W36">
        <v>0</v>
      </c>
      <c r="Y36">
        <v>6</v>
      </c>
      <c r="Z36" s="33">
        <v>806</v>
      </c>
      <c r="AA36" s="34">
        <v>0</v>
      </c>
      <c r="AB36" s="34">
        <v>10</v>
      </c>
      <c r="AC36" s="34">
        <v>0</v>
      </c>
      <c r="AD36" s="34">
        <v>18</v>
      </c>
      <c r="AE36" s="34">
        <v>54</v>
      </c>
      <c r="AF36" s="34">
        <v>12</v>
      </c>
      <c r="AG36" s="34">
        <v>2</v>
      </c>
      <c r="AH36" s="34">
        <v>0</v>
      </c>
      <c r="AI36" s="34">
        <v>0</v>
      </c>
      <c r="AJ36" s="34">
        <v>0</v>
      </c>
      <c r="AK36" s="34">
        <v>2</v>
      </c>
      <c r="AL36" s="34">
        <v>4</v>
      </c>
      <c r="AM36" s="34">
        <v>0</v>
      </c>
      <c r="AN36" s="34">
        <v>0</v>
      </c>
      <c r="AO36" s="34">
        <v>0</v>
      </c>
      <c r="AP36" s="34">
        <v>0</v>
      </c>
      <c r="AQ36" s="34">
        <v>0</v>
      </c>
      <c r="AR36" s="34">
        <v>0</v>
      </c>
      <c r="AS36" s="34">
        <v>0</v>
      </c>
      <c r="AT36" s="34">
        <v>0</v>
      </c>
      <c r="AU36" s="34">
        <v>0</v>
      </c>
      <c r="AV36" s="34">
        <v>0</v>
      </c>
      <c r="AW36" s="34">
        <v>0</v>
      </c>
      <c r="AX36" s="35">
        <v>0</v>
      </c>
    </row>
    <row r="37" spans="1:50" x14ac:dyDescent="0.25">
      <c r="A37">
        <v>10</v>
      </c>
      <c r="B37">
        <v>2475.5517</v>
      </c>
      <c r="C37">
        <v>0</v>
      </c>
      <c r="D37">
        <v>0</v>
      </c>
      <c r="E37">
        <v>0</v>
      </c>
      <c r="F37">
        <v>0</v>
      </c>
      <c r="G37">
        <v>1726.00279</v>
      </c>
      <c r="H37">
        <v>739.66630999999995</v>
      </c>
      <c r="I37">
        <v>0</v>
      </c>
      <c r="J37">
        <v>0</v>
      </c>
      <c r="K37">
        <v>217.72524000000001</v>
      </c>
      <c r="L37">
        <v>0</v>
      </c>
      <c r="M37">
        <v>0</v>
      </c>
      <c r="N37">
        <v>0</v>
      </c>
      <c r="O37">
        <v>0</v>
      </c>
      <c r="P37">
        <v>0</v>
      </c>
      <c r="Q37">
        <v>0</v>
      </c>
      <c r="R37">
        <v>138.10592</v>
      </c>
      <c r="S37">
        <v>0</v>
      </c>
      <c r="T37">
        <v>0</v>
      </c>
      <c r="U37">
        <v>0</v>
      </c>
      <c r="V37">
        <v>0</v>
      </c>
      <c r="W37">
        <v>0</v>
      </c>
      <c r="Y37">
        <v>7</v>
      </c>
      <c r="Z37" s="33">
        <v>1708</v>
      </c>
      <c r="AA37" s="34">
        <v>6</v>
      </c>
      <c r="AB37" s="34">
        <v>0</v>
      </c>
      <c r="AC37" s="34">
        <v>0</v>
      </c>
      <c r="AD37" s="34">
        <v>2</v>
      </c>
      <c r="AE37" s="34">
        <v>14</v>
      </c>
      <c r="AF37" s="34">
        <v>190</v>
      </c>
      <c r="AG37" s="34">
        <v>40</v>
      </c>
      <c r="AH37" s="34">
        <v>0</v>
      </c>
      <c r="AI37" s="34">
        <v>0</v>
      </c>
      <c r="AJ37" s="34">
        <v>0</v>
      </c>
      <c r="AK37" s="34">
        <v>0</v>
      </c>
      <c r="AL37" s="34">
        <v>0</v>
      </c>
      <c r="AM37" s="34">
        <v>18</v>
      </c>
      <c r="AN37" s="34">
        <v>0</v>
      </c>
      <c r="AO37" s="34">
        <v>0</v>
      </c>
      <c r="AP37" s="34">
        <v>0</v>
      </c>
      <c r="AQ37" s="34">
        <v>0</v>
      </c>
      <c r="AR37" s="34">
        <v>0</v>
      </c>
      <c r="AS37" s="34">
        <v>0</v>
      </c>
      <c r="AT37" s="34">
        <v>0</v>
      </c>
      <c r="AU37" s="34">
        <v>0</v>
      </c>
      <c r="AV37" s="34">
        <v>0</v>
      </c>
      <c r="AW37" s="34">
        <v>0</v>
      </c>
      <c r="AX37" s="35">
        <v>0</v>
      </c>
    </row>
    <row r="38" spans="1:50" x14ac:dyDescent="0.25">
      <c r="A38">
        <v>11</v>
      </c>
      <c r="B38">
        <v>2151.2342699999999</v>
      </c>
      <c r="C38">
        <v>0</v>
      </c>
      <c r="D38">
        <v>0</v>
      </c>
      <c r="E38">
        <v>0</v>
      </c>
      <c r="F38">
        <v>0</v>
      </c>
      <c r="G38">
        <v>0</v>
      </c>
      <c r="H38">
        <v>0</v>
      </c>
      <c r="I38">
        <v>0</v>
      </c>
      <c r="J38">
        <v>0</v>
      </c>
      <c r="K38">
        <v>0</v>
      </c>
      <c r="L38">
        <v>52.289610000000003</v>
      </c>
      <c r="M38">
        <v>34.875660000000003</v>
      </c>
      <c r="N38">
        <v>229.75550000000001</v>
      </c>
      <c r="O38">
        <v>0</v>
      </c>
      <c r="P38">
        <v>0</v>
      </c>
      <c r="Q38">
        <v>0</v>
      </c>
      <c r="R38">
        <v>0</v>
      </c>
      <c r="S38">
        <v>0</v>
      </c>
      <c r="T38">
        <v>0</v>
      </c>
      <c r="U38">
        <v>0</v>
      </c>
      <c r="V38">
        <v>0</v>
      </c>
      <c r="W38">
        <v>0</v>
      </c>
      <c r="Y38">
        <v>8</v>
      </c>
      <c r="Z38" s="33">
        <v>2802</v>
      </c>
      <c r="AA38" s="34">
        <v>6</v>
      </c>
      <c r="AB38" s="34">
        <v>2</v>
      </c>
      <c r="AC38" s="34">
        <v>0</v>
      </c>
      <c r="AD38" s="34">
        <v>4</v>
      </c>
      <c r="AE38" s="34">
        <v>2</v>
      </c>
      <c r="AF38" s="34">
        <v>58</v>
      </c>
      <c r="AG38" s="34">
        <v>414</v>
      </c>
      <c r="AH38" s="34">
        <v>0</v>
      </c>
      <c r="AI38" s="34">
        <v>0</v>
      </c>
      <c r="AJ38" s="34">
        <v>0</v>
      </c>
      <c r="AK38" s="34">
        <v>2</v>
      </c>
      <c r="AL38" s="34">
        <v>0</v>
      </c>
      <c r="AM38" s="34">
        <v>10</v>
      </c>
      <c r="AN38" s="34">
        <v>4</v>
      </c>
      <c r="AO38" s="34">
        <v>0</v>
      </c>
      <c r="AP38" s="34">
        <v>0</v>
      </c>
      <c r="AQ38" s="34">
        <v>0</v>
      </c>
      <c r="AR38" s="34">
        <v>0</v>
      </c>
      <c r="AS38" s="34">
        <v>0</v>
      </c>
      <c r="AT38" s="34">
        <v>0</v>
      </c>
      <c r="AU38" s="34">
        <v>0</v>
      </c>
      <c r="AV38" s="34">
        <v>0</v>
      </c>
      <c r="AW38" s="34">
        <v>0</v>
      </c>
      <c r="AX38" s="35">
        <v>0</v>
      </c>
    </row>
    <row r="39" spans="1:50" x14ac:dyDescent="0.25">
      <c r="A39">
        <v>12</v>
      </c>
      <c r="B39">
        <v>2018.82447</v>
      </c>
      <c r="C39">
        <v>378.34109000000001</v>
      </c>
      <c r="D39">
        <v>0</v>
      </c>
      <c r="E39">
        <v>0</v>
      </c>
      <c r="F39">
        <v>215.38507000000001</v>
      </c>
      <c r="G39">
        <v>0</v>
      </c>
      <c r="H39">
        <v>0</v>
      </c>
      <c r="I39">
        <v>0</v>
      </c>
      <c r="J39">
        <v>0</v>
      </c>
      <c r="K39">
        <v>0</v>
      </c>
      <c r="L39">
        <v>0</v>
      </c>
      <c r="M39">
        <v>142.36975000000001</v>
      </c>
      <c r="N39">
        <v>530.08164999999997</v>
      </c>
      <c r="O39">
        <v>0</v>
      </c>
      <c r="P39">
        <v>0</v>
      </c>
      <c r="Q39">
        <v>0</v>
      </c>
      <c r="R39">
        <v>0</v>
      </c>
      <c r="S39">
        <v>0</v>
      </c>
      <c r="T39">
        <v>0</v>
      </c>
      <c r="U39">
        <v>308.32069999999999</v>
      </c>
      <c r="V39">
        <v>0</v>
      </c>
      <c r="W39">
        <v>34.28248</v>
      </c>
      <c r="Y39">
        <v>9</v>
      </c>
      <c r="Z39" s="33">
        <v>326</v>
      </c>
      <c r="AA39" s="34">
        <v>32</v>
      </c>
      <c r="AB39" s="34">
        <v>4</v>
      </c>
      <c r="AC39" s="34">
        <v>0</v>
      </c>
      <c r="AD39" s="34">
        <v>0</v>
      </c>
      <c r="AE39" s="34">
        <v>0</v>
      </c>
      <c r="AF39" s="34">
        <v>0</v>
      </c>
      <c r="AG39" s="34">
        <v>4</v>
      </c>
      <c r="AH39" s="34">
        <v>44</v>
      </c>
      <c r="AI39" s="34">
        <v>0</v>
      </c>
      <c r="AJ39" s="34">
        <v>0</v>
      </c>
      <c r="AK39" s="34">
        <v>0</v>
      </c>
      <c r="AL39" s="34">
        <v>0</v>
      </c>
      <c r="AM39" s="34">
        <v>0</v>
      </c>
      <c r="AN39" s="34">
        <v>0</v>
      </c>
      <c r="AO39" s="34">
        <v>0</v>
      </c>
      <c r="AP39" s="34">
        <v>0</v>
      </c>
      <c r="AQ39" s="34">
        <v>0</v>
      </c>
      <c r="AR39" s="34">
        <v>0</v>
      </c>
      <c r="AS39" s="34">
        <v>6</v>
      </c>
      <c r="AT39" s="34">
        <v>10</v>
      </c>
      <c r="AU39" s="34">
        <v>0</v>
      </c>
      <c r="AV39" s="34">
        <v>0</v>
      </c>
      <c r="AW39" s="34">
        <v>0</v>
      </c>
      <c r="AX39" s="35">
        <v>0</v>
      </c>
    </row>
    <row r="40" spans="1:50" x14ac:dyDescent="0.25">
      <c r="A40">
        <v>13</v>
      </c>
      <c r="B40">
        <v>11169.93442</v>
      </c>
      <c r="C40">
        <v>0</v>
      </c>
      <c r="D40">
        <v>0</v>
      </c>
      <c r="E40">
        <v>0</v>
      </c>
      <c r="F40">
        <v>34.28248</v>
      </c>
      <c r="G40">
        <v>0</v>
      </c>
      <c r="H40">
        <v>0</v>
      </c>
      <c r="I40">
        <v>0</v>
      </c>
      <c r="J40">
        <v>0</v>
      </c>
      <c r="K40">
        <v>0</v>
      </c>
      <c r="L40">
        <v>117.88124000000001</v>
      </c>
      <c r="M40">
        <v>183.27045000000001</v>
      </c>
      <c r="N40">
        <v>271.40096999999997</v>
      </c>
      <c r="O40">
        <v>143.37578999999999</v>
      </c>
      <c r="P40">
        <v>0</v>
      </c>
      <c r="Q40">
        <v>0</v>
      </c>
      <c r="R40">
        <v>0</v>
      </c>
      <c r="S40">
        <v>87.097200000000001</v>
      </c>
      <c r="T40">
        <v>0</v>
      </c>
      <c r="U40">
        <v>0</v>
      </c>
      <c r="V40">
        <v>285.85570999999999</v>
      </c>
      <c r="W40">
        <v>0</v>
      </c>
      <c r="Y40">
        <v>10</v>
      </c>
      <c r="Z40" s="33">
        <v>284</v>
      </c>
      <c r="AA40" s="34">
        <v>8</v>
      </c>
      <c r="AB40" s="34">
        <v>24</v>
      </c>
      <c r="AC40" s="34">
        <v>0</v>
      </c>
      <c r="AD40" s="34">
        <v>0</v>
      </c>
      <c r="AE40" s="34">
        <v>2</v>
      </c>
      <c r="AF40" s="34">
        <v>0</v>
      </c>
      <c r="AG40" s="34">
        <v>2</v>
      </c>
      <c r="AH40" s="34">
        <v>0</v>
      </c>
      <c r="AI40" s="34">
        <v>40</v>
      </c>
      <c r="AJ40" s="34">
        <v>18</v>
      </c>
      <c r="AK40" s="34">
        <v>0</v>
      </c>
      <c r="AL40" s="34">
        <v>0</v>
      </c>
      <c r="AM40" s="34">
        <v>0</v>
      </c>
      <c r="AN40" s="34">
        <v>0</v>
      </c>
      <c r="AO40" s="34">
        <v>0</v>
      </c>
      <c r="AP40" s="34">
        <v>0</v>
      </c>
      <c r="AQ40" s="34">
        <v>0</v>
      </c>
      <c r="AR40" s="34">
        <v>0</v>
      </c>
      <c r="AS40" s="34">
        <v>12</v>
      </c>
      <c r="AT40" s="34">
        <v>10</v>
      </c>
      <c r="AU40" s="34">
        <v>0</v>
      </c>
      <c r="AV40" s="34">
        <v>0</v>
      </c>
      <c r="AW40" s="34">
        <v>0</v>
      </c>
      <c r="AX40" s="35">
        <v>0</v>
      </c>
    </row>
    <row r="41" spans="1:50" x14ac:dyDescent="0.25">
      <c r="A41">
        <v>14</v>
      </c>
      <c r="B41">
        <v>4399.7796500000004</v>
      </c>
      <c r="C41">
        <v>0</v>
      </c>
      <c r="D41">
        <v>0</v>
      </c>
      <c r="E41">
        <v>83.996650000000002</v>
      </c>
      <c r="F41">
        <v>0</v>
      </c>
      <c r="G41">
        <v>344.59926000000002</v>
      </c>
      <c r="H41">
        <v>0</v>
      </c>
      <c r="I41">
        <v>17.819379999999999</v>
      </c>
      <c r="J41">
        <v>0</v>
      </c>
      <c r="K41">
        <v>0</v>
      </c>
      <c r="L41">
        <v>0</v>
      </c>
      <c r="M41">
        <v>0</v>
      </c>
      <c r="N41">
        <v>44.190469999999998</v>
      </c>
      <c r="O41">
        <v>0</v>
      </c>
      <c r="P41">
        <v>0</v>
      </c>
      <c r="Q41">
        <v>28.397030000000001</v>
      </c>
      <c r="R41">
        <v>0</v>
      </c>
      <c r="S41">
        <v>0</v>
      </c>
      <c r="T41">
        <v>0</v>
      </c>
      <c r="U41">
        <v>0</v>
      </c>
      <c r="V41">
        <v>0</v>
      </c>
      <c r="W41">
        <v>35.673409999999997</v>
      </c>
      <c r="Y41">
        <v>11</v>
      </c>
      <c r="Z41" s="33">
        <v>390</v>
      </c>
      <c r="AA41" s="34">
        <v>2</v>
      </c>
      <c r="AB41" s="34">
        <v>2</v>
      </c>
      <c r="AC41" s="34">
        <v>6</v>
      </c>
      <c r="AD41" s="34">
        <v>2</v>
      </c>
      <c r="AE41" s="34">
        <v>0</v>
      </c>
      <c r="AF41" s="34">
        <v>0</v>
      </c>
      <c r="AG41" s="34">
        <v>2</v>
      </c>
      <c r="AH41" s="34">
        <v>0</v>
      </c>
      <c r="AI41" s="34">
        <v>16</v>
      </c>
      <c r="AJ41" s="34">
        <v>46</v>
      </c>
      <c r="AK41" s="34">
        <v>8</v>
      </c>
      <c r="AL41" s="34">
        <v>0</v>
      </c>
      <c r="AM41" s="34">
        <v>0</v>
      </c>
      <c r="AN41" s="34">
        <v>0</v>
      </c>
      <c r="AO41" s="34">
        <v>0</v>
      </c>
      <c r="AP41" s="34">
        <v>0</v>
      </c>
      <c r="AQ41" s="34">
        <v>0</v>
      </c>
      <c r="AR41" s="34">
        <v>0</v>
      </c>
      <c r="AS41" s="34">
        <v>0</v>
      </c>
      <c r="AT41" s="34">
        <v>0</v>
      </c>
      <c r="AU41" s="34">
        <v>4</v>
      </c>
      <c r="AV41" s="34">
        <v>0</v>
      </c>
      <c r="AW41" s="34">
        <v>0</v>
      </c>
      <c r="AX41" s="35">
        <v>0</v>
      </c>
    </row>
    <row r="42" spans="1:50" x14ac:dyDescent="0.25">
      <c r="A42">
        <v>15</v>
      </c>
      <c r="B42">
        <v>1257.34565</v>
      </c>
      <c r="C42">
        <v>0</v>
      </c>
      <c r="D42">
        <v>0</v>
      </c>
      <c r="E42">
        <v>0</v>
      </c>
      <c r="F42">
        <v>0</v>
      </c>
      <c r="G42">
        <v>0</v>
      </c>
      <c r="H42">
        <v>44.210099999999997</v>
      </c>
      <c r="I42">
        <v>0</v>
      </c>
      <c r="J42">
        <v>0</v>
      </c>
      <c r="K42">
        <v>0</v>
      </c>
      <c r="L42">
        <v>0</v>
      </c>
      <c r="M42">
        <v>0</v>
      </c>
      <c r="N42">
        <v>0</v>
      </c>
      <c r="O42">
        <v>0</v>
      </c>
      <c r="P42">
        <v>178.73715999999999</v>
      </c>
      <c r="Q42">
        <v>0</v>
      </c>
      <c r="R42">
        <v>0</v>
      </c>
      <c r="S42">
        <v>0</v>
      </c>
      <c r="T42">
        <v>0</v>
      </c>
      <c r="U42">
        <v>0</v>
      </c>
      <c r="V42">
        <v>0</v>
      </c>
      <c r="W42">
        <v>0</v>
      </c>
      <c r="Y42">
        <v>12</v>
      </c>
      <c r="Z42" s="33">
        <v>600</v>
      </c>
      <c r="AA42" s="34">
        <v>0</v>
      </c>
      <c r="AB42" s="34">
        <v>0</v>
      </c>
      <c r="AC42" s="34">
        <v>0</v>
      </c>
      <c r="AD42" s="34">
        <v>6</v>
      </c>
      <c r="AE42" s="34">
        <v>0</v>
      </c>
      <c r="AF42" s="34">
        <v>2</v>
      </c>
      <c r="AG42" s="34">
        <v>0</v>
      </c>
      <c r="AH42" s="34">
        <v>0</v>
      </c>
      <c r="AI42" s="34">
        <v>0</v>
      </c>
      <c r="AJ42" s="34">
        <v>6</v>
      </c>
      <c r="AK42" s="34">
        <v>88</v>
      </c>
      <c r="AL42" s="34">
        <v>18</v>
      </c>
      <c r="AM42" s="34">
        <v>0</v>
      </c>
      <c r="AN42" s="34">
        <v>0</v>
      </c>
      <c r="AO42" s="34">
        <v>0</v>
      </c>
      <c r="AP42" s="34">
        <v>0</v>
      </c>
      <c r="AQ42" s="34">
        <v>0</v>
      </c>
      <c r="AR42" s="34">
        <v>0</v>
      </c>
      <c r="AS42" s="34">
        <v>0</v>
      </c>
      <c r="AT42" s="34">
        <v>0</v>
      </c>
      <c r="AU42" s="34">
        <v>0</v>
      </c>
      <c r="AV42" s="34">
        <v>0</v>
      </c>
      <c r="AW42" s="34">
        <v>2</v>
      </c>
      <c r="AX42" s="35">
        <v>0</v>
      </c>
    </row>
    <row r="43" spans="1:50" x14ac:dyDescent="0.25">
      <c r="A43">
        <v>18</v>
      </c>
      <c r="B43">
        <v>0</v>
      </c>
      <c r="C43">
        <v>0</v>
      </c>
      <c r="D43">
        <v>0</v>
      </c>
      <c r="E43">
        <v>0</v>
      </c>
      <c r="F43">
        <v>0</v>
      </c>
      <c r="G43">
        <v>0</v>
      </c>
      <c r="H43">
        <v>455.06024000000002</v>
      </c>
      <c r="I43">
        <v>36.317729999999997</v>
      </c>
      <c r="J43">
        <v>0</v>
      </c>
      <c r="K43">
        <v>0</v>
      </c>
      <c r="L43">
        <v>0</v>
      </c>
      <c r="M43">
        <v>0</v>
      </c>
      <c r="N43">
        <v>0</v>
      </c>
      <c r="O43">
        <v>15.00403</v>
      </c>
      <c r="P43">
        <v>0</v>
      </c>
      <c r="Q43">
        <v>0</v>
      </c>
      <c r="R43">
        <v>0</v>
      </c>
      <c r="S43">
        <v>0</v>
      </c>
      <c r="T43">
        <v>0</v>
      </c>
      <c r="U43">
        <v>0</v>
      </c>
      <c r="V43">
        <v>0</v>
      </c>
      <c r="W43">
        <v>0</v>
      </c>
      <c r="Y43">
        <v>13</v>
      </c>
      <c r="Z43" s="33">
        <v>818</v>
      </c>
      <c r="AA43" s="34">
        <v>2</v>
      </c>
      <c r="AB43" s="34">
        <v>2</v>
      </c>
      <c r="AC43" s="34">
        <v>0</v>
      </c>
      <c r="AD43" s="34">
        <v>2</v>
      </c>
      <c r="AE43" s="34">
        <v>8</v>
      </c>
      <c r="AF43" s="34">
        <v>0</v>
      </c>
      <c r="AG43" s="34">
        <v>0</v>
      </c>
      <c r="AH43" s="34">
        <v>0</v>
      </c>
      <c r="AI43" s="34">
        <v>2</v>
      </c>
      <c r="AJ43" s="34">
        <v>0</v>
      </c>
      <c r="AK43" s="34">
        <v>28</v>
      </c>
      <c r="AL43" s="34">
        <v>182</v>
      </c>
      <c r="AM43" s="34">
        <v>4</v>
      </c>
      <c r="AN43" s="34">
        <v>0</v>
      </c>
      <c r="AO43" s="34">
        <v>0</v>
      </c>
      <c r="AP43" s="34">
        <v>0</v>
      </c>
      <c r="AQ43" s="34">
        <v>0</v>
      </c>
      <c r="AR43" s="34">
        <v>0</v>
      </c>
      <c r="AS43" s="34">
        <v>0</v>
      </c>
      <c r="AT43" s="34">
        <v>0</v>
      </c>
      <c r="AU43" s="34">
        <v>0</v>
      </c>
      <c r="AV43" s="34">
        <v>0</v>
      </c>
      <c r="AW43" s="34">
        <v>8</v>
      </c>
      <c r="AX43" s="35">
        <v>0</v>
      </c>
    </row>
    <row r="44" spans="1:50" x14ac:dyDescent="0.25">
      <c r="Y44">
        <v>14</v>
      </c>
      <c r="Z44" s="33">
        <v>626</v>
      </c>
      <c r="AA44" s="34">
        <v>0</v>
      </c>
      <c r="AB44" s="34">
        <v>2</v>
      </c>
      <c r="AC44" s="34">
        <v>0</v>
      </c>
      <c r="AD44" s="34">
        <v>0</v>
      </c>
      <c r="AE44" s="34">
        <v>2</v>
      </c>
      <c r="AF44" s="34">
        <v>38</v>
      </c>
      <c r="AG44" s="34">
        <v>6</v>
      </c>
      <c r="AH44" s="34">
        <v>0</v>
      </c>
      <c r="AI44" s="34">
        <v>0</v>
      </c>
      <c r="AJ44" s="34">
        <v>0</v>
      </c>
      <c r="AK44" s="34">
        <v>0</v>
      </c>
      <c r="AL44" s="34">
        <v>2</v>
      </c>
      <c r="AM44" s="34">
        <v>58</v>
      </c>
      <c r="AN44" s="34">
        <v>4</v>
      </c>
      <c r="AO44" s="34">
        <v>0</v>
      </c>
      <c r="AP44" s="34">
        <v>0</v>
      </c>
      <c r="AQ44" s="34">
        <v>0</v>
      </c>
      <c r="AR44" s="34">
        <v>0</v>
      </c>
      <c r="AS44" s="34">
        <v>0</v>
      </c>
      <c r="AT44" s="34">
        <v>0</v>
      </c>
      <c r="AU44" s="34">
        <v>0</v>
      </c>
      <c r="AV44" s="34">
        <v>0</v>
      </c>
      <c r="AW44" s="34">
        <v>0</v>
      </c>
      <c r="AX44" s="35">
        <v>2</v>
      </c>
    </row>
    <row r="45" spans="1:50" x14ac:dyDescent="0.25">
      <c r="Y45">
        <v>15</v>
      </c>
      <c r="Z45" s="33">
        <v>658</v>
      </c>
      <c r="AA45" s="34">
        <v>0</v>
      </c>
      <c r="AB45" s="34">
        <v>0</v>
      </c>
      <c r="AC45" s="34">
        <v>0</v>
      </c>
      <c r="AD45" s="34">
        <v>2</v>
      </c>
      <c r="AE45" s="34">
        <v>0</v>
      </c>
      <c r="AF45" s="34">
        <v>0</v>
      </c>
      <c r="AG45" s="34">
        <v>26</v>
      </c>
      <c r="AH45" s="34">
        <v>0</v>
      </c>
      <c r="AI45" s="34">
        <v>0</v>
      </c>
      <c r="AJ45" s="34">
        <v>0</v>
      </c>
      <c r="AK45" s="34">
        <v>0</v>
      </c>
      <c r="AL45" s="34">
        <v>0</v>
      </c>
      <c r="AM45" s="34">
        <v>4</v>
      </c>
      <c r="AN45" s="34">
        <v>70</v>
      </c>
      <c r="AO45" s="34">
        <v>0</v>
      </c>
      <c r="AP45" s="34">
        <v>0</v>
      </c>
      <c r="AQ45" s="34">
        <v>4</v>
      </c>
      <c r="AR45" s="34">
        <v>0</v>
      </c>
      <c r="AS45" s="34">
        <v>0</v>
      </c>
      <c r="AT45" s="34">
        <v>0</v>
      </c>
      <c r="AU45" s="34">
        <v>0</v>
      </c>
      <c r="AV45" s="34">
        <v>0</v>
      </c>
      <c r="AW45" s="34">
        <v>0</v>
      </c>
      <c r="AX45" s="35">
        <v>0</v>
      </c>
    </row>
    <row r="46" spans="1:50" x14ac:dyDescent="0.25">
      <c r="A46">
        <v>22</v>
      </c>
      <c r="B46">
        <v>152.70773</v>
      </c>
      <c r="C46">
        <v>0</v>
      </c>
      <c r="D46">
        <v>0</v>
      </c>
      <c r="E46">
        <v>25.75367</v>
      </c>
      <c r="F46">
        <v>0</v>
      </c>
      <c r="G46">
        <v>0</v>
      </c>
      <c r="H46">
        <v>0</v>
      </c>
      <c r="I46">
        <v>0</v>
      </c>
      <c r="J46">
        <v>0</v>
      </c>
      <c r="K46">
        <v>0</v>
      </c>
      <c r="L46">
        <v>0</v>
      </c>
      <c r="M46">
        <v>0</v>
      </c>
      <c r="N46">
        <v>0</v>
      </c>
      <c r="O46">
        <v>0</v>
      </c>
      <c r="P46">
        <v>0</v>
      </c>
      <c r="Q46">
        <v>0</v>
      </c>
      <c r="R46">
        <v>0</v>
      </c>
      <c r="S46">
        <v>0</v>
      </c>
      <c r="T46">
        <v>93.359319999999997</v>
      </c>
      <c r="U46">
        <v>0</v>
      </c>
      <c r="V46">
        <v>0</v>
      </c>
      <c r="W46">
        <v>0</v>
      </c>
      <c r="Y46">
        <v>16</v>
      </c>
      <c r="Z46" s="33">
        <v>32</v>
      </c>
      <c r="AA46" s="34">
        <v>0</v>
      </c>
      <c r="AB46" s="34">
        <v>0</v>
      </c>
      <c r="AC46" s="34">
        <v>0</v>
      </c>
      <c r="AD46" s="34">
        <v>0</v>
      </c>
      <c r="AE46" s="34">
        <v>0</v>
      </c>
      <c r="AF46" s="34">
        <v>0</v>
      </c>
      <c r="AG46" s="34">
        <v>0</v>
      </c>
      <c r="AH46" s="34">
        <v>0</v>
      </c>
      <c r="AI46" s="34">
        <v>0</v>
      </c>
      <c r="AJ46" s="34">
        <v>0</v>
      </c>
      <c r="AK46" s="34">
        <v>0</v>
      </c>
      <c r="AL46" s="34">
        <v>0</v>
      </c>
      <c r="AM46" s="34">
        <v>0</v>
      </c>
      <c r="AN46" s="34">
        <v>0</v>
      </c>
      <c r="AO46" s="34">
        <v>0</v>
      </c>
      <c r="AP46" s="34">
        <v>0</v>
      </c>
      <c r="AQ46" s="34">
        <v>0</v>
      </c>
      <c r="AR46" s="34">
        <v>0</v>
      </c>
      <c r="AS46" s="34">
        <v>2</v>
      </c>
      <c r="AT46" s="34">
        <v>4</v>
      </c>
      <c r="AU46" s="34">
        <v>0</v>
      </c>
      <c r="AV46" s="34">
        <v>0</v>
      </c>
      <c r="AW46" s="34">
        <v>0</v>
      </c>
      <c r="AX46" s="35">
        <v>0</v>
      </c>
    </row>
    <row r="47" spans="1:50" x14ac:dyDescent="0.25">
      <c r="A47">
        <v>23</v>
      </c>
      <c r="B47">
        <v>1389.5677499999999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Y47">
        <v>17</v>
      </c>
      <c r="Z47" s="33">
        <v>2</v>
      </c>
      <c r="AA47" s="34">
        <v>0</v>
      </c>
      <c r="AB47" s="34">
        <v>0</v>
      </c>
      <c r="AC47" s="34">
        <v>0</v>
      </c>
      <c r="AD47" s="34">
        <v>0</v>
      </c>
      <c r="AE47" s="34">
        <v>0</v>
      </c>
      <c r="AF47" s="34">
        <v>0</v>
      </c>
      <c r="AG47" s="34">
        <v>0</v>
      </c>
      <c r="AH47" s="34">
        <v>0</v>
      </c>
      <c r="AI47" s="34">
        <v>0</v>
      </c>
      <c r="AJ47" s="34">
        <v>0</v>
      </c>
      <c r="AK47" s="34">
        <v>0</v>
      </c>
      <c r="AL47" s="34">
        <v>0</v>
      </c>
      <c r="AM47" s="34">
        <v>0</v>
      </c>
      <c r="AN47" s="34">
        <v>0</v>
      </c>
      <c r="AO47" s="34">
        <v>0</v>
      </c>
      <c r="AP47" s="34">
        <v>0</v>
      </c>
      <c r="AQ47" s="34">
        <v>0</v>
      </c>
      <c r="AR47" s="34">
        <v>0</v>
      </c>
      <c r="AS47" s="34">
        <v>0</v>
      </c>
      <c r="AT47" s="34">
        <v>0</v>
      </c>
      <c r="AU47" s="34">
        <v>0</v>
      </c>
      <c r="AV47" s="34">
        <v>0</v>
      </c>
      <c r="AW47" s="34">
        <v>0</v>
      </c>
      <c r="AX47" s="35">
        <v>0</v>
      </c>
    </row>
    <row r="48" spans="1:50" x14ac:dyDescent="0.25">
      <c r="A48">
        <v>24</v>
      </c>
      <c r="B48">
        <v>2128.3800999999999</v>
      </c>
      <c r="C48">
        <v>0</v>
      </c>
      <c r="D48">
        <v>0</v>
      </c>
      <c r="E48">
        <v>0</v>
      </c>
      <c r="F48">
        <v>0</v>
      </c>
      <c r="G48">
        <v>0</v>
      </c>
      <c r="H48">
        <v>0</v>
      </c>
      <c r="I48">
        <v>0</v>
      </c>
      <c r="J48">
        <v>0</v>
      </c>
      <c r="K48">
        <v>0</v>
      </c>
      <c r="L48">
        <v>0</v>
      </c>
      <c r="M48">
        <v>0</v>
      </c>
      <c r="N48">
        <v>84.101759999999999</v>
      </c>
      <c r="O48">
        <v>0</v>
      </c>
      <c r="P48">
        <v>0</v>
      </c>
      <c r="Q48">
        <v>0</v>
      </c>
      <c r="R48">
        <v>0</v>
      </c>
      <c r="S48">
        <v>0</v>
      </c>
      <c r="T48">
        <v>0</v>
      </c>
      <c r="U48">
        <v>0</v>
      </c>
      <c r="V48">
        <v>269.62432000000001</v>
      </c>
      <c r="W48">
        <v>24.02957</v>
      </c>
      <c r="Y48">
        <v>18</v>
      </c>
      <c r="Z48" s="33">
        <v>408</v>
      </c>
      <c r="AA48" s="34">
        <v>0</v>
      </c>
      <c r="AB48" s="34">
        <v>0</v>
      </c>
      <c r="AC48" s="34">
        <v>2</v>
      </c>
      <c r="AD48" s="34">
        <v>0</v>
      </c>
      <c r="AE48" s="34">
        <v>0</v>
      </c>
      <c r="AF48" s="34">
        <v>0</v>
      </c>
      <c r="AG48" s="34">
        <v>12</v>
      </c>
      <c r="AH48" s="34">
        <v>0</v>
      </c>
      <c r="AI48" s="34">
        <v>0</v>
      </c>
      <c r="AJ48" s="34">
        <v>0</v>
      </c>
      <c r="AK48" s="34">
        <v>0</v>
      </c>
      <c r="AL48" s="34">
        <v>0</v>
      </c>
      <c r="AM48" s="34">
        <v>0</v>
      </c>
      <c r="AN48" s="34">
        <v>2</v>
      </c>
      <c r="AO48" s="34">
        <v>0</v>
      </c>
      <c r="AP48" s="34">
        <v>0</v>
      </c>
      <c r="AQ48" s="34">
        <v>4</v>
      </c>
      <c r="AR48" s="34">
        <v>2</v>
      </c>
      <c r="AS48" s="34">
        <v>0</v>
      </c>
      <c r="AT48" s="34">
        <v>0</v>
      </c>
      <c r="AU48" s="34">
        <v>0</v>
      </c>
      <c r="AV48" s="34">
        <v>0</v>
      </c>
      <c r="AW48" s="34">
        <v>0</v>
      </c>
      <c r="AX48" s="35">
        <v>0</v>
      </c>
    </row>
    <row r="49" spans="1:74" x14ac:dyDescent="0.25">
      <c r="A49">
        <v>25</v>
      </c>
      <c r="B49">
        <v>1555.7122999999999</v>
      </c>
      <c r="C49">
        <v>0</v>
      </c>
      <c r="D49">
        <v>0</v>
      </c>
      <c r="E49">
        <v>0</v>
      </c>
      <c r="F49">
        <v>0</v>
      </c>
      <c r="G49">
        <v>0</v>
      </c>
      <c r="H49">
        <v>0</v>
      </c>
      <c r="I49">
        <v>0</v>
      </c>
      <c r="J49">
        <v>0</v>
      </c>
      <c r="K49">
        <v>0</v>
      </c>
      <c r="L49">
        <v>0</v>
      </c>
      <c r="M49">
        <v>487.05945000000003</v>
      </c>
      <c r="N49">
        <v>0</v>
      </c>
      <c r="O49">
        <v>21.3</v>
      </c>
      <c r="P49">
        <v>0</v>
      </c>
      <c r="Q49">
        <v>0</v>
      </c>
      <c r="R49">
        <v>0</v>
      </c>
      <c r="S49">
        <v>0</v>
      </c>
      <c r="T49">
        <v>0</v>
      </c>
      <c r="U49">
        <v>0</v>
      </c>
      <c r="V49">
        <v>0</v>
      </c>
      <c r="W49">
        <v>98.316789999999997</v>
      </c>
      <c r="Y49">
        <v>19</v>
      </c>
      <c r="Z49" s="33">
        <v>36</v>
      </c>
      <c r="AA49" s="34">
        <v>0</v>
      </c>
      <c r="AB49" s="34">
        <v>0</v>
      </c>
      <c r="AC49" s="34">
        <v>0</v>
      </c>
      <c r="AD49" s="34">
        <v>0</v>
      </c>
      <c r="AE49" s="34">
        <v>0</v>
      </c>
      <c r="AF49" s="34">
        <v>0</v>
      </c>
      <c r="AG49" s="34">
        <v>0</v>
      </c>
      <c r="AH49" s="34">
        <v>0</v>
      </c>
      <c r="AI49" s="34">
        <v>0</v>
      </c>
      <c r="AJ49" s="34">
        <v>0</v>
      </c>
      <c r="AK49" s="34">
        <v>0</v>
      </c>
      <c r="AL49" s="34">
        <v>0</v>
      </c>
      <c r="AM49" s="34">
        <v>0</v>
      </c>
      <c r="AN49" s="34">
        <v>0</v>
      </c>
      <c r="AO49" s="34">
        <v>0</v>
      </c>
      <c r="AP49" s="34">
        <v>0</v>
      </c>
      <c r="AQ49" s="34">
        <v>2</v>
      </c>
      <c r="AR49" s="34">
        <v>4</v>
      </c>
      <c r="AS49" s="34">
        <v>0</v>
      </c>
      <c r="AT49" s="34">
        <v>0</v>
      </c>
      <c r="AU49" s="34">
        <v>0</v>
      </c>
      <c r="AV49" s="34">
        <v>0</v>
      </c>
      <c r="AW49" s="34">
        <v>0</v>
      </c>
      <c r="AX49" s="35">
        <v>0</v>
      </c>
    </row>
    <row r="50" spans="1:74" x14ac:dyDescent="0.25">
      <c r="A50" t="s">
        <v>518</v>
      </c>
      <c r="Y50">
        <v>20</v>
      </c>
      <c r="Z50" s="33">
        <v>288</v>
      </c>
      <c r="AA50" s="34">
        <v>4</v>
      </c>
      <c r="AB50" s="34">
        <v>14</v>
      </c>
      <c r="AC50" s="34">
        <v>4</v>
      </c>
      <c r="AD50" s="34">
        <v>0</v>
      </c>
      <c r="AE50" s="34">
        <v>0</v>
      </c>
      <c r="AF50" s="34">
        <v>0</v>
      </c>
      <c r="AG50" s="34">
        <v>4</v>
      </c>
      <c r="AH50" s="34">
        <v>2</v>
      </c>
      <c r="AI50" s="34">
        <v>20</v>
      </c>
      <c r="AJ50" s="34">
        <v>0</v>
      </c>
      <c r="AK50" s="34">
        <v>2</v>
      </c>
      <c r="AL50" s="34">
        <v>0</v>
      </c>
      <c r="AM50" s="34">
        <v>0</v>
      </c>
      <c r="AN50" s="34">
        <v>0</v>
      </c>
      <c r="AO50" s="34">
        <v>0</v>
      </c>
      <c r="AP50" s="34">
        <v>0</v>
      </c>
      <c r="AQ50" s="34">
        <v>0</v>
      </c>
      <c r="AR50" s="34">
        <v>0</v>
      </c>
      <c r="AS50" s="34">
        <v>132</v>
      </c>
      <c r="AT50" s="34">
        <v>22</v>
      </c>
      <c r="AU50" s="34">
        <v>2</v>
      </c>
      <c r="AV50" s="34">
        <v>0</v>
      </c>
      <c r="AW50" s="34">
        <v>0</v>
      </c>
      <c r="AX50" s="35">
        <v>0</v>
      </c>
    </row>
    <row r="51" spans="1:74" x14ac:dyDescent="0.25">
      <c r="A51">
        <v>1</v>
      </c>
      <c r="B51" t="s">
        <v>520</v>
      </c>
      <c r="Y51">
        <v>21</v>
      </c>
      <c r="Z51" s="33">
        <v>210</v>
      </c>
      <c r="AA51" s="34">
        <v>10</v>
      </c>
      <c r="AB51" s="34">
        <v>2</v>
      </c>
      <c r="AC51" s="34">
        <v>0</v>
      </c>
      <c r="AD51" s="34">
        <v>0</v>
      </c>
      <c r="AE51" s="34">
        <v>0</v>
      </c>
      <c r="AF51" s="34">
        <v>0</v>
      </c>
      <c r="AG51" s="34">
        <v>0</v>
      </c>
      <c r="AH51" s="34">
        <v>8</v>
      </c>
      <c r="AI51" s="34">
        <v>0</v>
      </c>
      <c r="AJ51" s="34">
        <v>0</v>
      </c>
      <c r="AK51" s="34">
        <v>0</v>
      </c>
      <c r="AL51" s="34">
        <v>0</v>
      </c>
      <c r="AM51" s="34">
        <v>0</v>
      </c>
      <c r="AN51" s="34">
        <v>0</v>
      </c>
      <c r="AO51" s="34">
        <v>0</v>
      </c>
      <c r="AP51" s="34">
        <v>0</v>
      </c>
      <c r="AQ51" s="34">
        <v>0</v>
      </c>
      <c r="AR51" s="34">
        <v>0</v>
      </c>
      <c r="AS51" s="34">
        <v>0</v>
      </c>
      <c r="AT51" s="34">
        <v>84</v>
      </c>
      <c r="AU51" s="34">
        <v>0</v>
      </c>
      <c r="AV51" s="34">
        <v>0</v>
      </c>
      <c r="AW51" s="34">
        <v>0</v>
      </c>
      <c r="AX51" s="35">
        <v>0</v>
      </c>
    </row>
    <row r="52" spans="1:74" x14ac:dyDescent="0.25">
      <c r="B52">
        <v>1</v>
      </c>
      <c r="C52">
        <v>2</v>
      </c>
      <c r="D52">
        <v>3</v>
      </c>
      <c r="E52">
        <v>5</v>
      </c>
      <c r="F52">
        <v>6</v>
      </c>
      <c r="G52">
        <v>7</v>
      </c>
      <c r="H52">
        <v>8</v>
      </c>
      <c r="I52">
        <v>9</v>
      </c>
      <c r="J52">
        <v>10</v>
      </c>
      <c r="K52">
        <v>11</v>
      </c>
      <c r="L52">
        <v>13</v>
      </c>
      <c r="M52">
        <v>15</v>
      </c>
      <c r="N52">
        <v>18</v>
      </c>
      <c r="O52">
        <v>20</v>
      </c>
      <c r="P52">
        <v>21</v>
      </c>
      <c r="Q52">
        <v>24</v>
      </c>
      <c r="R52">
        <v>25</v>
      </c>
      <c r="Y52">
        <v>22</v>
      </c>
      <c r="Z52" s="33">
        <v>60</v>
      </c>
      <c r="AA52" s="34">
        <v>0</v>
      </c>
      <c r="AB52" s="34">
        <v>6</v>
      </c>
      <c r="AC52" s="34">
        <v>0</v>
      </c>
      <c r="AD52" s="34">
        <v>2</v>
      </c>
      <c r="AE52" s="34">
        <v>0</v>
      </c>
      <c r="AF52" s="34">
        <v>0</v>
      </c>
      <c r="AG52" s="34">
        <v>0</v>
      </c>
      <c r="AH52" s="34">
        <v>0</v>
      </c>
      <c r="AI52" s="34">
        <v>0</v>
      </c>
      <c r="AJ52" s="34">
        <v>10</v>
      </c>
      <c r="AK52" s="34">
        <v>0</v>
      </c>
      <c r="AL52" s="34">
        <v>0</v>
      </c>
      <c r="AM52" s="34">
        <v>0</v>
      </c>
      <c r="AN52" s="34">
        <v>0</v>
      </c>
      <c r="AO52" s="34">
        <v>0</v>
      </c>
      <c r="AP52" s="34">
        <v>0</v>
      </c>
      <c r="AQ52" s="34">
        <v>0</v>
      </c>
      <c r="AR52" s="34">
        <v>0</v>
      </c>
      <c r="AS52" s="34">
        <v>0</v>
      </c>
      <c r="AT52" s="34">
        <v>0</v>
      </c>
      <c r="AU52" s="34">
        <v>56</v>
      </c>
      <c r="AV52" s="34">
        <v>0</v>
      </c>
      <c r="AW52" s="34">
        <v>0</v>
      </c>
      <c r="AX52" s="35">
        <v>0</v>
      </c>
    </row>
    <row r="53" spans="1:74" x14ac:dyDescent="0.25">
      <c r="A53">
        <v>1</v>
      </c>
      <c r="B53">
        <v>9645.5300000000007</v>
      </c>
      <c r="C53">
        <v>8573.1415099999995</v>
      </c>
      <c r="D53">
        <v>773.54529000000002</v>
      </c>
      <c r="E53">
        <v>2266.9265999999998</v>
      </c>
      <c r="F53">
        <v>182.81926000000001</v>
      </c>
      <c r="G53">
        <v>0</v>
      </c>
      <c r="H53">
        <v>4637.7546499999999</v>
      </c>
      <c r="I53">
        <v>573.66337999999996</v>
      </c>
      <c r="J53">
        <v>1241.5129999999999</v>
      </c>
      <c r="K53">
        <v>2655.1829899999998</v>
      </c>
      <c r="L53">
        <v>2149.1677399999999</v>
      </c>
      <c r="M53">
        <v>112.03528</v>
      </c>
      <c r="N53">
        <v>0</v>
      </c>
      <c r="O53">
        <v>1727.9996900000001</v>
      </c>
      <c r="P53">
        <v>267.33780999999999</v>
      </c>
      <c r="Q53">
        <v>3627.48434</v>
      </c>
      <c r="R53">
        <v>0</v>
      </c>
      <c r="Y53">
        <v>23</v>
      </c>
      <c r="Z53" s="33">
        <v>138</v>
      </c>
      <c r="AA53" s="34">
        <v>0</v>
      </c>
      <c r="AB53" s="34">
        <v>0</v>
      </c>
      <c r="AC53" s="34">
        <v>0</v>
      </c>
      <c r="AD53" s="34">
        <v>0</v>
      </c>
      <c r="AE53" s="34">
        <v>2</v>
      </c>
      <c r="AF53" s="34">
        <v>0</v>
      </c>
      <c r="AG53" s="34">
        <v>0</v>
      </c>
      <c r="AH53" s="34">
        <v>0</v>
      </c>
      <c r="AI53" s="34">
        <v>0</v>
      </c>
      <c r="AJ53" s="34">
        <v>0</v>
      </c>
      <c r="AK53" s="34">
        <v>10</v>
      </c>
      <c r="AL53" s="34">
        <v>2</v>
      </c>
      <c r="AM53" s="34">
        <v>0</v>
      </c>
      <c r="AN53" s="34">
        <v>0</v>
      </c>
      <c r="AO53" s="34">
        <v>0</v>
      </c>
      <c r="AP53" s="34">
        <v>0</v>
      </c>
      <c r="AQ53" s="34">
        <v>0</v>
      </c>
      <c r="AR53" s="34">
        <v>0</v>
      </c>
      <c r="AS53" s="34">
        <v>0</v>
      </c>
      <c r="AT53" s="34">
        <v>0</v>
      </c>
      <c r="AU53" s="34">
        <v>0</v>
      </c>
      <c r="AV53" s="34">
        <v>16</v>
      </c>
      <c r="AW53" s="34">
        <v>2</v>
      </c>
      <c r="AX53" s="35">
        <v>0</v>
      </c>
    </row>
    <row r="54" spans="1:74" x14ac:dyDescent="0.25">
      <c r="A54">
        <v>2</v>
      </c>
      <c r="B54">
        <v>9903.8259799999996</v>
      </c>
      <c r="C54">
        <v>8622.4236199999996</v>
      </c>
      <c r="D54">
        <v>486.31661000000003</v>
      </c>
      <c r="E54">
        <v>0</v>
      </c>
      <c r="F54">
        <v>0</v>
      </c>
      <c r="G54">
        <v>556.60128999999995</v>
      </c>
      <c r="H54">
        <v>0</v>
      </c>
      <c r="I54">
        <v>0</v>
      </c>
      <c r="J54">
        <v>0</v>
      </c>
      <c r="K54">
        <v>0</v>
      </c>
      <c r="L54">
        <v>0</v>
      </c>
      <c r="M54">
        <v>0</v>
      </c>
      <c r="N54">
        <v>0</v>
      </c>
      <c r="O54">
        <v>0</v>
      </c>
      <c r="P54">
        <v>0</v>
      </c>
      <c r="Q54">
        <v>0</v>
      </c>
      <c r="R54">
        <v>0</v>
      </c>
      <c r="Y54">
        <v>24</v>
      </c>
      <c r="Z54" s="33">
        <v>112</v>
      </c>
      <c r="AA54" s="34">
        <v>2</v>
      </c>
      <c r="AB54" s="34">
        <v>0</v>
      </c>
      <c r="AC54" s="34">
        <v>0</v>
      </c>
      <c r="AD54" s="34">
        <v>0</v>
      </c>
      <c r="AE54" s="34">
        <v>2</v>
      </c>
      <c r="AF54" s="34">
        <v>0</v>
      </c>
      <c r="AG54" s="34">
        <v>0</v>
      </c>
      <c r="AH54" s="34">
        <v>0</v>
      </c>
      <c r="AI54" s="34">
        <v>0</v>
      </c>
      <c r="AJ54" s="34">
        <v>0</v>
      </c>
      <c r="AK54" s="34">
        <v>2</v>
      </c>
      <c r="AL54" s="34">
        <v>16</v>
      </c>
      <c r="AM54" s="34">
        <v>0</v>
      </c>
      <c r="AN54" s="34">
        <v>0</v>
      </c>
      <c r="AO54" s="34">
        <v>0</v>
      </c>
      <c r="AP54" s="34">
        <v>0</v>
      </c>
      <c r="AQ54" s="34">
        <v>0</v>
      </c>
      <c r="AR54" s="34">
        <v>0</v>
      </c>
      <c r="AS54" s="34">
        <v>0</v>
      </c>
      <c r="AT54" s="34">
        <v>0</v>
      </c>
      <c r="AU54" s="34">
        <v>0</v>
      </c>
      <c r="AV54" s="34">
        <v>0</v>
      </c>
      <c r="AW54" s="34">
        <v>62</v>
      </c>
      <c r="AX54" s="35">
        <v>0</v>
      </c>
    </row>
    <row r="55" spans="1:74" x14ac:dyDescent="0.25">
      <c r="A55">
        <v>3</v>
      </c>
      <c r="B55">
        <v>2054.2015299999998</v>
      </c>
      <c r="C55">
        <v>637.61559999999997</v>
      </c>
      <c r="D55">
        <v>2188.6928699999999</v>
      </c>
      <c r="E55">
        <v>0</v>
      </c>
      <c r="F55">
        <v>0</v>
      </c>
      <c r="G55">
        <v>0</v>
      </c>
      <c r="H55">
        <v>0</v>
      </c>
      <c r="I55">
        <v>0</v>
      </c>
      <c r="J55">
        <v>0</v>
      </c>
      <c r="K55">
        <v>0</v>
      </c>
      <c r="L55">
        <v>0</v>
      </c>
      <c r="M55">
        <v>0</v>
      </c>
      <c r="N55">
        <v>1403.7434000000001</v>
      </c>
      <c r="O55">
        <v>0</v>
      </c>
      <c r="P55">
        <v>0</v>
      </c>
      <c r="Q55">
        <v>0</v>
      </c>
      <c r="R55">
        <v>0</v>
      </c>
      <c r="Y55">
        <v>25</v>
      </c>
      <c r="Z55" s="36">
        <v>236</v>
      </c>
      <c r="AA55" s="37">
        <v>0</v>
      </c>
      <c r="AB55" s="37">
        <v>0</v>
      </c>
      <c r="AC55" s="37">
        <v>0</v>
      </c>
      <c r="AD55" s="37">
        <v>0</v>
      </c>
      <c r="AE55" s="37">
        <v>0</v>
      </c>
      <c r="AF55" s="37">
        <v>0</v>
      </c>
      <c r="AG55" s="37">
        <v>0</v>
      </c>
      <c r="AH55" s="37">
        <v>0</v>
      </c>
      <c r="AI55" s="37">
        <v>0</v>
      </c>
      <c r="AJ55" s="37">
        <v>0</v>
      </c>
      <c r="AK55" s="37">
        <v>0</v>
      </c>
      <c r="AL55" s="37">
        <v>2</v>
      </c>
      <c r="AM55" s="37">
        <v>12</v>
      </c>
      <c r="AN55" s="37">
        <v>2</v>
      </c>
      <c r="AO55" s="37">
        <v>0</v>
      </c>
      <c r="AP55" s="37">
        <v>0</v>
      </c>
      <c r="AQ55" s="37">
        <v>0</v>
      </c>
      <c r="AR55" s="37">
        <v>0</v>
      </c>
      <c r="AS55" s="37">
        <v>0</v>
      </c>
      <c r="AT55" s="37">
        <v>0</v>
      </c>
      <c r="AU55" s="37">
        <v>0</v>
      </c>
      <c r="AV55" s="37">
        <v>0</v>
      </c>
      <c r="AW55" s="37">
        <v>0</v>
      </c>
      <c r="AX55" s="194">
        <v>86</v>
      </c>
    </row>
    <row r="56" spans="1:74" x14ac:dyDescent="0.25">
      <c r="A56">
        <v>4</v>
      </c>
      <c r="B56">
        <v>0</v>
      </c>
      <c r="C56">
        <v>0</v>
      </c>
      <c r="D56">
        <v>573.66336999999999</v>
      </c>
      <c r="E56">
        <v>0</v>
      </c>
      <c r="F56">
        <v>0</v>
      </c>
      <c r="G56">
        <v>0</v>
      </c>
      <c r="H56">
        <v>0</v>
      </c>
      <c r="I56">
        <v>0</v>
      </c>
      <c r="J56">
        <v>0</v>
      </c>
      <c r="K56">
        <v>0</v>
      </c>
      <c r="L56">
        <v>0</v>
      </c>
      <c r="M56">
        <v>0</v>
      </c>
      <c r="N56">
        <v>0</v>
      </c>
      <c r="O56">
        <v>0</v>
      </c>
      <c r="P56">
        <v>0</v>
      </c>
      <c r="Q56">
        <v>0</v>
      </c>
      <c r="R56">
        <v>0</v>
      </c>
      <c r="Y56" t="s">
        <v>518</v>
      </c>
    </row>
    <row r="57" spans="1:74" x14ac:dyDescent="0.25">
      <c r="A57">
        <v>5</v>
      </c>
      <c r="B57">
        <v>1690.24503</v>
      </c>
      <c r="C57">
        <v>0</v>
      </c>
      <c r="D57">
        <v>0</v>
      </c>
      <c r="E57">
        <v>0</v>
      </c>
      <c r="F57">
        <v>0</v>
      </c>
      <c r="G57">
        <v>0</v>
      </c>
      <c r="H57">
        <v>1290.5738799999999</v>
      </c>
      <c r="I57">
        <v>0</v>
      </c>
      <c r="J57">
        <v>0</v>
      </c>
      <c r="K57">
        <v>0</v>
      </c>
      <c r="L57">
        <v>0</v>
      </c>
      <c r="M57">
        <v>0</v>
      </c>
      <c r="N57">
        <v>0</v>
      </c>
      <c r="O57">
        <v>0</v>
      </c>
      <c r="P57">
        <v>0</v>
      </c>
      <c r="Q57">
        <v>0</v>
      </c>
      <c r="R57">
        <v>0</v>
      </c>
      <c r="Y57">
        <v>1</v>
      </c>
      <c r="Z57" t="s">
        <v>520</v>
      </c>
    </row>
    <row r="58" spans="1:74" x14ac:dyDescent="0.25">
      <c r="A58">
        <v>6</v>
      </c>
      <c r="B58">
        <v>725.95609999999999</v>
      </c>
      <c r="C58">
        <v>0</v>
      </c>
      <c r="D58">
        <v>0</v>
      </c>
      <c r="E58">
        <v>0</v>
      </c>
      <c r="F58">
        <v>1668.1012499999999</v>
      </c>
      <c r="G58">
        <v>0</v>
      </c>
      <c r="H58">
        <v>0</v>
      </c>
      <c r="I58">
        <v>0</v>
      </c>
      <c r="J58">
        <v>0</v>
      </c>
      <c r="K58">
        <v>0</v>
      </c>
      <c r="L58">
        <v>0</v>
      </c>
      <c r="M58">
        <v>0</v>
      </c>
      <c r="N58">
        <v>0</v>
      </c>
      <c r="O58">
        <v>0</v>
      </c>
      <c r="P58">
        <v>0</v>
      </c>
      <c r="Q58">
        <v>0</v>
      </c>
      <c r="R58">
        <v>0</v>
      </c>
      <c r="Y58">
        <v>1</v>
      </c>
      <c r="Z58">
        <v>2</v>
      </c>
      <c r="AA58">
        <v>3</v>
      </c>
      <c r="AB58">
        <v>4</v>
      </c>
      <c r="AC58">
        <v>5</v>
      </c>
      <c r="AD58">
        <v>6</v>
      </c>
      <c r="AE58">
        <v>7</v>
      </c>
      <c r="AF58">
        <v>8</v>
      </c>
      <c r="AG58">
        <v>9</v>
      </c>
      <c r="AH58">
        <v>10</v>
      </c>
      <c r="AI58">
        <v>11</v>
      </c>
      <c r="AJ58">
        <v>12</v>
      </c>
      <c r="AK58">
        <v>13</v>
      </c>
      <c r="AL58">
        <v>14</v>
      </c>
      <c r="AM58">
        <v>15</v>
      </c>
      <c r="AQ58">
        <v>18</v>
      </c>
      <c r="AR58">
        <v>19</v>
      </c>
      <c r="AS58">
        <v>20</v>
      </c>
      <c r="AT58">
        <v>21</v>
      </c>
      <c r="AU58">
        <v>22</v>
      </c>
      <c r="AV58">
        <v>23</v>
      </c>
      <c r="AW58">
        <v>24</v>
      </c>
      <c r="AX58">
        <v>25</v>
      </c>
      <c r="AY58" s="157"/>
      <c r="AZ58" t="s">
        <v>700</v>
      </c>
    </row>
    <row r="59" spans="1:74" x14ac:dyDescent="0.25">
      <c r="A59">
        <v>7</v>
      </c>
      <c r="B59">
        <v>0</v>
      </c>
      <c r="C59">
        <v>556.60128999999995</v>
      </c>
      <c r="D59">
        <v>0</v>
      </c>
      <c r="E59">
        <v>0</v>
      </c>
      <c r="F59">
        <v>0</v>
      </c>
      <c r="G59">
        <v>0</v>
      </c>
      <c r="H59">
        <v>0</v>
      </c>
      <c r="I59">
        <v>0</v>
      </c>
      <c r="J59">
        <v>0</v>
      </c>
      <c r="K59">
        <v>0</v>
      </c>
      <c r="L59">
        <v>0</v>
      </c>
      <c r="M59">
        <v>0</v>
      </c>
      <c r="N59">
        <v>0</v>
      </c>
      <c r="O59">
        <v>0</v>
      </c>
      <c r="P59">
        <v>0</v>
      </c>
      <c r="Q59">
        <v>0</v>
      </c>
      <c r="R59">
        <v>0</v>
      </c>
      <c r="Y59">
        <v>1</v>
      </c>
      <c r="Z59">
        <v>1384</v>
      </c>
      <c r="AA59">
        <v>13</v>
      </c>
      <c r="AB59">
        <v>5</v>
      </c>
      <c r="AC59">
        <v>3</v>
      </c>
      <c r="AD59">
        <v>2</v>
      </c>
      <c r="AE59">
        <v>0</v>
      </c>
      <c r="AF59">
        <v>6</v>
      </c>
      <c r="AG59">
        <v>8</v>
      </c>
      <c r="AH59">
        <v>2</v>
      </c>
      <c r="AI59">
        <v>0</v>
      </c>
      <c r="AJ59">
        <v>0</v>
      </c>
      <c r="AK59">
        <v>0</v>
      </c>
      <c r="AL59">
        <v>0</v>
      </c>
      <c r="AM59">
        <v>0</v>
      </c>
      <c r="AN59">
        <v>0</v>
      </c>
      <c r="AO59">
        <v>0</v>
      </c>
      <c r="AP59">
        <v>0</v>
      </c>
      <c r="AQ59">
        <v>0</v>
      </c>
      <c r="AR59">
        <v>0</v>
      </c>
      <c r="AS59">
        <v>0</v>
      </c>
      <c r="AT59">
        <v>0</v>
      </c>
      <c r="AU59">
        <v>0</v>
      </c>
      <c r="AV59">
        <v>0</v>
      </c>
      <c r="AW59">
        <v>0</v>
      </c>
      <c r="AX59">
        <v>0</v>
      </c>
      <c r="AY59" s="157" t="s">
        <v>701</v>
      </c>
      <c r="BA59">
        <v>1</v>
      </c>
      <c r="BB59">
        <v>2</v>
      </c>
      <c r="BC59">
        <v>3</v>
      </c>
      <c r="BD59">
        <v>4</v>
      </c>
      <c r="BE59">
        <v>5</v>
      </c>
      <c r="BF59">
        <v>6</v>
      </c>
      <c r="BG59">
        <v>7</v>
      </c>
      <c r="BH59">
        <v>8</v>
      </c>
      <c r="BI59">
        <v>9</v>
      </c>
      <c r="BJ59">
        <v>10</v>
      </c>
      <c r="BK59">
        <v>11</v>
      </c>
      <c r="BL59">
        <v>12</v>
      </c>
      <c r="BM59">
        <v>13</v>
      </c>
      <c r="BN59">
        <v>14</v>
      </c>
      <c r="BO59">
        <v>15</v>
      </c>
      <c r="BP59">
        <v>19</v>
      </c>
      <c r="BQ59">
        <v>20</v>
      </c>
      <c r="BR59">
        <v>21</v>
      </c>
      <c r="BS59">
        <v>22</v>
      </c>
      <c r="BT59">
        <v>23</v>
      </c>
      <c r="BU59">
        <v>24</v>
      </c>
      <c r="BV59">
        <v>25</v>
      </c>
    </row>
    <row r="60" spans="1:74" x14ac:dyDescent="0.25">
      <c r="A60">
        <v>8</v>
      </c>
      <c r="B60">
        <v>3428.9198900000001</v>
      </c>
      <c r="C60">
        <v>0</v>
      </c>
      <c r="D60">
        <v>0</v>
      </c>
      <c r="E60">
        <v>1751.3182999999999</v>
      </c>
      <c r="F60">
        <v>0</v>
      </c>
      <c r="G60">
        <v>0</v>
      </c>
      <c r="H60">
        <v>586.67175999999995</v>
      </c>
      <c r="I60">
        <v>0</v>
      </c>
      <c r="J60">
        <v>0</v>
      </c>
      <c r="K60">
        <v>0</v>
      </c>
      <c r="L60">
        <v>0</v>
      </c>
      <c r="M60">
        <v>0</v>
      </c>
      <c r="N60">
        <v>0</v>
      </c>
      <c r="O60">
        <v>0</v>
      </c>
      <c r="P60">
        <v>0</v>
      </c>
      <c r="Q60">
        <v>0</v>
      </c>
      <c r="R60">
        <v>0</v>
      </c>
      <c r="Y60">
        <v>2</v>
      </c>
      <c r="Z60">
        <v>303</v>
      </c>
      <c r="AA60">
        <v>310</v>
      </c>
      <c r="AB60">
        <v>51</v>
      </c>
      <c r="AC60">
        <v>10</v>
      </c>
      <c r="AD60">
        <v>1</v>
      </c>
      <c r="AE60">
        <v>2</v>
      </c>
      <c r="AF60">
        <v>3</v>
      </c>
      <c r="AG60">
        <v>0</v>
      </c>
      <c r="AH60">
        <v>9</v>
      </c>
      <c r="AI60">
        <v>0</v>
      </c>
      <c r="AJ60">
        <v>1</v>
      </c>
      <c r="AK60">
        <v>0</v>
      </c>
      <c r="AL60">
        <v>0</v>
      </c>
      <c r="AM60">
        <v>0</v>
      </c>
      <c r="AN60">
        <v>0</v>
      </c>
      <c r="AO60">
        <v>0</v>
      </c>
      <c r="AP60">
        <v>0</v>
      </c>
      <c r="AQ60">
        <v>0</v>
      </c>
      <c r="AR60">
        <v>0</v>
      </c>
      <c r="AS60">
        <v>0</v>
      </c>
      <c r="AT60">
        <v>0</v>
      </c>
      <c r="AU60">
        <v>0</v>
      </c>
      <c r="AV60">
        <v>0</v>
      </c>
      <c r="AW60">
        <v>0</v>
      </c>
      <c r="AX60">
        <v>0</v>
      </c>
      <c r="AY60" s="157"/>
      <c r="AZ60">
        <v>1</v>
      </c>
      <c r="BA60">
        <v>1384</v>
      </c>
      <c r="BB60">
        <v>13</v>
      </c>
      <c r="BC60">
        <v>5</v>
      </c>
      <c r="BD60">
        <v>3</v>
      </c>
      <c r="BE60">
        <v>2</v>
      </c>
      <c r="BF60">
        <v>0</v>
      </c>
      <c r="BG60">
        <v>6</v>
      </c>
      <c r="BH60">
        <v>8</v>
      </c>
      <c r="BI60">
        <v>2</v>
      </c>
      <c r="BJ60">
        <v>0</v>
      </c>
      <c r="BK60">
        <v>0</v>
      </c>
      <c r="BL60">
        <v>0</v>
      </c>
      <c r="BM60">
        <v>0</v>
      </c>
      <c r="BN60">
        <v>0</v>
      </c>
      <c r="BO60">
        <v>0</v>
      </c>
      <c r="BP60">
        <v>0</v>
      </c>
      <c r="BQ60">
        <v>0</v>
      </c>
      <c r="BR60">
        <v>0</v>
      </c>
      <c r="BS60">
        <v>0</v>
      </c>
      <c r="BT60">
        <v>0</v>
      </c>
      <c r="BU60">
        <v>0</v>
      </c>
      <c r="BV60">
        <v>0</v>
      </c>
    </row>
    <row r="61" spans="1:74" x14ac:dyDescent="0.25">
      <c r="A61">
        <v>9</v>
      </c>
      <c r="B61">
        <v>573.66337999999996</v>
      </c>
      <c r="C61">
        <v>0</v>
      </c>
      <c r="D61">
        <v>0</v>
      </c>
      <c r="E61">
        <v>0</v>
      </c>
      <c r="F61">
        <v>0</v>
      </c>
      <c r="G61">
        <v>0</v>
      </c>
      <c r="H61">
        <v>0</v>
      </c>
      <c r="I61">
        <v>0</v>
      </c>
      <c r="J61">
        <v>0</v>
      </c>
      <c r="K61">
        <v>0</v>
      </c>
      <c r="L61">
        <v>0</v>
      </c>
      <c r="M61">
        <v>0</v>
      </c>
      <c r="N61">
        <v>0</v>
      </c>
      <c r="O61">
        <v>0</v>
      </c>
      <c r="P61">
        <v>0</v>
      </c>
      <c r="Q61">
        <v>0</v>
      </c>
      <c r="R61">
        <v>0</v>
      </c>
      <c r="Y61">
        <v>3</v>
      </c>
      <c r="Z61">
        <v>102</v>
      </c>
      <c r="AA61">
        <v>50</v>
      </c>
      <c r="AB61">
        <v>119</v>
      </c>
      <c r="AC61">
        <v>35</v>
      </c>
      <c r="AD61">
        <v>8</v>
      </c>
      <c r="AE61">
        <v>3</v>
      </c>
      <c r="AF61">
        <v>0</v>
      </c>
      <c r="AG61">
        <v>2</v>
      </c>
      <c r="AH61">
        <v>1</v>
      </c>
      <c r="AI61">
        <v>4</v>
      </c>
      <c r="AJ61">
        <v>0</v>
      </c>
      <c r="AK61">
        <v>0</v>
      </c>
      <c r="AL61">
        <v>0</v>
      </c>
      <c r="AM61">
        <v>0</v>
      </c>
      <c r="AN61">
        <v>0</v>
      </c>
      <c r="AO61">
        <v>0</v>
      </c>
      <c r="AP61">
        <v>0</v>
      </c>
      <c r="AQ61">
        <v>0</v>
      </c>
      <c r="AR61">
        <v>0</v>
      </c>
      <c r="AS61">
        <v>0</v>
      </c>
      <c r="AT61">
        <v>0</v>
      </c>
      <c r="AU61">
        <v>0</v>
      </c>
      <c r="AV61">
        <v>0</v>
      </c>
      <c r="AW61">
        <v>0</v>
      </c>
      <c r="AX61">
        <v>0</v>
      </c>
      <c r="AY61" s="157"/>
      <c r="AZ61">
        <v>2</v>
      </c>
      <c r="BA61">
        <v>303</v>
      </c>
      <c r="BB61">
        <v>310</v>
      </c>
      <c r="BC61">
        <v>51</v>
      </c>
      <c r="BD61">
        <v>10</v>
      </c>
      <c r="BE61">
        <v>1</v>
      </c>
      <c r="BF61">
        <v>2</v>
      </c>
      <c r="BG61">
        <v>3</v>
      </c>
      <c r="BH61">
        <v>0</v>
      </c>
      <c r="BI61">
        <v>9</v>
      </c>
      <c r="BJ61">
        <v>0</v>
      </c>
      <c r="BK61">
        <v>1</v>
      </c>
      <c r="BL61">
        <v>0</v>
      </c>
      <c r="BM61">
        <v>0</v>
      </c>
      <c r="BN61">
        <v>0</v>
      </c>
      <c r="BO61">
        <v>0</v>
      </c>
      <c r="BP61">
        <v>0</v>
      </c>
      <c r="BQ61">
        <v>0</v>
      </c>
      <c r="BR61">
        <v>0</v>
      </c>
      <c r="BS61">
        <v>0</v>
      </c>
      <c r="BT61">
        <v>0</v>
      </c>
      <c r="BU61">
        <v>0</v>
      </c>
      <c r="BV61">
        <v>0</v>
      </c>
    </row>
    <row r="62" spans="1:74" x14ac:dyDescent="0.25">
      <c r="A62">
        <v>10</v>
      </c>
      <c r="B62">
        <v>991.67475000000002</v>
      </c>
      <c r="C62">
        <v>0</v>
      </c>
      <c r="D62">
        <v>0</v>
      </c>
      <c r="E62">
        <v>0</v>
      </c>
      <c r="F62">
        <v>0</v>
      </c>
      <c r="G62">
        <v>0</v>
      </c>
      <c r="H62">
        <v>0</v>
      </c>
      <c r="I62">
        <v>0</v>
      </c>
      <c r="J62">
        <v>0</v>
      </c>
      <c r="K62">
        <v>0</v>
      </c>
      <c r="L62">
        <v>0</v>
      </c>
      <c r="M62">
        <v>0</v>
      </c>
      <c r="N62">
        <v>0</v>
      </c>
      <c r="O62">
        <v>0</v>
      </c>
      <c r="P62">
        <v>0</v>
      </c>
      <c r="Q62">
        <v>0</v>
      </c>
      <c r="R62">
        <v>0</v>
      </c>
      <c r="Y62">
        <v>4</v>
      </c>
      <c r="Z62">
        <v>87</v>
      </c>
      <c r="AA62">
        <v>31</v>
      </c>
      <c r="AB62">
        <v>54</v>
      </c>
      <c r="AC62">
        <v>30</v>
      </c>
      <c r="AD62">
        <v>22</v>
      </c>
      <c r="AE62">
        <v>6</v>
      </c>
      <c r="AF62">
        <v>0</v>
      </c>
      <c r="AG62">
        <v>0</v>
      </c>
      <c r="AH62">
        <v>0</v>
      </c>
      <c r="AI62">
        <v>0</v>
      </c>
      <c r="AJ62">
        <v>0</v>
      </c>
      <c r="AK62">
        <v>1</v>
      </c>
      <c r="AL62">
        <v>0</v>
      </c>
      <c r="AM62">
        <v>0</v>
      </c>
      <c r="AN62">
        <v>0</v>
      </c>
      <c r="AO62">
        <v>0</v>
      </c>
      <c r="AP62">
        <v>0</v>
      </c>
      <c r="AQ62">
        <v>0</v>
      </c>
      <c r="AR62">
        <v>0</v>
      </c>
      <c r="AS62">
        <v>0</v>
      </c>
      <c r="AT62">
        <v>0</v>
      </c>
      <c r="AU62">
        <v>0</v>
      </c>
      <c r="AV62">
        <v>0</v>
      </c>
      <c r="AW62">
        <v>0</v>
      </c>
      <c r="AX62">
        <v>0</v>
      </c>
      <c r="AY62" s="157"/>
      <c r="AZ62">
        <v>3</v>
      </c>
      <c r="BA62">
        <v>102</v>
      </c>
      <c r="BB62">
        <v>50</v>
      </c>
      <c r="BC62">
        <v>119</v>
      </c>
      <c r="BD62">
        <v>35</v>
      </c>
      <c r="BE62">
        <v>8</v>
      </c>
      <c r="BF62">
        <v>3</v>
      </c>
      <c r="BG62">
        <v>0</v>
      </c>
      <c r="BH62">
        <v>2</v>
      </c>
      <c r="BI62">
        <v>1</v>
      </c>
      <c r="BJ62">
        <v>4</v>
      </c>
      <c r="BK62">
        <v>0</v>
      </c>
      <c r="BL62">
        <v>0</v>
      </c>
      <c r="BM62">
        <v>0</v>
      </c>
      <c r="BN62">
        <v>0</v>
      </c>
      <c r="BO62">
        <v>0</v>
      </c>
      <c r="BP62">
        <v>0</v>
      </c>
      <c r="BQ62">
        <v>0</v>
      </c>
      <c r="BR62">
        <v>0</v>
      </c>
      <c r="BS62">
        <v>0</v>
      </c>
      <c r="BT62">
        <v>0</v>
      </c>
      <c r="BU62">
        <v>0</v>
      </c>
      <c r="BV62">
        <v>0</v>
      </c>
    </row>
    <row r="63" spans="1:74" x14ac:dyDescent="0.25">
      <c r="A63">
        <v>11</v>
      </c>
      <c r="B63">
        <v>2655.1829899999998</v>
      </c>
      <c r="C63">
        <v>0</v>
      </c>
      <c r="D63">
        <v>0</v>
      </c>
      <c r="E63">
        <v>0</v>
      </c>
      <c r="F63">
        <v>0</v>
      </c>
      <c r="G63">
        <v>0</v>
      </c>
      <c r="H63">
        <v>0</v>
      </c>
      <c r="I63">
        <v>0</v>
      </c>
      <c r="J63">
        <v>0</v>
      </c>
      <c r="K63">
        <v>0</v>
      </c>
      <c r="L63">
        <v>0</v>
      </c>
      <c r="M63">
        <v>0</v>
      </c>
      <c r="N63">
        <v>0</v>
      </c>
      <c r="O63">
        <v>0</v>
      </c>
      <c r="P63">
        <v>0</v>
      </c>
      <c r="Q63">
        <v>0</v>
      </c>
      <c r="R63">
        <v>0</v>
      </c>
      <c r="Y63">
        <v>5</v>
      </c>
      <c r="Z63">
        <v>179</v>
      </c>
      <c r="AA63">
        <v>14</v>
      </c>
      <c r="AB63">
        <v>31</v>
      </c>
      <c r="AC63">
        <v>27</v>
      </c>
      <c r="AD63">
        <v>74</v>
      </c>
      <c r="AE63">
        <v>20</v>
      </c>
      <c r="AF63">
        <v>0</v>
      </c>
      <c r="AG63">
        <v>4</v>
      </c>
      <c r="AH63">
        <v>0</v>
      </c>
      <c r="AI63">
        <v>0</v>
      </c>
      <c r="AJ63">
        <v>0</v>
      </c>
      <c r="AK63">
        <v>0</v>
      </c>
      <c r="AL63">
        <v>0</v>
      </c>
      <c r="AM63">
        <v>0</v>
      </c>
      <c r="AN63">
        <v>0</v>
      </c>
      <c r="AO63">
        <v>0</v>
      </c>
      <c r="AP63">
        <v>0</v>
      </c>
      <c r="AQ63">
        <v>0</v>
      </c>
      <c r="AR63">
        <v>0</v>
      </c>
      <c r="AS63">
        <v>0</v>
      </c>
      <c r="AT63">
        <v>0</v>
      </c>
      <c r="AU63">
        <v>0</v>
      </c>
      <c r="AV63">
        <v>0</v>
      </c>
      <c r="AW63">
        <v>0</v>
      </c>
      <c r="AX63">
        <v>0</v>
      </c>
      <c r="AY63" s="157"/>
      <c r="AZ63">
        <v>4</v>
      </c>
      <c r="BA63">
        <v>87</v>
      </c>
      <c r="BB63">
        <v>31</v>
      </c>
      <c r="BC63">
        <v>54</v>
      </c>
      <c r="BD63">
        <v>30</v>
      </c>
      <c r="BE63">
        <v>22</v>
      </c>
      <c r="BF63">
        <v>6</v>
      </c>
      <c r="BG63">
        <v>0</v>
      </c>
      <c r="BH63">
        <v>0</v>
      </c>
      <c r="BI63">
        <v>0</v>
      </c>
      <c r="BJ63">
        <v>0</v>
      </c>
      <c r="BK63">
        <v>0</v>
      </c>
      <c r="BL63">
        <v>1</v>
      </c>
      <c r="BM63">
        <v>0</v>
      </c>
      <c r="BN63">
        <v>0</v>
      </c>
      <c r="BO63">
        <v>0</v>
      </c>
      <c r="BP63">
        <v>0</v>
      </c>
      <c r="BQ63">
        <v>0</v>
      </c>
      <c r="BR63">
        <v>0</v>
      </c>
      <c r="BS63">
        <v>0</v>
      </c>
      <c r="BT63">
        <v>0</v>
      </c>
      <c r="BU63">
        <v>0</v>
      </c>
      <c r="BV63">
        <v>0</v>
      </c>
    </row>
    <row r="64" spans="1:74" x14ac:dyDescent="0.25">
      <c r="A64">
        <v>13</v>
      </c>
      <c r="B64">
        <v>3280.6800699999999</v>
      </c>
      <c r="C64">
        <v>0</v>
      </c>
      <c r="D64">
        <v>0</v>
      </c>
      <c r="E64">
        <v>0</v>
      </c>
      <c r="F64">
        <v>0</v>
      </c>
      <c r="G64">
        <v>0</v>
      </c>
      <c r="H64">
        <v>0</v>
      </c>
      <c r="I64">
        <v>0</v>
      </c>
      <c r="J64">
        <v>0</v>
      </c>
      <c r="K64">
        <v>0</v>
      </c>
      <c r="L64">
        <v>0</v>
      </c>
      <c r="M64">
        <v>0</v>
      </c>
      <c r="N64">
        <v>0</v>
      </c>
      <c r="O64">
        <v>0</v>
      </c>
      <c r="P64">
        <v>0</v>
      </c>
      <c r="Q64">
        <v>0</v>
      </c>
      <c r="R64">
        <v>0</v>
      </c>
      <c r="Y64">
        <v>6</v>
      </c>
      <c r="Z64">
        <v>124</v>
      </c>
      <c r="AA64">
        <v>2</v>
      </c>
      <c r="AB64">
        <v>2</v>
      </c>
      <c r="AC64">
        <v>6</v>
      </c>
      <c r="AD64">
        <v>34</v>
      </c>
      <c r="AE64">
        <v>69</v>
      </c>
      <c r="AF64">
        <v>9</v>
      </c>
      <c r="AG64">
        <v>6</v>
      </c>
      <c r="AH64">
        <v>0</v>
      </c>
      <c r="AI64">
        <v>0</v>
      </c>
      <c r="AJ64">
        <v>0</v>
      </c>
      <c r="AK64">
        <v>0</v>
      </c>
      <c r="AL64">
        <v>0</v>
      </c>
      <c r="AM64">
        <v>0</v>
      </c>
      <c r="AN64">
        <v>0</v>
      </c>
      <c r="AO64">
        <v>0</v>
      </c>
      <c r="AP64">
        <v>0</v>
      </c>
      <c r="AQ64">
        <v>0</v>
      </c>
      <c r="AR64">
        <v>0</v>
      </c>
      <c r="AS64">
        <v>0</v>
      </c>
      <c r="AT64">
        <v>2</v>
      </c>
      <c r="AU64">
        <v>0</v>
      </c>
      <c r="AV64">
        <v>0</v>
      </c>
      <c r="AW64">
        <v>0</v>
      </c>
      <c r="AX64">
        <v>0</v>
      </c>
      <c r="AY64" s="157"/>
      <c r="AZ64">
        <v>5</v>
      </c>
      <c r="BA64">
        <v>179</v>
      </c>
      <c r="BB64">
        <v>14</v>
      </c>
      <c r="BC64">
        <v>31</v>
      </c>
      <c r="BD64">
        <v>27</v>
      </c>
      <c r="BE64">
        <v>74</v>
      </c>
      <c r="BF64">
        <v>20</v>
      </c>
      <c r="BG64">
        <v>0</v>
      </c>
      <c r="BH64">
        <v>4</v>
      </c>
      <c r="BI64">
        <v>0</v>
      </c>
      <c r="BJ64">
        <v>0</v>
      </c>
      <c r="BK64">
        <v>0</v>
      </c>
      <c r="BL64">
        <v>0</v>
      </c>
      <c r="BM64">
        <v>0</v>
      </c>
      <c r="BN64">
        <v>0</v>
      </c>
      <c r="BO64">
        <v>0</v>
      </c>
      <c r="BP64">
        <v>0</v>
      </c>
      <c r="BQ64">
        <v>0</v>
      </c>
      <c r="BR64">
        <v>0</v>
      </c>
      <c r="BS64">
        <v>0</v>
      </c>
      <c r="BT64">
        <v>0</v>
      </c>
      <c r="BU64">
        <v>0</v>
      </c>
      <c r="BV64">
        <v>0</v>
      </c>
    </row>
    <row r="65" spans="1:74" x14ac:dyDescent="0.25">
      <c r="Y65">
        <v>7</v>
      </c>
      <c r="Z65">
        <v>112</v>
      </c>
      <c r="AA65">
        <v>2</v>
      </c>
      <c r="AB65">
        <v>2</v>
      </c>
      <c r="AC65">
        <v>2</v>
      </c>
      <c r="AD65">
        <v>2</v>
      </c>
      <c r="AE65">
        <v>12</v>
      </c>
      <c r="AF65">
        <v>104</v>
      </c>
      <c r="AG65">
        <v>39</v>
      </c>
      <c r="AH65">
        <v>0</v>
      </c>
      <c r="AI65">
        <v>2</v>
      </c>
      <c r="AJ65">
        <v>0</v>
      </c>
      <c r="AK65">
        <v>0</v>
      </c>
      <c r="AL65">
        <v>0</v>
      </c>
      <c r="AM65">
        <v>7</v>
      </c>
      <c r="AN65">
        <v>0</v>
      </c>
      <c r="AO65">
        <v>0</v>
      </c>
      <c r="AP65">
        <v>0</v>
      </c>
      <c r="AQ65">
        <v>0</v>
      </c>
      <c r="AR65">
        <v>0</v>
      </c>
      <c r="AS65">
        <v>0</v>
      </c>
      <c r="AT65">
        <v>0</v>
      </c>
      <c r="AU65">
        <v>0</v>
      </c>
      <c r="AV65">
        <v>0</v>
      </c>
      <c r="AW65">
        <v>0</v>
      </c>
      <c r="AX65">
        <v>0</v>
      </c>
      <c r="AY65" s="157"/>
      <c r="AZ65">
        <v>6</v>
      </c>
      <c r="BA65">
        <v>124</v>
      </c>
      <c r="BB65">
        <v>2</v>
      </c>
      <c r="BC65">
        <v>2</v>
      </c>
      <c r="BD65">
        <v>6</v>
      </c>
      <c r="BE65">
        <v>34</v>
      </c>
      <c r="BF65">
        <v>69</v>
      </c>
      <c r="BG65">
        <v>9</v>
      </c>
      <c r="BH65">
        <v>6</v>
      </c>
      <c r="BI65">
        <v>0</v>
      </c>
      <c r="BJ65">
        <v>0</v>
      </c>
      <c r="BK65">
        <v>0</v>
      </c>
      <c r="BL65">
        <v>0</v>
      </c>
      <c r="BM65">
        <v>0</v>
      </c>
      <c r="BN65">
        <v>0</v>
      </c>
      <c r="BO65">
        <v>0</v>
      </c>
      <c r="BP65">
        <v>0</v>
      </c>
      <c r="BQ65">
        <v>0</v>
      </c>
      <c r="BR65">
        <v>2</v>
      </c>
      <c r="BS65">
        <v>0</v>
      </c>
      <c r="BT65">
        <v>0</v>
      </c>
      <c r="BU65">
        <v>0</v>
      </c>
      <c r="BV65">
        <v>0</v>
      </c>
    </row>
    <row r="66" spans="1:74" x14ac:dyDescent="0.25">
      <c r="Y66">
        <v>8</v>
      </c>
      <c r="Z66">
        <v>296</v>
      </c>
      <c r="AA66">
        <v>2</v>
      </c>
      <c r="AB66">
        <v>3</v>
      </c>
      <c r="AC66">
        <v>0</v>
      </c>
      <c r="AD66">
        <v>4</v>
      </c>
      <c r="AE66">
        <v>2</v>
      </c>
      <c r="AF66">
        <v>85</v>
      </c>
      <c r="AG66">
        <v>320</v>
      </c>
      <c r="AH66">
        <v>0</v>
      </c>
      <c r="AI66">
        <v>0</v>
      </c>
      <c r="AJ66">
        <v>0</v>
      </c>
      <c r="AK66">
        <v>0</v>
      </c>
      <c r="AL66">
        <v>0</v>
      </c>
      <c r="AM66">
        <v>7</v>
      </c>
      <c r="AN66">
        <v>0</v>
      </c>
      <c r="AO66">
        <v>0</v>
      </c>
      <c r="AP66">
        <v>0</v>
      </c>
      <c r="AQ66">
        <v>0</v>
      </c>
      <c r="AR66">
        <v>0</v>
      </c>
      <c r="AS66">
        <v>0</v>
      </c>
      <c r="AT66">
        <v>0</v>
      </c>
      <c r="AU66">
        <v>0</v>
      </c>
      <c r="AV66">
        <v>0</v>
      </c>
      <c r="AW66">
        <v>0</v>
      </c>
      <c r="AX66">
        <v>0</v>
      </c>
      <c r="AY66" s="157"/>
      <c r="AZ66">
        <v>7</v>
      </c>
      <c r="BA66">
        <v>112</v>
      </c>
      <c r="BB66">
        <v>2</v>
      </c>
      <c r="BC66">
        <v>2</v>
      </c>
      <c r="BD66">
        <v>2</v>
      </c>
      <c r="BE66">
        <v>2</v>
      </c>
      <c r="BF66">
        <v>12</v>
      </c>
      <c r="BG66">
        <v>104</v>
      </c>
      <c r="BH66">
        <v>39</v>
      </c>
      <c r="BI66">
        <v>0</v>
      </c>
      <c r="BJ66">
        <v>2</v>
      </c>
      <c r="BK66">
        <v>0</v>
      </c>
      <c r="BL66">
        <v>0</v>
      </c>
      <c r="BM66">
        <v>0</v>
      </c>
      <c r="BN66">
        <v>7</v>
      </c>
      <c r="BO66">
        <v>1</v>
      </c>
      <c r="BP66">
        <v>0</v>
      </c>
      <c r="BQ66">
        <v>0</v>
      </c>
      <c r="BR66">
        <v>0</v>
      </c>
      <c r="BS66">
        <v>0</v>
      </c>
      <c r="BT66">
        <v>0</v>
      </c>
      <c r="BU66">
        <v>0</v>
      </c>
      <c r="BV66">
        <v>0</v>
      </c>
    </row>
    <row r="67" spans="1:74" x14ac:dyDescent="0.25">
      <c r="Y67">
        <v>9</v>
      </c>
      <c r="Z67">
        <v>2</v>
      </c>
      <c r="AA67">
        <v>5</v>
      </c>
      <c r="AB67">
        <v>1</v>
      </c>
      <c r="AC67">
        <v>0</v>
      </c>
      <c r="AD67">
        <v>0</v>
      </c>
      <c r="AE67">
        <v>0</v>
      </c>
      <c r="AF67">
        <v>0</v>
      </c>
      <c r="AG67">
        <v>0</v>
      </c>
      <c r="AH67">
        <v>12</v>
      </c>
      <c r="AI67">
        <v>0</v>
      </c>
      <c r="AJ67">
        <v>0</v>
      </c>
      <c r="AK67">
        <v>0</v>
      </c>
      <c r="AL67">
        <v>0</v>
      </c>
      <c r="AM67">
        <v>0</v>
      </c>
      <c r="AN67">
        <v>0</v>
      </c>
      <c r="AO67">
        <v>0</v>
      </c>
      <c r="AP67">
        <v>0</v>
      </c>
      <c r="AQ67">
        <v>0</v>
      </c>
      <c r="AR67">
        <v>0</v>
      </c>
      <c r="AS67">
        <v>0</v>
      </c>
      <c r="AT67">
        <v>2</v>
      </c>
      <c r="AU67">
        <v>0</v>
      </c>
      <c r="AV67">
        <v>0</v>
      </c>
      <c r="AW67">
        <v>0</v>
      </c>
      <c r="AX67">
        <v>0</v>
      </c>
      <c r="AY67" s="157"/>
      <c r="AZ67">
        <v>8</v>
      </c>
      <c r="BA67">
        <v>296</v>
      </c>
      <c r="BB67">
        <v>2</v>
      </c>
      <c r="BC67">
        <v>3</v>
      </c>
      <c r="BD67">
        <v>0</v>
      </c>
      <c r="BE67">
        <v>4</v>
      </c>
      <c r="BF67">
        <v>2</v>
      </c>
      <c r="BG67">
        <v>85</v>
      </c>
      <c r="BH67">
        <v>320</v>
      </c>
      <c r="BI67">
        <v>0</v>
      </c>
      <c r="BJ67">
        <v>0</v>
      </c>
      <c r="BK67">
        <v>0</v>
      </c>
      <c r="BL67">
        <v>0</v>
      </c>
      <c r="BM67">
        <v>0</v>
      </c>
      <c r="BN67">
        <v>7</v>
      </c>
      <c r="BO67">
        <v>7</v>
      </c>
      <c r="BP67">
        <v>0</v>
      </c>
      <c r="BQ67">
        <v>0</v>
      </c>
      <c r="BR67">
        <v>0</v>
      </c>
      <c r="BS67">
        <v>0</v>
      </c>
      <c r="BT67">
        <v>0</v>
      </c>
      <c r="BU67">
        <v>0</v>
      </c>
      <c r="BV67">
        <v>0</v>
      </c>
    </row>
    <row r="68" spans="1:74" x14ac:dyDescent="0.25">
      <c r="A68">
        <v>24</v>
      </c>
      <c r="B68">
        <v>2266.23333</v>
      </c>
      <c r="C68">
        <v>0</v>
      </c>
      <c r="D68">
        <v>0</v>
      </c>
      <c r="E68">
        <v>0</v>
      </c>
      <c r="F68">
        <v>0</v>
      </c>
      <c r="G68">
        <v>0</v>
      </c>
      <c r="H68">
        <v>0</v>
      </c>
      <c r="I68">
        <v>0</v>
      </c>
      <c r="J68">
        <v>0</v>
      </c>
      <c r="K68">
        <v>0</v>
      </c>
      <c r="L68">
        <v>0</v>
      </c>
      <c r="M68">
        <v>0</v>
      </c>
      <c r="N68">
        <v>0</v>
      </c>
      <c r="O68">
        <v>0</v>
      </c>
      <c r="P68">
        <v>0</v>
      </c>
      <c r="Q68">
        <v>1651.23983</v>
      </c>
      <c r="R68">
        <v>0</v>
      </c>
      <c r="Y68">
        <v>10</v>
      </c>
      <c r="Z68">
        <v>2</v>
      </c>
      <c r="AA68">
        <v>0</v>
      </c>
      <c r="AB68">
        <v>10</v>
      </c>
      <c r="AC68">
        <v>0</v>
      </c>
      <c r="AD68">
        <v>0</v>
      </c>
      <c r="AE68">
        <v>0</v>
      </c>
      <c r="AF68">
        <v>0</v>
      </c>
      <c r="AG68">
        <v>0</v>
      </c>
      <c r="AH68">
        <v>0</v>
      </c>
      <c r="AI68">
        <v>14</v>
      </c>
      <c r="AJ68">
        <v>6</v>
      </c>
      <c r="AK68">
        <v>0</v>
      </c>
      <c r="AL68">
        <v>0</v>
      </c>
      <c r="AM68">
        <v>0</v>
      </c>
      <c r="AN68">
        <v>0</v>
      </c>
      <c r="AO68">
        <v>0</v>
      </c>
      <c r="AP68">
        <v>0</v>
      </c>
      <c r="AQ68">
        <v>0</v>
      </c>
      <c r="AR68">
        <v>0</v>
      </c>
      <c r="AS68">
        <v>2</v>
      </c>
      <c r="AT68">
        <v>0</v>
      </c>
      <c r="AU68">
        <v>0</v>
      </c>
      <c r="AV68">
        <v>0</v>
      </c>
      <c r="AW68">
        <v>0</v>
      </c>
      <c r="AX68">
        <v>0</v>
      </c>
      <c r="AY68" s="157"/>
      <c r="AZ68">
        <v>9</v>
      </c>
      <c r="BA68">
        <v>2</v>
      </c>
      <c r="BB68">
        <v>5</v>
      </c>
      <c r="BC68">
        <v>1</v>
      </c>
      <c r="BD68">
        <v>0</v>
      </c>
      <c r="BE68">
        <v>0</v>
      </c>
      <c r="BF68">
        <v>0</v>
      </c>
      <c r="BG68">
        <v>0</v>
      </c>
      <c r="BH68">
        <v>0</v>
      </c>
      <c r="BI68">
        <v>12</v>
      </c>
      <c r="BJ68">
        <v>0</v>
      </c>
      <c r="BK68">
        <v>0</v>
      </c>
      <c r="BL68">
        <v>0</v>
      </c>
      <c r="BM68">
        <v>0</v>
      </c>
      <c r="BN68">
        <v>0</v>
      </c>
      <c r="BO68">
        <v>0</v>
      </c>
      <c r="BP68">
        <v>0</v>
      </c>
      <c r="BQ68">
        <v>0</v>
      </c>
      <c r="BR68">
        <v>2</v>
      </c>
      <c r="BS68">
        <v>0</v>
      </c>
      <c r="BT68">
        <v>0</v>
      </c>
      <c r="BU68">
        <v>0</v>
      </c>
      <c r="BV68">
        <v>0</v>
      </c>
    </row>
    <row r="69" spans="1:74" x14ac:dyDescent="0.25">
      <c r="A69">
        <v>25</v>
      </c>
      <c r="B69">
        <v>0</v>
      </c>
      <c r="C69">
        <v>0</v>
      </c>
      <c r="D69">
        <v>0</v>
      </c>
      <c r="E69">
        <v>0</v>
      </c>
      <c r="F69">
        <v>0</v>
      </c>
      <c r="G69">
        <v>0</v>
      </c>
      <c r="H69">
        <v>0</v>
      </c>
      <c r="I69">
        <v>0</v>
      </c>
      <c r="J69">
        <v>0</v>
      </c>
      <c r="K69">
        <v>0</v>
      </c>
      <c r="L69">
        <v>0</v>
      </c>
      <c r="M69">
        <v>0</v>
      </c>
      <c r="N69">
        <v>0</v>
      </c>
      <c r="O69">
        <v>0</v>
      </c>
      <c r="P69">
        <v>0</v>
      </c>
      <c r="Q69">
        <v>0</v>
      </c>
      <c r="R69">
        <v>0</v>
      </c>
      <c r="Y69">
        <v>11</v>
      </c>
      <c r="Z69">
        <v>0</v>
      </c>
      <c r="AA69">
        <v>0</v>
      </c>
      <c r="AB69">
        <v>3</v>
      </c>
      <c r="AC69">
        <v>0</v>
      </c>
      <c r="AD69">
        <v>1</v>
      </c>
      <c r="AE69">
        <v>0</v>
      </c>
      <c r="AF69">
        <v>0</v>
      </c>
      <c r="AG69">
        <v>0</v>
      </c>
      <c r="AH69">
        <v>0</v>
      </c>
      <c r="AI69">
        <v>2</v>
      </c>
      <c r="AJ69">
        <v>15</v>
      </c>
      <c r="AK69">
        <v>2</v>
      </c>
      <c r="AL69">
        <v>0</v>
      </c>
      <c r="AM69">
        <v>0</v>
      </c>
      <c r="AN69">
        <v>0</v>
      </c>
      <c r="AO69">
        <v>0</v>
      </c>
      <c r="AP69">
        <v>0</v>
      </c>
      <c r="AQ69">
        <v>0</v>
      </c>
      <c r="AR69">
        <v>0</v>
      </c>
      <c r="AS69">
        <v>0</v>
      </c>
      <c r="AT69">
        <v>0</v>
      </c>
      <c r="AU69">
        <v>2</v>
      </c>
      <c r="AV69">
        <v>0</v>
      </c>
      <c r="AW69">
        <v>0</v>
      </c>
      <c r="AX69">
        <v>0</v>
      </c>
      <c r="AY69" s="157"/>
      <c r="AZ69">
        <v>10</v>
      </c>
      <c r="BA69">
        <v>2</v>
      </c>
      <c r="BB69">
        <v>0</v>
      </c>
      <c r="BC69">
        <v>10</v>
      </c>
      <c r="BD69">
        <v>0</v>
      </c>
      <c r="BE69">
        <v>0</v>
      </c>
      <c r="BF69">
        <v>0</v>
      </c>
      <c r="BG69">
        <v>0</v>
      </c>
      <c r="BH69">
        <v>0</v>
      </c>
      <c r="BI69">
        <v>0</v>
      </c>
      <c r="BJ69">
        <v>14</v>
      </c>
      <c r="BK69">
        <v>6</v>
      </c>
      <c r="BL69">
        <v>0</v>
      </c>
      <c r="BM69">
        <v>0</v>
      </c>
      <c r="BN69">
        <v>0</v>
      </c>
      <c r="BO69">
        <v>0</v>
      </c>
      <c r="BP69">
        <v>0</v>
      </c>
      <c r="BQ69">
        <v>2</v>
      </c>
      <c r="BR69">
        <v>0</v>
      </c>
      <c r="BS69">
        <v>0</v>
      </c>
      <c r="BT69">
        <v>0</v>
      </c>
      <c r="BU69">
        <v>0</v>
      </c>
      <c r="BV69">
        <v>0</v>
      </c>
    </row>
    <row r="70" spans="1:74" x14ac:dyDescent="0.25">
      <c r="B70">
        <v>1</v>
      </c>
      <c r="C70">
        <v>2</v>
      </c>
      <c r="D70">
        <v>3</v>
      </c>
      <c r="E70">
        <v>5</v>
      </c>
      <c r="F70">
        <v>6</v>
      </c>
      <c r="G70">
        <v>8</v>
      </c>
      <c r="H70">
        <v>10</v>
      </c>
      <c r="I70">
        <v>18</v>
      </c>
      <c r="J70">
        <v>20</v>
      </c>
      <c r="K70">
        <v>24</v>
      </c>
      <c r="L70">
        <v>25</v>
      </c>
      <c r="Y70">
        <v>12</v>
      </c>
      <c r="Z70">
        <v>0</v>
      </c>
      <c r="AA70">
        <v>0</v>
      </c>
      <c r="AB70">
        <v>0</v>
      </c>
      <c r="AC70">
        <v>0</v>
      </c>
      <c r="AD70">
        <v>4</v>
      </c>
      <c r="AE70">
        <v>0</v>
      </c>
      <c r="AF70">
        <v>1</v>
      </c>
      <c r="AG70">
        <v>0</v>
      </c>
      <c r="AH70">
        <v>0</v>
      </c>
      <c r="AI70">
        <v>0</v>
      </c>
      <c r="AJ70">
        <v>3</v>
      </c>
      <c r="AK70">
        <v>15</v>
      </c>
      <c r="AL70">
        <v>2</v>
      </c>
      <c r="AM70">
        <v>0</v>
      </c>
      <c r="AN70">
        <v>0</v>
      </c>
      <c r="AO70">
        <v>0</v>
      </c>
      <c r="AP70">
        <v>0</v>
      </c>
      <c r="AQ70">
        <v>0</v>
      </c>
      <c r="AR70">
        <v>0</v>
      </c>
      <c r="AS70">
        <v>0</v>
      </c>
      <c r="AT70">
        <v>0</v>
      </c>
      <c r="AU70">
        <v>0</v>
      </c>
      <c r="AV70">
        <v>0</v>
      </c>
      <c r="AW70">
        <v>0</v>
      </c>
      <c r="AX70">
        <v>0</v>
      </c>
      <c r="AY70" s="157"/>
      <c r="AZ70">
        <v>11</v>
      </c>
      <c r="BA70">
        <v>0</v>
      </c>
      <c r="BB70">
        <v>0</v>
      </c>
      <c r="BC70">
        <v>3</v>
      </c>
      <c r="BD70">
        <v>0</v>
      </c>
      <c r="BE70">
        <v>1</v>
      </c>
      <c r="BF70">
        <v>0</v>
      </c>
      <c r="BG70">
        <v>0</v>
      </c>
      <c r="BH70">
        <v>0</v>
      </c>
      <c r="BI70">
        <v>0</v>
      </c>
      <c r="BJ70">
        <v>2</v>
      </c>
      <c r="BK70">
        <v>15</v>
      </c>
      <c r="BL70">
        <v>2</v>
      </c>
      <c r="BM70">
        <v>0</v>
      </c>
      <c r="BN70">
        <v>0</v>
      </c>
      <c r="BO70">
        <v>0</v>
      </c>
      <c r="BP70">
        <v>0</v>
      </c>
      <c r="BQ70">
        <v>0</v>
      </c>
      <c r="BR70">
        <v>0</v>
      </c>
      <c r="BS70">
        <v>2</v>
      </c>
      <c r="BT70">
        <v>0</v>
      </c>
      <c r="BU70">
        <v>0</v>
      </c>
      <c r="BV70">
        <v>0</v>
      </c>
    </row>
    <row r="71" spans="1:74" x14ac:dyDescent="0.25">
      <c r="A71">
        <v>1</v>
      </c>
      <c r="B71">
        <v>809.14916000000005</v>
      </c>
      <c r="C71">
        <v>1458.20505</v>
      </c>
      <c r="D71">
        <v>1316.80522</v>
      </c>
      <c r="E71">
        <v>215.38507000000001</v>
      </c>
      <c r="F71">
        <v>64.335539999999995</v>
      </c>
      <c r="G71">
        <v>241.58398</v>
      </c>
      <c r="H71">
        <v>123.46773</v>
      </c>
      <c r="I71">
        <v>0</v>
      </c>
      <c r="J71">
        <v>1021.57188</v>
      </c>
      <c r="K71">
        <v>234.88142999999999</v>
      </c>
      <c r="L71">
        <v>0</v>
      </c>
      <c r="Y71">
        <v>13</v>
      </c>
      <c r="Z71">
        <v>2</v>
      </c>
      <c r="AA71">
        <v>0</v>
      </c>
      <c r="AB71">
        <v>0</v>
      </c>
      <c r="AC71">
        <v>0</v>
      </c>
      <c r="AD71">
        <v>0</v>
      </c>
      <c r="AE71">
        <v>2</v>
      </c>
      <c r="AF71">
        <v>0</v>
      </c>
      <c r="AG71">
        <v>0</v>
      </c>
      <c r="AH71">
        <v>0</v>
      </c>
      <c r="AI71">
        <v>0</v>
      </c>
      <c r="AJ71">
        <v>2</v>
      </c>
      <c r="AK71">
        <v>0</v>
      </c>
      <c r="AL71">
        <v>34</v>
      </c>
      <c r="AM71">
        <v>2</v>
      </c>
      <c r="AN71">
        <v>0</v>
      </c>
      <c r="AO71">
        <v>0</v>
      </c>
      <c r="AP71">
        <v>0</v>
      </c>
      <c r="AQ71">
        <v>0</v>
      </c>
      <c r="AR71">
        <v>0</v>
      </c>
      <c r="AS71">
        <v>0</v>
      </c>
      <c r="AT71">
        <v>0</v>
      </c>
      <c r="AU71">
        <v>0</v>
      </c>
      <c r="AV71">
        <v>0</v>
      </c>
      <c r="AW71">
        <v>0</v>
      </c>
      <c r="AX71">
        <v>0</v>
      </c>
      <c r="AY71" s="157"/>
      <c r="AZ71">
        <v>12</v>
      </c>
      <c r="BA71">
        <v>0</v>
      </c>
      <c r="BB71">
        <v>0</v>
      </c>
      <c r="BC71">
        <v>0</v>
      </c>
      <c r="BD71">
        <v>0</v>
      </c>
      <c r="BE71">
        <v>4</v>
      </c>
      <c r="BF71">
        <v>0</v>
      </c>
      <c r="BG71">
        <v>1</v>
      </c>
      <c r="BH71">
        <v>0</v>
      </c>
      <c r="BI71">
        <v>0</v>
      </c>
      <c r="BJ71">
        <v>0</v>
      </c>
      <c r="BK71">
        <v>3</v>
      </c>
      <c r="BL71">
        <v>15</v>
      </c>
      <c r="BM71">
        <v>2</v>
      </c>
      <c r="BN71">
        <v>0</v>
      </c>
      <c r="BO71">
        <v>0</v>
      </c>
      <c r="BP71">
        <v>0</v>
      </c>
      <c r="BQ71">
        <v>0</v>
      </c>
      <c r="BR71">
        <v>0</v>
      </c>
      <c r="BS71">
        <v>0</v>
      </c>
      <c r="BT71">
        <v>0</v>
      </c>
      <c r="BU71">
        <v>0</v>
      </c>
      <c r="BV71">
        <v>0</v>
      </c>
    </row>
    <row r="72" spans="1:74" x14ac:dyDescent="0.25">
      <c r="A72">
        <v>2</v>
      </c>
      <c r="B72">
        <v>1635.24945</v>
      </c>
      <c r="C72">
        <v>1532.3578199999999</v>
      </c>
      <c r="D72">
        <v>0</v>
      </c>
      <c r="E72">
        <v>0</v>
      </c>
      <c r="F72">
        <v>0</v>
      </c>
      <c r="G72">
        <v>0</v>
      </c>
      <c r="H72">
        <v>0</v>
      </c>
      <c r="I72">
        <v>0</v>
      </c>
      <c r="J72">
        <v>0</v>
      </c>
      <c r="K72">
        <v>0</v>
      </c>
      <c r="L72">
        <v>0</v>
      </c>
      <c r="Y72">
        <v>14</v>
      </c>
      <c r="Z72">
        <v>4</v>
      </c>
      <c r="AA72">
        <v>0</v>
      </c>
      <c r="AB72">
        <v>0</v>
      </c>
      <c r="AC72">
        <v>0</v>
      </c>
      <c r="AD72">
        <v>0</v>
      </c>
      <c r="AE72">
        <v>0</v>
      </c>
      <c r="AF72">
        <v>10</v>
      </c>
      <c r="AG72">
        <v>2</v>
      </c>
      <c r="AH72">
        <v>0</v>
      </c>
      <c r="AI72">
        <v>0</v>
      </c>
      <c r="AJ72">
        <v>0</v>
      </c>
      <c r="AK72">
        <v>0</v>
      </c>
      <c r="AL72">
        <v>0</v>
      </c>
      <c r="AM72">
        <v>18</v>
      </c>
      <c r="AN72">
        <v>0</v>
      </c>
      <c r="AO72">
        <v>0</v>
      </c>
      <c r="AP72">
        <v>0</v>
      </c>
      <c r="AQ72">
        <v>0</v>
      </c>
      <c r="AR72">
        <v>0</v>
      </c>
      <c r="AS72">
        <v>0</v>
      </c>
      <c r="AT72">
        <v>0</v>
      </c>
      <c r="AU72">
        <v>0</v>
      </c>
      <c r="AV72">
        <v>0</v>
      </c>
      <c r="AW72">
        <v>0</v>
      </c>
      <c r="AX72">
        <v>0</v>
      </c>
      <c r="AY72" s="157"/>
      <c r="AZ72">
        <v>13</v>
      </c>
      <c r="BA72">
        <v>2</v>
      </c>
      <c r="BB72">
        <v>0</v>
      </c>
      <c r="BC72">
        <v>0</v>
      </c>
      <c r="BD72">
        <v>0</v>
      </c>
      <c r="BE72">
        <v>0</v>
      </c>
      <c r="BF72">
        <v>2</v>
      </c>
      <c r="BG72">
        <v>0</v>
      </c>
      <c r="BH72">
        <v>0</v>
      </c>
      <c r="BI72">
        <v>0</v>
      </c>
      <c r="BJ72">
        <v>0</v>
      </c>
      <c r="BK72">
        <v>2</v>
      </c>
      <c r="BL72">
        <v>0</v>
      </c>
      <c r="BM72">
        <v>34</v>
      </c>
      <c r="BN72">
        <v>2</v>
      </c>
      <c r="BO72">
        <v>0</v>
      </c>
      <c r="BP72">
        <v>0</v>
      </c>
      <c r="BQ72">
        <v>0</v>
      </c>
      <c r="BR72">
        <v>0</v>
      </c>
      <c r="BS72">
        <v>0</v>
      </c>
      <c r="BT72">
        <v>0</v>
      </c>
      <c r="BU72">
        <v>0</v>
      </c>
      <c r="BV72">
        <v>0</v>
      </c>
    </row>
    <row r="73" spans="1:74" x14ac:dyDescent="0.25">
      <c r="A73">
        <v>3</v>
      </c>
      <c r="B73">
        <v>1120.03961</v>
      </c>
      <c r="C73">
        <v>0</v>
      </c>
      <c r="D73">
        <v>1395.5017600000001</v>
      </c>
      <c r="E73">
        <v>0</v>
      </c>
      <c r="F73">
        <v>0</v>
      </c>
      <c r="G73">
        <v>0</v>
      </c>
      <c r="H73">
        <v>0</v>
      </c>
      <c r="I73">
        <v>182.81926000000001</v>
      </c>
      <c r="J73">
        <v>0</v>
      </c>
      <c r="K73">
        <v>0</v>
      </c>
      <c r="L73">
        <v>0</v>
      </c>
      <c r="Y73">
        <v>15</v>
      </c>
      <c r="Z73">
        <v>2</v>
      </c>
      <c r="AA73">
        <v>0</v>
      </c>
      <c r="AB73">
        <v>0</v>
      </c>
      <c r="AC73">
        <v>0</v>
      </c>
      <c r="AD73">
        <v>0</v>
      </c>
      <c r="AE73">
        <v>0</v>
      </c>
      <c r="AF73">
        <v>0</v>
      </c>
      <c r="AG73">
        <v>4</v>
      </c>
      <c r="AH73">
        <v>0</v>
      </c>
      <c r="AI73">
        <v>0</v>
      </c>
      <c r="AJ73">
        <v>0</v>
      </c>
      <c r="AK73">
        <v>0</v>
      </c>
      <c r="AL73">
        <v>0</v>
      </c>
      <c r="AM73">
        <v>0</v>
      </c>
      <c r="AN73">
        <v>0</v>
      </c>
      <c r="AO73">
        <v>0</v>
      </c>
      <c r="AP73">
        <v>0</v>
      </c>
      <c r="AQ73">
        <v>0</v>
      </c>
      <c r="AR73">
        <v>0</v>
      </c>
      <c r="AS73">
        <v>0</v>
      </c>
      <c r="AT73">
        <v>0</v>
      </c>
      <c r="AU73">
        <v>0</v>
      </c>
      <c r="AV73">
        <v>0</v>
      </c>
      <c r="AW73">
        <v>0</v>
      </c>
      <c r="AX73">
        <v>0</v>
      </c>
      <c r="AY73" s="157"/>
      <c r="AZ73">
        <v>14</v>
      </c>
      <c r="BA73">
        <v>4</v>
      </c>
      <c r="BB73">
        <v>0</v>
      </c>
      <c r="BC73">
        <v>0</v>
      </c>
      <c r="BD73">
        <v>0</v>
      </c>
      <c r="BE73">
        <v>0</v>
      </c>
      <c r="BF73">
        <v>0</v>
      </c>
      <c r="BG73">
        <v>10</v>
      </c>
      <c r="BH73">
        <v>2</v>
      </c>
      <c r="BI73">
        <v>0</v>
      </c>
      <c r="BJ73">
        <v>0</v>
      </c>
      <c r="BK73">
        <v>0</v>
      </c>
      <c r="BL73">
        <v>0</v>
      </c>
      <c r="BM73">
        <v>0</v>
      </c>
      <c r="BN73">
        <v>18</v>
      </c>
      <c r="BO73">
        <v>0</v>
      </c>
      <c r="BP73">
        <v>0</v>
      </c>
      <c r="BQ73">
        <v>0</v>
      </c>
      <c r="BR73">
        <v>0</v>
      </c>
      <c r="BS73">
        <v>0</v>
      </c>
      <c r="BT73">
        <v>0</v>
      </c>
      <c r="BU73">
        <v>0</v>
      </c>
      <c r="BV73">
        <v>0</v>
      </c>
    </row>
    <row r="74" spans="1:74" x14ac:dyDescent="0.25">
      <c r="A74">
        <v>5</v>
      </c>
      <c r="B74">
        <v>334.72762</v>
      </c>
      <c r="C74">
        <v>0</v>
      </c>
      <c r="D74">
        <v>0</v>
      </c>
      <c r="E74">
        <v>0</v>
      </c>
      <c r="F74">
        <v>0</v>
      </c>
      <c r="G74">
        <v>0</v>
      </c>
      <c r="H74">
        <v>0</v>
      </c>
      <c r="I74">
        <v>0</v>
      </c>
      <c r="J74">
        <v>0</v>
      </c>
      <c r="K74">
        <v>0</v>
      </c>
      <c r="L74">
        <v>0</v>
      </c>
      <c r="Y74">
        <v>16</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s="157"/>
      <c r="AZ74">
        <v>15</v>
      </c>
      <c r="BA74">
        <v>2</v>
      </c>
      <c r="BB74">
        <v>0</v>
      </c>
      <c r="BC74">
        <v>0</v>
      </c>
      <c r="BD74">
        <v>0</v>
      </c>
      <c r="BE74">
        <v>0</v>
      </c>
      <c r="BF74">
        <v>0</v>
      </c>
      <c r="BG74">
        <v>0</v>
      </c>
      <c r="BH74">
        <v>4</v>
      </c>
      <c r="BI74">
        <v>0</v>
      </c>
      <c r="BJ74">
        <v>0</v>
      </c>
      <c r="BK74">
        <v>0</v>
      </c>
      <c r="BL74">
        <v>0</v>
      </c>
      <c r="BM74">
        <v>0</v>
      </c>
      <c r="BN74">
        <v>0</v>
      </c>
      <c r="BO74">
        <v>26</v>
      </c>
      <c r="BP74">
        <v>0</v>
      </c>
      <c r="BQ74">
        <v>0</v>
      </c>
      <c r="BR74">
        <v>0</v>
      </c>
      <c r="BS74">
        <v>0</v>
      </c>
      <c r="BT74">
        <v>0</v>
      </c>
      <c r="BU74">
        <v>0</v>
      </c>
      <c r="BV74">
        <v>0</v>
      </c>
    </row>
    <row r="75" spans="1:74" x14ac:dyDescent="0.25">
      <c r="A75">
        <v>6</v>
      </c>
      <c r="B75">
        <v>215.38507000000001</v>
      </c>
      <c r="C75">
        <v>0</v>
      </c>
      <c r="D75">
        <v>0</v>
      </c>
      <c r="E75">
        <v>0</v>
      </c>
      <c r="F75">
        <v>0</v>
      </c>
      <c r="G75">
        <v>0</v>
      </c>
      <c r="H75">
        <v>0</v>
      </c>
      <c r="I75">
        <v>0</v>
      </c>
      <c r="J75">
        <v>0</v>
      </c>
      <c r="K75">
        <v>0</v>
      </c>
      <c r="L75">
        <v>0</v>
      </c>
      <c r="Y75">
        <v>18</v>
      </c>
      <c r="Z75">
        <v>0</v>
      </c>
      <c r="AA75">
        <v>0</v>
      </c>
      <c r="AB75">
        <v>0</v>
      </c>
      <c r="AC75">
        <v>0</v>
      </c>
      <c r="AD75">
        <v>0</v>
      </c>
      <c r="AE75">
        <v>0</v>
      </c>
      <c r="AF75">
        <v>0</v>
      </c>
      <c r="AG75">
        <v>4</v>
      </c>
      <c r="AH75">
        <v>0</v>
      </c>
      <c r="AI75">
        <v>0</v>
      </c>
      <c r="AJ75">
        <v>0</v>
      </c>
      <c r="AK75">
        <v>0</v>
      </c>
      <c r="AL75">
        <v>0</v>
      </c>
      <c r="AM75">
        <v>0</v>
      </c>
      <c r="AN75">
        <v>1</v>
      </c>
      <c r="AO75">
        <v>0</v>
      </c>
      <c r="AP75">
        <v>0</v>
      </c>
      <c r="AQ75">
        <v>0</v>
      </c>
      <c r="AR75">
        <v>0</v>
      </c>
      <c r="AS75">
        <v>0</v>
      </c>
      <c r="AT75">
        <v>0</v>
      </c>
      <c r="AU75">
        <v>0</v>
      </c>
      <c r="AV75">
        <v>0</v>
      </c>
      <c r="AW75">
        <v>0</v>
      </c>
      <c r="AX75">
        <v>0</v>
      </c>
      <c r="AY75" s="157"/>
      <c r="AZ75">
        <v>18</v>
      </c>
      <c r="BA75">
        <v>0</v>
      </c>
      <c r="BB75">
        <v>0</v>
      </c>
      <c r="BC75">
        <v>0</v>
      </c>
      <c r="BD75">
        <v>0</v>
      </c>
      <c r="BE75">
        <v>0</v>
      </c>
      <c r="BF75">
        <v>0</v>
      </c>
      <c r="BG75">
        <v>0</v>
      </c>
      <c r="BH75">
        <v>4</v>
      </c>
      <c r="BI75">
        <v>0</v>
      </c>
      <c r="BJ75">
        <v>0</v>
      </c>
      <c r="BK75">
        <v>0</v>
      </c>
      <c r="BL75">
        <v>0</v>
      </c>
      <c r="BM75">
        <v>0</v>
      </c>
      <c r="BN75">
        <v>0</v>
      </c>
      <c r="BO75">
        <v>1</v>
      </c>
      <c r="BP75">
        <v>0</v>
      </c>
      <c r="BQ75">
        <v>0</v>
      </c>
      <c r="BR75">
        <v>0</v>
      </c>
      <c r="BS75">
        <v>0</v>
      </c>
      <c r="BT75">
        <v>0</v>
      </c>
      <c r="BU75">
        <v>0</v>
      </c>
      <c r="BV75">
        <v>0</v>
      </c>
    </row>
    <row r="76" spans="1:74" x14ac:dyDescent="0.25">
      <c r="A76">
        <v>8</v>
      </c>
      <c r="B76">
        <v>734.73693000000003</v>
      </c>
      <c r="C76">
        <v>0</v>
      </c>
      <c r="D76">
        <v>0</v>
      </c>
      <c r="E76">
        <v>0</v>
      </c>
      <c r="F76">
        <v>0</v>
      </c>
      <c r="G76">
        <v>624.41241000000002</v>
      </c>
      <c r="H76">
        <v>0</v>
      </c>
      <c r="I76">
        <v>0</v>
      </c>
      <c r="J76">
        <v>0</v>
      </c>
      <c r="K76">
        <v>0</v>
      </c>
      <c r="L76">
        <v>0</v>
      </c>
      <c r="Y76">
        <v>19</v>
      </c>
      <c r="Z76">
        <v>0</v>
      </c>
      <c r="AA76">
        <v>0</v>
      </c>
      <c r="AB76">
        <v>0</v>
      </c>
      <c r="AC76">
        <v>0</v>
      </c>
      <c r="AD76">
        <v>0</v>
      </c>
      <c r="AE76">
        <v>0</v>
      </c>
      <c r="AF76">
        <v>0</v>
      </c>
      <c r="AG76">
        <v>0</v>
      </c>
      <c r="AH76">
        <v>0</v>
      </c>
      <c r="AI76">
        <v>0</v>
      </c>
      <c r="AJ76">
        <v>0</v>
      </c>
      <c r="AK76">
        <v>0</v>
      </c>
      <c r="AL76">
        <v>0</v>
      </c>
      <c r="AM76">
        <v>0</v>
      </c>
      <c r="AN76">
        <v>0</v>
      </c>
      <c r="AO76">
        <v>0</v>
      </c>
      <c r="AP76">
        <v>0</v>
      </c>
      <c r="AQ76">
        <v>0</v>
      </c>
      <c r="AR76">
        <v>2</v>
      </c>
      <c r="AS76">
        <v>0</v>
      </c>
      <c r="AT76">
        <v>0</v>
      </c>
      <c r="AU76">
        <v>0</v>
      </c>
      <c r="AV76">
        <v>0</v>
      </c>
      <c r="AW76">
        <v>0</v>
      </c>
      <c r="AX76">
        <v>0</v>
      </c>
      <c r="AY76" s="157"/>
      <c r="AZ76">
        <v>19</v>
      </c>
      <c r="BA76">
        <v>0</v>
      </c>
      <c r="BB76">
        <v>0</v>
      </c>
      <c r="BC76">
        <v>0</v>
      </c>
      <c r="BD76">
        <v>0</v>
      </c>
      <c r="BE76">
        <v>0</v>
      </c>
      <c r="BF76">
        <v>0</v>
      </c>
      <c r="BG76">
        <v>0</v>
      </c>
      <c r="BH76">
        <v>0</v>
      </c>
      <c r="BI76">
        <v>0</v>
      </c>
      <c r="BJ76">
        <v>0</v>
      </c>
      <c r="BK76">
        <v>0</v>
      </c>
      <c r="BL76">
        <v>0</v>
      </c>
      <c r="BM76">
        <v>0</v>
      </c>
      <c r="BN76">
        <v>0</v>
      </c>
      <c r="BO76">
        <v>0</v>
      </c>
      <c r="BP76">
        <v>2</v>
      </c>
      <c r="BQ76">
        <v>0</v>
      </c>
      <c r="BR76">
        <v>0</v>
      </c>
      <c r="BS76">
        <v>0</v>
      </c>
      <c r="BT76">
        <v>0</v>
      </c>
      <c r="BU76">
        <v>0</v>
      </c>
      <c r="BV76">
        <v>0</v>
      </c>
    </row>
    <row r="77" spans="1:74" x14ac:dyDescent="0.25">
      <c r="A77">
        <v>10</v>
      </c>
      <c r="B77">
        <v>123.46773</v>
      </c>
      <c r="C77">
        <v>0</v>
      </c>
      <c r="D77">
        <v>0</v>
      </c>
      <c r="E77">
        <v>0</v>
      </c>
      <c r="F77">
        <v>0</v>
      </c>
      <c r="G77">
        <v>0</v>
      </c>
      <c r="H77">
        <v>0</v>
      </c>
      <c r="I77">
        <v>0</v>
      </c>
      <c r="J77">
        <v>0</v>
      </c>
      <c r="K77">
        <v>0</v>
      </c>
      <c r="L77">
        <v>0</v>
      </c>
      <c r="Y77">
        <v>20</v>
      </c>
      <c r="Z77">
        <v>0</v>
      </c>
      <c r="AA77">
        <v>0</v>
      </c>
      <c r="AB77">
        <v>0</v>
      </c>
      <c r="AC77">
        <v>0</v>
      </c>
      <c r="AD77">
        <v>0</v>
      </c>
      <c r="AE77">
        <v>1</v>
      </c>
      <c r="AF77">
        <v>0</v>
      </c>
      <c r="AG77">
        <v>0</v>
      </c>
      <c r="AH77">
        <v>0</v>
      </c>
      <c r="AI77">
        <v>2</v>
      </c>
      <c r="AJ77">
        <v>0</v>
      </c>
      <c r="AK77">
        <v>0</v>
      </c>
      <c r="AL77">
        <v>0</v>
      </c>
      <c r="AM77">
        <v>0</v>
      </c>
      <c r="AN77">
        <v>0</v>
      </c>
      <c r="AO77">
        <v>0</v>
      </c>
      <c r="AP77">
        <v>0</v>
      </c>
      <c r="AQ77">
        <v>0</v>
      </c>
      <c r="AR77">
        <v>0</v>
      </c>
      <c r="AS77">
        <v>12</v>
      </c>
      <c r="AT77">
        <v>4</v>
      </c>
      <c r="AU77">
        <v>0</v>
      </c>
      <c r="AV77">
        <v>0</v>
      </c>
      <c r="AW77">
        <v>0</v>
      </c>
      <c r="AX77">
        <v>0</v>
      </c>
      <c r="AY77" s="157"/>
      <c r="AZ77">
        <v>20</v>
      </c>
      <c r="BA77">
        <v>0</v>
      </c>
      <c r="BB77">
        <v>0</v>
      </c>
      <c r="BC77">
        <v>0</v>
      </c>
      <c r="BD77">
        <v>0</v>
      </c>
      <c r="BE77">
        <v>0</v>
      </c>
      <c r="BF77">
        <v>1</v>
      </c>
      <c r="BG77">
        <v>0</v>
      </c>
      <c r="BH77">
        <v>0</v>
      </c>
      <c r="BI77">
        <v>0</v>
      </c>
      <c r="BJ77">
        <v>2</v>
      </c>
      <c r="BK77">
        <v>0</v>
      </c>
      <c r="BL77">
        <v>0</v>
      </c>
      <c r="BM77">
        <v>0</v>
      </c>
      <c r="BN77">
        <v>0</v>
      </c>
      <c r="BO77">
        <v>0</v>
      </c>
      <c r="BP77">
        <v>0</v>
      </c>
      <c r="BQ77">
        <v>12</v>
      </c>
      <c r="BR77">
        <v>4</v>
      </c>
      <c r="BS77">
        <v>0</v>
      </c>
      <c r="BT77">
        <v>0</v>
      </c>
      <c r="BU77">
        <v>0</v>
      </c>
      <c r="BV77">
        <v>0</v>
      </c>
    </row>
    <row r="78" spans="1:74" x14ac:dyDescent="0.25">
      <c r="A78">
        <v>15</v>
      </c>
      <c r="B78">
        <v>168.64150000000001</v>
      </c>
      <c r="C78">
        <v>0</v>
      </c>
      <c r="D78">
        <v>0</v>
      </c>
      <c r="E78">
        <v>0</v>
      </c>
      <c r="F78">
        <v>0</v>
      </c>
      <c r="G78">
        <v>0</v>
      </c>
      <c r="H78">
        <v>0</v>
      </c>
      <c r="I78">
        <v>0</v>
      </c>
      <c r="J78">
        <v>0</v>
      </c>
      <c r="K78">
        <v>0</v>
      </c>
      <c r="L78">
        <v>0</v>
      </c>
      <c r="Y78">
        <v>21</v>
      </c>
      <c r="Z78">
        <v>0</v>
      </c>
      <c r="AA78">
        <v>0</v>
      </c>
      <c r="AB78">
        <v>0</v>
      </c>
      <c r="AC78">
        <v>0</v>
      </c>
      <c r="AD78">
        <v>0</v>
      </c>
      <c r="AE78">
        <v>0</v>
      </c>
      <c r="AF78">
        <v>0</v>
      </c>
      <c r="AG78">
        <v>0</v>
      </c>
      <c r="AH78">
        <v>2</v>
      </c>
      <c r="AI78">
        <v>0</v>
      </c>
      <c r="AJ78">
        <v>0</v>
      </c>
      <c r="AK78">
        <v>0</v>
      </c>
      <c r="AL78">
        <v>0</v>
      </c>
      <c r="AM78">
        <v>0</v>
      </c>
      <c r="AN78">
        <v>0</v>
      </c>
      <c r="AO78">
        <v>0</v>
      </c>
      <c r="AP78">
        <v>0</v>
      </c>
      <c r="AQ78">
        <v>0</v>
      </c>
      <c r="AR78">
        <v>0</v>
      </c>
      <c r="AS78">
        <v>9</v>
      </c>
      <c r="AT78">
        <v>30</v>
      </c>
      <c r="AU78">
        <v>0</v>
      </c>
      <c r="AV78">
        <v>0</v>
      </c>
      <c r="AW78">
        <v>0</v>
      </c>
      <c r="AX78">
        <v>0</v>
      </c>
      <c r="AY78" s="157"/>
      <c r="AZ78">
        <v>21</v>
      </c>
      <c r="BA78">
        <v>0</v>
      </c>
      <c r="BB78">
        <v>0</v>
      </c>
      <c r="BC78">
        <v>0</v>
      </c>
      <c r="BD78">
        <v>0</v>
      </c>
      <c r="BE78">
        <v>0</v>
      </c>
      <c r="BF78">
        <v>0</v>
      </c>
      <c r="BG78">
        <v>0</v>
      </c>
      <c r="BH78">
        <v>0</v>
      </c>
      <c r="BI78">
        <v>2</v>
      </c>
      <c r="BJ78">
        <v>0</v>
      </c>
      <c r="BK78">
        <v>0</v>
      </c>
      <c r="BL78">
        <v>0</v>
      </c>
      <c r="BM78">
        <v>0</v>
      </c>
      <c r="BN78">
        <v>0</v>
      </c>
      <c r="BO78">
        <v>0</v>
      </c>
      <c r="BP78">
        <v>0</v>
      </c>
      <c r="BQ78">
        <v>9</v>
      </c>
      <c r="BR78">
        <v>30</v>
      </c>
      <c r="BS78">
        <v>0</v>
      </c>
      <c r="BT78">
        <v>0</v>
      </c>
      <c r="BU78">
        <v>0</v>
      </c>
      <c r="BV78">
        <v>0</v>
      </c>
    </row>
    <row r="79" spans="1:74" x14ac:dyDescent="0.25">
      <c r="Y79">
        <v>22</v>
      </c>
      <c r="Z79">
        <v>0</v>
      </c>
      <c r="AA79">
        <v>0</v>
      </c>
      <c r="AB79">
        <v>0</v>
      </c>
      <c r="AC79">
        <v>0</v>
      </c>
      <c r="AD79">
        <v>0</v>
      </c>
      <c r="AE79">
        <v>0</v>
      </c>
      <c r="AF79">
        <v>0</v>
      </c>
      <c r="AG79">
        <v>0</v>
      </c>
      <c r="AH79">
        <v>0</v>
      </c>
      <c r="AI79">
        <v>0</v>
      </c>
      <c r="AJ79">
        <v>6</v>
      </c>
      <c r="AK79">
        <v>0</v>
      </c>
      <c r="AL79">
        <v>0</v>
      </c>
      <c r="AM79">
        <v>0</v>
      </c>
      <c r="AN79">
        <v>0</v>
      </c>
      <c r="AO79">
        <v>0</v>
      </c>
      <c r="AP79">
        <v>0</v>
      </c>
      <c r="AQ79">
        <v>0</v>
      </c>
      <c r="AR79">
        <v>0</v>
      </c>
      <c r="AS79">
        <v>1</v>
      </c>
      <c r="AT79">
        <v>0</v>
      </c>
      <c r="AU79">
        <v>14</v>
      </c>
      <c r="AV79">
        <v>0</v>
      </c>
      <c r="AW79">
        <v>0</v>
      </c>
      <c r="AX79">
        <v>0</v>
      </c>
      <c r="AY79" s="157"/>
      <c r="AZ79">
        <v>22</v>
      </c>
      <c r="BA79">
        <v>0</v>
      </c>
      <c r="BB79">
        <v>0</v>
      </c>
      <c r="BC79">
        <v>0</v>
      </c>
      <c r="BD79">
        <v>0</v>
      </c>
      <c r="BE79">
        <v>0</v>
      </c>
      <c r="BF79">
        <v>0</v>
      </c>
      <c r="BG79">
        <v>0</v>
      </c>
      <c r="BH79">
        <v>0</v>
      </c>
      <c r="BI79">
        <v>0</v>
      </c>
      <c r="BJ79">
        <v>0</v>
      </c>
      <c r="BK79">
        <v>6</v>
      </c>
      <c r="BL79">
        <v>0</v>
      </c>
      <c r="BM79">
        <v>0</v>
      </c>
      <c r="BN79">
        <v>0</v>
      </c>
      <c r="BO79">
        <v>0</v>
      </c>
      <c r="BP79">
        <v>0</v>
      </c>
      <c r="BQ79">
        <v>1</v>
      </c>
      <c r="BR79">
        <v>0</v>
      </c>
      <c r="BS79">
        <v>14</v>
      </c>
      <c r="BT79">
        <v>0</v>
      </c>
      <c r="BU79">
        <v>0</v>
      </c>
      <c r="BV79">
        <v>0</v>
      </c>
    </row>
    <row r="80" spans="1:74" x14ac:dyDescent="0.25">
      <c r="Y80">
        <v>23</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8</v>
      </c>
      <c r="AW80">
        <v>0</v>
      </c>
      <c r="AX80">
        <v>0</v>
      </c>
      <c r="AY80" s="157"/>
      <c r="AZ80">
        <v>23</v>
      </c>
      <c r="BA80">
        <v>0</v>
      </c>
      <c r="BB80">
        <v>0</v>
      </c>
      <c r="BC80">
        <v>0</v>
      </c>
      <c r="BD80">
        <v>0</v>
      </c>
      <c r="BE80">
        <v>0</v>
      </c>
      <c r="BF80">
        <v>0</v>
      </c>
      <c r="BG80">
        <v>0</v>
      </c>
      <c r="BH80">
        <v>0</v>
      </c>
      <c r="BI80">
        <v>0</v>
      </c>
      <c r="BJ80">
        <v>0</v>
      </c>
      <c r="BK80">
        <v>0</v>
      </c>
      <c r="BL80">
        <v>0</v>
      </c>
      <c r="BM80">
        <v>0</v>
      </c>
      <c r="BN80">
        <v>0</v>
      </c>
      <c r="BO80">
        <v>0</v>
      </c>
      <c r="BP80">
        <v>0</v>
      </c>
      <c r="BQ80">
        <v>0</v>
      </c>
      <c r="BR80">
        <v>0</v>
      </c>
      <c r="BS80">
        <v>0</v>
      </c>
      <c r="BT80">
        <v>8</v>
      </c>
      <c r="BU80">
        <v>0</v>
      </c>
      <c r="BV80">
        <v>0</v>
      </c>
    </row>
    <row r="81" spans="25:74" x14ac:dyDescent="0.25">
      <c r="Y81">
        <v>24</v>
      </c>
      <c r="Z81">
        <v>2</v>
      </c>
      <c r="AA81">
        <v>0</v>
      </c>
      <c r="AB81">
        <v>0</v>
      </c>
      <c r="AC81">
        <v>0</v>
      </c>
      <c r="AD81">
        <v>0</v>
      </c>
      <c r="AE81">
        <v>0</v>
      </c>
      <c r="AF81">
        <v>0</v>
      </c>
      <c r="AG81">
        <v>0</v>
      </c>
      <c r="AH81">
        <v>0</v>
      </c>
      <c r="AI81">
        <v>0</v>
      </c>
      <c r="AJ81">
        <v>0</v>
      </c>
      <c r="AK81">
        <v>0</v>
      </c>
      <c r="AL81">
        <v>3</v>
      </c>
      <c r="AM81">
        <v>0</v>
      </c>
      <c r="AN81">
        <v>0</v>
      </c>
      <c r="AO81">
        <v>0</v>
      </c>
      <c r="AP81">
        <v>0</v>
      </c>
      <c r="AQ81">
        <v>0</v>
      </c>
      <c r="AR81">
        <v>0</v>
      </c>
      <c r="AS81">
        <v>0</v>
      </c>
      <c r="AT81">
        <v>0</v>
      </c>
      <c r="AU81">
        <v>0</v>
      </c>
      <c r="AV81">
        <v>2</v>
      </c>
      <c r="AW81">
        <v>14</v>
      </c>
      <c r="AX81">
        <v>0</v>
      </c>
      <c r="AY81" s="157"/>
      <c r="AZ81">
        <v>24</v>
      </c>
      <c r="BA81">
        <v>2</v>
      </c>
      <c r="BB81">
        <v>0</v>
      </c>
      <c r="BC81">
        <v>0</v>
      </c>
      <c r="BD81">
        <v>0</v>
      </c>
      <c r="BE81">
        <v>0</v>
      </c>
      <c r="BF81">
        <v>0</v>
      </c>
      <c r="BG81">
        <v>0</v>
      </c>
      <c r="BH81">
        <v>0</v>
      </c>
      <c r="BI81">
        <v>0</v>
      </c>
      <c r="BJ81">
        <v>0</v>
      </c>
      <c r="BK81">
        <v>0</v>
      </c>
      <c r="BL81">
        <v>0</v>
      </c>
      <c r="BM81">
        <v>3</v>
      </c>
      <c r="BN81">
        <v>0</v>
      </c>
      <c r="BO81">
        <v>0</v>
      </c>
      <c r="BP81">
        <v>0</v>
      </c>
      <c r="BQ81">
        <v>0</v>
      </c>
      <c r="BR81">
        <v>0</v>
      </c>
      <c r="BS81">
        <v>0</v>
      </c>
      <c r="BT81">
        <v>2</v>
      </c>
      <c r="BU81">
        <v>14</v>
      </c>
      <c r="BV81">
        <v>0</v>
      </c>
    </row>
    <row r="82" spans="25:74" x14ac:dyDescent="0.25">
      <c r="Y82">
        <v>25</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22</v>
      </c>
      <c r="AY82" s="157"/>
      <c r="AZ82">
        <v>25</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22</v>
      </c>
    </row>
    <row r="84" spans="25:74" x14ac:dyDescent="0.25">
      <c r="Y84">
        <v>1</v>
      </c>
      <c r="Z84">
        <v>2</v>
      </c>
      <c r="AA84">
        <v>3</v>
      </c>
      <c r="AB84">
        <v>4</v>
      </c>
      <c r="AC84">
        <v>5</v>
      </c>
      <c r="AD84">
        <v>6</v>
      </c>
      <c r="AE84">
        <v>7</v>
      </c>
      <c r="AF84">
        <v>8</v>
      </c>
      <c r="AG84">
        <v>9</v>
      </c>
      <c r="AH84">
        <v>10</v>
      </c>
      <c r="AI84">
        <v>11</v>
      </c>
      <c r="AJ84">
        <v>12</v>
      </c>
      <c r="AK84">
        <v>13</v>
      </c>
      <c r="AL84">
        <v>14</v>
      </c>
      <c r="AM84">
        <v>15</v>
      </c>
      <c r="AN84">
        <v>16</v>
      </c>
      <c r="AO84">
        <v>19</v>
      </c>
      <c r="AP84">
        <v>20</v>
      </c>
      <c r="AQ84">
        <v>21</v>
      </c>
      <c r="AR84">
        <v>22</v>
      </c>
      <c r="AS84">
        <v>23</v>
      </c>
      <c r="AT84">
        <v>24</v>
      </c>
      <c r="AU84">
        <v>25</v>
      </c>
    </row>
    <row r="85" spans="25:74" x14ac:dyDescent="0.25">
      <c r="Y85">
        <v>1</v>
      </c>
      <c r="Z85">
        <v>22</v>
      </c>
      <c r="AA85">
        <v>2</v>
      </c>
      <c r="AB85">
        <v>0</v>
      </c>
      <c r="AC85">
        <v>0</v>
      </c>
      <c r="AD85">
        <v>0</v>
      </c>
      <c r="AE85">
        <v>2</v>
      </c>
      <c r="AF85">
        <v>0</v>
      </c>
      <c r="AG85">
        <v>0</v>
      </c>
      <c r="AH85">
        <v>0</v>
      </c>
      <c r="AI85">
        <v>0</v>
      </c>
      <c r="AJ85">
        <v>0</v>
      </c>
      <c r="AK85">
        <v>0</v>
      </c>
      <c r="AL85">
        <v>0</v>
      </c>
      <c r="AM85">
        <v>0</v>
      </c>
      <c r="AN85">
        <v>0</v>
      </c>
      <c r="AO85">
        <v>0</v>
      </c>
      <c r="AP85">
        <v>0</v>
      </c>
      <c r="AQ85">
        <v>0</v>
      </c>
      <c r="AR85">
        <v>0</v>
      </c>
      <c r="AS85">
        <v>0</v>
      </c>
      <c r="AT85">
        <v>0</v>
      </c>
      <c r="AU85">
        <v>0</v>
      </c>
      <c r="AV85">
        <v>0</v>
      </c>
    </row>
    <row r="86" spans="25:74" x14ac:dyDescent="0.25">
      <c r="Y86">
        <v>2</v>
      </c>
      <c r="Z86">
        <v>32</v>
      </c>
      <c r="AA86">
        <v>58</v>
      </c>
      <c r="AB86">
        <v>2</v>
      </c>
      <c r="AC86">
        <v>0</v>
      </c>
      <c r="AD86">
        <v>0</v>
      </c>
      <c r="AE86">
        <v>0</v>
      </c>
      <c r="AF86">
        <v>0</v>
      </c>
      <c r="AG86">
        <v>2</v>
      </c>
      <c r="AH86">
        <v>2</v>
      </c>
      <c r="AI86">
        <v>0</v>
      </c>
      <c r="AJ86">
        <v>0</v>
      </c>
      <c r="AK86">
        <v>0</v>
      </c>
      <c r="AL86">
        <v>0</v>
      </c>
      <c r="AM86">
        <v>0</v>
      </c>
      <c r="AN86">
        <v>0</v>
      </c>
      <c r="AO86">
        <v>2</v>
      </c>
      <c r="AP86">
        <v>0</v>
      </c>
      <c r="AQ86">
        <v>0</v>
      </c>
      <c r="AR86">
        <v>0</v>
      </c>
      <c r="AS86">
        <v>0</v>
      </c>
      <c r="AT86">
        <v>0</v>
      </c>
      <c r="AU86">
        <v>0</v>
      </c>
      <c r="AV86">
        <v>0</v>
      </c>
    </row>
    <row r="87" spans="25:74" x14ac:dyDescent="0.25">
      <c r="Y87">
        <v>3</v>
      </c>
      <c r="Z87">
        <v>20</v>
      </c>
      <c r="AA87">
        <v>4</v>
      </c>
      <c r="AB87">
        <v>14</v>
      </c>
      <c r="AC87">
        <v>2</v>
      </c>
      <c r="AD87">
        <v>2</v>
      </c>
      <c r="AE87">
        <v>0</v>
      </c>
      <c r="AF87">
        <v>0</v>
      </c>
      <c r="AG87">
        <v>0</v>
      </c>
      <c r="AH87">
        <v>0</v>
      </c>
      <c r="AI87">
        <v>0</v>
      </c>
      <c r="AJ87">
        <v>0</v>
      </c>
      <c r="AK87">
        <v>0</v>
      </c>
      <c r="AL87">
        <v>0</v>
      </c>
      <c r="AM87">
        <v>0</v>
      </c>
      <c r="AN87">
        <v>0</v>
      </c>
      <c r="AO87">
        <v>0</v>
      </c>
      <c r="AP87">
        <v>0</v>
      </c>
      <c r="AQ87">
        <v>0</v>
      </c>
      <c r="AR87">
        <v>0</v>
      </c>
      <c r="AS87">
        <v>0</v>
      </c>
      <c r="AT87">
        <v>0</v>
      </c>
      <c r="AU87">
        <v>0</v>
      </c>
      <c r="AV87">
        <v>0</v>
      </c>
    </row>
    <row r="88" spans="25:74" x14ac:dyDescent="0.25">
      <c r="Y88">
        <v>4</v>
      </c>
      <c r="Z88">
        <v>14</v>
      </c>
      <c r="AA88">
        <v>4</v>
      </c>
      <c r="AB88">
        <v>10</v>
      </c>
      <c r="AC88">
        <v>10</v>
      </c>
      <c r="AD88">
        <v>0</v>
      </c>
      <c r="AE88">
        <v>0</v>
      </c>
      <c r="AF88">
        <v>0</v>
      </c>
      <c r="AG88">
        <v>0</v>
      </c>
      <c r="AH88">
        <v>0</v>
      </c>
      <c r="AI88">
        <v>0</v>
      </c>
      <c r="AJ88">
        <v>0</v>
      </c>
      <c r="AK88">
        <v>0</v>
      </c>
      <c r="AL88">
        <v>0</v>
      </c>
      <c r="AM88">
        <v>0</v>
      </c>
      <c r="AN88">
        <v>0</v>
      </c>
      <c r="AO88">
        <v>0</v>
      </c>
      <c r="AP88">
        <v>0</v>
      </c>
      <c r="AQ88">
        <v>0</v>
      </c>
      <c r="AR88">
        <v>0</v>
      </c>
      <c r="AS88">
        <v>0</v>
      </c>
      <c r="AT88">
        <v>0</v>
      </c>
      <c r="AU88">
        <v>0</v>
      </c>
      <c r="AV88">
        <v>0</v>
      </c>
    </row>
    <row r="89" spans="25:74" x14ac:dyDescent="0.25">
      <c r="Y89">
        <v>5</v>
      </c>
      <c r="Z89">
        <v>20</v>
      </c>
      <c r="AA89">
        <v>0</v>
      </c>
      <c r="AB89">
        <v>0</v>
      </c>
      <c r="AC89">
        <v>6</v>
      </c>
      <c r="AD89">
        <v>14</v>
      </c>
      <c r="AE89">
        <v>2</v>
      </c>
      <c r="AF89">
        <v>4</v>
      </c>
      <c r="AG89">
        <v>0</v>
      </c>
      <c r="AH89">
        <v>0</v>
      </c>
      <c r="AI89">
        <v>0</v>
      </c>
      <c r="AJ89">
        <v>0</v>
      </c>
      <c r="AK89">
        <v>2</v>
      </c>
      <c r="AL89">
        <v>0</v>
      </c>
      <c r="AM89">
        <v>0</v>
      </c>
      <c r="AN89">
        <v>0</v>
      </c>
      <c r="AO89">
        <v>0</v>
      </c>
      <c r="AP89">
        <v>0</v>
      </c>
      <c r="AQ89">
        <v>0</v>
      </c>
      <c r="AR89">
        <v>0</v>
      </c>
      <c r="AS89">
        <v>0</v>
      </c>
      <c r="AT89">
        <v>0</v>
      </c>
      <c r="AU89">
        <v>0</v>
      </c>
      <c r="AV89">
        <v>0</v>
      </c>
    </row>
    <row r="90" spans="25:74" x14ac:dyDescent="0.25">
      <c r="Y90">
        <v>6</v>
      </c>
      <c r="Z90">
        <v>38</v>
      </c>
      <c r="AA90">
        <v>0</v>
      </c>
      <c r="AB90">
        <v>0</v>
      </c>
      <c r="AC90">
        <v>0</v>
      </c>
      <c r="AD90">
        <v>6</v>
      </c>
      <c r="AE90">
        <v>12</v>
      </c>
      <c r="AF90">
        <v>2</v>
      </c>
      <c r="AG90">
        <v>0</v>
      </c>
      <c r="AH90">
        <v>0</v>
      </c>
      <c r="AI90">
        <v>0</v>
      </c>
      <c r="AJ90">
        <v>0</v>
      </c>
      <c r="AK90">
        <v>0</v>
      </c>
      <c r="AL90">
        <v>2</v>
      </c>
      <c r="AM90">
        <v>0</v>
      </c>
      <c r="AN90">
        <v>0</v>
      </c>
      <c r="AO90">
        <v>0</v>
      </c>
      <c r="AP90">
        <v>0</v>
      </c>
      <c r="AQ90">
        <v>0</v>
      </c>
      <c r="AR90">
        <v>0</v>
      </c>
      <c r="AS90">
        <v>0</v>
      </c>
      <c r="AT90">
        <v>0</v>
      </c>
      <c r="AU90">
        <v>0</v>
      </c>
      <c r="AV90">
        <v>0</v>
      </c>
    </row>
    <row r="91" spans="25:74" x14ac:dyDescent="0.25">
      <c r="Y91">
        <v>7</v>
      </c>
      <c r="Z91">
        <v>20</v>
      </c>
      <c r="AA91">
        <v>0</v>
      </c>
      <c r="AB91">
        <v>0</v>
      </c>
      <c r="AC91">
        <v>0</v>
      </c>
      <c r="AD91">
        <v>2</v>
      </c>
      <c r="AE91">
        <v>6</v>
      </c>
      <c r="AF91">
        <v>16</v>
      </c>
      <c r="AG91">
        <v>10</v>
      </c>
      <c r="AH91">
        <v>0</v>
      </c>
      <c r="AI91">
        <v>0</v>
      </c>
      <c r="AJ91">
        <v>0</v>
      </c>
      <c r="AK91">
        <v>0</v>
      </c>
      <c r="AL91">
        <v>0</v>
      </c>
      <c r="AM91">
        <v>2</v>
      </c>
      <c r="AN91">
        <v>0</v>
      </c>
      <c r="AO91">
        <v>0</v>
      </c>
      <c r="AP91">
        <v>0</v>
      </c>
      <c r="AQ91">
        <v>0</v>
      </c>
      <c r="AR91">
        <v>0</v>
      </c>
      <c r="AS91">
        <v>0</v>
      </c>
      <c r="AT91">
        <v>0</v>
      </c>
      <c r="AU91">
        <v>0</v>
      </c>
      <c r="AV91">
        <v>0</v>
      </c>
    </row>
    <row r="92" spans="25:74" x14ac:dyDescent="0.25">
      <c r="Y92">
        <v>8</v>
      </c>
      <c r="Z92">
        <v>38</v>
      </c>
      <c r="AA92">
        <v>2</v>
      </c>
      <c r="AB92">
        <v>0</v>
      </c>
      <c r="AC92">
        <v>2</v>
      </c>
      <c r="AD92">
        <v>0</v>
      </c>
      <c r="AE92">
        <v>0</v>
      </c>
      <c r="AF92">
        <v>18</v>
      </c>
      <c r="AG92">
        <v>48</v>
      </c>
      <c r="AH92">
        <v>0</v>
      </c>
      <c r="AI92">
        <v>0</v>
      </c>
      <c r="AJ92">
        <v>0</v>
      </c>
      <c r="AK92">
        <v>0</v>
      </c>
      <c r="AL92">
        <v>0</v>
      </c>
      <c r="AM92">
        <v>4</v>
      </c>
      <c r="AN92">
        <v>0</v>
      </c>
      <c r="AO92">
        <v>0</v>
      </c>
      <c r="AP92">
        <v>0</v>
      </c>
      <c r="AQ92">
        <v>0</v>
      </c>
      <c r="AR92">
        <v>0</v>
      </c>
      <c r="AS92">
        <v>0</v>
      </c>
      <c r="AT92">
        <v>0</v>
      </c>
      <c r="AU92">
        <v>0</v>
      </c>
      <c r="AV92">
        <v>0</v>
      </c>
    </row>
    <row r="93" spans="25:74" x14ac:dyDescent="0.25">
      <c r="Y93">
        <v>9</v>
      </c>
      <c r="Z93">
        <v>6</v>
      </c>
      <c r="AA93">
        <v>2</v>
      </c>
      <c r="AB93">
        <v>0</v>
      </c>
      <c r="AC93">
        <v>0</v>
      </c>
      <c r="AD93">
        <v>0</v>
      </c>
      <c r="AE93">
        <v>0</v>
      </c>
      <c r="AF93">
        <v>0</v>
      </c>
      <c r="AG93">
        <v>0</v>
      </c>
      <c r="AH93">
        <v>2</v>
      </c>
      <c r="AI93">
        <v>0</v>
      </c>
      <c r="AJ93">
        <v>0</v>
      </c>
      <c r="AK93">
        <v>0</v>
      </c>
      <c r="AL93">
        <v>0</v>
      </c>
      <c r="AM93">
        <v>0</v>
      </c>
      <c r="AN93">
        <v>0</v>
      </c>
      <c r="AO93">
        <v>0</v>
      </c>
      <c r="AP93">
        <v>0</v>
      </c>
      <c r="AQ93">
        <v>0</v>
      </c>
      <c r="AR93">
        <v>0</v>
      </c>
      <c r="AS93">
        <v>0</v>
      </c>
      <c r="AT93">
        <v>0</v>
      </c>
      <c r="AU93">
        <v>0</v>
      </c>
      <c r="AV93">
        <v>0</v>
      </c>
    </row>
    <row r="94" spans="25:74" x14ac:dyDescent="0.25">
      <c r="Y94">
        <v>10</v>
      </c>
      <c r="Z94">
        <v>0</v>
      </c>
      <c r="AA94">
        <v>0</v>
      </c>
      <c r="AB94">
        <v>6</v>
      </c>
      <c r="AC94">
        <v>0</v>
      </c>
      <c r="AD94">
        <v>0</v>
      </c>
      <c r="AE94">
        <v>0</v>
      </c>
      <c r="AF94">
        <v>2</v>
      </c>
      <c r="AG94">
        <v>0</v>
      </c>
      <c r="AH94">
        <v>0</v>
      </c>
      <c r="AI94">
        <v>6</v>
      </c>
      <c r="AJ94">
        <v>0</v>
      </c>
      <c r="AK94">
        <v>0</v>
      </c>
      <c r="AL94">
        <v>0</v>
      </c>
      <c r="AM94">
        <v>0</v>
      </c>
      <c r="AN94">
        <v>0</v>
      </c>
      <c r="AO94">
        <v>0</v>
      </c>
      <c r="AP94">
        <v>0</v>
      </c>
      <c r="AQ94">
        <v>2</v>
      </c>
      <c r="AR94">
        <v>0</v>
      </c>
      <c r="AS94">
        <v>0</v>
      </c>
      <c r="AT94">
        <v>0</v>
      </c>
      <c r="AU94">
        <v>0</v>
      </c>
      <c r="AV94">
        <v>0</v>
      </c>
    </row>
    <row r="95" spans="25:74" x14ac:dyDescent="0.25">
      <c r="Y95">
        <v>11</v>
      </c>
      <c r="Z95">
        <v>2</v>
      </c>
      <c r="AA95">
        <v>4</v>
      </c>
      <c r="AB95">
        <v>0</v>
      </c>
      <c r="AC95">
        <v>0</v>
      </c>
      <c r="AD95">
        <v>4</v>
      </c>
      <c r="AE95">
        <v>0</v>
      </c>
      <c r="AF95">
        <v>0</v>
      </c>
      <c r="AG95">
        <v>0</v>
      </c>
      <c r="AH95">
        <v>0</v>
      </c>
      <c r="AI95">
        <v>0</v>
      </c>
      <c r="AJ95">
        <v>10</v>
      </c>
      <c r="AK95">
        <v>0</v>
      </c>
      <c r="AL95">
        <v>0</v>
      </c>
      <c r="AM95">
        <v>0</v>
      </c>
      <c r="AN95">
        <v>0</v>
      </c>
      <c r="AO95">
        <v>0</v>
      </c>
      <c r="AP95">
        <v>0</v>
      </c>
      <c r="AQ95">
        <v>0</v>
      </c>
      <c r="AR95">
        <v>0</v>
      </c>
      <c r="AS95">
        <v>0</v>
      </c>
      <c r="AT95">
        <v>0</v>
      </c>
      <c r="AU95">
        <v>0</v>
      </c>
      <c r="AV95">
        <v>0</v>
      </c>
    </row>
    <row r="96" spans="25:74" x14ac:dyDescent="0.25">
      <c r="Y96">
        <v>12</v>
      </c>
      <c r="Z96">
        <v>6</v>
      </c>
      <c r="AA96">
        <v>0</v>
      </c>
      <c r="AB96">
        <v>2</v>
      </c>
      <c r="AC96">
        <v>2</v>
      </c>
      <c r="AD96">
        <v>4</v>
      </c>
      <c r="AE96">
        <v>0</v>
      </c>
      <c r="AF96">
        <v>0</v>
      </c>
      <c r="AG96">
        <v>0</v>
      </c>
      <c r="AH96">
        <v>0</v>
      </c>
      <c r="AI96">
        <v>0</v>
      </c>
      <c r="AJ96">
        <v>8</v>
      </c>
      <c r="AK96">
        <v>8</v>
      </c>
      <c r="AL96">
        <v>0</v>
      </c>
      <c r="AM96">
        <v>0</v>
      </c>
      <c r="AN96">
        <v>0</v>
      </c>
      <c r="AO96">
        <v>0</v>
      </c>
      <c r="AP96">
        <v>0</v>
      </c>
      <c r="AQ96">
        <v>0</v>
      </c>
      <c r="AR96">
        <v>0</v>
      </c>
      <c r="AS96">
        <v>0</v>
      </c>
      <c r="AT96">
        <v>0</v>
      </c>
      <c r="AU96">
        <v>0</v>
      </c>
      <c r="AV96">
        <v>0</v>
      </c>
    </row>
    <row r="97" spans="25:48" x14ac:dyDescent="0.25">
      <c r="Y97">
        <v>13</v>
      </c>
      <c r="Z97">
        <v>0</v>
      </c>
      <c r="AA97">
        <v>2</v>
      </c>
      <c r="AB97">
        <v>0</v>
      </c>
      <c r="AC97">
        <v>0</v>
      </c>
      <c r="AD97">
        <v>0</v>
      </c>
      <c r="AE97">
        <v>4</v>
      </c>
      <c r="AF97">
        <v>0</v>
      </c>
      <c r="AG97">
        <v>0</v>
      </c>
      <c r="AH97">
        <v>0</v>
      </c>
      <c r="AI97">
        <v>0</v>
      </c>
      <c r="AJ97">
        <v>0</v>
      </c>
      <c r="AK97">
        <v>4</v>
      </c>
      <c r="AL97">
        <v>16</v>
      </c>
      <c r="AM97">
        <v>0</v>
      </c>
      <c r="AN97">
        <v>0</v>
      </c>
      <c r="AO97">
        <v>0</v>
      </c>
      <c r="AP97">
        <v>0</v>
      </c>
      <c r="AQ97">
        <v>0</v>
      </c>
      <c r="AR97">
        <v>0</v>
      </c>
      <c r="AS97">
        <v>0</v>
      </c>
      <c r="AT97">
        <v>0</v>
      </c>
      <c r="AU97">
        <v>2</v>
      </c>
      <c r="AV97">
        <v>0</v>
      </c>
    </row>
    <row r="98" spans="25:48" x14ac:dyDescent="0.25">
      <c r="Y98">
        <v>14</v>
      </c>
      <c r="Z98">
        <v>0</v>
      </c>
      <c r="AA98">
        <v>0</v>
      </c>
      <c r="AB98">
        <v>0</v>
      </c>
      <c r="AC98">
        <v>0</v>
      </c>
      <c r="AD98">
        <v>0</v>
      </c>
      <c r="AE98">
        <v>0</v>
      </c>
      <c r="AF98">
        <v>2</v>
      </c>
      <c r="AG98">
        <v>0</v>
      </c>
      <c r="AH98">
        <v>0</v>
      </c>
      <c r="AI98">
        <v>0</v>
      </c>
      <c r="AJ98">
        <v>0</v>
      </c>
      <c r="AK98">
        <v>0</v>
      </c>
      <c r="AL98">
        <v>0</v>
      </c>
      <c r="AM98">
        <v>14</v>
      </c>
      <c r="AN98">
        <v>4</v>
      </c>
      <c r="AO98">
        <v>0</v>
      </c>
      <c r="AP98">
        <v>0</v>
      </c>
      <c r="AQ98">
        <v>0</v>
      </c>
      <c r="AR98">
        <v>0</v>
      </c>
      <c r="AS98">
        <v>0</v>
      </c>
      <c r="AT98">
        <v>0</v>
      </c>
      <c r="AU98">
        <v>0</v>
      </c>
      <c r="AV98">
        <v>0</v>
      </c>
    </row>
    <row r="99" spans="25:48" x14ac:dyDescent="0.25">
      <c r="Y99">
        <v>15</v>
      </c>
      <c r="Z99">
        <v>6</v>
      </c>
      <c r="AA99">
        <v>0</v>
      </c>
      <c r="AB99">
        <v>0</v>
      </c>
      <c r="AC99">
        <v>0</v>
      </c>
      <c r="AD99">
        <v>0</v>
      </c>
      <c r="AE99">
        <v>0</v>
      </c>
      <c r="AF99">
        <v>0</v>
      </c>
      <c r="AG99">
        <v>4</v>
      </c>
      <c r="AH99">
        <v>0</v>
      </c>
      <c r="AI99">
        <v>0</v>
      </c>
      <c r="AJ99">
        <v>0</v>
      </c>
      <c r="AK99">
        <v>0</v>
      </c>
      <c r="AL99">
        <v>0</v>
      </c>
      <c r="AM99">
        <v>0</v>
      </c>
      <c r="AN99">
        <v>4</v>
      </c>
      <c r="AO99">
        <v>0</v>
      </c>
      <c r="AP99">
        <v>0</v>
      </c>
      <c r="AQ99">
        <v>0</v>
      </c>
      <c r="AR99">
        <v>0</v>
      </c>
      <c r="AS99">
        <v>0</v>
      </c>
      <c r="AT99">
        <v>0</v>
      </c>
      <c r="AU99">
        <v>0</v>
      </c>
      <c r="AV99">
        <v>2</v>
      </c>
    </row>
    <row r="100" spans="25:48" x14ac:dyDescent="0.25">
      <c r="Y100">
        <v>18</v>
      </c>
      <c r="Z100">
        <v>2</v>
      </c>
      <c r="AA100">
        <v>0</v>
      </c>
      <c r="AB100">
        <v>0</v>
      </c>
      <c r="AC100">
        <v>0</v>
      </c>
      <c r="AD100">
        <v>0</v>
      </c>
      <c r="AE100">
        <v>0</v>
      </c>
      <c r="AF100">
        <v>0</v>
      </c>
      <c r="AG100">
        <v>2</v>
      </c>
      <c r="AH100">
        <v>0</v>
      </c>
      <c r="AI100">
        <v>0</v>
      </c>
      <c r="AJ100">
        <v>0</v>
      </c>
      <c r="AK100">
        <v>0</v>
      </c>
      <c r="AL100">
        <v>0</v>
      </c>
      <c r="AM100">
        <v>0</v>
      </c>
      <c r="AN100">
        <v>0</v>
      </c>
      <c r="AO100">
        <v>0</v>
      </c>
      <c r="AP100">
        <v>0</v>
      </c>
      <c r="AQ100">
        <v>0</v>
      </c>
      <c r="AR100">
        <v>0</v>
      </c>
      <c r="AS100">
        <v>0</v>
      </c>
      <c r="AT100">
        <v>0</v>
      </c>
      <c r="AU100">
        <v>0</v>
      </c>
      <c r="AV100">
        <v>0</v>
      </c>
    </row>
    <row r="101" spans="25:48" x14ac:dyDescent="0.25">
      <c r="Y101">
        <v>19</v>
      </c>
      <c r="Z101">
        <v>2</v>
      </c>
      <c r="AA101">
        <v>0</v>
      </c>
      <c r="AB101">
        <v>0</v>
      </c>
      <c r="AC101">
        <v>0</v>
      </c>
      <c r="AD101">
        <v>0</v>
      </c>
      <c r="AE101">
        <v>0</v>
      </c>
      <c r="AF101">
        <v>0</v>
      </c>
      <c r="AG101">
        <v>2</v>
      </c>
      <c r="AH101">
        <v>0</v>
      </c>
      <c r="AI101">
        <v>0</v>
      </c>
      <c r="AJ101">
        <v>0</v>
      </c>
      <c r="AK101">
        <v>0</v>
      </c>
      <c r="AL101">
        <v>0</v>
      </c>
      <c r="AM101">
        <v>0</v>
      </c>
      <c r="AN101">
        <v>0</v>
      </c>
      <c r="AO101">
        <v>0</v>
      </c>
      <c r="AP101">
        <v>2</v>
      </c>
      <c r="AQ101">
        <v>0</v>
      </c>
      <c r="AR101">
        <v>0</v>
      </c>
      <c r="AS101">
        <v>0</v>
      </c>
      <c r="AT101">
        <v>0</v>
      </c>
      <c r="AU101">
        <v>0</v>
      </c>
      <c r="AV101">
        <v>0</v>
      </c>
    </row>
    <row r="102" spans="25:48" x14ac:dyDescent="0.25">
      <c r="Y102">
        <v>20</v>
      </c>
      <c r="Z102">
        <v>2</v>
      </c>
      <c r="AA102">
        <v>0</v>
      </c>
      <c r="AB102">
        <v>0</v>
      </c>
      <c r="AC102">
        <v>0</v>
      </c>
      <c r="AD102">
        <v>0</v>
      </c>
      <c r="AE102">
        <v>0</v>
      </c>
      <c r="AF102">
        <v>0</v>
      </c>
      <c r="AG102">
        <v>0</v>
      </c>
      <c r="AH102">
        <v>0</v>
      </c>
      <c r="AI102">
        <v>0</v>
      </c>
      <c r="AJ102">
        <v>0</v>
      </c>
      <c r="AK102">
        <v>0</v>
      </c>
      <c r="AL102">
        <v>0</v>
      </c>
      <c r="AM102">
        <v>0</v>
      </c>
      <c r="AN102">
        <v>0</v>
      </c>
      <c r="AO102">
        <v>0</v>
      </c>
      <c r="AP102">
        <v>0</v>
      </c>
      <c r="AQ102">
        <v>10</v>
      </c>
      <c r="AR102">
        <v>0</v>
      </c>
      <c r="AS102">
        <v>0</v>
      </c>
      <c r="AT102">
        <v>0</v>
      </c>
      <c r="AU102">
        <v>0</v>
      </c>
      <c r="AV102">
        <v>0</v>
      </c>
    </row>
    <row r="103" spans="25:48" x14ac:dyDescent="0.25">
      <c r="Y103">
        <v>21</v>
      </c>
      <c r="Z103">
        <v>0</v>
      </c>
      <c r="AA103">
        <v>2</v>
      </c>
      <c r="AB103">
        <v>0</v>
      </c>
      <c r="AC103">
        <v>0</v>
      </c>
      <c r="AD103">
        <v>0</v>
      </c>
      <c r="AE103">
        <v>0</v>
      </c>
      <c r="AF103">
        <v>0</v>
      </c>
      <c r="AG103">
        <v>0</v>
      </c>
      <c r="AH103">
        <v>0</v>
      </c>
      <c r="AI103">
        <v>0</v>
      </c>
      <c r="AJ103">
        <v>0</v>
      </c>
      <c r="AK103">
        <v>0</v>
      </c>
      <c r="AL103">
        <v>0</v>
      </c>
      <c r="AM103">
        <v>0</v>
      </c>
      <c r="AN103">
        <v>0</v>
      </c>
      <c r="AO103">
        <v>0</v>
      </c>
      <c r="AP103">
        <v>0</v>
      </c>
      <c r="AQ103">
        <v>6</v>
      </c>
      <c r="AR103">
        <v>4</v>
      </c>
      <c r="AS103">
        <v>0</v>
      </c>
      <c r="AT103">
        <v>0</v>
      </c>
      <c r="AU103">
        <v>0</v>
      </c>
      <c r="AV103">
        <v>0</v>
      </c>
    </row>
    <row r="104" spans="25:48" x14ac:dyDescent="0.25">
      <c r="Y104">
        <v>22</v>
      </c>
      <c r="Z104">
        <v>2</v>
      </c>
      <c r="AA104">
        <v>0</v>
      </c>
      <c r="AB104">
        <v>0</v>
      </c>
      <c r="AC104">
        <v>2</v>
      </c>
      <c r="AD104">
        <v>0</v>
      </c>
      <c r="AE104">
        <v>0</v>
      </c>
      <c r="AF104">
        <v>0</v>
      </c>
      <c r="AG104">
        <v>0</v>
      </c>
      <c r="AH104">
        <v>0</v>
      </c>
      <c r="AI104">
        <v>2</v>
      </c>
      <c r="AJ104">
        <v>2</v>
      </c>
      <c r="AK104">
        <v>0</v>
      </c>
      <c r="AL104">
        <v>0</v>
      </c>
      <c r="AM104">
        <v>0</v>
      </c>
      <c r="AN104">
        <v>0</v>
      </c>
      <c r="AO104">
        <v>0</v>
      </c>
      <c r="AP104">
        <v>0</v>
      </c>
      <c r="AQ104">
        <v>0</v>
      </c>
      <c r="AR104">
        <v>0</v>
      </c>
      <c r="AS104">
        <v>8</v>
      </c>
      <c r="AT104">
        <v>0</v>
      </c>
      <c r="AU104">
        <v>0</v>
      </c>
      <c r="AV104">
        <v>0</v>
      </c>
    </row>
    <row r="105" spans="25:48" x14ac:dyDescent="0.25">
      <c r="Y105">
        <v>23</v>
      </c>
      <c r="Z105">
        <v>2</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row>
    <row r="106" spans="25:48" x14ac:dyDescent="0.25">
      <c r="Y106">
        <v>24</v>
      </c>
      <c r="Z106">
        <v>0</v>
      </c>
      <c r="AA106">
        <v>0</v>
      </c>
      <c r="AB106">
        <v>0</v>
      </c>
      <c r="AC106">
        <v>0</v>
      </c>
      <c r="AD106">
        <v>0</v>
      </c>
      <c r="AE106">
        <v>0</v>
      </c>
      <c r="AF106">
        <v>0</v>
      </c>
      <c r="AG106">
        <v>0</v>
      </c>
      <c r="AH106">
        <v>0</v>
      </c>
      <c r="AI106">
        <v>0</v>
      </c>
      <c r="AJ106">
        <v>0</v>
      </c>
      <c r="AK106">
        <v>0</v>
      </c>
      <c r="AL106">
        <v>4</v>
      </c>
      <c r="AM106">
        <v>0</v>
      </c>
      <c r="AN106">
        <v>0</v>
      </c>
      <c r="AO106">
        <v>0</v>
      </c>
      <c r="AP106">
        <v>0</v>
      </c>
      <c r="AQ106">
        <v>0</v>
      </c>
      <c r="AR106">
        <v>0</v>
      </c>
      <c r="AS106">
        <v>0</v>
      </c>
      <c r="AT106">
        <v>6</v>
      </c>
      <c r="AU106">
        <v>8</v>
      </c>
      <c r="AV106">
        <v>0</v>
      </c>
    </row>
    <row r="107" spans="25:48" x14ac:dyDescent="0.25">
      <c r="Y107">
        <v>25</v>
      </c>
      <c r="Z107">
        <v>2</v>
      </c>
      <c r="AA107">
        <v>0</v>
      </c>
      <c r="AB107">
        <v>0</v>
      </c>
      <c r="AC107">
        <v>0</v>
      </c>
      <c r="AD107">
        <v>0</v>
      </c>
      <c r="AE107">
        <v>0</v>
      </c>
      <c r="AF107">
        <v>0</v>
      </c>
      <c r="AG107">
        <v>2</v>
      </c>
      <c r="AH107">
        <v>0</v>
      </c>
      <c r="AI107">
        <v>0</v>
      </c>
      <c r="AJ107">
        <v>0</v>
      </c>
      <c r="AK107">
        <v>0</v>
      </c>
      <c r="AL107">
        <v>0</v>
      </c>
      <c r="AM107">
        <v>0</v>
      </c>
      <c r="AN107">
        <v>0</v>
      </c>
      <c r="AO107">
        <v>0</v>
      </c>
      <c r="AP107">
        <v>0</v>
      </c>
      <c r="AQ107">
        <v>0</v>
      </c>
      <c r="AR107">
        <v>0</v>
      </c>
      <c r="AS107">
        <v>0</v>
      </c>
      <c r="AT107">
        <v>0</v>
      </c>
      <c r="AU107">
        <v>0</v>
      </c>
      <c r="AV107">
        <v>10</v>
      </c>
    </row>
  </sheetData>
  <pageMargins left="0.7" right="0.7" top="0.75" bottom="0.75" header="0.3" footer="0.3"/>
  <pageSetup paperSize="0" orientation="portrait" horizontalDpi="0" verticalDpi="0" copie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T11"/>
  <sheetViews>
    <sheetView zoomScale="90" zoomScaleNormal="90" workbookViewId="0">
      <selection activeCell="P40" sqref="P40:Q40"/>
    </sheetView>
  </sheetViews>
  <sheetFormatPr defaultRowHeight="15" x14ac:dyDescent="0.25"/>
  <cols>
    <col min="2" max="2" width="14" bestFit="1" customWidth="1"/>
    <col min="3" max="4" width="13.85546875" bestFit="1" customWidth="1"/>
    <col min="18" max="18" width="12.28515625" bestFit="1" customWidth="1"/>
    <col min="19" max="19" width="18.140625" bestFit="1" customWidth="1"/>
    <col min="20" max="20" width="14.85546875" bestFit="1" customWidth="1"/>
  </cols>
  <sheetData>
    <row r="1" spans="1:20" ht="21" x14ac:dyDescent="0.35">
      <c r="A1" s="172" t="s">
        <v>371</v>
      </c>
    </row>
    <row r="3" spans="1:20" x14ac:dyDescent="0.25">
      <c r="A3" s="17"/>
      <c r="B3" s="381" t="s">
        <v>10</v>
      </c>
      <c r="C3" s="381"/>
      <c r="D3" s="381"/>
      <c r="E3" s="381" t="s">
        <v>11</v>
      </c>
      <c r="F3" s="381"/>
      <c r="G3" s="382"/>
      <c r="H3" s="180"/>
      <c r="R3" s="383" t="s">
        <v>573</v>
      </c>
      <c r="S3" s="383"/>
      <c r="T3">
        <v>0.5</v>
      </c>
    </row>
    <row r="4" spans="1:20" ht="30.75" thickBot="1" x14ac:dyDescent="0.3">
      <c r="A4" s="20" t="s">
        <v>8</v>
      </c>
      <c r="B4" s="250" t="s">
        <v>508</v>
      </c>
      <c r="C4" s="250" t="s">
        <v>7</v>
      </c>
      <c r="D4" s="251" t="s">
        <v>3</v>
      </c>
      <c r="E4" s="21" t="s">
        <v>24</v>
      </c>
      <c r="F4" s="21" t="s">
        <v>7</v>
      </c>
      <c r="G4" s="22" t="s">
        <v>3</v>
      </c>
      <c r="H4" s="181" t="s">
        <v>169</v>
      </c>
      <c r="J4" s="130" t="s">
        <v>141</v>
      </c>
      <c r="M4" t="s">
        <v>423</v>
      </c>
      <c r="O4" t="s">
        <v>426</v>
      </c>
      <c r="Q4" s="34"/>
      <c r="R4" s="54" t="s">
        <v>572</v>
      </c>
      <c r="S4" s="54" t="s">
        <v>567</v>
      </c>
      <c r="T4" s="54" t="s">
        <v>568</v>
      </c>
    </row>
    <row r="5" spans="1:20" ht="15.75" thickTop="1" x14ac:dyDescent="0.25">
      <c r="A5" s="8">
        <v>0</v>
      </c>
      <c r="B5" s="23">
        <f>O5</f>
        <v>425630</v>
      </c>
      <c r="C5" s="340">
        <v>359997.26014999999</v>
      </c>
      <c r="D5" s="289">
        <f>M5*Index!$B$2</f>
        <v>488710</v>
      </c>
      <c r="E5" s="9">
        <f t="shared" ref="E5:G9" si="0">B5/SUM(B$5:B$9)</f>
        <v>0.1115913360259138</v>
      </c>
      <c r="F5" s="9">
        <f t="shared" si="0"/>
        <v>9.7624880837198794E-2</v>
      </c>
      <c r="G5" s="10">
        <f t="shared" si="0"/>
        <v>0.12709000529205788</v>
      </c>
      <c r="H5" s="178">
        <f>(G5-E5)/E5</f>
        <v>0.13888774718625985</v>
      </c>
      <c r="M5" s="32">
        <v>97742</v>
      </c>
      <c r="O5">
        <v>425630</v>
      </c>
      <c r="Q5" s="34"/>
      <c r="R5">
        <f>LN(E5/G5)</f>
        <v>-0.13005212577709424</v>
      </c>
      <c r="S5">
        <v>0.64912418547018402</v>
      </c>
      <c r="T5">
        <f>(R5-R$6)*$T$3+S5</f>
        <v>0.58615233766239316</v>
      </c>
    </row>
    <row r="6" spans="1:20" x14ac:dyDescent="0.25">
      <c r="A6" s="11">
        <v>1</v>
      </c>
      <c r="B6" s="24">
        <f>O6</f>
        <v>1334085</v>
      </c>
      <c r="C6" s="18">
        <v>1192955.63794</v>
      </c>
      <c r="D6" s="25">
        <f>M6*Index!$B$2</f>
        <v>1350535</v>
      </c>
      <c r="E6" s="12">
        <f t="shared" si="0"/>
        <v>0.34976934784233066</v>
      </c>
      <c r="F6" s="12">
        <f t="shared" si="0"/>
        <v>0.32350843989598899</v>
      </c>
      <c r="G6" s="13">
        <f t="shared" si="0"/>
        <v>0.35120930674041739</v>
      </c>
      <c r="H6" s="178">
        <f>(G6-E6)/E6</f>
        <v>4.1168813304241891E-3</v>
      </c>
      <c r="M6" s="35">
        <v>270107</v>
      </c>
      <c r="O6">
        <v>1334085</v>
      </c>
      <c r="Q6" s="34"/>
      <c r="R6">
        <f>LN(E6/G6)</f>
        <v>-4.1084301615126441E-3</v>
      </c>
      <c r="S6">
        <v>0</v>
      </c>
      <c r="T6">
        <f>(R6-R$6)*$T$3+S6</f>
        <v>0</v>
      </c>
    </row>
    <row r="7" spans="1:20" x14ac:dyDescent="0.25">
      <c r="A7" s="11">
        <v>2</v>
      </c>
      <c r="B7" s="24">
        <f>O7</f>
        <v>1409595</v>
      </c>
      <c r="C7" s="18">
        <v>1509073.74373</v>
      </c>
      <c r="D7" s="25">
        <f>M7*Index!$B$2</f>
        <v>1394650</v>
      </c>
      <c r="E7" s="12">
        <f t="shared" si="0"/>
        <v>0.36956649978960121</v>
      </c>
      <c r="F7" s="12">
        <f t="shared" si="0"/>
        <v>0.40923407123932448</v>
      </c>
      <c r="G7" s="13">
        <f t="shared" si="0"/>
        <v>0.36268150003185634</v>
      </c>
      <c r="H7" s="178">
        <f>(G7-E7)/E7</f>
        <v>-1.8629934698260218E-2</v>
      </c>
      <c r="M7" s="35">
        <v>278930</v>
      </c>
      <c r="O7">
        <v>1409595</v>
      </c>
      <c r="Q7" s="34"/>
      <c r="R7">
        <f>LN(E7/G7)</f>
        <v>1.8805657827662858E-2</v>
      </c>
      <c r="S7">
        <v>-0.47779512065374385</v>
      </c>
      <c r="T7">
        <f>(R7-R$6)*$T$3+S7</f>
        <v>-0.46633807665915611</v>
      </c>
    </row>
    <row r="8" spans="1:20" x14ac:dyDescent="0.25">
      <c r="A8" s="11">
        <v>3</v>
      </c>
      <c r="B8" s="24">
        <f>O8</f>
        <v>462465</v>
      </c>
      <c r="C8" s="18">
        <v>462777.43643</v>
      </c>
      <c r="D8" s="25">
        <f>M8*Index!$B$2</f>
        <v>440885</v>
      </c>
      <c r="E8" s="12">
        <f t="shared" si="0"/>
        <v>0.12124870712878373</v>
      </c>
      <c r="F8" s="12">
        <f t="shared" si="0"/>
        <v>0.12549704424638825</v>
      </c>
      <c r="G8" s="13">
        <f t="shared" si="0"/>
        <v>0.1146530191385258</v>
      </c>
      <c r="H8" s="178">
        <f>(G8-E8)/E8</f>
        <v>-5.4398006761856486E-2</v>
      </c>
      <c r="M8" s="35">
        <v>88177</v>
      </c>
      <c r="O8">
        <v>462465</v>
      </c>
      <c r="Q8" s="34"/>
      <c r="R8">
        <f>LN(E8/G8)</f>
        <v>5.5933524424166749E-2</v>
      </c>
      <c r="S8">
        <v>-0.61114851529575787</v>
      </c>
      <c r="T8">
        <f>(R8-R$6)*$T$3+S8</f>
        <v>-0.58112753800291816</v>
      </c>
    </row>
    <row r="9" spans="1:20" x14ac:dyDescent="0.25">
      <c r="A9" s="14" t="s">
        <v>9</v>
      </c>
      <c r="B9" s="252">
        <f>O9</f>
        <v>182410</v>
      </c>
      <c r="C9" s="19">
        <v>162752.38341000001</v>
      </c>
      <c r="D9" s="26">
        <f>M9*Index!$B$2</f>
        <v>170605</v>
      </c>
      <c r="E9" s="15">
        <f t="shared" si="0"/>
        <v>4.7824109213370616E-2</v>
      </c>
      <c r="F9" s="15">
        <f t="shared" si="0"/>
        <v>4.4135563781099355E-2</v>
      </c>
      <c r="G9" s="16">
        <f t="shared" si="0"/>
        <v>4.4366168797142551E-2</v>
      </c>
      <c r="H9" s="179">
        <f>(G9-E9)/E9</f>
        <v>-7.2305380551893228E-2</v>
      </c>
      <c r="M9" s="194">
        <v>34121</v>
      </c>
      <c r="O9">
        <v>182410</v>
      </c>
      <c r="Q9" s="34"/>
      <c r="R9">
        <f>LN(E9/G9)</f>
        <v>7.5052674223198654E-2</v>
      </c>
      <c r="S9">
        <v>-0.60015243897578108</v>
      </c>
      <c r="T9">
        <f>(R9-R$6)*$T$3+S9</f>
        <v>-0.5605718867834254</v>
      </c>
    </row>
    <row r="10" spans="1:20" x14ac:dyDescent="0.25">
      <c r="A10" s="182" t="s">
        <v>29</v>
      </c>
      <c r="B10" s="252">
        <f t="shared" ref="B10:G10" si="1">SUM(B5:B9)</f>
        <v>3814185</v>
      </c>
      <c r="C10" s="19">
        <f t="shared" si="1"/>
        <v>3687556.4616600005</v>
      </c>
      <c r="D10" s="26">
        <f t="shared" si="1"/>
        <v>3845385</v>
      </c>
      <c r="E10" s="186">
        <f t="shared" si="1"/>
        <v>1</v>
      </c>
      <c r="F10" s="184">
        <f t="shared" si="1"/>
        <v>1</v>
      </c>
      <c r="G10" s="187">
        <f t="shared" si="1"/>
        <v>0.99999999999999989</v>
      </c>
      <c r="H10" s="185"/>
      <c r="M10">
        <f>SUM(M5:M9)</f>
        <v>769077</v>
      </c>
      <c r="Q10" s="34"/>
    </row>
    <row r="11" spans="1:20" x14ac:dyDescent="0.25">
      <c r="A11" t="s">
        <v>511</v>
      </c>
    </row>
  </sheetData>
  <mergeCells count="3">
    <mergeCell ref="B3:D3"/>
    <mergeCell ref="E3:G3"/>
    <mergeCell ref="R3:S3"/>
  </mergeCells>
  <hyperlinks>
    <hyperlink ref="A1" location="Index!A1" display="Index"/>
  </hyperlink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1"/>
  <dimension ref="A1:AE62"/>
  <sheetViews>
    <sheetView topLeftCell="F1" zoomScale="90" zoomScaleNormal="90" workbookViewId="0">
      <pane ySplit="2" topLeftCell="A3" activePane="bottomLeft" state="frozen"/>
      <selection pane="bottomLeft" activeCell="U25" sqref="U25"/>
    </sheetView>
  </sheetViews>
  <sheetFormatPr defaultRowHeight="15" x14ac:dyDescent="0.25"/>
  <cols>
    <col min="3" max="5" width="13.28515625" bestFit="1" customWidth="1"/>
    <col min="6" max="6" width="9.85546875" customWidth="1"/>
    <col min="7" max="7" width="13.28515625" bestFit="1" customWidth="1"/>
    <col min="8" max="8" width="10.85546875" customWidth="1"/>
    <col min="9" max="9" width="10.140625" customWidth="1"/>
    <col min="11" max="15" width="13.28515625" bestFit="1" customWidth="1"/>
    <col min="17" max="17" width="10.140625" customWidth="1"/>
    <col min="19" max="19" width="13.28515625" bestFit="1" customWidth="1"/>
    <col min="20" max="20" width="10.42578125" customWidth="1"/>
    <col min="21" max="23" width="13.28515625" bestFit="1" customWidth="1"/>
    <col min="25" max="25" width="11.28515625" hidden="1" customWidth="1"/>
    <col min="26" max="26" width="0" hidden="1" customWidth="1"/>
    <col min="27" max="27" width="10.140625" hidden="1" customWidth="1"/>
    <col min="28" max="28" width="0" hidden="1" customWidth="1"/>
    <col min="29" max="30" width="10.140625" hidden="1" customWidth="1"/>
    <col min="31" max="31" width="11.7109375" hidden="1" customWidth="1"/>
  </cols>
  <sheetData>
    <row r="1" spans="1:31" ht="21" x14ac:dyDescent="0.35">
      <c r="A1" s="172" t="s">
        <v>371</v>
      </c>
    </row>
    <row r="2" spans="1:31" ht="23.25" x14ac:dyDescent="0.35">
      <c r="A2" s="389" t="s">
        <v>7</v>
      </c>
      <c r="B2" s="389"/>
      <c r="C2" s="389"/>
      <c r="D2" s="389"/>
      <c r="E2" s="389"/>
      <c r="F2" s="389"/>
      <c r="G2" s="389"/>
      <c r="I2" s="387" t="s">
        <v>507</v>
      </c>
      <c r="J2" s="387"/>
      <c r="K2" s="387"/>
      <c r="L2" s="387"/>
      <c r="M2" s="387"/>
      <c r="N2" s="387"/>
      <c r="O2" s="387"/>
      <c r="Q2" s="387" t="s">
        <v>3</v>
      </c>
      <c r="R2" s="387"/>
      <c r="S2" s="387"/>
      <c r="T2" s="387"/>
      <c r="U2" s="387"/>
      <c r="V2" s="387"/>
      <c r="W2" s="387"/>
      <c r="Y2" s="387" t="s">
        <v>694</v>
      </c>
      <c r="Z2" s="387"/>
      <c r="AA2" s="387"/>
      <c r="AB2" s="387"/>
      <c r="AC2" s="387"/>
      <c r="AD2" s="387"/>
      <c r="AE2" s="387"/>
    </row>
    <row r="4" spans="1:31" x14ac:dyDescent="0.25">
      <c r="A4" s="30"/>
      <c r="B4" s="31"/>
      <c r="C4" s="385" t="s">
        <v>20</v>
      </c>
      <c r="D4" s="385"/>
      <c r="E4" s="385"/>
      <c r="F4" s="385"/>
      <c r="G4" s="32"/>
      <c r="I4" s="30"/>
      <c r="J4" s="31"/>
      <c r="K4" s="385" t="s">
        <v>20</v>
      </c>
      <c r="L4" s="385"/>
      <c r="M4" s="385"/>
      <c r="N4" s="385"/>
      <c r="O4" s="32"/>
      <c r="Q4" s="30"/>
      <c r="R4" s="31"/>
      <c r="S4" s="385" t="s">
        <v>20</v>
      </c>
      <c r="T4" s="385"/>
      <c r="U4" s="385"/>
      <c r="V4" s="385"/>
      <c r="W4" s="32"/>
      <c r="Y4" s="30"/>
      <c r="Z4" s="31"/>
      <c r="AA4" s="385" t="s">
        <v>20</v>
      </c>
      <c r="AB4" s="385"/>
      <c r="AC4" s="385"/>
      <c r="AD4" s="385"/>
      <c r="AE4" s="32"/>
    </row>
    <row r="5" spans="1:31" x14ac:dyDescent="0.25">
      <c r="A5" s="33"/>
      <c r="B5" s="38"/>
      <c r="C5" s="41" t="s">
        <v>482</v>
      </c>
      <c r="D5" s="41" t="s">
        <v>483</v>
      </c>
      <c r="E5" s="41" t="s">
        <v>18</v>
      </c>
      <c r="F5" s="42" t="s">
        <v>19</v>
      </c>
      <c r="G5" s="35"/>
      <c r="I5" s="33"/>
      <c r="J5" s="38"/>
      <c r="K5" s="41" t="s">
        <v>482</v>
      </c>
      <c r="L5" s="41" t="s">
        <v>483</v>
      </c>
      <c r="M5" s="41" t="s">
        <v>18</v>
      </c>
      <c r="N5" s="42" t="s">
        <v>19</v>
      </c>
      <c r="O5" s="35"/>
      <c r="Q5" s="33"/>
      <c r="R5" s="38"/>
      <c r="S5" s="41" t="s">
        <v>482</v>
      </c>
      <c r="T5" s="41" t="s">
        <v>483</v>
      </c>
      <c r="U5" s="41" t="s">
        <v>18</v>
      </c>
      <c r="V5" s="42" t="s">
        <v>19</v>
      </c>
      <c r="W5" s="35"/>
      <c r="Y5" s="33"/>
      <c r="Z5" s="38"/>
      <c r="AA5" s="41" t="s">
        <v>482</v>
      </c>
      <c r="AB5" s="41" t="s">
        <v>483</v>
      </c>
      <c r="AC5" s="41" t="s">
        <v>18</v>
      </c>
      <c r="AD5" s="42" t="s">
        <v>19</v>
      </c>
      <c r="AE5" s="35"/>
    </row>
    <row r="6" spans="1:31" x14ac:dyDescent="0.25">
      <c r="A6" s="384" t="s">
        <v>15</v>
      </c>
      <c r="B6" s="39">
        <v>0</v>
      </c>
      <c r="C6" s="18">
        <f>AOCrossTab_input!B3</f>
        <v>250583.48702</v>
      </c>
      <c r="D6" s="18">
        <f>AOCrossTab_input!C3</f>
        <v>61355.290110000002</v>
      </c>
      <c r="E6" s="18">
        <f>AOCrossTab_input!D3</f>
        <v>14578.58186</v>
      </c>
      <c r="F6" s="25">
        <f>AOCrossTab_input!E3</f>
        <v>4290.4367199999997</v>
      </c>
      <c r="G6" s="358">
        <f>SUM(C6:F6)</f>
        <v>330807.79570999998</v>
      </c>
      <c r="I6" s="384" t="s">
        <v>15</v>
      </c>
      <c r="J6" s="39">
        <v>0</v>
      </c>
      <c r="K6" s="29">
        <v>360759</v>
      </c>
      <c r="L6" s="29">
        <v>67931</v>
      </c>
      <c r="M6" s="29">
        <v>38711</v>
      </c>
      <c r="N6" s="29">
        <v>23231</v>
      </c>
      <c r="O6" s="358">
        <f>SUM(K6:N6)</f>
        <v>490632</v>
      </c>
      <c r="Q6" s="384" t="s">
        <v>15</v>
      </c>
      <c r="R6" s="39">
        <v>0</v>
      </c>
      <c r="S6" s="18">
        <f>AOCrossTab_input!I3*Index!$B$2</f>
        <v>394570</v>
      </c>
      <c r="T6" s="18">
        <f>AOCrossTab_input!J3*Index!$B$2</f>
        <v>61165</v>
      </c>
      <c r="U6" s="18">
        <f>AOCrossTab_input!K3*Index!$B$2</f>
        <v>25230</v>
      </c>
      <c r="V6" s="18">
        <f>AOCrossTab_input!L3*Index!$B$2</f>
        <v>7745</v>
      </c>
      <c r="W6" s="358">
        <f>SUM(S6:V6)</f>
        <v>488710</v>
      </c>
      <c r="Y6" s="384" t="s">
        <v>15</v>
      </c>
      <c r="Z6" s="39">
        <v>0</v>
      </c>
      <c r="AA6" s="18">
        <f>S6-K6</f>
        <v>33811</v>
      </c>
      <c r="AB6" s="18">
        <f t="shared" ref="AB6:AE11" si="0">T6-L6</f>
        <v>-6766</v>
      </c>
      <c r="AC6" s="18">
        <f t="shared" si="0"/>
        <v>-13481</v>
      </c>
      <c r="AD6" s="18">
        <f t="shared" si="0"/>
        <v>-15486</v>
      </c>
      <c r="AE6" s="358">
        <f t="shared" si="0"/>
        <v>-1922</v>
      </c>
    </row>
    <row r="7" spans="1:31" x14ac:dyDescent="0.25">
      <c r="A7" s="384"/>
      <c r="B7" s="39">
        <v>1</v>
      </c>
      <c r="C7" s="18">
        <f>AOCrossTab_input!B4</f>
        <v>517545.50864999997</v>
      </c>
      <c r="D7" s="18">
        <f>AOCrossTab_input!C4</f>
        <v>328528.09301000001</v>
      </c>
      <c r="E7" s="18">
        <f>AOCrossTab_input!D4</f>
        <v>175257.63123</v>
      </c>
      <c r="F7" s="25">
        <f>AOCrossTab_input!E4</f>
        <v>71477.79681</v>
      </c>
      <c r="G7" s="358">
        <f>SUM(C7:F7)</f>
        <v>1092809.0296999998</v>
      </c>
      <c r="I7" s="384"/>
      <c r="J7" s="39">
        <v>1</v>
      </c>
      <c r="K7" s="29">
        <v>803584</v>
      </c>
      <c r="L7" s="29">
        <v>431884</v>
      </c>
      <c r="M7" s="29">
        <v>275585</v>
      </c>
      <c r="N7" s="29">
        <v>152389</v>
      </c>
      <c r="O7" s="358">
        <f>SUM(K7:N7)</f>
        <v>1663442</v>
      </c>
      <c r="Q7" s="384"/>
      <c r="R7" s="39">
        <v>1</v>
      </c>
      <c r="S7" s="18">
        <f>AOCrossTab_input!I4*Index!$B$2</f>
        <v>619485</v>
      </c>
      <c r="T7" s="18">
        <f>AOCrossTab_input!J4*Index!$B$2</f>
        <v>371350</v>
      </c>
      <c r="U7" s="18">
        <f>AOCrossTab_input!K4*Index!$B$2</f>
        <v>217725</v>
      </c>
      <c r="V7" s="18">
        <f>AOCrossTab_input!L4*Index!$B$2</f>
        <v>141975</v>
      </c>
      <c r="W7" s="358">
        <f>SUM(S7:V7)</f>
        <v>1350535</v>
      </c>
      <c r="Y7" s="384"/>
      <c r="Z7" s="39">
        <v>1</v>
      </c>
      <c r="AA7" s="18">
        <f t="shared" ref="AA7:AA11" si="1">S7-K7</f>
        <v>-184099</v>
      </c>
      <c r="AB7" s="18">
        <f t="shared" si="0"/>
        <v>-60534</v>
      </c>
      <c r="AC7" s="18">
        <f t="shared" si="0"/>
        <v>-57860</v>
      </c>
      <c r="AD7" s="18">
        <f t="shared" si="0"/>
        <v>-10414</v>
      </c>
      <c r="AE7" s="358">
        <f t="shared" si="0"/>
        <v>-312907</v>
      </c>
    </row>
    <row r="8" spans="1:31" x14ac:dyDescent="0.25">
      <c r="A8" s="384"/>
      <c r="B8" s="39">
        <v>2</v>
      </c>
      <c r="C8" s="18">
        <f>AOCrossTab_input!B5</f>
        <v>239024.45939999999</v>
      </c>
      <c r="D8" s="18">
        <f>AOCrossTab_input!C5</f>
        <v>328190.98480999999</v>
      </c>
      <c r="E8" s="18">
        <f>AOCrossTab_input!D5</f>
        <v>490291.05027000001</v>
      </c>
      <c r="F8" s="25">
        <f>AOCrossTab_input!E5</f>
        <v>327793.34304000001</v>
      </c>
      <c r="G8" s="358">
        <f>SUM(C8:F8)</f>
        <v>1385299.8375199998</v>
      </c>
      <c r="I8" s="384"/>
      <c r="J8" s="39">
        <v>2</v>
      </c>
      <c r="K8" s="29">
        <v>306232</v>
      </c>
      <c r="L8" s="29">
        <v>417037</v>
      </c>
      <c r="M8" s="29">
        <v>554622</v>
      </c>
      <c r="N8" s="29">
        <v>543691</v>
      </c>
      <c r="O8" s="358">
        <f>SUM(K8:N8)</f>
        <v>1821582</v>
      </c>
      <c r="Q8" s="384"/>
      <c r="R8" s="39">
        <v>2</v>
      </c>
      <c r="S8" s="18">
        <f>AOCrossTab_input!I5*Index!$B$2</f>
        <v>348755</v>
      </c>
      <c r="T8" s="18">
        <f>AOCrossTab_input!J5*Index!$B$2</f>
        <v>378635</v>
      </c>
      <c r="U8" s="18">
        <f>AOCrossTab_input!K5*Index!$B$2</f>
        <v>390060</v>
      </c>
      <c r="V8" s="18">
        <f>AOCrossTab_input!L5*Index!$B$2</f>
        <v>277200</v>
      </c>
      <c r="W8" s="358">
        <f>SUM(S8:V8)</f>
        <v>1394650</v>
      </c>
      <c r="Y8" s="384"/>
      <c r="Z8" s="39">
        <v>2</v>
      </c>
      <c r="AA8" s="18">
        <f t="shared" si="1"/>
        <v>42523</v>
      </c>
      <c r="AB8" s="18">
        <f t="shared" si="0"/>
        <v>-38402</v>
      </c>
      <c r="AC8" s="18">
        <f t="shared" si="0"/>
        <v>-164562</v>
      </c>
      <c r="AD8" s="18">
        <f t="shared" si="0"/>
        <v>-266491</v>
      </c>
      <c r="AE8" s="358">
        <f t="shared" si="0"/>
        <v>-426932</v>
      </c>
    </row>
    <row r="9" spans="1:31" x14ac:dyDescent="0.25">
      <c r="A9" s="384"/>
      <c r="B9" s="39">
        <v>3</v>
      </c>
      <c r="C9" s="18">
        <f>AOCrossTab_input!B6</f>
        <v>86106.057260000001</v>
      </c>
      <c r="D9" s="18">
        <f>AOCrossTab_input!C6</f>
        <v>80596.582320000001</v>
      </c>
      <c r="E9" s="18">
        <f>AOCrossTab_input!D6</f>
        <v>126819.45742000001</v>
      </c>
      <c r="F9" s="25">
        <f>AOCrossTab_input!E6</f>
        <v>139716.94760000001</v>
      </c>
      <c r="G9" s="358">
        <f>SUM(C9:F9)</f>
        <v>433239.04460000002</v>
      </c>
      <c r="I9" s="384"/>
      <c r="J9" s="39">
        <v>3</v>
      </c>
      <c r="K9" s="29">
        <v>57855</v>
      </c>
      <c r="L9" s="29">
        <v>109323</v>
      </c>
      <c r="M9" s="29">
        <v>205907</v>
      </c>
      <c r="N9" s="29">
        <v>250198</v>
      </c>
      <c r="O9" s="358">
        <f>SUM(K9:N9)</f>
        <v>623283</v>
      </c>
      <c r="Q9" s="384"/>
      <c r="R9" s="39">
        <v>3</v>
      </c>
      <c r="S9" s="18">
        <f>AOCrossTab_input!I6*Index!$B$2</f>
        <v>95075</v>
      </c>
      <c r="T9" s="18">
        <f>AOCrossTab_input!J6*Index!$B$2</f>
        <v>109705</v>
      </c>
      <c r="U9" s="18">
        <f>AOCrossTab_input!K6*Index!$B$2</f>
        <v>131215</v>
      </c>
      <c r="V9" s="18">
        <f>AOCrossTab_input!L6*Index!$B$2</f>
        <v>104890</v>
      </c>
      <c r="W9" s="358">
        <f>SUM(S9:V9)</f>
        <v>440885</v>
      </c>
      <c r="Y9" s="384"/>
      <c r="Z9" s="39">
        <v>3</v>
      </c>
      <c r="AA9" s="18">
        <f t="shared" si="1"/>
        <v>37220</v>
      </c>
      <c r="AB9" s="18">
        <f t="shared" si="0"/>
        <v>382</v>
      </c>
      <c r="AC9" s="18">
        <f t="shared" si="0"/>
        <v>-74692</v>
      </c>
      <c r="AD9" s="18">
        <f t="shared" si="0"/>
        <v>-145308</v>
      </c>
      <c r="AE9" s="358">
        <f t="shared" si="0"/>
        <v>-182398</v>
      </c>
    </row>
    <row r="10" spans="1:31" x14ac:dyDescent="0.25">
      <c r="A10" s="384"/>
      <c r="B10" s="40">
        <v>4</v>
      </c>
      <c r="C10" s="19">
        <f>AOCrossTab_input!B7</f>
        <v>13142.48227</v>
      </c>
      <c r="D10" s="19">
        <f>AOCrossTab_input!C7</f>
        <v>29927.74768</v>
      </c>
      <c r="E10" s="19">
        <f>AOCrossTab_input!D7</f>
        <v>52823.023390000002</v>
      </c>
      <c r="F10" s="26">
        <f>AOCrossTab_input!E7</f>
        <v>54407.62513</v>
      </c>
      <c r="G10" s="358">
        <f>SUM(C10:F10)</f>
        <v>150300.87847</v>
      </c>
      <c r="I10" s="384"/>
      <c r="J10" s="40">
        <v>4</v>
      </c>
      <c r="K10" s="29">
        <v>18793</v>
      </c>
      <c r="L10" s="29">
        <v>31392</v>
      </c>
      <c r="M10" s="29">
        <v>77456</v>
      </c>
      <c r="N10" s="29">
        <v>120047</v>
      </c>
      <c r="O10" s="358">
        <f>SUM(K10:N10)</f>
        <v>247688</v>
      </c>
      <c r="Q10" s="384"/>
      <c r="R10" s="40">
        <v>4</v>
      </c>
      <c r="S10" s="18">
        <f>AOCrossTab_input!I7*Index!$B$2</f>
        <v>31690</v>
      </c>
      <c r="T10" s="18">
        <f>AOCrossTab_input!J7*Index!$B$2</f>
        <v>38065</v>
      </c>
      <c r="U10" s="18">
        <f>AOCrossTab_input!K7*Index!$B$2</f>
        <v>52845</v>
      </c>
      <c r="V10" s="18">
        <f>AOCrossTab_input!L7*Index!$B$2</f>
        <v>48005</v>
      </c>
      <c r="W10" s="358">
        <f>SUM(S10:V10)</f>
        <v>170605</v>
      </c>
      <c r="Y10" s="384"/>
      <c r="Z10" s="40">
        <v>4</v>
      </c>
      <c r="AA10" s="18">
        <f t="shared" si="1"/>
        <v>12897</v>
      </c>
      <c r="AB10" s="18">
        <f t="shared" si="0"/>
        <v>6673</v>
      </c>
      <c r="AC10" s="18">
        <f t="shared" si="0"/>
        <v>-24611</v>
      </c>
      <c r="AD10" s="18">
        <f t="shared" si="0"/>
        <v>-72042</v>
      </c>
      <c r="AE10" s="358">
        <f t="shared" si="0"/>
        <v>-77083</v>
      </c>
    </row>
    <row r="11" spans="1:31" x14ac:dyDescent="0.25">
      <c r="A11" s="36"/>
      <c r="B11" s="37"/>
      <c r="C11" s="359">
        <f>SUM(C6:C10)</f>
        <v>1106401.9945999999</v>
      </c>
      <c r="D11" s="359">
        <f>SUM(D6:D10)</f>
        <v>828598.69793000002</v>
      </c>
      <c r="E11" s="359">
        <f>SUM(E6:E10)</f>
        <v>859769.74416999996</v>
      </c>
      <c r="F11" s="359">
        <f>SUM(F6:F10)</f>
        <v>597686.14930000016</v>
      </c>
      <c r="G11" s="360">
        <f>SUM(G6:G10)</f>
        <v>3392456.5859999997</v>
      </c>
      <c r="I11" s="36"/>
      <c r="J11" s="37"/>
      <c r="K11" s="359">
        <f>SUM(K6:K10)</f>
        <v>1547223</v>
      </c>
      <c r="L11" s="359">
        <f>SUM(L6:L10)</f>
        <v>1057567</v>
      </c>
      <c r="M11" s="359">
        <f>SUM(M6:M10)</f>
        <v>1152281</v>
      </c>
      <c r="N11" s="359">
        <f>SUM(N6:N10)</f>
        <v>1089556</v>
      </c>
      <c r="O11" s="360">
        <f>SUM(O6:O10)</f>
        <v>4846627</v>
      </c>
      <c r="Q11" s="36"/>
      <c r="R11" s="37"/>
      <c r="S11" s="359">
        <f>SUM(S6:S10)</f>
        <v>1489575</v>
      </c>
      <c r="T11" s="359">
        <f>SUM(T6:T10)</f>
        <v>958920</v>
      </c>
      <c r="U11" s="359">
        <f>SUM(U6:U10)</f>
        <v>817075</v>
      </c>
      <c r="V11" s="359">
        <f>SUM(V6:V10)</f>
        <v>579815</v>
      </c>
      <c r="W11" s="360">
        <f>SUM(W6:W10)</f>
        <v>3845385</v>
      </c>
      <c r="Y11" s="36"/>
      <c r="Z11" s="37"/>
      <c r="AA11" s="359">
        <f t="shared" si="1"/>
        <v>-57648</v>
      </c>
      <c r="AB11" s="359">
        <f t="shared" si="0"/>
        <v>-98647</v>
      </c>
      <c r="AC11" s="359">
        <f t="shared" si="0"/>
        <v>-335206</v>
      </c>
      <c r="AD11" s="359">
        <f t="shared" si="0"/>
        <v>-509741</v>
      </c>
      <c r="AE11" s="360">
        <f t="shared" si="0"/>
        <v>-1001242</v>
      </c>
    </row>
    <row r="12" spans="1:31" x14ac:dyDescent="0.25">
      <c r="C12" s="29"/>
      <c r="D12" s="29"/>
      <c r="E12" s="29"/>
      <c r="F12" s="29"/>
      <c r="G12" s="29"/>
      <c r="K12" s="29"/>
      <c r="L12" s="29"/>
      <c r="M12" s="29"/>
      <c r="N12" s="29"/>
      <c r="O12" s="29"/>
      <c r="S12" s="29"/>
      <c r="T12" s="29"/>
      <c r="U12" s="29"/>
      <c r="V12" s="29"/>
      <c r="W12" s="29"/>
      <c r="AA12" s="29"/>
      <c r="AB12" s="29"/>
      <c r="AC12" s="29"/>
      <c r="AD12" s="29"/>
      <c r="AE12" s="29"/>
    </row>
    <row r="13" spans="1:31" x14ac:dyDescent="0.25">
      <c r="A13" s="30"/>
      <c r="B13" s="31"/>
      <c r="C13" s="386" t="s">
        <v>21</v>
      </c>
      <c r="D13" s="386"/>
      <c r="E13" s="386"/>
      <c r="F13" s="386"/>
      <c r="G13" s="289"/>
      <c r="H13" s="34"/>
      <c r="I13" s="30"/>
      <c r="J13" s="31"/>
      <c r="K13" s="386" t="s">
        <v>21</v>
      </c>
      <c r="L13" s="386"/>
      <c r="M13" s="386"/>
      <c r="N13" s="386"/>
      <c r="O13" s="289"/>
      <c r="Q13" s="30"/>
      <c r="R13" s="31"/>
      <c r="S13" s="386" t="s">
        <v>21</v>
      </c>
      <c r="T13" s="386"/>
      <c r="U13" s="386"/>
      <c r="V13" s="386"/>
      <c r="W13" s="289"/>
      <c r="Y13" s="30"/>
      <c r="Z13" s="31"/>
      <c r="AA13" s="386" t="s">
        <v>21</v>
      </c>
      <c r="AB13" s="386"/>
      <c r="AC13" s="386"/>
      <c r="AD13" s="386"/>
      <c r="AE13" s="289"/>
    </row>
    <row r="14" spans="1:31" x14ac:dyDescent="0.25">
      <c r="A14" s="33"/>
      <c r="B14" s="38"/>
      <c r="C14" s="356">
        <v>1</v>
      </c>
      <c r="D14" s="356">
        <v>2</v>
      </c>
      <c r="E14" s="356">
        <v>3</v>
      </c>
      <c r="F14" s="357" t="s">
        <v>9</v>
      </c>
      <c r="G14" s="25"/>
      <c r="H14" s="34"/>
      <c r="I14" s="33"/>
      <c r="J14" s="38"/>
      <c r="K14" s="356">
        <v>1</v>
      </c>
      <c r="L14" s="356">
        <v>2</v>
      </c>
      <c r="M14" s="356">
        <v>3</v>
      </c>
      <c r="N14" s="357" t="s">
        <v>9</v>
      </c>
      <c r="O14" s="25"/>
      <c r="Q14" s="33"/>
      <c r="R14" s="38"/>
      <c r="S14" s="356">
        <v>1</v>
      </c>
      <c r="T14" s="356">
        <v>2</v>
      </c>
      <c r="U14" s="356">
        <v>3</v>
      </c>
      <c r="V14" s="357" t="s">
        <v>9</v>
      </c>
      <c r="W14" s="25"/>
      <c r="Y14" s="33"/>
      <c r="Z14" s="38"/>
      <c r="AA14" s="356">
        <v>1</v>
      </c>
      <c r="AB14" s="356">
        <v>2</v>
      </c>
      <c r="AC14" s="356">
        <v>3</v>
      </c>
      <c r="AD14" s="357" t="s">
        <v>9</v>
      </c>
      <c r="AE14" s="25"/>
    </row>
    <row r="15" spans="1:31" x14ac:dyDescent="0.25">
      <c r="A15" s="384" t="s">
        <v>15</v>
      </c>
      <c r="B15" s="39">
        <v>0</v>
      </c>
      <c r="C15" s="18">
        <f>AOCrossTab_input!B9</f>
        <v>226035.38347999999</v>
      </c>
      <c r="D15" s="18">
        <f>AOCrossTab_input!C9</f>
        <v>64986.644330000003</v>
      </c>
      <c r="E15" s="18">
        <f>AOCrossTab_input!D9</f>
        <v>27446.854179999998</v>
      </c>
      <c r="F15" s="25">
        <f>AOCrossTab_input!E9+AOCrossTab_input!F9</f>
        <v>41528.37816</v>
      </c>
      <c r="G15" s="358">
        <f>SUM(C15:F15)</f>
        <v>359997.26015000005</v>
      </c>
      <c r="I15" s="384" t="s">
        <v>15</v>
      </c>
      <c r="J15" s="39">
        <v>0</v>
      </c>
      <c r="K15" s="18">
        <v>248293</v>
      </c>
      <c r="L15" s="18">
        <v>81745</v>
      </c>
      <c r="M15" s="18">
        <v>36395</v>
      </c>
      <c r="N15" s="25">
        <v>45789</v>
      </c>
      <c r="O15" s="358">
        <f>SUM(K15:N15)</f>
        <v>412222</v>
      </c>
      <c r="Q15" s="384" t="s">
        <v>15</v>
      </c>
      <c r="R15" s="39">
        <v>0</v>
      </c>
      <c r="S15" s="18">
        <f>AOCrossTab_input!I9*Index!$B$2</f>
        <v>294665</v>
      </c>
      <c r="T15" s="18">
        <f>AOCrossTab_input!J9*Index!$B$2</f>
        <v>95845</v>
      </c>
      <c r="U15" s="18">
        <f>AOCrossTab_input!K9*Index!$B$2</f>
        <v>42380</v>
      </c>
      <c r="V15" s="18">
        <f>(AOCrossTab_input!L9+AOCrossTab_input!M9)*Index!$B$2</f>
        <v>55820</v>
      </c>
      <c r="W15" s="358">
        <f>SUM(S15:V15)</f>
        <v>488710</v>
      </c>
      <c r="Y15" s="384" t="s">
        <v>15</v>
      </c>
      <c r="Z15" s="39">
        <v>0</v>
      </c>
      <c r="AA15" s="18">
        <f>S15-K15</f>
        <v>46372</v>
      </c>
      <c r="AB15" s="18">
        <f t="shared" ref="AB15:AE20" si="2">T15-L15</f>
        <v>14100</v>
      </c>
      <c r="AC15" s="18">
        <f t="shared" si="2"/>
        <v>5985</v>
      </c>
      <c r="AD15" s="18">
        <f t="shared" si="2"/>
        <v>10031</v>
      </c>
      <c r="AE15" s="358">
        <f t="shared" si="2"/>
        <v>76488</v>
      </c>
    </row>
    <row r="16" spans="1:31" x14ac:dyDescent="0.25">
      <c r="A16" s="384"/>
      <c r="B16" s="39">
        <v>1</v>
      </c>
      <c r="C16" s="18">
        <f>AOCrossTab_input!B10</f>
        <v>592180.38864000002</v>
      </c>
      <c r="D16" s="18">
        <f>AOCrossTab_input!C10</f>
        <v>294739.02519999997</v>
      </c>
      <c r="E16" s="18">
        <f>AOCrossTab_input!D10</f>
        <v>124888.25143</v>
      </c>
      <c r="F16" s="25">
        <f>AOCrossTab_input!E10+AOCrossTab_input!F10</f>
        <v>181147.97266999999</v>
      </c>
      <c r="G16" s="358">
        <f>SUM(C16:F16)</f>
        <v>1192955.63794</v>
      </c>
      <c r="I16" s="384"/>
      <c r="J16" s="39">
        <v>1</v>
      </c>
      <c r="K16" s="18">
        <v>658180</v>
      </c>
      <c r="L16" s="18">
        <v>322571</v>
      </c>
      <c r="M16" s="18">
        <v>133900</v>
      </c>
      <c r="N16" s="25">
        <v>152886</v>
      </c>
      <c r="O16" s="358">
        <f>SUM(K16:N16)</f>
        <v>1267537</v>
      </c>
      <c r="Q16" s="384"/>
      <c r="R16" s="39">
        <v>1</v>
      </c>
      <c r="S16" s="18">
        <f>AOCrossTab_input!I10*Index!$B$2</f>
        <v>523695</v>
      </c>
      <c r="T16" s="18">
        <f>AOCrossTab_input!J10*Index!$B$2</f>
        <v>381870</v>
      </c>
      <c r="U16" s="18">
        <f>AOCrossTab_input!K10*Index!$B$2</f>
        <v>177500</v>
      </c>
      <c r="V16" s="18">
        <f>(AOCrossTab_input!L10+AOCrossTab_input!M10)*Index!$B$2</f>
        <v>267470</v>
      </c>
      <c r="W16" s="358">
        <f>SUM(S16:V16)</f>
        <v>1350535</v>
      </c>
      <c r="Y16" s="384"/>
      <c r="Z16" s="39">
        <v>1</v>
      </c>
      <c r="AA16" s="18">
        <f t="shared" ref="AA16:AA20" si="3">S16-K16</f>
        <v>-134485</v>
      </c>
      <c r="AB16" s="18">
        <f t="shared" si="2"/>
        <v>59299</v>
      </c>
      <c r="AC16" s="18">
        <f t="shared" si="2"/>
        <v>43600</v>
      </c>
      <c r="AD16" s="18">
        <f t="shared" si="2"/>
        <v>114584</v>
      </c>
      <c r="AE16" s="358">
        <f t="shared" si="2"/>
        <v>82998</v>
      </c>
    </row>
    <row r="17" spans="1:31" x14ac:dyDescent="0.25">
      <c r="A17" s="384"/>
      <c r="B17" s="39">
        <v>2</v>
      </c>
      <c r="C17" s="18">
        <f>AOCrossTab_input!B11</f>
        <v>121172.99856000001</v>
      </c>
      <c r="D17" s="18">
        <f>AOCrossTab_input!C11</f>
        <v>610477.07325000002</v>
      </c>
      <c r="E17" s="18">
        <f>AOCrossTab_input!D11</f>
        <v>247012.95642</v>
      </c>
      <c r="F17" s="25">
        <f>AOCrossTab_input!E11+AOCrossTab_input!F11</f>
        <v>530410.71549999993</v>
      </c>
      <c r="G17" s="358">
        <f>SUM(C17:F17)</f>
        <v>1509073.74373</v>
      </c>
      <c r="I17" s="384"/>
      <c r="J17" s="39">
        <v>2</v>
      </c>
      <c r="K17" s="18">
        <v>83382</v>
      </c>
      <c r="L17" s="18">
        <v>572870</v>
      </c>
      <c r="M17" s="18">
        <v>240859</v>
      </c>
      <c r="N17" s="25">
        <v>445663</v>
      </c>
      <c r="O17" s="358">
        <f>SUM(K17:N17)</f>
        <v>1342774</v>
      </c>
      <c r="Q17" s="384"/>
      <c r="R17" s="39">
        <v>2</v>
      </c>
      <c r="S17" s="18">
        <f>AOCrossTab_input!I11*Index!$B$2</f>
        <v>184850</v>
      </c>
      <c r="T17" s="18">
        <f>AOCrossTab_input!J11*Index!$B$2</f>
        <v>513160</v>
      </c>
      <c r="U17" s="18">
        <f>AOCrossTab_input!K11*Index!$B$2</f>
        <v>253930</v>
      </c>
      <c r="V17" s="18">
        <f>(AOCrossTab_input!L11+AOCrossTab_input!M11)*Index!$B$2</f>
        <v>442710</v>
      </c>
      <c r="W17" s="358">
        <f>SUM(S17:V17)</f>
        <v>1394650</v>
      </c>
      <c r="Y17" s="384"/>
      <c r="Z17" s="39">
        <v>2</v>
      </c>
      <c r="AA17" s="18">
        <f t="shared" si="3"/>
        <v>101468</v>
      </c>
      <c r="AB17" s="18">
        <f t="shared" si="2"/>
        <v>-59710</v>
      </c>
      <c r="AC17" s="18">
        <f t="shared" si="2"/>
        <v>13071</v>
      </c>
      <c r="AD17" s="18">
        <f t="shared" si="2"/>
        <v>-2953</v>
      </c>
      <c r="AE17" s="358">
        <f t="shared" si="2"/>
        <v>51876</v>
      </c>
    </row>
    <row r="18" spans="1:31" x14ac:dyDescent="0.25">
      <c r="A18" s="384"/>
      <c r="B18" s="39">
        <v>3</v>
      </c>
      <c r="C18" s="18">
        <f>AOCrossTab_input!B12</f>
        <v>8455.20759</v>
      </c>
      <c r="D18" s="18">
        <f>AOCrossTab_input!C12</f>
        <v>86368.846969999999</v>
      </c>
      <c r="E18" s="18">
        <f>AOCrossTab_input!D12</f>
        <v>158320.01822999999</v>
      </c>
      <c r="F18" s="25">
        <f>AOCrossTab_input!E12+AOCrossTab_input!F12</f>
        <v>209633.36364</v>
      </c>
      <c r="G18" s="358">
        <f>SUM(C18:F18)</f>
        <v>462777.43643</v>
      </c>
      <c r="I18" s="384"/>
      <c r="J18" s="39">
        <v>3</v>
      </c>
      <c r="K18" s="18">
        <v>12124</v>
      </c>
      <c r="L18" s="18">
        <v>91401</v>
      </c>
      <c r="M18" s="18">
        <v>133025</v>
      </c>
      <c r="N18" s="25">
        <v>200761</v>
      </c>
      <c r="O18" s="358">
        <f>SUM(K18:N18)</f>
        <v>437311</v>
      </c>
      <c r="Q18" s="384"/>
      <c r="R18" s="39">
        <v>3</v>
      </c>
      <c r="S18" s="18">
        <f>AOCrossTab_input!I12*Index!$B$2</f>
        <v>48970</v>
      </c>
      <c r="T18" s="18">
        <f>AOCrossTab_input!J12*Index!$B$2</f>
        <v>129425</v>
      </c>
      <c r="U18" s="18">
        <f>AOCrossTab_input!K12*Index!$B$2</f>
        <v>95530</v>
      </c>
      <c r="V18" s="18">
        <f>(AOCrossTab_input!L12+AOCrossTab_input!M12)*Index!$B$2</f>
        <v>166960</v>
      </c>
      <c r="W18" s="358">
        <f>SUM(S18:V18)</f>
        <v>440885</v>
      </c>
      <c r="Y18" s="384"/>
      <c r="Z18" s="39">
        <v>3</v>
      </c>
      <c r="AA18" s="18">
        <f t="shared" si="3"/>
        <v>36846</v>
      </c>
      <c r="AB18" s="18">
        <f t="shared" si="2"/>
        <v>38024</v>
      </c>
      <c r="AC18" s="18">
        <f t="shared" si="2"/>
        <v>-37495</v>
      </c>
      <c r="AD18" s="18">
        <f t="shared" si="2"/>
        <v>-33801</v>
      </c>
      <c r="AE18" s="358">
        <f t="shared" si="2"/>
        <v>3574</v>
      </c>
    </row>
    <row r="19" spans="1:31" x14ac:dyDescent="0.25">
      <c r="A19" s="384"/>
      <c r="B19" s="40">
        <v>4</v>
      </c>
      <c r="C19" s="19">
        <f>AOCrossTab_input!B13</f>
        <v>3733.9623799999999</v>
      </c>
      <c r="D19" s="19">
        <f>AOCrossTab_input!C13</f>
        <v>21743.702959999999</v>
      </c>
      <c r="E19" s="19">
        <f>AOCrossTab_input!D13</f>
        <v>36710.206969999999</v>
      </c>
      <c r="F19" s="26">
        <f>AOCrossTab_input!E13+AOCrossTab_input!F13</f>
        <v>100564.5111</v>
      </c>
      <c r="G19" s="358">
        <f>SUM(C19:F19)</f>
        <v>162752.38341000001</v>
      </c>
      <c r="I19" s="384"/>
      <c r="J19" s="40">
        <v>4</v>
      </c>
      <c r="K19" s="19">
        <v>5160</v>
      </c>
      <c r="L19" s="19">
        <v>22160</v>
      </c>
      <c r="M19" s="19">
        <v>29420</v>
      </c>
      <c r="N19" s="26">
        <v>116101</v>
      </c>
      <c r="O19" s="358">
        <f>SUM(K19:N19)</f>
        <v>172841</v>
      </c>
      <c r="Q19" s="384"/>
      <c r="R19" s="40">
        <v>4</v>
      </c>
      <c r="S19" s="18">
        <f>AOCrossTab_input!I13*Index!$B$2</f>
        <v>17155</v>
      </c>
      <c r="T19" s="18">
        <f>AOCrossTab_input!J13*Index!$B$2</f>
        <v>46010</v>
      </c>
      <c r="U19" s="18">
        <f>AOCrossTab_input!K13*Index!$B$2</f>
        <v>32540</v>
      </c>
      <c r="V19" s="18">
        <f>(AOCrossTab_input!L13+AOCrossTab_input!M13)*Index!$B$2</f>
        <v>74900</v>
      </c>
      <c r="W19" s="358">
        <f>SUM(S19:V19)</f>
        <v>170605</v>
      </c>
      <c r="Y19" s="384"/>
      <c r="Z19" s="40">
        <v>4</v>
      </c>
      <c r="AA19" s="18">
        <f t="shared" si="3"/>
        <v>11995</v>
      </c>
      <c r="AB19" s="18">
        <f t="shared" si="2"/>
        <v>23850</v>
      </c>
      <c r="AC19" s="18">
        <f t="shared" si="2"/>
        <v>3120</v>
      </c>
      <c r="AD19" s="18">
        <f t="shared" si="2"/>
        <v>-41201</v>
      </c>
      <c r="AE19" s="358">
        <f t="shared" si="2"/>
        <v>-2236</v>
      </c>
    </row>
    <row r="20" spans="1:31" x14ac:dyDescent="0.25">
      <c r="A20" s="36"/>
      <c r="B20" s="37"/>
      <c r="C20" s="359">
        <f>SUM(C15:C19)</f>
        <v>951577.94065</v>
      </c>
      <c r="D20" s="359">
        <f>SUM(D15:D19)</f>
        <v>1078315.29271</v>
      </c>
      <c r="E20" s="359">
        <f>SUM(E15:E19)</f>
        <v>594378.2872299999</v>
      </c>
      <c r="F20" s="359">
        <f>SUM(F15:F19)</f>
        <v>1063284.9410699999</v>
      </c>
      <c r="G20" s="360">
        <f>SUM(G15:G19)</f>
        <v>3687556.4616600005</v>
      </c>
      <c r="I20" s="36"/>
      <c r="J20" s="37"/>
      <c r="K20" s="359">
        <f>SUM(K15:K19)</f>
        <v>1007139</v>
      </c>
      <c r="L20" s="359">
        <f>SUM(L15:L19)</f>
        <v>1090747</v>
      </c>
      <c r="M20" s="359">
        <f>SUM(M15:M19)</f>
        <v>573599</v>
      </c>
      <c r="N20" s="359">
        <f>SUM(N15:N19)</f>
        <v>961200</v>
      </c>
      <c r="O20" s="360">
        <f>SUM(O15:O19)</f>
        <v>3632685</v>
      </c>
      <c r="Q20" s="36"/>
      <c r="R20" s="37"/>
      <c r="S20" s="359">
        <f>SUM(S15:S19)</f>
        <v>1069335</v>
      </c>
      <c r="T20" s="359">
        <f>SUM(T15:T19)</f>
        <v>1166310</v>
      </c>
      <c r="U20" s="359">
        <f>SUM(U15:U19)</f>
        <v>601880</v>
      </c>
      <c r="V20" s="359">
        <f>SUM(V15:V19)</f>
        <v>1007860</v>
      </c>
      <c r="W20" s="360">
        <f>SUM(W15:W19)</f>
        <v>3845385</v>
      </c>
      <c r="Y20" s="36"/>
      <c r="Z20" s="37"/>
      <c r="AA20" s="359">
        <f t="shared" si="3"/>
        <v>62196</v>
      </c>
      <c r="AB20" s="359">
        <f t="shared" si="2"/>
        <v>75563</v>
      </c>
      <c r="AC20" s="359">
        <f t="shared" si="2"/>
        <v>28281</v>
      </c>
      <c r="AD20" s="359">
        <f t="shared" si="2"/>
        <v>46660</v>
      </c>
      <c r="AE20" s="360">
        <f t="shared" si="2"/>
        <v>212700</v>
      </c>
    </row>
    <row r="21" spans="1:31" x14ac:dyDescent="0.25">
      <c r="C21" s="29"/>
      <c r="D21" s="29"/>
      <c r="E21" s="29"/>
      <c r="F21" s="29"/>
      <c r="G21" s="29"/>
      <c r="K21" s="29"/>
      <c r="L21" s="29"/>
      <c r="M21" s="29"/>
      <c r="N21" s="29"/>
      <c r="O21" s="29"/>
      <c r="S21" s="29"/>
      <c r="T21" s="29"/>
      <c r="U21" s="29"/>
      <c r="V21" s="29"/>
      <c r="W21" s="29"/>
      <c r="AA21" s="29"/>
      <c r="AB21" s="29"/>
      <c r="AC21" s="29"/>
      <c r="AD21" s="29"/>
      <c r="AE21" s="29"/>
    </row>
    <row r="22" spans="1:31" x14ac:dyDescent="0.25">
      <c r="A22" s="30"/>
      <c r="B22" s="31"/>
      <c r="C22" s="386" t="s">
        <v>22</v>
      </c>
      <c r="D22" s="386"/>
      <c r="E22" s="386"/>
      <c r="F22" s="386"/>
      <c r="G22" s="289"/>
      <c r="H22" s="34"/>
      <c r="I22" s="30"/>
      <c r="J22" s="31"/>
      <c r="K22" s="386" t="s">
        <v>22</v>
      </c>
      <c r="L22" s="386"/>
      <c r="M22" s="386"/>
      <c r="N22" s="386"/>
      <c r="O22" s="289"/>
      <c r="Q22" s="30"/>
      <c r="R22" s="31"/>
      <c r="S22" s="386" t="s">
        <v>22</v>
      </c>
      <c r="T22" s="386"/>
      <c r="U22" s="386"/>
      <c r="V22" s="386"/>
      <c r="W22" s="289"/>
      <c r="Y22" s="30"/>
      <c r="Z22" s="31"/>
      <c r="AA22" s="386" t="s">
        <v>22</v>
      </c>
      <c r="AB22" s="386"/>
      <c r="AC22" s="386"/>
      <c r="AD22" s="386"/>
      <c r="AE22" s="289"/>
    </row>
    <row r="23" spans="1:31" x14ac:dyDescent="0.25">
      <c r="A23" s="33"/>
      <c r="B23" s="38"/>
      <c r="C23" s="356">
        <v>0</v>
      </c>
      <c r="D23" s="356">
        <v>1</v>
      </c>
      <c r="E23" s="356">
        <v>2</v>
      </c>
      <c r="F23" s="357" t="s">
        <v>23</v>
      </c>
      <c r="G23" s="25"/>
      <c r="H23" s="34"/>
      <c r="I23" s="33"/>
      <c r="J23" s="38"/>
      <c r="K23" s="356">
        <v>0</v>
      </c>
      <c r="L23" s="356">
        <v>1</v>
      </c>
      <c r="M23" s="356">
        <v>2</v>
      </c>
      <c r="N23" s="357" t="s">
        <v>23</v>
      </c>
      <c r="O23" s="25"/>
      <c r="Q23" s="33"/>
      <c r="R23" s="38"/>
      <c r="S23" s="356">
        <v>0</v>
      </c>
      <c r="T23" s="356">
        <v>1</v>
      </c>
      <c r="U23" s="356">
        <v>2</v>
      </c>
      <c r="V23" s="357" t="s">
        <v>23</v>
      </c>
      <c r="W23" s="25"/>
      <c r="Y23" s="33"/>
      <c r="Z23" s="38"/>
      <c r="AA23" s="356">
        <v>0</v>
      </c>
      <c r="AB23" s="356">
        <v>1</v>
      </c>
      <c r="AC23" s="356">
        <v>2</v>
      </c>
      <c r="AD23" s="357" t="s">
        <v>23</v>
      </c>
      <c r="AE23" s="25"/>
    </row>
    <row r="24" spans="1:31" x14ac:dyDescent="0.25">
      <c r="A24" s="384" t="s">
        <v>15</v>
      </c>
      <c r="B24" s="39">
        <v>0</v>
      </c>
      <c r="C24" s="18">
        <f>AOCrossTab_input!B15</f>
        <v>174187.98521000001</v>
      </c>
      <c r="D24" s="18">
        <f>AOCrossTab_input!C15</f>
        <v>148197.29819</v>
      </c>
      <c r="E24" s="18">
        <f>AOCrossTab_input!D15</f>
        <v>36207.988210000003</v>
      </c>
      <c r="F24" s="25">
        <f>AOCrossTab_input!E15</f>
        <v>1403.9885400000001</v>
      </c>
      <c r="G24" s="358">
        <f>SUM(C24:F24)</f>
        <v>359997.26014999999</v>
      </c>
      <c r="H24" s="34"/>
      <c r="I24" s="384" t="s">
        <v>15</v>
      </c>
      <c r="J24" s="39">
        <v>0</v>
      </c>
      <c r="K24" s="18">
        <v>233605</v>
      </c>
      <c r="L24" s="18">
        <v>153368</v>
      </c>
      <c r="M24" s="18">
        <v>35104</v>
      </c>
      <c r="N24" s="25">
        <v>5962</v>
      </c>
      <c r="O24" s="358">
        <f>SUM(K24:N24)</f>
        <v>428039</v>
      </c>
      <c r="P24">
        <f>L24+M24*2+N24*3.3</f>
        <v>243250.6</v>
      </c>
      <c r="Q24" s="384" t="s">
        <v>15</v>
      </c>
      <c r="R24" s="39">
        <v>0</v>
      </c>
      <c r="S24" s="18">
        <f>AOCrossTab_input!I15*Index!$B$2</f>
        <v>278255</v>
      </c>
      <c r="T24" s="18">
        <f>AOCrossTab_input!J15*Index!$B$2</f>
        <v>161555</v>
      </c>
      <c r="U24" s="18">
        <f>AOCrossTab_input!K15*Index!$B$2</f>
        <v>42750</v>
      </c>
      <c r="V24" s="18">
        <f>AOCrossTab_input!L15*Index!$B$2</f>
        <v>6150</v>
      </c>
      <c r="W24" s="358">
        <f>SUM(S24:V24)</f>
        <v>488710</v>
      </c>
      <c r="Y24" s="384" t="s">
        <v>15</v>
      </c>
      <c r="Z24" s="39">
        <v>0</v>
      </c>
      <c r="AA24" s="18">
        <f>S24-K24</f>
        <v>44650</v>
      </c>
      <c r="AB24" s="18">
        <f t="shared" ref="AB24:AE29" si="4">T24-L24</f>
        <v>8187</v>
      </c>
      <c r="AC24" s="18">
        <f t="shared" si="4"/>
        <v>7646</v>
      </c>
      <c r="AD24" s="18">
        <f t="shared" si="4"/>
        <v>188</v>
      </c>
      <c r="AE24" s="358">
        <f t="shared" si="4"/>
        <v>60671</v>
      </c>
    </row>
    <row r="25" spans="1:31" x14ac:dyDescent="0.25">
      <c r="A25" s="384"/>
      <c r="B25" s="39">
        <v>1</v>
      </c>
      <c r="C25" s="18">
        <f>AOCrossTab_input!B16</f>
        <v>376562.67726000003</v>
      </c>
      <c r="D25" s="18">
        <f>AOCrossTab_input!C16</f>
        <v>592465.85820999998</v>
      </c>
      <c r="E25" s="18">
        <f>AOCrossTab_input!D16</f>
        <v>214223.78010999999</v>
      </c>
      <c r="F25" s="25">
        <f>AOCrossTab_input!E16</f>
        <v>9703.3223600000001</v>
      </c>
      <c r="G25" s="358">
        <f>SUM(C25:F25)</f>
        <v>1192955.63794</v>
      </c>
      <c r="H25" s="34"/>
      <c r="I25" s="384"/>
      <c r="J25" s="39">
        <v>1</v>
      </c>
      <c r="K25" s="18">
        <v>419729</v>
      </c>
      <c r="L25" s="18">
        <v>689278</v>
      </c>
      <c r="M25" s="18">
        <v>162297</v>
      </c>
      <c r="N25" s="25">
        <v>16831</v>
      </c>
      <c r="O25" s="358">
        <f>SUM(K25:N25)</f>
        <v>1288135</v>
      </c>
      <c r="Q25" s="384"/>
      <c r="R25" s="39">
        <v>1</v>
      </c>
      <c r="S25" s="18">
        <f>AOCrossTab_input!I16*Index!$B$2</f>
        <v>379830</v>
      </c>
      <c r="T25" s="18">
        <f>AOCrossTab_input!J16*Index!$B$2</f>
        <v>678200</v>
      </c>
      <c r="U25" s="18">
        <f>AOCrossTab_input!K16*Index!$B$2</f>
        <v>237945</v>
      </c>
      <c r="V25" s="18">
        <f>AOCrossTab_input!L16*Index!$B$2</f>
        <v>54560</v>
      </c>
      <c r="W25" s="358">
        <f>SUM(S25:V25)</f>
        <v>1350535</v>
      </c>
      <c r="Y25" s="384"/>
      <c r="Z25" s="39">
        <v>1</v>
      </c>
      <c r="AA25" s="18">
        <f t="shared" ref="AA25:AA29" si="5">S25-K25</f>
        <v>-39899</v>
      </c>
      <c r="AB25" s="18">
        <f t="shared" si="4"/>
        <v>-11078</v>
      </c>
      <c r="AC25" s="18">
        <f t="shared" si="4"/>
        <v>75648</v>
      </c>
      <c r="AD25" s="18">
        <f t="shared" si="4"/>
        <v>37729</v>
      </c>
      <c r="AE25" s="358">
        <f t="shared" si="4"/>
        <v>62400</v>
      </c>
    </row>
    <row r="26" spans="1:31" x14ac:dyDescent="0.25">
      <c r="A26" s="384"/>
      <c r="B26" s="39">
        <v>2</v>
      </c>
      <c r="C26" s="18">
        <f>AOCrossTab_input!B17</f>
        <v>122394.69731</v>
      </c>
      <c r="D26" s="18">
        <f>AOCrossTab_input!C17</f>
        <v>503857.95747000002</v>
      </c>
      <c r="E26" s="18">
        <f>AOCrossTab_input!D17</f>
        <v>841831.80287999997</v>
      </c>
      <c r="F26" s="25">
        <f>AOCrossTab_input!E17</f>
        <v>40989.286070000002</v>
      </c>
      <c r="G26" s="358">
        <f>SUM(C26:F26)</f>
        <v>1509073.7437299998</v>
      </c>
      <c r="H26" s="34"/>
      <c r="I26" s="384"/>
      <c r="J26" s="39">
        <v>2</v>
      </c>
      <c r="K26" s="18">
        <v>186144</v>
      </c>
      <c r="L26" s="18">
        <v>479316</v>
      </c>
      <c r="M26" s="18">
        <v>609224</v>
      </c>
      <c r="N26" s="25">
        <v>55566</v>
      </c>
      <c r="O26" s="358">
        <f>SUM(K26:N26)</f>
        <v>1330250</v>
      </c>
      <c r="Q26" s="384"/>
      <c r="R26" s="39">
        <v>2</v>
      </c>
      <c r="S26" s="18">
        <f>AOCrossTab_input!I17*Index!$B$2</f>
        <v>218695</v>
      </c>
      <c r="T26" s="18">
        <f>AOCrossTab_input!J17*Index!$B$2</f>
        <v>441100</v>
      </c>
      <c r="U26" s="18">
        <f>AOCrossTab_input!K17*Index!$B$2</f>
        <v>637725</v>
      </c>
      <c r="V26" s="18">
        <f>AOCrossTab_input!L17*Index!$B$2</f>
        <v>97130</v>
      </c>
      <c r="W26" s="358">
        <f>SUM(S26:V26)</f>
        <v>1394650</v>
      </c>
      <c r="Y26" s="384"/>
      <c r="Z26" s="39">
        <v>2</v>
      </c>
      <c r="AA26" s="18">
        <f t="shared" si="5"/>
        <v>32551</v>
      </c>
      <c r="AB26" s="18">
        <f t="shared" si="4"/>
        <v>-38216</v>
      </c>
      <c r="AC26" s="18">
        <f t="shared" si="4"/>
        <v>28501</v>
      </c>
      <c r="AD26" s="18">
        <f t="shared" si="4"/>
        <v>41564</v>
      </c>
      <c r="AE26" s="358">
        <f t="shared" si="4"/>
        <v>64400</v>
      </c>
    </row>
    <row r="27" spans="1:31" x14ac:dyDescent="0.25">
      <c r="A27" s="384"/>
      <c r="B27" s="39">
        <v>3</v>
      </c>
      <c r="C27" s="18">
        <f>AOCrossTab_input!B18</f>
        <v>25978.124660000001</v>
      </c>
      <c r="D27" s="18">
        <f>AOCrossTab_input!C18</f>
        <v>84732.197320000007</v>
      </c>
      <c r="E27" s="18">
        <f>AOCrossTab_input!D18</f>
        <v>230238.45373000001</v>
      </c>
      <c r="F27" s="25">
        <f>AOCrossTab_input!E18</f>
        <v>121828.66072</v>
      </c>
      <c r="G27" s="358">
        <f>SUM(C27:F27)</f>
        <v>462777.43643</v>
      </c>
      <c r="H27" s="34"/>
      <c r="I27" s="384"/>
      <c r="J27" s="39">
        <v>3</v>
      </c>
      <c r="K27" s="18">
        <v>29831</v>
      </c>
      <c r="L27" s="18">
        <v>107818</v>
      </c>
      <c r="M27" s="18">
        <v>187166</v>
      </c>
      <c r="N27" s="25">
        <v>101840</v>
      </c>
      <c r="O27" s="358">
        <f>SUM(K27:N27)</f>
        <v>426655</v>
      </c>
      <c r="Q27" s="384"/>
      <c r="R27" s="39">
        <v>3</v>
      </c>
      <c r="S27" s="18">
        <f>AOCrossTab_input!I18*Index!$B$2</f>
        <v>62105</v>
      </c>
      <c r="T27" s="18">
        <f>AOCrossTab_input!J18*Index!$B$2</f>
        <v>125385</v>
      </c>
      <c r="U27" s="18">
        <f>AOCrossTab_input!K18*Index!$B$2</f>
        <v>165620</v>
      </c>
      <c r="V27" s="18">
        <f>AOCrossTab_input!L18*Index!$B$2</f>
        <v>87775</v>
      </c>
      <c r="W27" s="358">
        <f>SUM(S27:V27)</f>
        <v>440885</v>
      </c>
      <c r="Y27" s="384"/>
      <c r="Z27" s="39">
        <v>3</v>
      </c>
      <c r="AA27" s="18">
        <f t="shared" si="5"/>
        <v>32274</v>
      </c>
      <c r="AB27" s="18">
        <f t="shared" si="4"/>
        <v>17567</v>
      </c>
      <c r="AC27" s="18">
        <f t="shared" si="4"/>
        <v>-21546</v>
      </c>
      <c r="AD27" s="18">
        <f t="shared" si="4"/>
        <v>-14065</v>
      </c>
      <c r="AE27" s="358">
        <f t="shared" si="4"/>
        <v>14230</v>
      </c>
    </row>
    <row r="28" spans="1:31" x14ac:dyDescent="0.25">
      <c r="A28" s="384"/>
      <c r="B28" s="40">
        <v>4</v>
      </c>
      <c r="C28" s="19">
        <f>AOCrossTab_input!B19</f>
        <v>5627.3486800000001</v>
      </c>
      <c r="D28" s="19">
        <f>AOCrossTab_input!C19</f>
        <v>26136.041990000002</v>
      </c>
      <c r="E28" s="19">
        <f>AOCrossTab_input!D19</f>
        <v>59779.683120000002</v>
      </c>
      <c r="F28" s="26">
        <f>AOCrossTab_input!E19</f>
        <v>71209.30962</v>
      </c>
      <c r="G28" s="358">
        <f>SUM(C28:F28)</f>
        <v>162752.38341000001</v>
      </c>
      <c r="H28" s="34"/>
      <c r="I28" s="384"/>
      <c r="J28" s="40">
        <v>4</v>
      </c>
      <c r="K28" s="19">
        <v>8425</v>
      </c>
      <c r="L28" s="19">
        <v>27414</v>
      </c>
      <c r="M28" s="19">
        <v>52380</v>
      </c>
      <c r="N28" s="26">
        <v>77906</v>
      </c>
      <c r="O28" s="358">
        <f>SUM(K28:N28)</f>
        <v>166125</v>
      </c>
      <c r="Q28" s="384"/>
      <c r="R28" s="40">
        <v>4</v>
      </c>
      <c r="S28" s="18">
        <f>AOCrossTab_input!I19*Index!$B$2</f>
        <v>21070</v>
      </c>
      <c r="T28" s="18">
        <f>AOCrossTab_input!J19*Index!$B$2</f>
        <v>45630</v>
      </c>
      <c r="U28" s="18">
        <f>AOCrossTab_input!K19*Index!$B$2</f>
        <v>62830</v>
      </c>
      <c r="V28" s="18">
        <f>AOCrossTab_input!L19*Index!$B$2</f>
        <v>41075</v>
      </c>
      <c r="W28" s="358">
        <f>SUM(S28:V28)</f>
        <v>170605</v>
      </c>
      <c r="Y28" s="384"/>
      <c r="Z28" s="40">
        <v>4</v>
      </c>
      <c r="AA28" s="18">
        <f t="shared" si="5"/>
        <v>12645</v>
      </c>
      <c r="AB28" s="18">
        <f t="shared" si="4"/>
        <v>18216</v>
      </c>
      <c r="AC28" s="18">
        <f t="shared" si="4"/>
        <v>10450</v>
      </c>
      <c r="AD28" s="18">
        <f t="shared" si="4"/>
        <v>-36831</v>
      </c>
      <c r="AE28" s="358">
        <f t="shared" si="4"/>
        <v>4480</v>
      </c>
    </row>
    <row r="29" spans="1:31" x14ac:dyDescent="0.25">
      <c r="A29" s="36"/>
      <c r="B29" s="37"/>
      <c r="C29" s="359">
        <f>SUM(C24:C28)</f>
        <v>704750.83312000008</v>
      </c>
      <c r="D29" s="359">
        <f>SUM(D24:D28)</f>
        <v>1355389.3531800001</v>
      </c>
      <c r="E29" s="359">
        <f>SUM(E24:E28)</f>
        <v>1382281.7080499998</v>
      </c>
      <c r="F29" s="359">
        <f>SUM(F24:F28)</f>
        <v>245134.56731000001</v>
      </c>
      <c r="G29" s="360">
        <f>SUM(G24:G28)</f>
        <v>3687556.4616599996</v>
      </c>
      <c r="H29" s="34"/>
      <c r="I29" s="36"/>
      <c r="J29" s="37"/>
      <c r="K29" s="359">
        <f>SUM(K24:K28)</f>
        <v>877734</v>
      </c>
      <c r="L29" s="359">
        <f>SUM(L24:L28)</f>
        <v>1457194</v>
      </c>
      <c r="M29" s="359">
        <f>SUM(M24:M28)</f>
        <v>1046171</v>
      </c>
      <c r="N29" s="359">
        <f>SUM(N24:N28)</f>
        <v>258105</v>
      </c>
      <c r="O29" s="360">
        <f>SUM(O24:O28)</f>
        <v>3639204</v>
      </c>
      <c r="Q29" s="36"/>
      <c r="R29" s="37"/>
      <c r="S29" s="359">
        <f>SUM(S24:S28)</f>
        <v>959955</v>
      </c>
      <c r="T29" s="359">
        <f>SUM(T24:T28)</f>
        <v>1451870</v>
      </c>
      <c r="U29" s="359">
        <f>SUM(U24:U28)</f>
        <v>1146870</v>
      </c>
      <c r="V29" s="359">
        <f>SUM(V24:V28)</f>
        <v>286690</v>
      </c>
      <c r="W29" s="360">
        <f>SUM(W24:W28)</f>
        <v>3845385</v>
      </c>
      <c r="Y29" s="36"/>
      <c r="Z29" s="37"/>
      <c r="AA29" s="359">
        <f t="shared" si="5"/>
        <v>82221</v>
      </c>
      <c r="AB29" s="359">
        <f t="shared" si="4"/>
        <v>-5324</v>
      </c>
      <c r="AC29" s="359">
        <f t="shared" si="4"/>
        <v>100699</v>
      </c>
      <c r="AD29" s="359">
        <f t="shared" si="4"/>
        <v>28585</v>
      </c>
      <c r="AE29" s="360">
        <f t="shared" si="4"/>
        <v>206181</v>
      </c>
    </row>
    <row r="31" spans="1:31" x14ac:dyDescent="0.25">
      <c r="AA31" t="s">
        <v>695</v>
      </c>
    </row>
    <row r="32" spans="1:31" x14ac:dyDescent="0.25">
      <c r="A32" s="30"/>
      <c r="B32" s="31"/>
      <c r="C32" s="385" t="s">
        <v>20</v>
      </c>
      <c r="D32" s="385"/>
      <c r="E32" s="385"/>
      <c r="F32" s="385"/>
      <c r="G32" s="32"/>
      <c r="I32" s="30"/>
      <c r="J32" s="31"/>
      <c r="K32" s="385" t="s">
        <v>20</v>
      </c>
      <c r="L32" s="385"/>
      <c r="M32" s="385"/>
      <c r="N32" s="385"/>
      <c r="O32" s="32"/>
      <c r="Q32" s="30"/>
      <c r="R32" s="31"/>
      <c r="S32" s="385" t="s">
        <v>20</v>
      </c>
      <c r="T32" s="385"/>
      <c r="U32" s="385"/>
      <c r="V32" s="385"/>
      <c r="W32" s="32"/>
      <c r="Y32" s="30"/>
      <c r="Z32" s="31"/>
      <c r="AA32" s="385" t="s">
        <v>20</v>
      </c>
      <c r="AB32" s="385"/>
      <c r="AC32" s="385"/>
      <c r="AD32" s="385"/>
      <c r="AE32" s="32"/>
    </row>
    <row r="33" spans="1:31" x14ac:dyDescent="0.25">
      <c r="A33" s="33"/>
      <c r="B33" s="38"/>
      <c r="C33" s="41" t="s">
        <v>16</v>
      </c>
      <c r="D33" s="41" t="s">
        <v>17</v>
      </c>
      <c r="E33" s="41" t="s">
        <v>18</v>
      </c>
      <c r="F33" s="42" t="s">
        <v>19</v>
      </c>
      <c r="G33" s="35"/>
      <c r="I33" s="33"/>
      <c r="J33" s="38"/>
      <c r="K33" s="41" t="s">
        <v>16</v>
      </c>
      <c r="L33" s="41" t="s">
        <v>17</v>
      </c>
      <c r="M33" s="41" t="s">
        <v>18</v>
      </c>
      <c r="N33" s="42" t="s">
        <v>19</v>
      </c>
      <c r="O33" s="35"/>
      <c r="Q33" s="33"/>
      <c r="R33" s="38"/>
      <c r="S33" s="41" t="s">
        <v>16</v>
      </c>
      <c r="T33" s="41" t="s">
        <v>17</v>
      </c>
      <c r="U33" s="41" t="s">
        <v>18</v>
      </c>
      <c r="V33" s="42" t="s">
        <v>19</v>
      </c>
      <c r="W33" s="35"/>
      <c r="Y33" s="33"/>
      <c r="Z33" s="38"/>
      <c r="AA33" s="41" t="s">
        <v>16</v>
      </c>
      <c r="AB33" s="41" t="s">
        <v>17</v>
      </c>
      <c r="AC33" s="41" t="s">
        <v>18</v>
      </c>
      <c r="AD33" s="42" t="s">
        <v>19</v>
      </c>
      <c r="AE33" s="35"/>
    </row>
    <row r="34" spans="1:31" x14ac:dyDescent="0.25">
      <c r="A34" s="384" t="s">
        <v>15</v>
      </c>
      <c r="B34" s="39">
        <v>0</v>
      </c>
      <c r="C34" s="45">
        <f t="shared" ref="C34:F38" si="6">C6/$G$11</f>
        <v>7.3864906054836102E-2</v>
      </c>
      <c r="D34" s="46">
        <f t="shared" si="6"/>
        <v>1.8085799642418771E-2</v>
      </c>
      <c r="E34" s="46">
        <f t="shared" si="6"/>
        <v>4.2973525203426144E-3</v>
      </c>
      <c r="F34" s="47">
        <f t="shared" si="6"/>
        <v>1.2646990790407715E-3</v>
      </c>
      <c r="G34" s="43">
        <f>SUM(C34:F34)</f>
        <v>9.7512757296638261E-2</v>
      </c>
      <c r="I34" s="384" t="s">
        <v>15</v>
      </c>
      <c r="J34" s="39">
        <v>0</v>
      </c>
      <c r="K34" s="45">
        <f t="shared" ref="K34:N38" si="7">K6/$O$11</f>
        <v>7.4435065871584508E-2</v>
      </c>
      <c r="L34" s="46">
        <f t="shared" si="7"/>
        <v>1.4016139471842996E-2</v>
      </c>
      <c r="M34" s="46">
        <f t="shared" si="7"/>
        <v>7.987204296926502E-3</v>
      </c>
      <c r="N34" s="47">
        <f t="shared" si="7"/>
        <v>4.793230426026183E-3</v>
      </c>
      <c r="O34" s="43">
        <f>SUM(K34:N34)</f>
        <v>0.10123164006638018</v>
      </c>
      <c r="Q34" s="384" t="s">
        <v>15</v>
      </c>
      <c r="R34" s="39">
        <v>0</v>
      </c>
      <c r="S34" s="45">
        <f t="shared" ref="S34:V38" si="8">S6/$W$11</f>
        <v>0.10260871148142514</v>
      </c>
      <c r="T34" s="46">
        <f t="shared" si="8"/>
        <v>1.59060796253171E-2</v>
      </c>
      <c r="U34" s="46">
        <f t="shared" si="8"/>
        <v>6.561111566202084E-3</v>
      </c>
      <c r="V34" s="47">
        <f t="shared" si="8"/>
        <v>2.0141026191135606E-3</v>
      </c>
      <c r="W34" s="43">
        <f>SUM(S34:V34)</f>
        <v>0.12709000529205788</v>
      </c>
      <c r="Y34" s="384" t="s">
        <v>15</v>
      </c>
      <c r="Z34" s="39">
        <v>0</v>
      </c>
      <c r="AA34" s="45">
        <f>AA6/K6</f>
        <v>9.3721847549194895E-2</v>
      </c>
      <c r="AB34" s="46">
        <f t="shared" ref="AB34:AE34" si="9">AB6/L6</f>
        <v>-9.9601065787343041E-2</v>
      </c>
      <c r="AC34" s="46">
        <f t="shared" si="9"/>
        <v>-0.34824726821833585</v>
      </c>
      <c r="AD34" s="47">
        <f t="shared" si="9"/>
        <v>-0.66660927209332355</v>
      </c>
      <c r="AE34" s="43">
        <f t="shared" si="9"/>
        <v>-3.9173963377847352E-3</v>
      </c>
    </row>
    <row r="35" spans="1:31" x14ac:dyDescent="0.25">
      <c r="A35" s="384"/>
      <c r="B35" s="39">
        <v>1</v>
      </c>
      <c r="C35" s="48">
        <f t="shared" si="6"/>
        <v>0.15255773965857319</v>
      </c>
      <c r="D35" s="28">
        <f t="shared" si="6"/>
        <v>9.6840765587324171E-2</v>
      </c>
      <c r="E35" s="28">
        <f t="shared" si="6"/>
        <v>5.1660979820126136E-2</v>
      </c>
      <c r="F35" s="49">
        <f t="shared" si="6"/>
        <v>2.1069627568698974E-2</v>
      </c>
      <c r="G35" s="43">
        <f>SUM(C35:F35)</f>
        <v>0.32212911263472244</v>
      </c>
      <c r="I35" s="384"/>
      <c r="J35" s="39">
        <v>1</v>
      </c>
      <c r="K35" s="48">
        <f t="shared" si="7"/>
        <v>0.16580273249829211</v>
      </c>
      <c r="L35" s="28">
        <f t="shared" si="7"/>
        <v>8.9110220365627477E-2</v>
      </c>
      <c r="M35" s="28">
        <f t="shared" si="7"/>
        <v>5.6861194393544208E-2</v>
      </c>
      <c r="N35" s="49">
        <f t="shared" si="7"/>
        <v>3.144227934190108E-2</v>
      </c>
      <c r="O35" s="43">
        <f>SUM(K35:N35)</f>
        <v>0.34321642659936485</v>
      </c>
      <c r="Q35" s="384"/>
      <c r="R35" s="39">
        <v>1</v>
      </c>
      <c r="S35" s="48">
        <f t="shared" si="8"/>
        <v>0.16109830355087981</v>
      </c>
      <c r="T35" s="28">
        <f t="shared" si="8"/>
        <v>9.6570304403850324E-2</v>
      </c>
      <c r="U35" s="28">
        <f t="shared" si="8"/>
        <v>5.6619818301678504E-2</v>
      </c>
      <c r="V35" s="49">
        <f t="shared" si="8"/>
        <v>3.6920880484008753E-2</v>
      </c>
      <c r="W35" s="43">
        <f>SUM(S35:V35)</f>
        <v>0.35120930674041739</v>
      </c>
      <c r="Y35" s="384"/>
      <c r="Z35" s="39">
        <v>1</v>
      </c>
      <c r="AA35" s="48">
        <f t="shared" ref="AA35:AA39" si="10">AA7/K7</f>
        <v>-0.22909739367633003</v>
      </c>
      <c r="AB35" s="28">
        <f t="shared" ref="AB35:AB39" si="11">AB7/L7</f>
        <v>-0.14016263626344111</v>
      </c>
      <c r="AC35" s="28">
        <f t="shared" ref="AC35:AC39" si="12">AC7/M7</f>
        <v>-0.20995337191792007</v>
      </c>
      <c r="AD35" s="49">
        <f t="shared" ref="AD35:AD39" si="13">AD7/N7</f>
        <v>-6.8338265885332927E-2</v>
      </c>
      <c r="AE35" s="43">
        <f t="shared" ref="AE35:AE39" si="14">AE7/O7</f>
        <v>-0.18810815165181594</v>
      </c>
    </row>
    <row r="36" spans="1:31" x14ac:dyDescent="0.25">
      <c r="A36" s="384"/>
      <c r="B36" s="39">
        <v>2</v>
      </c>
      <c r="C36" s="48">
        <f t="shared" si="6"/>
        <v>7.0457632497467143E-2</v>
      </c>
      <c r="D36" s="28">
        <f t="shared" si="6"/>
        <v>9.6741395649506484E-2</v>
      </c>
      <c r="E36" s="28">
        <f t="shared" si="6"/>
        <v>0.14452389819617284</v>
      </c>
      <c r="F36" s="49">
        <f t="shared" si="6"/>
        <v>9.6624182131832895E-2</v>
      </c>
      <c r="G36" s="43">
        <f>SUM(C36:F36)</f>
        <v>0.40834710847497935</v>
      </c>
      <c r="I36" s="384"/>
      <c r="J36" s="39">
        <v>2</v>
      </c>
      <c r="K36" s="48">
        <f t="shared" si="7"/>
        <v>6.3184561139117995E-2</v>
      </c>
      <c r="L36" s="28">
        <f t="shared" si="7"/>
        <v>8.6046852790610875E-2</v>
      </c>
      <c r="M36" s="28">
        <f t="shared" si="7"/>
        <v>0.11443463670713673</v>
      </c>
      <c r="N36" s="49">
        <f t="shared" si="7"/>
        <v>0.11217925373667088</v>
      </c>
      <c r="O36" s="43">
        <f>SUM(K36:N36)</f>
        <v>0.37584530437353647</v>
      </c>
      <c r="Q36" s="384"/>
      <c r="R36" s="39">
        <v>2</v>
      </c>
      <c r="S36" s="48">
        <f t="shared" si="8"/>
        <v>9.0694429816520317E-2</v>
      </c>
      <c r="T36" s="28">
        <f t="shared" si="8"/>
        <v>9.8464783110143714E-2</v>
      </c>
      <c r="U36" s="28">
        <f t="shared" si="8"/>
        <v>0.10143587703181867</v>
      </c>
      <c r="V36" s="49">
        <f t="shared" si="8"/>
        <v>7.2086410073373672E-2</v>
      </c>
      <c r="W36" s="43">
        <f>SUM(S36:V36)</f>
        <v>0.3626815000318564</v>
      </c>
      <c r="Y36" s="384"/>
      <c r="Z36" s="39">
        <v>2</v>
      </c>
      <c r="AA36" s="48">
        <f t="shared" si="10"/>
        <v>0.13885877374017086</v>
      </c>
      <c r="AB36" s="28">
        <f t="shared" si="11"/>
        <v>-9.2082956668113378E-2</v>
      </c>
      <c r="AC36" s="28">
        <f t="shared" si="12"/>
        <v>-0.29671019180631131</v>
      </c>
      <c r="AD36" s="49">
        <f t="shared" si="13"/>
        <v>-0.4901515750674556</v>
      </c>
      <c r="AE36" s="43">
        <f t="shared" si="14"/>
        <v>-0.23437429662787621</v>
      </c>
    </row>
    <row r="37" spans="1:31" x14ac:dyDescent="0.25">
      <c r="A37" s="384"/>
      <c r="B37" s="39">
        <v>3</v>
      </c>
      <c r="C37" s="48">
        <f t="shared" si="6"/>
        <v>2.5381623928613484E-2</v>
      </c>
      <c r="D37" s="28">
        <f t="shared" si="6"/>
        <v>2.3757586951180517E-2</v>
      </c>
      <c r="E37" s="28">
        <f t="shared" si="6"/>
        <v>3.7382779765954541E-2</v>
      </c>
      <c r="F37" s="49">
        <f t="shared" si="6"/>
        <v>4.118459413057321E-2</v>
      </c>
      <c r="G37" s="43">
        <f>SUM(C37:F37)</f>
        <v>0.12770658477632174</v>
      </c>
      <c r="I37" s="384"/>
      <c r="J37" s="39">
        <v>3</v>
      </c>
      <c r="K37" s="48">
        <f t="shared" si="7"/>
        <v>1.1937167848897801E-2</v>
      </c>
      <c r="L37" s="28">
        <f t="shared" si="7"/>
        <v>2.2556511982457079E-2</v>
      </c>
      <c r="M37" s="28">
        <f t="shared" si="7"/>
        <v>4.2484598051387081E-2</v>
      </c>
      <c r="N37" s="49">
        <f t="shared" si="7"/>
        <v>5.1623118511079973E-2</v>
      </c>
      <c r="O37" s="43">
        <f>SUM(K37:N37)</f>
        <v>0.12860139639382193</v>
      </c>
      <c r="Q37" s="384"/>
      <c r="R37" s="39">
        <v>3</v>
      </c>
      <c r="S37" s="48">
        <f t="shared" si="8"/>
        <v>2.4724442416038966E-2</v>
      </c>
      <c r="T37" s="28">
        <f t="shared" si="8"/>
        <v>2.8529002947689244E-2</v>
      </c>
      <c r="U37" s="28">
        <f t="shared" si="8"/>
        <v>3.4122721131954276E-2</v>
      </c>
      <c r="V37" s="49">
        <f t="shared" si="8"/>
        <v>2.7276852642843304E-2</v>
      </c>
      <c r="W37" s="43">
        <f>SUM(S37:V37)</f>
        <v>0.1146530191385258</v>
      </c>
      <c r="Y37" s="384"/>
      <c r="Z37" s="39">
        <v>3</v>
      </c>
      <c r="AA37" s="48">
        <f t="shared" si="10"/>
        <v>0.64333246910379394</v>
      </c>
      <c r="AB37" s="28">
        <f t="shared" si="11"/>
        <v>3.4942326866258702E-3</v>
      </c>
      <c r="AC37" s="28">
        <f t="shared" si="12"/>
        <v>-0.36274628837290623</v>
      </c>
      <c r="AD37" s="49">
        <f t="shared" si="13"/>
        <v>-0.58077202855338572</v>
      </c>
      <c r="AE37" s="43">
        <f t="shared" si="14"/>
        <v>-0.29264074264820317</v>
      </c>
    </row>
    <row r="38" spans="1:31" x14ac:dyDescent="0.25">
      <c r="A38" s="384"/>
      <c r="B38" s="40">
        <v>4</v>
      </c>
      <c r="C38" s="50">
        <f t="shared" si="6"/>
        <v>3.8740310853899907E-3</v>
      </c>
      <c r="D38" s="51">
        <f t="shared" si="6"/>
        <v>8.8218513402664959E-3</v>
      </c>
      <c r="E38" s="51">
        <f t="shared" si="6"/>
        <v>1.5570729367028666E-2</v>
      </c>
      <c r="F38" s="52">
        <f t="shared" si="6"/>
        <v>1.6037825024653094E-2</v>
      </c>
      <c r="G38" s="43">
        <f>SUM(C38:F38)</f>
        <v>4.4304436817338241E-2</v>
      </c>
      <c r="I38" s="384"/>
      <c r="J38" s="40">
        <v>4</v>
      </c>
      <c r="K38" s="50">
        <f t="shared" si="7"/>
        <v>3.8775420514101868E-3</v>
      </c>
      <c r="L38" s="51">
        <f t="shared" si="7"/>
        <v>6.4770818963373906E-3</v>
      </c>
      <c r="M38" s="51">
        <f t="shared" si="7"/>
        <v>1.5981423781941544E-2</v>
      </c>
      <c r="N38" s="52">
        <f t="shared" si="7"/>
        <v>2.4769184837207404E-2</v>
      </c>
      <c r="O38" s="43">
        <f>SUM(K38:N38)</f>
        <v>5.110523256689653E-2</v>
      </c>
      <c r="Q38" s="384"/>
      <c r="R38" s="40">
        <v>4</v>
      </c>
      <c r="S38" s="50">
        <f t="shared" si="8"/>
        <v>8.2410473853723361E-3</v>
      </c>
      <c r="T38" s="51">
        <f t="shared" si="8"/>
        <v>9.8988787858692948E-3</v>
      </c>
      <c r="U38" s="51">
        <f t="shared" si="8"/>
        <v>1.3742447115178325E-2</v>
      </c>
      <c r="V38" s="52">
        <f t="shared" si="8"/>
        <v>1.2483795510722593E-2</v>
      </c>
      <c r="W38" s="43">
        <f>SUM(S38:V38)</f>
        <v>4.4366168797142551E-2</v>
      </c>
      <c r="Y38" s="384"/>
      <c r="Z38" s="40">
        <v>4</v>
      </c>
      <c r="AA38" s="50">
        <f t="shared" si="10"/>
        <v>0.68626616293300702</v>
      </c>
      <c r="AB38" s="51">
        <f t="shared" si="11"/>
        <v>0.21257008154943935</v>
      </c>
      <c r="AC38" s="51">
        <f t="shared" si="12"/>
        <v>-0.31774168560214833</v>
      </c>
      <c r="AD38" s="52">
        <f t="shared" si="13"/>
        <v>-0.60011495497596778</v>
      </c>
      <c r="AE38" s="43">
        <f t="shared" si="14"/>
        <v>-0.31121007073414941</v>
      </c>
    </row>
    <row r="39" spans="1:31" x14ac:dyDescent="0.25">
      <c r="A39" s="36"/>
      <c r="B39" s="37"/>
      <c r="C39" s="44">
        <f>SUM(C34:C38)</f>
        <v>0.32613593322487994</v>
      </c>
      <c r="D39" s="44">
        <f>SUM(D34:D38)</f>
        <v>0.24424739917069646</v>
      </c>
      <c r="E39" s="44">
        <f>SUM(E34:E38)</f>
        <v>0.25343573966962485</v>
      </c>
      <c r="F39" s="44">
        <f>SUM(F34:F38)</f>
        <v>0.17618092793479895</v>
      </c>
      <c r="G39" s="53">
        <f>SUM(G34:G38)</f>
        <v>1</v>
      </c>
      <c r="I39" s="36"/>
      <c r="J39" s="37"/>
      <c r="K39" s="44">
        <f>SUM(K34:K38)</f>
        <v>0.31923706940930263</v>
      </c>
      <c r="L39" s="44">
        <f>SUM(L34:L38)</f>
        <v>0.21820680650687582</v>
      </c>
      <c r="M39" s="44">
        <f>SUM(M34:M38)</f>
        <v>0.23774905723093603</v>
      </c>
      <c r="N39" s="44">
        <f>SUM(N34:N38)</f>
        <v>0.22480706685288554</v>
      </c>
      <c r="O39" s="53">
        <f>SUM(O34:O38)</f>
        <v>1</v>
      </c>
      <c r="Q39" s="36"/>
      <c r="R39" s="37"/>
      <c r="S39" s="44">
        <f>SUM(S34:S38)</f>
        <v>0.38736693465023664</v>
      </c>
      <c r="T39" s="44">
        <f>SUM(T34:T38)</f>
        <v>0.24936904887286968</v>
      </c>
      <c r="U39" s="44">
        <f>SUM(U34:U38)</f>
        <v>0.21248197514683187</v>
      </c>
      <c r="V39" s="44">
        <f>SUM(V34:V38)</f>
        <v>0.15078204133006187</v>
      </c>
      <c r="W39" s="53">
        <f>SUM(W34:W38)</f>
        <v>0.99999999999999989</v>
      </c>
      <c r="Y39" s="36"/>
      <c r="Z39" s="37"/>
      <c r="AA39" s="44">
        <f t="shared" si="10"/>
        <v>-3.7259011790801974E-2</v>
      </c>
      <c r="AB39" s="44">
        <f t="shared" si="11"/>
        <v>-9.3277305362213458E-2</v>
      </c>
      <c r="AC39" s="44">
        <f t="shared" si="12"/>
        <v>-0.29090647159850763</v>
      </c>
      <c r="AD39" s="44">
        <f t="shared" si="13"/>
        <v>-0.46784286443285156</v>
      </c>
      <c r="AE39" s="53">
        <f t="shared" si="14"/>
        <v>-0.20658532212196234</v>
      </c>
    </row>
    <row r="41" spans="1:31" x14ac:dyDescent="0.25">
      <c r="A41" s="30"/>
      <c r="B41" s="31"/>
      <c r="C41" s="385" t="s">
        <v>21</v>
      </c>
      <c r="D41" s="385"/>
      <c r="E41" s="385"/>
      <c r="F41" s="385"/>
      <c r="G41" s="32"/>
      <c r="H41" s="34"/>
      <c r="I41" s="30"/>
      <c r="J41" s="31"/>
      <c r="K41" s="385" t="s">
        <v>512</v>
      </c>
      <c r="L41" s="385"/>
      <c r="M41" s="385"/>
      <c r="N41" s="385"/>
      <c r="O41" s="32"/>
      <c r="Q41" s="30"/>
      <c r="R41" s="31"/>
      <c r="S41" s="385" t="s">
        <v>512</v>
      </c>
      <c r="T41" s="385"/>
      <c r="U41" s="385"/>
      <c r="V41" s="385"/>
      <c r="W41" s="32"/>
      <c r="Y41" s="30"/>
      <c r="Z41" s="31"/>
      <c r="AA41" s="385" t="s">
        <v>512</v>
      </c>
      <c r="AB41" s="385"/>
      <c r="AC41" s="385"/>
      <c r="AD41" s="385"/>
      <c r="AE41" s="32"/>
    </row>
    <row r="42" spans="1:31" x14ac:dyDescent="0.25">
      <c r="A42" s="33"/>
      <c r="B42" s="38"/>
      <c r="C42" s="41">
        <v>1</v>
      </c>
      <c r="D42" s="41">
        <v>2</v>
      </c>
      <c r="E42" s="41">
        <v>3</v>
      </c>
      <c r="F42" s="42" t="s">
        <v>9</v>
      </c>
      <c r="G42" s="35"/>
      <c r="H42" s="34"/>
      <c r="I42" s="33"/>
      <c r="J42" s="38"/>
      <c r="K42" s="41">
        <v>1</v>
      </c>
      <c r="L42" s="41">
        <v>2</v>
      </c>
      <c r="M42" s="41">
        <v>3</v>
      </c>
      <c r="N42" s="42" t="s">
        <v>9</v>
      </c>
      <c r="O42" s="35"/>
      <c r="Q42" s="33"/>
      <c r="R42" s="38"/>
      <c r="S42" s="41">
        <v>1</v>
      </c>
      <c r="T42" s="41">
        <v>2</v>
      </c>
      <c r="U42" s="41">
        <v>3</v>
      </c>
      <c r="V42" s="42" t="s">
        <v>9</v>
      </c>
      <c r="W42" s="35"/>
      <c r="Y42" s="33"/>
      <c r="Z42" s="38"/>
      <c r="AA42" s="41">
        <v>1</v>
      </c>
      <c r="AB42" s="41">
        <v>2</v>
      </c>
      <c r="AC42" s="41">
        <v>3</v>
      </c>
      <c r="AD42" s="42" t="s">
        <v>9</v>
      </c>
      <c r="AE42" s="35"/>
    </row>
    <row r="43" spans="1:31" x14ac:dyDescent="0.25">
      <c r="A43" s="384" t="s">
        <v>15</v>
      </c>
      <c r="B43" s="39">
        <v>0</v>
      </c>
      <c r="C43" s="45">
        <f t="shared" ref="C43:F47" si="15">C15/$G$20</f>
        <v>6.1296792559007295E-2</v>
      </c>
      <c r="D43" s="46">
        <f t="shared" si="15"/>
        <v>1.7623226927011022E-2</v>
      </c>
      <c r="E43" s="46">
        <f t="shared" si="15"/>
        <v>7.4431007268277727E-3</v>
      </c>
      <c r="F43" s="47">
        <f t="shared" si="15"/>
        <v>1.1261760624352711E-2</v>
      </c>
      <c r="G43" s="43">
        <f>SUM(C43:F43)</f>
        <v>9.7624880837198807E-2</v>
      </c>
      <c r="I43" s="384" t="s">
        <v>15</v>
      </c>
      <c r="J43" s="39">
        <v>0</v>
      </c>
      <c r="K43" s="45">
        <f t="shared" ref="K43:N47" si="16">K15/$O$20</f>
        <v>6.834971928477146E-2</v>
      </c>
      <c r="L43" s="46">
        <f t="shared" si="16"/>
        <v>2.2502639232413489E-2</v>
      </c>
      <c r="M43" s="46">
        <f t="shared" si="16"/>
        <v>1.001876022831597E-2</v>
      </c>
      <c r="N43" s="47">
        <f t="shared" si="16"/>
        <v>1.2604726256198927E-2</v>
      </c>
      <c r="O43" s="43">
        <f>SUM(K43:N43)</f>
        <v>0.11347584500169985</v>
      </c>
      <c r="Q43" s="384" t="s">
        <v>15</v>
      </c>
      <c r="R43" s="39">
        <v>0</v>
      </c>
      <c r="S43" s="45">
        <f t="shared" ref="S43:V47" si="17">S15/$W$20</f>
        <v>7.6628217980774363E-2</v>
      </c>
      <c r="T43" s="46">
        <f t="shared" si="17"/>
        <v>2.492468244402056E-2</v>
      </c>
      <c r="U43" s="46">
        <f t="shared" si="17"/>
        <v>1.1021003098519394E-2</v>
      </c>
      <c r="V43" s="47">
        <f t="shared" si="17"/>
        <v>1.4516101768743572E-2</v>
      </c>
      <c r="W43" s="43">
        <f>SUM(S43:V43)</f>
        <v>0.12709000529205788</v>
      </c>
      <c r="Y43" s="384" t="s">
        <v>15</v>
      </c>
      <c r="Z43" s="39">
        <v>0</v>
      </c>
      <c r="AA43" s="45">
        <f>AA15/K15</f>
        <v>0.18676321926111489</v>
      </c>
      <c r="AB43" s="46">
        <f t="shared" ref="AB43:AE43" si="18">AB15/L15</f>
        <v>0.17248761392134077</v>
      </c>
      <c r="AC43" s="46">
        <f t="shared" si="18"/>
        <v>0.16444566561340843</v>
      </c>
      <c r="AD43" s="47">
        <f t="shared" si="18"/>
        <v>0.21907008233418507</v>
      </c>
      <c r="AE43" s="43">
        <f t="shared" si="18"/>
        <v>0.18555050433989453</v>
      </c>
    </row>
    <row r="44" spans="1:31" x14ac:dyDescent="0.25">
      <c r="A44" s="384"/>
      <c r="B44" s="39">
        <v>1</v>
      </c>
      <c r="C44" s="48">
        <f t="shared" si="15"/>
        <v>0.16058883295672238</v>
      </c>
      <c r="D44" s="28">
        <f t="shared" si="15"/>
        <v>7.9928003344339152E-2</v>
      </c>
      <c r="E44" s="28">
        <f t="shared" si="15"/>
        <v>3.386748182122206E-2</v>
      </c>
      <c r="F44" s="49">
        <f t="shared" si="15"/>
        <v>4.9124121773705377E-2</v>
      </c>
      <c r="G44" s="43">
        <f>SUM(C44:F44)</f>
        <v>0.32350843989598899</v>
      </c>
      <c r="I44" s="384"/>
      <c r="J44" s="39">
        <v>1</v>
      </c>
      <c r="K44" s="48">
        <f t="shared" si="16"/>
        <v>0.18118278903896154</v>
      </c>
      <c r="L44" s="28">
        <f t="shared" si="16"/>
        <v>8.8796854117546661E-2</v>
      </c>
      <c r="M44" s="28">
        <f t="shared" si="16"/>
        <v>3.6859788283322113E-2</v>
      </c>
      <c r="N44" s="49">
        <f t="shared" si="16"/>
        <v>4.2086225477849029E-2</v>
      </c>
      <c r="O44" s="43">
        <f>SUM(K44:N44)</f>
        <v>0.34892565691767929</v>
      </c>
      <c r="Q44" s="384"/>
      <c r="R44" s="39">
        <v>1</v>
      </c>
      <c r="S44" s="48">
        <f t="shared" si="17"/>
        <v>0.1361879239660008</v>
      </c>
      <c r="T44" s="28">
        <f t="shared" si="17"/>
        <v>9.9306051279650809E-2</v>
      </c>
      <c r="U44" s="28">
        <f t="shared" si="17"/>
        <v>4.6159227229523182E-2</v>
      </c>
      <c r="V44" s="49">
        <f t="shared" si="17"/>
        <v>6.9556104265242627E-2</v>
      </c>
      <c r="W44" s="43">
        <f>SUM(S44:V44)</f>
        <v>0.35120930674041739</v>
      </c>
      <c r="Y44" s="384"/>
      <c r="Z44" s="39">
        <v>1</v>
      </c>
      <c r="AA44" s="48">
        <f t="shared" ref="AA44:AA48" si="19">AA16/K16</f>
        <v>-0.20432860311768816</v>
      </c>
      <c r="AB44" s="28">
        <f t="shared" ref="AB44:AB48" si="20">AB16/L16</f>
        <v>0.18383239658865799</v>
      </c>
      <c r="AC44" s="28">
        <f t="shared" ref="AC44:AC48" si="21">AC16/M16</f>
        <v>0.32561613144137413</v>
      </c>
      <c r="AD44" s="49">
        <f t="shared" ref="AD44:AD48" si="22">AD16/N16</f>
        <v>0.74947346388812575</v>
      </c>
      <c r="AE44" s="43">
        <f t="shared" ref="AE44:AE48" si="23">AE16/O16</f>
        <v>6.5479745364435127E-2</v>
      </c>
    </row>
    <row r="45" spans="1:31" x14ac:dyDescent="0.25">
      <c r="A45" s="384"/>
      <c r="B45" s="39">
        <v>2</v>
      </c>
      <c r="C45" s="48">
        <f t="shared" si="15"/>
        <v>3.2859971045827038E-2</v>
      </c>
      <c r="D45" s="28">
        <f t="shared" si="15"/>
        <v>0.16555056976000471</v>
      </c>
      <c r="E45" s="28">
        <f t="shared" si="15"/>
        <v>6.6985538794653188E-2</v>
      </c>
      <c r="F45" s="49">
        <f t="shared" si="15"/>
        <v>0.14383799163883956</v>
      </c>
      <c r="G45" s="43">
        <f>SUM(C45:F45)</f>
        <v>0.40923407123932454</v>
      </c>
      <c r="I45" s="384"/>
      <c r="J45" s="39">
        <v>2</v>
      </c>
      <c r="K45" s="48">
        <f t="shared" si="16"/>
        <v>2.2953270101866801E-2</v>
      </c>
      <c r="L45" s="28">
        <f t="shared" si="16"/>
        <v>0.15769878203037146</v>
      </c>
      <c r="M45" s="28">
        <f t="shared" si="16"/>
        <v>6.6303299074926672E-2</v>
      </c>
      <c r="N45" s="49">
        <f t="shared" si="16"/>
        <v>0.12268143260425829</v>
      </c>
      <c r="O45" s="43">
        <f>SUM(K45:N45)</f>
        <v>0.36963678381142323</v>
      </c>
      <c r="Q45" s="384"/>
      <c r="R45" s="39">
        <v>2</v>
      </c>
      <c r="S45" s="48">
        <f t="shared" si="17"/>
        <v>4.8070609314802032E-2</v>
      </c>
      <c r="T45" s="28">
        <f t="shared" si="17"/>
        <v>0.13344827631043446</v>
      </c>
      <c r="U45" s="28">
        <f t="shared" si="17"/>
        <v>6.603500039657928E-2</v>
      </c>
      <c r="V45" s="49">
        <f t="shared" si="17"/>
        <v>0.11512761401004061</v>
      </c>
      <c r="W45" s="43">
        <f>SUM(S45:V45)</f>
        <v>0.3626815000318564</v>
      </c>
      <c r="Y45" s="384"/>
      <c r="Z45" s="39">
        <v>2</v>
      </c>
      <c r="AA45" s="48">
        <f t="shared" si="19"/>
        <v>1.2169053272888632</v>
      </c>
      <c r="AB45" s="28">
        <f t="shared" si="20"/>
        <v>-0.10422958088222459</v>
      </c>
      <c r="AC45" s="28">
        <f t="shared" si="21"/>
        <v>5.4268264835443142E-2</v>
      </c>
      <c r="AD45" s="49">
        <f t="shared" si="22"/>
        <v>-6.6260829371071863E-3</v>
      </c>
      <c r="AE45" s="43">
        <f t="shared" si="23"/>
        <v>3.8633455816094148E-2</v>
      </c>
    </row>
    <row r="46" spans="1:31" x14ac:dyDescent="0.25">
      <c r="A46" s="384"/>
      <c r="B46" s="39">
        <v>3</v>
      </c>
      <c r="C46" s="48">
        <f t="shared" si="15"/>
        <v>2.2929025434348959E-3</v>
      </c>
      <c r="D46" s="28">
        <f t="shared" si="15"/>
        <v>2.3421701570670993E-2</v>
      </c>
      <c r="E46" s="28">
        <f t="shared" si="15"/>
        <v>4.2933584848414828E-2</v>
      </c>
      <c r="F46" s="49">
        <f t="shared" si="15"/>
        <v>5.6848855283867537E-2</v>
      </c>
      <c r="G46" s="43">
        <f>SUM(C46:F46)</f>
        <v>0.12549704424638825</v>
      </c>
      <c r="I46" s="384"/>
      <c r="J46" s="39">
        <v>3</v>
      </c>
      <c r="K46" s="48">
        <f t="shared" si="16"/>
        <v>3.3374762744361264E-3</v>
      </c>
      <c r="L46" s="28">
        <f t="shared" si="16"/>
        <v>2.5160728221687266E-2</v>
      </c>
      <c r="M46" s="28">
        <f t="shared" si="16"/>
        <v>3.6618919614555073E-2</v>
      </c>
      <c r="N46" s="49">
        <f t="shared" si="16"/>
        <v>5.5265182640388585E-2</v>
      </c>
      <c r="O46" s="43">
        <f>SUM(K46:N46)</f>
        <v>0.12038230675106705</v>
      </c>
      <c r="Q46" s="384"/>
      <c r="R46" s="39">
        <v>3</v>
      </c>
      <c r="S46" s="48">
        <f t="shared" si="17"/>
        <v>1.2734745675660564E-2</v>
      </c>
      <c r="T46" s="28">
        <f t="shared" si="17"/>
        <v>3.3657228079893173E-2</v>
      </c>
      <c r="U46" s="28">
        <f t="shared" si="17"/>
        <v>2.4842766068937181E-2</v>
      </c>
      <c r="V46" s="49">
        <f t="shared" si="17"/>
        <v>4.3418279314034879E-2</v>
      </c>
      <c r="W46" s="43">
        <f>SUM(S46:V46)</f>
        <v>0.1146530191385258</v>
      </c>
      <c r="Y46" s="384"/>
      <c r="Z46" s="39">
        <v>3</v>
      </c>
      <c r="AA46" s="48">
        <f t="shared" si="19"/>
        <v>3.0390960079181788</v>
      </c>
      <c r="AB46" s="28">
        <f t="shared" si="20"/>
        <v>0.41601295390641241</v>
      </c>
      <c r="AC46" s="28">
        <f t="shared" si="21"/>
        <v>-0.28186431121969557</v>
      </c>
      <c r="AD46" s="49">
        <f t="shared" si="22"/>
        <v>-0.1683643735586095</v>
      </c>
      <c r="AE46" s="43">
        <f t="shared" si="23"/>
        <v>8.1726734520741525E-3</v>
      </c>
    </row>
    <row r="47" spans="1:31" x14ac:dyDescent="0.25">
      <c r="A47" s="384"/>
      <c r="B47" s="40">
        <v>4</v>
      </c>
      <c r="C47" s="50">
        <f t="shared" si="15"/>
        <v>1.0125844631322903E-3</v>
      </c>
      <c r="D47" s="51">
        <f t="shared" si="15"/>
        <v>5.8965071277069462E-3</v>
      </c>
      <c r="E47" s="51">
        <f t="shared" si="15"/>
        <v>9.9551579349850643E-3</v>
      </c>
      <c r="F47" s="52">
        <f t="shared" si="15"/>
        <v>2.7271314255275052E-2</v>
      </c>
      <c r="G47" s="43">
        <f>SUM(C47:F47)</f>
        <v>4.4135563781099355E-2</v>
      </c>
      <c r="I47" s="384"/>
      <c r="J47" s="40">
        <v>4</v>
      </c>
      <c r="K47" s="50">
        <f t="shared" si="16"/>
        <v>1.4204369495290673E-3</v>
      </c>
      <c r="L47" s="51">
        <f t="shared" si="16"/>
        <v>6.100171085574444E-3</v>
      </c>
      <c r="M47" s="51">
        <f t="shared" si="16"/>
        <v>8.0986928401444117E-3</v>
      </c>
      <c r="N47" s="52">
        <f t="shared" si="16"/>
        <v>3.1960106642882603E-2</v>
      </c>
      <c r="O47" s="43">
        <f>SUM(K47:N47)</f>
        <v>4.7579407518130529E-2</v>
      </c>
      <c r="Q47" s="384"/>
      <c r="R47" s="40">
        <v>4</v>
      </c>
      <c r="S47" s="50">
        <f t="shared" si="17"/>
        <v>4.4611917922392687E-3</v>
      </c>
      <c r="T47" s="51">
        <f t="shared" si="17"/>
        <v>1.1964991801861192E-2</v>
      </c>
      <c r="U47" s="51">
        <f t="shared" si="17"/>
        <v>8.4620915721052639E-3</v>
      </c>
      <c r="V47" s="52">
        <f t="shared" si="17"/>
        <v>1.9477893630936823E-2</v>
      </c>
      <c r="W47" s="43">
        <f>SUM(S47:V47)</f>
        <v>4.4366168797142544E-2</v>
      </c>
      <c r="Y47" s="384"/>
      <c r="Z47" s="40">
        <v>4</v>
      </c>
      <c r="AA47" s="50">
        <f t="shared" si="19"/>
        <v>2.3246124031007751</v>
      </c>
      <c r="AB47" s="51">
        <f t="shared" si="20"/>
        <v>1.0762635379061372</v>
      </c>
      <c r="AC47" s="51">
        <f t="shared" si="21"/>
        <v>0.10605030591434399</v>
      </c>
      <c r="AD47" s="52">
        <f t="shared" si="22"/>
        <v>-0.35487205105899172</v>
      </c>
      <c r="AE47" s="43">
        <f t="shared" si="23"/>
        <v>-1.2936745332415341E-2</v>
      </c>
    </row>
    <row r="48" spans="1:31" x14ac:dyDescent="0.25">
      <c r="A48" s="36"/>
      <c r="B48" s="37"/>
      <c r="C48" s="44">
        <f>SUM(C43:C47)</f>
        <v>0.2580510835681239</v>
      </c>
      <c r="D48" s="44">
        <f>SUM(D43:D47)</f>
        <v>0.29242000872973278</v>
      </c>
      <c r="E48" s="44">
        <f>SUM(E43:E47)</f>
        <v>0.16118486412610292</v>
      </c>
      <c r="F48" s="44">
        <f>SUM(F43:F47)</f>
        <v>0.28834404357604027</v>
      </c>
      <c r="G48" s="53">
        <f>SUM(G43:G47)</f>
        <v>1</v>
      </c>
      <c r="I48" s="36"/>
      <c r="J48" s="37"/>
      <c r="K48" s="44">
        <f>SUM(K43:K47)</f>
        <v>0.27724369164956503</v>
      </c>
      <c r="L48" s="44">
        <f>SUM(L43:L47)</f>
        <v>0.30025917468759328</v>
      </c>
      <c r="M48" s="44">
        <f>SUM(M43:M47)</f>
        <v>0.15789946004126426</v>
      </c>
      <c r="N48" s="44">
        <f>SUM(N43:N47)</f>
        <v>0.26459767362157743</v>
      </c>
      <c r="O48" s="53">
        <f>SUM(O43:O47)</f>
        <v>1</v>
      </c>
      <c r="Q48" s="36"/>
      <c r="R48" s="37"/>
      <c r="S48" s="44">
        <f>SUM(S43:S47)</f>
        <v>0.27808268872947706</v>
      </c>
      <c r="T48" s="44">
        <f>SUM(T43:T47)</f>
        <v>0.30330122991586017</v>
      </c>
      <c r="U48" s="44">
        <f>SUM(U43:U47)</f>
        <v>0.15652008836566431</v>
      </c>
      <c r="V48" s="44">
        <f>SUM(V43:V47)</f>
        <v>0.26209599298899849</v>
      </c>
      <c r="W48" s="53">
        <f>SUM(W43:W47)</f>
        <v>0.99999999999999989</v>
      </c>
      <c r="Y48" s="36"/>
      <c r="Z48" s="37"/>
      <c r="AA48" s="44">
        <f t="shared" si="19"/>
        <v>6.1755130126030268E-2</v>
      </c>
      <c r="AB48" s="44">
        <f t="shared" si="20"/>
        <v>6.9276376648296986E-2</v>
      </c>
      <c r="AC48" s="44">
        <f t="shared" si="21"/>
        <v>4.9304479261644461E-2</v>
      </c>
      <c r="AD48" s="44">
        <f t="shared" si="22"/>
        <v>4.8543487307532253E-2</v>
      </c>
      <c r="AE48" s="53">
        <f t="shared" si="23"/>
        <v>5.8551732396285396E-2</v>
      </c>
    </row>
    <row r="50" spans="1:31" x14ac:dyDescent="0.25">
      <c r="A50" s="30"/>
      <c r="B50" s="31"/>
      <c r="C50" s="385" t="s">
        <v>22</v>
      </c>
      <c r="D50" s="385"/>
      <c r="E50" s="385"/>
      <c r="F50" s="385"/>
      <c r="G50" s="32"/>
      <c r="H50" s="34"/>
      <c r="I50" s="30"/>
      <c r="J50" s="31"/>
      <c r="K50" s="385" t="s">
        <v>513</v>
      </c>
      <c r="L50" s="385"/>
      <c r="M50" s="385"/>
      <c r="N50" s="385"/>
      <c r="O50" s="32"/>
      <c r="Q50" s="30"/>
      <c r="R50" s="31"/>
      <c r="S50" s="385" t="s">
        <v>22</v>
      </c>
      <c r="T50" s="385"/>
      <c r="U50" s="385"/>
      <c r="V50" s="385"/>
      <c r="W50" s="32"/>
      <c r="Y50" s="30"/>
      <c r="Z50" s="31"/>
      <c r="AA50" s="385" t="s">
        <v>22</v>
      </c>
      <c r="AB50" s="385"/>
      <c r="AC50" s="385"/>
      <c r="AD50" s="385"/>
      <c r="AE50" s="32"/>
    </row>
    <row r="51" spans="1:31" x14ac:dyDescent="0.25">
      <c r="A51" s="33"/>
      <c r="B51" s="38"/>
      <c r="C51" s="41">
        <v>0</v>
      </c>
      <c r="D51" s="41">
        <v>1</v>
      </c>
      <c r="E51" s="41">
        <v>2</v>
      </c>
      <c r="F51" s="42" t="s">
        <v>23</v>
      </c>
      <c r="G51" s="35"/>
      <c r="H51" s="34"/>
      <c r="I51" s="33"/>
      <c r="J51" s="38"/>
      <c r="K51" s="41">
        <v>0</v>
      </c>
      <c r="L51" s="41">
        <v>1</v>
      </c>
      <c r="M51" s="41">
        <v>2</v>
      </c>
      <c r="N51" s="42" t="s">
        <v>23</v>
      </c>
      <c r="O51" s="35"/>
      <c r="Q51" s="33"/>
      <c r="R51" s="38"/>
      <c r="S51" s="41">
        <v>0</v>
      </c>
      <c r="T51" s="41">
        <v>1</v>
      </c>
      <c r="U51" s="41">
        <v>2</v>
      </c>
      <c r="V51" s="42" t="s">
        <v>23</v>
      </c>
      <c r="W51" s="35"/>
      <c r="Y51" s="33"/>
      <c r="Z51" s="38"/>
      <c r="AA51" s="41">
        <v>0</v>
      </c>
      <c r="AB51" s="41">
        <v>1</v>
      </c>
      <c r="AC51" s="41">
        <v>2</v>
      </c>
      <c r="AD51" s="42" t="s">
        <v>23</v>
      </c>
      <c r="AE51" s="35"/>
    </row>
    <row r="52" spans="1:31" x14ac:dyDescent="0.25">
      <c r="A52" s="384" t="s">
        <v>15</v>
      </c>
      <c r="B52" s="39">
        <v>0</v>
      </c>
      <c r="C52" s="45">
        <f t="shared" ref="C52:F56" si="24">C24/$G$29</f>
        <v>4.7236696446835452E-2</v>
      </c>
      <c r="D52" s="46">
        <f t="shared" si="24"/>
        <v>4.0188482462797909E-2</v>
      </c>
      <c r="E52" s="46">
        <f t="shared" si="24"/>
        <v>9.8189651023541276E-3</v>
      </c>
      <c r="F52" s="47">
        <f t="shared" si="24"/>
        <v>3.8073682521134257E-4</v>
      </c>
      <c r="G52" s="43">
        <f>SUM(C52:F52)</f>
        <v>9.7624880837198821E-2</v>
      </c>
      <c r="H52" s="34"/>
      <c r="I52" s="384" t="s">
        <v>15</v>
      </c>
      <c r="J52" s="39">
        <v>0</v>
      </c>
      <c r="K52" s="45">
        <f t="shared" ref="K52:N56" si="25">K24/$O$29</f>
        <v>6.4191235226164836E-2</v>
      </c>
      <c r="L52" s="46">
        <f t="shared" si="25"/>
        <v>4.214328188252156E-2</v>
      </c>
      <c r="M52" s="46">
        <f t="shared" si="25"/>
        <v>9.6460654582705453E-3</v>
      </c>
      <c r="N52" s="47">
        <f t="shared" si="25"/>
        <v>1.6382703470319334E-3</v>
      </c>
      <c r="O52" s="43">
        <f>SUM(K52:N52)</f>
        <v>0.11761885291398887</v>
      </c>
      <c r="Q52" s="384" t="s">
        <v>15</v>
      </c>
      <c r="R52" s="39">
        <v>0</v>
      </c>
      <c r="S52" s="45">
        <f t="shared" ref="S52:V56" si="26">S24/$W$29</f>
        <v>7.2360764916906892E-2</v>
      </c>
      <c r="T52" s="46">
        <f t="shared" si="26"/>
        <v>4.2012698338397846E-2</v>
      </c>
      <c r="U52" s="46">
        <f t="shared" si="26"/>
        <v>1.1117222332744316E-2</v>
      </c>
      <c r="V52" s="47">
        <f t="shared" si="26"/>
        <v>1.5993197040088314E-3</v>
      </c>
      <c r="W52" s="43">
        <f>SUM(S52:V52)</f>
        <v>0.12709000529205788</v>
      </c>
      <c r="Y52" s="384" t="s">
        <v>15</v>
      </c>
      <c r="Z52" s="39">
        <v>0</v>
      </c>
      <c r="AA52" s="45">
        <f>AA24/K24</f>
        <v>0.19113460756405043</v>
      </c>
      <c r="AB52" s="46">
        <f t="shared" ref="AB52:AE52" si="27">AB24/L24</f>
        <v>5.3381409420478851E-2</v>
      </c>
      <c r="AC52" s="46">
        <f t="shared" si="27"/>
        <v>0.21780993618960803</v>
      </c>
      <c r="AD52" s="47">
        <f t="shared" si="27"/>
        <v>3.1533042603153302E-2</v>
      </c>
      <c r="AE52" s="43">
        <f t="shared" si="27"/>
        <v>0.14174175717633206</v>
      </c>
    </row>
    <row r="53" spans="1:31" x14ac:dyDescent="0.25">
      <c r="A53" s="384"/>
      <c r="B53" s="39">
        <v>1</v>
      </c>
      <c r="C53" s="48">
        <f t="shared" si="24"/>
        <v>0.10211712855794094</v>
      </c>
      <c r="D53" s="28">
        <f t="shared" si="24"/>
        <v>0.16066624724799308</v>
      </c>
      <c r="E53" s="28">
        <f t="shared" si="24"/>
        <v>5.8093694927064107E-2</v>
      </c>
      <c r="F53" s="49">
        <f t="shared" si="24"/>
        <v>2.6313691629909113E-3</v>
      </c>
      <c r="G53" s="43">
        <f>SUM(C53:F53)</f>
        <v>0.32350843989598904</v>
      </c>
      <c r="H53" s="34"/>
      <c r="I53" s="384"/>
      <c r="J53" s="39">
        <v>1</v>
      </c>
      <c r="K53" s="48">
        <f t="shared" si="25"/>
        <v>0.11533538652958174</v>
      </c>
      <c r="L53" s="28">
        <f t="shared" si="25"/>
        <v>0.1894035069207442</v>
      </c>
      <c r="M53" s="28">
        <f t="shared" si="25"/>
        <v>4.4596840407957347E-2</v>
      </c>
      <c r="N53" s="49">
        <f t="shared" si="25"/>
        <v>4.6249124808611991E-3</v>
      </c>
      <c r="O53" s="43">
        <f>SUM(K53:N53)</f>
        <v>0.35396064633914454</v>
      </c>
      <c r="Q53" s="384"/>
      <c r="R53" s="39">
        <v>1</v>
      </c>
      <c r="S53" s="48">
        <f t="shared" si="26"/>
        <v>9.8775545231491776E-2</v>
      </c>
      <c r="T53" s="28">
        <f t="shared" si="26"/>
        <v>0.1763672558144373</v>
      </c>
      <c r="U53" s="28">
        <f t="shared" si="26"/>
        <v>6.1878069426078271E-2</v>
      </c>
      <c r="V53" s="49">
        <f t="shared" si="26"/>
        <v>1.4188436268410055E-2</v>
      </c>
      <c r="W53" s="43">
        <f>SUM(S53:V53)</f>
        <v>0.35120930674041739</v>
      </c>
      <c r="Y53" s="384"/>
      <c r="Z53" s="39">
        <v>1</v>
      </c>
      <c r="AA53" s="48">
        <f t="shared" ref="AA53:AA57" si="28">AA25/K25</f>
        <v>-9.5058954706489188E-2</v>
      </c>
      <c r="AB53" s="28">
        <f t="shared" ref="AB53:AB57" si="29">AB25/L25</f>
        <v>-1.6071889716485946E-2</v>
      </c>
      <c r="AC53" s="28">
        <f t="shared" ref="AC53:AC57" si="30">AC25/M25</f>
        <v>0.46610843083975673</v>
      </c>
      <c r="AD53" s="49">
        <f t="shared" ref="AD53:AD57" si="31">AD25/N25</f>
        <v>2.2416374546966908</v>
      </c>
      <c r="AE53" s="43">
        <f t="shared" ref="AE53:AE57" si="32">AE25/O25</f>
        <v>4.8442127572032437E-2</v>
      </c>
    </row>
    <row r="54" spans="1:31" x14ac:dyDescent="0.25">
      <c r="A54" s="384"/>
      <c r="B54" s="39">
        <v>2</v>
      </c>
      <c r="C54" s="48">
        <f t="shared" si="24"/>
        <v>3.3191274108628155E-2</v>
      </c>
      <c r="D54" s="28">
        <f t="shared" si="24"/>
        <v>0.13663735395204826</v>
      </c>
      <c r="E54" s="28">
        <f t="shared" si="24"/>
        <v>0.22828987478093796</v>
      </c>
      <c r="F54" s="49">
        <f t="shared" si="24"/>
        <v>1.1115568397710218E-2</v>
      </c>
      <c r="G54" s="43">
        <f>SUM(C54:F54)</f>
        <v>0.40923407123932459</v>
      </c>
      <c r="H54" s="34"/>
      <c r="I54" s="384"/>
      <c r="J54" s="39">
        <v>2</v>
      </c>
      <c r="K54" s="48">
        <f t="shared" si="25"/>
        <v>5.1149647010719924E-2</v>
      </c>
      <c r="L54" s="28">
        <f t="shared" si="25"/>
        <v>0.1317090220828511</v>
      </c>
      <c r="M54" s="28">
        <f t="shared" si="25"/>
        <v>0.16740583929892361</v>
      </c>
      <c r="N54" s="49">
        <f t="shared" si="25"/>
        <v>1.5268723599996044E-2</v>
      </c>
      <c r="O54" s="43">
        <f>SUM(K54:N54)</f>
        <v>0.36553323199249066</v>
      </c>
      <c r="Q54" s="384"/>
      <c r="R54" s="39">
        <v>2</v>
      </c>
      <c r="S54" s="48">
        <f t="shared" si="26"/>
        <v>5.6872068726538438E-2</v>
      </c>
      <c r="T54" s="28">
        <f t="shared" si="26"/>
        <v>0.11470893031517</v>
      </c>
      <c r="U54" s="28">
        <f t="shared" si="26"/>
        <v>0.16584165174618407</v>
      </c>
      <c r="V54" s="49">
        <f t="shared" si="26"/>
        <v>2.525884924396387E-2</v>
      </c>
      <c r="W54" s="43">
        <f>SUM(S54:V54)</f>
        <v>0.36268150003185634</v>
      </c>
      <c r="Y54" s="384"/>
      <c r="Z54" s="39">
        <v>2</v>
      </c>
      <c r="AA54" s="48">
        <f t="shared" si="28"/>
        <v>0.17486999312360324</v>
      </c>
      <c r="AB54" s="28">
        <f t="shared" si="29"/>
        <v>-7.9730282318971196E-2</v>
      </c>
      <c r="AC54" s="28">
        <f t="shared" si="30"/>
        <v>4.6782464249602772E-2</v>
      </c>
      <c r="AD54" s="49">
        <f t="shared" si="31"/>
        <v>0.74801137386171401</v>
      </c>
      <c r="AE54" s="43">
        <f t="shared" si="32"/>
        <v>4.8411952640481114E-2</v>
      </c>
    </row>
    <row r="55" spans="1:31" x14ac:dyDescent="0.25">
      <c r="A55" s="384"/>
      <c r="B55" s="39">
        <v>3</v>
      </c>
      <c r="C55" s="48">
        <f t="shared" si="24"/>
        <v>7.044807294504617E-3</v>
      </c>
      <c r="D55" s="28">
        <f t="shared" si="24"/>
        <v>2.2977871173220425E-2</v>
      </c>
      <c r="E55" s="28">
        <f t="shared" si="24"/>
        <v>6.2436590767848285E-2</v>
      </c>
      <c r="F55" s="49">
        <f t="shared" si="24"/>
        <v>3.3037775010814965E-2</v>
      </c>
      <c r="G55" s="43">
        <f>SUM(C55:F55)</f>
        <v>0.1254970442463883</v>
      </c>
      <c r="H55" s="34"/>
      <c r="I55" s="384"/>
      <c r="J55" s="39">
        <v>3</v>
      </c>
      <c r="K55" s="48">
        <f t="shared" si="25"/>
        <v>8.1971222278278445E-3</v>
      </c>
      <c r="L55" s="28">
        <f t="shared" si="25"/>
        <v>2.9626808499880742E-2</v>
      </c>
      <c r="M55" s="28">
        <f t="shared" si="25"/>
        <v>5.1430477653904537E-2</v>
      </c>
      <c r="N55" s="49">
        <f t="shared" si="25"/>
        <v>2.7984141587006389E-2</v>
      </c>
      <c r="O55" s="43">
        <f>SUM(K55:N55)</f>
        <v>0.11723854996861952</v>
      </c>
      <c r="Q55" s="384"/>
      <c r="R55" s="39">
        <v>3</v>
      </c>
      <c r="S55" s="48">
        <f t="shared" si="26"/>
        <v>1.6150528490645279E-2</v>
      </c>
      <c r="T55" s="28">
        <f t="shared" si="26"/>
        <v>3.260661806295078E-2</v>
      </c>
      <c r="U55" s="28">
        <f t="shared" si="26"/>
        <v>4.3069809654950025E-2</v>
      </c>
      <c r="V55" s="49">
        <f t="shared" si="26"/>
        <v>2.2826062929979702E-2</v>
      </c>
      <c r="W55" s="43">
        <f>SUM(S55:V55)</f>
        <v>0.11465301913852578</v>
      </c>
      <c r="Y55" s="384"/>
      <c r="Z55" s="39">
        <v>3</v>
      </c>
      <c r="AA55" s="48">
        <f t="shared" si="28"/>
        <v>1.0818946733264054</v>
      </c>
      <c r="AB55" s="28">
        <f t="shared" si="29"/>
        <v>0.16293197796286335</v>
      </c>
      <c r="AC55" s="28">
        <f t="shared" si="30"/>
        <v>-0.11511706185952576</v>
      </c>
      <c r="AD55" s="49">
        <f t="shared" si="31"/>
        <v>-0.13810879811468971</v>
      </c>
      <c r="AE55" s="43">
        <f t="shared" si="32"/>
        <v>3.3352474481724112E-2</v>
      </c>
    </row>
    <row r="56" spans="1:31" x14ac:dyDescent="0.25">
      <c r="A56" s="384"/>
      <c r="B56" s="40">
        <v>4</v>
      </c>
      <c r="C56" s="50">
        <f t="shared" si="24"/>
        <v>1.5260372928545692E-3</v>
      </c>
      <c r="D56" s="51">
        <f t="shared" si="24"/>
        <v>7.087631677437296E-3</v>
      </c>
      <c r="E56" s="51">
        <f t="shared" si="24"/>
        <v>1.6211191270299744E-2</v>
      </c>
      <c r="F56" s="52">
        <f t="shared" si="24"/>
        <v>1.9310703540507755E-2</v>
      </c>
      <c r="G56" s="43">
        <f>SUM(C56:F56)</f>
        <v>4.4135563781099368E-2</v>
      </c>
      <c r="H56" s="34"/>
      <c r="I56" s="384"/>
      <c r="J56" s="40">
        <v>4</v>
      </c>
      <c r="K56" s="50">
        <f t="shared" si="25"/>
        <v>2.3150667013995367E-3</v>
      </c>
      <c r="L56" s="51">
        <f t="shared" si="25"/>
        <v>7.5329660002571991E-3</v>
      </c>
      <c r="M56" s="51">
        <f t="shared" si="25"/>
        <v>1.4393257426624064E-2</v>
      </c>
      <c r="N56" s="52">
        <f t="shared" si="25"/>
        <v>2.1407428657475646E-2</v>
      </c>
      <c r="O56" s="43">
        <f>SUM(K56:N56)</f>
        <v>4.5648718785756451E-2</v>
      </c>
      <c r="Q56" s="384"/>
      <c r="R56" s="40">
        <v>4</v>
      </c>
      <c r="S56" s="50">
        <f t="shared" si="26"/>
        <v>5.4792953111326955E-3</v>
      </c>
      <c r="T56" s="51">
        <f t="shared" si="26"/>
        <v>1.1866172047792353E-2</v>
      </c>
      <c r="U56" s="51">
        <f t="shared" si="26"/>
        <v>1.6339066179329249E-2</v>
      </c>
      <c r="V56" s="52">
        <f t="shared" si="26"/>
        <v>1.0681635258888251E-2</v>
      </c>
      <c r="W56" s="43">
        <f>SUM(S56:V56)</f>
        <v>4.4366168797142551E-2</v>
      </c>
      <c r="Y56" s="384"/>
      <c r="Z56" s="40">
        <v>4</v>
      </c>
      <c r="AA56" s="50">
        <f t="shared" si="28"/>
        <v>1.5008902077151336</v>
      </c>
      <c r="AB56" s="51">
        <f t="shared" si="29"/>
        <v>0.66447800393959289</v>
      </c>
      <c r="AC56" s="51">
        <f t="shared" si="30"/>
        <v>0.19950362733867888</v>
      </c>
      <c r="AD56" s="52">
        <f t="shared" si="31"/>
        <v>-0.47276204656894205</v>
      </c>
      <c r="AE56" s="43">
        <f t="shared" si="32"/>
        <v>2.6967644845748682E-2</v>
      </c>
    </row>
    <row r="57" spans="1:31" x14ac:dyDescent="0.25">
      <c r="A57" s="36"/>
      <c r="B57" s="37"/>
      <c r="C57" s="44">
        <f>SUM(C52:C56)</f>
        <v>0.19111594370076376</v>
      </c>
      <c r="D57" s="44">
        <f>SUM(D52:D56)</f>
        <v>0.36755758651349696</v>
      </c>
      <c r="E57" s="44">
        <f>SUM(E52:E56)</f>
        <v>0.37485031684850423</v>
      </c>
      <c r="F57" s="44">
        <f>SUM(F52:F56)</f>
        <v>6.6476152937235189E-2</v>
      </c>
      <c r="G57" s="53">
        <f>SUM(G52:G56)</f>
        <v>1.0000000000000002</v>
      </c>
      <c r="H57" s="34"/>
      <c r="I57" s="36"/>
      <c r="J57" s="37"/>
      <c r="K57" s="44">
        <f>SUM(K52:K56)</f>
        <v>0.24118845769569386</v>
      </c>
      <c r="L57" s="44">
        <f>SUM(L52:L56)</f>
        <v>0.40041558538625482</v>
      </c>
      <c r="M57" s="44">
        <f>SUM(M52:M56)</f>
        <v>0.28747248024568006</v>
      </c>
      <c r="N57" s="44">
        <f>SUM(N52:N56)</f>
        <v>7.0923476672371213E-2</v>
      </c>
      <c r="O57" s="53">
        <f>SUM(O52:O56)</f>
        <v>1</v>
      </c>
      <c r="Q57" s="36"/>
      <c r="R57" s="37"/>
      <c r="S57" s="44">
        <f>SUM(S52:S56)</f>
        <v>0.24963820267671508</v>
      </c>
      <c r="T57" s="44">
        <f>SUM(T52:T56)</f>
        <v>0.37756167457874829</v>
      </c>
      <c r="U57" s="44">
        <f>SUM(U52:U56)</f>
        <v>0.29824581933928596</v>
      </c>
      <c r="V57" s="44">
        <f>SUM(V52:V56)</f>
        <v>7.455430340525071E-2</v>
      </c>
      <c r="W57" s="53">
        <f>SUM(W52:W56)</f>
        <v>0.99999999999999989</v>
      </c>
      <c r="Y57" s="36"/>
      <c r="Z57" s="37"/>
      <c r="AA57" s="44">
        <f t="shared" si="28"/>
        <v>9.3674165521672847E-2</v>
      </c>
      <c r="AB57" s="44">
        <f t="shared" si="29"/>
        <v>-3.6535972560963058E-3</v>
      </c>
      <c r="AC57" s="44">
        <f t="shared" si="30"/>
        <v>9.6254818762898223E-2</v>
      </c>
      <c r="AD57" s="44">
        <f t="shared" si="31"/>
        <v>0.11074950117200365</v>
      </c>
      <c r="AE57" s="53">
        <f t="shared" si="32"/>
        <v>5.6655521372256129E-2</v>
      </c>
    </row>
    <row r="59" spans="1:31" ht="27" customHeight="1" thickBot="1" x14ac:dyDescent="0.3">
      <c r="T59" s="310" t="s">
        <v>574</v>
      </c>
      <c r="U59" s="310" t="s">
        <v>567</v>
      </c>
      <c r="V59" s="310" t="s">
        <v>568</v>
      </c>
    </row>
    <row r="60" spans="1:31" ht="15.75" thickTop="1" x14ac:dyDescent="0.25">
      <c r="R60" t="s">
        <v>563</v>
      </c>
      <c r="T60">
        <f>LN(L52/T52)</f>
        <v>3.1033718241809467E-3</v>
      </c>
      <c r="U60" s="311">
        <v>0.61223130597672448</v>
      </c>
      <c r="V60">
        <f>T60*$P$61+U60</f>
        <v>0.61378299188881491</v>
      </c>
    </row>
    <row r="61" spans="1:31" x14ac:dyDescent="0.25">
      <c r="N61" s="388" t="s">
        <v>575</v>
      </c>
      <c r="O61" s="388"/>
      <c r="P61">
        <v>0.5</v>
      </c>
      <c r="R61" t="s">
        <v>564</v>
      </c>
      <c r="T61">
        <f>LN(M52/U52)</f>
        <v>-0.14194535972173011</v>
      </c>
      <c r="U61" s="311">
        <v>1.0067860988630397</v>
      </c>
      <c r="V61">
        <f>T61*$P$61+U61</f>
        <v>0.93581341900217463</v>
      </c>
    </row>
    <row r="62" spans="1:31" x14ac:dyDescent="0.25">
      <c r="R62" t="s">
        <v>565</v>
      </c>
      <c r="T62">
        <f>LN(N52/V52)</f>
        <v>2.4062665005672501E-2</v>
      </c>
      <c r="U62" s="311">
        <v>1.0704193534685083</v>
      </c>
      <c r="V62">
        <f>T62*$P$61+U62</f>
        <v>1.0824506859713445</v>
      </c>
    </row>
  </sheetData>
  <mergeCells count="53">
    <mergeCell ref="C50:F50"/>
    <mergeCell ref="K50:N50"/>
    <mergeCell ref="A52:A56"/>
    <mergeCell ref="I52:I56"/>
    <mergeCell ref="A34:A38"/>
    <mergeCell ref="I34:I38"/>
    <mergeCell ref="C41:F41"/>
    <mergeCell ref="K41:N41"/>
    <mergeCell ref="A43:A47"/>
    <mergeCell ref="I43:I47"/>
    <mergeCell ref="A2:G2"/>
    <mergeCell ref="I2:O2"/>
    <mergeCell ref="C22:F22"/>
    <mergeCell ref="K22:N22"/>
    <mergeCell ref="C32:F32"/>
    <mergeCell ref="K32:N32"/>
    <mergeCell ref="K4:N4"/>
    <mergeCell ref="I6:I10"/>
    <mergeCell ref="K13:N13"/>
    <mergeCell ref="I15:I19"/>
    <mergeCell ref="I24:I28"/>
    <mergeCell ref="A6:A10"/>
    <mergeCell ref="C4:F4"/>
    <mergeCell ref="A15:A19"/>
    <mergeCell ref="A24:A28"/>
    <mergeCell ref="C13:F13"/>
    <mergeCell ref="Q2:W2"/>
    <mergeCell ref="S4:V4"/>
    <mergeCell ref="Q6:Q10"/>
    <mergeCell ref="S13:V13"/>
    <mergeCell ref="Q15:Q19"/>
    <mergeCell ref="N61:O61"/>
    <mergeCell ref="Q43:Q47"/>
    <mergeCell ref="S50:V50"/>
    <mergeCell ref="Q52:Q56"/>
    <mergeCell ref="S22:V22"/>
    <mergeCell ref="Q24:Q28"/>
    <mergeCell ref="S32:V32"/>
    <mergeCell ref="Q34:Q38"/>
    <mergeCell ref="S41:V41"/>
    <mergeCell ref="Y2:AE2"/>
    <mergeCell ref="AA4:AD4"/>
    <mergeCell ref="Y6:Y10"/>
    <mergeCell ref="AA13:AD13"/>
    <mergeCell ref="Y15:Y19"/>
    <mergeCell ref="Y43:Y47"/>
    <mergeCell ref="AA50:AD50"/>
    <mergeCell ref="Y52:Y56"/>
    <mergeCell ref="AA22:AD22"/>
    <mergeCell ref="Y24:Y28"/>
    <mergeCell ref="AA32:AD32"/>
    <mergeCell ref="Y34:Y38"/>
    <mergeCell ref="AA41:AD41"/>
  </mergeCells>
  <hyperlinks>
    <hyperlink ref="A1" location="Index!A1" display="Index"/>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L19"/>
  <sheetViews>
    <sheetView workbookViewId="0">
      <selection activeCell="H27" sqref="H27"/>
    </sheetView>
  </sheetViews>
  <sheetFormatPr defaultRowHeight="15" x14ac:dyDescent="0.25"/>
  <sheetData>
    <row r="1" spans="1:12" x14ac:dyDescent="0.25">
      <c r="A1" t="s">
        <v>7</v>
      </c>
      <c r="H1" t="s">
        <v>3</v>
      </c>
    </row>
    <row r="2" spans="1:12" x14ac:dyDescent="0.25">
      <c r="A2">
        <v>1</v>
      </c>
      <c r="B2">
        <v>2</v>
      </c>
      <c r="C2">
        <v>3</v>
      </c>
      <c r="D2">
        <v>4</v>
      </c>
      <c r="E2">
        <v>9</v>
      </c>
      <c r="H2">
        <v>1</v>
      </c>
      <c r="I2">
        <v>2</v>
      </c>
      <c r="J2">
        <v>3</v>
      </c>
      <c r="K2">
        <v>4</v>
      </c>
    </row>
    <row r="3" spans="1:12" x14ac:dyDescent="0.25">
      <c r="A3">
        <v>0</v>
      </c>
      <c r="B3">
        <v>250583.48702</v>
      </c>
      <c r="C3">
        <v>61355.290110000002</v>
      </c>
      <c r="D3">
        <v>14578.58186</v>
      </c>
      <c r="E3">
        <v>4290.4367199999997</v>
      </c>
      <c r="F3">
        <v>29189.46444</v>
      </c>
      <c r="H3">
        <v>0</v>
      </c>
      <c r="I3">
        <v>78914</v>
      </c>
      <c r="J3">
        <v>12233</v>
      </c>
      <c r="K3">
        <v>5046</v>
      </c>
      <c r="L3">
        <v>1549</v>
      </c>
    </row>
    <row r="4" spans="1:12" x14ac:dyDescent="0.25">
      <c r="A4">
        <v>1</v>
      </c>
      <c r="B4">
        <v>517545.50864999997</v>
      </c>
      <c r="C4">
        <v>328528.09301000001</v>
      </c>
      <c r="D4">
        <v>175257.63123</v>
      </c>
      <c r="E4">
        <v>71477.79681</v>
      </c>
      <c r="F4">
        <v>100146.60824</v>
      </c>
      <c r="H4">
        <v>1</v>
      </c>
      <c r="I4">
        <v>123897</v>
      </c>
      <c r="J4">
        <v>74270</v>
      </c>
      <c r="K4">
        <v>43545</v>
      </c>
      <c r="L4">
        <v>28395</v>
      </c>
    </row>
    <row r="5" spans="1:12" x14ac:dyDescent="0.25">
      <c r="A5">
        <v>2</v>
      </c>
      <c r="B5">
        <v>239024.45939999999</v>
      </c>
      <c r="C5">
        <v>328190.98480999999</v>
      </c>
      <c r="D5">
        <v>490291.05027000001</v>
      </c>
      <c r="E5">
        <v>327793.34304000001</v>
      </c>
      <c r="F5">
        <v>123773.90621</v>
      </c>
      <c r="H5">
        <v>2</v>
      </c>
      <c r="I5">
        <v>69751</v>
      </c>
      <c r="J5">
        <v>75727</v>
      </c>
      <c r="K5">
        <v>78012</v>
      </c>
      <c r="L5">
        <v>55440</v>
      </c>
    </row>
    <row r="6" spans="1:12" x14ac:dyDescent="0.25">
      <c r="A6">
        <v>3</v>
      </c>
      <c r="B6">
        <v>86106.057260000001</v>
      </c>
      <c r="C6">
        <v>80596.582320000001</v>
      </c>
      <c r="D6">
        <v>126819.45742000001</v>
      </c>
      <c r="E6">
        <v>139716.94760000001</v>
      </c>
      <c r="F6">
        <v>29538.39183</v>
      </c>
      <c r="H6">
        <v>3</v>
      </c>
      <c r="I6">
        <v>19015</v>
      </c>
      <c r="J6">
        <v>21941</v>
      </c>
      <c r="K6">
        <v>26243</v>
      </c>
      <c r="L6">
        <v>20978</v>
      </c>
    </row>
    <row r="7" spans="1:12" x14ac:dyDescent="0.25">
      <c r="A7">
        <v>4</v>
      </c>
      <c r="B7">
        <v>13142.48227</v>
      </c>
      <c r="C7">
        <v>29927.74768</v>
      </c>
      <c r="D7">
        <v>52823.023390000002</v>
      </c>
      <c r="E7">
        <v>54407.62513</v>
      </c>
      <c r="F7">
        <v>12451.504940000001</v>
      </c>
      <c r="H7">
        <v>4</v>
      </c>
      <c r="I7">
        <v>6338</v>
      </c>
      <c r="J7">
        <v>7613</v>
      </c>
      <c r="K7">
        <v>10569</v>
      </c>
      <c r="L7">
        <v>9601</v>
      </c>
    </row>
    <row r="8" spans="1:12" x14ac:dyDescent="0.25">
      <c r="A8">
        <v>1</v>
      </c>
      <c r="B8">
        <v>2</v>
      </c>
      <c r="C8">
        <v>3</v>
      </c>
      <c r="D8">
        <v>4</v>
      </c>
      <c r="E8">
        <v>5</v>
      </c>
      <c r="H8">
        <v>1</v>
      </c>
      <c r="I8">
        <v>2</v>
      </c>
      <c r="J8">
        <v>3</v>
      </c>
      <c r="K8">
        <v>4</v>
      </c>
      <c r="L8">
        <v>5</v>
      </c>
    </row>
    <row r="9" spans="1:12" x14ac:dyDescent="0.25">
      <c r="A9">
        <v>0</v>
      </c>
      <c r="B9">
        <v>226035.38347999999</v>
      </c>
      <c r="C9">
        <v>64986.644330000003</v>
      </c>
      <c r="D9">
        <v>27446.854179999998</v>
      </c>
      <c r="E9">
        <v>19084.656709999999</v>
      </c>
      <c r="F9">
        <v>22443.721450000001</v>
      </c>
      <c r="H9">
        <v>0</v>
      </c>
      <c r="I9">
        <v>58933</v>
      </c>
      <c r="J9">
        <v>19169</v>
      </c>
      <c r="K9">
        <v>8476</v>
      </c>
      <c r="L9">
        <v>11164</v>
      </c>
    </row>
    <row r="10" spans="1:12" x14ac:dyDescent="0.25">
      <c r="A10">
        <v>1</v>
      </c>
      <c r="B10">
        <v>592180.38864000002</v>
      </c>
      <c r="C10">
        <v>294739.02519999997</v>
      </c>
      <c r="D10">
        <v>124888.25143</v>
      </c>
      <c r="E10">
        <v>80179.768129999997</v>
      </c>
      <c r="F10">
        <v>100968.20454000001</v>
      </c>
      <c r="H10">
        <v>1</v>
      </c>
      <c r="I10">
        <v>104739</v>
      </c>
      <c r="J10">
        <v>76374</v>
      </c>
      <c r="K10">
        <v>35500</v>
      </c>
      <c r="L10">
        <v>53494</v>
      </c>
    </row>
    <row r="11" spans="1:12" x14ac:dyDescent="0.25">
      <c r="A11">
        <v>2</v>
      </c>
      <c r="B11">
        <v>121172.99856000001</v>
      </c>
      <c r="C11">
        <v>610477.07325000002</v>
      </c>
      <c r="D11">
        <v>247012.95642</v>
      </c>
      <c r="E11">
        <v>288230.60674999998</v>
      </c>
      <c r="F11">
        <v>242180.10875000001</v>
      </c>
      <c r="H11">
        <v>2</v>
      </c>
      <c r="I11">
        <v>36970</v>
      </c>
      <c r="J11">
        <v>102632</v>
      </c>
      <c r="K11">
        <v>50786</v>
      </c>
      <c r="L11">
        <v>88542</v>
      </c>
    </row>
    <row r="12" spans="1:12" x14ac:dyDescent="0.25">
      <c r="A12">
        <v>3</v>
      </c>
      <c r="B12">
        <v>8455.20759</v>
      </c>
      <c r="C12">
        <v>86368.846969999999</v>
      </c>
      <c r="D12">
        <v>158320.01822999999</v>
      </c>
      <c r="E12">
        <v>123842.47167</v>
      </c>
      <c r="F12">
        <v>85790.891969999997</v>
      </c>
      <c r="H12">
        <v>3</v>
      </c>
      <c r="I12">
        <v>9794</v>
      </c>
      <c r="J12">
        <v>25885</v>
      </c>
      <c r="K12">
        <v>19106</v>
      </c>
      <c r="L12">
        <v>33392</v>
      </c>
    </row>
    <row r="13" spans="1:12" x14ac:dyDescent="0.25">
      <c r="A13">
        <v>4</v>
      </c>
      <c r="B13">
        <v>3733.9623799999999</v>
      </c>
      <c r="C13">
        <v>21743.702959999999</v>
      </c>
      <c r="D13">
        <v>36710.206969999999</v>
      </c>
      <c r="E13">
        <v>46452.160799999998</v>
      </c>
      <c r="F13">
        <v>54112.350299999998</v>
      </c>
      <c r="H13">
        <v>4</v>
      </c>
      <c r="I13">
        <v>3431</v>
      </c>
      <c r="J13">
        <v>9202</v>
      </c>
      <c r="K13">
        <v>6508</v>
      </c>
      <c r="L13">
        <v>14980</v>
      </c>
    </row>
    <row r="14" spans="1:12" x14ac:dyDescent="0.25">
      <c r="A14">
        <v>0</v>
      </c>
      <c r="B14">
        <v>1</v>
      </c>
      <c r="C14">
        <v>2</v>
      </c>
      <c r="D14">
        <v>3</v>
      </c>
      <c r="H14">
        <v>0</v>
      </c>
      <c r="I14">
        <v>1</v>
      </c>
      <c r="J14">
        <v>2</v>
      </c>
      <c r="K14">
        <v>3</v>
      </c>
    </row>
    <row r="15" spans="1:12" x14ac:dyDescent="0.25">
      <c r="A15">
        <v>0</v>
      </c>
      <c r="B15">
        <v>174187.98521000001</v>
      </c>
      <c r="C15">
        <v>148197.29819</v>
      </c>
      <c r="D15">
        <v>36207.988210000003</v>
      </c>
      <c r="E15">
        <v>1403.9885400000001</v>
      </c>
      <c r="H15">
        <v>0</v>
      </c>
      <c r="I15">
        <v>55651</v>
      </c>
      <c r="J15">
        <v>32311</v>
      </c>
      <c r="K15">
        <v>8550</v>
      </c>
      <c r="L15">
        <v>1230</v>
      </c>
    </row>
    <row r="16" spans="1:12" x14ac:dyDescent="0.25">
      <c r="A16">
        <v>1</v>
      </c>
      <c r="B16">
        <v>376562.67726000003</v>
      </c>
      <c r="C16">
        <v>592465.85820999998</v>
      </c>
      <c r="D16">
        <v>214223.78010999999</v>
      </c>
      <c r="E16">
        <v>9703.3223600000001</v>
      </c>
      <c r="H16">
        <v>1</v>
      </c>
      <c r="I16">
        <v>75966</v>
      </c>
      <c r="J16">
        <v>135640</v>
      </c>
      <c r="K16">
        <v>47589</v>
      </c>
      <c r="L16">
        <v>10912</v>
      </c>
    </row>
    <row r="17" spans="1:12" x14ac:dyDescent="0.25">
      <c r="A17">
        <v>2</v>
      </c>
      <c r="B17">
        <v>122394.69731</v>
      </c>
      <c r="C17">
        <v>503857.95747000002</v>
      </c>
      <c r="D17">
        <v>841831.80287999997</v>
      </c>
      <c r="E17">
        <v>40989.286070000002</v>
      </c>
      <c r="H17">
        <v>2</v>
      </c>
      <c r="I17">
        <v>43739</v>
      </c>
      <c r="J17">
        <v>88220</v>
      </c>
      <c r="K17">
        <v>127545</v>
      </c>
      <c r="L17">
        <v>19426</v>
      </c>
    </row>
    <row r="18" spans="1:12" x14ac:dyDescent="0.25">
      <c r="A18">
        <v>3</v>
      </c>
      <c r="B18">
        <v>25978.124660000001</v>
      </c>
      <c r="C18">
        <v>84732.197320000007</v>
      </c>
      <c r="D18">
        <v>230238.45373000001</v>
      </c>
      <c r="E18">
        <v>121828.66072</v>
      </c>
      <c r="H18">
        <v>3</v>
      </c>
      <c r="I18">
        <v>12421</v>
      </c>
      <c r="J18">
        <v>25077</v>
      </c>
      <c r="K18">
        <v>33124</v>
      </c>
      <c r="L18">
        <v>17555</v>
      </c>
    </row>
    <row r="19" spans="1:12" x14ac:dyDescent="0.25">
      <c r="A19">
        <v>4</v>
      </c>
      <c r="B19">
        <v>5627.3486800000001</v>
      </c>
      <c r="C19">
        <v>26136.041990000002</v>
      </c>
      <c r="D19">
        <v>59779.683120000002</v>
      </c>
      <c r="E19">
        <v>71209.30962</v>
      </c>
      <c r="H19">
        <v>4</v>
      </c>
      <c r="I19">
        <v>4214</v>
      </c>
      <c r="J19">
        <v>9126</v>
      </c>
      <c r="K19">
        <v>12566</v>
      </c>
      <c r="L19">
        <v>8215</v>
      </c>
    </row>
  </sheetData>
  <pageMargins left="0.7" right="0.7" top="0.75" bottom="0.75" header="0.3" footer="0.3"/>
  <pageSetup paperSize="0" orientation="portrait"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V42"/>
  <sheetViews>
    <sheetView zoomScale="90" zoomScaleNormal="90" workbookViewId="0">
      <selection activeCell="H36" sqref="H36"/>
    </sheetView>
  </sheetViews>
  <sheetFormatPr defaultRowHeight="15" x14ac:dyDescent="0.25"/>
  <cols>
    <col min="2" max="2" width="22.28515625" customWidth="1"/>
    <col min="3" max="3" width="14.28515625" customWidth="1"/>
    <col min="4" max="5" width="11.140625" bestFit="1" customWidth="1"/>
    <col min="6" max="6" width="12.28515625" customWidth="1"/>
    <col min="7" max="7" width="11.140625" bestFit="1" customWidth="1"/>
    <col min="8" max="8" width="19.140625" bestFit="1" customWidth="1"/>
    <col min="9" max="9" width="11.7109375" customWidth="1"/>
    <col min="10" max="10" width="12" customWidth="1"/>
    <col min="11" max="11" width="11.140625" bestFit="1" customWidth="1"/>
    <col min="12" max="12" width="12.5703125" customWidth="1"/>
    <col min="13" max="13" width="10.28515625" customWidth="1"/>
    <col min="14" max="14" width="19.140625" bestFit="1" customWidth="1"/>
    <col min="15" max="15" width="4.7109375" bestFit="1" customWidth="1"/>
    <col min="16" max="16" width="12.140625" bestFit="1" customWidth="1"/>
    <col min="17" max="17" width="11.140625" bestFit="1" customWidth="1"/>
    <col min="19" max="19" width="19.140625" bestFit="1" customWidth="1"/>
    <col min="20" max="22" width="4.7109375" bestFit="1" customWidth="1"/>
  </cols>
  <sheetData>
    <row r="1" spans="1:22" ht="21" x14ac:dyDescent="0.35">
      <c r="B1" s="172" t="s">
        <v>371</v>
      </c>
    </row>
    <row r="2" spans="1:22" x14ac:dyDescent="0.25">
      <c r="B2" s="390" t="s">
        <v>7</v>
      </c>
      <c r="C2" s="390"/>
      <c r="D2" s="390"/>
      <c r="E2" s="390"/>
      <c r="F2" s="390"/>
      <c r="H2" s="390" t="s">
        <v>3</v>
      </c>
      <c r="I2" s="390"/>
      <c r="J2" s="390"/>
      <c r="K2" s="390"/>
      <c r="L2" s="390"/>
      <c r="M2" s="91"/>
      <c r="N2" s="390" t="s">
        <v>7</v>
      </c>
      <c r="O2" s="390"/>
      <c r="P2" s="390"/>
      <c r="Q2" s="390"/>
      <c r="R2" s="91"/>
      <c r="S2" s="390" t="s">
        <v>3</v>
      </c>
      <c r="T2" s="390"/>
      <c r="U2" s="390"/>
      <c r="V2" s="390"/>
    </row>
    <row r="3" spans="1:22" ht="15.75" thickBot="1" x14ac:dyDescent="0.3">
      <c r="B3" s="131" t="s">
        <v>25</v>
      </c>
      <c r="C3" s="132" t="s">
        <v>26</v>
      </c>
      <c r="D3" s="132" t="s">
        <v>27</v>
      </c>
      <c r="E3" s="132" t="s">
        <v>28</v>
      </c>
      <c r="F3" s="133" t="s">
        <v>29</v>
      </c>
      <c r="G3" s="34"/>
      <c r="H3" s="131" t="s">
        <v>25</v>
      </c>
      <c r="I3" s="132" t="s">
        <v>26</v>
      </c>
      <c r="J3" s="132" t="s">
        <v>27</v>
      </c>
      <c r="K3" s="132" t="s">
        <v>28</v>
      </c>
      <c r="L3" s="133" t="s">
        <v>29</v>
      </c>
      <c r="M3" s="86"/>
      <c r="N3" s="131" t="s">
        <v>25</v>
      </c>
      <c r="O3" s="132" t="s">
        <v>26</v>
      </c>
      <c r="P3" s="132" t="s">
        <v>27</v>
      </c>
      <c r="Q3" s="133" t="s">
        <v>28</v>
      </c>
      <c r="R3" s="86"/>
      <c r="S3" s="131" t="s">
        <v>25</v>
      </c>
      <c r="T3" s="132" t="s">
        <v>26</v>
      </c>
      <c r="U3" s="132" t="s">
        <v>27</v>
      </c>
      <c r="V3" s="133" t="s">
        <v>28</v>
      </c>
    </row>
    <row r="4" spans="1:22" ht="15.75" thickTop="1" x14ac:dyDescent="0.25">
      <c r="A4">
        <v>1</v>
      </c>
      <c r="B4" s="33" t="s">
        <v>30</v>
      </c>
      <c r="C4" s="18">
        <f>_xlfn.IFNA(VLOOKUP(CONCATENATE($A4,C$13),DAP_input!$A$3:$E$26,5,FALSE),0)</f>
        <v>3249189.4252900002</v>
      </c>
      <c r="D4" s="18">
        <f>_xlfn.IFNA(VLOOKUP(CONCATENATE($A4,D$13),DAP_input!$A$3:$E$26,5,FALSE),0)</f>
        <v>520680.59668000002</v>
      </c>
      <c r="E4" s="18">
        <f>_xlfn.IFNA(VLOOKUP(CONCATENATE($A4,E$13),DAP_input!$A$3:$E$26,5,FALSE),0)</f>
        <v>211523.07670999999</v>
      </c>
      <c r="F4" s="25">
        <f>SUM(C4:E4)</f>
        <v>3981393.0986800003</v>
      </c>
      <c r="G4" s="34"/>
      <c r="H4" s="33" t="s">
        <v>30</v>
      </c>
      <c r="I4" s="18">
        <f>_xlfn.IFNA(VLOOKUP(CONCATENATE($A4,I$3),DAP_input!$F$3:$J$24,5,FALSE),0)*Index!$B$2</f>
        <v>2861185</v>
      </c>
      <c r="J4" s="18">
        <f>_xlfn.IFNA(VLOOKUP(CONCATENATE($A4,J$3),DAP_input!$F$3:$J$24,5,FALSE),0)*Index!$B$2</f>
        <v>511010</v>
      </c>
      <c r="K4" s="18">
        <f>_xlfn.IFNA(VLOOKUP(CONCATENATE($A4,K$3),DAP_input!$F$3:$J$24,5,FALSE),0)*Index!$B$2</f>
        <v>249580</v>
      </c>
      <c r="L4" s="25">
        <f>SUM(I4:K4)</f>
        <v>3621775</v>
      </c>
      <c r="M4" s="34"/>
      <c r="N4" s="33" t="s">
        <v>30</v>
      </c>
      <c r="O4" s="55">
        <f t="shared" ref="O4:O12" si="0">C4/SUM($C4:$E4)</f>
        <v>0.81609359959137007</v>
      </c>
      <c r="P4" s="55">
        <f t="shared" ref="P4:P12" si="1">D4/SUM($C4:$E4)</f>
        <v>0.13077849480691259</v>
      </c>
      <c r="Q4" s="56">
        <f t="shared" ref="Q4:Q12" si="2">E4/SUM($C4:$E4)</f>
        <v>5.3127905601717353E-2</v>
      </c>
      <c r="R4" s="34"/>
      <c r="S4" s="33" t="s">
        <v>30</v>
      </c>
      <c r="T4" s="55">
        <f t="shared" ref="T4:T12" si="3">I4/SUM($I4:$K4)</f>
        <v>0.78999523714200914</v>
      </c>
      <c r="U4" s="55">
        <f t="shared" ref="U4:U12" si="4">J4/SUM($I4:$K4)</f>
        <v>0.14109380069164981</v>
      </c>
      <c r="V4" s="56">
        <f t="shared" ref="V4:V12" si="5">K4/SUM($I4:$K4)</f>
        <v>6.8910962166341086E-2</v>
      </c>
    </row>
    <row r="5" spans="1:22" x14ac:dyDescent="0.25">
      <c r="A5">
        <v>2</v>
      </c>
      <c r="B5" s="33" t="s">
        <v>31</v>
      </c>
      <c r="C5" s="18">
        <f>_xlfn.IFNA(VLOOKUP(CONCATENATE($A5,C$13),DAP_input!$A$3:$E$26,5,FALSE),0)</f>
        <v>539503.15046999999</v>
      </c>
      <c r="D5" s="18">
        <f>_xlfn.IFNA(VLOOKUP(CONCATENATE($A5,D$13),DAP_input!$A$3:$E$26,5,FALSE),0)</f>
        <v>255589.31758</v>
      </c>
      <c r="E5" s="18">
        <f>_xlfn.IFNA(VLOOKUP(CONCATENATE($A5,E$13),DAP_input!$A$3:$E$26,5,FALSE),0)</f>
        <v>127730.72900000001</v>
      </c>
      <c r="F5" s="25">
        <f t="shared" ref="F5:F11" si="6">SUM(C5:E5)</f>
        <v>922823.19705000008</v>
      </c>
      <c r="H5" s="33" t="s">
        <v>31</v>
      </c>
      <c r="I5" s="18">
        <f>_xlfn.IFNA(VLOOKUP(CONCATENATE($A5,I$3),DAP_input!$F$3:$J$24,5,FALSE),0)*Index!$B$2</f>
        <v>403165</v>
      </c>
      <c r="J5" s="18">
        <f>_xlfn.IFNA(VLOOKUP(CONCATENATE($A5,J$3),DAP_input!$F$3:$J$24,5,FALSE),0)*Index!$B$2</f>
        <v>307290</v>
      </c>
      <c r="K5" s="18">
        <f>_xlfn.IFNA(VLOOKUP(CONCATENATE($A5,K$3),DAP_input!$F$3:$J$24,5,FALSE),0)*Index!$B$2</f>
        <v>105170</v>
      </c>
      <c r="L5" s="25">
        <f t="shared" ref="L5:L11" si="7">SUM(I5:K5)</f>
        <v>815625</v>
      </c>
      <c r="M5" s="34"/>
      <c r="N5" s="33" t="s">
        <v>31</v>
      </c>
      <c r="O5" s="55">
        <f t="shared" si="0"/>
        <v>0.5846224414325909</v>
      </c>
      <c r="P5" s="55">
        <f t="shared" si="1"/>
        <v>0.27696455658792002</v>
      </c>
      <c r="Q5" s="56">
        <f t="shared" si="2"/>
        <v>0.13841300197948897</v>
      </c>
      <c r="S5" s="33" t="s">
        <v>31</v>
      </c>
      <c r="T5" s="55">
        <f t="shared" si="3"/>
        <v>0.49430191570881227</v>
      </c>
      <c r="U5" s="55">
        <f t="shared" si="4"/>
        <v>0.37675402298850574</v>
      </c>
      <c r="V5" s="56">
        <f t="shared" si="5"/>
        <v>0.12894406130268199</v>
      </c>
    </row>
    <row r="6" spans="1:22" x14ac:dyDescent="0.25">
      <c r="A6">
        <v>3</v>
      </c>
      <c r="B6" s="33" t="s">
        <v>32</v>
      </c>
      <c r="C6" s="18">
        <f>_xlfn.IFNA(VLOOKUP(CONCATENATE($A6,C$13),DAP_input!$A$3:$E$26,5,FALSE),0)</f>
        <v>188503.06167</v>
      </c>
      <c r="D6" s="18">
        <f>_xlfn.IFNA(VLOOKUP(CONCATENATE($A6,D$13),DAP_input!$A$3:$E$26,5,FALSE),0)</f>
        <v>115654.62635999999</v>
      </c>
      <c r="E6" s="18">
        <f>_xlfn.IFNA(VLOOKUP(CONCATENATE($A6,E$13),DAP_input!$A$3:$E$26,5,FALSE),0)</f>
        <v>37579.378779999999</v>
      </c>
      <c r="F6" s="25">
        <f t="shared" si="6"/>
        <v>341737.06680999999</v>
      </c>
      <c r="H6" s="33" t="s">
        <v>32</v>
      </c>
      <c r="I6" s="18">
        <f>_xlfn.IFNA(VLOOKUP(CONCATENATE($A6,I$3),DAP_input!$F$3:$J$24,5,FALSE),0)*Index!$B$2</f>
        <v>203940</v>
      </c>
      <c r="J6" s="18">
        <f>_xlfn.IFNA(VLOOKUP(CONCATENATE($A6,J$3),DAP_input!$F$3:$J$24,5,FALSE),0)*Index!$B$2</f>
        <v>113360</v>
      </c>
      <c r="K6" s="18">
        <f>_xlfn.IFNA(VLOOKUP(CONCATENATE($A6,K$3),DAP_input!$F$3:$J$24,5,FALSE),0)*Index!$B$2</f>
        <v>41570</v>
      </c>
      <c r="L6" s="25">
        <f t="shared" si="7"/>
        <v>358870</v>
      </c>
      <c r="M6" s="34"/>
      <c r="N6" s="33" t="s">
        <v>32</v>
      </c>
      <c r="O6" s="55">
        <f t="shared" si="0"/>
        <v>0.55160262077980704</v>
      </c>
      <c r="P6" s="55">
        <f t="shared" si="1"/>
        <v>0.33843161188101967</v>
      </c>
      <c r="Q6" s="56">
        <f t="shared" si="2"/>
        <v>0.10996576733917335</v>
      </c>
      <c r="S6" s="33" t="s">
        <v>32</v>
      </c>
      <c r="T6" s="55">
        <f t="shared" si="3"/>
        <v>0.568283779641653</v>
      </c>
      <c r="U6" s="55">
        <f t="shared" si="4"/>
        <v>0.31588040237411874</v>
      </c>
      <c r="V6" s="56">
        <f t="shared" si="5"/>
        <v>0.11583581798422828</v>
      </c>
    </row>
    <row r="7" spans="1:22" x14ac:dyDescent="0.25">
      <c r="A7">
        <v>4</v>
      </c>
      <c r="B7" s="33" t="s">
        <v>33</v>
      </c>
      <c r="C7" s="18">
        <f>_xlfn.IFNA(VLOOKUP(CONCATENATE($A7,C$13),DAP_input!$A$3:$E$26,5,FALSE),0)</f>
        <v>3489.1590099999999</v>
      </c>
      <c r="D7" s="18">
        <f>_xlfn.IFNA(VLOOKUP(CONCATENATE($A7,D$13),DAP_input!$A$3:$E$26,5,FALSE),0)</f>
        <v>665440.65743999998</v>
      </c>
      <c r="E7" s="18">
        <f>_xlfn.IFNA(VLOOKUP(CONCATENATE($A7,E$13),DAP_input!$A$3:$E$26,5,FALSE),0)</f>
        <v>208026.05838</v>
      </c>
      <c r="F7" s="25">
        <f t="shared" si="6"/>
        <v>876955.87482999987</v>
      </c>
      <c r="H7" s="33" t="s">
        <v>33</v>
      </c>
      <c r="I7" s="18">
        <f>_xlfn.IFNA(VLOOKUP(CONCATENATE($A7,I$3),DAP_input!$F$3:$J$24,5,FALSE),0)*Index!$B$2</f>
        <v>0</v>
      </c>
      <c r="J7" s="18">
        <f>_xlfn.IFNA(VLOOKUP(CONCATENATE($A7,J$3),DAP_input!$F$3:$J$24,5,FALSE),0)*Index!$B$2</f>
        <v>348990</v>
      </c>
      <c r="K7" s="18">
        <f>_xlfn.IFNA(VLOOKUP(CONCATENATE($A7,K$3),DAP_input!$F$3:$J$24,5,FALSE),0)*Index!$B$2</f>
        <v>395045</v>
      </c>
      <c r="L7" s="25">
        <f t="shared" si="7"/>
        <v>744035</v>
      </c>
      <c r="M7" s="34"/>
      <c r="N7" s="33" t="s">
        <v>33</v>
      </c>
      <c r="O7" s="55">
        <f t="shared" si="0"/>
        <v>3.978716729249784E-3</v>
      </c>
      <c r="P7" s="55">
        <f t="shared" si="1"/>
        <v>0.75880745718135179</v>
      </c>
      <c r="Q7" s="56">
        <f t="shared" si="2"/>
        <v>0.23721382608939862</v>
      </c>
      <c r="S7" s="33" t="s">
        <v>33</v>
      </c>
      <c r="T7" s="55">
        <f t="shared" si="3"/>
        <v>0</v>
      </c>
      <c r="U7" s="55">
        <f t="shared" si="4"/>
        <v>0.46905051509673606</v>
      </c>
      <c r="V7" s="56">
        <f t="shared" si="5"/>
        <v>0.53094948490326399</v>
      </c>
    </row>
    <row r="8" spans="1:22" x14ac:dyDescent="0.25">
      <c r="A8">
        <v>5</v>
      </c>
      <c r="B8" s="33" t="s">
        <v>34</v>
      </c>
      <c r="C8" s="18">
        <f>_xlfn.IFNA(VLOOKUP(CONCATENATE($A8,C$13),DAP_input!$A$3:$E$26,5,FALSE),0)</f>
        <v>2406.9838500000001</v>
      </c>
      <c r="D8" s="18">
        <f>_xlfn.IFNA(VLOOKUP(CONCATENATE($A8,D$13),DAP_input!$A$3:$E$26,5,FALSE),0)</f>
        <v>727789.67656000005</v>
      </c>
      <c r="E8" s="18">
        <f>_xlfn.IFNA(VLOOKUP(CONCATENATE($A8,E$13),DAP_input!$A$3:$E$26,5,FALSE),0)</f>
        <v>282782.34568000003</v>
      </c>
      <c r="F8" s="25">
        <f t="shared" si="6"/>
        <v>1012979.00609</v>
      </c>
      <c r="H8" s="33" t="s">
        <v>34</v>
      </c>
      <c r="I8" s="18">
        <f>_xlfn.IFNA(VLOOKUP(CONCATENATE($A8,I$3),DAP_input!$F$3:$J$24,5,FALSE),0)*Index!$B$2</f>
        <v>0</v>
      </c>
      <c r="J8" s="18">
        <f>_xlfn.IFNA(VLOOKUP(CONCATENATE($A8,J$3),DAP_input!$F$3:$J$24,5,FALSE),0)*Index!$B$2</f>
        <v>712065</v>
      </c>
      <c r="K8" s="18">
        <f>_xlfn.IFNA(VLOOKUP(CONCATENATE($A8,K$3),DAP_input!$F$3:$J$24,5,FALSE),0)*Index!$B$2</f>
        <v>348990</v>
      </c>
      <c r="L8" s="25">
        <f t="shared" si="7"/>
        <v>1061055</v>
      </c>
      <c r="M8" s="34"/>
      <c r="N8" s="33" t="s">
        <v>34</v>
      </c>
      <c r="O8" s="55">
        <f t="shared" si="0"/>
        <v>2.3761438643143478E-3</v>
      </c>
      <c r="P8" s="55">
        <f t="shared" si="1"/>
        <v>0.71846471860181693</v>
      </c>
      <c r="Q8" s="56">
        <f t="shared" si="2"/>
        <v>0.27915913753386878</v>
      </c>
      <c r="S8" s="33" t="s">
        <v>34</v>
      </c>
      <c r="T8" s="55">
        <f t="shared" si="3"/>
        <v>0</v>
      </c>
      <c r="U8" s="55">
        <f t="shared" si="4"/>
        <v>0.67109150798026496</v>
      </c>
      <c r="V8" s="56">
        <f t="shared" si="5"/>
        <v>0.3289084920197351</v>
      </c>
    </row>
    <row r="9" spans="1:22" x14ac:dyDescent="0.25">
      <c r="A9">
        <v>6</v>
      </c>
      <c r="B9" s="33" t="s">
        <v>35</v>
      </c>
      <c r="C9" s="18">
        <f>_xlfn.IFNA(VLOOKUP(CONCATENATE($A9,C$13),DAP_input!$A$3:$E$26,5,FALSE),0)</f>
        <v>247191.18557</v>
      </c>
      <c r="D9" s="18">
        <f>_xlfn.IFNA(VLOOKUP(CONCATENATE($A9,D$13),DAP_input!$A$3:$E$26,5,FALSE),0)</f>
        <v>53516.176180000002</v>
      </c>
      <c r="E9" s="18">
        <f>_xlfn.IFNA(VLOOKUP(CONCATENATE($A9,E$13),DAP_input!$A$3:$E$26,5,FALSE),0)</f>
        <v>18509.641210000002</v>
      </c>
      <c r="F9" s="25">
        <f t="shared" si="6"/>
        <v>319217.00295999995</v>
      </c>
      <c r="H9" s="33" t="s">
        <v>35</v>
      </c>
      <c r="I9" s="18">
        <f>_xlfn.IFNA(VLOOKUP(CONCATENATE($A9,I$3),DAP_input!$F$3:$J$24,5,FALSE),0)*Index!$B$2</f>
        <v>245165</v>
      </c>
      <c r="J9" s="18">
        <f>_xlfn.IFNA(VLOOKUP(CONCATENATE($A9,J$3),DAP_input!$F$3:$J$24,5,FALSE),0)*Index!$B$2</f>
        <v>47500</v>
      </c>
      <c r="K9" s="18">
        <f>_xlfn.IFNA(VLOOKUP(CONCATENATE($A9,K$3),DAP_input!$F$3:$J$24,5,FALSE),0)*Index!$B$2</f>
        <v>22235</v>
      </c>
      <c r="L9" s="25">
        <f t="shared" si="7"/>
        <v>314900</v>
      </c>
      <c r="M9" s="34"/>
      <c r="N9" s="33" t="s">
        <v>35</v>
      </c>
      <c r="O9" s="55">
        <f t="shared" si="0"/>
        <v>0.7743672275532727</v>
      </c>
      <c r="P9" s="55">
        <f t="shared" si="1"/>
        <v>0.16764826335615318</v>
      </c>
      <c r="Q9" s="56">
        <f t="shared" si="2"/>
        <v>5.7984509090574302E-2</v>
      </c>
      <c r="S9" s="33" t="s">
        <v>35</v>
      </c>
      <c r="T9" s="55">
        <f t="shared" si="3"/>
        <v>0.77854874563353449</v>
      </c>
      <c r="U9" s="55">
        <f t="shared" si="4"/>
        <v>0.15084153699587172</v>
      </c>
      <c r="V9" s="56">
        <f t="shared" si="5"/>
        <v>7.0609717370593836E-2</v>
      </c>
    </row>
    <row r="10" spans="1:22" x14ac:dyDescent="0.25">
      <c r="A10">
        <v>7</v>
      </c>
      <c r="B10" s="33" t="s">
        <v>36</v>
      </c>
      <c r="C10" s="18">
        <f>_xlfn.IFNA(VLOOKUP(CONCATENATE($A10,C$13),DAP_input!$A$3:$E$26,5,FALSE),0)</f>
        <v>1058803.9947800001</v>
      </c>
      <c r="D10" s="18">
        <f>_xlfn.IFNA(VLOOKUP(CONCATENATE($A10,D$13),DAP_input!$A$3:$E$26,5,FALSE),0)</f>
        <v>322596.46004999999</v>
      </c>
      <c r="E10" s="18">
        <f>_xlfn.IFNA(VLOOKUP(CONCATENATE($A10,E$13),DAP_input!$A$3:$E$26,5,FALSE),0)</f>
        <v>116788.42484000001</v>
      </c>
      <c r="F10" s="25">
        <f t="shared" si="6"/>
        <v>1498188.8796700002</v>
      </c>
      <c r="H10" s="33" t="s">
        <v>36</v>
      </c>
      <c r="I10" s="18">
        <f>_xlfn.IFNA(VLOOKUP(CONCATENATE($A10,I$3),DAP_input!$F$3:$J$24,5,FALSE),0)*Index!$B$2</f>
        <v>1108790</v>
      </c>
      <c r="J10" s="18">
        <f>_xlfn.IFNA(VLOOKUP(CONCATENATE($A10,J$3),DAP_input!$F$3:$J$24,5,FALSE),0)*Index!$B$2</f>
        <v>286565</v>
      </c>
      <c r="K10" s="18">
        <f>_xlfn.IFNA(VLOOKUP(CONCATENATE($A10,K$3),DAP_input!$F$3:$J$24,5,FALSE),0)*Index!$B$2</f>
        <v>129310</v>
      </c>
      <c r="L10" s="25">
        <f t="shared" si="7"/>
        <v>1524665</v>
      </c>
      <c r="M10" s="34"/>
      <c r="N10" s="33" t="s">
        <v>36</v>
      </c>
      <c r="O10" s="55">
        <f t="shared" si="0"/>
        <v>0.70672263634290122</v>
      </c>
      <c r="P10" s="55">
        <f t="shared" si="1"/>
        <v>0.21532429216872639</v>
      </c>
      <c r="Q10" s="56">
        <f t="shared" si="2"/>
        <v>7.7953071488372355E-2</v>
      </c>
      <c r="S10" s="33" t="s">
        <v>36</v>
      </c>
      <c r="T10" s="55">
        <f t="shared" si="3"/>
        <v>0.72723516313419667</v>
      </c>
      <c r="U10" s="55">
        <f t="shared" si="4"/>
        <v>0.18795276339392589</v>
      </c>
      <c r="V10" s="56">
        <f t="shared" si="5"/>
        <v>8.4812073471877428E-2</v>
      </c>
    </row>
    <row r="11" spans="1:22" x14ac:dyDescent="0.25">
      <c r="A11">
        <v>8</v>
      </c>
      <c r="B11" s="33" t="s">
        <v>37</v>
      </c>
      <c r="C11" s="18">
        <f>_xlfn.IFNA(VLOOKUP(CONCATENATE($A11,C$13),DAP_input!$A$3:$E$26,5,FALSE),0)</f>
        <v>238325.58789</v>
      </c>
      <c r="D11" s="18">
        <f>_xlfn.IFNA(VLOOKUP(CONCATENATE($A11,D$13),DAP_input!$A$3:$E$26,5,FALSE),0)</f>
        <v>421232.32312000002</v>
      </c>
      <c r="E11" s="18">
        <f>_xlfn.IFNA(VLOOKUP(CONCATENATE($A11,E$13),DAP_input!$A$3:$E$26,5,FALSE),0)</f>
        <v>227196.90883</v>
      </c>
      <c r="F11" s="25">
        <f t="shared" si="6"/>
        <v>886754.81984000001</v>
      </c>
      <c r="H11" s="33" t="s">
        <v>37</v>
      </c>
      <c r="I11" s="18">
        <f>_xlfn.IFNA(VLOOKUP(CONCATENATE($A11,I$3),DAP_input!$F$3:$J$24,5,FALSE),0)*Index!$B$2</f>
        <v>245555</v>
      </c>
      <c r="J11" s="18">
        <f>_xlfn.IFNA(VLOOKUP(CONCATENATE($A11,J$3),DAP_input!$F$3:$J$24,5,FALSE),0)*Index!$B$2</f>
        <v>410090</v>
      </c>
      <c r="K11" s="18">
        <f>_xlfn.IFNA(VLOOKUP(CONCATENATE($A11,K$3),DAP_input!$F$3:$J$24,5,FALSE),0)*Index!$B$2</f>
        <v>254035</v>
      </c>
      <c r="L11" s="25">
        <f t="shared" si="7"/>
        <v>909680</v>
      </c>
      <c r="M11" s="34"/>
      <c r="N11" s="33" t="s">
        <v>37</v>
      </c>
      <c r="O11" s="55">
        <f t="shared" si="0"/>
        <v>0.26876153651242835</v>
      </c>
      <c r="P11" s="55">
        <f t="shared" si="1"/>
        <v>0.47502682105072097</v>
      </c>
      <c r="Q11" s="56">
        <f t="shared" si="2"/>
        <v>0.25621164243685063</v>
      </c>
      <c r="S11" s="33" t="s">
        <v>37</v>
      </c>
      <c r="T11" s="55">
        <f t="shared" si="3"/>
        <v>0.26993558174303051</v>
      </c>
      <c r="U11" s="55">
        <f t="shared" si="4"/>
        <v>0.45080687714361095</v>
      </c>
      <c r="V11" s="56">
        <f t="shared" si="5"/>
        <v>0.27925754111335854</v>
      </c>
    </row>
    <row r="12" spans="1:22" x14ac:dyDescent="0.25">
      <c r="B12" s="36" t="s">
        <v>29</v>
      </c>
      <c r="C12" s="19">
        <f>SUM(C4:C11)</f>
        <v>5527412.5485300012</v>
      </c>
      <c r="D12" s="19">
        <f>SUM(D4:D11)</f>
        <v>3082499.8339699996</v>
      </c>
      <c r="E12" s="19">
        <f>SUM(E4:E11)</f>
        <v>1230136.5634300001</v>
      </c>
      <c r="F12" s="26">
        <f>SUM(F4:F11)</f>
        <v>9840048.9459300004</v>
      </c>
      <c r="H12" s="36" t="s">
        <v>29</v>
      </c>
      <c r="I12" s="19">
        <f>SUM(I4:I11)</f>
        <v>5067800</v>
      </c>
      <c r="J12" s="19">
        <f>SUM(J4:J11)</f>
        <v>2736870</v>
      </c>
      <c r="K12" s="19">
        <f>SUM(K4:K11)</f>
        <v>1545935</v>
      </c>
      <c r="L12" s="26">
        <f>SUM(I12:K12)</f>
        <v>9350605</v>
      </c>
      <c r="M12" s="34"/>
      <c r="N12" s="254" t="s">
        <v>29</v>
      </c>
      <c r="O12" s="184">
        <f t="shared" si="0"/>
        <v>0.56172612340675665</v>
      </c>
      <c r="P12" s="184">
        <f t="shared" si="1"/>
        <v>0.31326062003431093</v>
      </c>
      <c r="Q12" s="187">
        <f t="shared" si="2"/>
        <v>0.12501325655893247</v>
      </c>
      <c r="S12" s="254" t="s">
        <v>29</v>
      </c>
      <c r="T12" s="184">
        <f t="shared" si="3"/>
        <v>0.54197562617606032</v>
      </c>
      <c r="U12" s="184">
        <f t="shared" si="4"/>
        <v>0.29269442993260864</v>
      </c>
      <c r="V12" s="187">
        <f t="shared" si="5"/>
        <v>0.1653299438913311</v>
      </c>
    </row>
    <row r="13" spans="1:22" x14ac:dyDescent="0.25">
      <c r="C13">
        <v>1</v>
      </c>
      <c r="D13">
        <v>2</v>
      </c>
      <c r="E13">
        <v>3</v>
      </c>
    </row>
    <row r="15" spans="1:22" ht="19.5" thickBot="1" x14ac:dyDescent="0.35">
      <c r="B15" s="66" t="s">
        <v>51</v>
      </c>
      <c r="D15" s="54" t="s">
        <v>381</v>
      </c>
      <c r="E15" s="54" t="s">
        <v>382</v>
      </c>
      <c r="F15" s="54" t="s">
        <v>383</v>
      </c>
    </row>
    <row r="16" spans="1:22" ht="15.75" thickTop="1" x14ac:dyDescent="0.25">
      <c r="B16" s="33" t="s">
        <v>31</v>
      </c>
      <c r="C16" s="5" t="s">
        <v>7</v>
      </c>
      <c r="D16" s="134">
        <f>VLOOKUP($B$16,$N$4:$Q$12,2,FALSE)</f>
        <v>0.5846224414325909</v>
      </c>
      <c r="E16" s="2">
        <f>VLOOKUP($B$16,$N$4:$Q$12,3,FALSE)</f>
        <v>0.27696455658792002</v>
      </c>
      <c r="F16" s="2">
        <f>VLOOKUP($B$16,$N$4:$Q$12,4,FALSE)</f>
        <v>0.13841300197948897</v>
      </c>
    </row>
    <row r="17" spans="2:6" x14ac:dyDescent="0.25">
      <c r="C17" s="5" t="s">
        <v>3</v>
      </c>
      <c r="D17" s="2">
        <f>VLOOKUP($B$16,$S$4:$V$12,2,FALSE)</f>
        <v>0.49430191570881227</v>
      </c>
      <c r="E17" s="2">
        <f>VLOOKUP($B$16,$S$4:$V$12,3,FALSE)</f>
        <v>0.37675402298850574</v>
      </c>
      <c r="F17" s="2">
        <f>VLOOKUP($B$16,$S$4:$V$12,4,FALSE)</f>
        <v>0.12894406130268199</v>
      </c>
    </row>
    <row r="19" spans="2:6" x14ac:dyDescent="0.25">
      <c r="C19" s="5" t="s">
        <v>142</v>
      </c>
    </row>
    <row r="20" spans="2:6" x14ac:dyDescent="0.25">
      <c r="B20" s="5" t="s">
        <v>52</v>
      </c>
    </row>
    <row r="21" spans="2:6" ht="15.75" thickBot="1" x14ac:dyDescent="0.3">
      <c r="B21" s="5" t="s">
        <v>53</v>
      </c>
      <c r="C21" s="54" t="s">
        <v>25</v>
      </c>
      <c r="D21" s="54" t="s">
        <v>381</v>
      </c>
      <c r="E21" s="54" t="s">
        <v>382</v>
      </c>
      <c r="F21" s="54" t="s">
        <v>383</v>
      </c>
    </row>
    <row r="22" spans="2:6" ht="15.75" thickTop="1" x14ac:dyDescent="0.25">
      <c r="B22" s="5" t="s">
        <v>54</v>
      </c>
      <c r="C22" s="33" t="s">
        <v>30</v>
      </c>
      <c r="D22" s="55">
        <f t="shared" ref="D22:D30" si="8">IF(O4&gt;0,(T4-O4)/O4,0)</f>
        <v>-3.197961908098379E-2</v>
      </c>
      <c r="E22" s="55">
        <f t="shared" ref="E22:E30" si="9">IF(P4&gt;0,(U4-P4)/P4,0)</f>
        <v>7.887616308757199E-2</v>
      </c>
      <c r="F22" s="56">
        <f t="shared" ref="F22:F30" si="10">IF(Q4&gt;0,(V4-Q4)/Q4,0)</f>
        <v>0.29707658124045355</v>
      </c>
    </row>
    <row r="23" spans="2:6" x14ac:dyDescent="0.25">
      <c r="C23" s="33" t="s">
        <v>31</v>
      </c>
      <c r="D23" s="55">
        <f t="shared" si="8"/>
        <v>-0.15449377123199765</v>
      </c>
      <c r="E23" s="55">
        <f t="shared" si="9"/>
        <v>0.36029688285731398</v>
      </c>
      <c r="F23" s="56">
        <f t="shared" si="10"/>
        <v>-6.8410774576005196E-2</v>
      </c>
    </row>
    <row r="24" spans="2:6" x14ac:dyDescent="0.25">
      <c r="C24" s="33" t="s">
        <v>32</v>
      </c>
      <c r="D24" s="55">
        <f t="shared" si="8"/>
        <v>3.0241261069905014E-2</v>
      </c>
      <c r="E24" s="55">
        <f t="shared" si="9"/>
        <v>-6.6634465325387859E-2</v>
      </c>
      <c r="F24" s="56">
        <f t="shared" si="10"/>
        <v>5.3380709170605924E-2</v>
      </c>
    </row>
    <row r="25" spans="2:6" x14ac:dyDescent="0.25">
      <c r="C25" s="33" t="s">
        <v>33</v>
      </c>
      <c r="D25" s="55">
        <f t="shared" si="8"/>
        <v>-1</v>
      </c>
      <c r="E25" s="55">
        <f t="shared" si="9"/>
        <v>-0.38185832168932549</v>
      </c>
      <c r="F25" s="56">
        <f t="shared" si="10"/>
        <v>1.2382737703626323</v>
      </c>
    </row>
    <row r="26" spans="2:6" x14ac:dyDescent="0.25">
      <c r="C26" s="33" t="s">
        <v>34</v>
      </c>
      <c r="D26" s="55">
        <f t="shared" si="8"/>
        <v>-1</v>
      </c>
      <c r="E26" s="55">
        <f t="shared" si="9"/>
        <v>-6.5936725068064014E-2</v>
      </c>
      <c r="F26" s="56">
        <f t="shared" si="10"/>
        <v>0.17821144930221211</v>
      </c>
    </row>
    <row r="27" spans="2:6" x14ac:dyDescent="0.25">
      <c r="C27" s="33" t="s">
        <v>35</v>
      </c>
      <c r="D27" s="55">
        <f t="shared" si="8"/>
        <v>5.399916126969777E-3</v>
      </c>
      <c r="E27" s="55">
        <f t="shared" si="9"/>
        <v>-0.100249928175976</v>
      </c>
      <c r="F27" s="56">
        <f t="shared" si="10"/>
        <v>0.21773415827835008</v>
      </c>
    </row>
    <row r="28" spans="2:6" x14ac:dyDescent="0.25">
      <c r="C28" s="33" t="s">
        <v>36</v>
      </c>
      <c r="D28" s="55">
        <f t="shared" si="8"/>
        <v>2.9024861715824239E-2</v>
      </c>
      <c r="E28" s="55">
        <f t="shared" si="9"/>
        <v>-0.12711770000085451</v>
      </c>
      <c r="F28" s="56">
        <f t="shared" si="10"/>
        <v>8.7988861151265543E-2</v>
      </c>
    </row>
    <row r="29" spans="2:6" x14ac:dyDescent="0.25">
      <c r="C29" s="33" t="s">
        <v>37</v>
      </c>
      <c r="D29" s="55">
        <f t="shared" si="8"/>
        <v>4.3683528745857934E-3</v>
      </c>
      <c r="E29" s="55">
        <f t="shared" si="9"/>
        <v>-5.0986476623651397E-2</v>
      </c>
      <c r="F29" s="56">
        <f t="shared" si="10"/>
        <v>8.994867858976438E-2</v>
      </c>
    </row>
    <row r="30" spans="2:6" x14ac:dyDescent="0.25">
      <c r="C30" s="36" t="s">
        <v>29</v>
      </c>
      <c r="D30" s="57">
        <f t="shared" si="8"/>
        <v>-3.5160368029376152E-2</v>
      </c>
      <c r="E30" s="57">
        <f t="shared" si="9"/>
        <v>-6.5652012370561341E-2</v>
      </c>
      <c r="F30" s="58">
        <f t="shared" si="10"/>
        <v>0.32249929681171807</v>
      </c>
    </row>
    <row r="33" spans="2:17" ht="18.75" x14ac:dyDescent="0.3">
      <c r="B33" s="143"/>
      <c r="C33" s="59" t="s">
        <v>159</v>
      </c>
      <c r="G33" s="5" t="s">
        <v>696</v>
      </c>
    </row>
    <row r="34" spans="2:17" x14ac:dyDescent="0.25">
      <c r="D34" s="391" t="s">
        <v>7</v>
      </c>
      <c r="E34" s="391"/>
      <c r="F34" s="391"/>
      <c r="G34" s="391" t="s">
        <v>3</v>
      </c>
      <c r="H34" s="391"/>
      <c r="I34" s="391"/>
    </row>
    <row r="35" spans="2:17" ht="15.75" thickBot="1" x14ac:dyDescent="0.3">
      <c r="C35" s="190" t="s">
        <v>78</v>
      </c>
      <c r="D35" s="191" t="s">
        <v>158</v>
      </c>
      <c r="E35" s="191" t="s">
        <v>72</v>
      </c>
      <c r="F35" s="191" t="s">
        <v>155</v>
      </c>
      <c r="G35" s="191" t="s">
        <v>158</v>
      </c>
      <c r="H35" s="191" t="s">
        <v>72</v>
      </c>
      <c r="I35" s="192" t="s">
        <v>155</v>
      </c>
      <c r="K35" s="125" t="s">
        <v>156</v>
      </c>
      <c r="L35" s="125" t="s">
        <v>11</v>
      </c>
    </row>
    <row r="36" spans="2:17" ht="15.75" thickTop="1" x14ac:dyDescent="0.25">
      <c r="C36" s="11">
        <v>2</v>
      </c>
      <c r="D36" s="18">
        <f>DAP_input!P3</f>
        <v>708155.218644173</v>
      </c>
      <c r="E36" s="18">
        <f>DAP_input!P4</f>
        <v>224404.57629239099</v>
      </c>
      <c r="F36" s="28">
        <f>E36/(D36+E36)</f>
        <v>0.24063290902183465</v>
      </c>
      <c r="G36" s="24">
        <f>DAP_input!P14*Index!$B$2</f>
        <v>1129235</v>
      </c>
      <c r="H36" s="18">
        <f>DAP_input!P15*Index!$B$2</f>
        <v>37075</v>
      </c>
      <c r="I36" s="49">
        <f>H36/(G36+H36)</f>
        <v>3.1788289562809199E-2</v>
      </c>
      <c r="K36" s="146">
        <f>I36-F36</f>
        <v>-0.20884461945902544</v>
      </c>
      <c r="L36" s="49">
        <f>K36/F36</f>
        <v>-0.86789716463958466</v>
      </c>
    </row>
    <row r="37" spans="2:17" x14ac:dyDescent="0.25">
      <c r="C37" s="11">
        <v>3</v>
      </c>
      <c r="D37" s="18">
        <f>DAP_input!P4</f>
        <v>224404.57629239099</v>
      </c>
      <c r="E37" s="18">
        <f>DAP_input!P6</f>
        <v>108821.53541470801</v>
      </c>
      <c r="F37" s="28">
        <f>E37/(D37+E37)</f>
        <v>0.32656965223169721</v>
      </c>
      <c r="G37" s="24">
        <f>DAP_input!P16*Index!$B$2</f>
        <v>574325</v>
      </c>
      <c r="H37" s="18">
        <f>DAP_input!P17*Index!$B$2</f>
        <v>27555</v>
      </c>
      <c r="I37" s="49">
        <f>H37/(G37+H37)</f>
        <v>4.5781551139762081E-2</v>
      </c>
      <c r="K37" s="146">
        <f>I37-F37</f>
        <v>-0.28078810109193514</v>
      </c>
      <c r="L37" s="49">
        <f>K37/F37</f>
        <v>-0.85981076065426743</v>
      </c>
    </row>
    <row r="38" spans="2:17" x14ac:dyDescent="0.25">
      <c r="C38" s="11">
        <v>4</v>
      </c>
      <c r="D38" s="18">
        <f>DAP_input!P5</f>
        <v>409864.95293667901</v>
      </c>
      <c r="E38" s="18">
        <f>DAP_input!P6</f>
        <v>108821.53541470801</v>
      </c>
      <c r="F38" s="28">
        <f>E38/(D38+E38)</f>
        <v>0.20980214032679073</v>
      </c>
      <c r="G38" s="24">
        <f>DAP_input!P18*Index!$B$2</f>
        <v>494625</v>
      </c>
      <c r="H38" s="18">
        <f>DAP_input!P19*Index!$B$2</f>
        <v>57365</v>
      </c>
      <c r="I38" s="49">
        <f>H38/(G38+H38)</f>
        <v>0.10392398413014728</v>
      </c>
      <c r="K38" s="146">
        <f>I38-F38</f>
        <v>-0.10587815619664345</v>
      </c>
      <c r="L38" s="49">
        <f>K38/F38</f>
        <v>-0.50465717857656822</v>
      </c>
    </row>
    <row r="39" spans="2:17" x14ac:dyDescent="0.25">
      <c r="C39" s="11">
        <v>5</v>
      </c>
      <c r="D39" s="18">
        <f>DAP_input!P7</f>
        <v>328829.39696784498</v>
      </c>
      <c r="E39" s="18">
        <f>DAP_input!P8</f>
        <v>149160.370252238</v>
      </c>
      <c r="F39" s="28">
        <f>E39/(D39+E39)</f>
        <v>0.31205766416242009</v>
      </c>
      <c r="G39" s="24">
        <f>DAP_input!P20*Index!$B$2</f>
        <v>368625</v>
      </c>
      <c r="H39" s="18">
        <f>DAP_input!P21*Index!$B$2</f>
        <v>87245</v>
      </c>
      <c r="I39" s="49">
        <f>H39/(G39+H39)</f>
        <v>0.19138131484853138</v>
      </c>
      <c r="K39" s="147">
        <f>I39-F39</f>
        <v>-0.12067634931388871</v>
      </c>
      <c r="L39" s="52">
        <f>K39/F39</f>
        <v>-0.38671169842211905</v>
      </c>
      <c r="N39" s="339"/>
      <c r="P39" s="29"/>
      <c r="Q39" s="29"/>
    </row>
    <row r="40" spans="2:17" x14ac:dyDescent="0.25">
      <c r="C40" s="182" t="s">
        <v>29</v>
      </c>
      <c r="D40" s="183">
        <f>SUM(D36:D39)</f>
        <v>1671254.144841088</v>
      </c>
      <c r="E40" s="183">
        <f>SUM(E36:E39)</f>
        <v>591208.01737404498</v>
      </c>
      <c r="F40" s="188">
        <f>E40/(D40+E40)</f>
        <v>0.26131178114165876</v>
      </c>
      <c r="G40" s="183">
        <f>SUM(G36:G39)</f>
        <v>2566810</v>
      </c>
      <c r="H40" s="183">
        <f>SUM(H36:H39)</f>
        <v>209240</v>
      </c>
      <c r="I40" s="189">
        <f>H40/(G40+H40)</f>
        <v>7.5373282181516899E-2</v>
      </c>
      <c r="K40" s="87">
        <f>I40-F40</f>
        <v>-0.18593849896014186</v>
      </c>
      <c r="L40" s="2">
        <f>K40/F40</f>
        <v>-0.71155804054369609</v>
      </c>
      <c r="N40" s="339"/>
      <c r="P40" s="29"/>
      <c r="Q40" s="29"/>
    </row>
    <row r="41" spans="2:17" x14ac:dyDescent="0.25">
      <c r="N41" s="339"/>
      <c r="P41" s="29"/>
      <c r="Q41" s="29"/>
    </row>
    <row r="42" spans="2:17" x14ac:dyDescent="0.25">
      <c r="G42" s="89"/>
      <c r="I42" s="92"/>
      <c r="N42" s="339"/>
      <c r="P42" s="29"/>
      <c r="Q42" s="29"/>
    </row>
  </sheetData>
  <mergeCells count="6">
    <mergeCell ref="H2:L2"/>
    <mergeCell ref="S2:V2"/>
    <mergeCell ref="B2:F2"/>
    <mergeCell ref="N2:Q2"/>
    <mergeCell ref="D34:F34"/>
    <mergeCell ref="G34:I34"/>
  </mergeCells>
  <hyperlinks>
    <hyperlink ref="B1" location="Index!A1" display="Index"/>
  </hyperlink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P26"/>
  <sheetViews>
    <sheetView workbookViewId="0">
      <selection activeCell="O30" sqref="O30"/>
    </sheetView>
  </sheetViews>
  <sheetFormatPr defaultRowHeight="15" x14ac:dyDescent="0.25"/>
  <sheetData>
    <row r="1" spans="1:16" x14ac:dyDescent="0.25">
      <c r="B1" s="388" t="s">
        <v>7</v>
      </c>
      <c r="C1" s="388"/>
      <c r="D1" s="388"/>
      <c r="E1" s="388"/>
      <c r="G1" s="388" t="s">
        <v>3</v>
      </c>
      <c r="H1" s="388"/>
      <c r="I1" s="388"/>
      <c r="J1" s="388"/>
      <c r="M1" t="s">
        <v>7</v>
      </c>
    </row>
    <row r="2" spans="1:16" x14ac:dyDescent="0.25">
      <c r="C2" t="s">
        <v>43</v>
      </c>
      <c r="D2" t="s">
        <v>425</v>
      </c>
      <c r="E2" t="s">
        <v>39</v>
      </c>
      <c r="H2" t="s">
        <v>43</v>
      </c>
      <c r="I2" t="s">
        <v>59</v>
      </c>
      <c r="J2" t="s">
        <v>39</v>
      </c>
      <c r="N2" t="s">
        <v>78</v>
      </c>
      <c r="O2" t="s">
        <v>157</v>
      </c>
      <c r="P2" t="s">
        <v>39</v>
      </c>
    </row>
    <row r="3" spans="1:16" x14ac:dyDescent="0.25">
      <c r="A3" t="str">
        <f>CONCATENATE(C3,D3)</f>
        <v>11</v>
      </c>
      <c r="B3">
        <v>1</v>
      </c>
      <c r="C3">
        <v>1</v>
      </c>
      <c r="D3">
        <v>1</v>
      </c>
      <c r="E3">
        <v>3249189.4252900002</v>
      </c>
      <c r="F3" t="str">
        <f>CONCATENATE(H3,I3)</f>
        <v>1H</v>
      </c>
      <c r="G3">
        <v>1</v>
      </c>
      <c r="H3">
        <v>1</v>
      </c>
      <c r="I3" t="s">
        <v>28</v>
      </c>
      <c r="J3">
        <v>49916</v>
      </c>
      <c r="M3">
        <v>1</v>
      </c>
      <c r="N3">
        <v>2</v>
      </c>
      <c r="O3">
        <v>0</v>
      </c>
      <c r="P3">
        <v>708155.218644173</v>
      </c>
    </row>
    <row r="4" spans="1:16" x14ac:dyDescent="0.25">
      <c r="A4" t="str">
        <f t="shared" ref="A4:A26" si="0">CONCATENATE(C4,D4)</f>
        <v>12</v>
      </c>
      <c r="B4">
        <v>2</v>
      </c>
      <c r="C4">
        <v>1</v>
      </c>
      <c r="D4">
        <v>2</v>
      </c>
      <c r="E4">
        <v>520680.59668000002</v>
      </c>
      <c r="F4" t="str">
        <f t="shared" ref="F4:F24" si="1">CONCATENATE(H4,I4)</f>
        <v>1M</v>
      </c>
      <c r="G4">
        <v>2</v>
      </c>
      <c r="H4">
        <v>1</v>
      </c>
      <c r="I4" t="s">
        <v>26</v>
      </c>
      <c r="J4">
        <v>572237</v>
      </c>
      <c r="M4">
        <v>2</v>
      </c>
      <c r="N4">
        <v>2</v>
      </c>
      <c r="O4">
        <v>1</v>
      </c>
      <c r="P4">
        <v>224404.57629239099</v>
      </c>
    </row>
    <row r="5" spans="1:16" x14ac:dyDescent="0.25">
      <c r="A5" t="str">
        <f t="shared" si="0"/>
        <v>13</v>
      </c>
      <c r="B5">
        <v>3</v>
      </c>
      <c r="C5">
        <v>1</v>
      </c>
      <c r="D5">
        <v>3</v>
      </c>
      <c r="E5">
        <v>211523.07670999999</v>
      </c>
      <c r="F5" t="str">
        <f t="shared" si="1"/>
        <v>1N</v>
      </c>
      <c r="G5">
        <v>3</v>
      </c>
      <c r="H5">
        <v>1</v>
      </c>
      <c r="I5" t="s">
        <v>27</v>
      </c>
      <c r="J5">
        <v>102202</v>
      </c>
      <c r="M5">
        <v>3</v>
      </c>
      <c r="N5">
        <v>3</v>
      </c>
      <c r="O5">
        <v>0</v>
      </c>
      <c r="P5">
        <v>409864.95293667901</v>
      </c>
    </row>
    <row r="6" spans="1:16" x14ac:dyDescent="0.25">
      <c r="A6" t="str">
        <f t="shared" si="0"/>
        <v>21</v>
      </c>
      <c r="B6">
        <v>4</v>
      </c>
      <c r="C6">
        <v>2</v>
      </c>
      <c r="D6">
        <v>1</v>
      </c>
      <c r="E6">
        <v>539503.15046999999</v>
      </c>
      <c r="F6" t="str">
        <f t="shared" si="1"/>
        <v>2H</v>
      </c>
      <c r="G6">
        <v>4</v>
      </c>
      <c r="H6">
        <v>2</v>
      </c>
      <c r="I6" t="s">
        <v>28</v>
      </c>
      <c r="J6">
        <v>21034</v>
      </c>
      <c r="M6">
        <v>4</v>
      </c>
      <c r="N6">
        <v>3</v>
      </c>
      <c r="O6">
        <v>1</v>
      </c>
      <c r="P6">
        <v>108821.53541470801</v>
      </c>
    </row>
    <row r="7" spans="1:16" x14ac:dyDescent="0.25">
      <c r="A7" t="str">
        <f t="shared" si="0"/>
        <v>22</v>
      </c>
      <c r="B7">
        <v>5</v>
      </c>
      <c r="C7">
        <v>2</v>
      </c>
      <c r="D7">
        <v>2</v>
      </c>
      <c r="E7">
        <v>255589.31758</v>
      </c>
      <c r="F7" t="str">
        <f t="shared" si="1"/>
        <v>2M</v>
      </c>
      <c r="G7">
        <v>5</v>
      </c>
      <c r="H7">
        <v>2</v>
      </c>
      <c r="I7" t="s">
        <v>26</v>
      </c>
      <c r="J7">
        <v>80633</v>
      </c>
      <c r="M7">
        <v>5</v>
      </c>
      <c r="N7">
        <v>4</v>
      </c>
      <c r="O7">
        <v>0</v>
      </c>
      <c r="P7">
        <v>328829.39696784498</v>
      </c>
    </row>
    <row r="8" spans="1:16" x14ac:dyDescent="0.25">
      <c r="A8" t="str">
        <f t="shared" si="0"/>
        <v>23</v>
      </c>
      <c r="B8">
        <v>6</v>
      </c>
      <c r="C8">
        <v>2</v>
      </c>
      <c r="D8">
        <v>3</v>
      </c>
      <c r="E8">
        <v>127730.72900000001</v>
      </c>
      <c r="F8" t="str">
        <f t="shared" si="1"/>
        <v>2N</v>
      </c>
      <c r="G8">
        <v>6</v>
      </c>
      <c r="H8">
        <v>2</v>
      </c>
      <c r="I8" t="s">
        <v>27</v>
      </c>
      <c r="J8">
        <v>61458</v>
      </c>
      <c r="M8">
        <v>6</v>
      </c>
      <c r="N8">
        <v>4</v>
      </c>
      <c r="O8">
        <v>1</v>
      </c>
      <c r="P8">
        <v>149160.370252238</v>
      </c>
    </row>
    <row r="9" spans="1:16" x14ac:dyDescent="0.25">
      <c r="A9" t="str">
        <f t="shared" si="0"/>
        <v>31</v>
      </c>
      <c r="B9">
        <v>7</v>
      </c>
      <c r="C9">
        <v>3</v>
      </c>
      <c r="D9">
        <v>1</v>
      </c>
      <c r="E9">
        <v>188503.06167</v>
      </c>
      <c r="F9" t="str">
        <f t="shared" si="1"/>
        <v>3H</v>
      </c>
      <c r="G9">
        <v>7</v>
      </c>
      <c r="H9">
        <v>3</v>
      </c>
      <c r="I9" t="s">
        <v>28</v>
      </c>
      <c r="J9">
        <v>8314</v>
      </c>
      <c r="M9">
        <v>7</v>
      </c>
      <c r="N9">
        <v>5</v>
      </c>
      <c r="O9">
        <v>0</v>
      </c>
      <c r="P9">
        <v>271510.26450212201</v>
      </c>
    </row>
    <row r="10" spans="1:16" x14ac:dyDescent="0.25">
      <c r="A10" t="str">
        <f t="shared" si="0"/>
        <v>32</v>
      </c>
      <c r="B10">
        <v>8</v>
      </c>
      <c r="C10">
        <v>3</v>
      </c>
      <c r="D10">
        <v>2</v>
      </c>
      <c r="E10">
        <v>115654.62635999999</v>
      </c>
      <c r="F10" t="str">
        <f t="shared" si="1"/>
        <v>3M</v>
      </c>
      <c r="G10">
        <v>8</v>
      </c>
      <c r="H10">
        <v>3</v>
      </c>
      <c r="I10" t="s">
        <v>26</v>
      </c>
      <c r="J10">
        <v>40788</v>
      </c>
      <c r="M10">
        <v>8</v>
      </c>
      <c r="N10">
        <v>5</v>
      </c>
      <c r="O10">
        <v>1</v>
      </c>
      <c r="P10">
        <v>172177.51443095901</v>
      </c>
    </row>
    <row r="11" spans="1:16" x14ac:dyDescent="0.25">
      <c r="A11" t="str">
        <f t="shared" si="0"/>
        <v>33</v>
      </c>
      <c r="B11">
        <v>9</v>
      </c>
      <c r="C11">
        <v>3</v>
      </c>
      <c r="D11">
        <v>3</v>
      </c>
      <c r="E11">
        <v>37579.378779999999</v>
      </c>
      <c r="F11" t="str">
        <f t="shared" si="1"/>
        <v>3N</v>
      </c>
      <c r="G11">
        <v>9</v>
      </c>
      <c r="H11">
        <v>3</v>
      </c>
      <c r="I11" t="s">
        <v>27</v>
      </c>
      <c r="J11">
        <v>22672</v>
      </c>
    </row>
    <row r="12" spans="1:16" x14ac:dyDescent="0.25">
      <c r="A12" t="str">
        <f t="shared" si="0"/>
        <v>41</v>
      </c>
      <c r="B12">
        <v>10</v>
      </c>
      <c r="C12">
        <v>4</v>
      </c>
      <c r="D12">
        <v>1</v>
      </c>
      <c r="E12">
        <v>3489.1590099999999</v>
      </c>
      <c r="F12" t="str">
        <f t="shared" si="1"/>
        <v>4H</v>
      </c>
      <c r="G12">
        <v>10</v>
      </c>
      <c r="H12">
        <v>4</v>
      </c>
      <c r="I12" t="s">
        <v>28</v>
      </c>
      <c r="J12">
        <v>79009</v>
      </c>
      <c r="M12" t="s">
        <v>3</v>
      </c>
    </row>
    <row r="13" spans="1:16" x14ac:dyDescent="0.25">
      <c r="A13" t="str">
        <f t="shared" si="0"/>
        <v>42</v>
      </c>
      <c r="B13">
        <v>11</v>
      </c>
      <c r="C13">
        <v>4</v>
      </c>
      <c r="D13">
        <v>2</v>
      </c>
      <c r="E13">
        <v>665440.65743999998</v>
      </c>
      <c r="F13" t="str">
        <f t="shared" si="1"/>
        <v>4N</v>
      </c>
      <c r="G13">
        <v>11</v>
      </c>
      <c r="H13">
        <v>4</v>
      </c>
      <c r="I13" t="s">
        <v>27</v>
      </c>
      <c r="J13">
        <v>69798</v>
      </c>
      <c r="N13" t="s">
        <v>78</v>
      </c>
      <c r="O13" t="s">
        <v>157</v>
      </c>
      <c r="P13" t="s">
        <v>39</v>
      </c>
    </row>
    <row r="14" spans="1:16" x14ac:dyDescent="0.25">
      <c r="A14" t="str">
        <f t="shared" si="0"/>
        <v>43</v>
      </c>
      <c r="B14">
        <v>12</v>
      </c>
      <c r="C14">
        <v>4</v>
      </c>
      <c r="D14">
        <v>3</v>
      </c>
      <c r="E14">
        <v>208026.05838</v>
      </c>
      <c r="F14" t="str">
        <f t="shared" si="1"/>
        <v>5H</v>
      </c>
      <c r="G14">
        <v>12</v>
      </c>
      <c r="H14">
        <v>5</v>
      </c>
      <c r="I14" t="s">
        <v>28</v>
      </c>
      <c r="J14">
        <v>69798</v>
      </c>
      <c r="M14">
        <v>1</v>
      </c>
      <c r="N14">
        <v>2</v>
      </c>
      <c r="O14">
        <v>0</v>
      </c>
      <c r="P14">
        <v>225847</v>
      </c>
    </row>
    <row r="15" spans="1:16" x14ac:dyDescent="0.25">
      <c r="A15" t="str">
        <f t="shared" si="0"/>
        <v>51</v>
      </c>
      <c r="B15">
        <v>13</v>
      </c>
      <c r="C15">
        <v>5</v>
      </c>
      <c r="D15">
        <v>1</v>
      </c>
      <c r="E15">
        <v>2406.9838500000001</v>
      </c>
      <c r="F15" t="str">
        <f t="shared" si="1"/>
        <v>5N</v>
      </c>
      <c r="G15">
        <v>13</v>
      </c>
      <c r="H15">
        <v>5</v>
      </c>
      <c r="I15" t="s">
        <v>27</v>
      </c>
      <c r="J15">
        <v>142413</v>
      </c>
      <c r="M15">
        <v>2</v>
      </c>
      <c r="N15">
        <v>2</v>
      </c>
      <c r="O15">
        <v>1</v>
      </c>
      <c r="P15">
        <v>7415</v>
      </c>
    </row>
    <row r="16" spans="1:16" x14ac:dyDescent="0.25">
      <c r="A16" t="str">
        <f t="shared" si="0"/>
        <v>52</v>
      </c>
      <c r="B16">
        <v>14</v>
      </c>
      <c r="C16">
        <v>5</v>
      </c>
      <c r="D16">
        <v>2</v>
      </c>
      <c r="E16">
        <v>727789.67656000005</v>
      </c>
      <c r="F16" t="str">
        <f t="shared" si="1"/>
        <v>6H</v>
      </c>
      <c r="G16">
        <v>14</v>
      </c>
      <c r="H16">
        <v>6</v>
      </c>
      <c r="I16" t="s">
        <v>28</v>
      </c>
      <c r="J16">
        <v>4447</v>
      </c>
      <c r="M16">
        <v>3</v>
      </c>
      <c r="N16">
        <v>3</v>
      </c>
      <c r="O16">
        <v>0</v>
      </c>
      <c r="P16">
        <v>114865</v>
      </c>
    </row>
    <row r="17" spans="1:16" x14ac:dyDescent="0.25">
      <c r="A17" t="str">
        <f t="shared" si="0"/>
        <v>53</v>
      </c>
      <c r="B17">
        <v>15</v>
      </c>
      <c r="C17">
        <v>5</v>
      </c>
      <c r="D17">
        <v>3</v>
      </c>
      <c r="E17">
        <v>282782.34568000003</v>
      </c>
      <c r="F17" t="str">
        <f t="shared" si="1"/>
        <v>6M</v>
      </c>
      <c r="G17">
        <v>15</v>
      </c>
      <c r="H17">
        <v>6</v>
      </c>
      <c r="I17" t="s">
        <v>26</v>
      </c>
      <c r="J17">
        <v>49033</v>
      </c>
      <c r="M17">
        <v>4</v>
      </c>
      <c r="N17">
        <v>3</v>
      </c>
      <c r="O17">
        <v>1</v>
      </c>
      <c r="P17">
        <v>5511</v>
      </c>
    </row>
    <row r="18" spans="1:16" x14ac:dyDescent="0.25">
      <c r="A18" t="str">
        <f t="shared" si="0"/>
        <v>61</v>
      </c>
      <c r="B18">
        <v>16</v>
      </c>
      <c r="C18">
        <v>6</v>
      </c>
      <c r="D18">
        <v>1</v>
      </c>
      <c r="E18">
        <v>247191.18557</v>
      </c>
      <c r="F18" t="str">
        <f t="shared" si="1"/>
        <v>6N</v>
      </c>
      <c r="G18">
        <v>16</v>
      </c>
      <c r="H18">
        <v>6</v>
      </c>
      <c r="I18" t="s">
        <v>27</v>
      </c>
      <c r="J18">
        <v>9500</v>
      </c>
      <c r="M18">
        <v>5</v>
      </c>
      <c r="N18">
        <v>4</v>
      </c>
      <c r="O18">
        <v>0</v>
      </c>
      <c r="P18">
        <v>98925</v>
      </c>
    </row>
    <row r="19" spans="1:16" x14ac:dyDescent="0.25">
      <c r="A19" t="str">
        <f t="shared" si="0"/>
        <v>62</v>
      </c>
      <c r="B19">
        <v>17</v>
      </c>
      <c r="C19">
        <v>6</v>
      </c>
      <c r="D19">
        <v>2</v>
      </c>
      <c r="E19">
        <v>53516.176180000002</v>
      </c>
      <c r="F19" t="str">
        <f t="shared" si="1"/>
        <v>7H</v>
      </c>
      <c r="G19">
        <v>17</v>
      </c>
      <c r="H19">
        <v>7</v>
      </c>
      <c r="I19" t="s">
        <v>28</v>
      </c>
      <c r="J19">
        <v>25862</v>
      </c>
      <c r="M19">
        <v>6</v>
      </c>
      <c r="N19">
        <v>4</v>
      </c>
      <c r="O19">
        <v>1</v>
      </c>
      <c r="P19">
        <v>11473</v>
      </c>
    </row>
    <row r="20" spans="1:16" x14ac:dyDescent="0.25">
      <c r="A20" t="str">
        <f t="shared" si="0"/>
        <v>63</v>
      </c>
      <c r="B20">
        <v>18</v>
      </c>
      <c r="C20">
        <v>6</v>
      </c>
      <c r="D20">
        <v>3</v>
      </c>
      <c r="E20">
        <v>18509.641210000002</v>
      </c>
      <c r="F20" t="str">
        <f t="shared" si="1"/>
        <v>7M</v>
      </c>
      <c r="G20">
        <v>18</v>
      </c>
      <c r="H20">
        <v>7</v>
      </c>
      <c r="I20" t="s">
        <v>26</v>
      </c>
      <c r="J20">
        <v>221758</v>
      </c>
      <c r="M20">
        <v>7</v>
      </c>
      <c r="N20">
        <v>5</v>
      </c>
      <c r="O20">
        <v>0</v>
      </c>
      <c r="P20">
        <v>73725</v>
      </c>
    </row>
    <row r="21" spans="1:16" x14ac:dyDescent="0.25">
      <c r="A21" t="str">
        <f t="shared" si="0"/>
        <v>71</v>
      </c>
      <c r="B21">
        <v>19</v>
      </c>
      <c r="C21">
        <v>7</v>
      </c>
      <c r="D21">
        <v>1</v>
      </c>
      <c r="E21">
        <v>1058803.9947800001</v>
      </c>
      <c r="F21" t="str">
        <f t="shared" si="1"/>
        <v>7N</v>
      </c>
      <c r="G21">
        <v>19</v>
      </c>
      <c r="H21">
        <v>7</v>
      </c>
      <c r="I21" t="s">
        <v>27</v>
      </c>
      <c r="J21">
        <v>57313</v>
      </c>
      <c r="M21">
        <v>8</v>
      </c>
      <c r="N21">
        <v>5</v>
      </c>
      <c r="O21">
        <v>1</v>
      </c>
      <c r="P21" s="157">
        <v>17449</v>
      </c>
    </row>
    <row r="22" spans="1:16" x14ac:dyDescent="0.25">
      <c r="A22" t="str">
        <f t="shared" si="0"/>
        <v>72</v>
      </c>
      <c r="B22">
        <v>20</v>
      </c>
      <c r="C22">
        <v>7</v>
      </c>
      <c r="D22">
        <v>2</v>
      </c>
      <c r="E22">
        <v>322596.46004999999</v>
      </c>
      <c r="F22" t="str">
        <f t="shared" si="1"/>
        <v>8H</v>
      </c>
      <c r="G22">
        <v>20</v>
      </c>
      <c r="H22">
        <v>8</v>
      </c>
      <c r="I22" t="s">
        <v>28</v>
      </c>
      <c r="J22">
        <v>50807</v>
      </c>
    </row>
    <row r="23" spans="1:16" x14ac:dyDescent="0.25">
      <c r="A23" t="str">
        <f t="shared" si="0"/>
        <v>73</v>
      </c>
      <c r="B23">
        <v>21</v>
      </c>
      <c r="C23">
        <v>7</v>
      </c>
      <c r="D23">
        <v>3</v>
      </c>
      <c r="E23">
        <v>116788.42484000001</v>
      </c>
      <c r="F23" t="str">
        <f t="shared" si="1"/>
        <v>8M</v>
      </c>
      <c r="G23">
        <v>21</v>
      </c>
      <c r="H23">
        <v>8</v>
      </c>
      <c r="I23" t="s">
        <v>26</v>
      </c>
      <c r="J23">
        <v>49111</v>
      </c>
    </row>
    <row r="24" spans="1:16" x14ac:dyDescent="0.25">
      <c r="A24" t="str">
        <f t="shared" si="0"/>
        <v>81</v>
      </c>
      <c r="B24">
        <v>22</v>
      </c>
      <c r="C24">
        <v>8</v>
      </c>
      <c r="D24">
        <v>1</v>
      </c>
      <c r="E24">
        <v>238325.58789</v>
      </c>
      <c r="F24" t="str">
        <f t="shared" si="1"/>
        <v>8N</v>
      </c>
      <c r="G24">
        <v>22</v>
      </c>
      <c r="H24">
        <v>8</v>
      </c>
      <c r="I24" t="s">
        <v>27</v>
      </c>
      <c r="J24">
        <v>82018</v>
      </c>
    </row>
    <row r="25" spans="1:16" x14ac:dyDescent="0.25">
      <c r="A25" t="str">
        <f t="shared" si="0"/>
        <v>82</v>
      </c>
      <c r="B25">
        <v>23</v>
      </c>
      <c r="C25">
        <v>8</v>
      </c>
      <c r="D25">
        <v>2</v>
      </c>
      <c r="E25">
        <v>421232.32312000002</v>
      </c>
    </row>
    <row r="26" spans="1:16" x14ac:dyDescent="0.25">
      <c r="A26" t="str">
        <f t="shared" si="0"/>
        <v>83</v>
      </c>
      <c r="B26">
        <v>24</v>
      </c>
      <c r="C26">
        <v>8</v>
      </c>
      <c r="D26">
        <v>3</v>
      </c>
      <c r="E26">
        <v>227196.90883</v>
      </c>
      <c r="J26">
        <f>SUM(J3:J24)</f>
        <v>1870121</v>
      </c>
    </row>
  </sheetData>
  <mergeCells count="2">
    <mergeCell ref="B1:E1"/>
    <mergeCell ref="G1:J1"/>
  </mergeCells>
  <pageMargins left="0.7" right="0.7" top="0.75" bottom="0.75" header="0.3" footer="0.3"/>
  <pageSetup paperSize="0" orientation="portrait"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V61"/>
  <sheetViews>
    <sheetView workbookViewId="0"/>
  </sheetViews>
  <sheetFormatPr defaultRowHeight="15" x14ac:dyDescent="0.25"/>
  <cols>
    <col min="2" max="2" width="25.7109375" customWidth="1"/>
    <col min="3" max="3" width="11.140625" bestFit="1" customWidth="1"/>
    <col min="4" max="4" width="9" bestFit="1" customWidth="1"/>
    <col min="5" max="5" width="10.5703125" bestFit="1" customWidth="1"/>
    <col min="6" max="7" width="8.5703125" bestFit="1" customWidth="1"/>
    <col min="8" max="8" width="10.5703125" bestFit="1" customWidth="1"/>
    <col min="9" max="9" width="11.140625" bestFit="1" customWidth="1"/>
    <col min="10" max="10" width="19.140625" bestFit="1" customWidth="1"/>
    <col min="11" max="11" width="10.5703125" bestFit="1" customWidth="1"/>
    <col min="12" max="12" width="9" bestFit="1" customWidth="1"/>
    <col min="13" max="13" width="10.5703125" bestFit="1" customWidth="1"/>
    <col min="14" max="14" width="8.5703125" bestFit="1" customWidth="1"/>
    <col min="15" max="15" width="8" bestFit="1" customWidth="1"/>
    <col min="16" max="16" width="10.5703125" bestFit="1" customWidth="1"/>
    <col min="22" max="22" width="9.5703125" bestFit="1" customWidth="1"/>
  </cols>
  <sheetData>
    <row r="1" spans="1:18" ht="21" x14ac:dyDescent="0.35">
      <c r="A1" s="172" t="s">
        <v>371</v>
      </c>
    </row>
    <row r="2" spans="1:18" ht="19.5" thickBot="1" x14ac:dyDescent="0.35">
      <c r="B2" s="392" t="s">
        <v>428</v>
      </c>
      <c r="C2" s="392"/>
      <c r="D2" s="392"/>
      <c r="E2" s="392"/>
      <c r="F2" s="392"/>
      <c r="G2" s="392"/>
      <c r="H2" s="392"/>
      <c r="J2" s="392" t="s">
        <v>3</v>
      </c>
      <c r="K2" s="392"/>
      <c r="L2" s="392"/>
      <c r="M2" s="392"/>
      <c r="N2" s="392"/>
      <c r="O2" s="392"/>
      <c r="P2" s="392"/>
    </row>
    <row r="3" spans="1:18" ht="16.5" thickTop="1" thickBot="1" x14ac:dyDescent="0.3">
      <c r="B3" s="64" t="s">
        <v>25</v>
      </c>
      <c r="C3" s="64" t="s">
        <v>46</v>
      </c>
      <c r="D3" s="64" t="s">
        <v>47</v>
      </c>
      <c r="E3" s="64" t="s">
        <v>48</v>
      </c>
      <c r="F3" s="64" t="s">
        <v>49</v>
      </c>
      <c r="G3" s="64" t="s">
        <v>50</v>
      </c>
      <c r="H3" s="64" t="s">
        <v>29</v>
      </c>
      <c r="I3" s="127">
        <f>I4+I5+I6</f>
        <v>6</v>
      </c>
      <c r="J3" s="64" t="s">
        <v>25</v>
      </c>
      <c r="K3" s="64" t="s">
        <v>46</v>
      </c>
      <c r="L3" s="64" t="s">
        <v>47</v>
      </c>
      <c r="M3" s="64" t="s">
        <v>48</v>
      </c>
      <c r="N3" s="64" t="s">
        <v>49</v>
      </c>
      <c r="O3" s="64" t="s">
        <v>50</v>
      </c>
      <c r="P3" s="64" t="s">
        <v>29</v>
      </c>
    </row>
    <row r="4" spans="1:18" ht="15.75" thickTop="1" x14ac:dyDescent="0.25">
      <c r="A4" s="89">
        <v>1</v>
      </c>
      <c r="B4" s="61" t="s">
        <v>30</v>
      </c>
      <c r="C4" s="62">
        <f>IF(ISNA(VLOOKUP(CONCATENATE($A4,C$13),mtf_input!$G$3:$K$31,5,FALSE)),0,VLOOKUP(CONCATENATE($A4,C$13),mtf_input!$G$3:$K$31,5,FALSE))</f>
        <v>3013319.5800100002</v>
      </c>
      <c r="D4" s="62">
        <f>IF(ISNA(VLOOKUP(CONCATENATE($A4,D$13),mtf_input!$G$3:$K$31,5,FALSE)),0,VLOOKUP(CONCATENATE($A4,D$13),mtf_input!$G$3:$K$31,5,FALSE))</f>
        <v>195227.01345999999</v>
      </c>
      <c r="E4" s="62">
        <f>IF(ISNA(VLOOKUP(CONCATENATE($A4,E$13),mtf_input!$G$3:$K$31,5,FALSE)),0,VLOOKUP(CONCATENATE($A4,E$13),mtf_input!$G$3:$K$31,5,FALSE))</f>
        <v>16185.437599999999</v>
      </c>
      <c r="F4" s="62">
        <f>IF(ISNA(VLOOKUP(CONCATENATE($A4,F$13),mtf_input!$G$3:$K$31,5,FALSE)),0,VLOOKUP(CONCATENATE($A4,F$13),mtf_input!$G$3:$K$31,5,FALSE))</f>
        <v>310.17415999999997</v>
      </c>
      <c r="G4" s="62">
        <f>IF(ISNA(VLOOKUP(CONCATENATE($A4,G$13),mtf_input!$G$3:$K$31,5,FALSE)),0,VLOOKUP(CONCATENATE($A4,G$13),mtf_input!$G$3:$K$31,5,FALSE))</f>
        <v>26078.269660000002</v>
      </c>
      <c r="H4" s="63">
        <f>SUM(C4:G4)</f>
        <v>3251120.4748900002</v>
      </c>
      <c r="I4" s="89">
        <v>1</v>
      </c>
      <c r="J4" s="61" t="s">
        <v>30</v>
      </c>
      <c r="K4" s="62">
        <f>IF(ISNA(VLOOKUP(CONCATENATE($I4,K$13),mtf_input!$A$3:$E$17,5,FALSE)),0,VLOOKUP(CONCATENATE($A4,C$13),mtf_input!$A$3:$E$17,5,FALSE))*Index!$B$2</f>
        <v>2727010</v>
      </c>
      <c r="L4" s="62">
        <f>IF(ISNA(VLOOKUP(CONCATENATE($I4,L$13),mtf_input!$A$3:$E$17,5,FALSE)),0,VLOOKUP(CONCATENATE($A4,D$13),mtf_input!$A$3:$E$17,5,FALSE))*Index!$B$2</f>
        <v>134175</v>
      </c>
      <c r="M4" s="62">
        <f>IF(ISNA(VLOOKUP(CONCATENATE($I4,M$13),mtf_input!$A$3:$E$17,5,FALSE)),0,VLOOKUP(CONCATENATE($A4,E$13),mtf_input!$A$3:$E$17,5,FALSE))*Index!$B$2</f>
        <v>0</v>
      </c>
      <c r="N4" s="62">
        <f>IF(ISNA(VLOOKUP(CONCATENATE($I4,N$13),mtf_input!$A$3:$E$17,5,FALSE)),0,VLOOKUP(CONCATENATE($A4,F$13),mtf_input!$A$3:$E$17,5,FALSE))*Index!$B$2</f>
        <v>0</v>
      </c>
      <c r="O4" s="62">
        <f>IF(ISNA(VLOOKUP(CONCATENATE($I4,O$13),mtf_input!$A$3:$E$17,5,FALSE)),0,VLOOKUP(CONCATENATE($A4,G$13),mtf_input!$A$3:$E$17,5,FALSE))*Index!$B$2</f>
        <v>0</v>
      </c>
      <c r="P4" s="63">
        <f>SUM(K4:O4)</f>
        <v>2861185</v>
      </c>
    </row>
    <row r="5" spans="1:18" x14ac:dyDescent="0.25">
      <c r="A5" s="89">
        <v>2</v>
      </c>
      <c r="B5" s="61" t="s">
        <v>31</v>
      </c>
      <c r="C5" s="62">
        <f>IF(ISNA(VLOOKUP(CONCATENATE($A5,C$13),mtf_input!$G$3:$K$31,5,FALSE)),0,VLOOKUP(CONCATENATE($A5,C$13),mtf_input!$G$3:$K$31,5,FALSE))</f>
        <v>487298.49780000001</v>
      </c>
      <c r="D5" s="62">
        <f>IF(ISNA(VLOOKUP(CONCATENATE($A5,D$13),mtf_input!$G$3:$K$31,5,FALSE)),0,VLOOKUP(CONCATENATE($A5,D$13),mtf_input!$G$3:$K$31,5,FALSE))</f>
        <v>42808.428240000001</v>
      </c>
      <c r="E5" s="62">
        <f>IF(ISNA(VLOOKUP(CONCATENATE($A5,E$13),mtf_input!$G$3:$K$31,5,FALSE)),0,VLOOKUP(CONCATENATE($A5,E$13),mtf_input!$G$3:$K$31,5,FALSE))</f>
        <v>5110.5820700000004</v>
      </c>
      <c r="F5" s="62">
        <f>IF(ISNA(VLOOKUP(CONCATENATE($A5,F$13),mtf_input!$G$3:$K$31,5,FALSE)),0,VLOOKUP(CONCATENATE($A5,F$13),mtf_input!$G$3:$K$31,5,FALSE))</f>
        <v>0</v>
      </c>
      <c r="G5" s="62">
        <f>IF(ISNA(VLOOKUP(CONCATENATE($A5,G$13),mtf_input!$G$3:$K$31,5,FALSE)),0,VLOOKUP(CONCATENATE($A5,G$13),mtf_input!$G$3:$K$31,5,FALSE))</f>
        <v>4434.8388699999996</v>
      </c>
      <c r="H5" s="63">
        <f t="shared" ref="H5:H12" si="0">SUM(C5:G5)</f>
        <v>539652.34698000003</v>
      </c>
      <c r="I5" s="89">
        <v>2</v>
      </c>
      <c r="J5" s="61" t="s">
        <v>31</v>
      </c>
      <c r="K5" s="62">
        <f>IF(ISNA(VLOOKUP(CONCATENATE($I5,K$13),mtf_input!$A$3:$E$17,5,FALSE)),0,VLOOKUP(CONCATENATE($A5,C$13),mtf_input!$A$3:$E$17,5,FALSE))*Index!$B$2</f>
        <v>378680</v>
      </c>
      <c r="L5" s="62">
        <f>IF(ISNA(VLOOKUP(CONCATENATE($I5,L$13),mtf_input!$A$3:$E$17,5,FALSE)),0,VLOOKUP(CONCATENATE($A5,D$13),mtf_input!$A$3:$E$17,5,FALSE))*Index!$B$2</f>
        <v>24485</v>
      </c>
      <c r="M5" s="62">
        <f>IF(ISNA(VLOOKUP(CONCATENATE($I5,M$13),mtf_input!$A$3:$E$17,5,FALSE)),0,VLOOKUP(CONCATENATE($A5,E$13),mtf_input!$A$3:$E$17,5,FALSE))*Index!$B$2</f>
        <v>0</v>
      </c>
      <c r="N5" s="62">
        <f>IF(ISNA(VLOOKUP(CONCATENATE($I5,N$13),mtf_input!$A$3:$E$17,5,FALSE)),0,VLOOKUP(CONCATENATE($A5,F$13),mtf_input!$A$3:$E$17,5,FALSE))*Index!$B$2</f>
        <v>0</v>
      </c>
      <c r="O5" s="62">
        <f>IF(ISNA(VLOOKUP(CONCATENATE($I5,O$13),mtf_input!$A$3:$E$17,5,FALSE)),0,VLOOKUP(CONCATENATE($A5,G$13),mtf_input!$A$3:$E$17,5,FALSE))*Index!$B$2</f>
        <v>0</v>
      </c>
      <c r="P5" s="63">
        <f t="shared" ref="P5:P12" si="1">SUM(K5:O5)</f>
        <v>403165</v>
      </c>
    </row>
    <row r="6" spans="1:18" x14ac:dyDescent="0.25">
      <c r="A6" s="89">
        <v>3</v>
      </c>
      <c r="B6" s="61" t="s">
        <v>32</v>
      </c>
      <c r="C6" s="62">
        <f>IF(ISNA(VLOOKUP(CONCATENATE($A6,C$13),mtf_input!$G$3:$K$31,5,FALSE)),0,VLOOKUP(CONCATENATE($A6,C$13),mtf_input!$G$3:$K$31,5,FALSE))</f>
        <v>52996.14284</v>
      </c>
      <c r="D6" s="62">
        <f>IF(ISNA(VLOOKUP(CONCATENATE($A6,D$13),mtf_input!$G$3:$K$31,5,FALSE)),0,VLOOKUP(CONCATENATE($A6,D$13),mtf_input!$G$3:$K$31,5,FALSE))</f>
        <v>981.21139000000005</v>
      </c>
      <c r="E6" s="62">
        <f>IF(ISNA(VLOOKUP(CONCATENATE($A6,E$13),mtf_input!$G$3:$K$31,5,FALSE)),0,VLOOKUP(CONCATENATE($A6,E$13),mtf_input!$G$3:$K$31,5,FALSE))</f>
        <v>116430.16211</v>
      </c>
      <c r="F6" s="62">
        <f>IF(ISNA(VLOOKUP(CONCATENATE($A6,F$13),mtf_input!$G$3:$K$31,5,FALSE)),0,VLOOKUP(CONCATENATE($A6,F$13),mtf_input!$G$3:$K$31,5,FALSE))</f>
        <v>4778.3906800000004</v>
      </c>
      <c r="G6" s="62">
        <f>IF(ISNA(VLOOKUP(CONCATENATE($A6,G$13),mtf_input!$G$3:$K$31,5,FALSE)),0,VLOOKUP(CONCATENATE($A6,G$13),mtf_input!$G$3:$K$31,5,FALSE))</f>
        <v>13317.15465</v>
      </c>
      <c r="H6" s="63">
        <f t="shared" si="0"/>
        <v>188503.06167000002</v>
      </c>
      <c r="I6" s="89">
        <v>3</v>
      </c>
      <c r="J6" s="61" t="s">
        <v>32</v>
      </c>
      <c r="K6" s="62">
        <f>IF(ISNA(VLOOKUP(CONCATENATE($I6,K$13),mtf_input!$A$3:$E$17,5,FALSE)),0,VLOOKUP(CONCATENATE($A6,C$13),mtf_input!$A$3:$E$17,5,FALSE))*Index!$B$2</f>
        <v>65065</v>
      </c>
      <c r="L6" s="62">
        <f>IF(ISNA(VLOOKUP(CONCATENATE($I6,L$13),mtf_input!$A$3:$E$17,5,FALSE)),0,VLOOKUP(CONCATENATE($A6,D$13),mtf_input!$A$3:$E$17,5,FALSE))*Index!$B$2</f>
        <v>3340</v>
      </c>
      <c r="M6" s="62">
        <f>IF(ISNA(VLOOKUP(CONCATENATE($I6,M$13),mtf_input!$A$3:$E$17,5,FALSE)),0,VLOOKUP(CONCATENATE($A6,E$13),mtf_input!$A$3:$E$17,5,FALSE))*Index!$B$2</f>
        <v>118730</v>
      </c>
      <c r="N6" s="62">
        <f>IF(ISNA(VLOOKUP(CONCATENATE($I6,N$13),mtf_input!$A$3:$E$17,5,FALSE)),0,VLOOKUP(CONCATENATE($A6,F$13),mtf_input!$A$3:$E$17,5,FALSE))*Index!$B$2</f>
        <v>8965</v>
      </c>
      <c r="O6" s="62">
        <f>IF(ISNA(VLOOKUP(CONCATENATE($I6,O$13),mtf_input!$A$3:$E$17,5,FALSE)),0,VLOOKUP(CONCATENATE($A6,G$13),mtf_input!$A$3:$E$17,5,FALSE))*Index!$B$2</f>
        <v>7840</v>
      </c>
      <c r="P6" s="63">
        <f t="shared" si="1"/>
        <v>203940</v>
      </c>
      <c r="R6" s="89">
        <f>M6+2*N6+O6</f>
        <v>144500</v>
      </c>
    </row>
    <row r="7" spans="1:18" x14ac:dyDescent="0.25">
      <c r="A7" s="89">
        <v>4</v>
      </c>
      <c r="B7" s="61" t="s">
        <v>33</v>
      </c>
      <c r="C7" s="62">
        <f>IF(ISNA(VLOOKUP(CONCATENATE($A7,C$13),mtf_input!$G$3:$K$31,5,FALSE)),0,VLOOKUP(CONCATENATE($A7,C$13),mtf_input!$G$3:$K$31,5,FALSE))</f>
        <v>953.22026000000005</v>
      </c>
      <c r="D7" s="62">
        <f>IF(ISNA(VLOOKUP(CONCATENATE($A7,D$13),mtf_input!$G$3:$K$31,5,FALSE)),0,VLOOKUP(CONCATENATE($A7,D$13),mtf_input!$G$3:$K$31,5,FALSE))</f>
        <v>0</v>
      </c>
      <c r="E7" s="62">
        <f>IF(ISNA(VLOOKUP(CONCATENATE($A7,E$13),mtf_input!$G$3:$K$31,5,FALSE)),0,VLOOKUP(CONCATENATE($A7,E$13),mtf_input!$G$3:$K$31,5,FALSE))</f>
        <v>2107.9122600000001</v>
      </c>
      <c r="F7" s="62">
        <f>IF(ISNA(VLOOKUP(CONCATENATE($A7,F$13),mtf_input!$G$3:$K$31,5,FALSE)),0,VLOOKUP(CONCATENATE($A7,F$13),mtf_input!$G$3:$K$31,5,FALSE))</f>
        <v>0</v>
      </c>
      <c r="G7" s="62">
        <f>IF(ISNA(VLOOKUP(CONCATENATE($A7,G$13),mtf_input!$G$3:$K$31,5,FALSE)),0,VLOOKUP(CONCATENATE($A7,G$13),mtf_input!$G$3:$K$31,5,FALSE))</f>
        <v>428.02649000000002</v>
      </c>
      <c r="H7" s="63">
        <f t="shared" si="0"/>
        <v>3489.1590100000003</v>
      </c>
      <c r="I7" s="89">
        <v>4</v>
      </c>
      <c r="J7" s="61" t="s">
        <v>33</v>
      </c>
      <c r="K7" s="62">
        <f>IF(ISNA(VLOOKUP(CONCATENATE($I7,K$13),mtf_input!$A$3:$E$17,5,FALSE)),0,VLOOKUP(CONCATENATE($A7,C$13),mtf_input!$A$3:$E$17,5,FALSE))*Index!$B$2</f>
        <v>0</v>
      </c>
      <c r="L7" s="62">
        <f>IF(ISNA(VLOOKUP(CONCATENATE($I7,L$13),mtf_input!$A$3:$E$17,5,FALSE)),0,VLOOKUP(CONCATENATE($A7,D$13),mtf_input!$A$3:$E$17,5,FALSE))*Index!$B$2</f>
        <v>0</v>
      </c>
      <c r="M7" s="62">
        <f>IF(ISNA(VLOOKUP(CONCATENATE($I7,M$13),mtf_input!$A$3:$E$17,5,FALSE)),0,VLOOKUP(CONCATENATE($A7,E$13),mtf_input!$A$3:$E$17,5,FALSE))*Index!$B$2</f>
        <v>0</v>
      </c>
      <c r="N7" s="62">
        <f>IF(ISNA(VLOOKUP(CONCATENATE($I7,N$13),mtf_input!$A$3:$E$17,5,FALSE)),0,VLOOKUP(CONCATENATE($A7,F$13),mtf_input!$A$3:$E$17,5,FALSE))*Index!$B$2</f>
        <v>0</v>
      </c>
      <c r="O7" s="62">
        <f>IF(ISNA(VLOOKUP(CONCATENATE($I7,O$13),mtf_input!$A$3:$E$17,5,FALSE)),0,VLOOKUP(CONCATENATE($A7,G$13),mtf_input!$A$3:$E$17,5,FALSE))*Index!$B$2</f>
        <v>0</v>
      </c>
      <c r="P7" s="63">
        <f t="shared" si="1"/>
        <v>0</v>
      </c>
    </row>
    <row r="8" spans="1:18" x14ac:dyDescent="0.25">
      <c r="A8" s="89">
        <v>5</v>
      </c>
      <c r="B8" s="61" t="s">
        <v>34</v>
      </c>
      <c r="C8" s="62">
        <f>IF(ISNA(VLOOKUP(CONCATENATE($A8,C$13),mtf_input!$G$3:$K$31,5,FALSE)),0,VLOOKUP(CONCATENATE($A8,C$13),mtf_input!$G$3:$K$31,5,FALSE))</f>
        <v>1040.8098600000001</v>
      </c>
      <c r="D8" s="62">
        <f>IF(ISNA(VLOOKUP(CONCATENATE($A8,D$13),mtf_input!$G$3:$K$31,5,FALSE)),0,VLOOKUP(CONCATENATE($A8,D$13),mtf_input!$G$3:$K$31,5,FALSE))</f>
        <v>0</v>
      </c>
      <c r="E8" s="62">
        <f>IF(ISNA(VLOOKUP(CONCATENATE($A8,E$13),mtf_input!$G$3:$K$31,5,FALSE)),0,VLOOKUP(CONCATENATE($A8,E$13),mtf_input!$G$3:$K$31,5,FALSE))</f>
        <v>1366.17399</v>
      </c>
      <c r="F8" s="62">
        <f>IF(ISNA(VLOOKUP(CONCATENATE($A8,F$13),mtf_input!$G$3:$K$31,5,FALSE)),0,VLOOKUP(CONCATENATE($A8,F$13),mtf_input!$G$3:$K$31,5,FALSE))</f>
        <v>0</v>
      </c>
      <c r="G8" s="62">
        <f>IF(ISNA(VLOOKUP(CONCATENATE($A8,G$13),mtf_input!$G$3:$K$31,5,FALSE)),0,VLOOKUP(CONCATENATE($A8,G$13),mtf_input!$G$3:$K$31,5,FALSE))</f>
        <v>0</v>
      </c>
      <c r="H8" s="63">
        <f t="shared" si="0"/>
        <v>2406.9838500000001</v>
      </c>
      <c r="I8" s="89">
        <v>5</v>
      </c>
      <c r="J8" s="61" t="s">
        <v>34</v>
      </c>
      <c r="K8" s="62">
        <f>IF(ISNA(VLOOKUP(CONCATENATE($I8,K$13),mtf_input!$A$3:$E$17,5,FALSE)),0,VLOOKUP(CONCATENATE($A8,C$13),mtf_input!$A$3:$E$17,5,FALSE))*Index!$B$2</f>
        <v>0</v>
      </c>
      <c r="L8" s="62">
        <f>IF(ISNA(VLOOKUP(CONCATENATE($I8,L$13),mtf_input!$A$3:$E$17,5,FALSE)),0,VLOOKUP(CONCATENATE($A8,D$13),mtf_input!$A$3:$E$17,5,FALSE))*Index!$B$2</f>
        <v>0</v>
      </c>
      <c r="M8" s="62">
        <f>IF(ISNA(VLOOKUP(CONCATENATE($I8,M$13),mtf_input!$A$3:$E$17,5,FALSE)),0,VLOOKUP(CONCATENATE($A8,E$13),mtf_input!$A$3:$E$17,5,FALSE))*Index!$B$2</f>
        <v>0</v>
      </c>
      <c r="N8" s="62">
        <f>IF(ISNA(VLOOKUP(CONCATENATE($I8,N$13),mtf_input!$A$3:$E$17,5,FALSE)),0,VLOOKUP(CONCATENATE($A8,F$13),mtf_input!$A$3:$E$17,5,FALSE))*Index!$B$2</f>
        <v>0</v>
      </c>
      <c r="O8" s="62">
        <f>IF(ISNA(VLOOKUP(CONCATENATE($I8,O$13),mtf_input!$A$3:$E$17,5,FALSE)),0,VLOOKUP(CONCATENATE($A8,G$13),mtf_input!$A$3:$E$17,5,FALSE))*Index!$B$2</f>
        <v>0</v>
      </c>
      <c r="P8" s="63">
        <f t="shared" si="1"/>
        <v>0</v>
      </c>
    </row>
    <row r="9" spans="1:18" x14ac:dyDescent="0.25">
      <c r="A9" s="89">
        <v>6</v>
      </c>
      <c r="B9" s="61" t="s">
        <v>35</v>
      </c>
      <c r="C9" s="62">
        <f>IF(ISNA(VLOOKUP(CONCATENATE($A9,C$13),mtf_input!$G$3:$K$31,5,FALSE)),0,VLOOKUP(CONCATENATE($A9,C$13),mtf_input!$G$3:$K$31,5,FALSE))</f>
        <v>9545.2566499999994</v>
      </c>
      <c r="D9" s="62">
        <f>IF(ISNA(VLOOKUP(CONCATENATE($A9,D$13),mtf_input!$G$3:$K$31,5,FALSE)),0,VLOOKUP(CONCATENATE($A9,D$13),mtf_input!$G$3:$K$31,5,FALSE))</f>
        <v>249.15765999999999</v>
      </c>
      <c r="E9" s="62">
        <f>IF(ISNA(VLOOKUP(CONCATENATE($A9,E$13),mtf_input!$G$3:$K$31,5,FALSE)),0,VLOOKUP(CONCATENATE($A9,E$13),mtf_input!$G$3:$K$31,5,FALSE))</f>
        <v>220983.06417</v>
      </c>
      <c r="F9" s="62">
        <f>IF(ISNA(VLOOKUP(CONCATENATE($A9,F$13),mtf_input!$G$3:$K$31,5,FALSE)),0,VLOOKUP(CONCATENATE($A9,F$13),mtf_input!$G$3:$K$31,5,FALSE))</f>
        <v>2294.5371799999998</v>
      </c>
      <c r="G9" s="62">
        <f>IF(ISNA(VLOOKUP(CONCATENATE($A9,G$13),mtf_input!$G$3:$K$31,5,FALSE)),0,VLOOKUP(CONCATENATE($A9,G$13),mtf_input!$G$3:$K$31,5,FALSE))</f>
        <v>14119.169910000001</v>
      </c>
      <c r="H9" s="63">
        <f t="shared" si="0"/>
        <v>247191.18557</v>
      </c>
      <c r="I9" s="89">
        <v>6</v>
      </c>
      <c r="J9" s="61" t="s">
        <v>35</v>
      </c>
      <c r="K9" s="62">
        <f>IF(ISNA(VLOOKUP(CONCATENATE($I9,K$13),mtf_input!$A$3:$E$17,5,FALSE)),0,VLOOKUP(CONCATENATE($A9,C$13),mtf_input!$A$3:$E$17,5,FALSE))*Index!$B$2</f>
        <v>0</v>
      </c>
      <c r="L9" s="62">
        <f>IF(ISNA(VLOOKUP(CONCATENATE($I9,L$13),mtf_input!$A$3:$E$17,5,FALSE)),0,VLOOKUP(CONCATENATE($A9,D$13),mtf_input!$A$3:$E$17,5,FALSE))*Index!$B$2</f>
        <v>0</v>
      </c>
      <c r="M9" s="62">
        <f>IF(ISNA(VLOOKUP(CONCATENATE($I9,M$13),mtf_input!$A$3:$E$17,5,FALSE)),0,VLOOKUP(CONCATENATE($A9,E$13),mtf_input!$A$3:$E$17,5,FALSE))*Index!$B$2</f>
        <v>227995</v>
      </c>
      <c r="N9" s="62">
        <f>IF(ISNA(VLOOKUP(CONCATENATE($I9,N$13),mtf_input!$A$3:$E$17,5,FALSE)),0,VLOOKUP(CONCATENATE($A9,F$13),mtf_input!$A$3:$E$17,5,FALSE))*Index!$B$2</f>
        <v>4575</v>
      </c>
      <c r="O9" s="62">
        <f>IF(ISNA(VLOOKUP(CONCATENATE($I9,O$13),mtf_input!$A$3:$E$17,5,FALSE)),0,VLOOKUP(CONCATENATE($A9,G$13),mtf_input!$A$3:$E$17,5,FALSE))*Index!$B$2</f>
        <v>12595</v>
      </c>
      <c r="P9" s="63">
        <f t="shared" si="1"/>
        <v>245165</v>
      </c>
    </row>
    <row r="10" spans="1:18" x14ac:dyDescent="0.25">
      <c r="A10" s="89">
        <v>7</v>
      </c>
      <c r="B10" s="61" t="s">
        <v>36</v>
      </c>
      <c r="C10" s="62">
        <f>IF(ISNA(VLOOKUP(CONCATENATE($A10,C$13),mtf_input!$G$3:$K$31,5,FALSE)),0,VLOOKUP(CONCATENATE($A10,C$13),mtf_input!$G$3:$K$31,5,FALSE))</f>
        <v>0</v>
      </c>
      <c r="D10" s="62">
        <f>IF(ISNA(VLOOKUP(CONCATENATE($A10,D$13),mtf_input!$G$3:$K$31,5,FALSE)),0,VLOOKUP(CONCATENATE($A10,D$13),mtf_input!$G$3:$K$31,5,FALSE))</f>
        <v>0</v>
      </c>
      <c r="E10" s="62">
        <f>IF(ISNA(VLOOKUP(CONCATENATE($A10,E$13),mtf_input!$G$3:$K$31,5,FALSE)),0,VLOOKUP(CONCATENATE($A10,E$13),mtf_input!$G$3:$K$31,5,FALSE))</f>
        <v>1054678.69401</v>
      </c>
      <c r="F10" s="62">
        <f>IF(ISNA(VLOOKUP(CONCATENATE($A10,F$13),mtf_input!$G$3:$K$31,5,FALSE)),0,VLOOKUP(CONCATENATE($A10,F$13),mtf_input!$G$3:$K$31,5,FALSE))</f>
        <v>4125.3007699999998</v>
      </c>
      <c r="G10" s="62">
        <f>IF(ISNA(VLOOKUP(CONCATENATE($A10,G$13),mtf_input!$G$3:$K$31,5,FALSE)),0,VLOOKUP(CONCATENATE($A10,G$13),mtf_input!$G$3:$K$31,5,FALSE))</f>
        <v>0</v>
      </c>
      <c r="H10" s="63">
        <f t="shared" si="0"/>
        <v>1058803.9947800001</v>
      </c>
      <c r="I10" s="89">
        <v>7</v>
      </c>
      <c r="J10" s="61" t="s">
        <v>36</v>
      </c>
      <c r="K10" s="62">
        <f>IF(ISNA(VLOOKUP(CONCATENATE($I10,K$13),mtf_input!$A$3:$E$17,5,FALSE)),0,VLOOKUP(CONCATENATE($A10,C$13),mtf_input!$A$3:$E$17,5,FALSE))*Index!$B$2</f>
        <v>0</v>
      </c>
      <c r="L10" s="62">
        <f>IF(ISNA(VLOOKUP(CONCATENATE($I10,L$13),mtf_input!$A$3:$E$17,5,FALSE)),0,VLOOKUP(CONCATENATE($A10,D$13),mtf_input!$A$3:$E$17,5,FALSE))*Index!$B$2</f>
        <v>0</v>
      </c>
      <c r="M10" s="62">
        <f>IF(ISNA(VLOOKUP(CONCATENATE($I10,M$13),mtf_input!$A$3:$E$17,5,FALSE)),0,VLOOKUP(CONCATENATE($A10,E$13),mtf_input!$A$3:$E$17,5,FALSE))*Index!$B$2</f>
        <v>1097040</v>
      </c>
      <c r="N10" s="62">
        <f>IF(ISNA(VLOOKUP(CONCATENATE($I10,N$13),mtf_input!$A$3:$E$17,5,FALSE)),0,VLOOKUP(CONCATENATE($A10,F$13),mtf_input!$A$3:$E$17,5,FALSE))*Index!$B$2</f>
        <v>11750</v>
      </c>
      <c r="O10" s="62">
        <f>IF(ISNA(VLOOKUP(CONCATENATE($I10,O$13),mtf_input!$A$3:$E$17,5,FALSE)),0,VLOOKUP(CONCATENATE($A10,G$13),mtf_input!$A$3:$E$17,5,FALSE))*Index!$B$2</f>
        <v>0</v>
      </c>
      <c r="P10" s="63">
        <f t="shared" si="1"/>
        <v>1108790</v>
      </c>
    </row>
    <row r="11" spans="1:18" x14ac:dyDescent="0.25">
      <c r="A11" s="89">
        <v>8</v>
      </c>
      <c r="B11" s="61" t="s">
        <v>37</v>
      </c>
      <c r="C11" s="62">
        <f>IF(ISNA(VLOOKUP(CONCATENATE($A11,C$13),mtf_input!$G$3:$K$31,5,FALSE)),0,VLOOKUP(CONCATENATE($A11,C$13),mtf_input!$G$3:$K$31,5,FALSE))</f>
        <v>0</v>
      </c>
      <c r="D11" s="62">
        <f>IF(ISNA(VLOOKUP(CONCATENATE($A11,D$13),mtf_input!$G$3:$K$31,5,FALSE)),0,VLOOKUP(CONCATENATE($A11,D$13),mtf_input!$G$3:$K$31,5,FALSE))</f>
        <v>0</v>
      </c>
      <c r="E11" s="62">
        <f>IF(ISNA(VLOOKUP(CONCATENATE($A11,E$13),mtf_input!$G$3:$K$31,5,FALSE)),0,VLOOKUP(CONCATENATE($A11,E$13),mtf_input!$G$3:$K$31,5,FALSE))</f>
        <v>237812.63088000001</v>
      </c>
      <c r="F11" s="62">
        <f>IF(ISNA(VLOOKUP(CONCATENATE($A11,F$13),mtf_input!$G$3:$K$31,5,FALSE)),0,VLOOKUP(CONCATENATE($A11,F$13),mtf_input!$G$3:$K$31,5,FALSE))</f>
        <v>512.95700999999997</v>
      </c>
      <c r="G11" s="62">
        <f>IF(ISNA(VLOOKUP(CONCATENATE($A11,G$13),mtf_input!$G$3:$K$31,5,FALSE)),0,VLOOKUP(CONCATENATE($A11,G$13),mtf_input!$G$3:$K$31,5,FALSE))</f>
        <v>0</v>
      </c>
      <c r="H11" s="63">
        <f t="shared" si="0"/>
        <v>238325.58789000002</v>
      </c>
      <c r="I11" s="89">
        <v>8</v>
      </c>
      <c r="J11" s="61" t="s">
        <v>37</v>
      </c>
      <c r="K11" s="62">
        <f>IF(ISNA(VLOOKUP(CONCATENATE($I11,K$13),mtf_input!$A$3:$E$17,5,FALSE)),0,VLOOKUP(CONCATENATE($A11,C$13),mtf_input!$A$3:$E$17,5,FALSE))*Index!$B$2</f>
        <v>0</v>
      </c>
      <c r="L11" s="62">
        <f>IF(ISNA(VLOOKUP(CONCATENATE($I11,L$13),mtf_input!$A$3:$E$17,5,FALSE)),0,VLOOKUP(CONCATENATE($A11,D$13),mtf_input!$A$3:$E$17,5,FALSE))*Index!$B$2</f>
        <v>0</v>
      </c>
      <c r="M11" s="62">
        <f>IF(ISNA(VLOOKUP(CONCATENATE($I11,M$13),mtf_input!$A$3:$E$17,5,FALSE)),0,VLOOKUP(CONCATENATE($A11,E$13),mtf_input!$A$3:$E$17,5,FALSE))*Index!$B$2</f>
        <v>245555</v>
      </c>
      <c r="N11" s="62">
        <f>IF(ISNA(VLOOKUP(CONCATENATE($I11,N$13),mtf_input!$A$3:$E$17,5,FALSE)),0,VLOOKUP(CONCATENATE($A11,F$13),mtf_input!$A$3:$E$17,5,FALSE))*Index!$B$2</f>
        <v>0</v>
      </c>
      <c r="O11" s="62">
        <f>IF(ISNA(VLOOKUP(CONCATENATE($I11,O$13),mtf_input!$A$3:$E$17,5,FALSE)),0,VLOOKUP(CONCATENATE($A11,G$13),mtf_input!$A$3:$E$17,5,FALSE))*Index!$B$2</f>
        <v>0</v>
      </c>
      <c r="P11" s="63">
        <f t="shared" si="1"/>
        <v>245555</v>
      </c>
    </row>
    <row r="12" spans="1:18" x14ac:dyDescent="0.25">
      <c r="B12" s="61" t="s">
        <v>29</v>
      </c>
      <c r="C12" s="63">
        <f>SUM(C4:C11)</f>
        <v>3565153.5074199997</v>
      </c>
      <c r="D12" s="63">
        <f>SUM(D4:D11)</f>
        <v>239265.81075</v>
      </c>
      <c r="E12" s="63">
        <f>SUM(E4:E11)</f>
        <v>1654674.6570900001</v>
      </c>
      <c r="F12" s="63">
        <f>SUM(F4:F11)</f>
        <v>12021.3598</v>
      </c>
      <c r="G12" s="63">
        <f>SUM(G4:G11)</f>
        <v>58377.459579999995</v>
      </c>
      <c r="H12" s="63">
        <f t="shared" si="0"/>
        <v>5529492.794639999</v>
      </c>
      <c r="J12" s="61" t="s">
        <v>29</v>
      </c>
      <c r="K12" s="63">
        <f>SUM(K4:K11)</f>
        <v>3170755</v>
      </c>
      <c r="L12" s="63">
        <f>SUM(L4:L11)</f>
        <v>162000</v>
      </c>
      <c r="M12" s="63">
        <f>SUM(M4:M11)</f>
        <v>1689320</v>
      </c>
      <c r="N12" s="63">
        <f>SUM(N4:N11)</f>
        <v>25290</v>
      </c>
      <c r="O12" s="63">
        <f>SUM(O4:O11)</f>
        <v>20435</v>
      </c>
      <c r="P12" s="63">
        <f t="shared" si="1"/>
        <v>5067800</v>
      </c>
    </row>
    <row r="13" spans="1:18" ht="15.75" thickBot="1" x14ac:dyDescent="0.3">
      <c r="C13" s="62">
        <v>1</v>
      </c>
      <c r="D13" s="62">
        <v>2</v>
      </c>
      <c r="E13" s="62">
        <v>3</v>
      </c>
      <c r="F13" s="62">
        <v>4</v>
      </c>
      <c r="G13" s="62">
        <v>5</v>
      </c>
      <c r="K13" s="62">
        <v>1</v>
      </c>
      <c r="L13" s="62">
        <v>2</v>
      </c>
      <c r="M13" s="62">
        <v>3</v>
      </c>
      <c r="N13" s="62">
        <v>4</v>
      </c>
      <c r="O13" s="62">
        <v>5</v>
      </c>
    </row>
    <row r="14" spans="1:18" ht="16.5" thickTop="1" thickBot="1" x14ac:dyDescent="0.3">
      <c r="B14" s="64" t="s">
        <v>25</v>
      </c>
      <c r="C14" s="64" t="s">
        <v>46</v>
      </c>
      <c r="D14" s="64" t="s">
        <v>47</v>
      </c>
      <c r="E14" s="64" t="s">
        <v>48</v>
      </c>
      <c r="F14" s="64" t="s">
        <v>49</v>
      </c>
      <c r="G14" s="64" t="s">
        <v>50</v>
      </c>
      <c r="H14" s="64" t="s">
        <v>29</v>
      </c>
      <c r="J14" s="64" t="s">
        <v>25</v>
      </c>
      <c r="K14" s="64" t="s">
        <v>46</v>
      </c>
      <c r="L14" s="64" t="s">
        <v>47</v>
      </c>
      <c r="M14" s="64" t="s">
        <v>48</v>
      </c>
      <c r="N14" s="64" t="s">
        <v>49</v>
      </c>
      <c r="O14" s="64" t="s">
        <v>50</v>
      </c>
      <c r="P14" s="64" t="s">
        <v>29</v>
      </c>
    </row>
    <row r="15" spans="1:18" ht="15.75" thickTop="1" x14ac:dyDescent="0.25">
      <c r="B15" s="61" t="s">
        <v>30</v>
      </c>
      <c r="C15" s="65">
        <f t="shared" ref="C15:G17" si="2">C4/$H4</f>
        <v>0.92685571121813137</v>
      </c>
      <c r="D15" s="65">
        <f t="shared" si="2"/>
        <v>6.0049147660886169E-2</v>
      </c>
      <c r="E15" s="65">
        <f t="shared" si="2"/>
        <v>4.9784182791773116E-3</v>
      </c>
      <c r="F15" s="65">
        <f t="shared" si="2"/>
        <v>9.540531099835497E-5</v>
      </c>
      <c r="G15" s="65">
        <f t="shared" si="2"/>
        <v>8.0213175308067736E-3</v>
      </c>
      <c r="H15" s="65">
        <f>SUM(C15:G15)</f>
        <v>1</v>
      </c>
      <c r="J15" s="61" t="s">
        <v>30</v>
      </c>
      <c r="K15" s="65">
        <f t="shared" ref="K15:O17" si="3">K4/$P4</f>
        <v>0.95310509456746073</v>
      </c>
      <c r="L15" s="65">
        <f t="shared" si="3"/>
        <v>4.6894905432539317E-2</v>
      </c>
      <c r="M15" s="65">
        <f t="shared" si="3"/>
        <v>0</v>
      </c>
      <c r="N15" s="65">
        <f t="shared" si="3"/>
        <v>0</v>
      </c>
      <c r="O15" s="65">
        <f t="shared" si="3"/>
        <v>0</v>
      </c>
      <c r="P15" s="65">
        <f>SUM(K15:O15)</f>
        <v>1</v>
      </c>
    </row>
    <row r="16" spans="1:18" x14ac:dyDescent="0.25">
      <c r="B16" s="61" t="s">
        <v>31</v>
      </c>
      <c r="C16" s="65">
        <f t="shared" si="2"/>
        <v>0.90298596962844246</v>
      </c>
      <c r="D16" s="65">
        <f t="shared" si="2"/>
        <v>7.9325937299382338E-2</v>
      </c>
      <c r="E16" s="65">
        <f t="shared" si="2"/>
        <v>9.4701377629501961E-3</v>
      </c>
      <c r="F16" s="65">
        <f t="shared" si="2"/>
        <v>0</v>
      </c>
      <c r="G16" s="65">
        <f t="shared" si="2"/>
        <v>8.2179553092249571E-3</v>
      </c>
      <c r="H16" s="65">
        <f t="shared" ref="H16:H23" si="4">SUM(C16:G16)</f>
        <v>1</v>
      </c>
      <c r="J16" s="61" t="s">
        <v>31</v>
      </c>
      <c r="K16" s="65">
        <f t="shared" si="3"/>
        <v>0.93926804162067645</v>
      </c>
      <c r="L16" s="65">
        <f t="shared" si="3"/>
        <v>6.0731958379323603E-2</v>
      </c>
      <c r="M16" s="65">
        <f t="shared" si="3"/>
        <v>0</v>
      </c>
      <c r="N16" s="65">
        <f t="shared" si="3"/>
        <v>0</v>
      </c>
      <c r="O16" s="65">
        <f t="shared" si="3"/>
        <v>0</v>
      </c>
      <c r="P16" s="65">
        <f t="shared" ref="P16:P23" si="5">SUM(K16:O16)</f>
        <v>1</v>
      </c>
    </row>
    <row r="17" spans="2:17" x14ac:dyDescent="0.25">
      <c r="B17" s="61" t="s">
        <v>32</v>
      </c>
      <c r="C17" s="65">
        <f t="shared" si="2"/>
        <v>0.28114207997733681</v>
      </c>
      <c r="D17" s="65">
        <f t="shared" si="2"/>
        <v>5.2052809185547484E-3</v>
      </c>
      <c r="E17" s="65">
        <f t="shared" si="2"/>
        <v>0.6176566103410388</v>
      </c>
      <c r="F17" s="65">
        <f t="shared" si="2"/>
        <v>2.5349140951170419E-2</v>
      </c>
      <c r="G17" s="65">
        <f t="shared" si="2"/>
        <v>7.0646887811899164E-2</v>
      </c>
      <c r="H17" s="65">
        <f t="shared" si="4"/>
        <v>1</v>
      </c>
      <c r="J17" s="61" t="s">
        <v>32</v>
      </c>
      <c r="K17" s="216">
        <f t="shared" si="3"/>
        <v>0.31903991370010787</v>
      </c>
      <c r="L17" s="216">
        <f t="shared" si="3"/>
        <v>1.6377365891928997E-2</v>
      </c>
      <c r="M17" s="216">
        <f t="shared" si="3"/>
        <v>0.5821810336373443</v>
      </c>
      <c r="N17" s="216">
        <f t="shared" si="3"/>
        <v>4.3959007551240561E-2</v>
      </c>
      <c r="O17" s="216">
        <f t="shared" si="3"/>
        <v>3.8442679219378245E-2</v>
      </c>
      <c r="P17" s="216">
        <f t="shared" si="5"/>
        <v>1</v>
      </c>
    </row>
    <row r="18" spans="2:17" x14ac:dyDescent="0.25">
      <c r="B18" s="61" t="s">
        <v>33</v>
      </c>
      <c r="C18" s="65"/>
      <c r="D18" s="65"/>
      <c r="E18" s="65"/>
      <c r="F18" s="65"/>
      <c r="G18" s="65"/>
      <c r="H18" s="65"/>
      <c r="J18" s="61" t="s">
        <v>33</v>
      </c>
      <c r="K18" s="65"/>
      <c r="L18" s="65"/>
      <c r="M18" s="65"/>
      <c r="N18" s="65"/>
      <c r="O18" s="65"/>
      <c r="P18" s="65"/>
    </row>
    <row r="19" spans="2:17" x14ac:dyDescent="0.25">
      <c r="B19" s="61" t="s">
        <v>34</v>
      </c>
      <c r="C19" s="65"/>
      <c r="D19" s="65"/>
      <c r="E19" s="65"/>
      <c r="F19" s="65"/>
      <c r="G19" s="65"/>
      <c r="H19" s="65"/>
      <c r="J19" s="61" t="s">
        <v>34</v>
      </c>
      <c r="K19" s="65"/>
      <c r="L19" s="65"/>
      <c r="M19" s="65"/>
      <c r="N19" s="65"/>
      <c r="O19" s="65"/>
      <c r="P19" s="65"/>
    </row>
    <row r="20" spans="2:17" x14ac:dyDescent="0.25">
      <c r="B20" s="61" t="s">
        <v>35</v>
      </c>
      <c r="C20" s="65">
        <f t="shared" ref="C20:G21" si="6">C9/$H9</f>
        <v>3.8614874668728663E-2</v>
      </c>
      <c r="D20" s="65">
        <f t="shared" si="6"/>
        <v>1.0079552773108211E-3</v>
      </c>
      <c r="E20" s="65">
        <f t="shared" si="6"/>
        <v>0.89397631092886054</v>
      </c>
      <c r="F20" s="65">
        <f t="shared" si="6"/>
        <v>9.2824393180080816E-3</v>
      </c>
      <c r="G20" s="65">
        <f t="shared" si="6"/>
        <v>5.7118419807091834E-2</v>
      </c>
      <c r="H20" s="65">
        <f t="shared" si="4"/>
        <v>1</v>
      </c>
      <c r="J20" s="61" t="s">
        <v>35</v>
      </c>
      <c r="K20" s="65">
        <f t="shared" ref="K20:O21" si="7">K9/$P9</f>
        <v>0</v>
      </c>
      <c r="L20" s="65">
        <f t="shared" si="7"/>
        <v>0</v>
      </c>
      <c r="M20" s="65">
        <f t="shared" si="7"/>
        <v>0.92996553341627064</v>
      </c>
      <c r="N20" s="65">
        <f t="shared" si="7"/>
        <v>1.8660901841616871E-2</v>
      </c>
      <c r="O20" s="65">
        <f t="shared" si="7"/>
        <v>5.1373564742112458E-2</v>
      </c>
      <c r="P20" s="65">
        <f t="shared" si="5"/>
        <v>0.99999999999999989</v>
      </c>
    </row>
    <row r="21" spans="2:17" x14ac:dyDescent="0.25">
      <c r="B21" s="61" t="s">
        <v>36</v>
      </c>
      <c r="C21" s="65">
        <f t="shared" si="6"/>
        <v>0</v>
      </c>
      <c r="D21" s="65">
        <f t="shared" si="6"/>
        <v>0</v>
      </c>
      <c r="E21" s="65">
        <f t="shared" si="6"/>
        <v>0.99610381072385612</v>
      </c>
      <c r="F21" s="65">
        <f t="shared" si="6"/>
        <v>3.8961892761437507E-3</v>
      </c>
      <c r="G21" s="65">
        <f t="shared" si="6"/>
        <v>0</v>
      </c>
      <c r="H21" s="65">
        <f t="shared" si="4"/>
        <v>0.99999999999999989</v>
      </c>
      <c r="J21" s="61" t="s">
        <v>36</v>
      </c>
      <c r="K21" s="65">
        <f t="shared" si="7"/>
        <v>0</v>
      </c>
      <c r="L21" s="65">
        <f t="shared" si="7"/>
        <v>0</v>
      </c>
      <c r="M21" s="65">
        <f t="shared" si="7"/>
        <v>0.98940286257992949</v>
      </c>
      <c r="N21" s="65">
        <f t="shared" si="7"/>
        <v>1.0597137420070527E-2</v>
      </c>
      <c r="O21" s="65">
        <f t="shared" si="7"/>
        <v>0</v>
      </c>
      <c r="P21" s="65">
        <f t="shared" si="5"/>
        <v>1</v>
      </c>
    </row>
    <row r="22" spans="2:17" x14ac:dyDescent="0.25">
      <c r="B22" s="61" t="s">
        <v>37</v>
      </c>
      <c r="C22" s="65">
        <f t="shared" ref="C22:G23" si="8">C11/$H11</f>
        <v>0</v>
      </c>
      <c r="D22" s="65">
        <f t="shared" si="8"/>
        <v>0</v>
      </c>
      <c r="E22" s="65">
        <f t="shared" si="8"/>
        <v>0.99784766287774029</v>
      </c>
      <c r="F22" s="65">
        <f t="shared" si="8"/>
        <v>2.1523371222596419E-3</v>
      </c>
      <c r="G22" s="65">
        <f t="shared" si="8"/>
        <v>0</v>
      </c>
      <c r="H22" s="65">
        <f t="shared" si="4"/>
        <v>0.99999999999999989</v>
      </c>
      <c r="J22" s="61" t="s">
        <v>37</v>
      </c>
      <c r="K22" s="65">
        <f t="shared" ref="K22:O23" si="9">K11/$P11</f>
        <v>0</v>
      </c>
      <c r="L22" s="65">
        <f t="shared" si="9"/>
        <v>0</v>
      </c>
      <c r="M22" s="65">
        <f t="shared" si="9"/>
        <v>1</v>
      </c>
      <c r="N22" s="135">
        <f t="shared" si="9"/>
        <v>0</v>
      </c>
      <c r="O22" s="65">
        <f t="shared" si="9"/>
        <v>0</v>
      </c>
      <c r="P22" s="65">
        <f t="shared" si="5"/>
        <v>1</v>
      </c>
    </row>
    <row r="23" spans="2:17" x14ac:dyDescent="0.25">
      <c r="B23" s="61" t="s">
        <v>29</v>
      </c>
      <c r="C23" s="65">
        <f t="shared" si="8"/>
        <v>0.64475235610685178</v>
      </c>
      <c r="D23" s="65">
        <f t="shared" si="8"/>
        <v>4.3270842306175311E-2</v>
      </c>
      <c r="E23" s="65">
        <f t="shared" si="8"/>
        <v>0.29924528678181028</v>
      </c>
      <c r="F23" s="65">
        <f t="shared" si="8"/>
        <v>2.1740438493116181E-3</v>
      </c>
      <c r="G23" s="65">
        <f t="shared" si="8"/>
        <v>1.0557470955851149E-2</v>
      </c>
      <c r="H23" s="65">
        <f t="shared" si="4"/>
        <v>1.0000000000000002</v>
      </c>
      <c r="J23" s="61" t="s">
        <v>29</v>
      </c>
      <c r="K23" s="65">
        <f t="shared" si="9"/>
        <v>0.62566695607561462</v>
      </c>
      <c r="L23" s="65">
        <f t="shared" si="9"/>
        <v>3.1966533801649634E-2</v>
      </c>
      <c r="M23" s="65">
        <f t="shared" si="9"/>
        <v>0.3333438572950787</v>
      </c>
      <c r="N23" s="65">
        <f t="shared" si="9"/>
        <v>4.9903311101464143E-3</v>
      </c>
      <c r="O23" s="65">
        <f t="shared" si="9"/>
        <v>4.0323217175105572E-3</v>
      </c>
      <c r="P23" s="65">
        <f t="shared" si="5"/>
        <v>0.99999999999999989</v>
      </c>
    </row>
    <row r="25" spans="2:17" ht="15.75" thickBot="1" x14ac:dyDescent="0.3">
      <c r="J25" s="61" t="s">
        <v>142</v>
      </c>
    </row>
    <row r="26" spans="2:17" ht="20.25" thickTop="1" thickBot="1" x14ac:dyDescent="0.35">
      <c r="B26" s="67" t="s">
        <v>51</v>
      </c>
      <c r="D26" s="64" t="s">
        <v>46</v>
      </c>
      <c r="E26" s="64" t="s">
        <v>47</v>
      </c>
      <c r="F26" s="64" t="s">
        <v>48</v>
      </c>
      <c r="G26" s="64" t="s">
        <v>49</v>
      </c>
      <c r="H26" s="64" t="s">
        <v>50</v>
      </c>
      <c r="J26" s="64" t="s">
        <v>25</v>
      </c>
      <c r="K26" s="64" t="s">
        <v>46</v>
      </c>
      <c r="L26" s="64" t="s">
        <v>47</v>
      </c>
      <c r="M26" s="64" t="s">
        <v>48</v>
      </c>
      <c r="N26" s="64" t="s">
        <v>49</v>
      </c>
      <c r="O26" s="64" t="s">
        <v>50</v>
      </c>
      <c r="P26" s="64" t="s">
        <v>29</v>
      </c>
    </row>
    <row r="27" spans="2:17" ht="15.75" thickTop="1" x14ac:dyDescent="0.25">
      <c r="B27" t="s">
        <v>36</v>
      </c>
      <c r="C27" s="5" t="s">
        <v>7</v>
      </c>
      <c r="D27" s="2">
        <f>VLOOKUP($B$27,$B$15:$G$23,2,FALSE)</f>
        <v>0</v>
      </c>
      <c r="E27" s="2">
        <f>VLOOKUP($B$27,$B$15:$G$23,3,FALSE)</f>
        <v>0</v>
      </c>
      <c r="F27" s="2">
        <f>VLOOKUP($B$27,$B$15:$G$23,4,FALSE)</f>
        <v>0.99610381072385612</v>
      </c>
      <c r="G27" s="2">
        <f>VLOOKUP($B$27,$B$15:$G$23,5,FALSE)</f>
        <v>3.8961892761437507E-3</v>
      </c>
      <c r="H27" s="2">
        <f>VLOOKUP($B$27,$B$15:$G$23,6,FALSE)</f>
        <v>0</v>
      </c>
      <c r="J27" s="61" t="s">
        <v>30</v>
      </c>
      <c r="K27" s="65">
        <f t="shared" ref="K27:P27" si="10">IF(C15&gt;0,(K15-C15)/C15,"")</f>
        <v>2.8320895077434207E-2</v>
      </c>
      <c r="L27" s="65">
        <f t="shared" si="10"/>
        <v>-0.21905793405482502</v>
      </c>
      <c r="M27" s="135">
        <f t="shared" si="10"/>
        <v>-1</v>
      </c>
      <c r="N27" s="135">
        <f t="shared" si="10"/>
        <v>-1</v>
      </c>
      <c r="O27" s="135">
        <f t="shared" si="10"/>
        <v>-1</v>
      </c>
      <c r="P27" s="65">
        <f t="shared" si="10"/>
        <v>0</v>
      </c>
      <c r="Q27" s="129" t="s">
        <v>143</v>
      </c>
    </row>
    <row r="28" spans="2:17" x14ac:dyDescent="0.25">
      <c r="C28" s="5" t="s">
        <v>3</v>
      </c>
      <c r="D28" s="2">
        <f>VLOOKUP($B$27,$J$15:$P$23,2,FALSE)</f>
        <v>0</v>
      </c>
      <c r="E28" s="2">
        <f>VLOOKUP($B$27,$J$15:$P$23,3,FALSE)</f>
        <v>0</v>
      </c>
      <c r="F28" s="2">
        <f>VLOOKUP($B$27,$J$15:$P$23,4,FALSE)</f>
        <v>0.98940286257992949</v>
      </c>
      <c r="G28" s="2">
        <f>VLOOKUP($B$27,$J$15:$P$23,5,FALSE)</f>
        <v>1.0597137420070527E-2</v>
      </c>
      <c r="H28" s="2">
        <f>VLOOKUP($B$27,$J$15:$P$23,6,FALSE)</f>
        <v>0</v>
      </c>
      <c r="J28" s="61" t="s">
        <v>31</v>
      </c>
      <c r="K28" s="65">
        <f t="shared" ref="K28:K35" si="11">IF(C16&gt;0,(K16-C16)/C16,"")</f>
        <v>4.0180106017774796E-2</v>
      </c>
      <c r="L28" s="65">
        <f t="shared" ref="L28:L35" si="12">IF(D16&gt;0,(L16-D16)/D16,"")</f>
        <v>-0.23439973800603947</v>
      </c>
      <c r="M28" s="65">
        <f t="shared" ref="M28:M35" si="13">IF(E16&gt;0,(M16-E16)/E16,"")</f>
        <v>-1</v>
      </c>
      <c r="N28" s="65" t="str">
        <f t="shared" ref="N28:N35" si="14">IF(F16&gt;0,(N16-F16)/F16,"")</f>
        <v/>
      </c>
      <c r="O28" s="65">
        <f t="shared" ref="O28:O35" si="15">IF(G16&gt;0,(O16-G16)/G16,"")</f>
        <v>-1</v>
      </c>
      <c r="P28" s="65">
        <f t="shared" ref="P28:P35" si="16">IF(H16&gt;0,(P16-H16)/H16,"")</f>
        <v>0</v>
      </c>
    </row>
    <row r="29" spans="2:17" x14ac:dyDescent="0.25">
      <c r="J29" s="61" t="s">
        <v>32</v>
      </c>
      <c r="K29" s="65">
        <f t="shared" si="11"/>
        <v>0.13479957794232028</v>
      </c>
      <c r="L29" s="65">
        <f t="shared" si="12"/>
        <v>2.146298182207655</v>
      </c>
      <c r="M29" s="65">
        <f t="shared" si="13"/>
        <v>-5.743575978909491E-2</v>
      </c>
      <c r="N29" s="65">
        <f t="shared" si="14"/>
        <v>0.73414190389796574</v>
      </c>
      <c r="O29" s="65">
        <f t="shared" si="15"/>
        <v>-0.45584751982658062</v>
      </c>
      <c r="P29" s="65">
        <f t="shared" si="16"/>
        <v>0</v>
      </c>
    </row>
    <row r="30" spans="2:17" x14ac:dyDescent="0.25">
      <c r="J30" s="61" t="s">
        <v>33</v>
      </c>
      <c r="K30" s="65" t="str">
        <f t="shared" si="11"/>
        <v/>
      </c>
      <c r="L30" s="65" t="str">
        <f t="shared" si="12"/>
        <v/>
      </c>
      <c r="M30" s="65" t="str">
        <f t="shared" si="13"/>
        <v/>
      </c>
      <c r="N30" s="65" t="str">
        <f t="shared" si="14"/>
        <v/>
      </c>
      <c r="O30" s="65" t="str">
        <f t="shared" si="15"/>
        <v/>
      </c>
      <c r="P30" s="65" t="str">
        <f t="shared" si="16"/>
        <v/>
      </c>
    </row>
    <row r="31" spans="2:17" x14ac:dyDescent="0.25">
      <c r="J31" s="61" t="s">
        <v>34</v>
      </c>
      <c r="K31" s="65" t="str">
        <f t="shared" si="11"/>
        <v/>
      </c>
      <c r="L31" s="65" t="str">
        <f t="shared" si="12"/>
        <v/>
      </c>
      <c r="M31" s="65" t="str">
        <f t="shared" si="13"/>
        <v/>
      </c>
      <c r="N31" s="65" t="str">
        <f t="shared" si="14"/>
        <v/>
      </c>
      <c r="O31" s="65" t="str">
        <f t="shared" si="15"/>
        <v/>
      </c>
      <c r="P31" s="65" t="str">
        <f t="shared" si="16"/>
        <v/>
      </c>
    </row>
    <row r="32" spans="2:17" x14ac:dyDescent="0.25">
      <c r="J32" s="61" t="s">
        <v>35</v>
      </c>
      <c r="K32" s="65">
        <f t="shared" si="11"/>
        <v>-1</v>
      </c>
      <c r="L32" s="65">
        <f t="shared" si="12"/>
        <v>-1</v>
      </c>
      <c r="M32" s="65">
        <f t="shared" si="13"/>
        <v>4.025746772866557E-2</v>
      </c>
      <c r="N32" s="65">
        <f t="shared" si="14"/>
        <v>1.010344609031208</v>
      </c>
      <c r="O32" s="65">
        <f t="shared" si="15"/>
        <v>-0.10057797614817933</v>
      </c>
      <c r="P32" s="65">
        <f t="shared" si="16"/>
        <v>-1.1102230246251565E-16</v>
      </c>
    </row>
    <row r="33" spans="2:16" x14ac:dyDescent="0.25">
      <c r="J33" s="61" t="s">
        <v>36</v>
      </c>
      <c r="K33" s="65" t="str">
        <f t="shared" si="11"/>
        <v/>
      </c>
      <c r="L33" s="65" t="str">
        <f t="shared" si="12"/>
        <v/>
      </c>
      <c r="M33" s="65">
        <f t="shared" si="13"/>
        <v>-6.7271584264466753E-3</v>
      </c>
      <c r="N33" s="65">
        <f t="shared" si="14"/>
        <v>1.7198723339639783</v>
      </c>
      <c r="O33" s="65" t="str">
        <f t="shared" si="15"/>
        <v/>
      </c>
      <c r="P33" s="65">
        <f t="shared" si="16"/>
        <v>1.1102230246251565E-16</v>
      </c>
    </row>
    <row r="34" spans="2:16" x14ac:dyDescent="0.25">
      <c r="J34" s="61" t="s">
        <v>37</v>
      </c>
      <c r="K34" s="65" t="str">
        <f t="shared" si="11"/>
        <v/>
      </c>
      <c r="L34" s="65" t="str">
        <f t="shared" si="12"/>
        <v/>
      </c>
      <c r="M34" s="65">
        <f t="shared" si="13"/>
        <v>2.156979669674707E-3</v>
      </c>
      <c r="N34" s="135">
        <f t="shared" si="14"/>
        <v>-1</v>
      </c>
      <c r="O34" s="65" t="str">
        <f t="shared" si="15"/>
        <v/>
      </c>
      <c r="P34" s="65">
        <f t="shared" si="16"/>
        <v>1.1102230246251565E-16</v>
      </c>
    </row>
    <row r="35" spans="2:16" x14ac:dyDescent="0.25">
      <c r="J35" s="61" t="s">
        <v>29</v>
      </c>
      <c r="K35" s="65">
        <f t="shared" si="11"/>
        <v>-2.9601132668174726E-2</v>
      </c>
      <c r="L35" s="65">
        <f t="shared" si="12"/>
        <v>-0.26124539995174545</v>
      </c>
      <c r="M35" s="65">
        <f t="shared" si="13"/>
        <v>0.11394856333403448</v>
      </c>
      <c r="N35" s="65">
        <f t="shared" si="14"/>
        <v>1.2954141940267379</v>
      </c>
      <c r="O35" s="65">
        <f t="shared" si="15"/>
        <v>-0.61805988059329986</v>
      </c>
      <c r="P35" s="65">
        <f t="shared" si="16"/>
        <v>-3.3306690738754686E-16</v>
      </c>
    </row>
    <row r="37" spans="2:16" x14ac:dyDescent="0.25">
      <c r="J37" s="61" t="s">
        <v>139</v>
      </c>
    </row>
    <row r="38" spans="2:16" x14ac:dyDescent="0.25">
      <c r="J38" s="136"/>
    </row>
    <row r="39" spans="2:16" x14ac:dyDescent="0.25">
      <c r="J39" s="136"/>
    </row>
    <row r="48" spans="2:16" ht="19.5" thickBot="1" x14ac:dyDescent="0.35">
      <c r="B48" s="392" t="s">
        <v>587</v>
      </c>
      <c r="C48" s="392"/>
      <c r="D48" s="392"/>
      <c r="E48" s="392"/>
      <c r="F48" s="392"/>
      <c r="G48" s="392"/>
      <c r="H48" s="392"/>
      <c r="J48" s="392" t="s">
        <v>588</v>
      </c>
      <c r="K48" s="392"/>
      <c r="L48" s="392"/>
      <c r="M48" s="392"/>
      <c r="N48" s="392"/>
      <c r="O48" s="392"/>
      <c r="P48" s="392"/>
    </row>
    <row r="49" spans="1:22" ht="16.5" thickTop="1" thickBot="1" x14ac:dyDescent="0.3">
      <c r="B49" s="64" t="s">
        <v>25</v>
      </c>
      <c r="C49" s="64" t="s">
        <v>46</v>
      </c>
      <c r="D49" s="64" t="s">
        <v>47</v>
      </c>
      <c r="E49" s="64" t="s">
        <v>48</v>
      </c>
      <c r="F49" s="64" t="s">
        <v>49</v>
      </c>
      <c r="G49" s="64" t="s">
        <v>50</v>
      </c>
      <c r="H49" s="64" t="s">
        <v>29</v>
      </c>
      <c r="I49" s="127">
        <f>I50+I51+I52</f>
        <v>9</v>
      </c>
      <c r="J49" s="64" t="s">
        <v>25</v>
      </c>
      <c r="K49" s="64" t="s">
        <v>46</v>
      </c>
      <c r="L49" s="64" t="s">
        <v>47</v>
      </c>
      <c r="M49" s="64" t="s">
        <v>48</v>
      </c>
      <c r="N49" s="64" t="s">
        <v>49</v>
      </c>
      <c r="O49" s="64" t="s">
        <v>50</v>
      </c>
      <c r="P49" s="64" t="s">
        <v>29</v>
      </c>
      <c r="R49" s="61" t="s">
        <v>589</v>
      </c>
    </row>
    <row r="50" spans="1:22" ht="15.75" thickTop="1" x14ac:dyDescent="0.25">
      <c r="A50">
        <v>3</v>
      </c>
      <c r="B50" s="61" t="s">
        <v>584</v>
      </c>
      <c r="C50" s="62">
        <f>IF(ISNA(VLOOKUP(CONCATENATE($A50,C$13),mtf_input!$G$37:$K$50,5,FALSE)),0,VLOOKUP(CONCATENATE($A50,C$13),mtf_input!$G$37:$K$50,5,FALSE))</f>
        <v>9837.98632</v>
      </c>
      <c r="D50" s="62">
        <f>IF(ISNA(VLOOKUP(CONCATENATE($A50,D$13),mtf_input!$G$37:$K$50,5,FALSE)),0,VLOOKUP(CONCATENATE($A50,D$13),mtf_input!$G$37:$K$50,5,FALSE))</f>
        <v>0</v>
      </c>
      <c r="E50" s="62">
        <f>IF(ISNA(VLOOKUP(CONCATENATE($A50,E$13),mtf_input!$G$37:$K$50,5,FALSE)),0,VLOOKUP(CONCATENATE($A50,E$13),mtf_input!$G$37:$K$50,5,FALSE))</f>
        <v>15984.926299999999</v>
      </c>
      <c r="F50" s="62">
        <f>IF(ISNA(VLOOKUP(CONCATENATE($A50,F$13),mtf_input!$G$37:$K$50,5,FALSE)),0,VLOOKUP(CONCATENATE($A50,F$13),mtf_input!$G$37:$K$50,5,FALSE))</f>
        <v>531.26021000000003</v>
      </c>
      <c r="G50" s="62">
        <f>IF(ISNA(VLOOKUP(CONCATENATE($A50,G$13),mtf_input!$G$37:$K$50,5,FALSE)),0,VLOOKUP(CONCATENATE($A50,G$13),mtf_input!$G$37:$K$50,5,FALSE))</f>
        <v>211.89824999999999</v>
      </c>
      <c r="H50" s="63">
        <f>SUM(C50:G50)</f>
        <v>26566.071079999998</v>
      </c>
      <c r="I50" s="89">
        <v>3</v>
      </c>
      <c r="J50" s="61" t="s">
        <v>584</v>
      </c>
      <c r="K50" s="62">
        <f>IF(ISNA(VLOOKUP(CONCATENATE($I50,K$13),mtf_input!$A$37:$E$50,5,FALSE)),0,VLOOKUP(CONCATENATE($A50,C$13),mtf_input!$A$37:$E$50,5,FALSE))*Index!$B$2</f>
        <v>4145</v>
      </c>
      <c r="L50" s="62">
        <f>IF(ISNA(VLOOKUP(CONCATENATE($I50,L$13),mtf_input!$A$37:$E$50,5,FALSE)),0,VLOOKUP(CONCATENATE($A50,D$13),mtf_input!$A$37:$E$50,5,FALSE))*Index!$B$2</f>
        <v>85</v>
      </c>
      <c r="M50" s="62">
        <f>IF(ISNA(VLOOKUP(CONCATENATE($I50,M$13),mtf_input!$A$37:$E$50,5,FALSE)),0,VLOOKUP(CONCATENATE($A50,E$13),mtf_input!$A$37:$E$50,5,FALSE))*Index!$B$2</f>
        <v>14995</v>
      </c>
      <c r="N50" s="62">
        <f>IF(ISNA(VLOOKUP(CONCATENATE($I50,N$13),mtf_input!$A$37:$E$50,5,FALSE)),0,VLOOKUP(CONCATENATE($A50,F$13),mtf_input!$A$37:$E$50,5,FALSE))*Index!$B$2</f>
        <v>2290</v>
      </c>
      <c r="O50" s="62">
        <f>IF(ISNA(VLOOKUP(CONCATENATE($I50,O$13),mtf_input!$A$37:$E$50,5,FALSE)),0,VLOOKUP(CONCATENATE($A50,G$13),mtf_input!$A$37:$E$50,5,FALSE))*Index!$B$2</f>
        <v>800</v>
      </c>
      <c r="P50" s="63">
        <f>SUM(K50:O50)</f>
        <v>22315</v>
      </c>
      <c r="R50" s="89">
        <f>M50+2*N50+O50</f>
        <v>20375</v>
      </c>
    </row>
    <row r="51" spans="1:22" x14ac:dyDescent="0.25">
      <c r="A51">
        <v>3</v>
      </c>
      <c r="B51" s="61" t="s">
        <v>585</v>
      </c>
      <c r="C51" s="62">
        <f>IF(ISNA(VLOOKUP(CONCATENATE($A51,C$13),mtf_input!$G$53:$K$77,5,FALSE)),0,VLOOKUP(CONCATENATE($A51,C$13),mtf_input!$G$53:$K$77,5,FALSE))</f>
        <v>23566.145990000001</v>
      </c>
      <c r="D51" s="62">
        <f>IF(ISNA(VLOOKUP(CONCATENATE($A51,D$13),mtf_input!$G$53:$K$77,5,FALSE)),0,VLOOKUP(CONCATENATE($A51,D$13),mtf_input!$G$53:$K$77,5,FALSE))</f>
        <v>84.101759999999999</v>
      </c>
      <c r="E51" s="62">
        <f>IF(ISNA(VLOOKUP(CONCATENATE($A51,E$13),mtf_input!$G$53:$K$77,5,FALSE)),0,VLOOKUP(CONCATENATE($A51,E$13),mtf_input!$G$53:$K$77,5,FALSE))</f>
        <v>49540.989479999997</v>
      </c>
      <c r="F51" s="62">
        <f>IF(ISNA(VLOOKUP(CONCATENATE($A51,F$13),mtf_input!$G$53:$K$77,5,FALSE)),0,VLOOKUP(CONCATENATE($A51,F$13),mtf_input!$G$53:$K$77,5,FALSE))</f>
        <v>1867.32572</v>
      </c>
      <c r="G51" s="62">
        <f>IF(ISNA(VLOOKUP(CONCATENATE($A51,G$13),mtf_input!$G$53:$K$77,5,FALSE)),0,VLOOKUP(CONCATENATE($A51,G$13),mtf_input!$G$53:$K$77,5,FALSE))</f>
        <v>5879.5776999999998</v>
      </c>
      <c r="H51" s="63">
        <f>SUM(C51:G51)</f>
        <v>80938.140649999987</v>
      </c>
      <c r="I51" s="89">
        <v>3</v>
      </c>
      <c r="J51" s="61" t="s">
        <v>585</v>
      </c>
      <c r="K51" s="62">
        <f>IF(ISNA(VLOOKUP(CONCATENATE($I51,K$13),mtf_input!$A$52:$E$66,5,FALSE)),0,VLOOKUP(CONCATENATE($A51,C$13),mtf_input!$A$52:$E$66,5,FALSE))*Index!$B$2</f>
        <v>29745</v>
      </c>
      <c r="L51" s="62">
        <f>IF(ISNA(VLOOKUP(CONCATENATE($I51,L$13),mtf_input!$A$52:$E$66,5,FALSE)),0,VLOOKUP(CONCATENATE($A51,D$13),mtf_input!$A$52:$E$66,5,FALSE))*Index!$B$2</f>
        <v>1805</v>
      </c>
      <c r="M51" s="62">
        <f>IF(ISNA(VLOOKUP(CONCATENATE($I51,M$13),mtf_input!$A$52:$E$66,5,FALSE)),0,VLOOKUP(CONCATENATE($A51,E$13),mtf_input!$A$52:$E$66,5,FALSE))*Index!$B$2</f>
        <v>63110</v>
      </c>
      <c r="N51" s="62">
        <f>IF(ISNA(VLOOKUP(CONCATENATE($I51,N$13),mtf_input!$A$52:$E$66,5,FALSE)),0,VLOOKUP(CONCATENATE($A51,F$13),mtf_input!$A$52:$E$66,5,FALSE))*Index!$B$2</f>
        <v>3530</v>
      </c>
      <c r="O51" s="62">
        <f>IF(ISNA(VLOOKUP(CONCATENATE($I51,O$13),mtf_input!$A$52:$E$66,5,FALSE)),0,VLOOKUP(CONCATENATE($A51,G$13),mtf_input!$A$52:$E$66,5,FALSE))*Index!$B$2</f>
        <v>3590</v>
      </c>
      <c r="P51" s="63">
        <f>SUM(K51:O51)</f>
        <v>101780</v>
      </c>
      <c r="R51" s="89">
        <f>M51+2*N51+O51</f>
        <v>73760</v>
      </c>
    </row>
    <row r="52" spans="1:22" x14ac:dyDescent="0.25">
      <c r="A52">
        <v>3</v>
      </c>
      <c r="B52" s="69" t="s">
        <v>586</v>
      </c>
      <c r="C52" s="317">
        <f>IF(ISNA(VLOOKUP(CONCATENATE($A52,C$13),mtf_input!$G$80:$K$107,5,FALSE)),0,VLOOKUP(CONCATENATE($A52,C$13),mtf_input!$G$80:$K$107,5,FALSE))</f>
        <v>17436.804889999999</v>
      </c>
      <c r="D52" s="317">
        <f>IF(ISNA(VLOOKUP(CONCATENATE($A52,D$13),mtf_input!$G$80:$K$107,5,FALSE)),0,VLOOKUP(CONCATENATE($A52,D$13),mtf_input!$G$80:$K$107,5,FALSE))</f>
        <v>897.10963000000004</v>
      </c>
      <c r="E52" s="317">
        <f>IF(ISNA(VLOOKUP(CONCATENATE($A52,E$13),mtf_input!$G$80:$K$107,5,FALSE)),0,VLOOKUP(CONCATENATE($A52,E$13),mtf_input!$G$80:$K$107,5,FALSE))</f>
        <v>44270.346669999999</v>
      </c>
      <c r="F52" s="317">
        <f>IF(ISNA(VLOOKUP(CONCATENATE($A52,F$13),mtf_input!$G$80:$K$107,5,FALSE)),0,VLOOKUP(CONCATENATE($A52,F$13),mtf_input!$G$80:$K$107,5,FALSE))</f>
        <v>2379.8047499999998</v>
      </c>
      <c r="G52" s="317">
        <f>IF(ISNA(VLOOKUP(CONCATENATE($A52,G$13),mtf_input!$G$80:$K$107,5,FALSE)),0,VLOOKUP(CONCATENATE($A52,G$13),mtf_input!$G$80:$K$107,5,FALSE))</f>
        <v>6113.4568499999996</v>
      </c>
      <c r="H52" s="318">
        <f>SUM(C52:G52)</f>
        <v>71097.522790000003</v>
      </c>
      <c r="I52" s="319">
        <v>3</v>
      </c>
      <c r="J52" s="69" t="s">
        <v>586</v>
      </c>
      <c r="K52" s="317">
        <f>IF(ISNA(VLOOKUP(CONCATENATE($I52,K$13),mtf_input!$A$68:$E$82,5,FALSE)),0,VLOOKUP(CONCATENATE($A52,C$13),mtf_input!$A$68:$E$82,5,FALSE))*Index!$B$2</f>
        <v>31175</v>
      </c>
      <c r="L52" s="317">
        <f>IF(ISNA(VLOOKUP(CONCATENATE($I52,L$13),mtf_input!$A$68:$E$82,5,FALSE)),0,VLOOKUP(CONCATENATE($A52,D$13),mtf_input!$A$68:$E$82,5,FALSE))*Index!$B$2</f>
        <v>1450</v>
      </c>
      <c r="M52" s="317">
        <f>IF(ISNA(VLOOKUP(CONCATENATE($I52,M$13),mtf_input!$A$68:$E$82,5,FALSE)),0,VLOOKUP(CONCATENATE($A52,E$13),mtf_input!$A$68:$E$82,5,FALSE))*Index!$B$2</f>
        <v>40625</v>
      </c>
      <c r="N52" s="317">
        <f>IF(ISNA(VLOOKUP(CONCATENATE($I52,N$13),mtf_input!$A$68:$E$82,5,FALSE)),0,VLOOKUP(CONCATENATE($A52,F$13),mtf_input!$A$68:$E$82,5,FALSE))*Index!$B$2</f>
        <v>3145</v>
      </c>
      <c r="O52" s="317">
        <f>IF(ISNA(VLOOKUP(CONCATENATE($I52,O$13),mtf_input!$A$68:$E$82,5,FALSE)),0,VLOOKUP(CONCATENATE($A52,G$13),mtf_input!$A$68:$E$82,5,FALSE))*Index!$B$2</f>
        <v>3450</v>
      </c>
      <c r="P52" s="318">
        <f>SUM(K52:O52)</f>
        <v>79845</v>
      </c>
      <c r="R52" s="89">
        <f>M52+2*N52+O52</f>
        <v>50365</v>
      </c>
    </row>
    <row r="53" spans="1:22" x14ac:dyDescent="0.25">
      <c r="B53" s="61" t="s">
        <v>29</v>
      </c>
      <c r="C53" s="89">
        <f t="shared" ref="C53:H53" si="17">SUM(C50:C52)</f>
        <v>50840.9372</v>
      </c>
      <c r="D53" s="89">
        <f t="shared" si="17"/>
        <v>981.21139000000005</v>
      </c>
      <c r="E53" s="89">
        <f t="shared" si="17"/>
        <v>109796.26244999999</v>
      </c>
      <c r="F53" s="89">
        <f t="shared" si="17"/>
        <v>4778.3906800000004</v>
      </c>
      <c r="G53" s="89">
        <f t="shared" si="17"/>
        <v>12204.932799999999</v>
      </c>
      <c r="H53" s="89">
        <f t="shared" si="17"/>
        <v>178601.73452</v>
      </c>
      <c r="K53" s="89">
        <f t="shared" ref="K53:P53" si="18">SUM(K50:K52)</f>
        <v>65065</v>
      </c>
      <c r="L53" s="89">
        <f t="shared" si="18"/>
        <v>3340</v>
      </c>
      <c r="M53" s="89">
        <f t="shared" si="18"/>
        <v>118730</v>
      </c>
      <c r="N53" s="89">
        <f t="shared" si="18"/>
        <v>8965</v>
      </c>
      <c r="O53" s="89">
        <f t="shared" si="18"/>
        <v>7840</v>
      </c>
      <c r="P53" s="89">
        <f t="shared" si="18"/>
        <v>203940</v>
      </c>
    </row>
    <row r="55" spans="1:22" ht="15.75" thickBot="1" x14ac:dyDescent="0.3">
      <c r="S55">
        <v>1.413</v>
      </c>
      <c r="T55">
        <v>1.302</v>
      </c>
    </row>
    <row r="56" spans="1:22" ht="16.5" thickTop="1" thickBot="1" x14ac:dyDescent="0.3">
      <c r="B56" s="64" t="s">
        <v>25</v>
      </c>
      <c r="C56" s="64" t="s">
        <v>46</v>
      </c>
      <c r="D56" s="64" t="s">
        <v>47</v>
      </c>
      <c r="E56" s="64" t="s">
        <v>48</v>
      </c>
      <c r="F56" s="64" t="s">
        <v>49</v>
      </c>
      <c r="G56" s="64" t="s">
        <v>50</v>
      </c>
      <c r="H56" s="64" t="s">
        <v>29</v>
      </c>
      <c r="I56" s="127">
        <f>I57+I58+I59</f>
        <v>9</v>
      </c>
      <c r="J56" s="64" t="s">
        <v>25</v>
      </c>
      <c r="K56" s="64" t="s">
        <v>46</v>
      </c>
      <c r="L56" s="64" t="s">
        <v>47</v>
      </c>
      <c r="M56" s="64" t="s">
        <v>48</v>
      </c>
      <c r="N56" s="64" t="s">
        <v>49</v>
      </c>
      <c r="O56" s="64" t="s">
        <v>50</v>
      </c>
      <c r="P56" s="64" t="s">
        <v>29</v>
      </c>
      <c r="S56">
        <v>2.1</v>
      </c>
      <c r="T56">
        <v>1.8</v>
      </c>
    </row>
    <row r="57" spans="1:22" ht="15.75" thickTop="1" x14ac:dyDescent="0.25">
      <c r="B57" s="61" t="s">
        <v>584</v>
      </c>
      <c r="C57" s="65">
        <f t="shared" ref="C57:H57" si="19">C50/$H50</f>
        <v>0.37032146343259731</v>
      </c>
      <c r="D57" s="65">
        <f t="shared" si="19"/>
        <v>0</v>
      </c>
      <c r="E57" s="65">
        <f t="shared" si="19"/>
        <v>0.6017045671474579</v>
      </c>
      <c r="F57" s="65">
        <f t="shared" si="19"/>
        <v>1.9997695873062465E-2</v>
      </c>
      <c r="G57" s="65">
        <f t="shared" si="19"/>
        <v>7.9762735468823422E-3</v>
      </c>
      <c r="H57" s="65">
        <f t="shared" si="19"/>
        <v>1</v>
      </c>
      <c r="I57" s="89">
        <v>3</v>
      </c>
      <c r="J57" s="61" t="s">
        <v>584</v>
      </c>
      <c r="K57" s="65">
        <f t="shared" ref="K57:P57" si="20">K50/$P50</f>
        <v>0.18574949585480618</v>
      </c>
      <c r="L57" s="65">
        <f t="shared" si="20"/>
        <v>3.8090970199417431E-3</v>
      </c>
      <c r="M57" s="65">
        <f t="shared" si="20"/>
        <v>0.67196952722384051</v>
      </c>
      <c r="N57" s="65">
        <f t="shared" si="20"/>
        <v>0.10262155500784226</v>
      </c>
      <c r="O57" s="65">
        <f t="shared" si="20"/>
        <v>3.5850324893569346E-2</v>
      </c>
      <c r="P57" s="65">
        <f t="shared" si="20"/>
        <v>1</v>
      </c>
      <c r="S57">
        <f>N57*EXP(S56)</f>
        <v>0.8380250548859477</v>
      </c>
      <c r="T57">
        <f>O57*EXP(T56)</f>
        <v>0.21688182709076215</v>
      </c>
      <c r="V57" s="127">
        <f>(S57+T57-N57-O57)*P50</f>
        <v>20450.247071310281</v>
      </c>
    </row>
    <row r="58" spans="1:22" x14ac:dyDescent="0.25">
      <c r="B58" s="61" t="s">
        <v>585</v>
      </c>
      <c r="C58" s="65">
        <f t="shared" ref="C58:H58" si="21">C51/$H51</f>
        <v>0.29116243344292841</v>
      </c>
      <c r="D58" s="65">
        <f t="shared" si="21"/>
        <v>1.0390868794933209E-3</v>
      </c>
      <c r="E58" s="65">
        <f t="shared" si="21"/>
        <v>0.61208460043861912</v>
      </c>
      <c r="F58" s="65">
        <f t="shared" si="21"/>
        <v>2.3071023191338906E-2</v>
      </c>
      <c r="G58" s="65">
        <f t="shared" si="21"/>
        <v>7.2642856047620372E-2</v>
      </c>
      <c r="H58" s="320">
        <f t="shared" si="21"/>
        <v>1</v>
      </c>
      <c r="I58" s="89">
        <v>3</v>
      </c>
      <c r="J58" s="61" t="s">
        <v>585</v>
      </c>
      <c r="K58" s="65">
        <f t="shared" ref="K58:P58" si="22">K51/$P51</f>
        <v>0.29224798585183731</v>
      </c>
      <c r="L58" s="65">
        <f t="shared" si="22"/>
        <v>1.7734328944782864E-2</v>
      </c>
      <c r="M58" s="65">
        <f t="shared" si="22"/>
        <v>0.62006288072312832</v>
      </c>
      <c r="N58" s="65">
        <f t="shared" si="22"/>
        <v>3.4682648850461781E-2</v>
      </c>
      <c r="O58" s="65">
        <f t="shared" si="22"/>
        <v>3.5272155629789741E-2</v>
      </c>
      <c r="P58" s="320">
        <f t="shared" si="22"/>
        <v>1</v>
      </c>
    </row>
    <row r="59" spans="1:22" x14ac:dyDescent="0.25">
      <c r="B59" s="69" t="s">
        <v>586</v>
      </c>
      <c r="C59" s="70">
        <f t="shared" ref="C59:H59" si="23">C52/$H52</f>
        <v>0.24525193291899783</v>
      </c>
      <c r="D59" s="70">
        <f t="shared" si="23"/>
        <v>1.2618015294988311E-2</v>
      </c>
      <c r="E59" s="70">
        <f t="shared" si="23"/>
        <v>0.62267073356072966</v>
      </c>
      <c r="F59" s="70">
        <f t="shared" si="23"/>
        <v>3.3472400396131995E-2</v>
      </c>
      <c r="G59" s="70">
        <f t="shared" si="23"/>
        <v>8.5986917829152104E-2</v>
      </c>
      <c r="H59" s="321">
        <f t="shared" si="23"/>
        <v>1</v>
      </c>
      <c r="I59" s="319">
        <v>3</v>
      </c>
      <c r="J59" s="69" t="s">
        <v>586</v>
      </c>
      <c r="K59" s="70">
        <f t="shared" ref="K59:P59" si="24">K52/$P52</f>
        <v>0.39044398522136642</v>
      </c>
      <c r="L59" s="70">
        <f t="shared" si="24"/>
        <v>1.8160185359133319E-2</v>
      </c>
      <c r="M59" s="70">
        <f t="shared" si="24"/>
        <v>0.50879829669985599</v>
      </c>
      <c r="N59" s="70">
        <f t="shared" si="24"/>
        <v>3.9388815830671928E-2</v>
      </c>
      <c r="O59" s="70">
        <f t="shared" si="24"/>
        <v>4.3208716888972383E-2</v>
      </c>
      <c r="P59" s="321">
        <f t="shared" si="24"/>
        <v>1</v>
      </c>
    </row>
    <row r="60" spans="1:22" x14ac:dyDescent="0.25">
      <c r="B60" s="61" t="s">
        <v>29</v>
      </c>
      <c r="C60" s="2">
        <f t="shared" ref="C60:H60" si="25">C53/$H53</f>
        <v>0.28466093756948807</v>
      </c>
      <c r="D60" s="2">
        <f t="shared" si="25"/>
        <v>5.4938514042825433E-3</v>
      </c>
      <c r="E60" s="2">
        <f t="shared" si="25"/>
        <v>0.6147547376574044</v>
      </c>
      <c r="F60" s="2">
        <f t="shared" si="25"/>
        <v>2.6754447222151201E-2</v>
      </c>
      <c r="G60" s="2">
        <f t="shared" si="25"/>
        <v>6.8336026146673723E-2</v>
      </c>
      <c r="H60" s="2">
        <f t="shared" si="25"/>
        <v>1</v>
      </c>
      <c r="K60" s="2">
        <f t="shared" ref="K60:P60" si="26">K53/$P53</f>
        <v>0.31903991370010787</v>
      </c>
      <c r="L60" s="2">
        <f t="shared" si="26"/>
        <v>1.6377365891928997E-2</v>
      </c>
      <c r="M60" s="2">
        <f t="shared" si="26"/>
        <v>0.5821810336373443</v>
      </c>
      <c r="N60" s="2">
        <f t="shared" si="26"/>
        <v>4.3959007551240561E-2</v>
      </c>
      <c r="O60" s="2">
        <f t="shared" si="26"/>
        <v>3.8442679219378245E-2</v>
      </c>
      <c r="P60" s="2">
        <f t="shared" si="26"/>
        <v>1</v>
      </c>
    </row>
    <row r="61" spans="1:22" x14ac:dyDescent="0.25">
      <c r="S61">
        <f>S56-S55</f>
        <v>0.68700000000000006</v>
      </c>
      <c r="T61">
        <f>T56-T55</f>
        <v>0.498</v>
      </c>
    </row>
  </sheetData>
  <mergeCells count="4">
    <mergeCell ref="B2:H2"/>
    <mergeCell ref="J2:P2"/>
    <mergeCell ref="B48:H48"/>
    <mergeCell ref="J48:P48"/>
  </mergeCells>
  <hyperlinks>
    <hyperlink ref="A1" location="Index!A1" display="Index"/>
  </hyperlinks>
  <pageMargins left="0.7" right="0.7" top="0.75" bottom="0.75" header="0.3" footer="0.3"/>
  <pageSetup paperSize="0" orientation="portrait" horizontalDpi="0" verticalDpi="0" copie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1"/>
  <dimension ref="A1:S108"/>
  <sheetViews>
    <sheetView topLeftCell="A54" workbookViewId="0">
      <selection activeCell="F72" sqref="F72"/>
    </sheetView>
  </sheetViews>
  <sheetFormatPr defaultRowHeight="15" x14ac:dyDescent="0.25"/>
  <cols>
    <col min="1" max="1" width="24.42578125" bestFit="1" customWidth="1"/>
    <col min="2" max="2" width="3" bestFit="1" customWidth="1"/>
    <col min="3" max="3" width="8.42578125" bestFit="1" customWidth="1"/>
    <col min="4" max="4" width="10.7109375" bestFit="1" customWidth="1"/>
    <col min="15" max="15" width="25" bestFit="1" customWidth="1"/>
  </cols>
  <sheetData>
    <row r="1" spans="1:16" x14ac:dyDescent="0.25">
      <c r="A1" s="388" t="s">
        <v>3</v>
      </c>
      <c r="B1" s="388"/>
      <c r="C1" s="388"/>
      <c r="D1" s="388"/>
      <c r="E1" s="388"/>
      <c r="H1" s="388" t="s">
        <v>7</v>
      </c>
      <c r="I1" s="388"/>
      <c r="J1" s="388"/>
      <c r="K1" s="388"/>
    </row>
    <row r="2" spans="1:16" x14ac:dyDescent="0.25">
      <c r="C2" t="s">
        <v>43</v>
      </c>
      <c r="D2" t="s">
        <v>38</v>
      </c>
      <c r="E2" t="s">
        <v>39</v>
      </c>
      <c r="I2" t="s">
        <v>43</v>
      </c>
      <c r="J2" t="s">
        <v>44</v>
      </c>
      <c r="K2" t="s">
        <v>39</v>
      </c>
      <c r="O2" t="s">
        <v>45</v>
      </c>
      <c r="P2" t="s">
        <v>43</v>
      </c>
    </row>
    <row r="3" spans="1:16" x14ac:dyDescent="0.25">
      <c r="A3" t="str">
        <f>CONCATENATE(C3,D3)</f>
        <v>11</v>
      </c>
      <c r="B3">
        <v>1</v>
      </c>
      <c r="C3">
        <v>1</v>
      </c>
      <c r="D3">
        <v>1</v>
      </c>
      <c r="E3">
        <v>545402</v>
      </c>
      <c r="G3" t="str">
        <f>CONCATENATE(I3,J3)</f>
        <v>11</v>
      </c>
      <c r="H3">
        <v>1</v>
      </c>
      <c r="I3">
        <v>1</v>
      </c>
      <c r="J3">
        <v>1</v>
      </c>
      <c r="K3">
        <v>3013319.5800100002</v>
      </c>
      <c r="O3" t="s">
        <v>30</v>
      </c>
      <c r="P3">
        <v>1</v>
      </c>
    </row>
    <row r="4" spans="1:16" x14ac:dyDescent="0.25">
      <c r="A4" t="str">
        <f t="shared" ref="A4:A17" si="0">CONCATENATE(C4,D4)</f>
        <v>12</v>
      </c>
      <c r="B4">
        <v>2</v>
      </c>
      <c r="C4">
        <v>1</v>
      </c>
      <c r="D4">
        <v>2</v>
      </c>
      <c r="E4">
        <v>26835</v>
      </c>
      <c r="G4" t="str">
        <f t="shared" ref="G4:G30" si="1">CONCATENATE(I4,J4)</f>
        <v>12</v>
      </c>
      <c r="H4">
        <v>2</v>
      </c>
      <c r="I4">
        <v>1</v>
      </c>
      <c r="J4">
        <v>2</v>
      </c>
      <c r="K4">
        <v>195227.01345999999</v>
      </c>
      <c r="O4" t="s">
        <v>31</v>
      </c>
      <c r="P4">
        <v>2</v>
      </c>
    </row>
    <row r="5" spans="1:16" x14ac:dyDescent="0.25">
      <c r="A5" t="str">
        <f t="shared" si="0"/>
        <v>21</v>
      </c>
      <c r="B5">
        <v>3</v>
      </c>
      <c r="C5">
        <v>2</v>
      </c>
      <c r="D5">
        <v>1</v>
      </c>
      <c r="E5">
        <v>75736</v>
      </c>
      <c r="G5" t="str">
        <f t="shared" si="1"/>
        <v>13</v>
      </c>
      <c r="H5">
        <v>3</v>
      </c>
      <c r="I5">
        <v>1</v>
      </c>
      <c r="J5">
        <v>3</v>
      </c>
      <c r="K5">
        <v>16185.437599999999</v>
      </c>
      <c r="O5" t="s">
        <v>32</v>
      </c>
      <c r="P5">
        <v>3</v>
      </c>
    </row>
    <row r="6" spans="1:16" x14ac:dyDescent="0.25">
      <c r="A6" t="str">
        <f t="shared" si="0"/>
        <v>22</v>
      </c>
      <c r="B6">
        <v>4</v>
      </c>
      <c r="C6">
        <v>2</v>
      </c>
      <c r="D6">
        <v>2</v>
      </c>
      <c r="E6">
        <v>4897</v>
      </c>
      <c r="G6" t="str">
        <f t="shared" si="1"/>
        <v>14</v>
      </c>
      <c r="H6">
        <v>4</v>
      </c>
      <c r="I6">
        <v>1</v>
      </c>
      <c r="J6">
        <v>4</v>
      </c>
      <c r="K6">
        <v>310.17415999999997</v>
      </c>
      <c r="O6" t="s">
        <v>41</v>
      </c>
      <c r="P6">
        <v>6</v>
      </c>
    </row>
    <row r="7" spans="1:16" x14ac:dyDescent="0.25">
      <c r="A7" t="str">
        <f t="shared" si="0"/>
        <v>31</v>
      </c>
      <c r="B7">
        <v>5</v>
      </c>
      <c r="C7">
        <v>3</v>
      </c>
      <c r="D7">
        <v>1</v>
      </c>
      <c r="E7">
        <v>13013</v>
      </c>
      <c r="G7" t="str">
        <f t="shared" si="1"/>
        <v>15</v>
      </c>
      <c r="H7">
        <v>5</v>
      </c>
      <c r="I7">
        <v>1</v>
      </c>
      <c r="J7">
        <v>5</v>
      </c>
      <c r="K7">
        <v>26078.269660000002</v>
      </c>
      <c r="O7" t="s">
        <v>42</v>
      </c>
      <c r="P7">
        <v>7</v>
      </c>
    </row>
    <row r="8" spans="1:16" x14ac:dyDescent="0.25">
      <c r="A8" t="str">
        <f t="shared" si="0"/>
        <v>32</v>
      </c>
      <c r="B8">
        <v>6</v>
      </c>
      <c r="C8">
        <v>3</v>
      </c>
      <c r="D8">
        <v>2</v>
      </c>
      <c r="E8">
        <v>668</v>
      </c>
      <c r="G8" t="str">
        <f t="shared" si="1"/>
        <v>21</v>
      </c>
      <c r="H8">
        <v>6</v>
      </c>
      <c r="I8">
        <v>2</v>
      </c>
      <c r="J8">
        <v>1</v>
      </c>
      <c r="K8">
        <v>487298.49780000001</v>
      </c>
      <c r="O8" t="s">
        <v>40</v>
      </c>
      <c r="P8">
        <v>8</v>
      </c>
    </row>
    <row r="9" spans="1:16" x14ac:dyDescent="0.25">
      <c r="A9" t="str">
        <f t="shared" si="0"/>
        <v>33</v>
      </c>
      <c r="B9">
        <v>7</v>
      </c>
      <c r="C9">
        <v>3</v>
      </c>
      <c r="D9">
        <v>3</v>
      </c>
      <c r="E9">
        <v>23746</v>
      </c>
      <c r="G9" t="str">
        <f t="shared" si="1"/>
        <v>22</v>
      </c>
      <c r="H9">
        <v>7</v>
      </c>
      <c r="I9">
        <v>2</v>
      </c>
      <c r="J9">
        <v>2</v>
      </c>
      <c r="K9">
        <v>42808.428240000001</v>
      </c>
    </row>
    <row r="10" spans="1:16" x14ac:dyDescent="0.25">
      <c r="A10" t="str">
        <f t="shared" si="0"/>
        <v>34</v>
      </c>
      <c r="B10">
        <v>8</v>
      </c>
      <c r="C10">
        <v>3</v>
      </c>
      <c r="D10">
        <v>4</v>
      </c>
      <c r="E10">
        <v>1793</v>
      </c>
      <c r="G10" t="str">
        <f t="shared" si="1"/>
        <v>23</v>
      </c>
      <c r="H10">
        <v>8</v>
      </c>
      <c r="I10">
        <v>2</v>
      </c>
      <c r="J10">
        <v>3</v>
      </c>
      <c r="K10">
        <v>5110.5820700000004</v>
      </c>
    </row>
    <row r="11" spans="1:16" x14ac:dyDescent="0.25">
      <c r="A11" t="str">
        <f t="shared" si="0"/>
        <v>35</v>
      </c>
      <c r="B11">
        <v>9</v>
      </c>
      <c r="C11">
        <v>3</v>
      </c>
      <c r="D11">
        <v>5</v>
      </c>
      <c r="E11">
        <v>1568</v>
      </c>
      <c r="G11" t="str">
        <f t="shared" si="1"/>
        <v>25</v>
      </c>
      <c r="H11">
        <v>9</v>
      </c>
      <c r="I11">
        <v>2</v>
      </c>
      <c r="J11">
        <v>5</v>
      </c>
      <c r="K11">
        <v>4434.8388699999996</v>
      </c>
    </row>
    <row r="12" spans="1:16" x14ac:dyDescent="0.25">
      <c r="A12" t="str">
        <f t="shared" si="0"/>
        <v>63</v>
      </c>
      <c r="B12">
        <v>10</v>
      </c>
      <c r="C12">
        <v>6</v>
      </c>
      <c r="D12">
        <v>3</v>
      </c>
      <c r="E12">
        <v>45599</v>
      </c>
      <c r="G12" t="str">
        <f t="shared" si="1"/>
        <v>31</v>
      </c>
      <c r="H12">
        <v>10</v>
      </c>
      <c r="I12">
        <v>3</v>
      </c>
      <c r="J12">
        <v>1</v>
      </c>
      <c r="K12">
        <v>52996.14284</v>
      </c>
    </row>
    <row r="13" spans="1:16" x14ac:dyDescent="0.25">
      <c r="A13" t="str">
        <f t="shared" si="0"/>
        <v>64</v>
      </c>
      <c r="B13">
        <v>11</v>
      </c>
      <c r="C13">
        <v>6</v>
      </c>
      <c r="D13">
        <v>4</v>
      </c>
      <c r="E13">
        <v>915</v>
      </c>
      <c r="G13" t="str">
        <f t="shared" si="1"/>
        <v>32</v>
      </c>
      <c r="H13">
        <v>11</v>
      </c>
      <c r="I13">
        <v>3</v>
      </c>
      <c r="J13">
        <v>2</v>
      </c>
      <c r="K13">
        <v>981.21139000000005</v>
      </c>
    </row>
    <row r="14" spans="1:16" x14ac:dyDescent="0.25">
      <c r="A14" t="str">
        <f t="shared" si="0"/>
        <v>65</v>
      </c>
      <c r="B14">
        <v>12</v>
      </c>
      <c r="C14">
        <v>6</v>
      </c>
      <c r="D14">
        <v>5</v>
      </c>
      <c r="E14">
        <v>2519</v>
      </c>
      <c r="G14" t="str">
        <f t="shared" si="1"/>
        <v>33</v>
      </c>
      <c r="H14">
        <v>12</v>
      </c>
      <c r="I14">
        <v>3</v>
      </c>
      <c r="J14">
        <v>3</v>
      </c>
      <c r="K14">
        <v>116430.16211</v>
      </c>
    </row>
    <row r="15" spans="1:16" x14ac:dyDescent="0.25">
      <c r="A15" t="str">
        <f t="shared" si="0"/>
        <v>73</v>
      </c>
      <c r="B15">
        <v>13</v>
      </c>
      <c r="C15">
        <v>7</v>
      </c>
      <c r="D15">
        <v>3</v>
      </c>
      <c r="E15">
        <v>219408</v>
      </c>
      <c r="G15" t="str">
        <f t="shared" si="1"/>
        <v>34</v>
      </c>
      <c r="H15">
        <v>13</v>
      </c>
      <c r="I15">
        <v>3</v>
      </c>
      <c r="J15">
        <v>4</v>
      </c>
      <c r="K15">
        <v>4778.3906800000004</v>
      </c>
    </row>
    <row r="16" spans="1:16" x14ac:dyDescent="0.25">
      <c r="A16" t="str">
        <f t="shared" si="0"/>
        <v>74</v>
      </c>
      <c r="B16">
        <v>14</v>
      </c>
      <c r="C16">
        <v>7</v>
      </c>
      <c r="D16">
        <v>4</v>
      </c>
      <c r="E16">
        <v>2350</v>
      </c>
      <c r="G16" t="str">
        <f t="shared" si="1"/>
        <v>35</v>
      </c>
      <c r="H16">
        <v>14</v>
      </c>
      <c r="I16">
        <v>3</v>
      </c>
      <c r="J16">
        <v>5</v>
      </c>
      <c r="K16">
        <v>13317.15465</v>
      </c>
    </row>
    <row r="17" spans="1:15" x14ac:dyDescent="0.25">
      <c r="A17" t="str">
        <f t="shared" si="0"/>
        <v>83</v>
      </c>
      <c r="B17">
        <v>15</v>
      </c>
      <c r="C17">
        <v>8</v>
      </c>
      <c r="D17">
        <v>3</v>
      </c>
      <c r="E17">
        <v>49111</v>
      </c>
      <c r="G17" t="str">
        <f t="shared" si="1"/>
        <v>41</v>
      </c>
      <c r="H17">
        <v>15</v>
      </c>
      <c r="I17">
        <v>4</v>
      </c>
      <c r="J17">
        <v>1</v>
      </c>
      <c r="K17">
        <v>953.22026000000005</v>
      </c>
      <c r="O17" s="157"/>
    </row>
    <row r="18" spans="1:15" x14ac:dyDescent="0.25">
      <c r="G18" t="str">
        <f t="shared" si="1"/>
        <v>43</v>
      </c>
      <c r="H18">
        <v>16</v>
      </c>
      <c r="I18">
        <v>4</v>
      </c>
      <c r="J18">
        <v>3</v>
      </c>
      <c r="K18">
        <v>2107.9122600000001</v>
      </c>
      <c r="O18" s="157"/>
    </row>
    <row r="19" spans="1:15" x14ac:dyDescent="0.25">
      <c r="G19" t="str">
        <f t="shared" si="1"/>
        <v>45</v>
      </c>
      <c r="H19">
        <v>17</v>
      </c>
      <c r="I19">
        <v>4</v>
      </c>
      <c r="J19">
        <v>5</v>
      </c>
      <c r="K19">
        <v>428.02649000000002</v>
      </c>
      <c r="O19" s="157"/>
    </row>
    <row r="20" spans="1:15" x14ac:dyDescent="0.25">
      <c r="G20" t="str">
        <f t="shared" si="1"/>
        <v>51</v>
      </c>
      <c r="H20">
        <v>18</v>
      </c>
      <c r="I20">
        <v>5</v>
      </c>
      <c r="J20">
        <v>1</v>
      </c>
      <c r="K20">
        <v>1040.8098600000001</v>
      </c>
      <c r="O20" s="157"/>
    </row>
    <row r="21" spans="1:15" x14ac:dyDescent="0.25">
      <c r="G21" t="str">
        <f t="shared" si="1"/>
        <v>53</v>
      </c>
      <c r="H21">
        <v>19</v>
      </c>
      <c r="I21">
        <v>5</v>
      </c>
      <c r="J21">
        <v>3</v>
      </c>
      <c r="K21">
        <v>1366.17399</v>
      </c>
      <c r="O21" s="157"/>
    </row>
    <row r="22" spans="1:15" x14ac:dyDescent="0.25">
      <c r="G22" t="str">
        <f t="shared" si="1"/>
        <v>61</v>
      </c>
      <c r="H22">
        <v>20</v>
      </c>
      <c r="I22">
        <v>6</v>
      </c>
      <c r="J22">
        <v>1</v>
      </c>
      <c r="K22">
        <v>9545.2566499999994</v>
      </c>
      <c r="O22" s="157"/>
    </row>
    <row r="23" spans="1:15" x14ac:dyDescent="0.25">
      <c r="G23" t="str">
        <f t="shared" si="1"/>
        <v>62</v>
      </c>
      <c r="H23">
        <v>21</v>
      </c>
      <c r="I23">
        <v>6</v>
      </c>
      <c r="J23">
        <v>2</v>
      </c>
      <c r="K23">
        <v>249.15765999999999</v>
      </c>
      <c r="O23" s="157"/>
    </row>
    <row r="24" spans="1:15" x14ac:dyDescent="0.25">
      <c r="G24" t="str">
        <f t="shared" si="1"/>
        <v>63</v>
      </c>
      <c r="H24">
        <v>22</v>
      </c>
      <c r="I24">
        <v>6</v>
      </c>
      <c r="J24">
        <v>3</v>
      </c>
      <c r="K24">
        <v>220983.06417</v>
      </c>
      <c r="O24" s="157"/>
    </row>
    <row r="25" spans="1:15" x14ac:dyDescent="0.25">
      <c r="G25" t="str">
        <f t="shared" si="1"/>
        <v>64</v>
      </c>
      <c r="H25">
        <v>23</v>
      </c>
      <c r="I25">
        <v>6</v>
      </c>
      <c r="J25">
        <v>4</v>
      </c>
      <c r="K25">
        <v>2294.5371799999998</v>
      </c>
      <c r="O25" s="157"/>
    </row>
    <row r="26" spans="1:15" x14ac:dyDescent="0.25">
      <c r="G26" t="str">
        <f t="shared" si="1"/>
        <v>65</v>
      </c>
      <c r="H26">
        <v>24</v>
      </c>
      <c r="I26">
        <v>6</v>
      </c>
      <c r="J26">
        <v>5</v>
      </c>
      <c r="K26">
        <v>14119.169910000001</v>
      </c>
      <c r="O26" s="157"/>
    </row>
    <row r="27" spans="1:15" x14ac:dyDescent="0.25">
      <c r="G27" t="str">
        <f t="shared" si="1"/>
        <v>73</v>
      </c>
      <c r="H27">
        <v>25</v>
      </c>
      <c r="I27">
        <v>7</v>
      </c>
      <c r="J27">
        <v>3</v>
      </c>
      <c r="K27">
        <v>1054678.69401</v>
      </c>
      <c r="O27" s="157"/>
    </row>
    <row r="28" spans="1:15" x14ac:dyDescent="0.25">
      <c r="G28" t="str">
        <f t="shared" si="1"/>
        <v>74</v>
      </c>
      <c r="H28">
        <v>26</v>
      </c>
      <c r="I28">
        <v>7</v>
      </c>
      <c r="J28">
        <v>4</v>
      </c>
      <c r="K28">
        <v>4125.3007699999998</v>
      </c>
      <c r="O28" s="157"/>
    </row>
    <row r="29" spans="1:15" x14ac:dyDescent="0.25">
      <c r="G29" t="str">
        <f t="shared" si="1"/>
        <v>83</v>
      </c>
      <c r="H29">
        <v>27</v>
      </c>
      <c r="I29">
        <v>8</v>
      </c>
      <c r="J29">
        <v>3</v>
      </c>
      <c r="K29">
        <v>237812.63088000001</v>
      </c>
      <c r="O29" s="157"/>
    </row>
    <row r="30" spans="1:15" x14ac:dyDescent="0.25">
      <c r="G30" t="str">
        <f t="shared" si="1"/>
        <v>84</v>
      </c>
      <c r="H30">
        <v>28</v>
      </c>
      <c r="I30">
        <v>8</v>
      </c>
      <c r="J30">
        <v>4</v>
      </c>
      <c r="K30">
        <v>512.95700999999997</v>
      </c>
      <c r="O30" s="157"/>
    </row>
    <row r="31" spans="1:15" x14ac:dyDescent="0.25">
      <c r="O31" s="157"/>
    </row>
    <row r="32" spans="1:15" x14ac:dyDescent="0.25">
      <c r="O32" s="157"/>
    </row>
    <row r="34" spans="1:18" ht="21" x14ac:dyDescent="0.35">
      <c r="A34" s="170" t="s">
        <v>583</v>
      </c>
    </row>
    <row r="35" spans="1:18" x14ac:dyDescent="0.25">
      <c r="A35" t="s">
        <v>200</v>
      </c>
      <c r="G35" t="s">
        <v>191</v>
      </c>
    </row>
    <row r="36" spans="1:18" x14ac:dyDescent="0.25">
      <c r="C36" t="s">
        <v>43</v>
      </c>
      <c r="D36" t="s">
        <v>38</v>
      </c>
      <c r="E36" t="s">
        <v>39</v>
      </c>
      <c r="I36" t="s">
        <v>43</v>
      </c>
      <c r="J36" t="s">
        <v>44</v>
      </c>
      <c r="K36" t="s">
        <v>39</v>
      </c>
      <c r="P36" t="s">
        <v>43</v>
      </c>
      <c r="Q36" t="s">
        <v>38</v>
      </c>
      <c r="R36" t="s">
        <v>39</v>
      </c>
    </row>
    <row r="37" spans="1:18" x14ac:dyDescent="0.25">
      <c r="A37" t="str">
        <f>CONCATENATE(C37,D37)</f>
        <v>11</v>
      </c>
      <c r="C37">
        <v>1</v>
      </c>
      <c r="D37">
        <v>1</v>
      </c>
      <c r="E37">
        <v>29814</v>
      </c>
      <c r="G37" t="str">
        <f>CONCATENATE(I37,J37)</f>
        <v>11</v>
      </c>
      <c r="I37">
        <v>1</v>
      </c>
      <c r="J37">
        <v>1</v>
      </c>
      <c r="K37">
        <v>109476.1707</v>
      </c>
      <c r="O37">
        <v>1</v>
      </c>
      <c r="P37">
        <v>1</v>
      </c>
      <c r="Q37">
        <v>1</v>
      </c>
      <c r="R37">
        <v>29814</v>
      </c>
    </row>
    <row r="38" spans="1:18" x14ac:dyDescent="0.25">
      <c r="A38" t="str">
        <f t="shared" ref="A38:A51" si="2">CONCATENATE(C38,D38)</f>
        <v>12</v>
      </c>
      <c r="C38">
        <v>1</v>
      </c>
      <c r="D38">
        <v>2</v>
      </c>
      <c r="E38">
        <v>539</v>
      </c>
      <c r="G38" t="str">
        <f t="shared" ref="G38:G50" si="3">CONCATENATE(I38,J38)</f>
        <v>12</v>
      </c>
      <c r="I38">
        <v>1</v>
      </c>
      <c r="J38">
        <v>2</v>
      </c>
      <c r="K38">
        <v>3382.3252200000002</v>
      </c>
      <c r="O38">
        <v>2</v>
      </c>
      <c r="P38">
        <v>1</v>
      </c>
      <c r="Q38">
        <v>2</v>
      </c>
      <c r="R38">
        <v>539</v>
      </c>
    </row>
    <row r="39" spans="1:18" x14ac:dyDescent="0.25">
      <c r="A39" t="str">
        <f t="shared" si="2"/>
        <v>21</v>
      </c>
      <c r="C39">
        <v>2</v>
      </c>
      <c r="D39">
        <v>1</v>
      </c>
      <c r="E39">
        <v>5159</v>
      </c>
      <c r="G39" t="str">
        <f t="shared" si="3"/>
        <v>13</v>
      </c>
      <c r="I39">
        <v>1</v>
      </c>
      <c r="J39">
        <v>3</v>
      </c>
      <c r="K39">
        <v>1070.64204</v>
      </c>
      <c r="O39">
        <v>3</v>
      </c>
      <c r="P39">
        <v>2</v>
      </c>
      <c r="Q39">
        <v>1</v>
      </c>
      <c r="R39">
        <v>5159</v>
      </c>
    </row>
    <row r="40" spans="1:18" x14ac:dyDescent="0.25">
      <c r="A40" t="str">
        <f t="shared" si="2"/>
        <v>22</v>
      </c>
      <c r="C40">
        <v>2</v>
      </c>
      <c r="D40">
        <v>2</v>
      </c>
      <c r="E40">
        <v>125</v>
      </c>
      <c r="G40" t="str">
        <f t="shared" si="3"/>
        <v>15</v>
      </c>
      <c r="I40">
        <v>1</v>
      </c>
      <c r="J40">
        <v>5</v>
      </c>
      <c r="K40">
        <v>3106.7421399999998</v>
      </c>
      <c r="O40">
        <v>4</v>
      </c>
      <c r="P40">
        <v>2</v>
      </c>
      <c r="Q40">
        <v>2</v>
      </c>
      <c r="R40">
        <v>125</v>
      </c>
    </row>
    <row r="41" spans="1:18" x14ac:dyDescent="0.25">
      <c r="A41" t="str">
        <f t="shared" si="2"/>
        <v>31</v>
      </c>
      <c r="C41">
        <v>3</v>
      </c>
      <c r="D41">
        <v>1</v>
      </c>
      <c r="E41">
        <v>829</v>
      </c>
      <c r="G41" t="str">
        <f t="shared" si="3"/>
        <v>21</v>
      </c>
      <c r="I41">
        <v>2</v>
      </c>
      <c r="J41">
        <v>1</v>
      </c>
      <c r="K41">
        <v>30706.27403</v>
      </c>
      <c r="O41">
        <v>5</v>
      </c>
      <c r="P41">
        <v>3</v>
      </c>
      <c r="Q41">
        <v>1</v>
      </c>
      <c r="R41">
        <v>829</v>
      </c>
    </row>
    <row r="42" spans="1:18" x14ac:dyDescent="0.25">
      <c r="A42" t="str">
        <f t="shared" si="2"/>
        <v>32</v>
      </c>
      <c r="C42">
        <v>3</v>
      </c>
      <c r="D42">
        <v>2</v>
      </c>
      <c r="E42">
        <v>17</v>
      </c>
      <c r="G42" t="str">
        <f t="shared" si="3"/>
        <v>22</v>
      </c>
      <c r="I42">
        <v>2</v>
      </c>
      <c r="J42">
        <v>2</v>
      </c>
      <c r="K42">
        <v>9111.5977899999998</v>
      </c>
      <c r="O42">
        <v>6</v>
      </c>
      <c r="P42">
        <v>3</v>
      </c>
      <c r="Q42">
        <v>2</v>
      </c>
      <c r="R42">
        <v>17</v>
      </c>
    </row>
    <row r="43" spans="1:18" x14ac:dyDescent="0.25">
      <c r="A43" t="str">
        <f t="shared" si="2"/>
        <v>33</v>
      </c>
      <c r="C43">
        <v>3</v>
      </c>
      <c r="D43">
        <v>3</v>
      </c>
      <c r="E43">
        <v>2999</v>
      </c>
      <c r="G43" t="str">
        <f t="shared" si="3"/>
        <v>23</v>
      </c>
      <c r="I43">
        <v>2</v>
      </c>
      <c r="J43">
        <v>3</v>
      </c>
      <c r="K43">
        <v>573.00130999999999</v>
      </c>
      <c r="O43">
        <v>7</v>
      </c>
      <c r="P43">
        <v>3</v>
      </c>
      <c r="Q43">
        <v>3</v>
      </c>
      <c r="R43">
        <v>2999</v>
      </c>
    </row>
    <row r="44" spans="1:18" x14ac:dyDescent="0.25">
      <c r="A44" t="str">
        <f t="shared" si="2"/>
        <v>34</v>
      </c>
      <c r="C44">
        <v>3</v>
      </c>
      <c r="D44">
        <v>4</v>
      </c>
      <c r="E44">
        <v>458</v>
      </c>
      <c r="G44" t="str">
        <f t="shared" si="3"/>
        <v>31</v>
      </c>
      <c r="I44">
        <v>3</v>
      </c>
      <c r="J44">
        <v>1</v>
      </c>
      <c r="K44">
        <v>9837.98632</v>
      </c>
      <c r="O44">
        <v>8</v>
      </c>
      <c r="P44">
        <v>3</v>
      </c>
      <c r="Q44">
        <v>4</v>
      </c>
      <c r="R44">
        <v>458</v>
      </c>
    </row>
    <row r="45" spans="1:18" x14ac:dyDescent="0.25">
      <c r="A45" t="str">
        <f t="shared" si="2"/>
        <v>35</v>
      </c>
      <c r="C45">
        <v>3</v>
      </c>
      <c r="D45">
        <v>5</v>
      </c>
      <c r="E45">
        <v>160</v>
      </c>
      <c r="G45" t="str">
        <f t="shared" si="3"/>
        <v>33</v>
      </c>
      <c r="I45">
        <v>3</v>
      </c>
      <c r="J45">
        <v>3</v>
      </c>
      <c r="K45">
        <v>15984.926299999999</v>
      </c>
      <c r="O45">
        <v>9</v>
      </c>
      <c r="P45">
        <v>3</v>
      </c>
      <c r="Q45">
        <v>5</v>
      </c>
      <c r="R45">
        <v>160</v>
      </c>
    </row>
    <row r="46" spans="1:18" x14ac:dyDescent="0.25">
      <c r="A46" t="str">
        <f t="shared" si="2"/>
        <v>63</v>
      </c>
      <c r="C46">
        <v>6</v>
      </c>
      <c r="D46">
        <v>3</v>
      </c>
      <c r="E46">
        <v>2026</v>
      </c>
      <c r="G46" t="str">
        <f t="shared" si="3"/>
        <v>34</v>
      </c>
      <c r="I46">
        <v>3</v>
      </c>
      <c r="J46">
        <v>4</v>
      </c>
      <c r="K46">
        <v>531.26021000000003</v>
      </c>
      <c r="O46">
        <v>10</v>
      </c>
      <c r="P46">
        <v>6</v>
      </c>
      <c r="Q46">
        <v>3</v>
      </c>
      <c r="R46">
        <v>2026</v>
      </c>
    </row>
    <row r="47" spans="1:18" x14ac:dyDescent="0.25">
      <c r="A47" t="str">
        <f t="shared" si="2"/>
        <v>64</v>
      </c>
      <c r="C47">
        <v>6</v>
      </c>
      <c r="D47">
        <v>4</v>
      </c>
      <c r="E47">
        <v>2</v>
      </c>
      <c r="G47" t="str">
        <f t="shared" si="3"/>
        <v>35</v>
      </c>
      <c r="I47">
        <v>3</v>
      </c>
      <c r="J47">
        <v>5</v>
      </c>
      <c r="K47">
        <v>211.89824999999999</v>
      </c>
      <c r="O47">
        <v>11</v>
      </c>
      <c r="P47">
        <v>6</v>
      </c>
      <c r="Q47">
        <v>4</v>
      </c>
      <c r="R47">
        <v>2</v>
      </c>
    </row>
    <row r="48" spans="1:18" x14ac:dyDescent="0.25">
      <c r="A48" t="str">
        <f t="shared" si="2"/>
        <v>65</v>
      </c>
      <c r="C48">
        <v>6</v>
      </c>
      <c r="D48">
        <v>5</v>
      </c>
      <c r="E48">
        <v>10</v>
      </c>
      <c r="G48" t="str">
        <f t="shared" si="3"/>
        <v>63</v>
      </c>
      <c r="I48">
        <v>6</v>
      </c>
      <c r="J48">
        <v>3</v>
      </c>
      <c r="K48">
        <v>13497.596229999999</v>
      </c>
      <c r="O48">
        <v>12</v>
      </c>
      <c r="P48">
        <v>6</v>
      </c>
      <c r="Q48">
        <v>5</v>
      </c>
      <c r="R48">
        <v>10</v>
      </c>
    </row>
    <row r="49" spans="1:19" x14ac:dyDescent="0.25">
      <c r="A49" t="str">
        <f t="shared" si="2"/>
        <v>73</v>
      </c>
      <c r="C49">
        <v>7</v>
      </c>
      <c r="D49">
        <v>3</v>
      </c>
      <c r="E49">
        <v>13399</v>
      </c>
      <c r="G49" t="str">
        <f t="shared" si="3"/>
        <v>73</v>
      </c>
      <c r="I49">
        <v>7</v>
      </c>
      <c r="J49">
        <v>3</v>
      </c>
      <c r="K49">
        <v>54425.33322</v>
      </c>
      <c r="O49">
        <v>13</v>
      </c>
      <c r="P49">
        <v>7</v>
      </c>
      <c r="Q49">
        <v>3</v>
      </c>
      <c r="R49">
        <v>13399</v>
      </c>
    </row>
    <row r="50" spans="1:19" x14ac:dyDescent="0.25">
      <c r="A50" t="str">
        <f t="shared" si="2"/>
        <v>74</v>
      </c>
      <c r="C50">
        <v>7</v>
      </c>
      <c r="D50">
        <v>4</v>
      </c>
      <c r="E50">
        <v>126</v>
      </c>
      <c r="G50" t="str">
        <f t="shared" si="3"/>
        <v>83</v>
      </c>
      <c r="I50">
        <v>8</v>
      </c>
      <c r="J50">
        <v>3</v>
      </c>
      <c r="K50">
        <v>8273.5491199999997</v>
      </c>
      <c r="O50">
        <v>14</v>
      </c>
      <c r="P50">
        <v>7</v>
      </c>
      <c r="Q50">
        <v>4</v>
      </c>
      <c r="R50">
        <v>126</v>
      </c>
    </row>
    <row r="51" spans="1:19" x14ac:dyDescent="0.25">
      <c r="A51" t="str">
        <f t="shared" si="2"/>
        <v>83</v>
      </c>
      <c r="C51">
        <v>8</v>
      </c>
      <c r="D51">
        <v>3</v>
      </c>
      <c r="E51">
        <v>2381</v>
      </c>
      <c r="I51" t="s">
        <v>534</v>
      </c>
      <c r="J51" t="s">
        <v>534</v>
      </c>
      <c r="K51" t="s">
        <v>534</v>
      </c>
      <c r="O51">
        <v>15</v>
      </c>
      <c r="P51">
        <v>8</v>
      </c>
      <c r="Q51">
        <v>3</v>
      </c>
      <c r="R51">
        <v>2381</v>
      </c>
    </row>
    <row r="52" spans="1:19" x14ac:dyDescent="0.25">
      <c r="A52" t="str">
        <f>CONCATENATE(C52,D52)</f>
        <v>PERTYPEimf_choice</v>
      </c>
      <c r="C52" t="s">
        <v>43</v>
      </c>
      <c r="D52" t="s">
        <v>38</v>
      </c>
      <c r="E52" t="s">
        <v>39</v>
      </c>
      <c r="I52" t="s">
        <v>43</v>
      </c>
      <c r="J52" t="s">
        <v>44</v>
      </c>
      <c r="K52" t="s">
        <v>39</v>
      </c>
    </row>
    <row r="53" spans="1:19" x14ac:dyDescent="0.25">
      <c r="A53" t="str">
        <f t="shared" ref="A53:A66" si="4">CONCATENATE(C53,D53)</f>
        <v>11</v>
      </c>
      <c r="C53">
        <v>1</v>
      </c>
      <c r="D53">
        <v>1</v>
      </c>
      <c r="E53">
        <v>178645</v>
      </c>
      <c r="G53" t="str">
        <f t="shared" ref="G53:G77" si="5">CONCATENATE(I53,J53)</f>
        <v>11</v>
      </c>
      <c r="I53">
        <v>1</v>
      </c>
      <c r="J53">
        <v>1</v>
      </c>
      <c r="K53">
        <v>620337.20369999995</v>
      </c>
      <c r="P53" s="157"/>
      <c r="Q53" t="s">
        <v>43</v>
      </c>
      <c r="R53" t="s">
        <v>38</v>
      </c>
      <c r="S53" t="s">
        <v>39</v>
      </c>
    </row>
    <row r="54" spans="1:19" x14ac:dyDescent="0.25">
      <c r="A54" t="str">
        <f t="shared" si="4"/>
        <v>12</v>
      </c>
      <c r="C54">
        <v>1</v>
      </c>
      <c r="D54">
        <v>2</v>
      </c>
      <c r="E54">
        <v>9686</v>
      </c>
      <c r="G54" t="str">
        <f t="shared" si="5"/>
        <v>12</v>
      </c>
      <c r="I54">
        <v>1</v>
      </c>
      <c r="J54">
        <v>2</v>
      </c>
      <c r="K54">
        <v>30421.98504</v>
      </c>
      <c r="P54" s="157">
        <v>1</v>
      </c>
      <c r="Q54">
        <v>1</v>
      </c>
      <c r="R54">
        <v>1</v>
      </c>
      <c r="S54">
        <v>178645</v>
      </c>
    </row>
    <row r="55" spans="1:19" x14ac:dyDescent="0.25">
      <c r="A55" t="str">
        <f t="shared" si="4"/>
        <v>21</v>
      </c>
      <c r="C55">
        <v>2</v>
      </c>
      <c r="D55">
        <v>1</v>
      </c>
      <c r="E55">
        <v>26610</v>
      </c>
      <c r="G55" t="str">
        <f t="shared" si="5"/>
        <v>13</v>
      </c>
      <c r="I55">
        <v>1</v>
      </c>
      <c r="J55">
        <v>3</v>
      </c>
      <c r="K55">
        <v>3226.22181</v>
      </c>
      <c r="P55" s="157">
        <v>2</v>
      </c>
      <c r="Q55">
        <v>1</v>
      </c>
      <c r="R55">
        <v>2</v>
      </c>
      <c r="S55">
        <v>9686</v>
      </c>
    </row>
    <row r="56" spans="1:19" x14ac:dyDescent="0.25">
      <c r="A56" t="str">
        <f t="shared" si="4"/>
        <v>22</v>
      </c>
      <c r="C56">
        <v>2</v>
      </c>
      <c r="D56">
        <v>2</v>
      </c>
      <c r="E56">
        <v>1915</v>
      </c>
      <c r="G56" t="str">
        <f t="shared" si="5"/>
        <v>14</v>
      </c>
      <c r="I56">
        <v>1</v>
      </c>
      <c r="J56">
        <v>4</v>
      </c>
      <c r="K56">
        <v>72.90164</v>
      </c>
      <c r="P56" s="157">
        <v>3</v>
      </c>
      <c r="Q56">
        <v>2</v>
      </c>
      <c r="R56">
        <v>1</v>
      </c>
      <c r="S56">
        <v>26610</v>
      </c>
    </row>
    <row r="57" spans="1:19" x14ac:dyDescent="0.25">
      <c r="A57" t="str">
        <f t="shared" si="4"/>
        <v>31</v>
      </c>
      <c r="C57">
        <v>3</v>
      </c>
      <c r="D57">
        <v>1</v>
      </c>
      <c r="E57">
        <v>5949</v>
      </c>
      <c r="G57" t="str">
        <f t="shared" si="5"/>
        <v>15</v>
      </c>
      <c r="I57">
        <v>1</v>
      </c>
      <c r="J57">
        <v>5</v>
      </c>
      <c r="K57">
        <v>16216.584360000001</v>
      </c>
      <c r="P57" s="157">
        <v>4</v>
      </c>
      <c r="Q57">
        <v>2</v>
      </c>
      <c r="R57">
        <v>2</v>
      </c>
      <c r="S57">
        <v>1915</v>
      </c>
    </row>
    <row r="58" spans="1:19" x14ac:dyDescent="0.25">
      <c r="A58" t="str">
        <f t="shared" si="4"/>
        <v>32</v>
      </c>
      <c r="C58">
        <v>3</v>
      </c>
      <c r="D58">
        <v>2</v>
      </c>
      <c r="E58">
        <v>361</v>
      </c>
      <c r="G58" t="str">
        <f t="shared" si="5"/>
        <v>21</v>
      </c>
      <c r="I58">
        <v>2</v>
      </c>
      <c r="J58">
        <v>1</v>
      </c>
      <c r="K58">
        <v>107175.18691</v>
      </c>
      <c r="P58" s="157">
        <v>5</v>
      </c>
      <c r="Q58">
        <v>3</v>
      </c>
      <c r="R58">
        <v>1</v>
      </c>
      <c r="S58">
        <v>5949</v>
      </c>
    </row>
    <row r="59" spans="1:19" x14ac:dyDescent="0.25">
      <c r="A59" t="str">
        <f t="shared" si="4"/>
        <v>33</v>
      </c>
      <c r="C59">
        <v>3</v>
      </c>
      <c r="D59">
        <v>3</v>
      </c>
      <c r="E59">
        <v>12622</v>
      </c>
      <c r="G59" t="str">
        <f t="shared" si="5"/>
        <v>22</v>
      </c>
      <c r="I59">
        <v>2</v>
      </c>
      <c r="J59">
        <v>2</v>
      </c>
      <c r="K59">
        <v>8584.9237499999999</v>
      </c>
      <c r="P59" s="157">
        <v>6</v>
      </c>
      <c r="Q59">
        <v>3</v>
      </c>
      <c r="R59">
        <v>2</v>
      </c>
      <c r="S59">
        <v>361</v>
      </c>
    </row>
    <row r="60" spans="1:19" x14ac:dyDescent="0.25">
      <c r="A60" t="str">
        <f t="shared" si="4"/>
        <v>34</v>
      </c>
      <c r="C60">
        <v>3</v>
      </c>
      <c r="D60">
        <v>4</v>
      </c>
      <c r="E60">
        <v>706</v>
      </c>
      <c r="G60" t="str">
        <f t="shared" si="5"/>
        <v>23</v>
      </c>
      <c r="I60">
        <v>2</v>
      </c>
      <c r="J60">
        <v>3</v>
      </c>
      <c r="K60">
        <v>1332.4860900000001</v>
      </c>
      <c r="P60" s="157">
        <v>7</v>
      </c>
      <c r="Q60">
        <v>3</v>
      </c>
      <c r="R60">
        <v>3</v>
      </c>
      <c r="S60">
        <v>12622</v>
      </c>
    </row>
    <row r="61" spans="1:19" x14ac:dyDescent="0.25">
      <c r="A61" t="str">
        <f t="shared" si="4"/>
        <v>35</v>
      </c>
      <c r="C61">
        <v>3</v>
      </c>
      <c r="D61">
        <v>5</v>
      </c>
      <c r="E61">
        <v>718</v>
      </c>
      <c r="G61" t="str">
        <f t="shared" si="5"/>
        <v>25</v>
      </c>
      <c r="I61">
        <v>2</v>
      </c>
      <c r="J61">
        <v>5</v>
      </c>
      <c r="K61">
        <v>1675.1687300000001</v>
      </c>
      <c r="P61" s="157">
        <v>8</v>
      </c>
      <c r="Q61">
        <v>3</v>
      </c>
      <c r="R61">
        <v>4</v>
      </c>
      <c r="S61">
        <v>706</v>
      </c>
    </row>
    <row r="62" spans="1:19" x14ac:dyDescent="0.25">
      <c r="A62" t="str">
        <f t="shared" si="4"/>
        <v>63</v>
      </c>
      <c r="C62">
        <v>6</v>
      </c>
      <c r="D62">
        <v>3</v>
      </c>
      <c r="E62">
        <v>16595</v>
      </c>
      <c r="G62" t="str">
        <f t="shared" si="5"/>
        <v>31</v>
      </c>
      <c r="I62">
        <v>3</v>
      </c>
      <c r="J62">
        <v>1</v>
      </c>
      <c r="K62">
        <v>23566.145990000001</v>
      </c>
      <c r="P62" s="157">
        <v>9</v>
      </c>
      <c r="Q62">
        <v>3</v>
      </c>
      <c r="R62">
        <v>5</v>
      </c>
      <c r="S62">
        <v>718</v>
      </c>
    </row>
    <row r="63" spans="1:19" x14ac:dyDescent="0.25">
      <c r="A63" t="str">
        <f t="shared" si="4"/>
        <v>64</v>
      </c>
      <c r="C63">
        <v>6</v>
      </c>
      <c r="D63">
        <v>4</v>
      </c>
      <c r="E63">
        <v>269</v>
      </c>
      <c r="G63" t="str">
        <f t="shared" si="5"/>
        <v>32</v>
      </c>
      <c r="I63">
        <v>3</v>
      </c>
      <c r="J63">
        <v>2</v>
      </c>
      <c r="K63">
        <v>84.101759999999999</v>
      </c>
      <c r="P63" s="157">
        <v>10</v>
      </c>
      <c r="Q63">
        <v>6</v>
      </c>
      <c r="R63">
        <v>3</v>
      </c>
      <c r="S63">
        <v>16595</v>
      </c>
    </row>
    <row r="64" spans="1:19" x14ac:dyDescent="0.25">
      <c r="A64" t="str">
        <f t="shared" si="4"/>
        <v>65</v>
      </c>
      <c r="C64">
        <v>6</v>
      </c>
      <c r="D64">
        <v>5</v>
      </c>
      <c r="E64">
        <v>835</v>
      </c>
      <c r="G64" t="str">
        <f t="shared" si="5"/>
        <v>33</v>
      </c>
      <c r="I64">
        <v>3</v>
      </c>
      <c r="J64">
        <v>3</v>
      </c>
      <c r="K64">
        <v>49540.989479999997</v>
      </c>
      <c r="P64" s="157">
        <v>11</v>
      </c>
      <c r="Q64">
        <v>6</v>
      </c>
      <c r="R64">
        <v>4</v>
      </c>
      <c r="S64">
        <v>269</v>
      </c>
    </row>
    <row r="65" spans="1:19" x14ac:dyDescent="0.25">
      <c r="A65" t="str">
        <f t="shared" si="4"/>
        <v>73</v>
      </c>
      <c r="C65">
        <v>7</v>
      </c>
      <c r="D65">
        <v>3</v>
      </c>
      <c r="E65">
        <v>65313</v>
      </c>
      <c r="G65" t="str">
        <f t="shared" si="5"/>
        <v>34</v>
      </c>
      <c r="I65">
        <v>3</v>
      </c>
      <c r="J65">
        <v>4</v>
      </c>
      <c r="K65">
        <v>1867.32572</v>
      </c>
      <c r="P65" s="157">
        <v>12</v>
      </c>
      <c r="Q65">
        <v>6</v>
      </c>
      <c r="R65">
        <v>5</v>
      </c>
      <c r="S65">
        <v>835</v>
      </c>
    </row>
    <row r="66" spans="1:19" x14ac:dyDescent="0.25">
      <c r="A66" t="str">
        <f t="shared" si="4"/>
        <v>74</v>
      </c>
      <c r="C66">
        <v>7</v>
      </c>
      <c r="D66">
        <v>4</v>
      </c>
      <c r="E66">
        <v>488</v>
      </c>
      <c r="G66" t="str">
        <f t="shared" si="5"/>
        <v>35</v>
      </c>
      <c r="I66">
        <v>3</v>
      </c>
      <c r="J66">
        <v>5</v>
      </c>
      <c r="K66">
        <v>5879.5776999999998</v>
      </c>
      <c r="P66" s="157">
        <v>13</v>
      </c>
      <c r="Q66">
        <v>7</v>
      </c>
      <c r="R66">
        <v>3</v>
      </c>
      <c r="S66">
        <v>65313</v>
      </c>
    </row>
    <row r="67" spans="1:19" x14ac:dyDescent="0.25">
      <c r="C67">
        <v>8</v>
      </c>
      <c r="D67">
        <v>3</v>
      </c>
      <c r="E67">
        <v>16268</v>
      </c>
      <c r="G67" t="str">
        <f t="shared" si="5"/>
        <v>41</v>
      </c>
      <c r="I67">
        <v>4</v>
      </c>
      <c r="J67">
        <v>1</v>
      </c>
      <c r="K67">
        <v>423.56079</v>
      </c>
      <c r="P67" s="157">
        <v>14</v>
      </c>
      <c r="Q67">
        <v>7</v>
      </c>
      <c r="R67">
        <v>4</v>
      </c>
      <c r="S67">
        <v>488</v>
      </c>
    </row>
    <row r="68" spans="1:19" x14ac:dyDescent="0.25">
      <c r="A68" t="str">
        <f>CONCATENATE(C68,D68)</f>
        <v>PERTYPEimf_choice</v>
      </c>
      <c r="C68" t="s">
        <v>43</v>
      </c>
      <c r="D68" t="s">
        <v>38</v>
      </c>
      <c r="E68" t="s">
        <v>39</v>
      </c>
      <c r="G68" t="str">
        <f t="shared" si="5"/>
        <v>43</v>
      </c>
      <c r="I68">
        <v>4</v>
      </c>
      <c r="J68">
        <v>3</v>
      </c>
      <c r="K68">
        <v>224.09737000000001</v>
      </c>
      <c r="P68" s="157">
        <v>15</v>
      </c>
      <c r="Q68">
        <v>8</v>
      </c>
      <c r="R68">
        <v>3</v>
      </c>
      <c r="S68">
        <v>16268</v>
      </c>
    </row>
    <row r="69" spans="1:19" x14ac:dyDescent="0.25">
      <c r="A69" t="str">
        <f t="shared" ref="A69:A82" si="6">CONCATENATE(C69,D69)</f>
        <v>11</v>
      </c>
      <c r="C69">
        <v>1</v>
      </c>
      <c r="D69">
        <v>1</v>
      </c>
      <c r="E69">
        <v>336935</v>
      </c>
      <c r="G69" t="str">
        <f t="shared" si="5"/>
        <v>51</v>
      </c>
      <c r="I69">
        <v>5</v>
      </c>
      <c r="J69">
        <v>1</v>
      </c>
      <c r="K69">
        <v>145.67437000000001</v>
      </c>
    </row>
    <row r="70" spans="1:19" x14ac:dyDescent="0.25">
      <c r="A70" t="str">
        <f t="shared" si="6"/>
        <v>12</v>
      </c>
      <c r="C70">
        <v>1</v>
      </c>
      <c r="D70">
        <v>2</v>
      </c>
      <c r="E70">
        <v>16609</v>
      </c>
      <c r="G70" t="str">
        <f t="shared" si="5"/>
        <v>53</v>
      </c>
      <c r="I70">
        <v>5</v>
      </c>
      <c r="J70">
        <v>3</v>
      </c>
      <c r="K70">
        <v>864.41488000000004</v>
      </c>
      <c r="P70" s="157"/>
      <c r="Q70" t="s">
        <v>43</v>
      </c>
      <c r="R70" t="s">
        <v>38</v>
      </c>
      <c r="S70" t="s">
        <v>39</v>
      </c>
    </row>
    <row r="71" spans="1:19" x14ac:dyDescent="0.25">
      <c r="A71" t="str">
        <f t="shared" si="6"/>
        <v>21</v>
      </c>
      <c r="C71">
        <v>2</v>
      </c>
      <c r="D71">
        <v>1</v>
      </c>
      <c r="E71">
        <v>43963</v>
      </c>
      <c r="G71" t="str">
        <f t="shared" si="5"/>
        <v>61</v>
      </c>
      <c r="I71">
        <v>6</v>
      </c>
      <c r="J71">
        <v>1</v>
      </c>
      <c r="K71">
        <v>1807.8367699999999</v>
      </c>
      <c r="P71" s="157">
        <v>1</v>
      </c>
      <c r="Q71">
        <v>1</v>
      </c>
      <c r="R71">
        <v>1</v>
      </c>
      <c r="S71">
        <v>336935</v>
      </c>
    </row>
    <row r="72" spans="1:19" x14ac:dyDescent="0.25">
      <c r="A72" t="str">
        <f t="shared" si="6"/>
        <v>22</v>
      </c>
      <c r="C72">
        <v>2</v>
      </c>
      <c r="D72">
        <v>2</v>
      </c>
      <c r="E72">
        <v>2857</v>
      </c>
      <c r="G72" t="str">
        <f t="shared" si="5"/>
        <v>63</v>
      </c>
      <c r="I72">
        <v>6</v>
      </c>
      <c r="J72">
        <v>3</v>
      </c>
      <c r="K72">
        <v>36506.684099999999</v>
      </c>
      <c r="P72" s="157">
        <v>2</v>
      </c>
      <c r="Q72">
        <v>1</v>
      </c>
      <c r="R72">
        <v>2</v>
      </c>
      <c r="S72">
        <v>16609</v>
      </c>
    </row>
    <row r="73" spans="1:19" x14ac:dyDescent="0.25">
      <c r="A73" t="str">
        <f t="shared" si="6"/>
        <v>31</v>
      </c>
      <c r="C73">
        <v>3</v>
      </c>
      <c r="D73">
        <v>1</v>
      </c>
      <c r="E73">
        <v>6235</v>
      </c>
      <c r="G73" t="str">
        <f t="shared" si="5"/>
        <v>64</v>
      </c>
      <c r="I73">
        <v>6</v>
      </c>
      <c r="J73">
        <v>4</v>
      </c>
      <c r="K73">
        <v>308.32069999999999</v>
      </c>
      <c r="P73" s="157">
        <v>3</v>
      </c>
      <c r="Q73">
        <v>2</v>
      </c>
      <c r="R73">
        <v>1</v>
      </c>
      <c r="S73">
        <v>43963</v>
      </c>
    </row>
    <row r="74" spans="1:19" x14ac:dyDescent="0.25">
      <c r="A74" t="str">
        <f t="shared" si="6"/>
        <v>32</v>
      </c>
      <c r="C74">
        <v>3</v>
      </c>
      <c r="D74">
        <v>2</v>
      </c>
      <c r="E74">
        <v>290</v>
      </c>
      <c r="G74" t="str">
        <f t="shared" si="5"/>
        <v>65</v>
      </c>
      <c r="I74">
        <v>6</v>
      </c>
      <c r="J74">
        <v>5</v>
      </c>
      <c r="K74">
        <v>2025.1330800000001</v>
      </c>
      <c r="P74" s="157">
        <v>4</v>
      </c>
      <c r="Q74">
        <v>2</v>
      </c>
      <c r="R74">
        <v>2</v>
      </c>
      <c r="S74">
        <v>2857</v>
      </c>
    </row>
    <row r="75" spans="1:19" x14ac:dyDescent="0.25">
      <c r="A75" t="str">
        <f t="shared" si="6"/>
        <v>33</v>
      </c>
      <c r="C75">
        <v>3</v>
      </c>
      <c r="D75">
        <v>3</v>
      </c>
      <c r="E75">
        <v>8125</v>
      </c>
      <c r="G75" t="str">
        <f t="shared" si="5"/>
        <v>73</v>
      </c>
      <c r="I75">
        <v>7</v>
      </c>
      <c r="J75">
        <v>3</v>
      </c>
      <c r="K75">
        <v>180532.59883</v>
      </c>
      <c r="P75" s="157">
        <v>5</v>
      </c>
      <c r="Q75">
        <v>3</v>
      </c>
      <c r="R75">
        <v>1</v>
      </c>
      <c r="S75">
        <v>6235</v>
      </c>
    </row>
    <row r="76" spans="1:19" x14ac:dyDescent="0.25">
      <c r="A76" t="str">
        <f t="shared" si="6"/>
        <v>34</v>
      </c>
      <c r="C76">
        <v>3</v>
      </c>
      <c r="D76">
        <v>4</v>
      </c>
      <c r="E76">
        <v>629</v>
      </c>
      <c r="G76" t="str">
        <f t="shared" si="5"/>
        <v>74</v>
      </c>
      <c r="I76">
        <v>7</v>
      </c>
      <c r="J76">
        <v>4</v>
      </c>
      <c r="K76">
        <v>408.07481000000001</v>
      </c>
      <c r="P76" s="157">
        <v>6</v>
      </c>
      <c r="Q76">
        <v>3</v>
      </c>
      <c r="R76">
        <v>2</v>
      </c>
      <c r="S76">
        <v>290</v>
      </c>
    </row>
    <row r="77" spans="1:19" x14ac:dyDescent="0.25">
      <c r="A77" t="str">
        <f t="shared" si="6"/>
        <v>35</v>
      </c>
      <c r="C77">
        <v>3</v>
      </c>
      <c r="D77">
        <v>5</v>
      </c>
      <c r="E77">
        <v>690</v>
      </c>
      <c r="G77" t="str">
        <f t="shared" si="5"/>
        <v>83</v>
      </c>
      <c r="I77">
        <v>8</v>
      </c>
      <c r="J77">
        <v>3</v>
      </c>
      <c r="K77">
        <v>68574.222269999998</v>
      </c>
      <c r="P77" s="157">
        <v>7</v>
      </c>
      <c r="Q77">
        <v>3</v>
      </c>
      <c r="R77">
        <v>3</v>
      </c>
      <c r="S77">
        <v>8125</v>
      </c>
    </row>
    <row r="78" spans="1:19" x14ac:dyDescent="0.25">
      <c r="A78" t="str">
        <f t="shared" si="6"/>
        <v>63</v>
      </c>
      <c r="C78">
        <v>6</v>
      </c>
      <c r="D78">
        <v>3</v>
      </c>
      <c r="E78">
        <v>26948</v>
      </c>
      <c r="I78" t="s">
        <v>534</v>
      </c>
      <c r="J78" t="s">
        <v>534</v>
      </c>
      <c r="K78" t="s">
        <v>534</v>
      </c>
      <c r="P78" s="157">
        <v>8</v>
      </c>
      <c r="Q78">
        <v>3</v>
      </c>
      <c r="R78">
        <v>4</v>
      </c>
      <c r="S78">
        <v>629</v>
      </c>
    </row>
    <row r="79" spans="1:19" x14ac:dyDescent="0.25">
      <c r="A79" t="str">
        <f t="shared" si="6"/>
        <v>64</v>
      </c>
      <c r="C79">
        <v>6</v>
      </c>
      <c r="D79">
        <v>4</v>
      </c>
      <c r="E79">
        <v>642</v>
      </c>
      <c r="I79" t="s">
        <v>43</v>
      </c>
      <c r="J79" t="s">
        <v>44</v>
      </c>
      <c r="K79" t="s">
        <v>39</v>
      </c>
      <c r="P79" s="157">
        <v>9</v>
      </c>
      <c r="Q79">
        <v>3</v>
      </c>
      <c r="R79">
        <v>5</v>
      </c>
      <c r="S79">
        <v>690</v>
      </c>
    </row>
    <row r="80" spans="1:19" x14ac:dyDescent="0.25">
      <c r="A80" t="str">
        <f t="shared" si="6"/>
        <v>65</v>
      </c>
      <c r="C80">
        <v>6</v>
      </c>
      <c r="D80">
        <v>5</v>
      </c>
      <c r="E80">
        <v>1674</v>
      </c>
      <c r="G80" t="str">
        <f t="shared" ref="G80:G107" si="7">CONCATENATE(I80,J80)</f>
        <v>11</v>
      </c>
      <c r="I80">
        <v>1</v>
      </c>
      <c r="J80">
        <v>1</v>
      </c>
      <c r="K80">
        <v>2062752.69178</v>
      </c>
      <c r="P80" s="157">
        <v>10</v>
      </c>
      <c r="Q80">
        <v>6</v>
      </c>
      <c r="R80">
        <v>3</v>
      </c>
      <c r="S80">
        <v>26948</v>
      </c>
    </row>
    <row r="81" spans="1:19" x14ac:dyDescent="0.25">
      <c r="A81" t="str">
        <f t="shared" si="6"/>
        <v>73</v>
      </c>
      <c r="C81">
        <v>7</v>
      </c>
      <c r="D81">
        <v>3</v>
      </c>
      <c r="E81">
        <v>140678</v>
      </c>
      <c r="G81" t="str">
        <f t="shared" si="7"/>
        <v>12</v>
      </c>
      <c r="I81">
        <v>1</v>
      </c>
      <c r="J81">
        <v>2</v>
      </c>
      <c r="K81">
        <v>150579.28721000001</v>
      </c>
      <c r="P81" s="157">
        <v>11</v>
      </c>
      <c r="Q81">
        <v>6</v>
      </c>
      <c r="R81">
        <v>4</v>
      </c>
      <c r="S81">
        <v>642</v>
      </c>
    </row>
    <row r="82" spans="1:19" x14ac:dyDescent="0.25">
      <c r="A82" t="str">
        <f t="shared" si="6"/>
        <v>74</v>
      </c>
      <c r="C82">
        <v>7</v>
      </c>
      <c r="D82">
        <v>4</v>
      </c>
      <c r="E82">
        <v>1736</v>
      </c>
      <c r="G82" t="str">
        <f t="shared" si="7"/>
        <v>13</v>
      </c>
      <c r="I82">
        <v>1</v>
      </c>
      <c r="J82">
        <v>3</v>
      </c>
      <c r="K82">
        <v>10147.23511</v>
      </c>
      <c r="P82" s="157">
        <v>12</v>
      </c>
      <c r="Q82">
        <v>6</v>
      </c>
      <c r="R82">
        <v>5</v>
      </c>
      <c r="S82">
        <v>1674</v>
      </c>
    </row>
    <row r="83" spans="1:19" x14ac:dyDescent="0.25">
      <c r="C83">
        <v>8</v>
      </c>
      <c r="D83">
        <v>3</v>
      </c>
      <c r="E83">
        <v>30455</v>
      </c>
      <c r="G83" t="str">
        <f t="shared" si="7"/>
        <v>14</v>
      </c>
      <c r="I83">
        <v>1</v>
      </c>
      <c r="J83">
        <v>4</v>
      </c>
      <c r="K83">
        <v>237.27251999999999</v>
      </c>
      <c r="P83" s="157">
        <v>13</v>
      </c>
      <c r="Q83">
        <v>7</v>
      </c>
      <c r="R83">
        <v>3</v>
      </c>
      <c r="S83">
        <v>140678</v>
      </c>
    </row>
    <row r="84" spans="1:19" x14ac:dyDescent="0.25">
      <c r="G84" t="str">
        <f t="shared" si="7"/>
        <v>15</v>
      </c>
      <c r="I84">
        <v>1</v>
      </c>
      <c r="J84">
        <v>5</v>
      </c>
      <c r="K84">
        <v>5581.0712000000003</v>
      </c>
      <c r="P84" s="157">
        <v>14</v>
      </c>
      <c r="Q84">
        <v>7</v>
      </c>
      <c r="R84">
        <v>4</v>
      </c>
      <c r="S84">
        <v>1736</v>
      </c>
    </row>
    <row r="85" spans="1:19" x14ac:dyDescent="0.25">
      <c r="G85" t="str">
        <f t="shared" si="7"/>
        <v>21</v>
      </c>
      <c r="I85">
        <v>2</v>
      </c>
      <c r="J85">
        <v>1</v>
      </c>
      <c r="K85">
        <v>315143.97421999997</v>
      </c>
      <c r="P85" s="157">
        <v>15</v>
      </c>
      <c r="Q85">
        <v>8</v>
      </c>
      <c r="R85">
        <v>3</v>
      </c>
      <c r="S85">
        <v>30455</v>
      </c>
    </row>
    <row r="86" spans="1:19" x14ac:dyDescent="0.25">
      <c r="G86" t="str">
        <f t="shared" si="7"/>
        <v>22</v>
      </c>
      <c r="I86">
        <v>2</v>
      </c>
      <c r="J86">
        <v>2</v>
      </c>
      <c r="K86">
        <v>20816.806479999999</v>
      </c>
    </row>
    <row r="87" spans="1:19" x14ac:dyDescent="0.25">
      <c r="G87" t="str">
        <f t="shared" si="7"/>
        <v>23</v>
      </c>
      <c r="I87">
        <v>2</v>
      </c>
      <c r="J87">
        <v>3</v>
      </c>
      <c r="K87">
        <v>2759.4110799999999</v>
      </c>
    </row>
    <row r="88" spans="1:19" x14ac:dyDescent="0.25">
      <c r="G88" t="str">
        <f t="shared" si="7"/>
        <v>25</v>
      </c>
      <c r="I88">
        <v>2</v>
      </c>
      <c r="J88">
        <v>5</v>
      </c>
      <c r="K88">
        <v>2759.6701400000002</v>
      </c>
    </row>
    <row r="89" spans="1:19" x14ac:dyDescent="0.25">
      <c r="G89" t="str">
        <f t="shared" si="7"/>
        <v>31</v>
      </c>
      <c r="I89">
        <v>3</v>
      </c>
      <c r="J89">
        <v>1</v>
      </c>
      <c r="K89">
        <v>17436.804889999999</v>
      </c>
    </row>
    <row r="90" spans="1:19" x14ac:dyDescent="0.25">
      <c r="G90" t="str">
        <f t="shared" si="7"/>
        <v>32</v>
      </c>
      <c r="I90">
        <v>3</v>
      </c>
      <c r="J90">
        <v>2</v>
      </c>
      <c r="K90">
        <v>897.10963000000004</v>
      </c>
    </row>
    <row r="91" spans="1:19" x14ac:dyDescent="0.25">
      <c r="G91" t="str">
        <f t="shared" si="7"/>
        <v>33</v>
      </c>
      <c r="I91">
        <v>3</v>
      </c>
      <c r="J91">
        <v>3</v>
      </c>
      <c r="K91">
        <v>44270.346669999999</v>
      </c>
    </row>
    <row r="92" spans="1:19" x14ac:dyDescent="0.25">
      <c r="G92" t="str">
        <f t="shared" si="7"/>
        <v>34</v>
      </c>
      <c r="I92">
        <v>3</v>
      </c>
      <c r="J92">
        <v>4</v>
      </c>
      <c r="K92">
        <v>2379.8047499999998</v>
      </c>
    </row>
    <row r="93" spans="1:19" x14ac:dyDescent="0.25">
      <c r="G93" t="str">
        <f t="shared" si="7"/>
        <v>35</v>
      </c>
      <c r="I93">
        <v>3</v>
      </c>
      <c r="J93">
        <v>5</v>
      </c>
      <c r="K93">
        <v>6113.4568499999996</v>
      </c>
    </row>
    <row r="94" spans="1:19" x14ac:dyDescent="0.25">
      <c r="G94" t="str">
        <f t="shared" si="7"/>
        <v>41</v>
      </c>
      <c r="I94">
        <v>4</v>
      </c>
      <c r="J94">
        <v>1</v>
      </c>
      <c r="K94">
        <v>402.30993000000001</v>
      </c>
    </row>
    <row r="95" spans="1:19" x14ac:dyDescent="0.25">
      <c r="G95" t="str">
        <f t="shared" si="7"/>
        <v>43</v>
      </c>
      <c r="I95">
        <v>4</v>
      </c>
      <c r="J95">
        <v>3</v>
      </c>
      <c r="K95">
        <v>1818.47894</v>
      </c>
    </row>
    <row r="96" spans="1:19" x14ac:dyDescent="0.25">
      <c r="G96" t="str">
        <f t="shared" si="7"/>
        <v>45</v>
      </c>
      <c r="I96">
        <v>4</v>
      </c>
      <c r="J96">
        <v>5</v>
      </c>
      <c r="K96">
        <v>428.02649000000002</v>
      </c>
    </row>
    <row r="97" spans="7:11" x14ac:dyDescent="0.25">
      <c r="G97" t="str">
        <f t="shared" si="7"/>
        <v>51</v>
      </c>
      <c r="I97">
        <v>5</v>
      </c>
      <c r="J97">
        <v>1</v>
      </c>
      <c r="K97">
        <v>895.13549</v>
      </c>
    </row>
    <row r="98" spans="7:11" x14ac:dyDescent="0.25">
      <c r="G98" t="str">
        <f t="shared" si="7"/>
        <v>53</v>
      </c>
      <c r="I98">
        <v>5</v>
      </c>
      <c r="J98">
        <v>3</v>
      </c>
      <c r="K98">
        <v>304.76143999999999</v>
      </c>
    </row>
    <row r="99" spans="7:11" x14ac:dyDescent="0.25">
      <c r="G99" t="str">
        <f t="shared" si="7"/>
        <v>61</v>
      </c>
      <c r="I99">
        <v>6</v>
      </c>
      <c r="J99">
        <v>1</v>
      </c>
      <c r="K99">
        <v>6431.8408900000004</v>
      </c>
    </row>
    <row r="100" spans="7:11" x14ac:dyDescent="0.25">
      <c r="G100" t="str">
        <f t="shared" si="7"/>
        <v>62</v>
      </c>
      <c r="I100">
        <v>6</v>
      </c>
      <c r="J100">
        <v>2</v>
      </c>
      <c r="K100">
        <v>249.15765999999999</v>
      </c>
    </row>
    <row r="101" spans="7:11" x14ac:dyDescent="0.25">
      <c r="G101" t="str">
        <f t="shared" si="7"/>
        <v>63</v>
      </c>
      <c r="I101">
        <v>6</v>
      </c>
      <c r="J101">
        <v>3</v>
      </c>
      <c r="K101">
        <v>158129.98978</v>
      </c>
    </row>
    <row r="102" spans="7:11" x14ac:dyDescent="0.25">
      <c r="G102" t="str">
        <f t="shared" si="7"/>
        <v>64</v>
      </c>
      <c r="I102">
        <v>6</v>
      </c>
      <c r="J102">
        <v>4</v>
      </c>
      <c r="K102">
        <v>1377.0920799999999</v>
      </c>
    </row>
    <row r="103" spans="7:11" x14ac:dyDescent="0.25">
      <c r="G103" t="str">
        <f t="shared" si="7"/>
        <v>65</v>
      </c>
      <c r="I103">
        <v>6</v>
      </c>
      <c r="J103">
        <v>5</v>
      </c>
      <c r="K103">
        <v>11984.42297</v>
      </c>
    </row>
    <row r="104" spans="7:11" x14ac:dyDescent="0.25">
      <c r="G104" t="str">
        <f t="shared" si="7"/>
        <v>73</v>
      </c>
      <c r="I104">
        <v>7</v>
      </c>
      <c r="J104">
        <v>3</v>
      </c>
      <c r="K104">
        <v>719368.17382999999</v>
      </c>
    </row>
    <row r="105" spans="7:11" x14ac:dyDescent="0.25">
      <c r="G105" t="str">
        <f t="shared" si="7"/>
        <v>74</v>
      </c>
      <c r="I105">
        <v>7</v>
      </c>
      <c r="J105">
        <v>4</v>
      </c>
      <c r="K105">
        <v>3717.2259600000002</v>
      </c>
    </row>
    <row r="106" spans="7:11" x14ac:dyDescent="0.25">
      <c r="G106" t="str">
        <f t="shared" si="7"/>
        <v>83</v>
      </c>
      <c r="I106">
        <v>8</v>
      </c>
      <c r="J106">
        <v>3</v>
      </c>
      <c r="K106">
        <v>152905.61105000001</v>
      </c>
    </row>
    <row r="107" spans="7:11" x14ac:dyDescent="0.25">
      <c r="G107" t="str">
        <f t="shared" si="7"/>
        <v>84</v>
      </c>
      <c r="I107">
        <v>8</v>
      </c>
      <c r="J107">
        <v>4</v>
      </c>
      <c r="K107">
        <v>512.95700999999997</v>
      </c>
    </row>
    <row r="108" spans="7:11" x14ac:dyDescent="0.25">
      <c r="I108" t="s">
        <v>534</v>
      </c>
      <c r="J108" t="s">
        <v>534</v>
      </c>
      <c r="K108" t="s">
        <v>534</v>
      </c>
    </row>
  </sheetData>
  <mergeCells count="2">
    <mergeCell ref="A1:E1"/>
    <mergeCell ref="H1:K1"/>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R84"/>
  <sheetViews>
    <sheetView topLeftCell="A46" workbookViewId="0">
      <selection activeCell="L56" sqref="L56"/>
    </sheetView>
  </sheetViews>
  <sheetFormatPr defaultRowHeight="15" x14ac:dyDescent="0.25"/>
  <cols>
    <col min="2" max="2" width="23.28515625" customWidth="1"/>
    <col min="3" max="3" width="10.7109375" bestFit="1" customWidth="1"/>
    <col min="4" max="5" width="10.5703125" bestFit="1" customWidth="1"/>
    <col min="6" max="6" width="9.5703125" bestFit="1" customWidth="1"/>
    <col min="7" max="7" width="10.7109375" bestFit="1" customWidth="1"/>
    <col min="8" max="8" width="10.5703125" bestFit="1" customWidth="1"/>
    <col min="9" max="9" width="19.28515625" bestFit="1" customWidth="1"/>
    <col min="10" max="10" width="10.5703125" customWidth="1"/>
    <col min="11" max="11" width="19.85546875" customWidth="1"/>
    <col min="12" max="13" width="10.5703125" bestFit="1" customWidth="1"/>
    <col min="14" max="14" width="10.5703125" customWidth="1"/>
    <col min="15" max="16" width="9.7109375" customWidth="1"/>
    <col min="17" max="17" width="10.7109375" customWidth="1"/>
    <col min="18" max="18" width="10.5703125" bestFit="1" customWidth="1"/>
    <col min="20" max="20" width="19.140625" bestFit="1" customWidth="1"/>
  </cols>
  <sheetData>
    <row r="1" spans="1:17" ht="21" x14ac:dyDescent="0.35">
      <c r="A1" s="172" t="s">
        <v>371</v>
      </c>
    </row>
    <row r="2" spans="1:17" ht="19.5" thickBot="1" x14ac:dyDescent="0.35">
      <c r="B2" s="392" t="s">
        <v>428</v>
      </c>
      <c r="C2" s="392"/>
      <c r="D2" s="392"/>
      <c r="E2" s="392"/>
      <c r="F2" s="392"/>
      <c r="G2" s="392"/>
      <c r="I2" s="392" t="s">
        <v>3</v>
      </c>
      <c r="J2" s="392"/>
      <c r="K2" s="392"/>
      <c r="L2" s="392"/>
      <c r="M2" s="392"/>
      <c r="N2" s="392"/>
    </row>
    <row r="3" spans="1:17" ht="16.5" thickTop="1" thickBot="1" x14ac:dyDescent="0.3">
      <c r="B3" s="64" t="s">
        <v>25</v>
      </c>
      <c r="C3" s="68">
        <v>0</v>
      </c>
      <c r="D3" s="68">
        <v>1</v>
      </c>
      <c r="E3" s="68">
        <v>2</v>
      </c>
      <c r="F3" s="68" t="s">
        <v>23</v>
      </c>
      <c r="G3" s="64" t="s">
        <v>29</v>
      </c>
      <c r="I3" s="64" t="s">
        <v>25</v>
      </c>
      <c r="J3" s="68">
        <v>0</v>
      </c>
      <c r="K3" s="68">
        <v>1</v>
      </c>
      <c r="L3" s="68">
        <v>2</v>
      </c>
      <c r="M3" s="68" t="s">
        <v>23</v>
      </c>
      <c r="N3" s="64" t="s">
        <v>29</v>
      </c>
    </row>
    <row r="4" spans="1:17" ht="15.75" thickTop="1" x14ac:dyDescent="0.25">
      <c r="A4">
        <v>1</v>
      </c>
      <c r="B4" s="61" t="s">
        <v>30</v>
      </c>
      <c r="C4" s="62">
        <f>VLOOKUP(A4,indiNM_input!$C$3:$D$10,2,FALSE)</f>
        <v>2968513.5115200002</v>
      </c>
      <c r="D4" s="62">
        <f>VLOOKUP(A4,indiNM_input!$C$12:$D$19,2, FALSE)</f>
        <v>751142.83426000003</v>
      </c>
      <c r="E4" s="62">
        <f>VLOOKUP(A4,indiNM_input!$C$21:$D$28,2,FALSE)</f>
        <v>192449.61400999999</v>
      </c>
      <c r="F4" s="62">
        <f>IF(ISNA(VLOOKUP(A4,indiNM_input!$C$30:$D$36,2,FALSE)),0,VLOOKUP(A4,indiNM_input!$C$30:$D$36,2,FALSE))</f>
        <v>69287.138890000002</v>
      </c>
      <c r="G4" s="63">
        <f t="shared" ref="G4:G12" si="0">SUM(C4:F4)</f>
        <v>3981393.0986800003</v>
      </c>
      <c r="I4" s="61" t="s">
        <v>30</v>
      </c>
      <c r="J4" s="62">
        <f>VLOOKUP($A4,indiNM_input!$H$3:$I$10,2,FALSE)*Index!$B$2</f>
        <v>2478295</v>
      </c>
      <c r="K4" s="62">
        <f>VLOOKUP(A4,indiNM_input!$H$12:$I$19,2,FALSE)*Index!$B$2</f>
        <v>742030</v>
      </c>
      <c r="L4" s="62">
        <f>VLOOKUP(A4,indiNM_input!$H$21:$I$28,2,FALSE)*Index!$B$2</f>
        <v>272265</v>
      </c>
      <c r="M4" s="62">
        <f>VLOOKUP(A4,indiNM_input!$H$30:$I$37,2,FALSE)*Index!$B$2</f>
        <v>129185</v>
      </c>
      <c r="N4" s="63">
        <f t="shared" ref="N4:N12" si="1">SUM(J4:M4)</f>
        <v>3621775</v>
      </c>
    </row>
    <row r="5" spans="1:17" x14ac:dyDescent="0.25">
      <c r="A5">
        <v>2</v>
      </c>
      <c r="B5" s="61" t="s">
        <v>31</v>
      </c>
      <c r="C5" s="62">
        <f>VLOOKUP(A5,indiNM_input!$C$3:$D$10,2,FALSE)</f>
        <v>513102.33639000001</v>
      </c>
      <c r="D5" s="62">
        <f>VLOOKUP(A5,indiNM_input!$C$12:$D$19,2, FALSE)</f>
        <v>219093.72328000001</v>
      </c>
      <c r="E5" s="62">
        <f>VLOOKUP(A5,indiNM_input!$C$21:$D$28,2,FALSE)</f>
        <v>146265.39116</v>
      </c>
      <c r="F5" s="62">
        <f>IF(ISNA(VLOOKUP(A5,indiNM_input!$C$30:$D$36,2,FALSE)),0,VLOOKUP(A5,indiNM_input!$C$30:$D$36,2,FALSE))</f>
        <v>44361.746220000001</v>
      </c>
      <c r="G5" s="63">
        <f t="shared" si="0"/>
        <v>922823.19704999996</v>
      </c>
      <c r="I5" s="61" t="s">
        <v>31</v>
      </c>
      <c r="J5" s="62">
        <f>VLOOKUP($A5,indiNM_input!$H$3:$I$10,2,FALSE)*Index!$B$2</f>
        <v>351330</v>
      </c>
      <c r="K5" s="62">
        <f>VLOOKUP(A5,indiNM_input!$H$12:$I$19,2,FALSE)*Index!$B$2</f>
        <v>273660</v>
      </c>
      <c r="L5" s="62">
        <f>VLOOKUP(A5,indiNM_input!$H$21:$I$28,2,FALSE)*Index!$B$2</f>
        <v>121160</v>
      </c>
      <c r="M5" s="62">
        <f>VLOOKUP(A5,indiNM_input!$H$30:$I$37,2,FALSE)*Index!$B$2</f>
        <v>69475</v>
      </c>
      <c r="N5" s="63">
        <f t="shared" si="1"/>
        <v>815625</v>
      </c>
    </row>
    <row r="6" spans="1:17" x14ac:dyDescent="0.25">
      <c r="A6">
        <v>3</v>
      </c>
      <c r="B6" s="61" t="s">
        <v>32</v>
      </c>
      <c r="C6" s="62">
        <f>VLOOKUP(A6,indiNM_input!$C$3:$D$10,2,FALSE)</f>
        <v>202757.75714</v>
      </c>
      <c r="D6" s="62">
        <f>VLOOKUP(A6,indiNM_input!$C$12:$D$19,2, FALSE)</f>
        <v>91848.175310000006</v>
      </c>
      <c r="E6" s="62">
        <f>VLOOKUP(A6,indiNM_input!$C$21:$D$28,2,FALSE)</f>
        <v>32951.036890000003</v>
      </c>
      <c r="F6" s="62">
        <f>IF(ISNA(VLOOKUP(A6,indiNM_input!$C$30:$D$36,2,FALSE)),0,VLOOKUP(A6,indiNM_input!$C$30:$D$36,2,FALSE))</f>
        <v>14180.097470000001</v>
      </c>
      <c r="G6" s="63">
        <f t="shared" si="0"/>
        <v>341737.06680999999</v>
      </c>
      <c r="I6" s="61" t="s">
        <v>32</v>
      </c>
      <c r="J6" s="62">
        <f>VLOOKUP($A6,indiNM_input!$H$3:$I$10,2,FALSE)*Index!$B$2</f>
        <v>222960</v>
      </c>
      <c r="K6" s="62">
        <f>VLOOKUP(A6,indiNM_input!$H$12:$I$19,2,FALSE)*Index!$B$2</f>
        <v>56790</v>
      </c>
      <c r="L6" s="62">
        <f>VLOOKUP(A6,indiNM_input!$H$21:$I$28,2,FALSE)*Index!$B$2</f>
        <v>40020</v>
      </c>
      <c r="M6" s="62">
        <f>VLOOKUP(A6,indiNM_input!$H$30:$I$37,2,FALSE)*Index!$B$2</f>
        <v>39100</v>
      </c>
      <c r="N6" s="63">
        <f t="shared" si="1"/>
        <v>358870</v>
      </c>
    </row>
    <row r="7" spans="1:17" x14ac:dyDescent="0.25">
      <c r="A7">
        <v>4</v>
      </c>
      <c r="B7" s="61" t="s">
        <v>33</v>
      </c>
      <c r="C7" s="62">
        <f>VLOOKUP(A7,indiNM_input!$C$3:$D$10,2,FALSE)</f>
        <v>364472.28418000002</v>
      </c>
      <c r="D7" s="62">
        <f>VLOOKUP(A7,indiNM_input!$C$12:$D$19,2, FALSE)</f>
        <v>274895.40065999998</v>
      </c>
      <c r="E7" s="62">
        <f>VLOOKUP(A7,indiNM_input!$C$21:$D$28,2,FALSE)</f>
        <v>147166.09466</v>
      </c>
      <c r="F7" s="62">
        <f>IF(ISNA(VLOOKUP(A7,indiNM_input!$C$30:$D$36,2,FALSE)),0,VLOOKUP(A7,indiNM_input!$C$30:$D$36,2,FALSE))</f>
        <v>90422.095329999996</v>
      </c>
      <c r="G7" s="63">
        <f t="shared" si="0"/>
        <v>876955.87482999999</v>
      </c>
      <c r="I7" s="61" t="s">
        <v>33</v>
      </c>
      <c r="J7" s="62">
        <f>VLOOKUP($A7,indiNM_input!$H$3:$I$10,2,FALSE)*Index!$B$2</f>
        <v>455710</v>
      </c>
      <c r="K7" s="62">
        <f>VLOOKUP(A7,indiNM_input!$H$12:$I$19,2,FALSE)*Index!$B$2</f>
        <v>560895</v>
      </c>
      <c r="L7" s="62">
        <f>VLOOKUP(A7,indiNM_input!$H$21:$I$28,2,FALSE)*Index!$B$2</f>
        <v>244865</v>
      </c>
      <c r="M7" s="62">
        <f>VLOOKUP(A7,indiNM_input!$H$30:$I$37,2,FALSE)*Index!$B$2</f>
        <v>155930</v>
      </c>
      <c r="N7" s="63">
        <f t="shared" si="1"/>
        <v>1417400</v>
      </c>
    </row>
    <row r="8" spans="1:17" x14ac:dyDescent="0.25">
      <c r="A8">
        <v>5</v>
      </c>
      <c r="B8" s="61" t="s">
        <v>34</v>
      </c>
      <c r="C8" s="62">
        <f>VLOOKUP(A8,indiNM_input!$C$3:$D$10,2,FALSE)</f>
        <v>451304.89082999999</v>
      </c>
      <c r="D8" s="62">
        <f>VLOOKUP(A8,indiNM_input!$C$12:$D$19,2, FALSE)</f>
        <v>367305.46588999999</v>
      </c>
      <c r="E8" s="62">
        <f>VLOOKUP(A8,indiNM_input!$C$21:$D$28,2,FALSE)</f>
        <v>139980.82860000001</v>
      </c>
      <c r="F8" s="62">
        <f>IF(ISNA(VLOOKUP(A8,indiNM_input!$C$30:$D$36,2,FALSE)),0,VLOOKUP(A8,indiNM_input!$C$30:$D$36,2,FALSE))</f>
        <v>54387.820769999998</v>
      </c>
      <c r="G8" s="63">
        <f t="shared" si="0"/>
        <v>1012979.00609</v>
      </c>
      <c r="I8" s="61" t="s">
        <v>34</v>
      </c>
      <c r="J8" s="62">
        <f>VLOOKUP($A8,indiNM_input!$H$3:$I$10,2,FALSE)*Index!$B$2</f>
        <v>398730</v>
      </c>
      <c r="K8" s="62">
        <f>VLOOKUP(A8,indiNM_input!$H$12:$I$19,2,FALSE)*Index!$B$2</f>
        <v>426030</v>
      </c>
      <c r="L8" s="62">
        <f>VLOOKUP(A8,indiNM_input!$H$21:$I$28,2,FALSE)*Index!$B$2</f>
        <v>159690</v>
      </c>
      <c r="M8" s="62">
        <f>VLOOKUP(A8,indiNM_input!$H$30:$I$37,2,FALSE)*Index!$B$2</f>
        <v>76605</v>
      </c>
      <c r="N8" s="63">
        <f t="shared" si="1"/>
        <v>1061055</v>
      </c>
    </row>
    <row r="9" spans="1:17" x14ac:dyDescent="0.25">
      <c r="A9">
        <v>6</v>
      </c>
      <c r="B9" s="61" t="s">
        <v>35</v>
      </c>
      <c r="C9" s="62">
        <f>VLOOKUP(A9,indiNM_input!$C$3:$D$10,2,FALSE)</f>
        <v>226364.42366</v>
      </c>
      <c r="D9" s="62">
        <f>VLOOKUP(A9,indiNM_input!$C$12:$D$19,2, FALSE)</f>
        <v>69202.992259999999</v>
      </c>
      <c r="E9" s="62">
        <f>VLOOKUP(A9,indiNM_input!$C$21:$D$28,2,FALSE)</f>
        <v>19373.124400000001</v>
      </c>
      <c r="F9" s="62">
        <f>IF(ISNA(VLOOKUP(A9,indiNM_input!$C$30:$D$36,2,FALSE)),0,VLOOKUP(A9,indiNM_input!$C$30:$D$36,2,FALSE))</f>
        <v>4276.4626399999997</v>
      </c>
      <c r="G9" s="63">
        <f t="shared" si="0"/>
        <v>319217.00296000001</v>
      </c>
      <c r="I9" s="61" t="s">
        <v>35</v>
      </c>
      <c r="J9" s="62">
        <f>VLOOKUP($A9,indiNM_input!$H$3:$I$10,2,FALSE)*Index!$B$2</f>
        <v>184945</v>
      </c>
      <c r="K9" s="62">
        <f>VLOOKUP(A9,indiNM_input!$H$12:$I$19,2,FALSE)*Index!$B$2</f>
        <v>94260</v>
      </c>
      <c r="L9" s="62">
        <f>VLOOKUP(A9,indiNM_input!$H$21:$I$28,2,FALSE)*Index!$B$2</f>
        <v>24370</v>
      </c>
      <c r="M9" s="62">
        <f>VLOOKUP(A9,indiNM_input!$H$30:$I$37,2,FALSE)*Index!$B$2</f>
        <v>11325</v>
      </c>
      <c r="N9" s="63">
        <f t="shared" si="1"/>
        <v>314900</v>
      </c>
    </row>
    <row r="10" spans="1:17" x14ac:dyDescent="0.25">
      <c r="A10">
        <v>7</v>
      </c>
      <c r="B10" s="61" t="s">
        <v>36</v>
      </c>
      <c r="C10" s="62">
        <f>VLOOKUP(A10,indiNM_input!$C$3:$D$10,2,FALSE)</f>
        <v>1192433.45677</v>
      </c>
      <c r="D10" s="62">
        <f>VLOOKUP(A10,indiNM_input!$C$12:$D$19,2, FALSE)</f>
        <v>266050.62964</v>
      </c>
      <c r="E10" s="62">
        <f>VLOOKUP(A10,indiNM_input!$C$21:$D$28,2,FALSE)</f>
        <v>33502.185239999999</v>
      </c>
      <c r="F10" s="62">
        <f>IF(ISNA(VLOOKUP(A10,indiNM_input!$C$30:$D$36,2,FALSE)),0,VLOOKUP(A10,indiNM_input!$C$30:$D$36,2,FALSE))</f>
        <v>6202.6080199999997</v>
      </c>
      <c r="G10" s="63">
        <f t="shared" si="0"/>
        <v>1498188.8796699999</v>
      </c>
      <c r="I10" s="61" t="s">
        <v>36</v>
      </c>
      <c r="J10" s="62">
        <f>VLOOKUP($A10,indiNM_input!$H$3:$I$10,2,FALSE)*Index!$B$2</f>
        <v>903405</v>
      </c>
      <c r="K10" s="62">
        <f>VLOOKUP(A10,indiNM_input!$H$12:$I$19,2,FALSE)*Index!$B$2</f>
        <v>443790</v>
      </c>
      <c r="L10" s="62">
        <f>VLOOKUP(A10,indiNM_input!$H$21:$I$28,2,FALSE)*Index!$B$2</f>
        <v>169040</v>
      </c>
      <c r="M10" s="62">
        <f>VLOOKUP(A10,indiNM_input!$H$30:$I$37,2,FALSE)*Index!$B$2</f>
        <v>8430</v>
      </c>
      <c r="N10" s="63">
        <f t="shared" si="1"/>
        <v>1524665</v>
      </c>
    </row>
    <row r="11" spans="1:17" x14ac:dyDescent="0.25">
      <c r="A11">
        <v>8</v>
      </c>
      <c r="B11" s="61" t="s">
        <v>37</v>
      </c>
      <c r="C11" s="62">
        <f>VLOOKUP(A11,indiNM_input!$C$3:$D$10,2,FALSE)</f>
        <v>670597.50997999997</v>
      </c>
      <c r="D11" s="62">
        <f>VLOOKUP(A11,indiNM_input!$C$12:$D$19,2, FALSE)</f>
        <v>155740.46117</v>
      </c>
      <c r="E11" s="62">
        <f>VLOOKUP(A11,indiNM_input!$C$21:$D$28,2,FALSE)</f>
        <v>50706.608639999999</v>
      </c>
      <c r="F11" s="62">
        <f>IF(ISNA(VLOOKUP(A11,indiNM_input!$C$30:$D$36,2,FALSE)),0,VLOOKUP(A11,indiNM_input!$C$30:$D$36,2,FALSE))</f>
        <v>0</v>
      </c>
      <c r="G11" s="63">
        <f t="shared" si="0"/>
        <v>877044.57978999999</v>
      </c>
      <c r="I11" s="61" t="s">
        <v>37</v>
      </c>
      <c r="J11" s="62">
        <f>VLOOKUP($A11,indiNM_input!$H$3:$I$10,2,FALSE)*Index!$B$2</f>
        <v>468285</v>
      </c>
      <c r="K11" s="62">
        <f>VLOOKUP(A11,indiNM_input!$H$12:$I$19,2,FALSE)*Index!$B$2</f>
        <v>249630</v>
      </c>
      <c r="L11" s="62">
        <f>VLOOKUP(A11,indiNM_input!$H$21:$I$28,2,FALSE)*Index!$B$2</f>
        <v>125535</v>
      </c>
      <c r="M11" s="62">
        <f>VLOOKUP(A11,indiNM_input!$H$30:$I$37,2,FALSE)*Index!$B$2</f>
        <v>66230</v>
      </c>
      <c r="N11" s="63">
        <f t="shared" si="1"/>
        <v>909680</v>
      </c>
    </row>
    <row r="12" spans="1:17" x14ac:dyDescent="0.25">
      <c r="A12">
        <v>9</v>
      </c>
      <c r="B12" s="61" t="s">
        <v>29</v>
      </c>
      <c r="C12" s="63">
        <f>SUM(C4:C11)</f>
        <v>6589546.1704699993</v>
      </c>
      <c r="D12" s="63">
        <f>SUM(D4:D11)</f>
        <v>2195279.6824699999</v>
      </c>
      <c r="E12" s="63">
        <f>SUM(E4:E11)</f>
        <v>762394.88359999994</v>
      </c>
      <c r="F12" s="63">
        <f>SUM(F4:F11)</f>
        <v>283117.96933999995</v>
      </c>
      <c r="G12" s="63">
        <f t="shared" si="0"/>
        <v>9830338.7058799993</v>
      </c>
      <c r="I12" s="61" t="s">
        <v>29</v>
      </c>
      <c r="J12" s="63">
        <f>SUM(J4:J11)</f>
        <v>5463660</v>
      </c>
      <c r="K12" s="63">
        <f>SUM(K4:K11)</f>
        <v>2847085</v>
      </c>
      <c r="L12" s="63">
        <f>SUM(L4:L11)</f>
        <v>1156945</v>
      </c>
      <c r="M12" s="63">
        <f>SUM(M4:M11)</f>
        <v>556280</v>
      </c>
      <c r="N12" s="63">
        <f t="shared" si="1"/>
        <v>10023970</v>
      </c>
      <c r="Q12" s="127"/>
    </row>
    <row r="13" spans="1:17" ht="15.75" thickBot="1" x14ac:dyDescent="0.3"/>
    <row r="14" spans="1:17" ht="16.5" thickTop="1" thickBot="1" x14ac:dyDescent="0.3">
      <c r="B14" s="64" t="s">
        <v>25</v>
      </c>
      <c r="C14" s="68">
        <v>0</v>
      </c>
      <c r="D14" s="68">
        <v>1</v>
      </c>
      <c r="E14" s="68">
        <v>2</v>
      </c>
      <c r="F14" s="68" t="s">
        <v>23</v>
      </c>
      <c r="G14" s="64" t="s">
        <v>29</v>
      </c>
      <c r="I14" s="64" t="s">
        <v>25</v>
      </c>
      <c r="J14" s="68">
        <v>0</v>
      </c>
      <c r="K14" s="68">
        <v>1</v>
      </c>
      <c r="L14" s="68">
        <v>2</v>
      </c>
      <c r="M14" s="68" t="s">
        <v>23</v>
      </c>
      <c r="N14" s="64" t="s">
        <v>29</v>
      </c>
    </row>
    <row r="15" spans="1:17" ht="15.75" thickTop="1" x14ac:dyDescent="0.25">
      <c r="B15" s="61" t="s">
        <v>30</v>
      </c>
      <c r="C15" s="65">
        <f t="shared" ref="C15:F17" si="2">C4/$G4</f>
        <v>0.74559668888364417</v>
      </c>
      <c r="D15" s="65">
        <f t="shared" si="2"/>
        <v>0.18866331850252002</v>
      </c>
      <c r="E15" s="65">
        <f t="shared" si="2"/>
        <v>4.8337255136601594E-2</v>
      </c>
      <c r="F15" s="65">
        <f t="shared" si="2"/>
        <v>1.7402737477234191E-2</v>
      </c>
      <c r="G15" s="65">
        <f t="shared" ref="G15:G23" si="3">SUM(C15:F15)</f>
        <v>1</v>
      </c>
      <c r="I15" s="61" t="s">
        <v>30</v>
      </c>
      <c r="J15" s="65">
        <f t="shared" ref="J15:M17" si="4">J4/$N4</f>
        <v>0.68427635620655614</v>
      </c>
      <c r="K15" s="65">
        <f t="shared" si="4"/>
        <v>0.20488020376748969</v>
      </c>
      <c r="L15" s="65">
        <f t="shared" si="4"/>
        <v>7.5174465559014567E-2</v>
      </c>
      <c r="M15" s="65">
        <f t="shared" si="4"/>
        <v>3.5668974466939556E-2</v>
      </c>
      <c r="N15" s="65">
        <f t="shared" ref="N15:N23" si="5">SUM(J15:M15)</f>
        <v>0.99999999999999989</v>
      </c>
    </row>
    <row r="16" spans="1:17" x14ac:dyDescent="0.25">
      <c r="B16" s="61" t="s">
        <v>31</v>
      </c>
      <c r="C16" s="65">
        <f t="shared" si="2"/>
        <v>0.5560136958306211</v>
      </c>
      <c r="D16" s="65">
        <f t="shared" si="2"/>
        <v>0.23741679227438101</v>
      </c>
      <c r="E16" s="65">
        <f t="shared" si="2"/>
        <v>0.15849774000866942</v>
      </c>
      <c r="F16" s="65">
        <f t="shared" si="2"/>
        <v>4.8071771886328531E-2</v>
      </c>
      <c r="G16" s="65">
        <f t="shared" si="3"/>
        <v>1</v>
      </c>
      <c r="I16" s="61" t="s">
        <v>31</v>
      </c>
      <c r="J16" s="65">
        <f t="shared" si="4"/>
        <v>0.43074942528735632</v>
      </c>
      <c r="K16" s="65">
        <f t="shared" si="4"/>
        <v>0.33552183908045979</v>
      </c>
      <c r="L16" s="65">
        <f t="shared" si="4"/>
        <v>0.14854865900383141</v>
      </c>
      <c r="M16" s="65">
        <f t="shared" si="4"/>
        <v>8.5180076628352488E-2</v>
      </c>
      <c r="N16" s="65">
        <f t="shared" si="5"/>
        <v>1</v>
      </c>
    </row>
    <row r="17" spans="2:14" x14ac:dyDescent="0.25">
      <c r="B17" s="61" t="s">
        <v>32</v>
      </c>
      <c r="C17" s="65">
        <f t="shared" si="2"/>
        <v>0.59331508587193993</v>
      </c>
      <c r="D17" s="65">
        <f t="shared" si="2"/>
        <v>0.26876854819224522</v>
      </c>
      <c r="E17" s="65">
        <f t="shared" si="2"/>
        <v>9.6422191474828278E-2</v>
      </c>
      <c r="F17" s="65">
        <f t="shared" si="2"/>
        <v>4.1494174460986681E-2</v>
      </c>
      <c r="G17" s="65">
        <f t="shared" si="3"/>
        <v>1</v>
      </c>
      <c r="I17" s="61" t="s">
        <v>32</v>
      </c>
      <c r="J17" s="65">
        <f t="shared" si="4"/>
        <v>0.62128347312397247</v>
      </c>
      <c r="K17" s="65">
        <f t="shared" si="4"/>
        <v>0.15824671886755651</v>
      </c>
      <c r="L17" s="65">
        <f t="shared" si="4"/>
        <v>0.11151670521358709</v>
      </c>
      <c r="M17" s="65">
        <f t="shared" si="4"/>
        <v>0.10895310279488395</v>
      </c>
      <c r="N17" s="65">
        <f t="shared" si="5"/>
        <v>0.99999999999999989</v>
      </c>
    </row>
    <row r="18" spans="2:14" x14ac:dyDescent="0.25">
      <c r="B18" s="61" t="s">
        <v>33</v>
      </c>
      <c r="C18" s="65">
        <f t="shared" ref="C18:F19" si="6">C7/$G7</f>
        <v>0.41561074466905629</v>
      </c>
      <c r="D18" s="65">
        <f t="shared" si="6"/>
        <v>0.31346548731803536</v>
      </c>
      <c r="E18" s="65">
        <f t="shared" si="6"/>
        <v>0.16781470868021553</v>
      </c>
      <c r="F18" s="65">
        <f t="shared" si="6"/>
        <v>0.10310905933269281</v>
      </c>
      <c r="G18" s="65">
        <f t="shared" si="3"/>
        <v>0.99999999999999989</v>
      </c>
      <c r="I18" s="61" t="s">
        <v>33</v>
      </c>
      <c r="J18" s="65">
        <f t="shared" ref="J18:M20" si="7">J7/$N7</f>
        <v>0.32151121772259067</v>
      </c>
      <c r="K18" s="65">
        <f t="shared" si="7"/>
        <v>0.39572103852123608</v>
      </c>
      <c r="L18" s="65">
        <f t="shared" si="7"/>
        <v>0.17275645548186822</v>
      </c>
      <c r="M18" s="65">
        <f t="shared" si="7"/>
        <v>0.11001128827430506</v>
      </c>
      <c r="N18" s="65">
        <f t="shared" si="5"/>
        <v>1</v>
      </c>
    </row>
    <row r="19" spans="2:14" x14ac:dyDescent="0.25">
      <c r="B19" s="61" t="s">
        <v>34</v>
      </c>
      <c r="C19" s="65">
        <f t="shared" si="6"/>
        <v>0.44552245220954062</v>
      </c>
      <c r="D19" s="65">
        <f t="shared" si="6"/>
        <v>0.36259928752893228</v>
      </c>
      <c r="E19" s="65">
        <f t="shared" si="6"/>
        <v>0.13818729485847128</v>
      </c>
      <c r="F19" s="65">
        <f t="shared" si="6"/>
        <v>5.3690965403055756E-2</v>
      </c>
      <c r="G19" s="65">
        <f t="shared" si="3"/>
        <v>0.99999999999999989</v>
      </c>
      <c r="I19" s="61" t="s">
        <v>34</v>
      </c>
      <c r="J19" s="65">
        <f t="shared" si="7"/>
        <v>0.3757863635721051</v>
      </c>
      <c r="K19" s="65">
        <f t="shared" si="7"/>
        <v>0.40151547280772437</v>
      </c>
      <c r="L19" s="65">
        <f t="shared" si="7"/>
        <v>0.15050115215516632</v>
      </c>
      <c r="M19" s="65">
        <f t="shared" si="7"/>
        <v>7.2197011465004166E-2</v>
      </c>
      <c r="N19" s="65">
        <f t="shared" si="5"/>
        <v>0.99999999999999989</v>
      </c>
    </row>
    <row r="20" spans="2:14" x14ac:dyDescent="0.25">
      <c r="B20" s="61" t="s">
        <v>35</v>
      </c>
      <c r="C20" s="65">
        <f t="shared" ref="C20:F23" si="8">C9/$G9</f>
        <v>0.70912395505563008</v>
      </c>
      <c r="D20" s="65">
        <f t="shared" si="8"/>
        <v>0.21678980636464276</v>
      </c>
      <c r="E20" s="65">
        <f t="shared" si="8"/>
        <v>6.0689512840353246E-2</v>
      </c>
      <c r="F20" s="65">
        <f t="shared" si="8"/>
        <v>1.3396725739373816E-2</v>
      </c>
      <c r="G20" s="65">
        <f t="shared" si="3"/>
        <v>0.99999999999999989</v>
      </c>
      <c r="I20" s="61" t="s">
        <v>35</v>
      </c>
      <c r="J20" s="65">
        <f t="shared" si="7"/>
        <v>0.58731343283582094</v>
      </c>
      <c r="K20" s="65">
        <f t="shared" si="7"/>
        <v>0.29933312162591297</v>
      </c>
      <c r="L20" s="65">
        <f t="shared" si="7"/>
        <v>7.7389647507145123E-2</v>
      </c>
      <c r="M20" s="65">
        <f t="shared" si="7"/>
        <v>3.5963798031120993E-2</v>
      </c>
      <c r="N20" s="65">
        <f t="shared" si="5"/>
        <v>1</v>
      </c>
    </row>
    <row r="21" spans="2:14" x14ac:dyDescent="0.25">
      <c r="B21" s="61" t="s">
        <v>36</v>
      </c>
      <c r="C21" s="65">
        <f t="shared" si="8"/>
        <v>0.79591663838317406</v>
      </c>
      <c r="D21" s="65">
        <f t="shared" si="8"/>
        <v>0.17758150073747839</v>
      </c>
      <c r="E21" s="65">
        <f t="shared" si="8"/>
        <v>2.2361790088429565E-2</v>
      </c>
      <c r="F21" s="65">
        <f t="shared" si="8"/>
        <v>4.1400707909180472E-3</v>
      </c>
      <c r="G21" s="65">
        <f t="shared" si="3"/>
        <v>1</v>
      </c>
      <c r="I21" s="61" t="s">
        <v>36</v>
      </c>
      <c r="J21" s="65">
        <f t="shared" ref="J21:M23" si="9">J10/$N10</f>
        <v>0.59252688295461631</v>
      </c>
      <c r="K21" s="65">
        <f t="shared" si="9"/>
        <v>0.29107377686245833</v>
      </c>
      <c r="L21" s="65">
        <f t="shared" si="9"/>
        <v>0.11087025674492429</v>
      </c>
      <c r="M21" s="65">
        <f t="shared" si="9"/>
        <v>5.5290834380011351E-3</v>
      </c>
      <c r="N21" s="65">
        <f t="shared" si="5"/>
        <v>1</v>
      </c>
    </row>
    <row r="22" spans="2:14" x14ac:dyDescent="0.25">
      <c r="B22" s="69" t="s">
        <v>37</v>
      </c>
      <c r="C22" s="70">
        <f t="shared" si="8"/>
        <v>0.76461051745005737</v>
      </c>
      <c r="D22" s="70">
        <f t="shared" si="8"/>
        <v>0.1775741675608902</v>
      </c>
      <c r="E22" s="70">
        <f t="shared" si="8"/>
        <v>5.7815314989052458E-2</v>
      </c>
      <c r="F22" s="70">
        <f t="shared" si="8"/>
        <v>0</v>
      </c>
      <c r="G22" s="70">
        <f t="shared" si="3"/>
        <v>1</v>
      </c>
      <c r="I22" s="69" t="s">
        <v>37</v>
      </c>
      <c r="J22" s="70">
        <f t="shared" si="9"/>
        <v>0.5147799226101486</v>
      </c>
      <c r="K22" s="70">
        <f t="shared" si="9"/>
        <v>0.27441517896403128</v>
      </c>
      <c r="L22" s="70">
        <f t="shared" si="9"/>
        <v>0.13799907659836427</v>
      </c>
      <c r="M22" s="70">
        <f t="shared" si="9"/>
        <v>7.2805821827455805E-2</v>
      </c>
      <c r="N22" s="70">
        <f t="shared" si="5"/>
        <v>0.99999999999999989</v>
      </c>
    </row>
    <row r="23" spans="2:14" x14ac:dyDescent="0.25">
      <c r="B23" s="61" t="s">
        <v>29</v>
      </c>
      <c r="C23" s="65">
        <f t="shared" si="8"/>
        <v>0.67032747981801222</v>
      </c>
      <c r="D23" s="65">
        <f t="shared" si="8"/>
        <v>0.22331678980266442</v>
      </c>
      <c r="E23" s="65">
        <f t="shared" si="8"/>
        <v>7.7555301644283606E-2</v>
      </c>
      <c r="F23" s="65">
        <f t="shared" si="8"/>
        <v>2.8800428735039765E-2</v>
      </c>
      <c r="G23" s="65">
        <f t="shared" si="3"/>
        <v>1</v>
      </c>
      <c r="I23" s="61" t="s">
        <v>29</v>
      </c>
      <c r="J23" s="65">
        <f t="shared" si="9"/>
        <v>0.54505949239672502</v>
      </c>
      <c r="K23" s="65">
        <f t="shared" si="9"/>
        <v>0.28402768563752684</v>
      </c>
      <c r="L23" s="65">
        <f t="shared" si="9"/>
        <v>0.11541784342929996</v>
      </c>
      <c r="M23" s="65">
        <f t="shared" si="9"/>
        <v>5.5494978536448136E-2</v>
      </c>
      <c r="N23" s="65">
        <f t="shared" si="5"/>
        <v>1</v>
      </c>
    </row>
    <row r="24" spans="2:14" ht="15.75" thickBot="1" x14ac:dyDescent="0.3"/>
    <row r="25" spans="2:14" ht="20.25" thickTop="1" thickBot="1" x14ac:dyDescent="0.35">
      <c r="B25" s="67" t="s">
        <v>51</v>
      </c>
      <c r="D25" s="68">
        <v>0</v>
      </c>
      <c r="E25" s="68">
        <v>1</v>
      </c>
      <c r="F25" s="68">
        <v>2</v>
      </c>
      <c r="G25" s="68">
        <v>3</v>
      </c>
      <c r="H25" s="64"/>
      <c r="I25" s="137"/>
    </row>
    <row r="26" spans="2:14" ht="15.75" thickTop="1" x14ac:dyDescent="0.25">
      <c r="B26" t="s">
        <v>29</v>
      </c>
      <c r="C26" s="5" t="s">
        <v>7</v>
      </c>
      <c r="D26" s="2">
        <f>VLOOKUP($B$26,$B$15:$G$23,2,FALSE)</f>
        <v>0.67032747981801222</v>
      </c>
      <c r="E26" s="2">
        <f>VLOOKUP($B$26,$B$15:$G$23,3,FALSE)</f>
        <v>0.22331678980266442</v>
      </c>
      <c r="F26" s="2">
        <f>VLOOKUP($B$26,$B$15:$G$23,4,FALSE)</f>
        <v>7.7555301644283606E-2</v>
      </c>
      <c r="G26" s="2">
        <f>VLOOKUP($B$26,$B$15:$G$23,5,FALSE)</f>
        <v>2.8800428735039765E-2</v>
      </c>
      <c r="H26" s="2"/>
    </row>
    <row r="27" spans="2:14" x14ac:dyDescent="0.25">
      <c r="C27" s="5" t="s">
        <v>3</v>
      </c>
      <c r="D27" s="2">
        <f>VLOOKUP($B$26,$I$15:$N$23,2,FALSE)</f>
        <v>0.54505949239672502</v>
      </c>
      <c r="E27" s="2">
        <f>VLOOKUP($B$26,$I$15:$N$23,3,FALSE)</f>
        <v>0.28402768563752684</v>
      </c>
      <c r="F27" s="2">
        <f>VLOOKUP($B$26,$I$15:$N$23,4,FALSE)</f>
        <v>0.11541784342929996</v>
      </c>
      <c r="G27" s="2">
        <f>VLOOKUP($B$26,$I$15:$N$23,5,FALSE)</f>
        <v>5.5494978536448136E-2</v>
      </c>
      <c r="H27" s="2"/>
    </row>
    <row r="29" spans="2:14" x14ac:dyDescent="0.25">
      <c r="I29" s="5" t="s">
        <v>164</v>
      </c>
    </row>
    <row r="30" spans="2:14" ht="15.75" thickBot="1" x14ac:dyDescent="0.3"/>
    <row r="31" spans="2:14" ht="16.5" thickTop="1" thickBot="1" x14ac:dyDescent="0.3">
      <c r="I31" s="64" t="s">
        <v>25</v>
      </c>
      <c r="J31" s="68">
        <v>0</v>
      </c>
      <c r="K31" s="68">
        <v>1</v>
      </c>
      <c r="L31" s="68">
        <v>2</v>
      </c>
      <c r="M31" s="68" t="s">
        <v>23</v>
      </c>
      <c r="N31" s="64" t="s">
        <v>29</v>
      </c>
    </row>
    <row r="32" spans="2:14" ht="15.75" thickTop="1" x14ac:dyDescent="0.25">
      <c r="I32" s="61" t="s">
        <v>30</v>
      </c>
      <c r="J32" s="65">
        <f t="shared" ref="J32:J40" si="10">IF(C15&gt;0,(J15-C15)/C15,"")</f>
        <v>-8.2243300689680929E-2</v>
      </c>
      <c r="K32" s="65">
        <f t="shared" ref="K32:K40" si="11">IF(D15&gt;0,(K15-D15)/D15,"")</f>
        <v>8.5956747679878528E-2</v>
      </c>
      <c r="L32" s="65">
        <f t="shared" ref="L32:L40" si="12">IF(E15&gt;0,(L15-E15)/E15,"")</f>
        <v>0.55520757946579158</v>
      </c>
      <c r="M32" s="65">
        <f t="shared" ref="M32:M40" si="13">IF(F15&gt;0,(M15-F15)/F15,"")</f>
        <v>1.0496186024526764</v>
      </c>
      <c r="N32" s="65">
        <f t="shared" ref="N32:N40" si="14">IF(G15&gt;0,(N15-G15)/G15,"")</f>
        <v>-1.1102230246251565E-16</v>
      </c>
    </row>
    <row r="33" spans="2:18" x14ac:dyDescent="0.25">
      <c r="I33" s="61" t="s">
        <v>31</v>
      </c>
      <c r="J33" s="65">
        <f t="shared" si="10"/>
        <v>-0.22528990109881059</v>
      </c>
      <c r="K33" s="65">
        <f t="shared" si="11"/>
        <v>0.41321865174852268</v>
      </c>
      <c r="L33" s="65">
        <f t="shared" si="12"/>
        <v>-6.2771122189463568E-2</v>
      </c>
      <c r="M33" s="65">
        <f t="shared" si="13"/>
        <v>0.77193544747572429</v>
      </c>
      <c r="N33" s="65">
        <f t="shared" si="14"/>
        <v>0</v>
      </c>
    </row>
    <row r="34" spans="2:18" x14ac:dyDescent="0.25">
      <c r="I34" s="61" t="s">
        <v>32</v>
      </c>
      <c r="J34" s="65">
        <f t="shared" si="10"/>
        <v>4.713918104902054E-2</v>
      </c>
      <c r="K34" s="65">
        <f t="shared" si="11"/>
        <v>-0.41121563541592104</v>
      </c>
      <c r="L34" s="65">
        <f t="shared" si="12"/>
        <v>0.1565460555073501</v>
      </c>
      <c r="M34" s="65">
        <f t="shared" si="13"/>
        <v>1.6257445583674153</v>
      </c>
      <c r="N34" s="65">
        <f t="shared" si="14"/>
        <v>-1.1102230246251565E-16</v>
      </c>
    </row>
    <row r="35" spans="2:18" x14ac:dyDescent="0.25">
      <c r="I35" s="61" t="s">
        <v>33</v>
      </c>
      <c r="J35" s="65">
        <f t="shared" si="10"/>
        <v>-0.22641264248689108</v>
      </c>
      <c r="K35" s="65">
        <f t="shared" si="11"/>
        <v>0.26240704170327367</v>
      </c>
      <c r="L35" s="65">
        <f t="shared" si="12"/>
        <v>2.9447638055789156E-2</v>
      </c>
      <c r="M35" s="65">
        <f t="shared" si="13"/>
        <v>6.694105237970846E-2</v>
      </c>
      <c r="N35" s="65">
        <f t="shared" si="14"/>
        <v>1.1102230246251565E-16</v>
      </c>
    </row>
    <row r="36" spans="2:18" x14ac:dyDescent="0.25">
      <c r="I36" s="61" t="s">
        <v>34</v>
      </c>
      <c r="J36" s="65">
        <f t="shared" si="10"/>
        <v>-0.15652654157289667</v>
      </c>
      <c r="K36" s="65">
        <f t="shared" si="11"/>
        <v>0.10732559775282768</v>
      </c>
      <c r="L36" s="65">
        <f t="shared" si="12"/>
        <v>8.9109909194666936E-2</v>
      </c>
      <c r="M36" s="65">
        <f t="shared" si="13"/>
        <v>0.34467709647282968</v>
      </c>
      <c r="N36" s="65">
        <f t="shared" si="14"/>
        <v>0</v>
      </c>
    </row>
    <row r="37" spans="2:18" x14ac:dyDescent="0.25">
      <c r="I37" s="61" t="s">
        <v>35</v>
      </c>
      <c r="J37" s="65">
        <f t="shared" si="10"/>
        <v>-0.17177606446852192</v>
      </c>
      <c r="K37" s="65">
        <f t="shared" si="11"/>
        <v>0.38075275145747156</v>
      </c>
      <c r="L37" s="65">
        <f t="shared" si="12"/>
        <v>0.27517331883553597</v>
      </c>
      <c r="M37" s="65">
        <f t="shared" si="13"/>
        <v>1.6845214816498884</v>
      </c>
      <c r="N37" s="65">
        <f t="shared" si="14"/>
        <v>1.1102230246251565E-16</v>
      </c>
    </row>
    <row r="38" spans="2:18" x14ac:dyDescent="0.25">
      <c r="I38" s="61" t="s">
        <v>36</v>
      </c>
      <c r="J38" s="65">
        <f t="shared" si="10"/>
        <v>-0.25554152987896311</v>
      </c>
      <c r="K38" s="65">
        <f t="shared" si="11"/>
        <v>0.63909965651634748</v>
      </c>
      <c r="L38" s="65">
        <f t="shared" si="12"/>
        <v>3.9580224260440926</v>
      </c>
      <c r="M38" s="65">
        <f t="shared" si="13"/>
        <v>0.33550456434950932</v>
      </c>
      <c r="N38" s="65">
        <f t="shared" si="14"/>
        <v>0</v>
      </c>
    </row>
    <row r="39" spans="2:18" x14ac:dyDescent="0.25">
      <c r="I39" s="69" t="s">
        <v>37</v>
      </c>
      <c r="J39" s="70">
        <f t="shared" si="10"/>
        <v>-0.32674229446003811</v>
      </c>
      <c r="K39" s="70">
        <f t="shared" si="11"/>
        <v>0.54535528862853477</v>
      </c>
      <c r="L39" s="70">
        <f t="shared" si="12"/>
        <v>1.3868948327012471</v>
      </c>
      <c r="M39" s="70" t="str">
        <f t="shared" si="13"/>
        <v/>
      </c>
      <c r="N39" s="70">
        <f t="shared" si="14"/>
        <v>-1.1102230246251565E-16</v>
      </c>
    </row>
    <row r="40" spans="2:18" x14ac:dyDescent="0.25">
      <c r="I40" s="61" t="s">
        <v>29</v>
      </c>
      <c r="J40" s="65">
        <f t="shared" si="10"/>
        <v>-0.18687580502487577</v>
      </c>
      <c r="K40" s="65">
        <f t="shared" si="11"/>
        <v>0.27185997026246911</v>
      </c>
      <c r="L40" s="65">
        <f t="shared" si="12"/>
        <v>0.48820056117732996</v>
      </c>
      <c r="M40" s="65">
        <f t="shared" si="13"/>
        <v>0.9268802921996333</v>
      </c>
      <c r="N40" s="65">
        <f t="shared" si="14"/>
        <v>0</v>
      </c>
    </row>
    <row r="42" spans="2:18" x14ac:dyDescent="0.25">
      <c r="I42" s="136" t="s">
        <v>165</v>
      </c>
    </row>
    <row r="43" spans="2:18" x14ac:dyDescent="0.25">
      <c r="I43" s="136" t="s">
        <v>166</v>
      </c>
    </row>
    <row r="45" spans="2:18" x14ac:dyDescent="0.25">
      <c r="B45" t="s">
        <v>178</v>
      </c>
    </row>
    <row r="46" spans="2:18" ht="18.75" x14ac:dyDescent="0.3">
      <c r="B46" s="393" t="s">
        <v>7</v>
      </c>
      <c r="C46" s="393"/>
      <c r="D46" s="393"/>
      <c r="E46" s="393"/>
      <c r="F46" s="393"/>
      <c r="G46" s="393"/>
      <c r="H46" s="393"/>
      <c r="I46" s="393"/>
      <c r="K46" s="393" t="s">
        <v>3</v>
      </c>
      <c r="L46" s="393"/>
      <c r="M46" s="393"/>
      <c r="N46" s="393"/>
      <c r="O46" s="393"/>
      <c r="P46" s="393"/>
      <c r="Q46" s="393"/>
      <c r="R46" s="393"/>
    </row>
    <row r="47" spans="2:18" ht="15.75" thickBot="1" x14ac:dyDescent="0.3">
      <c r="C47">
        <v>4</v>
      </c>
      <c r="D47">
        <v>5</v>
      </c>
      <c r="E47">
        <v>6</v>
      </c>
      <c r="F47">
        <v>7</v>
      </c>
      <c r="G47">
        <v>8</v>
      </c>
      <c r="H47">
        <v>9</v>
      </c>
      <c r="L47">
        <v>4</v>
      </c>
      <c r="M47">
        <v>5</v>
      </c>
      <c r="N47">
        <v>6</v>
      </c>
      <c r="O47">
        <v>7</v>
      </c>
      <c r="P47">
        <v>8</v>
      </c>
      <c r="Q47">
        <v>9</v>
      </c>
    </row>
    <row r="48" spans="2:18" ht="16.5" thickTop="1" thickBot="1" x14ac:dyDescent="0.3">
      <c r="B48" s="64" t="s">
        <v>25</v>
      </c>
      <c r="C48" s="64" t="s">
        <v>170</v>
      </c>
      <c r="D48" s="64" t="s">
        <v>173</v>
      </c>
      <c r="E48" s="64" t="s">
        <v>171</v>
      </c>
      <c r="F48" s="64" t="s">
        <v>174</v>
      </c>
      <c r="G48" s="64" t="s">
        <v>175</v>
      </c>
      <c r="H48" s="64" t="s">
        <v>172</v>
      </c>
      <c r="I48" s="64" t="s">
        <v>29</v>
      </c>
      <c r="K48" s="64" t="s">
        <v>25</v>
      </c>
      <c r="L48" s="64" t="s">
        <v>170</v>
      </c>
      <c r="M48" s="64" t="s">
        <v>173</v>
      </c>
      <c r="N48" s="64" t="s">
        <v>171</v>
      </c>
      <c r="O48" s="64" t="s">
        <v>174</v>
      </c>
      <c r="P48" s="64" t="s">
        <v>175</v>
      </c>
      <c r="Q48" s="64" t="s">
        <v>172</v>
      </c>
      <c r="R48" s="64" t="s">
        <v>29</v>
      </c>
    </row>
    <row r="49" spans="1:18" ht="15.75" thickTop="1" x14ac:dyDescent="0.25">
      <c r="A49">
        <v>1</v>
      </c>
      <c r="B49" s="61" t="s">
        <v>30</v>
      </c>
      <c r="C49" s="29">
        <f>VLOOKUP(CONCATENATE($A49,C$47),indiNM_input!$A$40:$E$87,5)</f>
        <v>352100.61653</v>
      </c>
      <c r="D49" s="29">
        <f>VLOOKUP(CONCATENATE($A49,D$47),indiNM_input!$A$40:$E$87,5)</f>
        <v>331417.12166</v>
      </c>
      <c r="E49" s="29">
        <f>VLOOKUP(CONCATENATE($A49,E$47),indiNM_input!$A$40:$E$87,5)</f>
        <v>272209.76491000003</v>
      </c>
      <c r="F49" s="29">
        <f>VLOOKUP(CONCATENATE($A49,F$47),indiNM_input!$A$40:$E$87,5)</f>
        <v>83931.166440000001</v>
      </c>
      <c r="G49" s="29">
        <f>VLOOKUP(CONCATENATE($A49,G$47),indiNM_input!$A$40:$E$87,5)</f>
        <v>124934.61638000001</v>
      </c>
      <c r="H49" s="29">
        <f>VLOOKUP(CONCATENATE($A49,H$47),indiNM_input!$A$40:$E$87,5)</f>
        <v>214071.61493000001</v>
      </c>
      <c r="I49" s="29">
        <f>SUM(C49:H49)</f>
        <v>1378664.9008499999</v>
      </c>
      <c r="K49" s="61" t="s">
        <v>30</v>
      </c>
      <c r="L49" s="29">
        <f>VLOOKUP(CONCATENATE($A49,L$47),indiNM_input!$F$40:$J$87,5)*Index!$B$2</f>
        <v>307485</v>
      </c>
      <c r="M49" s="29">
        <f>VLOOKUP(CONCATENATE($A49,M$47),indiNM_input!$F$40:$J$87,5)*Index!$B$2</f>
        <v>410540</v>
      </c>
      <c r="N49" s="29">
        <f>VLOOKUP(CONCATENATE($A49,N$47),indiNM_input!$F$40:$J$87,5)*Index!$B$2</f>
        <v>341110</v>
      </c>
      <c r="O49" s="29">
        <f>VLOOKUP(CONCATENATE($A49,O$47),indiNM_input!$F$40:$J$87,5)*Index!$B$2</f>
        <v>168025</v>
      </c>
      <c r="P49" s="29">
        <f>VLOOKUP(CONCATENATE($A49,P$47),indiNM_input!$F$40:$J$87,5)*Index!$B$2</f>
        <v>175360</v>
      </c>
      <c r="Q49" s="29">
        <f>VLOOKUP(CONCATENATE($A49,Q$47),indiNM_input!$F$40:$J$87,5)*Index!$B$2</f>
        <v>316000</v>
      </c>
      <c r="R49" s="29">
        <f>SUM(L49:Q49)</f>
        <v>1718520</v>
      </c>
    </row>
    <row r="50" spans="1:18" x14ac:dyDescent="0.25">
      <c r="A50">
        <v>2</v>
      </c>
      <c r="B50" s="61" t="s">
        <v>31</v>
      </c>
      <c r="C50" s="29">
        <f>VLOOKUP(CONCATENATE($A50,C$47),indiNM_input!$A$40:$E$87,5)</f>
        <v>179625.21593000001</v>
      </c>
      <c r="D50" s="29">
        <f>VLOOKUP(CONCATENATE($A50,D$47),indiNM_input!$A$40:$E$87,5)</f>
        <v>177866.25667</v>
      </c>
      <c r="E50" s="29">
        <f>VLOOKUP(CONCATENATE($A50,E$47),indiNM_input!$A$40:$E$87,5)</f>
        <v>147210.89619999999</v>
      </c>
      <c r="F50" s="29">
        <f>VLOOKUP(CONCATENATE($A50,F$47),indiNM_input!$A$40:$E$87,5)</f>
        <v>26731.007549999998</v>
      </c>
      <c r="G50" s="29">
        <f>VLOOKUP(CONCATENATE($A50,G$47),indiNM_input!$A$40:$E$87,5)</f>
        <v>47359.240919999997</v>
      </c>
      <c r="H50" s="29">
        <f>VLOOKUP(CONCATENATE($A50,H$47),indiNM_input!$A$40:$E$87,5)</f>
        <v>81701.913679999998</v>
      </c>
      <c r="I50" s="29">
        <f t="shared" ref="I50:I56" si="15">SUM(C50:H50)</f>
        <v>660494.53094999993</v>
      </c>
      <c r="K50" s="61" t="s">
        <v>31</v>
      </c>
      <c r="L50" s="29">
        <f>VLOOKUP(CONCATENATE($A50,L$47),indiNM_input!$F$40:$J$87,5)*Index!$B$2</f>
        <v>169480</v>
      </c>
      <c r="M50" s="29">
        <f>VLOOKUP(CONCATENATE($A50,M$47),indiNM_input!$F$40:$J$87,5)*Index!$B$2</f>
        <v>195285</v>
      </c>
      <c r="N50" s="29">
        <f>VLOOKUP(CONCATENATE($A50,N$47),indiNM_input!$F$40:$J$87,5)*Index!$B$2</f>
        <v>157285</v>
      </c>
      <c r="O50" s="29">
        <f>VLOOKUP(CONCATENATE($A50,O$47),indiNM_input!$F$40:$J$87,5)*Index!$B$2</f>
        <v>42130</v>
      </c>
      <c r="P50" s="29">
        <f>VLOOKUP(CONCATENATE($A50,P$47),indiNM_input!$F$40:$J$87,5)*Index!$B$2</f>
        <v>56010</v>
      </c>
      <c r="Q50" s="29">
        <f>VLOOKUP(CONCATENATE($A50,Q$47),indiNM_input!$F$40:$J$87,5)*Index!$B$2</f>
        <v>124970</v>
      </c>
      <c r="R50" s="29">
        <f t="shared" ref="R50:R56" si="16">SUM(L50:Q50)</f>
        <v>745160</v>
      </c>
    </row>
    <row r="51" spans="1:18" x14ac:dyDescent="0.25">
      <c r="A51">
        <v>3</v>
      </c>
      <c r="B51" s="61" t="s">
        <v>32</v>
      </c>
      <c r="C51" s="29">
        <f>VLOOKUP(CONCATENATE($A51,C$47),indiNM_input!$A$40:$E$87,5)</f>
        <v>45590.159460000003</v>
      </c>
      <c r="D51" s="29">
        <f>VLOOKUP(CONCATENATE($A51,D$47),indiNM_input!$A$40:$E$87,5)</f>
        <v>36853.011630000001</v>
      </c>
      <c r="E51" s="29">
        <f>VLOOKUP(CONCATENATE($A51,E$47),indiNM_input!$A$40:$E$87,5)</f>
        <v>39126.314480000001</v>
      </c>
      <c r="F51" s="29">
        <f>VLOOKUP(CONCATENATE($A51,F$47),indiNM_input!$A$40:$E$87,5)</f>
        <v>16573.425670000001</v>
      </c>
      <c r="G51" s="29">
        <f>VLOOKUP(CONCATENATE($A51,G$47),indiNM_input!$A$40:$E$87,5)</f>
        <v>28106.63956</v>
      </c>
      <c r="H51" s="29">
        <f>VLOOKUP(CONCATENATE($A51,H$47),indiNM_input!$A$40:$E$87,5)</f>
        <v>36865.071880000003</v>
      </c>
      <c r="I51" s="29">
        <f t="shared" si="15"/>
        <v>203114.62268000003</v>
      </c>
      <c r="K51" s="61" t="s">
        <v>32</v>
      </c>
      <c r="L51" s="29">
        <f>VLOOKUP(CONCATENATE($A51,L$47),indiNM_input!$F$40:$J$87,5)*Index!$B$2</f>
        <v>54085</v>
      </c>
      <c r="M51" s="29">
        <f>VLOOKUP(CONCATENATE($A51,M$47),indiNM_input!$F$40:$J$87,5)*Index!$B$2</f>
        <v>44020</v>
      </c>
      <c r="N51" s="29">
        <f>VLOOKUP(CONCATENATE($A51,N$47),indiNM_input!$F$40:$J$87,5)*Index!$B$2</f>
        <v>47085</v>
      </c>
      <c r="O51" s="29">
        <f>VLOOKUP(CONCATENATE($A51,O$47),indiNM_input!$F$40:$J$87,5)*Index!$B$2</f>
        <v>26175</v>
      </c>
      <c r="P51" s="29">
        <f>VLOOKUP(CONCATENATE($A51,P$47),indiNM_input!$F$40:$J$87,5)*Index!$B$2</f>
        <v>32515</v>
      </c>
      <c r="Q51" s="29">
        <f>VLOOKUP(CONCATENATE($A51,Q$47),indiNM_input!$F$40:$J$87,5)*Index!$B$2</f>
        <v>54850</v>
      </c>
      <c r="R51" s="29">
        <f t="shared" si="16"/>
        <v>258730</v>
      </c>
    </row>
    <row r="52" spans="1:18" x14ac:dyDescent="0.25">
      <c r="A52">
        <v>4</v>
      </c>
      <c r="B52" s="61" t="s">
        <v>33</v>
      </c>
      <c r="C52" s="29">
        <f>VLOOKUP(CONCATENATE($A52,C$47),indiNM_input!$A$40:$E$87,5)</f>
        <v>314625.32601999998</v>
      </c>
      <c r="D52" s="29">
        <f>VLOOKUP(CONCATENATE($A52,D$47),indiNM_input!$A$40:$E$87,5)</f>
        <v>191261.75153000001</v>
      </c>
      <c r="E52" s="29">
        <f>VLOOKUP(CONCATENATE($A52,E$47),indiNM_input!$A$40:$E$87,5)</f>
        <v>176660.09200999999</v>
      </c>
      <c r="F52" s="29">
        <f>VLOOKUP(CONCATENATE($A52,F$47),indiNM_input!$A$40:$E$87,5)</f>
        <v>24612.768110000001</v>
      </c>
      <c r="G52" s="29">
        <f>VLOOKUP(CONCATENATE($A52,G$47),indiNM_input!$A$40:$E$87,5)</f>
        <v>72255.079769999997</v>
      </c>
      <c r="H52" s="29">
        <f>VLOOKUP(CONCATENATE($A52,H$47),indiNM_input!$A$40:$E$87,5)</f>
        <v>106468.81614</v>
      </c>
      <c r="I52" s="29">
        <f t="shared" si="15"/>
        <v>885883.83357999986</v>
      </c>
      <c r="K52" s="61" t="s">
        <v>33</v>
      </c>
      <c r="L52" s="29">
        <f>VLOOKUP(CONCATENATE($A52,L$47),indiNM_input!$F$40:$J$87,5)*Index!$B$2</f>
        <v>455395</v>
      </c>
      <c r="M52" s="29">
        <f>VLOOKUP(CONCATENATE($A52,M$47),indiNM_input!$F$40:$J$87,5)*Index!$B$2</f>
        <v>357315</v>
      </c>
      <c r="N52" s="29">
        <f>VLOOKUP(CONCATENATE($A52,N$47),indiNM_input!$F$40:$J$87,5)*Index!$B$2</f>
        <v>308730</v>
      </c>
      <c r="O52" s="29">
        <f>VLOOKUP(CONCATENATE($A52,O$47),indiNM_input!$F$40:$J$87,5)*Index!$B$2</f>
        <v>65530</v>
      </c>
      <c r="P52" s="29">
        <f>VLOOKUP(CONCATENATE($A52,P$47),indiNM_input!$F$40:$J$87,5)*Index!$B$2</f>
        <v>148145</v>
      </c>
      <c r="Q52" s="29">
        <f>VLOOKUP(CONCATENATE($A52,Q$47),indiNM_input!$F$40:$J$87,5)*Index!$B$2</f>
        <v>228955</v>
      </c>
      <c r="R52" s="29">
        <f t="shared" si="16"/>
        <v>1564070</v>
      </c>
    </row>
    <row r="53" spans="1:18" x14ac:dyDescent="0.25">
      <c r="A53">
        <v>5</v>
      </c>
      <c r="B53" s="61" t="s">
        <v>34</v>
      </c>
      <c r="C53" s="29">
        <f>VLOOKUP(CONCATENATE($A53,C$47),indiNM_input!$A$40:$E$87,5)</f>
        <v>87214.137780000005</v>
      </c>
      <c r="D53" s="29">
        <f>VLOOKUP(CONCATENATE($A53,D$47),indiNM_input!$A$40:$E$87,5)</f>
        <v>242841.39428000001</v>
      </c>
      <c r="E53" s="29">
        <f>VLOOKUP(CONCATENATE($A53,E$47),indiNM_input!$A$40:$E$87,5)</f>
        <v>216291.32968</v>
      </c>
      <c r="F53" s="29">
        <f>VLOOKUP(CONCATENATE($A53,F$47),indiNM_input!$A$40:$E$87,5)</f>
        <v>44667.376839999997</v>
      </c>
      <c r="G53" s="29">
        <f>VLOOKUP(CONCATENATE($A53,G$47),indiNM_input!$A$40:$E$87,5)</f>
        <v>69179.653000000006</v>
      </c>
      <c r="H53" s="29">
        <f>VLOOKUP(CONCATENATE($A53,H$47),indiNM_input!$A$40:$E$87,5)</f>
        <v>164285.57133999999</v>
      </c>
      <c r="I53" s="29">
        <f t="shared" si="15"/>
        <v>824479.46292000008</v>
      </c>
      <c r="K53" s="61" t="s">
        <v>34</v>
      </c>
      <c r="L53" s="29">
        <f>VLOOKUP(CONCATENATE($A53,L$47),indiNM_input!$F$40:$J$87,5)*Index!$B$2</f>
        <v>78680</v>
      </c>
      <c r="M53" s="29">
        <f>VLOOKUP(CONCATENATE($A53,M$47),indiNM_input!$F$40:$J$87,5)*Index!$B$2</f>
        <v>283240</v>
      </c>
      <c r="N53" s="29">
        <f>VLOOKUP(CONCATENATE($A53,N$47),indiNM_input!$F$40:$J$87,5)*Index!$B$2</f>
        <v>255980</v>
      </c>
      <c r="O53" s="29">
        <f>VLOOKUP(CONCATENATE($A53,O$47),indiNM_input!$F$40:$J$87,5)*Index!$B$2</f>
        <v>72045</v>
      </c>
      <c r="P53" s="29">
        <f>VLOOKUP(CONCATENATE($A53,P$47),indiNM_input!$F$40:$J$87,5)*Index!$B$2</f>
        <v>86210</v>
      </c>
      <c r="Q53" s="29">
        <f>VLOOKUP(CONCATENATE($A53,Q$47),indiNM_input!$F$40:$J$87,5)*Index!$B$2</f>
        <v>209120</v>
      </c>
      <c r="R53" s="29">
        <f t="shared" si="16"/>
        <v>985275</v>
      </c>
    </row>
    <row r="54" spans="1:18" x14ac:dyDescent="0.25">
      <c r="A54">
        <v>6</v>
      </c>
      <c r="B54" s="61" t="s">
        <v>35</v>
      </c>
      <c r="C54" s="29">
        <f>VLOOKUP(CONCATENATE($A54,C$47),indiNM_input!$A$40:$E$87,5)</f>
        <v>13931.49611</v>
      </c>
      <c r="D54" s="29">
        <f>VLOOKUP(CONCATENATE($A54,D$47),indiNM_input!$A$40:$E$87,5)</f>
        <v>14772.65408</v>
      </c>
      <c r="E54" s="29">
        <f>VLOOKUP(CONCATENATE($A54,E$47),indiNM_input!$A$40:$E$87,5)</f>
        <v>14122.19781</v>
      </c>
      <c r="F54" s="29">
        <f>VLOOKUP(CONCATENATE($A54,F$47),indiNM_input!$A$40:$E$87,5)</f>
        <v>4744.5238499999996</v>
      </c>
      <c r="G54" s="29">
        <f>VLOOKUP(CONCATENATE($A54,G$47),indiNM_input!$A$40:$E$87,5)</f>
        <v>28418.870589999999</v>
      </c>
      <c r="H54" s="29">
        <f>VLOOKUP(CONCATENATE($A54,H$47),indiNM_input!$A$40:$E$87,5)</f>
        <v>46558.737999999998</v>
      </c>
      <c r="I54" s="29">
        <f t="shared" si="15"/>
        <v>122548.48044</v>
      </c>
      <c r="K54" s="61" t="s">
        <v>35</v>
      </c>
      <c r="L54" s="29">
        <f>VLOOKUP(CONCATENATE($A54,L$47),indiNM_input!$F$40:$J$87,5)*Index!$B$2</f>
        <v>14545</v>
      </c>
      <c r="M54" s="29">
        <f>VLOOKUP(CONCATENATE($A54,M$47),indiNM_input!$F$40:$J$87,5)*Index!$B$2</f>
        <v>33900</v>
      </c>
      <c r="N54" s="29">
        <f>VLOOKUP(CONCATENATE($A54,N$47),indiNM_input!$F$40:$J$87,5)*Index!$B$2</f>
        <v>29765</v>
      </c>
      <c r="O54" s="29">
        <f>VLOOKUP(CONCATENATE($A54,O$47),indiNM_input!$F$40:$J$87,5)*Index!$B$2</f>
        <v>10070</v>
      </c>
      <c r="P54" s="29">
        <f>VLOOKUP(CONCATENATE($A54,P$47),indiNM_input!$F$40:$J$87,5)*Index!$B$2</f>
        <v>30555</v>
      </c>
      <c r="Q54" s="29">
        <f>VLOOKUP(CONCATENATE($A54,Q$47),indiNM_input!$F$40:$J$87,5)*Index!$B$2</f>
        <v>59525</v>
      </c>
      <c r="R54" s="29">
        <f t="shared" si="16"/>
        <v>178360</v>
      </c>
    </row>
    <row r="55" spans="1:18" x14ac:dyDescent="0.25">
      <c r="A55">
        <v>7</v>
      </c>
      <c r="B55" s="61" t="s">
        <v>36</v>
      </c>
      <c r="C55" s="29">
        <f>VLOOKUP(CONCATENATE($A55,C$47),indiNM_input!$A$40:$E$87,5)</f>
        <v>59672.625630000002</v>
      </c>
      <c r="D55" s="29">
        <f>VLOOKUP(CONCATENATE($A55,D$47),indiNM_input!$A$40:$E$87,5)</f>
        <v>20366.573550000001</v>
      </c>
      <c r="E55" s="29">
        <f>VLOOKUP(CONCATENATE($A55,E$47),indiNM_input!$A$40:$E$87,5)</f>
        <v>32225.66012</v>
      </c>
      <c r="F55" s="29">
        <f>VLOOKUP(CONCATENATE($A55,F$47),indiNM_input!$A$40:$E$87,5)</f>
        <v>6353.6033299999999</v>
      </c>
      <c r="G55" s="29">
        <f>VLOOKUP(CONCATENATE($A55,G$47),indiNM_input!$A$40:$E$87,5)</f>
        <v>73915.156480000005</v>
      </c>
      <c r="H55" s="29">
        <f>VLOOKUP(CONCATENATE($A55,H$47),indiNM_input!$A$40:$E$87,5)</f>
        <v>160680.10540999999</v>
      </c>
      <c r="I55" s="29">
        <f t="shared" si="15"/>
        <v>353213.72451999999</v>
      </c>
      <c r="K55" s="61" t="s">
        <v>36</v>
      </c>
      <c r="L55" s="29">
        <f>VLOOKUP(CONCATENATE($A55,L$47),indiNM_input!$F$40:$J$87,5)*Index!$B$2</f>
        <v>54045</v>
      </c>
      <c r="M55" s="29">
        <f>VLOOKUP(CONCATENATE($A55,M$47),indiNM_input!$F$40:$J$87,5)*Index!$B$2</f>
        <v>135340</v>
      </c>
      <c r="N55" s="29">
        <f>VLOOKUP(CONCATENATE($A55,N$47),indiNM_input!$F$40:$J$87,5)*Index!$B$2</f>
        <v>121785</v>
      </c>
      <c r="O55" s="29">
        <f>VLOOKUP(CONCATENATE($A55,O$47),indiNM_input!$F$40:$J$87,5)*Index!$B$2</f>
        <v>55835</v>
      </c>
      <c r="P55" s="29">
        <f>VLOOKUP(CONCATENATE($A55,P$47),indiNM_input!$F$40:$J$87,5)*Index!$B$2</f>
        <v>116995</v>
      </c>
      <c r="Q55" s="29">
        <f>VLOOKUP(CONCATENATE($A55,Q$47),indiNM_input!$F$40:$J$87,5)*Index!$B$2</f>
        <v>323430</v>
      </c>
      <c r="R55" s="29">
        <f t="shared" si="16"/>
        <v>807430</v>
      </c>
    </row>
    <row r="56" spans="1:18" x14ac:dyDescent="0.25">
      <c r="A56">
        <v>8</v>
      </c>
      <c r="B56" s="69" t="s">
        <v>37</v>
      </c>
      <c r="C56" s="19">
        <f>VLOOKUP(CONCATENATE($A56,C$47),indiNM_input!$A$40:$E$87,5)</f>
        <v>163729.3149</v>
      </c>
      <c r="D56" s="19">
        <f>VLOOKUP(CONCATENATE($A56,D$47),indiNM_input!$A$40:$E$87,5)</f>
        <v>12523.86541</v>
      </c>
      <c r="E56" s="19">
        <f>VLOOKUP(CONCATENATE($A56,E$47),indiNM_input!$A$40:$E$87,5)</f>
        <v>19332.904640000001</v>
      </c>
      <c r="F56" s="19">
        <f>VLOOKUP(CONCATENATE($A56,F$47),indiNM_input!$A$40:$E$87,5)</f>
        <v>6002.54144</v>
      </c>
      <c r="G56" s="19">
        <f>VLOOKUP(CONCATENATE($A56,G$47),indiNM_input!$A$40:$E$87,5)</f>
        <v>32175.59188</v>
      </c>
      <c r="H56" s="19">
        <f>VLOOKUP(CONCATENATE($A56,H$47),indiNM_input!$A$40:$E$87,5)</f>
        <v>53773.681689999998</v>
      </c>
      <c r="I56" s="19">
        <f t="shared" si="15"/>
        <v>287537.89995999995</v>
      </c>
      <c r="K56" s="69" t="s">
        <v>37</v>
      </c>
      <c r="L56" s="19">
        <f>VLOOKUP(CONCATENATE($A56,L$47),indiNM_input!$F$40:$J$87,5)*Index!$B$2</f>
        <v>196740</v>
      </c>
      <c r="M56" s="19">
        <f>VLOOKUP(CONCATENATE($A56,M$47),indiNM_input!$F$40:$J$87,5)*Index!$B$2</f>
        <v>121465</v>
      </c>
      <c r="N56" s="19">
        <f>VLOOKUP(CONCATENATE($A56,N$47),indiNM_input!$F$40:$J$87,5)*Index!$B$2</f>
        <v>93070</v>
      </c>
      <c r="O56" s="19">
        <f>VLOOKUP(CONCATENATE($A56,O$47),indiNM_input!$F$40:$J$87,5)*Index!$B$2</f>
        <v>44430</v>
      </c>
      <c r="P56" s="19">
        <f>VLOOKUP(CONCATENATE($A56,P$47),indiNM_input!$F$40:$J$87,5)*Index!$B$2</f>
        <v>94545</v>
      </c>
      <c r="Q56" s="19">
        <f>VLOOKUP(CONCATENATE($A56,Q$47),indiNM_input!$F$40:$J$87,5)*Index!$B$2</f>
        <v>164575</v>
      </c>
      <c r="R56" s="19">
        <f t="shared" si="16"/>
        <v>714825</v>
      </c>
    </row>
    <row r="57" spans="1:18" x14ac:dyDescent="0.25">
      <c r="B57" s="61" t="s">
        <v>29</v>
      </c>
      <c r="C57" s="29">
        <f>SUM(C49:C56)</f>
        <v>1216488.8923599999</v>
      </c>
      <c r="D57" s="29">
        <f t="shared" ref="D57:I57" si="17">SUM(D49:D56)</f>
        <v>1027902.6288099999</v>
      </c>
      <c r="E57" s="29">
        <f t="shared" si="17"/>
        <v>917179.15984999994</v>
      </c>
      <c r="F57" s="29">
        <f t="shared" si="17"/>
        <v>213616.41323000001</v>
      </c>
      <c r="G57" s="29">
        <f t="shared" si="17"/>
        <v>476344.84858000005</v>
      </c>
      <c r="H57" s="29">
        <f t="shared" si="17"/>
        <v>864405.51306999999</v>
      </c>
      <c r="I57" s="29">
        <f t="shared" si="17"/>
        <v>4715937.4558999995</v>
      </c>
      <c r="K57" s="61" t="s">
        <v>29</v>
      </c>
      <c r="L57" s="29">
        <f t="shared" ref="L57:R57" si="18">SUM(L49:L56)</f>
        <v>1330455</v>
      </c>
      <c r="M57" s="29">
        <f t="shared" si="18"/>
        <v>1581105</v>
      </c>
      <c r="N57" s="29">
        <f t="shared" si="18"/>
        <v>1354810</v>
      </c>
      <c r="O57" s="29">
        <f t="shared" si="18"/>
        <v>484240</v>
      </c>
      <c r="P57" s="29">
        <f t="shared" si="18"/>
        <v>740335</v>
      </c>
      <c r="Q57" s="29">
        <f t="shared" si="18"/>
        <v>1481425</v>
      </c>
      <c r="R57" s="29">
        <f t="shared" si="18"/>
        <v>6972370</v>
      </c>
    </row>
    <row r="58" spans="1:18" x14ac:dyDescent="0.25">
      <c r="B58" s="61"/>
      <c r="C58" s="29"/>
      <c r="D58" s="29"/>
      <c r="E58" s="29"/>
      <c r="F58" s="29"/>
      <c r="G58" s="29"/>
      <c r="H58" s="29"/>
      <c r="I58" s="29"/>
      <c r="K58" s="61"/>
      <c r="L58" s="29"/>
      <c r="M58" s="29"/>
      <c r="N58" s="29"/>
      <c r="O58" s="29"/>
      <c r="P58" s="29"/>
      <c r="Q58" s="29"/>
      <c r="R58" s="29"/>
    </row>
    <row r="59" spans="1:18" x14ac:dyDescent="0.25">
      <c r="B59" s="61" t="s">
        <v>179</v>
      </c>
    </row>
    <row r="60" spans="1:18" ht="18.75" x14ac:dyDescent="0.3">
      <c r="B60" s="393" t="s">
        <v>7</v>
      </c>
      <c r="C60" s="393"/>
      <c r="D60" s="393"/>
      <c r="E60" s="393"/>
      <c r="F60" s="393"/>
      <c r="G60" s="393"/>
      <c r="H60" s="393"/>
      <c r="I60" s="393"/>
      <c r="K60" s="393" t="s">
        <v>3</v>
      </c>
      <c r="L60" s="393"/>
      <c r="M60" s="393"/>
      <c r="N60" s="393"/>
      <c r="O60" s="393"/>
      <c r="P60" s="393"/>
      <c r="Q60" s="393"/>
      <c r="R60" s="393"/>
    </row>
    <row r="61" spans="1:18" ht="15.75" thickBot="1" x14ac:dyDescent="0.3">
      <c r="C61">
        <v>4</v>
      </c>
      <c r="D61">
        <v>5</v>
      </c>
      <c r="E61">
        <v>6</v>
      </c>
      <c r="F61">
        <v>7</v>
      </c>
      <c r="G61">
        <v>8</v>
      </c>
      <c r="H61">
        <v>9</v>
      </c>
      <c r="L61">
        <v>4</v>
      </c>
      <c r="M61">
        <v>5</v>
      </c>
      <c r="N61">
        <v>6</v>
      </c>
      <c r="O61">
        <v>7</v>
      </c>
      <c r="P61">
        <v>8</v>
      </c>
      <c r="Q61">
        <v>9</v>
      </c>
    </row>
    <row r="62" spans="1:18" ht="16.5" thickTop="1" thickBot="1" x14ac:dyDescent="0.3">
      <c r="B62" s="64" t="s">
        <v>25</v>
      </c>
      <c r="C62" s="64" t="s">
        <v>170</v>
      </c>
      <c r="D62" s="64" t="s">
        <v>173</v>
      </c>
      <c r="E62" s="64" t="s">
        <v>171</v>
      </c>
      <c r="F62" s="64" t="s">
        <v>174</v>
      </c>
      <c r="G62" s="64" t="s">
        <v>175</v>
      </c>
      <c r="H62" s="64" t="s">
        <v>172</v>
      </c>
      <c r="I62" s="64" t="s">
        <v>29</v>
      </c>
      <c r="K62" s="64" t="s">
        <v>25</v>
      </c>
      <c r="L62" s="64" t="s">
        <v>170</v>
      </c>
      <c r="M62" s="64" t="s">
        <v>173</v>
      </c>
      <c r="N62" s="64" t="s">
        <v>171</v>
      </c>
      <c r="O62" s="64" t="s">
        <v>174</v>
      </c>
      <c r="P62" s="64" t="s">
        <v>175</v>
      </c>
      <c r="Q62" s="64" t="s">
        <v>172</v>
      </c>
      <c r="R62" s="64" t="s">
        <v>29</v>
      </c>
    </row>
    <row r="63" spans="1:18" ht="15.75" thickTop="1" x14ac:dyDescent="0.25">
      <c r="A63">
        <v>1</v>
      </c>
      <c r="B63" s="61" t="s">
        <v>30</v>
      </c>
      <c r="C63" s="155">
        <f>C49/ToursSummary!$C6</f>
        <v>8.8436536609945965E-2</v>
      </c>
      <c r="D63" s="155">
        <f>D49/ToursSummary!$C6</f>
        <v>8.3241496995079128E-2</v>
      </c>
      <c r="E63" s="155">
        <f>E49/ToursSummary!$C6</f>
        <v>6.8370481930118646E-2</v>
      </c>
      <c r="F63" s="155">
        <f>F49/ToursSummary!$C6</f>
        <v>2.1080853952307983E-2</v>
      </c>
      <c r="G63" s="155">
        <f>G49/ToursSummary!$C6</f>
        <v>3.1379623484408287E-2</v>
      </c>
      <c r="H63" s="155">
        <f>H49/ToursSummary!$C6</f>
        <v>5.376801778276398E-2</v>
      </c>
      <c r="I63" s="155">
        <f>I49/ToursSummary!$C6</f>
        <v>0.34627701075462397</v>
      </c>
      <c r="K63" s="61" t="s">
        <v>30</v>
      </c>
      <c r="L63" s="155">
        <f>L49/ToursSummary!$C6</f>
        <v>7.7230505096807511E-2</v>
      </c>
      <c r="M63" s="155">
        <f>M49/ToursSummary!$C6</f>
        <v>0.10311466108084413</v>
      </c>
      <c r="N63" s="155">
        <f>N49/ToursSummary!$C6</f>
        <v>8.5676041412010379E-2</v>
      </c>
      <c r="O63" s="155">
        <f>O49/ToursSummary!$C6</f>
        <v>4.2202564739389187E-2</v>
      </c>
      <c r="P63" s="155">
        <f>P49/ToursSummary!$C6</f>
        <v>4.4044884705843099E-2</v>
      </c>
      <c r="Q63" s="155">
        <f>Q49/ToursSummary!$C6</f>
        <v>7.9369203735438071E-2</v>
      </c>
      <c r="R63" s="155">
        <f>R49/ToursSummary!$C6</f>
        <v>0.43163786077033239</v>
      </c>
    </row>
    <row r="64" spans="1:18" x14ac:dyDescent="0.25">
      <c r="A64">
        <v>2</v>
      </c>
      <c r="B64" s="61" t="s">
        <v>31</v>
      </c>
      <c r="C64" s="155">
        <f>C50/ToursSummary!$C7</f>
        <v>0.19464748665205869</v>
      </c>
      <c r="D64" s="155">
        <f>D50/ToursSummary!$C7</f>
        <v>0.19274142353441831</v>
      </c>
      <c r="E64" s="155">
        <f>E50/ToursSummary!$C7</f>
        <v>0.15952231876115688</v>
      </c>
      <c r="F64" s="155">
        <f>F50/ToursSummary!$C7</f>
        <v>2.8966553545090038E-2</v>
      </c>
      <c r="G64" s="155">
        <f>G50/ToursSummary!$C7</f>
        <v>5.1319950637775308E-2</v>
      </c>
      <c r="H64" s="155">
        <f>H50/ToursSummary!$C7</f>
        <v>8.8534742019031915E-2</v>
      </c>
      <c r="I64" s="155">
        <f>I50/ToursSummary!$C7</f>
        <v>0.71573247514953109</v>
      </c>
      <c r="K64" s="61" t="s">
        <v>31</v>
      </c>
      <c r="L64" s="155">
        <f>L50/ToursSummary!$C7</f>
        <v>0.18365381423199889</v>
      </c>
      <c r="M64" s="155">
        <f>M50/ToursSummary!$C7</f>
        <v>0.2116169171129095</v>
      </c>
      <c r="N64" s="155">
        <f>N50/ToursSummary!$C7</f>
        <v>0.17043893185909809</v>
      </c>
      <c r="O64" s="155">
        <f>O50/ToursSummary!$C7</f>
        <v>4.565338207218618E-2</v>
      </c>
      <c r="P64" s="155">
        <f>P50/ToursSummary!$C7</f>
        <v>6.0694183001736242E-2</v>
      </c>
      <c r="Q64" s="155">
        <f>Q50/ToursSummary!$C7</f>
        <v>0.13542138992549504</v>
      </c>
      <c r="R64" s="155">
        <f>R50/ToursSummary!$C7</f>
        <v>0.80747861820342393</v>
      </c>
    </row>
    <row r="65" spans="1:18" x14ac:dyDescent="0.25">
      <c r="A65">
        <v>3</v>
      </c>
      <c r="B65" s="61" t="s">
        <v>32</v>
      </c>
      <c r="C65" s="155">
        <f>C51/ToursSummary!$C8</f>
        <v>0.13340712462235582</v>
      </c>
      <c r="D65" s="155">
        <f>D51/ToursSummary!$C8</f>
        <v>0.10784025266562509</v>
      </c>
      <c r="E65" s="155">
        <f>E51/ToursSummary!$C8</f>
        <v>0.11449245130249089</v>
      </c>
      <c r="F65" s="155">
        <f>F51/ToursSummary!$C8</f>
        <v>4.8497594436293749E-2</v>
      </c>
      <c r="G65" s="155">
        <f>G51/ToursSummary!$C8</f>
        <v>8.224638849500869E-2</v>
      </c>
      <c r="H65" s="155">
        <f>H51/ToursSummary!$C8</f>
        <v>0.10787554368662138</v>
      </c>
      <c r="I65" s="155">
        <f>I51/ToursSummary!$C8</f>
        <v>0.59435935520839567</v>
      </c>
      <c r="K65" s="61" t="s">
        <v>32</v>
      </c>
      <c r="L65" s="155">
        <f>L51/ToursSummary!$C8</f>
        <v>0.15826495060914872</v>
      </c>
      <c r="M65" s="155">
        <f>M51/ToursSummary!$C8</f>
        <v>0.12881248268123743</v>
      </c>
      <c r="N65" s="155">
        <f>N51/ToursSummary!$C8</f>
        <v>0.13778136635724816</v>
      </c>
      <c r="O65" s="155">
        <f>O51/ToursSummary!$C8</f>
        <v>7.6593973970499538E-2</v>
      </c>
      <c r="P65" s="155">
        <f>P51/ToursSummary!$C8</f>
        <v>9.5146248850078025E-2</v>
      </c>
      <c r="Q65" s="155">
        <f>Q51/ToursSummary!$C8</f>
        <v>0.16050351374524927</v>
      </c>
      <c r="R65" s="155">
        <f>R51/ToursSummary!$C8</f>
        <v>0.75710253621346113</v>
      </c>
    </row>
    <row r="66" spans="1:18" x14ac:dyDescent="0.25">
      <c r="A66">
        <v>4</v>
      </c>
      <c r="B66" s="61" t="s">
        <v>33</v>
      </c>
      <c r="C66" s="155">
        <f>C52/ToursSummary!$C9</f>
        <v>0.35876984811920082</v>
      </c>
      <c r="D66" s="155">
        <f>D52/ToursSummary!$C9</f>
        <v>0.21809734904515757</v>
      </c>
      <c r="E66" s="155">
        <f>E52/ToursSummary!$C9</f>
        <v>0.20144695654641231</v>
      </c>
      <c r="F66" s="155">
        <f>F52/ToursSummary!$C9</f>
        <v>2.8066141999186955E-2</v>
      </c>
      <c r="G66" s="155">
        <f>G52/ToursSummary!$C9</f>
        <v>8.2393062004410225E-2</v>
      </c>
      <c r="H66" s="155">
        <f>H52/ToursSummary!$C9</f>
        <v>0.12140726711094699</v>
      </c>
      <c r="I66" s="155">
        <f>I52/ToursSummary!$C9</f>
        <v>1.0101806248253147</v>
      </c>
      <c r="K66" s="61" t="s">
        <v>33</v>
      </c>
      <c r="L66" s="155">
        <f>L52/ToursSummary!$C9</f>
        <v>0.51929066566579463</v>
      </c>
      <c r="M66" s="155">
        <f>M52/ToursSummary!$C9</f>
        <v>0.40744923462570609</v>
      </c>
      <c r="N66" s="155">
        <f>N52/ToursSummary!$C9</f>
        <v>0.35204735934957737</v>
      </c>
      <c r="O66" s="155">
        <f>O52/ToursSummary!$C9</f>
        <v>7.4724398206127696E-2</v>
      </c>
      <c r="P66" s="155">
        <f>P52/ToursSummary!$C9</f>
        <v>0.16893096249422843</v>
      </c>
      <c r="Q66" s="155">
        <f>Q52/ToursSummary!$C9</f>
        <v>0.2610792704300926</v>
      </c>
      <c r="R66" s="155">
        <f>R52/ToursSummary!$C9</f>
        <v>1.7835218907715269</v>
      </c>
    </row>
    <row r="67" spans="1:18" x14ac:dyDescent="0.25">
      <c r="A67">
        <v>5</v>
      </c>
      <c r="B67" s="61" t="s">
        <v>34</v>
      </c>
      <c r="C67" s="155">
        <f>C53/ToursSummary!$C10</f>
        <v>8.6096688337735691E-2</v>
      </c>
      <c r="D67" s="155">
        <f>D53/ToursSummary!$C10</f>
        <v>0.23972993795532255</v>
      </c>
      <c r="E67" s="155">
        <f>E53/ToursSummary!$C10</f>
        <v>0.21352005162956278</v>
      </c>
      <c r="F67" s="155">
        <f>F53/ToursSummary!$C10</f>
        <v>4.4095066700751979E-2</v>
      </c>
      <c r="G67" s="155">
        <f>G53/ToursSummary!$C10</f>
        <v>6.8293274178530816E-2</v>
      </c>
      <c r="H67" s="155">
        <f>H53/ToursSummary!$C10</f>
        <v>0.1621806279817449</v>
      </c>
      <c r="I67" s="155">
        <f>I53/ToursSummary!$C10</f>
        <v>0.81391564678364881</v>
      </c>
      <c r="K67" s="61" t="s">
        <v>34</v>
      </c>
      <c r="L67" s="155">
        <f>L53/ToursSummary!$C10</f>
        <v>7.7671895988937728E-2</v>
      </c>
      <c r="M67" s="155">
        <f>M53/ToursSummary!$C10</f>
        <v>0.27961092806185461</v>
      </c>
      <c r="N67" s="155">
        <f>N53/ToursSummary!$C10</f>
        <v>0.2527002025323879</v>
      </c>
      <c r="O67" s="155">
        <f>O53/ToursSummary!$C10</f>
        <v>7.1121908318797902E-2</v>
      </c>
      <c r="P67" s="155">
        <f>P53/ToursSummary!$C10</f>
        <v>8.5105416283761073E-2</v>
      </c>
      <c r="Q67" s="155">
        <f>Q53/ToursSummary!$C10</f>
        <v>0.20644060611599718</v>
      </c>
      <c r="R67" s="155">
        <f>R53/ToursSummary!$C10</f>
        <v>0.97265095730173634</v>
      </c>
    </row>
    <row r="68" spans="1:18" x14ac:dyDescent="0.25">
      <c r="A68">
        <v>6</v>
      </c>
      <c r="B68" s="61" t="s">
        <v>35</v>
      </c>
      <c r="C68" s="155">
        <f>C54/ToursSummary!$C11</f>
        <v>4.3642713203925758E-2</v>
      </c>
      <c r="D68" s="155">
        <f>D54/ToursSummary!$C11</f>
        <v>4.627777951367807E-2</v>
      </c>
      <c r="E68" s="155">
        <f>E54/ToursSummary!$C11</f>
        <v>4.4240117785234651E-2</v>
      </c>
      <c r="F68" s="155">
        <f>F54/ToursSummary!$C11</f>
        <v>1.4863004808658389E-2</v>
      </c>
      <c r="G68" s="155">
        <f>G54/ToursSummary!$C11</f>
        <v>8.902680723921548E-2</v>
      </c>
      <c r="H68" s="155">
        <f>H54/ToursSummary!$C11</f>
        <v>0.14585293881051228</v>
      </c>
      <c r="I68" s="155">
        <f>I54/ToursSummary!$C11</f>
        <v>0.38390336136122466</v>
      </c>
      <c r="K68" s="61" t="s">
        <v>35</v>
      </c>
      <c r="L68" s="155">
        <f>L54/ToursSummary!$C11</f>
        <v>4.5564615497071699E-2</v>
      </c>
      <c r="M68" s="155">
        <f>M54/ToursSummary!$C11</f>
        <v>0.10619735066007087</v>
      </c>
      <c r="N68" s="155">
        <f>N54/ToursSummary!$C11</f>
        <v>9.3243780011711186E-2</v>
      </c>
      <c r="O68" s="155">
        <f>O54/ToursSummary!$C11</f>
        <v>3.1545938676900108E-2</v>
      </c>
      <c r="P68" s="155">
        <f>P54/ToursSummary!$C11</f>
        <v>9.5718585528568295E-2</v>
      </c>
      <c r="Q68" s="155">
        <f>Q54/ToursSummary!$C11</f>
        <v>0.18647189669736633</v>
      </c>
      <c r="R68" s="155">
        <f>R54/ToursSummary!$C11</f>
        <v>0.55874216707168844</v>
      </c>
    </row>
    <row r="69" spans="1:18" x14ac:dyDescent="0.25">
      <c r="A69">
        <v>7</v>
      </c>
      <c r="B69" s="61" t="s">
        <v>36</v>
      </c>
      <c r="C69" s="155">
        <f>C55/ToursSummary!$C12</f>
        <v>3.9829841510466861E-2</v>
      </c>
      <c r="D69" s="155">
        <f>D55/ToursSummary!$C12</f>
        <v>1.3594129436126949E-2</v>
      </c>
      <c r="E69" s="155">
        <f>E55/ToursSummary!$C12</f>
        <v>2.1509744570456443E-2</v>
      </c>
      <c r="F69" s="155">
        <f>F55/ToursSummary!$C12</f>
        <v>4.2408560203700636E-3</v>
      </c>
      <c r="G69" s="155">
        <f>G55/ToursSummary!$C12</f>
        <v>4.9336340352680363E-2</v>
      </c>
      <c r="H69" s="155">
        <f>H55/ToursSummary!$C12</f>
        <v>0.10724956485152416</v>
      </c>
      <c r="I69" s="155">
        <f>I55/ToursSummary!$C12</f>
        <v>0.23576047674162484</v>
      </c>
      <c r="K69" s="61" t="s">
        <v>36</v>
      </c>
      <c r="L69" s="155">
        <f>L55/ToursSummary!$C12</f>
        <v>3.607355570006919E-2</v>
      </c>
      <c r="M69" s="155">
        <f>M55/ToursSummary!$C12</f>
        <v>9.0335739262602729E-2</v>
      </c>
      <c r="N69" s="155">
        <f>N55/ToursSummary!$C12</f>
        <v>8.1288148412118164E-2</v>
      </c>
      <c r="O69" s="155">
        <f>O55/ToursSummary!$C12</f>
        <v>3.7268331622043911E-2</v>
      </c>
      <c r="P69" s="155">
        <f>P55/ToursSummary!$C12</f>
        <v>7.8090954743817095E-2</v>
      </c>
      <c r="Q69" s="155">
        <f>Q55/ToursSummary!$C12</f>
        <v>0.21588065723144376</v>
      </c>
      <c r="R69" s="155">
        <f>R55/ToursSummary!$C12</f>
        <v>0.53893738697209481</v>
      </c>
    </row>
    <row r="70" spans="1:18" x14ac:dyDescent="0.25">
      <c r="A70">
        <v>8</v>
      </c>
      <c r="B70" s="69" t="s">
        <v>37</v>
      </c>
      <c r="C70" s="156">
        <f>C56/ToursSummary!$C13</f>
        <v>0.18463876512060257</v>
      </c>
      <c r="D70" s="156">
        <f>D56/ToursSummary!$C13</f>
        <v>1.4123256090403569E-2</v>
      </c>
      <c r="E70" s="156">
        <f>E56/ToursSummary!$C13</f>
        <v>2.1801860229514511E-2</v>
      </c>
      <c r="F70" s="156">
        <f>F56/ToursSummary!$C13</f>
        <v>6.7691105880688168E-3</v>
      </c>
      <c r="G70" s="156">
        <f>G56/ToursSummary!$C13</f>
        <v>3.6284654066842899E-2</v>
      </c>
      <c r="H70" s="156">
        <f>H56/ToursSummary!$C13</f>
        <v>6.0640980445646246E-2</v>
      </c>
      <c r="I70" s="156">
        <f>I56/ToursSummary!$C13</f>
        <v>0.32425862654107857</v>
      </c>
      <c r="K70" s="69" t="s">
        <v>37</v>
      </c>
      <c r="L70" s="156">
        <f>L56/ToursSummary!$C13</f>
        <v>0.22186516001739739</v>
      </c>
      <c r="M70" s="156">
        <f>M56/ToursSummary!$C13</f>
        <v>0.13697698313262771</v>
      </c>
      <c r="N70" s="156">
        <f>N56/ToursSummary!$C13</f>
        <v>0.10495573062325493</v>
      </c>
      <c r="O70" s="156">
        <f>O56/ToursSummary!$C13</f>
        <v>5.0104041168918201E-2</v>
      </c>
      <c r="P70" s="156">
        <f>P56/ToursSummary!$C13</f>
        <v>0.10661909908429824</v>
      </c>
      <c r="Q70" s="156">
        <f>Q56/ToursSummary!$C13</f>
        <v>0.18559245049234105</v>
      </c>
      <c r="R70" s="156">
        <f>R56/ToursSummary!$C13</f>
        <v>0.80611346451883747</v>
      </c>
    </row>
    <row r="71" spans="1:18" x14ac:dyDescent="0.25">
      <c r="B71" s="61" t="s">
        <v>29</v>
      </c>
      <c r="C71" s="155">
        <f>C57/ToursSummary!$C14</f>
        <v>0.12362630501580574</v>
      </c>
      <c r="D71" s="155">
        <f>D57/ToursSummary!$C14</f>
        <v>0.10446112966085973</v>
      </c>
      <c r="E71" s="155">
        <f>E57/ToursSummary!$C14</f>
        <v>9.3208800575058093E-2</v>
      </c>
      <c r="F71" s="155">
        <f>F57/ToursSummary!$C14</f>
        <v>2.1708877100489944E-2</v>
      </c>
      <c r="G71" s="155">
        <f>G57/ToursSummary!$C14</f>
        <v>4.8408788533213933E-2</v>
      </c>
      <c r="H71" s="155">
        <f>H57/ToursSummary!$C14</f>
        <v>8.7845651766552624E-2</v>
      </c>
      <c r="I71" s="155">
        <f>I57/ToursSummary!$C14</f>
        <v>0.47925955265198</v>
      </c>
      <c r="K71" s="61" t="s">
        <v>29</v>
      </c>
      <c r="L71" s="155">
        <f>L57/ToursSummary!$C14</f>
        <v>0.13520816891366147</v>
      </c>
      <c r="M71" s="155">
        <f>M57/ToursSummary!$C14</f>
        <v>0.16068060318480124</v>
      </c>
      <c r="N71" s="155">
        <f>N57/ToursSummary!$C14</f>
        <v>0.13768325822813826</v>
      </c>
      <c r="O71" s="155">
        <f>O57/ToursSummary!$C14</f>
        <v>4.921113732877206E-2</v>
      </c>
      <c r="P71" s="155">
        <f>P57/ToursSummary!$C14</f>
        <v>7.5236922505981463E-2</v>
      </c>
      <c r="Q71" s="155">
        <f>Q57/ToursSummary!$C14</f>
        <v>0.15055057227258414</v>
      </c>
      <c r="R71" s="155">
        <f>R57/ToursSummary!$C14</f>
        <v>0.70857066243393863</v>
      </c>
    </row>
    <row r="72" spans="1:18" x14ac:dyDescent="0.25">
      <c r="B72" s="61"/>
      <c r="C72" s="29"/>
      <c r="D72" s="29"/>
      <c r="E72" s="29"/>
      <c r="F72" s="29"/>
      <c r="G72" s="29"/>
      <c r="H72" s="29"/>
      <c r="I72" s="29"/>
      <c r="K72" s="61"/>
      <c r="L72" s="29"/>
      <c r="M72" s="29"/>
      <c r="N72" s="29"/>
      <c r="O72" s="29"/>
      <c r="P72" s="29"/>
      <c r="Q72" s="29"/>
      <c r="R72" s="29"/>
    </row>
    <row r="73" spans="1:18" ht="15.75" x14ac:dyDescent="0.25">
      <c r="B73" s="154" t="s">
        <v>176</v>
      </c>
      <c r="C73" s="154"/>
      <c r="D73" s="154"/>
      <c r="E73" s="154"/>
      <c r="F73" s="154"/>
      <c r="G73" s="154"/>
      <c r="H73" s="154"/>
      <c r="I73" s="154"/>
      <c r="K73" s="394" t="s">
        <v>177</v>
      </c>
      <c r="L73" s="394"/>
      <c r="M73" s="394"/>
      <c r="N73" s="394"/>
      <c r="O73" s="394"/>
      <c r="P73" s="394"/>
      <c r="Q73" s="394"/>
      <c r="R73" s="394"/>
    </row>
    <row r="74" spans="1:18" ht="15.75" thickBot="1" x14ac:dyDescent="0.3">
      <c r="C74">
        <v>4</v>
      </c>
      <c r="D74">
        <v>5</v>
      </c>
      <c r="E74">
        <v>6</v>
      </c>
      <c r="F74">
        <v>7</v>
      </c>
      <c r="G74">
        <v>8</v>
      </c>
      <c r="H74">
        <v>9</v>
      </c>
      <c r="L74">
        <v>4</v>
      </c>
      <c r="M74">
        <v>5</v>
      </c>
      <c r="N74">
        <v>6</v>
      </c>
      <c r="O74">
        <v>7</v>
      </c>
      <c r="P74">
        <v>8</v>
      </c>
      <c r="Q74">
        <v>9</v>
      </c>
    </row>
    <row r="75" spans="1:18" ht="16.5" thickTop="1" thickBot="1" x14ac:dyDescent="0.3">
      <c r="B75" s="64" t="s">
        <v>25</v>
      </c>
      <c r="C75" s="64" t="s">
        <v>170</v>
      </c>
      <c r="D75" s="64" t="s">
        <v>173</v>
      </c>
      <c r="E75" s="64" t="s">
        <v>171</v>
      </c>
      <c r="F75" s="64" t="s">
        <v>174</v>
      </c>
      <c r="G75" s="64" t="s">
        <v>175</v>
      </c>
      <c r="H75" s="64" t="s">
        <v>172</v>
      </c>
      <c r="I75" s="64" t="s">
        <v>29</v>
      </c>
      <c r="K75" s="64" t="s">
        <v>25</v>
      </c>
      <c r="L75" s="64" t="s">
        <v>170</v>
      </c>
      <c r="M75" s="64" t="s">
        <v>173</v>
      </c>
      <c r="N75" s="64" t="s">
        <v>171</v>
      </c>
      <c r="O75" s="64" t="s">
        <v>174</v>
      </c>
      <c r="P75" s="64" t="s">
        <v>175</v>
      </c>
      <c r="Q75" s="64" t="s">
        <v>172</v>
      </c>
      <c r="R75" s="64" t="s">
        <v>29</v>
      </c>
    </row>
    <row r="76" spans="1:18" ht="15.75" thickTop="1" x14ac:dyDescent="0.25">
      <c r="B76" s="61" t="s">
        <v>30</v>
      </c>
      <c r="C76" s="155">
        <f t="shared" ref="C76:C84" si="19">L63-C63</f>
        <v>-1.1206031513138454E-2</v>
      </c>
      <c r="D76" s="155">
        <f t="shared" ref="D76:D84" si="20">M63-D63</f>
        <v>1.9873164085765005E-2</v>
      </c>
      <c r="E76" s="155">
        <f t="shared" ref="E76:E84" si="21">N63-E63</f>
        <v>1.7305559481891733E-2</v>
      </c>
      <c r="F76" s="155">
        <f t="shared" ref="F76:F84" si="22">O63-F63</f>
        <v>2.1121710787081204E-2</v>
      </c>
      <c r="G76" s="155">
        <f t="shared" ref="G76:G84" si="23">P63-G63</f>
        <v>1.2665261221434812E-2</v>
      </c>
      <c r="H76" s="155">
        <f t="shared" ref="H76:H84" si="24">Q63-H63</f>
        <v>2.5601185952674091E-2</v>
      </c>
      <c r="I76" s="155">
        <f t="shared" ref="I76:I84" si="25">R63-I63</f>
        <v>8.5360850015708423E-2</v>
      </c>
      <c r="K76" s="61" t="s">
        <v>30</v>
      </c>
      <c r="L76" s="2">
        <f>C76/C63</f>
        <v>-0.12671269073508892</v>
      </c>
      <c r="M76" s="2">
        <f t="shared" ref="M76:R76" si="26">D76/D63</f>
        <v>0.23874107029742411</v>
      </c>
      <c r="N76" s="2">
        <f t="shared" si="26"/>
        <v>0.25311448732480363</v>
      </c>
      <c r="O76" s="2">
        <f t="shared" si="26"/>
        <v>1.0019381015050743</v>
      </c>
      <c r="P76" s="2">
        <f t="shared" si="26"/>
        <v>0.40361418701304203</v>
      </c>
      <c r="Q76" s="2">
        <f t="shared" si="26"/>
        <v>0.47614152443017671</v>
      </c>
      <c r="R76" s="2">
        <f t="shared" si="26"/>
        <v>0.24651030061073312</v>
      </c>
    </row>
    <row r="77" spans="1:18" x14ac:dyDescent="0.25">
      <c r="B77" s="61" t="s">
        <v>31</v>
      </c>
      <c r="C77" s="155">
        <f t="shared" si="19"/>
        <v>-1.0993672420059802E-2</v>
      </c>
      <c r="D77" s="155">
        <f t="shared" si="20"/>
        <v>1.8875493578491193E-2</v>
      </c>
      <c r="E77" s="155">
        <f t="shared" si="21"/>
        <v>1.0916613097941202E-2</v>
      </c>
      <c r="F77" s="155">
        <f t="shared" si="22"/>
        <v>1.6686828527096142E-2</v>
      </c>
      <c r="G77" s="155">
        <f t="shared" si="23"/>
        <v>9.374232363960934E-3</v>
      </c>
      <c r="H77" s="155">
        <f t="shared" si="24"/>
        <v>4.688664790646313E-2</v>
      </c>
      <c r="I77" s="155">
        <f t="shared" si="25"/>
        <v>9.1746143053892837E-2</v>
      </c>
      <c r="K77" s="61" t="s">
        <v>31</v>
      </c>
      <c r="L77" s="2">
        <f t="shared" ref="L77:R77" si="27">C77/C64</f>
        <v>-5.6479909446308423E-2</v>
      </c>
      <c r="M77" s="2">
        <f t="shared" si="27"/>
        <v>9.7931691238757237E-2</v>
      </c>
      <c r="N77" s="2">
        <f t="shared" si="27"/>
        <v>6.843313953006154E-2</v>
      </c>
      <c r="O77" s="2">
        <f t="shared" si="27"/>
        <v>0.57607227940048233</v>
      </c>
      <c r="P77" s="2">
        <f t="shared" si="27"/>
        <v>0.18266253664439031</v>
      </c>
      <c r="Q77" s="2">
        <f t="shared" si="27"/>
        <v>0.52958473518095439</v>
      </c>
      <c r="R77" s="2">
        <f t="shared" si="27"/>
        <v>0.12818496608628133</v>
      </c>
    </row>
    <row r="78" spans="1:18" x14ac:dyDescent="0.25">
      <c r="B78" s="61" t="s">
        <v>32</v>
      </c>
      <c r="C78" s="155">
        <f t="shared" si="19"/>
        <v>2.4857825986792897E-2</v>
      </c>
      <c r="D78" s="155">
        <f t="shared" si="20"/>
        <v>2.0972230015612339E-2</v>
      </c>
      <c r="E78" s="155">
        <f t="shared" si="21"/>
        <v>2.3288915054757275E-2</v>
      </c>
      <c r="F78" s="155">
        <f t="shared" si="22"/>
        <v>2.8096379534205788E-2</v>
      </c>
      <c r="G78" s="155">
        <f t="shared" si="23"/>
        <v>1.2899860355069334E-2</v>
      </c>
      <c r="H78" s="155">
        <f t="shared" si="24"/>
        <v>5.262797005862789E-2</v>
      </c>
      <c r="I78" s="155">
        <f t="shared" si="25"/>
        <v>0.16274318100506546</v>
      </c>
      <c r="K78" s="61" t="s">
        <v>32</v>
      </c>
      <c r="L78" s="2">
        <f t="shared" ref="L78:R78" si="28">C78/C65</f>
        <v>0.18633057310214543</v>
      </c>
      <c r="M78" s="2">
        <f t="shared" si="28"/>
        <v>0.1944749710540821</v>
      </c>
      <c r="N78" s="2">
        <f t="shared" si="28"/>
        <v>0.20341004834657256</v>
      </c>
      <c r="O78" s="2">
        <f t="shared" si="28"/>
        <v>0.57933552912842068</v>
      </c>
      <c r="P78" s="2">
        <f t="shared" si="28"/>
        <v>0.15684409481216541</v>
      </c>
      <c r="Q78" s="2">
        <f t="shared" si="28"/>
        <v>0.4878582138275217</v>
      </c>
      <c r="R78" s="2">
        <f t="shared" si="28"/>
        <v>0.2738127692934253</v>
      </c>
    </row>
    <row r="79" spans="1:18" x14ac:dyDescent="0.25">
      <c r="B79" s="61" t="s">
        <v>33</v>
      </c>
      <c r="C79" s="155">
        <f t="shared" si="19"/>
        <v>0.16052081754659381</v>
      </c>
      <c r="D79" s="155">
        <f t="shared" si="20"/>
        <v>0.18935188558054852</v>
      </c>
      <c r="E79" s="155">
        <f t="shared" si="21"/>
        <v>0.15060040280316506</v>
      </c>
      <c r="F79" s="155">
        <f t="shared" si="22"/>
        <v>4.6658256206940737E-2</v>
      </c>
      <c r="G79" s="155">
        <f t="shared" si="23"/>
        <v>8.6537900489818201E-2</v>
      </c>
      <c r="H79" s="155">
        <f t="shared" si="24"/>
        <v>0.13967200331914562</v>
      </c>
      <c r="I79" s="155">
        <f t="shared" si="25"/>
        <v>0.77334126594621222</v>
      </c>
      <c r="K79" s="61" t="s">
        <v>33</v>
      </c>
      <c r="L79" s="2">
        <f t="shared" ref="L79:R79" si="29">C79/C66</f>
        <v>0.44742003372942579</v>
      </c>
      <c r="M79" s="2">
        <f t="shared" si="29"/>
        <v>0.86819893230954759</v>
      </c>
      <c r="N79" s="2">
        <f t="shared" si="29"/>
        <v>0.74759333863883681</v>
      </c>
      <c r="O79" s="2">
        <f t="shared" si="29"/>
        <v>1.6624392553950726</v>
      </c>
      <c r="P79" s="2">
        <f t="shared" si="29"/>
        <v>1.050305673615894</v>
      </c>
      <c r="Q79" s="2">
        <f t="shared" si="29"/>
        <v>1.1504418692787768</v>
      </c>
      <c r="R79" s="2">
        <f t="shared" si="29"/>
        <v>0.76554751392102982</v>
      </c>
    </row>
    <row r="80" spans="1:18" x14ac:dyDescent="0.25">
      <c r="B80" s="61" t="s">
        <v>34</v>
      </c>
      <c r="C80" s="155">
        <f t="shared" si="19"/>
        <v>-8.4247923487979631E-3</v>
      </c>
      <c r="D80" s="155">
        <f t="shared" si="20"/>
        <v>3.9880990106532066E-2</v>
      </c>
      <c r="E80" s="155">
        <f t="shared" si="21"/>
        <v>3.9180150902825117E-2</v>
      </c>
      <c r="F80" s="155">
        <f t="shared" si="22"/>
        <v>2.7026841618045923E-2</v>
      </c>
      <c r="G80" s="155">
        <f t="shared" si="23"/>
        <v>1.6812142105230257E-2</v>
      </c>
      <c r="H80" s="155">
        <f t="shared" si="24"/>
        <v>4.4259978134252281E-2</v>
      </c>
      <c r="I80" s="155">
        <f t="shared" si="25"/>
        <v>0.15873531051808754</v>
      </c>
      <c r="K80" s="61" t="s">
        <v>34</v>
      </c>
      <c r="L80" s="2">
        <f t="shared" ref="L80:R80" si="30">C80/C67</f>
        <v>-9.7852687617317149E-2</v>
      </c>
      <c r="M80" s="2">
        <f t="shared" si="30"/>
        <v>0.16635798785366773</v>
      </c>
      <c r="N80" s="2">
        <f t="shared" si="30"/>
        <v>0.18349635363895</v>
      </c>
      <c r="O80" s="2">
        <f t="shared" si="30"/>
        <v>0.61292211669531316</v>
      </c>
      <c r="P80" s="2">
        <f t="shared" si="30"/>
        <v>0.24617566381837713</v>
      </c>
      <c r="Q80" s="2">
        <f t="shared" si="30"/>
        <v>0.27290545538665811</v>
      </c>
      <c r="R80" s="2">
        <f t="shared" si="30"/>
        <v>0.19502673421424199</v>
      </c>
    </row>
    <row r="81" spans="2:18" x14ac:dyDescent="0.25">
      <c r="B81" s="61" t="s">
        <v>35</v>
      </c>
      <c r="C81" s="155">
        <f t="shared" si="19"/>
        <v>1.9219022931459412E-3</v>
      </c>
      <c r="D81" s="155">
        <f t="shared" si="20"/>
        <v>5.9919571146392799E-2</v>
      </c>
      <c r="E81" s="155">
        <f t="shared" si="21"/>
        <v>4.9003662226476535E-2</v>
      </c>
      <c r="F81" s="155">
        <f t="shared" si="22"/>
        <v>1.6682933868241719E-2</v>
      </c>
      <c r="G81" s="155">
        <f t="shared" si="23"/>
        <v>6.6917782893528149E-3</v>
      </c>
      <c r="H81" s="155">
        <f t="shared" si="24"/>
        <v>4.0618957886854046E-2</v>
      </c>
      <c r="I81" s="155">
        <f t="shared" si="25"/>
        <v>0.17483880571046378</v>
      </c>
      <c r="K81" s="61" t="s">
        <v>35</v>
      </c>
      <c r="L81" s="2">
        <f t="shared" ref="L81:R81" si="31">C81/C68</f>
        <v>4.4037186326286011E-2</v>
      </c>
      <c r="M81" s="2">
        <f t="shared" si="31"/>
        <v>1.2947806004538895</v>
      </c>
      <c r="N81" s="2">
        <f t="shared" si="31"/>
        <v>1.1076747685068717</v>
      </c>
      <c r="O81" s="2">
        <f t="shared" si="31"/>
        <v>1.1224469131923538</v>
      </c>
      <c r="P81" s="2">
        <f t="shared" si="31"/>
        <v>7.5165879771156713E-2</v>
      </c>
      <c r="Q81" s="2">
        <f t="shared" si="31"/>
        <v>0.27849255707918896</v>
      </c>
      <c r="R81" s="2">
        <f t="shared" si="31"/>
        <v>0.45542400329741684</v>
      </c>
    </row>
    <row r="82" spans="2:18" x14ac:dyDescent="0.25">
      <c r="B82" s="61" t="s">
        <v>36</v>
      </c>
      <c r="C82" s="155">
        <f t="shared" si="19"/>
        <v>-3.7562858103976707E-3</v>
      </c>
      <c r="D82" s="155">
        <f t="shared" si="20"/>
        <v>7.6741609826475779E-2</v>
      </c>
      <c r="E82" s="155">
        <f t="shared" si="21"/>
        <v>5.977840384166172E-2</v>
      </c>
      <c r="F82" s="155">
        <f t="shared" si="22"/>
        <v>3.302747560167385E-2</v>
      </c>
      <c r="G82" s="155">
        <f t="shared" si="23"/>
        <v>2.8754614391136732E-2</v>
      </c>
      <c r="H82" s="155">
        <f t="shared" si="24"/>
        <v>0.10863109237991959</v>
      </c>
      <c r="I82" s="155">
        <f t="shared" si="25"/>
        <v>0.30317691023047</v>
      </c>
      <c r="K82" s="61" t="s">
        <v>36</v>
      </c>
      <c r="L82" s="2">
        <f t="shared" ref="L82:R82" si="32">C82/C69</f>
        <v>-9.430832933167857E-2</v>
      </c>
      <c r="M82" s="2">
        <f t="shared" si="32"/>
        <v>5.6452022313787777</v>
      </c>
      <c r="N82" s="2">
        <f t="shared" si="32"/>
        <v>2.7791312744720895</v>
      </c>
      <c r="O82" s="2">
        <f t="shared" si="32"/>
        <v>7.7879266457133394</v>
      </c>
      <c r="P82" s="2">
        <f t="shared" si="32"/>
        <v>0.58282828003829712</v>
      </c>
      <c r="Q82" s="2">
        <f t="shared" si="32"/>
        <v>1.012881427820318</v>
      </c>
      <c r="R82" s="2">
        <f t="shared" si="32"/>
        <v>1.2859530758530333</v>
      </c>
    </row>
    <row r="83" spans="2:18" x14ac:dyDescent="0.25">
      <c r="B83" s="69" t="s">
        <v>37</v>
      </c>
      <c r="C83" s="156">
        <f t="shared" si="19"/>
        <v>3.7226394896794829E-2</v>
      </c>
      <c r="D83" s="156">
        <f t="shared" si="20"/>
        <v>0.12285372704222414</v>
      </c>
      <c r="E83" s="156">
        <f t="shared" si="21"/>
        <v>8.315387039374042E-2</v>
      </c>
      <c r="F83" s="156">
        <f t="shared" si="22"/>
        <v>4.3334930580849383E-2</v>
      </c>
      <c r="G83" s="156">
        <f t="shared" si="23"/>
        <v>7.0334445017455338E-2</v>
      </c>
      <c r="H83" s="156">
        <f t="shared" si="24"/>
        <v>0.1249514700466948</v>
      </c>
      <c r="I83" s="156">
        <f t="shared" si="25"/>
        <v>0.48185483797775891</v>
      </c>
      <c r="K83" s="69" t="s">
        <v>37</v>
      </c>
      <c r="L83" s="51">
        <f t="shared" ref="L83:R83" si="33">C83/C70</f>
        <v>0.20161743863743481</v>
      </c>
      <c r="M83" s="51">
        <f t="shared" si="33"/>
        <v>8.6986829563828731</v>
      </c>
      <c r="N83" s="51">
        <f t="shared" si="33"/>
        <v>3.8140722634837343</v>
      </c>
      <c r="O83" s="51">
        <f t="shared" si="33"/>
        <v>6.4018647674675613</v>
      </c>
      <c r="P83" s="51">
        <f t="shared" si="33"/>
        <v>1.9384074845494341</v>
      </c>
      <c r="Q83" s="51">
        <f t="shared" si="33"/>
        <v>2.0605120353997468</v>
      </c>
      <c r="R83" s="51">
        <f t="shared" si="33"/>
        <v>1.4860201041304151</v>
      </c>
    </row>
    <row r="84" spans="2:18" x14ac:dyDescent="0.25">
      <c r="B84" s="61" t="s">
        <v>29</v>
      </c>
      <c r="C84" s="155">
        <f t="shared" si="19"/>
        <v>1.1581863897855732E-2</v>
      </c>
      <c r="D84" s="155">
        <f t="shared" si="20"/>
        <v>5.6219473523941507E-2</v>
      </c>
      <c r="E84" s="155">
        <f t="shared" si="21"/>
        <v>4.4474457653080168E-2</v>
      </c>
      <c r="F84" s="155">
        <f t="shared" si="22"/>
        <v>2.7502260228282116E-2</v>
      </c>
      <c r="G84" s="155">
        <f t="shared" si="23"/>
        <v>2.682813397276753E-2</v>
      </c>
      <c r="H84" s="155">
        <f t="shared" si="24"/>
        <v>6.270492050603152E-2</v>
      </c>
      <c r="I84" s="155">
        <f t="shared" si="25"/>
        <v>0.22931110978195862</v>
      </c>
      <c r="K84" s="61" t="s">
        <v>29</v>
      </c>
      <c r="L84" s="2">
        <f t="shared" ref="L84:R84" si="34">C84/C71</f>
        <v>9.3684462189296852E-2</v>
      </c>
      <c r="M84" s="2">
        <f t="shared" si="34"/>
        <v>0.53818557875510165</v>
      </c>
      <c r="N84" s="2">
        <f t="shared" si="34"/>
        <v>0.47714869603183335</v>
      </c>
      <c r="O84" s="2">
        <f t="shared" si="34"/>
        <v>1.266867010254594</v>
      </c>
      <c r="P84" s="2">
        <f t="shared" si="34"/>
        <v>0.55419965641900704</v>
      </c>
      <c r="Q84" s="2">
        <f t="shared" si="34"/>
        <v>0.71380790335152955</v>
      </c>
      <c r="R84" s="2">
        <f t="shared" si="34"/>
        <v>0.4784695652138114</v>
      </c>
    </row>
  </sheetData>
  <mergeCells count="7">
    <mergeCell ref="B60:I60"/>
    <mergeCell ref="K60:R60"/>
    <mergeCell ref="K73:R73"/>
    <mergeCell ref="B2:G2"/>
    <mergeCell ref="I2:N2"/>
    <mergeCell ref="B46:I46"/>
    <mergeCell ref="K46:R46"/>
  </mergeCells>
  <hyperlinks>
    <hyperlink ref="A1" location="Index!A1" display="Index"/>
  </hyperlinks>
  <pageMargins left="0.7" right="0.7" top="0.75" bottom="0.75" header="0.3" footer="0.3"/>
  <pageSetup orientation="portrait" horizontalDpi="1200" verticalDpi="12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P99"/>
  <sheetViews>
    <sheetView topLeftCell="A34" workbookViewId="0">
      <selection activeCell="L54" sqref="L54"/>
    </sheetView>
  </sheetViews>
  <sheetFormatPr defaultRowHeight="15" x14ac:dyDescent="0.25"/>
  <cols>
    <col min="9" max="9" width="10.140625" customWidth="1"/>
    <col min="14" max="14" width="12.5703125" customWidth="1"/>
  </cols>
  <sheetData>
    <row r="1" spans="2:15" x14ac:dyDescent="0.25">
      <c r="B1" s="388" t="s">
        <v>7</v>
      </c>
      <c r="C1" s="388"/>
      <c r="D1" s="388"/>
      <c r="G1" s="388" t="s">
        <v>3</v>
      </c>
      <c r="H1" s="388"/>
      <c r="I1" s="388"/>
    </row>
    <row r="2" spans="2:15" x14ac:dyDescent="0.25">
      <c r="B2" t="s">
        <v>43</v>
      </c>
      <c r="C2" t="s">
        <v>39</v>
      </c>
      <c r="G2" t="s">
        <v>43</v>
      </c>
      <c r="H2" t="s">
        <v>39</v>
      </c>
      <c r="M2" s="157"/>
      <c r="N2" t="s">
        <v>43</v>
      </c>
      <c r="O2" t="s">
        <v>39</v>
      </c>
    </row>
    <row r="3" spans="2:15" x14ac:dyDescent="0.25">
      <c r="B3">
        <v>1</v>
      </c>
      <c r="C3">
        <v>1</v>
      </c>
      <c r="D3">
        <v>2968513.5115200002</v>
      </c>
      <c r="G3">
        <v>1</v>
      </c>
      <c r="H3">
        <v>1</v>
      </c>
      <c r="I3">
        <v>495659</v>
      </c>
      <c r="M3" s="157">
        <v>1</v>
      </c>
      <c r="N3">
        <v>1</v>
      </c>
      <c r="O3">
        <v>495659</v>
      </c>
    </row>
    <row r="4" spans="2:15" x14ac:dyDescent="0.25">
      <c r="B4">
        <v>2</v>
      </c>
      <c r="C4">
        <v>2</v>
      </c>
      <c r="D4">
        <v>513102.33639000001</v>
      </c>
      <c r="G4">
        <v>2</v>
      </c>
      <c r="H4">
        <v>2</v>
      </c>
      <c r="I4">
        <v>70266</v>
      </c>
      <c r="M4" s="157">
        <v>2</v>
      </c>
      <c r="N4">
        <v>2</v>
      </c>
      <c r="O4">
        <v>70266</v>
      </c>
    </row>
    <row r="5" spans="2:15" x14ac:dyDescent="0.25">
      <c r="B5">
        <v>3</v>
      </c>
      <c r="C5">
        <v>3</v>
      </c>
      <c r="D5">
        <v>202757.75714</v>
      </c>
      <c r="G5">
        <v>3</v>
      </c>
      <c r="H5">
        <v>3</v>
      </c>
      <c r="I5">
        <v>44592</v>
      </c>
      <c r="M5" s="157">
        <v>3</v>
      </c>
      <c r="N5">
        <v>3</v>
      </c>
      <c r="O5">
        <v>44592</v>
      </c>
    </row>
    <row r="6" spans="2:15" x14ac:dyDescent="0.25">
      <c r="B6">
        <v>4</v>
      </c>
      <c r="C6">
        <v>4</v>
      </c>
      <c r="D6">
        <v>364472.28418000002</v>
      </c>
      <c r="G6">
        <v>4</v>
      </c>
      <c r="H6">
        <v>4</v>
      </c>
      <c r="I6">
        <v>91142</v>
      </c>
      <c r="M6" s="157">
        <v>4</v>
      </c>
      <c r="N6">
        <v>4</v>
      </c>
      <c r="O6">
        <v>91142</v>
      </c>
    </row>
    <row r="7" spans="2:15" x14ac:dyDescent="0.25">
      <c r="B7">
        <v>5</v>
      </c>
      <c r="C7">
        <v>5</v>
      </c>
      <c r="D7">
        <v>451304.89082999999</v>
      </c>
      <c r="G7">
        <v>5</v>
      </c>
      <c r="H7">
        <v>5</v>
      </c>
      <c r="I7">
        <v>79746</v>
      </c>
      <c r="M7" s="157">
        <v>5</v>
      </c>
      <c r="N7">
        <v>5</v>
      </c>
      <c r="O7">
        <v>79746</v>
      </c>
    </row>
    <row r="8" spans="2:15" x14ac:dyDescent="0.25">
      <c r="B8">
        <v>6</v>
      </c>
      <c r="C8">
        <v>6</v>
      </c>
      <c r="D8">
        <v>226364.42366</v>
      </c>
      <c r="G8">
        <v>6</v>
      </c>
      <c r="H8">
        <v>6</v>
      </c>
      <c r="I8">
        <v>36989</v>
      </c>
      <c r="M8" s="157">
        <v>6</v>
      </c>
      <c r="N8">
        <v>6</v>
      </c>
      <c r="O8">
        <v>36989</v>
      </c>
    </row>
    <row r="9" spans="2:15" x14ac:dyDescent="0.25">
      <c r="B9">
        <v>7</v>
      </c>
      <c r="C9">
        <v>7</v>
      </c>
      <c r="D9">
        <v>1192433.45677</v>
      </c>
      <c r="G9">
        <v>7</v>
      </c>
      <c r="H9">
        <v>7</v>
      </c>
      <c r="I9">
        <v>180681</v>
      </c>
      <c r="M9" s="157">
        <v>7</v>
      </c>
      <c r="N9">
        <v>7</v>
      </c>
      <c r="O9">
        <v>180681</v>
      </c>
    </row>
    <row r="10" spans="2:15" x14ac:dyDescent="0.25">
      <c r="B10">
        <v>8</v>
      </c>
      <c r="C10">
        <v>8</v>
      </c>
      <c r="D10">
        <v>670597.50997999997</v>
      </c>
      <c r="G10">
        <v>8</v>
      </c>
      <c r="H10">
        <v>8</v>
      </c>
      <c r="I10">
        <v>93657</v>
      </c>
      <c r="M10" s="157">
        <v>8</v>
      </c>
      <c r="N10">
        <v>8</v>
      </c>
      <c r="O10">
        <v>93657</v>
      </c>
    </row>
    <row r="11" spans="2:15" x14ac:dyDescent="0.25">
      <c r="B11" t="s">
        <v>43</v>
      </c>
      <c r="C11" t="s">
        <v>39</v>
      </c>
      <c r="G11" t="s">
        <v>43</v>
      </c>
      <c r="H11" t="s">
        <v>39</v>
      </c>
      <c r="M11" s="157"/>
      <c r="N11" t="s">
        <v>43</v>
      </c>
      <c r="O11" t="s">
        <v>39</v>
      </c>
    </row>
    <row r="12" spans="2:15" x14ac:dyDescent="0.25">
      <c r="B12">
        <v>1</v>
      </c>
      <c r="C12">
        <v>1</v>
      </c>
      <c r="D12">
        <v>751142.83426000003</v>
      </c>
      <c r="G12">
        <v>1</v>
      </c>
      <c r="H12">
        <v>1</v>
      </c>
      <c r="I12">
        <v>148406</v>
      </c>
      <c r="M12" s="157">
        <v>1</v>
      </c>
      <c r="N12">
        <v>1</v>
      </c>
      <c r="O12">
        <v>148406</v>
      </c>
    </row>
    <row r="13" spans="2:15" x14ac:dyDescent="0.25">
      <c r="B13">
        <v>2</v>
      </c>
      <c r="C13">
        <v>2</v>
      </c>
      <c r="D13">
        <v>219093.72328000001</v>
      </c>
      <c r="G13">
        <v>2</v>
      </c>
      <c r="H13">
        <v>2</v>
      </c>
      <c r="I13">
        <v>54732</v>
      </c>
      <c r="M13" s="157">
        <v>2</v>
      </c>
      <c r="N13">
        <v>2</v>
      </c>
      <c r="O13">
        <v>54732</v>
      </c>
    </row>
    <row r="14" spans="2:15" x14ac:dyDescent="0.25">
      <c r="B14">
        <v>3</v>
      </c>
      <c r="C14">
        <v>3</v>
      </c>
      <c r="D14">
        <v>91848.175310000006</v>
      </c>
      <c r="G14">
        <v>3</v>
      </c>
      <c r="H14">
        <v>3</v>
      </c>
      <c r="I14">
        <v>11358</v>
      </c>
      <c r="M14" s="157">
        <v>3</v>
      </c>
      <c r="N14">
        <v>3</v>
      </c>
      <c r="O14">
        <v>11358</v>
      </c>
    </row>
    <row r="15" spans="2:15" x14ac:dyDescent="0.25">
      <c r="B15">
        <v>4</v>
      </c>
      <c r="C15">
        <v>4</v>
      </c>
      <c r="D15">
        <v>274895.40065999998</v>
      </c>
      <c r="G15">
        <v>4</v>
      </c>
      <c r="H15">
        <v>4</v>
      </c>
      <c r="I15">
        <v>112179</v>
      </c>
      <c r="M15" s="157">
        <v>4</v>
      </c>
      <c r="N15">
        <v>4</v>
      </c>
      <c r="O15">
        <v>112179</v>
      </c>
    </row>
    <row r="16" spans="2:15" x14ac:dyDescent="0.25">
      <c r="B16">
        <v>5</v>
      </c>
      <c r="C16">
        <v>5</v>
      </c>
      <c r="D16">
        <v>367305.46588999999</v>
      </c>
      <c r="G16">
        <v>5</v>
      </c>
      <c r="H16">
        <v>5</v>
      </c>
      <c r="I16">
        <v>85206</v>
      </c>
      <c r="M16" s="157">
        <v>5</v>
      </c>
      <c r="N16">
        <v>5</v>
      </c>
      <c r="O16">
        <v>85206</v>
      </c>
    </row>
    <row r="17" spans="2:15" x14ac:dyDescent="0.25">
      <c r="B17">
        <v>6</v>
      </c>
      <c r="C17">
        <v>6</v>
      </c>
      <c r="D17">
        <v>69202.992259999999</v>
      </c>
      <c r="G17">
        <v>6</v>
      </c>
      <c r="H17">
        <v>6</v>
      </c>
      <c r="I17">
        <v>18852</v>
      </c>
      <c r="M17" s="157">
        <v>6</v>
      </c>
      <c r="N17">
        <v>6</v>
      </c>
      <c r="O17">
        <v>18852</v>
      </c>
    </row>
    <row r="18" spans="2:15" x14ac:dyDescent="0.25">
      <c r="B18">
        <v>7</v>
      </c>
      <c r="C18">
        <v>7</v>
      </c>
      <c r="D18">
        <v>266050.62964</v>
      </c>
      <c r="G18">
        <v>7</v>
      </c>
      <c r="H18">
        <v>7</v>
      </c>
      <c r="I18">
        <v>88758</v>
      </c>
      <c r="M18" s="157">
        <v>7</v>
      </c>
      <c r="N18">
        <v>7</v>
      </c>
      <c r="O18">
        <v>88758</v>
      </c>
    </row>
    <row r="19" spans="2:15" x14ac:dyDescent="0.25">
      <c r="B19">
        <v>8</v>
      </c>
      <c r="C19">
        <v>8</v>
      </c>
      <c r="D19">
        <v>155740.46117</v>
      </c>
      <c r="G19">
        <v>8</v>
      </c>
      <c r="H19">
        <v>8</v>
      </c>
      <c r="I19">
        <v>49926</v>
      </c>
      <c r="M19" s="157">
        <v>8</v>
      </c>
      <c r="N19">
        <v>8</v>
      </c>
      <c r="O19">
        <v>49926</v>
      </c>
    </row>
    <row r="20" spans="2:15" x14ac:dyDescent="0.25">
      <c r="B20" t="s">
        <v>43</v>
      </c>
      <c r="C20" t="s">
        <v>39</v>
      </c>
      <c r="G20" t="s">
        <v>43</v>
      </c>
      <c r="H20" t="s">
        <v>39</v>
      </c>
      <c r="M20" s="157"/>
      <c r="N20" t="s">
        <v>43</v>
      </c>
      <c r="O20" t="s">
        <v>39</v>
      </c>
    </row>
    <row r="21" spans="2:15" x14ac:dyDescent="0.25">
      <c r="B21">
        <v>1</v>
      </c>
      <c r="C21">
        <v>1</v>
      </c>
      <c r="D21">
        <v>192449.61400999999</v>
      </c>
      <c r="G21">
        <v>1</v>
      </c>
      <c r="H21">
        <v>1</v>
      </c>
      <c r="I21">
        <v>54453</v>
      </c>
      <c r="M21" s="157">
        <v>1</v>
      </c>
      <c r="N21">
        <v>1</v>
      </c>
      <c r="O21">
        <v>54453</v>
      </c>
    </row>
    <row r="22" spans="2:15" x14ac:dyDescent="0.25">
      <c r="B22">
        <v>2</v>
      </c>
      <c r="C22">
        <v>2</v>
      </c>
      <c r="D22">
        <v>146265.39116</v>
      </c>
      <c r="G22">
        <v>2</v>
      </c>
      <c r="H22">
        <v>2</v>
      </c>
      <c r="I22">
        <v>24232</v>
      </c>
      <c r="M22" s="157">
        <v>2</v>
      </c>
      <c r="N22">
        <v>2</v>
      </c>
      <c r="O22">
        <v>24232</v>
      </c>
    </row>
    <row r="23" spans="2:15" x14ac:dyDescent="0.25">
      <c r="B23">
        <v>3</v>
      </c>
      <c r="C23">
        <v>3</v>
      </c>
      <c r="D23">
        <v>32951.036890000003</v>
      </c>
      <c r="G23">
        <v>3</v>
      </c>
      <c r="H23">
        <v>3</v>
      </c>
      <c r="I23">
        <v>8004</v>
      </c>
      <c r="M23" s="157">
        <v>3</v>
      </c>
      <c r="N23">
        <v>3</v>
      </c>
      <c r="O23">
        <v>8004</v>
      </c>
    </row>
    <row r="24" spans="2:15" x14ac:dyDescent="0.25">
      <c r="B24">
        <v>4</v>
      </c>
      <c r="C24">
        <v>4</v>
      </c>
      <c r="D24">
        <v>147166.09466</v>
      </c>
      <c r="G24">
        <v>4</v>
      </c>
      <c r="H24">
        <v>4</v>
      </c>
      <c r="I24">
        <v>48973</v>
      </c>
      <c r="M24" s="157">
        <v>4</v>
      </c>
      <c r="N24">
        <v>4</v>
      </c>
      <c r="O24">
        <v>48973</v>
      </c>
    </row>
    <row r="25" spans="2:15" x14ac:dyDescent="0.25">
      <c r="B25">
        <v>5</v>
      </c>
      <c r="C25">
        <v>5</v>
      </c>
      <c r="D25">
        <v>139980.82860000001</v>
      </c>
      <c r="G25">
        <v>5</v>
      </c>
      <c r="H25">
        <v>5</v>
      </c>
      <c r="I25">
        <v>31938</v>
      </c>
      <c r="M25" s="157">
        <v>5</v>
      </c>
      <c r="N25">
        <v>5</v>
      </c>
      <c r="O25">
        <v>31938</v>
      </c>
    </row>
    <row r="26" spans="2:15" x14ac:dyDescent="0.25">
      <c r="B26">
        <v>6</v>
      </c>
      <c r="C26">
        <v>6</v>
      </c>
      <c r="D26">
        <v>19373.124400000001</v>
      </c>
      <c r="G26">
        <v>6</v>
      </c>
      <c r="H26">
        <v>6</v>
      </c>
      <c r="I26">
        <v>4874</v>
      </c>
      <c r="M26" s="157">
        <v>6</v>
      </c>
      <c r="N26">
        <v>6</v>
      </c>
      <c r="O26">
        <v>4874</v>
      </c>
    </row>
    <row r="27" spans="2:15" x14ac:dyDescent="0.25">
      <c r="B27">
        <v>7</v>
      </c>
      <c r="C27">
        <v>7</v>
      </c>
      <c r="D27">
        <v>33502.185239999999</v>
      </c>
      <c r="G27">
        <v>7</v>
      </c>
      <c r="H27">
        <v>7</v>
      </c>
      <c r="I27">
        <v>33808</v>
      </c>
      <c r="M27" s="157">
        <v>7</v>
      </c>
      <c r="N27">
        <v>7</v>
      </c>
      <c r="O27">
        <v>33808</v>
      </c>
    </row>
    <row r="28" spans="2:15" x14ac:dyDescent="0.25">
      <c r="B28">
        <v>8</v>
      </c>
      <c r="C28">
        <v>8</v>
      </c>
      <c r="D28">
        <v>50706.608639999999</v>
      </c>
      <c r="G28">
        <v>8</v>
      </c>
      <c r="H28">
        <v>8</v>
      </c>
      <c r="I28">
        <v>25107</v>
      </c>
      <c r="M28" s="157">
        <v>8</v>
      </c>
      <c r="N28">
        <v>8</v>
      </c>
      <c r="O28">
        <v>25107</v>
      </c>
    </row>
    <row r="29" spans="2:15" x14ac:dyDescent="0.25">
      <c r="B29" t="s">
        <v>43</v>
      </c>
      <c r="C29" t="s">
        <v>39</v>
      </c>
      <c r="G29" t="s">
        <v>43</v>
      </c>
      <c r="H29" t="s">
        <v>39</v>
      </c>
      <c r="M29" s="157"/>
      <c r="N29" t="s">
        <v>43</v>
      </c>
      <c r="O29" t="s">
        <v>39</v>
      </c>
    </row>
    <row r="30" spans="2:15" x14ac:dyDescent="0.25">
      <c r="B30">
        <v>1</v>
      </c>
      <c r="C30">
        <v>1</v>
      </c>
      <c r="D30">
        <v>69287.138890000002</v>
      </c>
      <c r="G30">
        <v>1</v>
      </c>
      <c r="H30">
        <v>1</v>
      </c>
      <c r="I30">
        <v>25837</v>
      </c>
      <c r="M30" s="157">
        <v>1</v>
      </c>
      <c r="N30">
        <v>1</v>
      </c>
      <c r="O30">
        <v>25837</v>
      </c>
    </row>
    <row r="31" spans="2:15" x14ac:dyDescent="0.25">
      <c r="B31">
        <v>2</v>
      </c>
      <c r="C31">
        <v>2</v>
      </c>
      <c r="D31">
        <v>44361.746220000001</v>
      </c>
      <c r="G31">
        <v>2</v>
      </c>
      <c r="H31">
        <v>2</v>
      </c>
      <c r="I31">
        <v>13895</v>
      </c>
      <c r="M31" s="157">
        <v>2</v>
      </c>
      <c r="N31">
        <v>2</v>
      </c>
      <c r="O31">
        <v>13895</v>
      </c>
    </row>
    <row r="32" spans="2:15" x14ac:dyDescent="0.25">
      <c r="B32">
        <v>3</v>
      </c>
      <c r="C32">
        <v>3</v>
      </c>
      <c r="D32">
        <v>14180.097470000001</v>
      </c>
      <c r="G32">
        <v>3</v>
      </c>
      <c r="H32">
        <v>3</v>
      </c>
      <c r="I32">
        <v>7820</v>
      </c>
      <c r="M32" s="157">
        <v>3</v>
      </c>
      <c r="N32">
        <v>3</v>
      </c>
      <c r="O32">
        <v>7820</v>
      </c>
    </row>
    <row r="33" spans="1:16" x14ac:dyDescent="0.25">
      <c r="B33">
        <v>4</v>
      </c>
      <c r="C33">
        <v>4</v>
      </c>
      <c r="D33">
        <v>90422.095329999996</v>
      </c>
      <c r="G33">
        <v>4</v>
      </c>
      <c r="H33">
        <v>4</v>
      </c>
      <c r="I33">
        <v>31186</v>
      </c>
      <c r="M33" s="157">
        <v>4</v>
      </c>
      <c r="N33">
        <v>4</v>
      </c>
      <c r="O33">
        <v>31186</v>
      </c>
    </row>
    <row r="34" spans="1:16" x14ac:dyDescent="0.25">
      <c r="B34">
        <v>5</v>
      </c>
      <c r="C34">
        <v>5</v>
      </c>
      <c r="D34">
        <v>54387.820769999998</v>
      </c>
      <c r="G34">
        <v>5</v>
      </c>
      <c r="H34">
        <v>5</v>
      </c>
      <c r="I34">
        <v>15321</v>
      </c>
      <c r="M34" s="157">
        <v>5</v>
      </c>
      <c r="N34">
        <v>5</v>
      </c>
      <c r="O34">
        <v>15321</v>
      </c>
    </row>
    <row r="35" spans="1:16" x14ac:dyDescent="0.25">
      <c r="B35">
        <v>6</v>
      </c>
      <c r="C35">
        <v>6</v>
      </c>
      <c r="D35">
        <v>4276.4626399999997</v>
      </c>
      <c r="G35">
        <v>6</v>
      </c>
      <c r="H35">
        <v>6</v>
      </c>
      <c r="I35">
        <v>2265</v>
      </c>
      <c r="M35" s="157">
        <v>6</v>
      </c>
      <c r="N35">
        <v>6</v>
      </c>
      <c r="O35">
        <v>2265</v>
      </c>
    </row>
    <row r="36" spans="1:16" x14ac:dyDescent="0.25">
      <c r="B36">
        <v>7</v>
      </c>
      <c r="C36">
        <v>7</v>
      </c>
      <c r="D36">
        <v>6202.6080199999997</v>
      </c>
      <c r="G36">
        <v>7</v>
      </c>
      <c r="H36">
        <v>7</v>
      </c>
      <c r="I36">
        <v>1686</v>
      </c>
      <c r="M36" s="157">
        <v>7</v>
      </c>
      <c r="N36">
        <v>7</v>
      </c>
      <c r="O36">
        <v>1686</v>
      </c>
    </row>
    <row r="37" spans="1:16" x14ac:dyDescent="0.25">
      <c r="B37">
        <v>8</v>
      </c>
      <c r="C37">
        <v>8</v>
      </c>
      <c r="D37">
        <v>9710.2400500000003</v>
      </c>
      <c r="G37">
        <v>8</v>
      </c>
      <c r="H37">
        <v>8</v>
      </c>
      <c r="I37">
        <v>13246</v>
      </c>
      <c r="M37" s="157">
        <v>8</v>
      </c>
      <c r="N37">
        <v>8</v>
      </c>
      <c r="O37">
        <v>13246</v>
      </c>
    </row>
    <row r="39" spans="1:16" x14ac:dyDescent="0.25">
      <c r="C39" t="s">
        <v>43</v>
      </c>
      <c r="D39" t="s">
        <v>385</v>
      </c>
      <c r="E39" t="s">
        <v>39</v>
      </c>
      <c r="H39" t="s">
        <v>43</v>
      </c>
      <c r="I39" t="s">
        <v>60</v>
      </c>
      <c r="J39" t="s">
        <v>39</v>
      </c>
      <c r="N39" s="157" t="s">
        <v>43</v>
      </c>
      <c r="O39" t="s">
        <v>60</v>
      </c>
      <c r="P39" t="s">
        <v>39</v>
      </c>
    </row>
    <row r="40" spans="1:16" x14ac:dyDescent="0.25">
      <c r="A40" t="str">
        <f>CONCATENATE(C40,D40)</f>
        <v>14</v>
      </c>
      <c r="B40">
        <v>1</v>
      </c>
      <c r="C40">
        <v>1</v>
      </c>
      <c r="D40">
        <v>4</v>
      </c>
      <c r="E40">
        <v>352100.61653</v>
      </c>
      <c r="F40" t="str">
        <f>CONCATENATE(H40,I40)</f>
        <v>14</v>
      </c>
      <c r="G40">
        <v>1</v>
      </c>
      <c r="H40">
        <v>1</v>
      </c>
      <c r="I40">
        <v>4</v>
      </c>
      <c r="J40">
        <v>61497</v>
      </c>
      <c r="K40" t="str">
        <f>CONCATENATE(H40,"-",I40)</f>
        <v>1-4</v>
      </c>
      <c r="L40" t="str">
        <f>CONCATENATE(N:N,"-",O:O)</f>
        <v>1-1</v>
      </c>
      <c r="M40" s="157">
        <v>1</v>
      </c>
      <c r="N40">
        <v>1</v>
      </c>
      <c r="O40">
        <v>1</v>
      </c>
      <c r="P40">
        <v>0</v>
      </c>
    </row>
    <row r="41" spans="1:16" x14ac:dyDescent="0.25">
      <c r="A41" t="str">
        <f t="shared" ref="A41:A87" si="0">CONCATENATE(C41,D41)</f>
        <v>15</v>
      </c>
      <c r="B41">
        <v>2</v>
      </c>
      <c r="C41">
        <v>1</v>
      </c>
      <c r="D41">
        <v>5</v>
      </c>
      <c r="E41">
        <v>331417.12166</v>
      </c>
      <c r="F41" t="str">
        <f t="shared" ref="F41:F87" si="1">CONCATENATE(H41,I41)</f>
        <v>15</v>
      </c>
      <c r="G41">
        <v>2</v>
      </c>
      <c r="H41">
        <v>1</v>
      </c>
      <c r="I41">
        <v>5</v>
      </c>
      <c r="J41">
        <v>82108</v>
      </c>
      <c r="K41" t="str">
        <f t="shared" ref="K41:K87" si="2">CONCATENATE(H41,"-",I41)</f>
        <v>1-5</v>
      </c>
      <c r="L41" t="str">
        <f t="shared" ref="L41:L99" si="3">CONCATENATE(N:N,"-",O:O)</f>
        <v>1-4</v>
      </c>
      <c r="M41" s="157">
        <v>2</v>
      </c>
      <c r="N41">
        <v>1</v>
      </c>
      <c r="O41">
        <v>4</v>
      </c>
      <c r="P41">
        <v>61497</v>
      </c>
    </row>
    <row r="42" spans="1:16" x14ac:dyDescent="0.25">
      <c r="A42" t="str">
        <f t="shared" si="0"/>
        <v>16</v>
      </c>
      <c r="B42">
        <v>3</v>
      </c>
      <c r="C42">
        <v>1</v>
      </c>
      <c r="D42">
        <v>6</v>
      </c>
      <c r="E42">
        <v>272209.76491000003</v>
      </c>
      <c r="F42" t="str">
        <f t="shared" si="1"/>
        <v>16</v>
      </c>
      <c r="G42">
        <v>3</v>
      </c>
      <c r="H42">
        <v>1</v>
      </c>
      <c r="I42">
        <v>6</v>
      </c>
      <c r="J42">
        <v>68222</v>
      </c>
      <c r="K42" t="str">
        <f t="shared" si="2"/>
        <v>1-6</v>
      </c>
      <c r="L42" t="str">
        <f t="shared" si="3"/>
        <v>1-5</v>
      </c>
      <c r="M42" s="157">
        <v>3</v>
      </c>
      <c r="N42">
        <v>1</v>
      </c>
      <c r="O42">
        <v>5</v>
      </c>
      <c r="P42">
        <v>82108</v>
      </c>
    </row>
    <row r="43" spans="1:16" x14ac:dyDescent="0.25">
      <c r="A43" t="str">
        <f t="shared" si="0"/>
        <v>17</v>
      </c>
      <c r="B43">
        <v>4</v>
      </c>
      <c r="C43">
        <v>1</v>
      </c>
      <c r="D43">
        <v>7</v>
      </c>
      <c r="E43">
        <v>83931.166440000001</v>
      </c>
      <c r="F43" t="str">
        <f t="shared" si="1"/>
        <v>17</v>
      </c>
      <c r="G43">
        <v>4</v>
      </c>
      <c r="H43">
        <v>1</v>
      </c>
      <c r="I43">
        <v>7</v>
      </c>
      <c r="J43">
        <v>33605</v>
      </c>
      <c r="K43" t="str">
        <f t="shared" si="2"/>
        <v>1-7</v>
      </c>
      <c r="L43" t="str">
        <f t="shared" si="3"/>
        <v>1-6</v>
      </c>
      <c r="M43" s="157">
        <v>4</v>
      </c>
      <c r="N43">
        <v>1</v>
      </c>
      <c r="O43">
        <v>6</v>
      </c>
      <c r="P43">
        <v>68222</v>
      </c>
    </row>
    <row r="44" spans="1:16" x14ac:dyDescent="0.25">
      <c r="A44" t="str">
        <f t="shared" si="0"/>
        <v>18</v>
      </c>
      <c r="B44">
        <v>5</v>
      </c>
      <c r="C44">
        <v>1</v>
      </c>
      <c r="D44">
        <v>8</v>
      </c>
      <c r="E44">
        <v>124934.61638000001</v>
      </c>
      <c r="F44" t="str">
        <f t="shared" si="1"/>
        <v>18</v>
      </c>
      <c r="G44">
        <v>5</v>
      </c>
      <c r="H44">
        <v>1</v>
      </c>
      <c r="I44">
        <v>8</v>
      </c>
      <c r="J44">
        <v>35072</v>
      </c>
      <c r="K44" t="str">
        <f t="shared" si="2"/>
        <v>1-8</v>
      </c>
      <c r="L44" t="str">
        <f t="shared" si="3"/>
        <v>1-7</v>
      </c>
      <c r="M44" s="157">
        <v>5</v>
      </c>
      <c r="N44">
        <v>1</v>
      </c>
      <c r="O44">
        <v>7</v>
      </c>
      <c r="P44">
        <v>33605</v>
      </c>
    </row>
    <row r="45" spans="1:16" x14ac:dyDescent="0.25">
      <c r="A45" t="str">
        <f t="shared" si="0"/>
        <v>19</v>
      </c>
      <c r="B45">
        <v>6</v>
      </c>
      <c r="C45">
        <v>1</v>
      </c>
      <c r="D45">
        <v>9</v>
      </c>
      <c r="E45">
        <v>214071.61493000001</v>
      </c>
      <c r="F45" t="str">
        <f t="shared" si="1"/>
        <v>19</v>
      </c>
      <c r="G45">
        <v>6</v>
      </c>
      <c r="H45">
        <v>1</v>
      </c>
      <c r="I45">
        <v>9</v>
      </c>
      <c r="J45">
        <v>63200</v>
      </c>
      <c r="K45" t="str">
        <f t="shared" si="2"/>
        <v>1-9</v>
      </c>
      <c r="L45" t="str">
        <f t="shared" si="3"/>
        <v>1-8</v>
      </c>
      <c r="M45" s="157">
        <v>6</v>
      </c>
      <c r="N45">
        <v>1</v>
      </c>
      <c r="O45">
        <v>8</v>
      </c>
      <c r="P45">
        <v>35072</v>
      </c>
    </row>
    <row r="46" spans="1:16" x14ac:dyDescent="0.25">
      <c r="A46" t="str">
        <f t="shared" si="0"/>
        <v>24</v>
      </c>
      <c r="B46">
        <v>7</v>
      </c>
      <c r="C46">
        <v>2</v>
      </c>
      <c r="D46">
        <v>4</v>
      </c>
      <c r="E46">
        <v>179625.21593000001</v>
      </c>
      <c r="F46" t="str">
        <f t="shared" si="1"/>
        <v>24</v>
      </c>
      <c r="G46">
        <v>7</v>
      </c>
      <c r="H46">
        <v>2</v>
      </c>
      <c r="I46">
        <v>4</v>
      </c>
      <c r="J46">
        <v>33896</v>
      </c>
      <c r="K46" t="str">
        <f t="shared" si="2"/>
        <v>2-4</v>
      </c>
      <c r="L46" t="str">
        <f t="shared" si="3"/>
        <v>1-9</v>
      </c>
      <c r="M46" s="157">
        <v>7</v>
      </c>
      <c r="N46">
        <v>1</v>
      </c>
      <c r="O46">
        <v>9</v>
      </c>
      <c r="P46">
        <v>63200</v>
      </c>
    </row>
    <row r="47" spans="1:16" x14ac:dyDescent="0.25">
      <c r="A47" t="str">
        <f t="shared" si="0"/>
        <v>25</v>
      </c>
      <c r="B47">
        <v>8</v>
      </c>
      <c r="C47">
        <v>2</v>
      </c>
      <c r="D47">
        <v>5</v>
      </c>
      <c r="E47">
        <v>177866.25667</v>
      </c>
      <c r="F47" t="str">
        <f t="shared" si="1"/>
        <v>25</v>
      </c>
      <c r="G47">
        <v>8</v>
      </c>
      <c r="H47">
        <v>2</v>
      </c>
      <c r="I47">
        <v>5</v>
      </c>
      <c r="J47">
        <v>39057</v>
      </c>
      <c r="K47" t="str">
        <f t="shared" si="2"/>
        <v>2-5</v>
      </c>
      <c r="L47" t="str">
        <f t="shared" si="3"/>
        <v>1-10</v>
      </c>
      <c r="M47" s="157">
        <v>8</v>
      </c>
      <c r="N47">
        <v>1</v>
      </c>
      <c r="O47">
        <v>10</v>
      </c>
      <c r="P47">
        <v>0</v>
      </c>
    </row>
    <row r="48" spans="1:16" x14ac:dyDescent="0.25">
      <c r="A48" t="str">
        <f t="shared" si="0"/>
        <v>26</v>
      </c>
      <c r="B48">
        <v>9</v>
      </c>
      <c r="C48">
        <v>2</v>
      </c>
      <c r="D48">
        <v>6</v>
      </c>
      <c r="E48">
        <v>147210.89619999999</v>
      </c>
      <c r="F48" t="str">
        <f t="shared" si="1"/>
        <v>26</v>
      </c>
      <c r="G48">
        <v>9</v>
      </c>
      <c r="H48">
        <v>2</v>
      </c>
      <c r="I48">
        <v>6</v>
      </c>
      <c r="J48">
        <v>31457</v>
      </c>
      <c r="K48" t="str">
        <f t="shared" si="2"/>
        <v>2-6</v>
      </c>
      <c r="L48" t="str">
        <f t="shared" si="3"/>
        <v>2-1</v>
      </c>
      <c r="M48" s="157">
        <v>9</v>
      </c>
      <c r="N48">
        <v>2</v>
      </c>
      <c r="O48">
        <v>1</v>
      </c>
      <c r="P48">
        <v>0</v>
      </c>
    </row>
    <row r="49" spans="1:16" x14ac:dyDescent="0.25">
      <c r="A49" t="str">
        <f t="shared" si="0"/>
        <v>27</v>
      </c>
      <c r="B49">
        <v>10</v>
      </c>
      <c r="C49">
        <v>2</v>
      </c>
      <c r="D49">
        <v>7</v>
      </c>
      <c r="E49">
        <v>26731.007549999998</v>
      </c>
      <c r="F49" t="str">
        <f t="shared" si="1"/>
        <v>27</v>
      </c>
      <c r="G49">
        <v>10</v>
      </c>
      <c r="H49">
        <v>2</v>
      </c>
      <c r="I49">
        <v>7</v>
      </c>
      <c r="J49">
        <v>8426</v>
      </c>
      <c r="K49" t="str">
        <f t="shared" si="2"/>
        <v>2-7</v>
      </c>
      <c r="L49" t="str">
        <f t="shared" si="3"/>
        <v>2-4</v>
      </c>
      <c r="M49" s="157">
        <v>10</v>
      </c>
      <c r="N49">
        <v>2</v>
      </c>
      <c r="O49">
        <v>4</v>
      </c>
      <c r="P49">
        <v>33896</v>
      </c>
    </row>
    <row r="50" spans="1:16" x14ac:dyDescent="0.25">
      <c r="A50" t="str">
        <f t="shared" si="0"/>
        <v>28</v>
      </c>
      <c r="B50">
        <v>11</v>
      </c>
      <c r="C50">
        <v>2</v>
      </c>
      <c r="D50">
        <v>8</v>
      </c>
      <c r="E50">
        <v>47359.240919999997</v>
      </c>
      <c r="F50" t="str">
        <f t="shared" si="1"/>
        <v>28</v>
      </c>
      <c r="G50">
        <v>11</v>
      </c>
      <c r="H50">
        <v>2</v>
      </c>
      <c r="I50">
        <v>8</v>
      </c>
      <c r="J50">
        <v>11202</v>
      </c>
      <c r="K50" t="str">
        <f t="shared" si="2"/>
        <v>2-8</v>
      </c>
      <c r="L50" t="str">
        <f t="shared" si="3"/>
        <v>2-5</v>
      </c>
      <c r="M50" s="157">
        <v>11</v>
      </c>
      <c r="N50">
        <v>2</v>
      </c>
      <c r="O50">
        <v>5</v>
      </c>
      <c r="P50">
        <v>39057</v>
      </c>
    </row>
    <row r="51" spans="1:16" x14ac:dyDescent="0.25">
      <c r="A51" t="str">
        <f t="shared" si="0"/>
        <v>29</v>
      </c>
      <c r="B51">
        <v>12</v>
      </c>
      <c r="C51">
        <v>2</v>
      </c>
      <c r="D51">
        <v>9</v>
      </c>
      <c r="E51">
        <v>81701.913679999998</v>
      </c>
      <c r="F51" t="str">
        <f t="shared" si="1"/>
        <v>29</v>
      </c>
      <c r="G51">
        <v>12</v>
      </c>
      <c r="H51">
        <v>2</v>
      </c>
      <c r="I51">
        <v>9</v>
      </c>
      <c r="J51">
        <v>24994</v>
      </c>
      <c r="K51" t="str">
        <f t="shared" si="2"/>
        <v>2-9</v>
      </c>
      <c r="L51" t="str">
        <f t="shared" si="3"/>
        <v>2-6</v>
      </c>
      <c r="M51" s="157">
        <v>12</v>
      </c>
      <c r="N51">
        <v>2</v>
      </c>
      <c r="O51">
        <v>6</v>
      </c>
      <c r="P51">
        <v>31457</v>
      </c>
    </row>
    <row r="52" spans="1:16" x14ac:dyDescent="0.25">
      <c r="A52" t="str">
        <f t="shared" si="0"/>
        <v>34</v>
      </c>
      <c r="B52">
        <v>13</v>
      </c>
      <c r="C52">
        <v>3</v>
      </c>
      <c r="D52">
        <v>4</v>
      </c>
      <c r="E52">
        <v>45590.159460000003</v>
      </c>
      <c r="F52" t="str">
        <f t="shared" si="1"/>
        <v>34</v>
      </c>
      <c r="G52">
        <v>13</v>
      </c>
      <c r="H52">
        <v>3</v>
      </c>
      <c r="I52">
        <v>4</v>
      </c>
      <c r="J52">
        <v>10817</v>
      </c>
      <c r="K52" t="str">
        <f t="shared" si="2"/>
        <v>3-4</v>
      </c>
      <c r="L52" t="str">
        <f t="shared" si="3"/>
        <v>2-7</v>
      </c>
      <c r="M52" s="157">
        <v>13</v>
      </c>
      <c r="N52">
        <v>2</v>
      </c>
      <c r="O52">
        <v>7</v>
      </c>
      <c r="P52">
        <v>8426</v>
      </c>
    </row>
    <row r="53" spans="1:16" x14ac:dyDescent="0.25">
      <c r="A53" t="str">
        <f t="shared" si="0"/>
        <v>35</v>
      </c>
      <c r="B53">
        <v>14</v>
      </c>
      <c r="C53">
        <v>3</v>
      </c>
      <c r="D53">
        <v>5</v>
      </c>
      <c r="E53">
        <v>36853.011630000001</v>
      </c>
      <c r="F53" t="str">
        <f t="shared" si="1"/>
        <v>35</v>
      </c>
      <c r="G53">
        <v>14</v>
      </c>
      <c r="H53">
        <v>3</v>
      </c>
      <c r="I53">
        <v>5</v>
      </c>
      <c r="J53">
        <v>8804</v>
      </c>
      <c r="K53" t="str">
        <f t="shared" si="2"/>
        <v>3-5</v>
      </c>
      <c r="L53" t="str">
        <f t="shared" si="3"/>
        <v>2-8</v>
      </c>
      <c r="M53" s="157">
        <v>14</v>
      </c>
      <c r="N53">
        <v>2</v>
      </c>
      <c r="O53">
        <v>8</v>
      </c>
      <c r="P53">
        <v>11202</v>
      </c>
    </row>
    <row r="54" spans="1:16" x14ac:dyDescent="0.25">
      <c r="A54" t="str">
        <f t="shared" si="0"/>
        <v>36</v>
      </c>
      <c r="B54">
        <v>15</v>
      </c>
      <c r="C54">
        <v>3</v>
      </c>
      <c r="D54">
        <v>6</v>
      </c>
      <c r="E54">
        <v>39126.314480000001</v>
      </c>
      <c r="F54" t="str">
        <f t="shared" si="1"/>
        <v>36</v>
      </c>
      <c r="G54">
        <v>15</v>
      </c>
      <c r="H54">
        <v>3</v>
      </c>
      <c r="I54">
        <v>6</v>
      </c>
      <c r="J54">
        <v>9417</v>
      </c>
      <c r="K54" t="str">
        <f t="shared" si="2"/>
        <v>3-6</v>
      </c>
      <c r="L54" t="str">
        <f t="shared" si="3"/>
        <v>2-9</v>
      </c>
      <c r="M54" s="157">
        <v>15</v>
      </c>
      <c r="N54">
        <v>2</v>
      </c>
      <c r="O54">
        <v>9</v>
      </c>
      <c r="P54">
        <v>24994</v>
      </c>
    </row>
    <row r="55" spans="1:16" x14ac:dyDescent="0.25">
      <c r="A55" t="str">
        <f t="shared" si="0"/>
        <v>37</v>
      </c>
      <c r="B55">
        <v>16</v>
      </c>
      <c r="C55">
        <v>3</v>
      </c>
      <c r="D55">
        <v>7</v>
      </c>
      <c r="E55">
        <v>16573.425670000001</v>
      </c>
      <c r="F55" t="str">
        <f t="shared" si="1"/>
        <v>37</v>
      </c>
      <c r="G55">
        <v>16</v>
      </c>
      <c r="H55">
        <v>3</v>
      </c>
      <c r="I55">
        <v>7</v>
      </c>
      <c r="J55">
        <v>5235</v>
      </c>
      <c r="K55" t="str">
        <f t="shared" si="2"/>
        <v>3-7</v>
      </c>
      <c r="L55" t="str">
        <f t="shared" si="3"/>
        <v>2-10</v>
      </c>
      <c r="M55" s="157">
        <v>16</v>
      </c>
      <c r="N55">
        <v>2</v>
      </c>
      <c r="O55">
        <v>10</v>
      </c>
      <c r="P55">
        <v>0</v>
      </c>
    </row>
    <row r="56" spans="1:16" x14ac:dyDescent="0.25">
      <c r="A56" t="str">
        <f t="shared" si="0"/>
        <v>38</v>
      </c>
      <c r="B56">
        <v>17</v>
      </c>
      <c r="C56">
        <v>3</v>
      </c>
      <c r="D56">
        <v>8</v>
      </c>
      <c r="E56">
        <v>28106.63956</v>
      </c>
      <c r="F56" t="str">
        <f t="shared" si="1"/>
        <v>38</v>
      </c>
      <c r="G56">
        <v>17</v>
      </c>
      <c r="H56">
        <v>3</v>
      </c>
      <c r="I56">
        <v>8</v>
      </c>
      <c r="J56">
        <v>6503</v>
      </c>
      <c r="K56" t="str">
        <f t="shared" si="2"/>
        <v>3-8</v>
      </c>
      <c r="L56" t="str">
        <f t="shared" si="3"/>
        <v>3-1</v>
      </c>
      <c r="M56" s="157">
        <v>17</v>
      </c>
      <c r="N56">
        <v>3</v>
      </c>
      <c r="O56">
        <v>1</v>
      </c>
      <c r="P56">
        <v>0</v>
      </c>
    </row>
    <row r="57" spans="1:16" x14ac:dyDescent="0.25">
      <c r="A57" t="str">
        <f t="shared" si="0"/>
        <v>39</v>
      </c>
      <c r="B57">
        <v>18</v>
      </c>
      <c r="C57">
        <v>3</v>
      </c>
      <c r="D57">
        <v>9</v>
      </c>
      <c r="E57">
        <v>36865.071880000003</v>
      </c>
      <c r="F57" t="str">
        <f t="shared" si="1"/>
        <v>39</v>
      </c>
      <c r="G57">
        <v>18</v>
      </c>
      <c r="H57">
        <v>3</v>
      </c>
      <c r="I57">
        <v>9</v>
      </c>
      <c r="J57">
        <v>10970</v>
      </c>
      <c r="K57" t="str">
        <f t="shared" si="2"/>
        <v>3-9</v>
      </c>
      <c r="L57" t="str">
        <f t="shared" si="3"/>
        <v>3-2</v>
      </c>
      <c r="M57" s="157">
        <v>18</v>
      </c>
      <c r="N57">
        <v>3</v>
      </c>
      <c r="O57">
        <v>2</v>
      </c>
      <c r="P57">
        <v>0</v>
      </c>
    </row>
    <row r="58" spans="1:16" x14ac:dyDescent="0.25">
      <c r="A58" t="str">
        <f t="shared" si="0"/>
        <v>44</v>
      </c>
      <c r="B58">
        <v>19</v>
      </c>
      <c r="C58">
        <v>4</v>
      </c>
      <c r="D58">
        <v>4</v>
      </c>
      <c r="E58">
        <v>314625.32601999998</v>
      </c>
      <c r="F58" t="str">
        <f t="shared" si="1"/>
        <v>44</v>
      </c>
      <c r="G58">
        <v>19</v>
      </c>
      <c r="H58">
        <v>4</v>
      </c>
      <c r="I58">
        <v>4</v>
      </c>
      <c r="J58">
        <v>91079</v>
      </c>
      <c r="K58" t="str">
        <f t="shared" si="2"/>
        <v>4-4</v>
      </c>
      <c r="L58" t="str">
        <f t="shared" si="3"/>
        <v>3-4</v>
      </c>
      <c r="M58" s="157">
        <v>19</v>
      </c>
      <c r="N58">
        <v>3</v>
      </c>
      <c r="O58">
        <v>4</v>
      </c>
      <c r="P58">
        <v>10817</v>
      </c>
    </row>
    <row r="59" spans="1:16" x14ac:dyDescent="0.25">
      <c r="A59" t="str">
        <f t="shared" si="0"/>
        <v>45</v>
      </c>
      <c r="B59">
        <v>20</v>
      </c>
      <c r="C59">
        <v>4</v>
      </c>
      <c r="D59">
        <v>5</v>
      </c>
      <c r="E59">
        <v>191261.75153000001</v>
      </c>
      <c r="F59" t="str">
        <f t="shared" si="1"/>
        <v>45</v>
      </c>
      <c r="G59">
        <v>20</v>
      </c>
      <c r="H59">
        <v>4</v>
      </c>
      <c r="I59">
        <v>5</v>
      </c>
      <c r="J59">
        <v>71463</v>
      </c>
      <c r="K59" t="str">
        <f t="shared" si="2"/>
        <v>4-5</v>
      </c>
      <c r="L59" t="str">
        <f t="shared" si="3"/>
        <v>3-5</v>
      </c>
      <c r="M59" s="157">
        <v>20</v>
      </c>
      <c r="N59">
        <v>3</v>
      </c>
      <c r="O59">
        <v>5</v>
      </c>
      <c r="P59">
        <v>8804</v>
      </c>
    </row>
    <row r="60" spans="1:16" x14ac:dyDescent="0.25">
      <c r="A60" t="str">
        <f t="shared" si="0"/>
        <v>46</v>
      </c>
      <c r="B60">
        <v>21</v>
      </c>
      <c r="C60">
        <v>4</v>
      </c>
      <c r="D60">
        <v>6</v>
      </c>
      <c r="E60">
        <v>176660.09200999999</v>
      </c>
      <c r="F60" t="str">
        <f t="shared" si="1"/>
        <v>46</v>
      </c>
      <c r="G60">
        <v>21</v>
      </c>
      <c r="H60">
        <v>4</v>
      </c>
      <c r="I60">
        <v>6</v>
      </c>
      <c r="J60">
        <v>61746</v>
      </c>
      <c r="K60" t="str">
        <f t="shared" si="2"/>
        <v>4-6</v>
      </c>
      <c r="L60" t="str">
        <f t="shared" si="3"/>
        <v>3-6</v>
      </c>
      <c r="M60" s="157">
        <v>21</v>
      </c>
      <c r="N60">
        <v>3</v>
      </c>
      <c r="O60">
        <v>6</v>
      </c>
      <c r="P60">
        <v>9417</v>
      </c>
    </row>
    <row r="61" spans="1:16" x14ac:dyDescent="0.25">
      <c r="A61" t="str">
        <f t="shared" si="0"/>
        <v>47</v>
      </c>
      <c r="B61">
        <v>22</v>
      </c>
      <c r="C61">
        <v>4</v>
      </c>
      <c r="D61">
        <v>7</v>
      </c>
      <c r="E61">
        <v>24612.768110000001</v>
      </c>
      <c r="F61" t="str">
        <f t="shared" si="1"/>
        <v>47</v>
      </c>
      <c r="G61">
        <v>22</v>
      </c>
      <c r="H61">
        <v>4</v>
      </c>
      <c r="I61">
        <v>7</v>
      </c>
      <c r="J61">
        <v>13106</v>
      </c>
      <c r="K61" t="str">
        <f t="shared" si="2"/>
        <v>4-7</v>
      </c>
      <c r="L61" t="str">
        <f t="shared" si="3"/>
        <v>3-7</v>
      </c>
      <c r="M61" s="157">
        <v>22</v>
      </c>
      <c r="N61">
        <v>3</v>
      </c>
      <c r="O61">
        <v>7</v>
      </c>
      <c r="P61">
        <v>5235</v>
      </c>
    </row>
    <row r="62" spans="1:16" x14ac:dyDescent="0.25">
      <c r="A62" t="str">
        <f t="shared" si="0"/>
        <v>48</v>
      </c>
      <c r="B62">
        <v>23</v>
      </c>
      <c r="C62">
        <v>4</v>
      </c>
      <c r="D62">
        <v>8</v>
      </c>
      <c r="E62">
        <v>72255.079769999997</v>
      </c>
      <c r="F62" t="str">
        <f t="shared" si="1"/>
        <v>48</v>
      </c>
      <c r="G62">
        <v>23</v>
      </c>
      <c r="H62">
        <v>4</v>
      </c>
      <c r="I62">
        <v>8</v>
      </c>
      <c r="J62">
        <v>29629</v>
      </c>
      <c r="K62" t="str">
        <f t="shared" si="2"/>
        <v>4-8</v>
      </c>
      <c r="L62" t="str">
        <f t="shared" si="3"/>
        <v>3-8</v>
      </c>
      <c r="M62" s="157">
        <v>23</v>
      </c>
      <c r="N62">
        <v>3</v>
      </c>
      <c r="O62">
        <v>8</v>
      </c>
      <c r="P62">
        <v>6503</v>
      </c>
    </row>
    <row r="63" spans="1:16" x14ac:dyDescent="0.25">
      <c r="A63" t="str">
        <f t="shared" si="0"/>
        <v>49</v>
      </c>
      <c r="B63">
        <v>24</v>
      </c>
      <c r="C63">
        <v>4</v>
      </c>
      <c r="D63">
        <v>9</v>
      </c>
      <c r="E63">
        <v>106468.81614</v>
      </c>
      <c r="F63" t="str">
        <f t="shared" si="1"/>
        <v>49</v>
      </c>
      <c r="G63">
        <v>24</v>
      </c>
      <c r="H63">
        <v>4</v>
      </c>
      <c r="I63">
        <v>9</v>
      </c>
      <c r="J63">
        <v>45791</v>
      </c>
      <c r="K63" t="str">
        <f t="shared" si="2"/>
        <v>4-9</v>
      </c>
      <c r="L63" t="str">
        <f t="shared" si="3"/>
        <v>3-9</v>
      </c>
      <c r="M63" s="157">
        <v>24</v>
      </c>
      <c r="N63">
        <v>3</v>
      </c>
      <c r="O63">
        <v>9</v>
      </c>
      <c r="P63">
        <v>10970</v>
      </c>
    </row>
    <row r="64" spans="1:16" x14ac:dyDescent="0.25">
      <c r="A64" t="str">
        <f t="shared" si="0"/>
        <v>54</v>
      </c>
      <c r="B64">
        <v>25</v>
      </c>
      <c r="C64">
        <v>5</v>
      </c>
      <c r="D64">
        <v>4</v>
      </c>
      <c r="E64">
        <v>87214.137780000005</v>
      </c>
      <c r="F64" t="str">
        <f t="shared" si="1"/>
        <v>54</v>
      </c>
      <c r="G64">
        <v>25</v>
      </c>
      <c r="H64">
        <v>5</v>
      </c>
      <c r="I64">
        <v>4</v>
      </c>
      <c r="J64">
        <v>15736</v>
      </c>
      <c r="K64" t="str">
        <f t="shared" si="2"/>
        <v>5-4</v>
      </c>
      <c r="L64" t="str">
        <f t="shared" si="3"/>
        <v>3-10</v>
      </c>
      <c r="M64" s="157">
        <v>25</v>
      </c>
      <c r="N64">
        <v>3</v>
      </c>
      <c r="O64">
        <v>10</v>
      </c>
      <c r="P64">
        <v>0</v>
      </c>
    </row>
    <row r="65" spans="1:16" x14ac:dyDescent="0.25">
      <c r="A65" t="str">
        <f t="shared" si="0"/>
        <v>55</v>
      </c>
      <c r="B65">
        <v>26</v>
      </c>
      <c r="C65">
        <v>5</v>
      </c>
      <c r="D65">
        <v>5</v>
      </c>
      <c r="E65">
        <v>242841.39428000001</v>
      </c>
      <c r="F65" t="str">
        <f t="shared" si="1"/>
        <v>55</v>
      </c>
      <c r="G65">
        <v>26</v>
      </c>
      <c r="H65">
        <v>5</v>
      </c>
      <c r="I65">
        <v>5</v>
      </c>
      <c r="J65">
        <v>56648</v>
      </c>
      <c r="K65" t="str">
        <f t="shared" si="2"/>
        <v>5-5</v>
      </c>
      <c r="L65" t="str">
        <f t="shared" si="3"/>
        <v>4-4</v>
      </c>
      <c r="M65" s="157">
        <v>26</v>
      </c>
      <c r="N65">
        <v>4</v>
      </c>
      <c r="O65">
        <v>4</v>
      </c>
      <c r="P65">
        <v>91079</v>
      </c>
    </row>
    <row r="66" spans="1:16" x14ac:dyDescent="0.25">
      <c r="A66" t="str">
        <f t="shared" si="0"/>
        <v>56</v>
      </c>
      <c r="B66">
        <v>27</v>
      </c>
      <c r="C66">
        <v>5</v>
      </c>
      <c r="D66">
        <v>6</v>
      </c>
      <c r="E66">
        <v>216291.32968</v>
      </c>
      <c r="F66" t="str">
        <f t="shared" si="1"/>
        <v>56</v>
      </c>
      <c r="G66">
        <v>27</v>
      </c>
      <c r="H66">
        <v>5</v>
      </c>
      <c r="I66">
        <v>6</v>
      </c>
      <c r="J66">
        <v>51196</v>
      </c>
      <c r="K66" t="str">
        <f t="shared" si="2"/>
        <v>5-6</v>
      </c>
      <c r="L66" t="str">
        <f t="shared" si="3"/>
        <v>4-5</v>
      </c>
      <c r="M66" s="157">
        <v>27</v>
      </c>
      <c r="N66">
        <v>4</v>
      </c>
      <c r="O66">
        <v>5</v>
      </c>
      <c r="P66">
        <v>71463</v>
      </c>
    </row>
    <row r="67" spans="1:16" x14ac:dyDescent="0.25">
      <c r="A67" t="str">
        <f t="shared" si="0"/>
        <v>57</v>
      </c>
      <c r="B67">
        <v>28</v>
      </c>
      <c r="C67">
        <v>5</v>
      </c>
      <c r="D67">
        <v>7</v>
      </c>
      <c r="E67">
        <v>44667.376839999997</v>
      </c>
      <c r="F67" t="str">
        <f t="shared" si="1"/>
        <v>57</v>
      </c>
      <c r="G67">
        <v>28</v>
      </c>
      <c r="H67">
        <v>5</v>
      </c>
      <c r="I67">
        <v>7</v>
      </c>
      <c r="J67">
        <v>14409</v>
      </c>
      <c r="K67" t="str">
        <f t="shared" si="2"/>
        <v>5-7</v>
      </c>
      <c r="L67" t="str">
        <f t="shared" si="3"/>
        <v>4-6</v>
      </c>
      <c r="M67" s="157">
        <v>28</v>
      </c>
      <c r="N67">
        <v>4</v>
      </c>
      <c r="O67">
        <v>6</v>
      </c>
      <c r="P67">
        <v>61746</v>
      </c>
    </row>
    <row r="68" spans="1:16" x14ac:dyDescent="0.25">
      <c r="A68" t="str">
        <f t="shared" si="0"/>
        <v>58</v>
      </c>
      <c r="B68">
        <v>29</v>
      </c>
      <c r="C68">
        <v>5</v>
      </c>
      <c r="D68">
        <v>8</v>
      </c>
      <c r="E68">
        <v>69179.653000000006</v>
      </c>
      <c r="F68" t="str">
        <f t="shared" si="1"/>
        <v>58</v>
      </c>
      <c r="G68">
        <v>29</v>
      </c>
      <c r="H68">
        <v>5</v>
      </c>
      <c r="I68">
        <v>8</v>
      </c>
      <c r="J68">
        <v>17242</v>
      </c>
      <c r="K68" t="str">
        <f t="shared" si="2"/>
        <v>5-8</v>
      </c>
      <c r="L68" t="str">
        <f t="shared" si="3"/>
        <v>4-7</v>
      </c>
      <c r="M68" s="157">
        <v>29</v>
      </c>
      <c r="N68">
        <v>4</v>
      </c>
      <c r="O68">
        <v>7</v>
      </c>
      <c r="P68">
        <v>13106</v>
      </c>
    </row>
    <row r="69" spans="1:16" x14ac:dyDescent="0.25">
      <c r="A69" t="str">
        <f t="shared" si="0"/>
        <v>59</v>
      </c>
      <c r="B69">
        <v>30</v>
      </c>
      <c r="C69">
        <v>5</v>
      </c>
      <c r="D69">
        <v>9</v>
      </c>
      <c r="E69">
        <v>164285.57133999999</v>
      </c>
      <c r="F69" t="str">
        <f t="shared" si="1"/>
        <v>59</v>
      </c>
      <c r="G69">
        <v>30</v>
      </c>
      <c r="H69">
        <v>5</v>
      </c>
      <c r="I69">
        <v>9</v>
      </c>
      <c r="J69">
        <v>41824</v>
      </c>
      <c r="K69" t="str">
        <f t="shared" si="2"/>
        <v>5-9</v>
      </c>
      <c r="L69" t="str">
        <f t="shared" si="3"/>
        <v>4-8</v>
      </c>
      <c r="M69" s="157">
        <v>30</v>
      </c>
      <c r="N69">
        <v>4</v>
      </c>
      <c r="O69">
        <v>8</v>
      </c>
      <c r="P69">
        <v>29629</v>
      </c>
    </row>
    <row r="70" spans="1:16" x14ac:dyDescent="0.25">
      <c r="A70" t="str">
        <f t="shared" si="0"/>
        <v>64</v>
      </c>
      <c r="B70">
        <v>31</v>
      </c>
      <c r="C70">
        <v>6</v>
      </c>
      <c r="D70">
        <v>4</v>
      </c>
      <c r="E70">
        <v>13931.49611</v>
      </c>
      <c r="F70" t="str">
        <f t="shared" si="1"/>
        <v>64</v>
      </c>
      <c r="G70">
        <v>31</v>
      </c>
      <c r="H70">
        <v>6</v>
      </c>
      <c r="I70">
        <v>4</v>
      </c>
      <c r="J70">
        <v>2909</v>
      </c>
      <c r="K70" t="str">
        <f t="shared" si="2"/>
        <v>6-4</v>
      </c>
      <c r="L70" t="str">
        <f t="shared" si="3"/>
        <v>4-9</v>
      </c>
      <c r="M70" s="157">
        <v>31</v>
      </c>
      <c r="N70">
        <v>4</v>
      </c>
      <c r="O70">
        <v>9</v>
      </c>
      <c r="P70">
        <v>45791</v>
      </c>
    </row>
    <row r="71" spans="1:16" x14ac:dyDescent="0.25">
      <c r="A71" t="str">
        <f t="shared" si="0"/>
        <v>65</v>
      </c>
      <c r="B71">
        <v>32</v>
      </c>
      <c r="C71">
        <v>6</v>
      </c>
      <c r="D71">
        <v>5</v>
      </c>
      <c r="E71">
        <v>14772.65408</v>
      </c>
      <c r="F71" t="str">
        <f t="shared" si="1"/>
        <v>65</v>
      </c>
      <c r="G71">
        <v>32</v>
      </c>
      <c r="H71">
        <v>6</v>
      </c>
      <c r="I71">
        <v>5</v>
      </c>
      <c r="J71">
        <v>6780</v>
      </c>
      <c r="K71" t="str">
        <f t="shared" si="2"/>
        <v>6-5</v>
      </c>
      <c r="L71" t="str">
        <f t="shared" si="3"/>
        <v>5-4</v>
      </c>
      <c r="M71" s="157">
        <v>32</v>
      </c>
      <c r="N71">
        <v>5</v>
      </c>
      <c r="O71">
        <v>4</v>
      </c>
      <c r="P71">
        <v>15736</v>
      </c>
    </row>
    <row r="72" spans="1:16" x14ac:dyDescent="0.25">
      <c r="A72" t="str">
        <f t="shared" si="0"/>
        <v>66</v>
      </c>
      <c r="B72">
        <v>33</v>
      </c>
      <c r="C72">
        <v>6</v>
      </c>
      <c r="D72">
        <v>6</v>
      </c>
      <c r="E72">
        <v>14122.19781</v>
      </c>
      <c r="F72" t="str">
        <f t="shared" si="1"/>
        <v>66</v>
      </c>
      <c r="G72">
        <v>33</v>
      </c>
      <c r="H72">
        <v>6</v>
      </c>
      <c r="I72">
        <v>6</v>
      </c>
      <c r="J72">
        <v>5953</v>
      </c>
      <c r="K72" t="str">
        <f t="shared" si="2"/>
        <v>6-6</v>
      </c>
      <c r="L72" t="str">
        <f t="shared" si="3"/>
        <v>5-5</v>
      </c>
      <c r="M72" s="157">
        <v>33</v>
      </c>
      <c r="N72">
        <v>5</v>
      </c>
      <c r="O72">
        <v>5</v>
      </c>
      <c r="P72">
        <v>56648</v>
      </c>
    </row>
    <row r="73" spans="1:16" x14ac:dyDescent="0.25">
      <c r="A73" t="str">
        <f t="shared" si="0"/>
        <v>67</v>
      </c>
      <c r="B73">
        <v>34</v>
      </c>
      <c r="C73">
        <v>6</v>
      </c>
      <c r="D73">
        <v>7</v>
      </c>
      <c r="E73">
        <v>4744.5238499999996</v>
      </c>
      <c r="F73" t="str">
        <f t="shared" si="1"/>
        <v>67</v>
      </c>
      <c r="G73">
        <v>34</v>
      </c>
      <c r="H73">
        <v>6</v>
      </c>
      <c r="I73">
        <v>7</v>
      </c>
      <c r="J73">
        <v>2014</v>
      </c>
      <c r="K73" t="str">
        <f t="shared" si="2"/>
        <v>6-7</v>
      </c>
      <c r="L73" t="str">
        <f t="shared" si="3"/>
        <v>5-6</v>
      </c>
      <c r="M73" s="157">
        <v>34</v>
      </c>
      <c r="N73">
        <v>5</v>
      </c>
      <c r="O73">
        <v>6</v>
      </c>
      <c r="P73">
        <v>51196</v>
      </c>
    </row>
    <row r="74" spans="1:16" x14ac:dyDescent="0.25">
      <c r="A74" t="str">
        <f t="shared" si="0"/>
        <v>68</v>
      </c>
      <c r="B74">
        <v>35</v>
      </c>
      <c r="C74">
        <v>6</v>
      </c>
      <c r="D74">
        <v>8</v>
      </c>
      <c r="E74">
        <v>28418.870589999999</v>
      </c>
      <c r="F74" t="str">
        <f t="shared" si="1"/>
        <v>68</v>
      </c>
      <c r="G74">
        <v>35</v>
      </c>
      <c r="H74">
        <v>6</v>
      </c>
      <c r="I74">
        <v>8</v>
      </c>
      <c r="J74">
        <v>6111</v>
      </c>
      <c r="K74" t="str">
        <f t="shared" si="2"/>
        <v>6-8</v>
      </c>
      <c r="L74" t="str">
        <f t="shared" si="3"/>
        <v>5-7</v>
      </c>
      <c r="M74" s="157">
        <v>35</v>
      </c>
      <c r="N74">
        <v>5</v>
      </c>
      <c r="O74">
        <v>7</v>
      </c>
      <c r="P74">
        <v>14409</v>
      </c>
    </row>
    <row r="75" spans="1:16" x14ac:dyDescent="0.25">
      <c r="A75" t="str">
        <f t="shared" si="0"/>
        <v>69</v>
      </c>
      <c r="B75">
        <v>36</v>
      </c>
      <c r="C75">
        <v>6</v>
      </c>
      <c r="D75">
        <v>9</v>
      </c>
      <c r="E75">
        <v>46558.737999999998</v>
      </c>
      <c r="F75" t="str">
        <f t="shared" si="1"/>
        <v>69</v>
      </c>
      <c r="G75">
        <v>36</v>
      </c>
      <c r="H75">
        <v>6</v>
      </c>
      <c r="I75">
        <v>9</v>
      </c>
      <c r="J75">
        <v>11905</v>
      </c>
      <c r="K75" t="str">
        <f t="shared" si="2"/>
        <v>6-9</v>
      </c>
      <c r="L75" t="str">
        <f t="shared" si="3"/>
        <v>5-8</v>
      </c>
      <c r="M75" s="157">
        <v>36</v>
      </c>
      <c r="N75">
        <v>5</v>
      </c>
      <c r="O75">
        <v>8</v>
      </c>
      <c r="P75">
        <v>17242</v>
      </c>
    </row>
    <row r="76" spans="1:16" x14ac:dyDescent="0.25">
      <c r="A76" t="str">
        <f t="shared" si="0"/>
        <v>74</v>
      </c>
      <c r="B76">
        <v>37</v>
      </c>
      <c r="C76">
        <v>7</v>
      </c>
      <c r="D76">
        <v>4</v>
      </c>
      <c r="E76">
        <v>59672.625630000002</v>
      </c>
      <c r="F76" t="str">
        <f t="shared" si="1"/>
        <v>74</v>
      </c>
      <c r="G76">
        <v>37</v>
      </c>
      <c r="H76">
        <v>7</v>
      </c>
      <c r="I76">
        <v>4</v>
      </c>
      <c r="J76">
        <v>10809</v>
      </c>
      <c r="K76" t="str">
        <f t="shared" si="2"/>
        <v>7-4</v>
      </c>
      <c r="L76" t="str">
        <f t="shared" si="3"/>
        <v>5-9</v>
      </c>
      <c r="M76" s="157">
        <v>37</v>
      </c>
      <c r="N76">
        <v>5</v>
      </c>
      <c r="O76">
        <v>9</v>
      </c>
      <c r="P76">
        <v>41824</v>
      </c>
    </row>
    <row r="77" spans="1:16" x14ac:dyDescent="0.25">
      <c r="A77" t="str">
        <f t="shared" si="0"/>
        <v>75</v>
      </c>
      <c r="B77">
        <v>38</v>
      </c>
      <c r="C77">
        <v>7</v>
      </c>
      <c r="D77">
        <v>5</v>
      </c>
      <c r="E77">
        <v>20366.573550000001</v>
      </c>
      <c r="F77" t="str">
        <f t="shared" si="1"/>
        <v>75</v>
      </c>
      <c r="G77">
        <v>38</v>
      </c>
      <c r="H77">
        <v>7</v>
      </c>
      <c r="I77">
        <v>5</v>
      </c>
      <c r="J77">
        <v>27068</v>
      </c>
      <c r="K77" t="str">
        <f t="shared" si="2"/>
        <v>7-5</v>
      </c>
      <c r="L77" t="str">
        <f t="shared" si="3"/>
        <v>6-1</v>
      </c>
      <c r="M77" s="157">
        <v>38</v>
      </c>
      <c r="N77">
        <v>6</v>
      </c>
      <c r="O77">
        <v>1</v>
      </c>
      <c r="P77">
        <v>0</v>
      </c>
    </row>
    <row r="78" spans="1:16" x14ac:dyDescent="0.25">
      <c r="A78" t="str">
        <f t="shared" si="0"/>
        <v>76</v>
      </c>
      <c r="B78">
        <v>39</v>
      </c>
      <c r="C78">
        <v>7</v>
      </c>
      <c r="D78">
        <v>6</v>
      </c>
      <c r="E78">
        <v>32225.66012</v>
      </c>
      <c r="F78" t="str">
        <f t="shared" si="1"/>
        <v>76</v>
      </c>
      <c r="G78">
        <v>39</v>
      </c>
      <c r="H78">
        <v>7</v>
      </c>
      <c r="I78">
        <v>6</v>
      </c>
      <c r="J78">
        <v>24357</v>
      </c>
      <c r="K78" t="str">
        <f t="shared" si="2"/>
        <v>7-6</v>
      </c>
      <c r="L78" t="str">
        <f t="shared" si="3"/>
        <v>6-3</v>
      </c>
      <c r="M78" s="157">
        <v>39</v>
      </c>
      <c r="N78">
        <v>6</v>
      </c>
      <c r="O78">
        <v>3</v>
      </c>
      <c r="P78">
        <v>0</v>
      </c>
    </row>
    <row r="79" spans="1:16" x14ac:dyDescent="0.25">
      <c r="A79" t="str">
        <f t="shared" si="0"/>
        <v>77</v>
      </c>
      <c r="B79">
        <v>40</v>
      </c>
      <c r="C79">
        <v>7</v>
      </c>
      <c r="D79">
        <v>7</v>
      </c>
      <c r="E79">
        <v>6353.6033299999999</v>
      </c>
      <c r="F79" t="str">
        <f t="shared" si="1"/>
        <v>77</v>
      </c>
      <c r="G79">
        <v>40</v>
      </c>
      <c r="H79">
        <v>7</v>
      </c>
      <c r="I79">
        <v>7</v>
      </c>
      <c r="J79">
        <v>11167</v>
      </c>
      <c r="K79" t="str">
        <f t="shared" si="2"/>
        <v>7-7</v>
      </c>
      <c r="L79" t="str">
        <f t="shared" si="3"/>
        <v>6-4</v>
      </c>
      <c r="M79" s="157">
        <v>40</v>
      </c>
      <c r="N79">
        <v>6</v>
      </c>
      <c r="O79">
        <v>4</v>
      </c>
      <c r="P79">
        <v>2909</v>
      </c>
    </row>
    <row r="80" spans="1:16" x14ac:dyDescent="0.25">
      <c r="A80" t="str">
        <f t="shared" si="0"/>
        <v>78</v>
      </c>
      <c r="B80">
        <v>41</v>
      </c>
      <c r="C80">
        <v>7</v>
      </c>
      <c r="D80">
        <v>8</v>
      </c>
      <c r="E80">
        <v>73915.156480000005</v>
      </c>
      <c r="F80" t="str">
        <f t="shared" si="1"/>
        <v>78</v>
      </c>
      <c r="G80">
        <v>41</v>
      </c>
      <c r="H80">
        <v>7</v>
      </c>
      <c r="I80">
        <v>8</v>
      </c>
      <c r="J80">
        <v>23399</v>
      </c>
      <c r="K80" t="str">
        <f t="shared" si="2"/>
        <v>7-8</v>
      </c>
      <c r="L80" t="str">
        <f t="shared" si="3"/>
        <v>6-5</v>
      </c>
      <c r="M80" s="157">
        <v>41</v>
      </c>
      <c r="N80">
        <v>6</v>
      </c>
      <c r="O80">
        <v>5</v>
      </c>
      <c r="P80">
        <v>6780</v>
      </c>
    </row>
    <row r="81" spans="1:16" x14ac:dyDescent="0.25">
      <c r="A81" t="str">
        <f t="shared" si="0"/>
        <v>79</v>
      </c>
      <c r="B81">
        <v>42</v>
      </c>
      <c r="C81">
        <v>7</v>
      </c>
      <c r="D81">
        <v>9</v>
      </c>
      <c r="E81">
        <v>160680.10540999999</v>
      </c>
      <c r="F81" t="str">
        <f t="shared" si="1"/>
        <v>79</v>
      </c>
      <c r="G81">
        <v>42</v>
      </c>
      <c r="H81">
        <v>7</v>
      </c>
      <c r="I81">
        <v>9</v>
      </c>
      <c r="J81">
        <v>64686</v>
      </c>
      <c r="K81" t="str">
        <f t="shared" si="2"/>
        <v>7-9</v>
      </c>
      <c r="L81" t="str">
        <f t="shared" si="3"/>
        <v>6-6</v>
      </c>
      <c r="M81" s="157">
        <v>42</v>
      </c>
      <c r="N81">
        <v>6</v>
      </c>
      <c r="O81">
        <v>6</v>
      </c>
      <c r="P81">
        <v>5953</v>
      </c>
    </row>
    <row r="82" spans="1:16" x14ac:dyDescent="0.25">
      <c r="A82" t="str">
        <f t="shared" si="0"/>
        <v>84</v>
      </c>
      <c r="B82">
        <v>43</v>
      </c>
      <c r="C82">
        <v>8</v>
      </c>
      <c r="D82">
        <v>4</v>
      </c>
      <c r="E82">
        <v>163729.3149</v>
      </c>
      <c r="F82" t="str">
        <f t="shared" si="1"/>
        <v>84</v>
      </c>
      <c r="G82">
        <v>43</v>
      </c>
      <c r="H82">
        <v>8</v>
      </c>
      <c r="I82">
        <v>4</v>
      </c>
      <c r="J82">
        <v>39348</v>
      </c>
      <c r="K82" t="str">
        <f t="shared" si="2"/>
        <v>8-4</v>
      </c>
      <c r="L82" t="str">
        <f t="shared" si="3"/>
        <v>6-7</v>
      </c>
      <c r="M82" s="157">
        <v>43</v>
      </c>
      <c r="N82">
        <v>6</v>
      </c>
      <c r="O82">
        <v>7</v>
      </c>
      <c r="P82">
        <v>2014</v>
      </c>
    </row>
    <row r="83" spans="1:16" x14ac:dyDescent="0.25">
      <c r="A83" t="str">
        <f t="shared" si="0"/>
        <v>85</v>
      </c>
      <c r="B83">
        <v>44</v>
      </c>
      <c r="C83">
        <v>8</v>
      </c>
      <c r="D83">
        <v>5</v>
      </c>
      <c r="E83">
        <v>12523.86541</v>
      </c>
      <c r="F83" t="str">
        <f t="shared" si="1"/>
        <v>85</v>
      </c>
      <c r="G83">
        <v>44</v>
      </c>
      <c r="H83">
        <v>8</v>
      </c>
      <c r="I83">
        <v>5</v>
      </c>
      <c r="J83">
        <v>24293</v>
      </c>
      <c r="K83" t="str">
        <f t="shared" si="2"/>
        <v>8-5</v>
      </c>
      <c r="L83" t="str">
        <f t="shared" si="3"/>
        <v>6-8</v>
      </c>
      <c r="M83" s="157">
        <v>44</v>
      </c>
      <c r="N83">
        <v>6</v>
      </c>
      <c r="O83">
        <v>8</v>
      </c>
      <c r="P83">
        <v>6111</v>
      </c>
    </row>
    <row r="84" spans="1:16" x14ac:dyDescent="0.25">
      <c r="A84" t="str">
        <f t="shared" si="0"/>
        <v>86</v>
      </c>
      <c r="B84">
        <v>45</v>
      </c>
      <c r="C84">
        <v>8</v>
      </c>
      <c r="D84">
        <v>6</v>
      </c>
      <c r="E84">
        <v>19332.904640000001</v>
      </c>
      <c r="F84" t="str">
        <f t="shared" si="1"/>
        <v>86</v>
      </c>
      <c r="G84">
        <v>45</v>
      </c>
      <c r="H84">
        <v>8</v>
      </c>
      <c r="I84">
        <v>6</v>
      </c>
      <c r="J84">
        <v>18614</v>
      </c>
      <c r="K84" t="str">
        <f t="shared" si="2"/>
        <v>8-6</v>
      </c>
      <c r="L84" t="str">
        <f t="shared" si="3"/>
        <v>6-9</v>
      </c>
      <c r="M84" s="157">
        <v>45</v>
      </c>
      <c r="N84">
        <v>6</v>
      </c>
      <c r="O84">
        <v>9</v>
      </c>
      <c r="P84">
        <v>11905</v>
      </c>
    </row>
    <row r="85" spans="1:16" x14ac:dyDescent="0.25">
      <c r="A85" t="str">
        <f t="shared" si="0"/>
        <v>87</v>
      </c>
      <c r="B85">
        <v>46</v>
      </c>
      <c r="C85">
        <v>8</v>
      </c>
      <c r="D85">
        <v>7</v>
      </c>
      <c r="E85">
        <v>6002.54144</v>
      </c>
      <c r="F85" t="str">
        <f t="shared" si="1"/>
        <v>87</v>
      </c>
      <c r="G85">
        <v>46</v>
      </c>
      <c r="H85">
        <v>8</v>
      </c>
      <c r="I85">
        <v>7</v>
      </c>
      <c r="J85">
        <v>8886</v>
      </c>
      <c r="K85" t="str">
        <f t="shared" si="2"/>
        <v>8-7</v>
      </c>
      <c r="L85" t="str">
        <f t="shared" si="3"/>
        <v>6-10</v>
      </c>
      <c r="M85" s="157">
        <v>46</v>
      </c>
      <c r="N85">
        <v>6</v>
      </c>
      <c r="O85">
        <v>10</v>
      </c>
      <c r="P85">
        <v>0</v>
      </c>
    </row>
    <row r="86" spans="1:16" x14ac:dyDescent="0.25">
      <c r="A86" t="str">
        <f t="shared" si="0"/>
        <v>88</v>
      </c>
      <c r="B86">
        <v>47</v>
      </c>
      <c r="C86">
        <v>8</v>
      </c>
      <c r="D86">
        <v>8</v>
      </c>
      <c r="E86">
        <v>32175.59188</v>
      </c>
      <c r="F86" t="str">
        <f t="shared" si="1"/>
        <v>88</v>
      </c>
      <c r="G86">
        <v>47</v>
      </c>
      <c r="H86">
        <v>8</v>
      </c>
      <c r="I86">
        <v>8</v>
      </c>
      <c r="J86">
        <v>18909</v>
      </c>
      <c r="K86" t="str">
        <f t="shared" si="2"/>
        <v>8-8</v>
      </c>
      <c r="L86" t="str">
        <f t="shared" si="3"/>
        <v>7-3</v>
      </c>
      <c r="M86" s="157">
        <v>47</v>
      </c>
      <c r="N86">
        <v>7</v>
      </c>
      <c r="O86">
        <v>3</v>
      </c>
      <c r="P86">
        <v>0</v>
      </c>
    </row>
    <row r="87" spans="1:16" x14ac:dyDescent="0.25">
      <c r="A87" t="str">
        <f t="shared" si="0"/>
        <v>89</v>
      </c>
      <c r="B87">
        <v>48</v>
      </c>
      <c r="C87">
        <v>8</v>
      </c>
      <c r="D87">
        <v>9</v>
      </c>
      <c r="E87">
        <v>53773.681689999998</v>
      </c>
      <c r="F87" t="str">
        <f t="shared" si="1"/>
        <v>89</v>
      </c>
      <c r="G87">
        <v>48</v>
      </c>
      <c r="H87">
        <v>8</v>
      </c>
      <c r="I87">
        <v>9</v>
      </c>
      <c r="J87">
        <v>32915</v>
      </c>
      <c r="K87" t="str">
        <f t="shared" si="2"/>
        <v>8-9</v>
      </c>
      <c r="L87" t="str">
        <f t="shared" si="3"/>
        <v>7-4</v>
      </c>
      <c r="M87" s="157">
        <v>48</v>
      </c>
      <c r="N87">
        <v>7</v>
      </c>
      <c r="O87">
        <v>4</v>
      </c>
      <c r="P87">
        <v>10809</v>
      </c>
    </row>
    <row r="88" spans="1:16" x14ac:dyDescent="0.25">
      <c r="L88" t="str">
        <f t="shared" si="3"/>
        <v>7-5</v>
      </c>
      <c r="M88" s="157">
        <v>49</v>
      </c>
      <c r="N88">
        <v>7</v>
      </c>
      <c r="O88">
        <v>5</v>
      </c>
      <c r="P88">
        <v>27068</v>
      </c>
    </row>
    <row r="89" spans="1:16" x14ac:dyDescent="0.25">
      <c r="L89" t="str">
        <f t="shared" si="3"/>
        <v>7-6</v>
      </c>
      <c r="M89" s="157">
        <v>50</v>
      </c>
      <c r="N89">
        <v>7</v>
      </c>
      <c r="O89">
        <v>6</v>
      </c>
      <c r="P89">
        <v>24357</v>
      </c>
    </row>
    <row r="90" spans="1:16" x14ac:dyDescent="0.25">
      <c r="L90" t="str">
        <f t="shared" si="3"/>
        <v>7-7</v>
      </c>
      <c r="M90" s="157">
        <v>51</v>
      </c>
      <c r="N90">
        <v>7</v>
      </c>
      <c r="O90">
        <v>7</v>
      </c>
      <c r="P90">
        <v>11167</v>
      </c>
    </row>
    <row r="91" spans="1:16" x14ac:dyDescent="0.25">
      <c r="L91" t="str">
        <f t="shared" si="3"/>
        <v>7-8</v>
      </c>
      <c r="M91" s="157">
        <v>52</v>
      </c>
      <c r="N91">
        <v>7</v>
      </c>
      <c r="O91">
        <v>8</v>
      </c>
      <c r="P91">
        <v>23399</v>
      </c>
    </row>
    <row r="92" spans="1:16" x14ac:dyDescent="0.25">
      <c r="L92" t="str">
        <f t="shared" si="3"/>
        <v>7-9</v>
      </c>
      <c r="M92" s="157">
        <v>53</v>
      </c>
      <c r="N92">
        <v>7</v>
      </c>
      <c r="O92">
        <v>9</v>
      </c>
      <c r="P92">
        <v>64686</v>
      </c>
    </row>
    <row r="93" spans="1:16" x14ac:dyDescent="0.25">
      <c r="L93" t="str">
        <f t="shared" si="3"/>
        <v>8-3</v>
      </c>
      <c r="M93" s="157">
        <v>54</v>
      </c>
      <c r="N93">
        <v>8</v>
      </c>
      <c r="O93">
        <v>3</v>
      </c>
      <c r="P93">
        <v>0</v>
      </c>
    </row>
    <row r="94" spans="1:16" x14ac:dyDescent="0.25">
      <c r="L94" t="str">
        <f t="shared" si="3"/>
        <v>8-4</v>
      </c>
      <c r="M94" s="157">
        <v>55</v>
      </c>
      <c r="N94">
        <v>8</v>
      </c>
      <c r="O94">
        <v>4</v>
      </c>
      <c r="P94">
        <v>39348</v>
      </c>
    </row>
    <row r="95" spans="1:16" x14ac:dyDescent="0.25">
      <c r="L95" t="str">
        <f t="shared" si="3"/>
        <v>8-5</v>
      </c>
      <c r="M95" s="157">
        <v>56</v>
      </c>
      <c r="N95">
        <v>8</v>
      </c>
      <c r="O95">
        <v>5</v>
      </c>
      <c r="P95">
        <v>24293</v>
      </c>
    </row>
    <row r="96" spans="1:16" x14ac:dyDescent="0.25">
      <c r="L96" t="str">
        <f t="shared" si="3"/>
        <v>8-6</v>
      </c>
      <c r="M96" s="157">
        <v>57</v>
      </c>
      <c r="N96">
        <v>8</v>
      </c>
      <c r="O96">
        <v>6</v>
      </c>
      <c r="P96">
        <v>18614</v>
      </c>
    </row>
    <row r="97" spans="12:16" x14ac:dyDescent="0.25">
      <c r="L97" t="str">
        <f t="shared" si="3"/>
        <v>8-7</v>
      </c>
      <c r="M97" s="157">
        <v>58</v>
      </c>
      <c r="N97">
        <v>8</v>
      </c>
      <c r="O97">
        <v>7</v>
      </c>
      <c r="P97">
        <v>8886</v>
      </c>
    </row>
    <row r="98" spans="12:16" x14ac:dyDescent="0.25">
      <c r="L98" t="str">
        <f t="shared" si="3"/>
        <v>8-8</v>
      </c>
      <c r="M98" s="157">
        <v>59</v>
      </c>
      <c r="N98">
        <v>8</v>
      </c>
      <c r="O98">
        <v>8</v>
      </c>
      <c r="P98">
        <v>18909</v>
      </c>
    </row>
    <row r="99" spans="12:16" x14ac:dyDescent="0.25">
      <c r="L99" t="str">
        <f t="shared" si="3"/>
        <v>8-9</v>
      </c>
      <c r="M99" s="157">
        <v>60</v>
      </c>
      <c r="N99">
        <v>8</v>
      </c>
      <c r="O99">
        <v>9</v>
      </c>
      <c r="P99">
        <v>32915</v>
      </c>
    </row>
  </sheetData>
  <mergeCells count="2">
    <mergeCell ref="B1:D1"/>
    <mergeCell ref="G1:I1"/>
  </mergeCells>
  <pageMargins left="0.7" right="0.7" top="0.75" bottom="0.75" header="0.3" footer="0.3"/>
  <pageSetup paperSize="0" orientation="portrait" horizontalDpi="0" verticalDpi="0" copie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O44"/>
  <sheetViews>
    <sheetView workbookViewId="0">
      <selection activeCell="E35" sqref="E35"/>
    </sheetView>
  </sheetViews>
  <sheetFormatPr defaultRowHeight="15" x14ac:dyDescent="0.25"/>
  <cols>
    <col min="2" max="2" width="23.28515625" bestFit="1" customWidth="1"/>
    <col min="3" max="3" width="11.7109375" customWidth="1"/>
    <col min="4" max="4" width="11.28515625" customWidth="1"/>
    <col min="5" max="5" width="11.85546875" customWidth="1"/>
    <col min="6" max="6" width="10.5703125" bestFit="1" customWidth="1"/>
    <col min="7" max="7" width="9.85546875" customWidth="1"/>
    <col min="9" max="9" width="9.85546875" customWidth="1"/>
    <col min="14" max="14" width="12.28515625" customWidth="1"/>
    <col min="15" max="15" width="6.85546875" bestFit="1" customWidth="1"/>
  </cols>
  <sheetData>
    <row r="1" spans="1:6" ht="21" x14ac:dyDescent="0.35">
      <c r="A1" s="172" t="s">
        <v>371</v>
      </c>
    </row>
    <row r="3" spans="1:6" x14ac:dyDescent="0.25">
      <c r="B3" s="5" t="s">
        <v>147</v>
      </c>
    </row>
    <row r="4" spans="1:6" x14ac:dyDescent="0.25">
      <c r="B4" s="5"/>
      <c r="C4" s="395" t="s">
        <v>10</v>
      </c>
      <c r="D4" s="395"/>
      <c r="E4" s="395" t="s">
        <v>11</v>
      </c>
      <c r="F4" s="395"/>
    </row>
    <row r="5" spans="1:6" ht="15.75" thickBot="1" x14ac:dyDescent="0.3">
      <c r="B5" s="73" t="s">
        <v>25</v>
      </c>
      <c r="C5" s="73" t="s">
        <v>7</v>
      </c>
      <c r="D5" s="73" t="s">
        <v>3</v>
      </c>
      <c r="E5" s="73" t="s">
        <v>7</v>
      </c>
      <c r="F5" s="73" t="s">
        <v>3</v>
      </c>
    </row>
    <row r="6" spans="1:6" ht="15.75" thickTop="1" x14ac:dyDescent="0.25">
      <c r="B6" s="77" t="s">
        <v>30</v>
      </c>
      <c r="C6" s="24">
        <f>ToursSummary_input!C3</f>
        <v>3981393.0986799998</v>
      </c>
      <c r="D6" s="25">
        <f>ToursSummary_input!J3*Index!$B$2</f>
        <v>3621775</v>
      </c>
      <c r="E6" s="48">
        <f>C6/$C$14</f>
        <v>0.40461110717612508</v>
      </c>
      <c r="F6" s="49">
        <f>D6/$D$14</f>
        <v>0.3613114364867413</v>
      </c>
    </row>
    <row r="7" spans="1:6" x14ac:dyDescent="0.25">
      <c r="B7" s="77" t="s">
        <v>31</v>
      </c>
      <c r="C7" s="24">
        <f>ToursSummary_input!C4</f>
        <v>922823.19704999996</v>
      </c>
      <c r="D7" s="25">
        <f>ToursSummary_input!J4*Index!$B$2</f>
        <v>815625</v>
      </c>
      <c r="E7" s="48">
        <f t="shared" ref="E7:E14" si="0">C7/$C$14</f>
        <v>9.378237873823729E-2</v>
      </c>
      <c r="F7" s="49">
        <f t="shared" ref="F7:F14" si="1">D7/$D$14</f>
        <v>8.1367462193123088E-2</v>
      </c>
    </row>
    <row r="8" spans="1:6" x14ac:dyDescent="0.25">
      <c r="B8" s="77" t="s">
        <v>32</v>
      </c>
      <c r="C8" s="24">
        <f>ToursSummary_input!C5</f>
        <v>341737.06680999999</v>
      </c>
      <c r="D8" s="25">
        <f>ToursSummary_input!J5*Index!$B$2</f>
        <v>358870</v>
      </c>
      <c r="E8" s="48">
        <f t="shared" si="0"/>
        <v>3.4729203959025817E-2</v>
      </c>
      <c r="F8" s="49">
        <f t="shared" si="1"/>
        <v>3.5801184560608219E-2</v>
      </c>
    </row>
    <row r="9" spans="1:6" x14ac:dyDescent="0.25">
      <c r="B9" s="77" t="s">
        <v>33</v>
      </c>
      <c r="C9" s="24">
        <f>ToursSummary_input!C6</f>
        <v>876955.87482999999</v>
      </c>
      <c r="D9" s="25">
        <f>ToursSummary_input!J6*Index!$B$2</f>
        <v>1417400</v>
      </c>
      <c r="E9" s="48">
        <f t="shared" si="0"/>
        <v>8.9121088690592626E-2</v>
      </c>
      <c r="F9" s="49">
        <f t="shared" si="1"/>
        <v>0.14140106165521246</v>
      </c>
    </row>
    <row r="10" spans="1:6" x14ac:dyDescent="0.25">
      <c r="B10" s="77" t="s">
        <v>34</v>
      </c>
      <c r="C10" s="24">
        <f>ToursSummary_input!C7</f>
        <v>1012979.00609</v>
      </c>
      <c r="D10" s="25">
        <f>ToursSummary_input!J7*Index!$B$2</f>
        <v>1061055</v>
      </c>
      <c r="E10" s="48">
        <f t="shared" si="0"/>
        <v>0.10294450887960106</v>
      </c>
      <c r="F10" s="49">
        <f t="shared" si="1"/>
        <v>0.10585177329940133</v>
      </c>
    </row>
    <row r="11" spans="1:6" x14ac:dyDescent="0.25">
      <c r="B11" s="77" t="s">
        <v>35</v>
      </c>
      <c r="C11" s="24">
        <f>ToursSummary_input!C8</f>
        <v>319217.00296000001</v>
      </c>
      <c r="D11" s="25">
        <f>ToursSummary_input!J8*Index!$B$2</f>
        <v>314900</v>
      </c>
      <c r="E11" s="48">
        <f t="shared" si="0"/>
        <v>3.2440590967998506E-2</v>
      </c>
      <c r="F11" s="49">
        <f t="shared" si="1"/>
        <v>3.1414698966577115E-2</v>
      </c>
    </row>
    <row r="12" spans="1:6" x14ac:dyDescent="0.25">
      <c r="B12" s="77" t="s">
        <v>36</v>
      </c>
      <c r="C12" s="24">
        <f>ToursSummary_input!C9</f>
        <v>1498188.8796699999</v>
      </c>
      <c r="D12" s="25">
        <f>ToursSummary_input!J9*Index!$B$2</f>
        <v>1524665</v>
      </c>
      <c r="E12" s="48">
        <f t="shared" si="0"/>
        <v>0.15225421010630993</v>
      </c>
      <c r="F12" s="49">
        <f t="shared" si="1"/>
        <v>0.15210191171761289</v>
      </c>
    </row>
    <row r="13" spans="1:6" ht="15.75" thickBot="1" x14ac:dyDescent="0.3">
      <c r="B13" s="78" t="s">
        <v>37</v>
      </c>
      <c r="C13" s="74">
        <f>ToursSummary_input!C10</f>
        <v>886754.81984000001</v>
      </c>
      <c r="D13" s="75">
        <f>ToursSummary_input!J10*Index!$B$2</f>
        <v>909680</v>
      </c>
      <c r="E13" s="76">
        <f t="shared" si="0"/>
        <v>9.0116911482109624E-2</v>
      </c>
      <c r="F13" s="79">
        <f t="shared" si="1"/>
        <v>9.0750471120723625E-2</v>
      </c>
    </row>
    <row r="14" spans="1:6" ht="15.75" thickTop="1" x14ac:dyDescent="0.25">
      <c r="B14" t="s">
        <v>29</v>
      </c>
      <c r="C14" s="29">
        <f>SUM(C6:C13)</f>
        <v>9840048.9459300004</v>
      </c>
      <c r="D14" s="29">
        <f>SUM(D6:D13)</f>
        <v>10023970</v>
      </c>
      <c r="E14" s="2">
        <f t="shared" si="0"/>
        <v>1</v>
      </c>
      <c r="F14" s="2">
        <f t="shared" si="1"/>
        <v>1</v>
      </c>
    </row>
    <row r="17" spans="2:13" x14ac:dyDescent="0.25">
      <c r="B17" s="5" t="s">
        <v>74</v>
      </c>
    </row>
    <row r="18" spans="2:13" x14ac:dyDescent="0.25">
      <c r="B18" s="5"/>
      <c r="C18" s="395" t="s">
        <v>10</v>
      </c>
      <c r="D18" s="395"/>
      <c r="E18" s="395" t="s">
        <v>11</v>
      </c>
      <c r="F18" s="395"/>
      <c r="H18" s="395" t="s">
        <v>73</v>
      </c>
      <c r="I18" s="395"/>
      <c r="J18" s="395"/>
      <c r="K18" s="395"/>
    </row>
    <row r="19" spans="2:13" ht="15.75" thickBot="1" x14ac:dyDescent="0.3">
      <c r="B19" s="73" t="s">
        <v>25</v>
      </c>
      <c r="C19" s="73" t="s">
        <v>7</v>
      </c>
      <c r="D19" s="73" t="s">
        <v>3</v>
      </c>
      <c r="E19" s="73" t="s">
        <v>7</v>
      </c>
      <c r="F19" s="73" t="s">
        <v>3</v>
      </c>
      <c r="H19" s="73" t="s">
        <v>7</v>
      </c>
      <c r="I19" s="73" t="s">
        <v>3</v>
      </c>
      <c r="J19" s="138" t="s">
        <v>144</v>
      </c>
      <c r="K19" s="138" t="s">
        <v>145</v>
      </c>
    </row>
    <row r="20" spans="2:13" ht="15.75" thickTop="1" x14ac:dyDescent="0.25">
      <c r="B20" s="77" t="s">
        <v>30</v>
      </c>
      <c r="C20" s="24">
        <f>ToursSummary_input!C14</f>
        <v>4869585.7610999998</v>
      </c>
      <c r="D20" s="25">
        <f>ToursSummary_input!J14*Index!$B$2</f>
        <v>5904620</v>
      </c>
      <c r="E20" s="48">
        <f>C20/$C$28</f>
        <v>0.45953722140631004</v>
      </c>
      <c r="F20" s="49">
        <f>D20/$D$28</f>
        <v>0.43686828516868048</v>
      </c>
      <c r="H20" s="80">
        <f>C20/C6</f>
        <v>1.2230858999365004</v>
      </c>
      <c r="I20" s="80">
        <f>D20/D6</f>
        <v>1.6303111043618115</v>
      </c>
      <c r="J20" s="139">
        <f>I20-H20</f>
        <v>0.40722520442531107</v>
      </c>
      <c r="K20" s="128">
        <f>J20/H20</f>
        <v>0.33294898129923106</v>
      </c>
      <c r="M20" s="5" t="s">
        <v>139</v>
      </c>
    </row>
    <row r="21" spans="2:13" x14ac:dyDescent="0.25">
      <c r="B21" s="77" t="s">
        <v>31</v>
      </c>
      <c r="C21" s="24">
        <f>ToursSummary_input!C15</f>
        <v>1249748.6599399999</v>
      </c>
      <c r="D21" s="25">
        <f>ToursSummary_input!J15*Index!$B$2</f>
        <v>1234975</v>
      </c>
      <c r="E21" s="48">
        <f t="shared" ref="E21:E27" si="2">C21/$C$28</f>
        <v>0.11793734720370876</v>
      </c>
      <c r="F21" s="49">
        <f t="shared" ref="F21:F28" si="3">D21/$D$28</f>
        <v>9.1372757345297609E-2</v>
      </c>
      <c r="H21" s="80">
        <f t="shared" ref="H21:H28" si="4">C21/C7</f>
        <v>1.3542666286836813</v>
      </c>
      <c r="I21" s="80">
        <f t="shared" ref="I21:I28" si="5">D21/D7</f>
        <v>1.5141455938697319</v>
      </c>
      <c r="J21" s="139">
        <f t="shared" ref="J21:J28" si="6">I21-H21</f>
        <v>0.1598789651860506</v>
      </c>
      <c r="K21" s="128">
        <f t="shared" ref="K21:K28" si="7">J21/H21</f>
        <v>0.11805575194705166</v>
      </c>
    </row>
    <row r="22" spans="2:13" x14ac:dyDescent="0.25">
      <c r="B22" s="77" t="s">
        <v>32</v>
      </c>
      <c r="C22" s="24">
        <f>ToursSummary_input!C16</f>
        <v>411264.27367999998</v>
      </c>
      <c r="D22" s="25">
        <f>ToursSummary_input!J16*Index!$B$2</f>
        <v>495615</v>
      </c>
      <c r="E22" s="48">
        <f t="shared" si="2"/>
        <v>3.8810537664275543E-2</v>
      </c>
      <c r="F22" s="49">
        <f t="shared" si="3"/>
        <v>3.6669332684216016E-2</v>
      </c>
      <c r="H22" s="80">
        <f t="shared" si="4"/>
        <v>1.2034523428172805</v>
      </c>
      <c r="I22" s="80">
        <f t="shared" si="5"/>
        <v>1.3810432747234374</v>
      </c>
      <c r="J22" s="139">
        <f t="shared" si="6"/>
        <v>0.17759093190615682</v>
      </c>
      <c r="K22" s="128">
        <f t="shared" si="7"/>
        <v>0.14756789744612292</v>
      </c>
    </row>
    <row r="23" spans="2:13" x14ac:dyDescent="0.25">
      <c r="B23" s="77" t="s">
        <v>33</v>
      </c>
      <c r="C23" s="24">
        <f>ToursSummary_input!C17</f>
        <v>906595.36580000003</v>
      </c>
      <c r="D23" s="25">
        <f>ToursSummary_input!J17*Index!$B$2</f>
        <v>1564070</v>
      </c>
      <c r="E23" s="48">
        <f t="shared" si="2"/>
        <v>8.5554364534994751E-2</v>
      </c>
      <c r="F23" s="49">
        <f t="shared" si="3"/>
        <v>0.11572168552485648</v>
      </c>
      <c r="H23" s="218">
        <f t="shared" si="4"/>
        <v>1.0337981554382605</v>
      </c>
      <c r="I23" s="80">
        <f t="shared" si="5"/>
        <v>1.1034781995202483</v>
      </c>
      <c r="J23" s="139">
        <f t="shared" si="6"/>
        <v>6.9680044081987802E-2</v>
      </c>
      <c r="K23" s="128">
        <f t="shared" si="7"/>
        <v>6.7401981436548589E-2</v>
      </c>
    </row>
    <row r="24" spans="2:13" x14ac:dyDescent="0.25">
      <c r="B24" s="77" t="s">
        <v>34</v>
      </c>
      <c r="C24" s="24">
        <f>ToursSummary_input!C18</f>
        <v>827883.36303999997</v>
      </c>
      <c r="D24" s="25">
        <f>ToursSummary_input!J18*Index!$B$2</f>
        <v>985275</v>
      </c>
      <c r="E24" s="48">
        <f t="shared" si="2"/>
        <v>7.8126403140700407E-2</v>
      </c>
      <c r="F24" s="49">
        <f t="shared" si="3"/>
        <v>7.2898069591196671E-2</v>
      </c>
      <c r="H24" s="218">
        <f t="shared" si="4"/>
        <v>0.81727593371904994</v>
      </c>
      <c r="I24" s="80">
        <f t="shared" si="5"/>
        <v>0.92858051656134699</v>
      </c>
      <c r="J24" s="139">
        <f t="shared" si="6"/>
        <v>0.11130458284229705</v>
      </c>
      <c r="K24" s="128">
        <f t="shared" si="7"/>
        <v>0.13618972277306721</v>
      </c>
    </row>
    <row r="25" spans="2:13" x14ac:dyDescent="0.25">
      <c r="B25" s="77" t="s">
        <v>35</v>
      </c>
      <c r="C25" s="24">
        <f>ToursSummary_input!C19</f>
        <v>386402.53075999999</v>
      </c>
      <c r="D25" s="25">
        <f>ToursSummary_input!J19*Index!$B$2</f>
        <v>442885</v>
      </c>
      <c r="E25" s="48">
        <f t="shared" si="2"/>
        <v>3.6464363508756821E-2</v>
      </c>
      <c r="F25" s="49">
        <f t="shared" si="3"/>
        <v>3.2767969907789331E-2</v>
      </c>
      <c r="H25" s="80">
        <f t="shared" si="4"/>
        <v>1.2104697656359451</v>
      </c>
      <c r="I25" s="80">
        <f t="shared" si="5"/>
        <v>1.406430612892982</v>
      </c>
      <c r="J25" s="139">
        <f t="shared" si="6"/>
        <v>0.19596084725703689</v>
      </c>
      <c r="K25" s="128">
        <f t="shared" si="7"/>
        <v>0.16188826257389818</v>
      </c>
    </row>
    <row r="26" spans="2:13" x14ac:dyDescent="0.25">
      <c r="B26" s="77" t="s">
        <v>36</v>
      </c>
      <c r="C26" s="24">
        <f>ToursSummary_input!C20</f>
        <v>1417943.9900499999</v>
      </c>
      <c r="D26" s="25">
        <f>ToursSummary_input!J20*Index!$B$2</f>
        <v>1927970</v>
      </c>
      <c r="E26" s="48">
        <f t="shared" si="2"/>
        <v>0.13380974753593061</v>
      </c>
      <c r="F26" s="49">
        <f t="shared" si="3"/>
        <v>0.14264574989697235</v>
      </c>
      <c r="H26" s="80">
        <f t="shared" si="4"/>
        <v>0.94643873632430431</v>
      </c>
      <c r="I26" s="80">
        <f t="shared" si="5"/>
        <v>1.2645204028425916</v>
      </c>
      <c r="J26" s="139">
        <f t="shared" si="6"/>
        <v>0.31808166651828729</v>
      </c>
      <c r="K26" s="128">
        <f t="shared" si="7"/>
        <v>0.33608267953362198</v>
      </c>
    </row>
    <row r="27" spans="2:13" ht="15.75" thickBot="1" x14ac:dyDescent="0.3">
      <c r="B27" s="78" t="s">
        <v>37</v>
      </c>
      <c r="C27" s="74">
        <f>ToursSummary_input!C21</f>
        <v>527292.78338000004</v>
      </c>
      <c r="D27" s="75">
        <f>ToursSummary_input!J21*Index!$B$2</f>
        <v>960380</v>
      </c>
      <c r="E27" s="76">
        <f t="shared" si="2"/>
        <v>4.9760015005323274E-2</v>
      </c>
      <c r="F27" s="79">
        <f t="shared" si="3"/>
        <v>7.1056149880991043E-2</v>
      </c>
      <c r="H27" s="81">
        <f t="shared" si="4"/>
        <v>0.59463199024409152</v>
      </c>
      <c r="I27" s="81">
        <f t="shared" si="5"/>
        <v>1.055733884442881</v>
      </c>
      <c r="J27" s="141">
        <f t="shared" si="6"/>
        <v>0.46110189419878944</v>
      </c>
      <c r="K27" s="140">
        <f t="shared" si="7"/>
        <v>0.77544077978298964</v>
      </c>
    </row>
    <row r="28" spans="2:13" ht="15.75" thickTop="1" x14ac:dyDescent="0.25">
      <c r="B28" t="s">
        <v>29</v>
      </c>
      <c r="C28" s="29">
        <f>SUM(C20:C27)</f>
        <v>10596716.727749998</v>
      </c>
      <c r="D28" s="29">
        <f>SUM(D20:D27)</f>
        <v>13515790</v>
      </c>
      <c r="E28" s="2">
        <f>C28/$C$28</f>
        <v>1</v>
      </c>
      <c r="F28" s="2">
        <f t="shared" si="3"/>
        <v>1</v>
      </c>
      <c r="H28" s="142">
        <f t="shared" si="4"/>
        <v>1.0768967498005146</v>
      </c>
      <c r="I28" s="80">
        <f t="shared" si="5"/>
        <v>1.3483470122117285</v>
      </c>
      <c r="J28" s="139">
        <f t="shared" si="6"/>
        <v>0.27145026241121384</v>
      </c>
      <c r="K28" s="128">
        <f t="shared" si="7"/>
        <v>0.25206712014080973</v>
      </c>
    </row>
    <row r="31" spans="2:13" x14ac:dyDescent="0.25">
      <c r="B31" s="5" t="s">
        <v>63</v>
      </c>
    </row>
    <row r="32" spans="2:13" x14ac:dyDescent="0.25">
      <c r="B32" s="82"/>
      <c r="C32" s="395" t="s">
        <v>10</v>
      </c>
      <c r="D32" s="395"/>
      <c r="E32" s="395"/>
      <c r="F32" s="395"/>
      <c r="G32" s="395" t="s">
        <v>11</v>
      </c>
      <c r="H32" s="395"/>
      <c r="I32" s="395"/>
      <c r="J32" s="395"/>
    </row>
    <row r="33" spans="2:15" x14ac:dyDescent="0.25">
      <c r="B33" s="82"/>
      <c r="C33" s="395" t="s">
        <v>7</v>
      </c>
      <c r="D33" s="395"/>
      <c r="E33" s="395" t="s">
        <v>3</v>
      </c>
      <c r="F33" s="395"/>
      <c r="G33" s="395" t="s">
        <v>7</v>
      </c>
      <c r="H33" s="395"/>
      <c r="I33" s="395" t="s">
        <v>3</v>
      </c>
      <c r="J33" s="395"/>
      <c r="L33" s="395" t="s">
        <v>144</v>
      </c>
      <c r="M33" s="395"/>
      <c r="N33" s="395" t="s">
        <v>162</v>
      </c>
      <c r="O33" s="395"/>
    </row>
    <row r="34" spans="2:15" ht="15.75" thickBot="1" x14ac:dyDescent="0.3">
      <c r="B34" s="73" t="s">
        <v>70</v>
      </c>
      <c r="C34" s="83" t="s">
        <v>71</v>
      </c>
      <c r="D34" s="83" t="s">
        <v>72</v>
      </c>
      <c r="E34" s="83" t="s">
        <v>71</v>
      </c>
      <c r="F34" s="83" t="s">
        <v>72</v>
      </c>
      <c r="G34" s="83" t="s">
        <v>71</v>
      </c>
      <c r="H34" s="83" t="s">
        <v>72</v>
      </c>
      <c r="I34" s="83" t="s">
        <v>71</v>
      </c>
      <c r="J34" s="83" t="s">
        <v>72</v>
      </c>
      <c r="L34" s="83" t="s">
        <v>71</v>
      </c>
      <c r="M34" s="83" t="s">
        <v>72</v>
      </c>
      <c r="N34" s="83" t="s">
        <v>71</v>
      </c>
      <c r="O34" s="83" t="s">
        <v>72</v>
      </c>
    </row>
    <row r="35" spans="2:15" ht="15.75" thickTop="1" x14ac:dyDescent="0.25">
      <c r="B35" s="5" t="s">
        <v>4</v>
      </c>
      <c r="C35" s="24">
        <f>ToursSummary_input!C25</f>
        <v>4112680.0639499999</v>
      </c>
      <c r="D35" s="18"/>
      <c r="E35" s="18">
        <f>ToursSummary_input!I25*Index!$B$2</f>
        <v>4783085</v>
      </c>
      <c r="F35" s="25">
        <f>ToursSummary_input!J25</f>
        <v>0</v>
      </c>
      <c r="G35" s="48">
        <f>C35/C$44</f>
        <v>0.38923601042655892</v>
      </c>
      <c r="H35" s="28">
        <f>D35/D$44</f>
        <v>0</v>
      </c>
      <c r="I35" s="28">
        <f>E35/E$44</f>
        <v>0.35388867391399242</v>
      </c>
      <c r="J35" s="49">
        <f>F35/F$44</f>
        <v>0</v>
      </c>
      <c r="L35" s="87">
        <f>I35-G35</f>
        <v>-3.5347336512566496E-2</v>
      </c>
      <c r="M35">
        <f t="shared" ref="M35:M43" si="8">J35-H35</f>
        <v>0</v>
      </c>
      <c r="N35" s="2">
        <f>L35/G35</f>
        <v>-9.0812092318564741E-2</v>
      </c>
    </row>
    <row r="36" spans="2:15" x14ac:dyDescent="0.25">
      <c r="B36" s="5" t="s">
        <v>5</v>
      </c>
      <c r="C36" s="24">
        <f>ToursSummary_input!C26</f>
        <v>195955.13146</v>
      </c>
      <c r="D36" s="18"/>
      <c r="E36" s="18">
        <f>ToursSummary_input!I26*Index!$B$2</f>
        <v>144500</v>
      </c>
      <c r="F36" s="25">
        <f>ToursSummary_input!J26</f>
        <v>0</v>
      </c>
      <c r="G36" s="48">
        <f t="shared" ref="G36:G44" si="9">C36/C$44</f>
        <v>1.8545763931572767E-2</v>
      </c>
      <c r="H36" s="28">
        <f t="shared" ref="H36:H44" si="10">D36/D$44</f>
        <v>0</v>
      </c>
      <c r="I36" s="28">
        <f t="shared" ref="I36:I44" si="11">E36/E$44</f>
        <v>1.0691198960623094E-2</v>
      </c>
      <c r="J36" s="49">
        <f t="shared" ref="J36:J44" si="12">F36/F$44</f>
        <v>0</v>
      </c>
      <c r="L36" s="87">
        <f t="shared" ref="L36:L43" si="13">I36-G36</f>
        <v>-7.8545649709496727E-3</v>
      </c>
      <c r="M36">
        <f t="shared" si="8"/>
        <v>0</v>
      </c>
      <c r="N36" s="2">
        <f t="shared" ref="N36:N43" si="14">L36/G36</f>
        <v>-0.42352339865481992</v>
      </c>
    </row>
    <row r="37" spans="2:15" x14ac:dyDescent="0.25">
      <c r="B37" s="5" t="s">
        <v>6</v>
      </c>
      <c r="C37" s="24">
        <f>ToursSummary_input!C27</f>
        <v>1541459.1488900001</v>
      </c>
      <c r="D37" s="18"/>
      <c r="E37" s="18">
        <f>ToursSummary_input!I27*Index!$B$2</f>
        <v>1615835</v>
      </c>
      <c r="F37" s="25">
        <f>ToursSummary_input!J27</f>
        <v>0</v>
      </c>
      <c r="G37" s="48">
        <f t="shared" si="9"/>
        <v>0.14588817997508038</v>
      </c>
      <c r="H37" s="28">
        <f t="shared" si="10"/>
        <v>0</v>
      </c>
      <c r="I37" s="28">
        <f t="shared" si="11"/>
        <v>0.11955165032898558</v>
      </c>
      <c r="J37" s="49">
        <f t="shared" si="12"/>
        <v>0</v>
      </c>
      <c r="L37" s="87">
        <f t="shared" si="13"/>
        <v>-2.63365296460948E-2</v>
      </c>
      <c r="M37">
        <f t="shared" si="8"/>
        <v>0</v>
      </c>
      <c r="N37" s="2">
        <f t="shared" si="14"/>
        <v>-0.18052545210032386</v>
      </c>
    </row>
    <row r="38" spans="2:15" x14ac:dyDescent="0.25">
      <c r="B38" s="5" t="s">
        <v>64</v>
      </c>
      <c r="C38" s="24">
        <f>ToursSummary_input!C28</f>
        <v>1216488.8923599999</v>
      </c>
      <c r="D38" s="18"/>
      <c r="E38" s="18">
        <f>ToursSummary_input!I28*Index!$B$2</f>
        <v>1330455</v>
      </c>
      <c r="F38" s="25">
        <f>ToursSummary_input!J28</f>
        <v>0</v>
      </c>
      <c r="G38" s="48">
        <f t="shared" si="9"/>
        <v>0.11513204913286118</v>
      </c>
      <c r="H38" s="28">
        <f t="shared" si="10"/>
        <v>0</v>
      </c>
      <c r="I38" s="28">
        <f t="shared" si="11"/>
        <v>9.8437087288275424E-2</v>
      </c>
      <c r="J38" s="49">
        <f t="shared" si="12"/>
        <v>0</v>
      </c>
      <c r="L38" s="87">
        <f t="shared" si="13"/>
        <v>-1.6694961844585757E-2</v>
      </c>
      <c r="M38">
        <f t="shared" si="8"/>
        <v>0</v>
      </c>
      <c r="N38" s="2">
        <f t="shared" si="14"/>
        <v>-0.14500707639903068</v>
      </c>
    </row>
    <row r="39" spans="2:15" x14ac:dyDescent="0.25">
      <c r="B39" s="5" t="s">
        <v>65</v>
      </c>
      <c r="C39" s="24">
        <f>ToursSummary_input!C29</f>
        <v>1027902.62881</v>
      </c>
      <c r="D39" s="18">
        <f>ToursSummary_input!D29</f>
        <v>296422.28529999999</v>
      </c>
      <c r="E39" s="18">
        <f>ToursSummary_input!I29*Index!$B$2</f>
        <v>1581105</v>
      </c>
      <c r="F39" s="25">
        <f>ToursSummary_input!J29*Index!$B$2</f>
        <v>332810</v>
      </c>
      <c r="G39" s="48">
        <f t="shared" si="9"/>
        <v>9.7283696305981535E-2</v>
      </c>
      <c r="H39" s="28">
        <f t="shared" si="10"/>
        <v>0.31627868059485653</v>
      </c>
      <c r="I39" s="28">
        <f t="shared" si="11"/>
        <v>0.11698206320163305</v>
      </c>
      <c r="J39" s="49">
        <f t="shared" si="12"/>
        <v>0.33179967000483529</v>
      </c>
      <c r="L39" s="87">
        <f t="shared" si="13"/>
        <v>1.969836689565152E-2</v>
      </c>
      <c r="M39" s="87">
        <f t="shared" si="8"/>
        <v>1.5520989409978758E-2</v>
      </c>
      <c r="N39" s="2">
        <f t="shared" si="14"/>
        <v>0.20248374232918981</v>
      </c>
      <c r="O39" s="2">
        <f>M39/H39</f>
        <v>4.9073776900760119E-2</v>
      </c>
    </row>
    <row r="40" spans="2:15" x14ac:dyDescent="0.25">
      <c r="B40" s="5" t="s">
        <v>66</v>
      </c>
      <c r="C40" s="24">
        <f>ToursSummary_input!C30</f>
        <v>917179.15985000005</v>
      </c>
      <c r="D40" s="18">
        <f>ToursSummary_input!D30</f>
        <v>190285.83180000001</v>
      </c>
      <c r="E40" s="18">
        <f>ToursSummary_input!I30*Index!$B$2</f>
        <v>1354810</v>
      </c>
      <c r="F40" s="25">
        <f>ToursSummary_input!J30*Index!$B$2</f>
        <v>210170</v>
      </c>
      <c r="G40" s="48">
        <f t="shared" si="9"/>
        <v>8.6804504963977042E-2</v>
      </c>
      <c r="H40" s="28">
        <f t="shared" si="10"/>
        <v>0.20303248035716698</v>
      </c>
      <c r="I40" s="28">
        <f t="shared" si="11"/>
        <v>0.10023905372900881</v>
      </c>
      <c r="J40" s="49">
        <f t="shared" si="12"/>
        <v>0.20953197513571176</v>
      </c>
      <c r="L40" s="87">
        <f t="shared" si="13"/>
        <v>1.3434548765031765E-2</v>
      </c>
      <c r="M40" s="87">
        <f t="shared" si="8"/>
        <v>6.4994947785447788E-3</v>
      </c>
      <c r="N40" s="2">
        <f t="shared" si="14"/>
        <v>0.15476787490012139</v>
      </c>
      <c r="O40" s="2">
        <f>M40/H40</f>
        <v>3.2012093666545942E-2</v>
      </c>
    </row>
    <row r="41" spans="2:15" x14ac:dyDescent="0.25">
      <c r="B41" s="5" t="s">
        <v>67</v>
      </c>
      <c r="C41" s="24">
        <f>ToursSummary_input!C31</f>
        <v>213616.41323000001</v>
      </c>
      <c r="D41" s="18">
        <f>ToursSummary_input!D31</f>
        <v>106691.30232</v>
      </c>
      <c r="E41" s="18">
        <f>ToursSummary_input!I31*Index!$B$2</f>
        <v>484240</v>
      </c>
      <c r="F41" s="25">
        <f>ToursSummary_input!J31*Index!$B$2</f>
        <v>105090</v>
      </c>
      <c r="G41" s="48">
        <f t="shared" si="9"/>
        <v>2.0217279038092294E-2</v>
      </c>
      <c r="H41" s="28">
        <f t="shared" si="10"/>
        <v>0.11383821663261617</v>
      </c>
      <c r="I41" s="28">
        <f t="shared" si="11"/>
        <v>3.582772446153721E-2</v>
      </c>
      <c r="J41" s="49">
        <f t="shared" si="12"/>
        <v>0.10477097238907526</v>
      </c>
      <c r="L41" s="87">
        <f t="shared" si="13"/>
        <v>1.5610445423444915E-2</v>
      </c>
      <c r="M41" s="87">
        <f t="shared" si="8"/>
        <v>-9.0672442435409117E-3</v>
      </c>
      <c r="N41" s="2">
        <f t="shared" si="14"/>
        <v>0.77213384620316938</v>
      </c>
      <c r="O41" s="2">
        <f>M41/H41</f>
        <v>-7.9650266068407694E-2</v>
      </c>
    </row>
    <row r="42" spans="2:15" x14ac:dyDescent="0.25">
      <c r="B42" s="5" t="s">
        <v>68</v>
      </c>
      <c r="C42" s="24">
        <f>ToursSummary_input!C32</f>
        <v>476344.84857999999</v>
      </c>
      <c r="D42" s="18">
        <f>ToursSummary_input!D32</f>
        <v>92831.101819999996</v>
      </c>
      <c r="E42" s="18">
        <f>ToursSummary_input!I32*Index!$B$2</f>
        <v>740335</v>
      </c>
      <c r="F42" s="25">
        <f>ToursSummary_input!J32*Index!$B$2</f>
        <v>97945</v>
      </c>
      <c r="G42" s="48">
        <f t="shared" si="9"/>
        <v>4.5082662780835427E-2</v>
      </c>
      <c r="H42" s="28">
        <f t="shared" si="10"/>
        <v>9.9049564954542854E-2</v>
      </c>
      <c r="I42" s="28">
        <f t="shared" si="11"/>
        <v>5.4775562508739779E-2</v>
      </c>
      <c r="J42" s="49">
        <f t="shared" si="12"/>
        <v>9.7647662866571297E-2</v>
      </c>
      <c r="L42" s="87">
        <f t="shared" si="13"/>
        <v>9.6928997279043527E-3</v>
      </c>
      <c r="M42" s="87">
        <f t="shared" si="8"/>
        <v>-1.4019020879715571E-3</v>
      </c>
      <c r="N42" s="2">
        <f t="shared" si="14"/>
        <v>0.21500282214973312</v>
      </c>
      <c r="O42" s="2">
        <f>M42/H42</f>
        <v>-1.4153541094450406E-2</v>
      </c>
    </row>
    <row r="43" spans="2:15" ht="15.75" thickBot="1" x14ac:dyDescent="0.3">
      <c r="B43" s="54" t="s">
        <v>69</v>
      </c>
      <c r="C43" s="74">
        <f>ToursSummary_input!C33</f>
        <v>864405.51306999999</v>
      </c>
      <c r="D43" s="84">
        <f>ToursSummary_input!D33</f>
        <v>250988.15168000001</v>
      </c>
      <c r="E43" s="84">
        <f>ToursSummary_input!I33*Index!$B$2</f>
        <v>1481425</v>
      </c>
      <c r="F43" s="75">
        <f>ToursSummary_input!J33*Index!$B$2</f>
        <v>257030</v>
      </c>
      <c r="G43" s="76">
        <f t="shared" si="9"/>
        <v>8.1809853445040562E-2</v>
      </c>
      <c r="H43" s="85">
        <f t="shared" si="10"/>
        <v>0.26780105746081745</v>
      </c>
      <c r="I43" s="85">
        <f t="shared" si="11"/>
        <v>0.10960698560720461</v>
      </c>
      <c r="J43" s="79">
        <f t="shared" si="12"/>
        <v>0.25624971960380644</v>
      </c>
      <c r="L43" s="87">
        <f t="shared" si="13"/>
        <v>2.7797132162164048E-2</v>
      </c>
      <c r="M43" s="87">
        <f t="shared" si="8"/>
        <v>-1.1551337857011013E-2</v>
      </c>
      <c r="N43" s="2">
        <f t="shared" si="14"/>
        <v>0.33977731277611956</v>
      </c>
      <c r="O43" s="2">
        <f>M43/H43</f>
        <v>-4.3134026304960028E-2</v>
      </c>
    </row>
    <row r="44" spans="2:15" ht="15.75" thickTop="1" x14ac:dyDescent="0.25">
      <c r="B44" s="5" t="s">
        <v>29</v>
      </c>
      <c r="C44" s="18">
        <f>SUM(C35:C43)</f>
        <v>10566031.800199999</v>
      </c>
      <c r="D44" s="18">
        <f>SUM(D35:D43)</f>
        <v>937218.67292000004</v>
      </c>
      <c r="E44" s="18">
        <f>SUM(E35:E43)</f>
        <v>13515790</v>
      </c>
      <c r="F44" s="18">
        <f>SUM(F35:F43)</f>
        <v>1003045</v>
      </c>
      <c r="G44" s="28">
        <f t="shared" si="9"/>
        <v>1</v>
      </c>
      <c r="H44" s="28">
        <f t="shared" si="10"/>
        <v>1</v>
      </c>
      <c r="I44" s="28">
        <f t="shared" si="11"/>
        <v>1</v>
      </c>
      <c r="J44" s="28">
        <f t="shared" si="12"/>
        <v>1</v>
      </c>
    </row>
  </sheetData>
  <mergeCells count="13">
    <mergeCell ref="C33:D33"/>
    <mergeCell ref="E33:F33"/>
    <mergeCell ref="C32:F32"/>
    <mergeCell ref="L33:M33"/>
    <mergeCell ref="N33:O33"/>
    <mergeCell ref="G32:J32"/>
    <mergeCell ref="G33:H33"/>
    <mergeCell ref="I33:J33"/>
    <mergeCell ref="H18:K18"/>
    <mergeCell ref="C4:D4"/>
    <mergeCell ref="E4:F4"/>
    <mergeCell ref="C18:D18"/>
    <mergeCell ref="E18:F18"/>
  </mergeCells>
  <hyperlinks>
    <hyperlink ref="A1" location="Index!A1" display="Index"/>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O34"/>
  <sheetViews>
    <sheetView topLeftCell="A7" workbookViewId="0">
      <selection activeCell="R30" sqref="R30"/>
    </sheetView>
  </sheetViews>
  <sheetFormatPr defaultRowHeight="15" x14ac:dyDescent="0.25"/>
  <cols>
    <col min="2" max="2" width="10.28515625" bestFit="1" customWidth="1"/>
  </cols>
  <sheetData>
    <row r="1" spans="1:15" x14ac:dyDescent="0.25">
      <c r="A1" s="388" t="s">
        <v>7</v>
      </c>
      <c r="B1" s="388"/>
      <c r="C1" s="388"/>
      <c r="D1" s="388"/>
      <c r="E1" s="388"/>
      <c r="H1" s="388" t="s">
        <v>3</v>
      </c>
      <c r="I1" s="388"/>
      <c r="J1" s="388"/>
      <c r="K1" s="388"/>
      <c r="L1" s="388"/>
    </row>
    <row r="2" spans="1:15" x14ac:dyDescent="0.25">
      <c r="B2" t="s">
        <v>43</v>
      </c>
      <c r="C2" t="s">
        <v>39</v>
      </c>
      <c r="I2" t="s">
        <v>43</v>
      </c>
      <c r="J2" t="s">
        <v>39</v>
      </c>
      <c r="M2" s="157"/>
      <c r="N2" t="s">
        <v>43</v>
      </c>
      <c r="O2" t="s">
        <v>39</v>
      </c>
    </row>
    <row r="3" spans="1:15" x14ac:dyDescent="0.25">
      <c r="A3">
        <v>1</v>
      </c>
      <c r="B3">
        <v>1</v>
      </c>
      <c r="C3">
        <v>3981393.0986799998</v>
      </c>
      <c r="H3">
        <v>1</v>
      </c>
      <c r="I3">
        <v>1</v>
      </c>
      <c r="J3">
        <v>724355</v>
      </c>
      <c r="M3" s="157">
        <v>1</v>
      </c>
      <c r="N3">
        <v>1</v>
      </c>
      <c r="O3">
        <v>724355</v>
      </c>
    </row>
    <row r="4" spans="1:15" x14ac:dyDescent="0.25">
      <c r="A4">
        <v>2</v>
      </c>
      <c r="B4">
        <v>2</v>
      </c>
      <c r="C4">
        <v>922823.19704999996</v>
      </c>
      <c r="H4">
        <v>2</v>
      </c>
      <c r="I4">
        <v>2</v>
      </c>
      <c r="J4">
        <v>163125</v>
      </c>
      <c r="M4" s="157">
        <v>2</v>
      </c>
      <c r="N4">
        <v>2</v>
      </c>
      <c r="O4">
        <v>163125</v>
      </c>
    </row>
    <row r="5" spans="1:15" x14ac:dyDescent="0.25">
      <c r="A5">
        <v>3</v>
      </c>
      <c r="B5">
        <v>3</v>
      </c>
      <c r="C5">
        <v>341737.06680999999</v>
      </c>
      <c r="H5">
        <v>3</v>
      </c>
      <c r="I5">
        <v>3</v>
      </c>
      <c r="J5">
        <v>71774</v>
      </c>
      <c r="M5" s="157">
        <v>3</v>
      </c>
      <c r="N5">
        <v>3</v>
      </c>
      <c r="O5">
        <v>71774</v>
      </c>
    </row>
    <row r="6" spans="1:15" x14ac:dyDescent="0.25">
      <c r="A6">
        <v>4</v>
      </c>
      <c r="B6">
        <v>4</v>
      </c>
      <c r="C6">
        <v>876955.87482999999</v>
      </c>
      <c r="H6">
        <v>4</v>
      </c>
      <c r="I6">
        <v>4</v>
      </c>
      <c r="J6">
        <v>283480</v>
      </c>
      <c r="M6" s="157">
        <v>4</v>
      </c>
      <c r="N6">
        <v>4</v>
      </c>
      <c r="O6">
        <v>283480</v>
      </c>
    </row>
    <row r="7" spans="1:15" x14ac:dyDescent="0.25">
      <c r="A7">
        <v>5</v>
      </c>
      <c r="B7">
        <v>5</v>
      </c>
      <c r="C7">
        <v>1012979.00609</v>
      </c>
      <c r="H7">
        <v>5</v>
      </c>
      <c r="I7">
        <v>5</v>
      </c>
      <c r="J7">
        <v>212211</v>
      </c>
      <c r="M7" s="157">
        <v>5</v>
      </c>
      <c r="N7">
        <v>5</v>
      </c>
      <c r="O7">
        <v>212211</v>
      </c>
    </row>
    <row r="8" spans="1:15" x14ac:dyDescent="0.25">
      <c r="A8">
        <v>6</v>
      </c>
      <c r="B8">
        <v>6</v>
      </c>
      <c r="C8">
        <v>319217.00296000001</v>
      </c>
      <c r="H8">
        <v>6</v>
      </c>
      <c r="I8">
        <v>6</v>
      </c>
      <c r="J8">
        <v>62980</v>
      </c>
      <c r="M8" s="157">
        <v>6</v>
      </c>
      <c r="N8">
        <v>6</v>
      </c>
      <c r="O8">
        <v>62980</v>
      </c>
    </row>
    <row r="9" spans="1:15" x14ac:dyDescent="0.25">
      <c r="A9">
        <v>7</v>
      </c>
      <c r="B9">
        <v>7</v>
      </c>
      <c r="C9">
        <v>1498188.8796699999</v>
      </c>
      <c r="H9">
        <v>7</v>
      </c>
      <c r="I9">
        <v>7</v>
      </c>
      <c r="J9">
        <v>304933</v>
      </c>
      <c r="M9" s="157">
        <v>7</v>
      </c>
      <c r="N9">
        <v>7</v>
      </c>
      <c r="O9">
        <v>304933</v>
      </c>
    </row>
    <row r="10" spans="1:15" x14ac:dyDescent="0.25">
      <c r="A10">
        <v>8</v>
      </c>
      <c r="B10">
        <v>8</v>
      </c>
      <c r="C10">
        <v>886754.81984000001</v>
      </c>
      <c r="H10">
        <v>8</v>
      </c>
      <c r="I10">
        <v>8</v>
      </c>
      <c r="J10">
        <v>181936</v>
      </c>
      <c r="M10" s="157">
        <v>8</v>
      </c>
      <c r="N10">
        <v>8</v>
      </c>
      <c r="O10">
        <v>181936</v>
      </c>
    </row>
    <row r="13" spans="1:15" x14ac:dyDescent="0.25">
      <c r="B13" t="s">
        <v>43</v>
      </c>
      <c r="C13" t="s">
        <v>39</v>
      </c>
      <c r="I13" t="s">
        <v>43</v>
      </c>
      <c r="J13" t="s">
        <v>39</v>
      </c>
      <c r="M13" s="157"/>
      <c r="N13" t="s">
        <v>43</v>
      </c>
      <c r="O13" t="s">
        <v>39</v>
      </c>
    </row>
    <row r="14" spans="1:15" x14ac:dyDescent="0.25">
      <c r="A14">
        <v>1</v>
      </c>
      <c r="B14">
        <v>1</v>
      </c>
      <c r="C14">
        <v>4869585.7610999998</v>
      </c>
      <c r="H14">
        <v>1</v>
      </c>
      <c r="I14">
        <v>1</v>
      </c>
      <c r="J14">
        <v>1180924</v>
      </c>
      <c r="M14" s="157">
        <v>1</v>
      </c>
      <c r="N14">
        <v>1</v>
      </c>
      <c r="O14">
        <v>1180924</v>
      </c>
    </row>
    <row r="15" spans="1:15" x14ac:dyDescent="0.25">
      <c r="A15">
        <v>2</v>
      </c>
      <c r="B15">
        <v>2</v>
      </c>
      <c r="C15">
        <v>1249748.6599399999</v>
      </c>
      <c r="H15">
        <v>2</v>
      </c>
      <c r="I15">
        <v>2</v>
      </c>
      <c r="J15">
        <v>246995</v>
      </c>
      <c r="M15" s="157">
        <v>2</v>
      </c>
      <c r="N15">
        <v>2</v>
      </c>
      <c r="O15">
        <v>246995</v>
      </c>
    </row>
    <row r="16" spans="1:15" x14ac:dyDescent="0.25">
      <c r="A16">
        <v>3</v>
      </c>
      <c r="B16">
        <v>3</v>
      </c>
      <c r="C16">
        <v>411264.27367999998</v>
      </c>
      <c r="H16">
        <v>3</v>
      </c>
      <c r="I16">
        <v>3</v>
      </c>
      <c r="J16">
        <v>99123</v>
      </c>
      <c r="M16" s="157">
        <v>3</v>
      </c>
      <c r="N16">
        <v>3</v>
      </c>
      <c r="O16">
        <v>99123</v>
      </c>
    </row>
    <row r="17" spans="1:15" x14ac:dyDescent="0.25">
      <c r="A17">
        <v>4</v>
      </c>
      <c r="B17">
        <v>4</v>
      </c>
      <c r="C17">
        <v>906595.36580000003</v>
      </c>
      <c r="H17">
        <v>4</v>
      </c>
      <c r="I17">
        <v>4</v>
      </c>
      <c r="J17">
        <v>312814</v>
      </c>
      <c r="M17" s="157">
        <v>4</v>
      </c>
      <c r="N17">
        <v>4</v>
      </c>
      <c r="O17">
        <v>312814</v>
      </c>
    </row>
    <row r="18" spans="1:15" x14ac:dyDescent="0.25">
      <c r="A18">
        <v>5</v>
      </c>
      <c r="B18">
        <v>5</v>
      </c>
      <c r="C18">
        <v>827883.36303999997</v>
      </c>
      <c r="H18">
        <v>5</v>
      </c>
      <c r="I18">
        <v>5</v>
      </c>
      <c r="J18">
        <v>197055</v>
      </c>
      <c r="M18" s="157">
        <v>5</v>
      </c>
      <c r="N18">
        <v>5</v>
      </c>
      <c r="O18">
        <v>197055</v>
      </c>
    </row>
    <row r="19" spans="1:15" x14ac:dyDescent="0.25">
      <c r="A19">
        <v>6</v>
      </c>
      <c r="B19">
        <v>6</v>
      </c>
      <c r="C19">
        <v>386402.53075999999</v>
      </c>
      <c r="H19">
        <v>6</v>
      </c>
      <c r="I19">
        <v>6</v>
      </c>
      <c r="J19">
        <v>88577</v>
      </c>
      <c r="M19" s="157">
        <v>6</v>
      </c>
      <c r="N19">
        <v>6</v>
      </c>
      <c r="O19">
        <v>88577</v>
      </c>
    </row>
    <row r="20" spans="1:15" x14ac:dyDescent="0.25">
      <c r="A20">
        <v>7</v>
      </c>
      <c r="B20">
        <v>7</v>
      </c>
      <c r="C20">
        <v>1417943.9900499999</v>
      </c>
      <c r="H20">
        <v>7</v>
      </c>
      <c r="I20">
        <v>7</v>
      </c>
      <c r="J20">
        <v>385594</v>
      </c>
      <c r="M20" s="157">
        <v>7</v>
      </c>
      <c r="N20">
        <v>7</v>
      </c>
      <c r="O20">
        <v>385594</v>
      </c>
    </row>
    <row r="21" spans="1:15" x14ac:dyDescent="0.25">
      <c r="A21">
        <v>8</v>
      </c>
      <c r="B21">
        <v>8</v>
      </c>
      <c r="C21">
        <v>527292.78338000004</v>
      </c>
      <c r="H21">
        <v>8</v>
      </c>
      <c r="I21">
        <v>8</v>
      </c>
      <c r="J21">
        <v>192076</v>
      </c>
      <c r="M21" s="157">
        <v>8</v>
      </c>
      <c r="N21">
        <v>8</v>
      </c>
      <c r="O21">
        <v>192076</v>
      </c>
    </row>
    <row r="22" spans="1:15" x14ac:dyDescent="0.25">
      <c r="C22">
        <f>SUM(C14:C21)</f>
        <v>10596716.727749998</v>
      </c>
    </row>
    <row r="24" spans="1:15" x14ac:dyDescent="0.25">
      <c r="B24" t="s">
        <v>60</v>
      </c>
      <c r="C24" t="s">
        <v>61</v>
      </c>
      <c r="D24" t="s">
        <v>62</v>
      </c>
      <c r="I24" t="s">
        <v>61</v>
      </c>
      <c r="J24" t="s">
        <v>62</v>
      </c>
      <c r="M24" s="157"/>
      <c r="N24" t="s">
        <v>60</v>
      </c>
      <c r="O24" t="s">
        <v>39</v>
      </c>
    </row>
    <row r="25" spans="1:15" x14ac:dyDescent="0.25">
      <c r="A25">
        <v>1</v>
      </c>
      <c r="B25">
        <v>1</v>
      </c>
      <c r="C25">
        <v>4112680.0639499999</v>
      </c>
      <c r="D25">
        <v>0</v>
      </c>
      <c r="H25">
        <v>1</v>
      </c>
      <c r="I25">
        <f>SUM(O25:O26)</f>
        <v>956617</v>
      </c>
      <c r="J25">
        <v>0</v>
      </c>
      <c r="M25" s="157">
        <v>1</v>
      </c>
      <c r="N25">
        <v>1</v>
      </c>
      <c r="O25">
        <v>703038</v>
      </c>
    </row>
    <row r="26" spans="1:15" x14ac:dyDescent="0.25">
      <c r="A26">
        <v>2</v>
      </c>
      <c r="B26">
        <v>2</v>
      </c>
      <c r="C26">
        <v>195955.13146</v>
      </c>
      <c r="D26">
        <v>0</v>
      </c>
      <c r="H26">
        <v>2</v>
      </c>
      <c r="I26">
        <v>28900</v>
      </c>
      <c r="J26">
        <v>0</v>
      </c>
      <c r="M26" s="157">
        <v>2</v>
      </c>
      <c r="N26">
        <v>10</v>
      </c>
      <c r="O26">
        <v>253579</v>
      </c>
    </row>
    <row r="27" spans="1:15" x14ac:dyDescent="0.25">
      <c r="A27">
        <v>3</v>
      </c>
      <c r="B27">
        <v>3</v>
      </c>
      <c r="C27">
        <v>1541459.1488900001</v>
      </c>
      <c r="D27">
        <v>0</v>
      </c>
      <c r="H27">
        <v>3</v>
      </c>
      <c r="I27">
        <v>323167</v>
      </c>
      <c r="J27">
        <v>0</v>
      </c>
      <c r="M27" s="157">
        <v>3</v>
      </c>
      <c r="N27">
        <v>2</v>
      </c>
      <c r="O27">
        <v>28900</v>
      </c>
    </row>
    <row r="28" spans="1:15" x14ac:dyDescent="0.25">
      <c r="A28">
        <v>4</v>
      </c>
      <c r="B28">
        <v>4</v>
      </c>
      <c r="C28">
        <v>1216488.8923599999</v>
      </c>
      <c r="D28">
        <v>0</v>
      </c>
      <c r="H28">
        <v>4</v>
      </c>
      <c r="I28">
        <v>266091</v>
      </c>
      <c r="J28">
        <v>0</v>
      </c>
      <c r="M28" s="157">
        <v>4</v>
      </c>
      <c r="N28">
        <v>3</v>
      </c>
      <c r="O28">
        <v>323167</v>
      </c>
    </row>
    <row r="29" spans="1:15" x14ac:dyDescent="0.25">
      <c r="A29">
        <v>5</v>
      </c>
      <c r="B29">
        <v>5</v>
      </c>
      <c r="C29">
        <v>1027902.62881</v>
      </c>
      <c r="D29">
        <v>296422.28529999999</v>
      </c>
      <c r="H29">
        <v>5</v>
      </c>
      <c r="I29">
        <v>316221</v>
      </c>
      <c r="J29">
        <v>66562</v>
      </c>
      <c r="M29" s="157">
        <v>5</v>
      </c>
      <c r="N29">
        <v>4</v>
      </c>
      <c r="O29">
        <v>266091</v>
      </c>
    </row>
    <row r="30" spans="1:15" x14ac:dyDescent="0.25">
      <c r="A30">
        <v>6</v>
      </c>
      <c r="B30">
        <v>6</v>
      </c>
      <c r="C30">
        <v>917179.15985000005</v>
      </c>
      <c r="D30">
        <v>190285.83180000001</v>
      </c>
      <c r="H30">
        <v>6</v>
      </c>
      <c r="I30">
        <v>270962</v>
      </c>
      <c r="J30">
        <v>42034</v>
      </c>
      <c r="M30" s="157">
        <v>6</v>
      </c>
      <c r="N30">
        <v>5</v>
      </c>
      <c r="O30">
        <v>316221</v>
      </c>
    </row>
    <row r="31" spans="1:15" x14ac:dyDescent="0.25">
      <c r="A31">
        <v>7</v>
      </c>
      <c r="B31">
        <v>7</v>
      </c>
      <c r="C31">
        <v>213616.41323000001</v>
      </c>
      <c r="D31">
        <v>106691.30232</v>
      </c>
      <c r="H31">
        <v>7</v>
      </c>
      <c r="I31">
        <v>96848</v>
      </c>
      <c r="J31">
        <v>21018</v>
      </c>
      <c r="M31" s="157">
        <v>7</v>
      </c>
      <c r="N31">
        <v>6</v>
      </c>
      <c r="O31">
        <v>270962</v>
      </c>
    </row>
    <row r="32" spans="1:15" x14ac:dyDescent="0.25">
      <c r="A32">
        <v>8</v>
      </c>
      <c r="B32">
        <v>8</v>
      </c>
      <c r="C32">
        <v>476344.84857999999</v>
      </c>
      <c r="D32">
        <v>92831.101819999996</v>
      </c>
      <c r="H32">
        <v>8</v>
      </c>
      <c r="I32">
        <v>148067</v>
      </c>
      <c r="J32">
        <v>19589</v>
      </c>
      <c r="M32" s="157">
        <v>8</v>
      </c>
      <c r="N32">
        <v>7</v>
      </c>
      <c r="O32">
        <v>96848</v>
      </c>
    </row>
    <row r="33" spans="1:15" x14ac:dyDescent="0.25">
      <c r="A33">
        <v>9</v>
      </c>
      <c r="B33">
        <v>9</v>
      </c>
      <c r="C33">
        <v>864405.51306999999</v>
      </c>
      <c r="D33">
        <v>250988.15168000001</v>
      </c>
      <c r="H33">
        <v>9</v>
      </c>
      <c r="I33">
        <v>296285</v>
      </c>
      <c r="J33">
        <v>51406</v>
      </c>
      <c r="M33" s="157">
        <v>9</v>
      </c>
      <c r="N33">
        <v>8</v>
      </c>
      <c r="O33">
        <v>148067</v>
      </c>
    </row>
    <row r="34" spans="1:15" x14ac:dyDescent="0.25">
      <c r="M34" s="157">
        <v>10</v>
      </c>
      <c r="N34">
        <v>9</v>
      </c>
      <c r="O34">
        <v>296285</v>
      </c>
    </row>
  </sheetData>
  <mergeCells count="2">
    <mergeCell ref="A1:E1"/>
    <mergeCell ref="H1:L1"/>
  </mergeCells>
  <pageMargins left="0.7" right="0.7" top="0.75" bottom="0.75" header="0.3" footer="0.3"/>
  <pageSetup paperSize="0" orientation="portrait" horizontalDpi="0" verticalDpi="0" copie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X80"/>
  <sheetViews>
    <sheetView topLeftCell="B1" workbookViewId="0">
      <pane ySplit="1" topLeftCell="A2" activePane="bottomLeft" state="frozen"/>
      <selection pane="bottomLeft" activeCell="G31" sqref="G31"/>
    </sheetView>
  </sheetViews>
  <sheetFormatPr defaultRowHeight="15" x14ac:dyDescent="0.25"/>
  <cols>
    <col min="3" max="3" width="35.42578125" bestFit="1" customWidth="1"/>
    <col min="4" max="4" width="10.5703125" bestFit="1" customWidth="1"/>
    <col min="5" max="5" width="10.5703125" customWidth="1"/>
    <col min="6" max="6" width="12" bestFit="1" customWidth="1"/>
    <col min="7" max="7" width="9" bestFit="1" customWidth="1"/>
    <col min="8" max="8" width="10.85546875" customWidth="1"/>
    <col min="9" max="9" width="16.140625" bestFit="1" customWidth="1"/>
    <col min="10" max="10" width="17.85546875" customWidth="1"/>
    <col min="11" max="11" width="14.140625" customWidth="1"/>
    <col min="17" max="17" width="10.5703125" bestFit="1" customWidth="1"/>
    <col min="18" max="22" width="8.28515625" customWidth="1"/>
  </cols>
  <sheetData>
    <row r="1" spans="1:10" ht="21" x14ac:dyDescent="0.35">
      <c r="A1" s="172" t="s">
        <v>371</v>
      </c>
      <c r="C1" s="5" t="s">
        <v>146</v>
      </c>
    </row>
    <row r="2" spans="1:10" x14ac:dyDescent="0.25">
      <c r="C2" s="34"/>
      <c r="D2" s="397" t="s">
        <v>10</v>
      </c>
      <c r="E2" s="397"/>
      <c r="F2" s="397" t="s">
        <v>11</v>
      </c>
      <c r="G2" s="397"/>
    </row>
    <row r="3" spans="1:10" ht="15.75" thickBot="1" x14ac:dyDescent="0.3">
      <c r="C3" s="73" t="s">
        <v>81</v>
      </c>
      <c r="D3" s="83" t="s">
        <v>7</v>
      </c>
      <c r="E3" s="83" t="s">
        <v>3</v>
      </c>
      <c r="F3" s="83" t="s">
        <v>7</v>
      </c>
      <c r="G3" s="83" t="s">
        <v>3</v>
      </c>
      <c r="H3" s="90" t="s">
        <v>144</v>
      </c>
      <c r="I3" s="90" t="s">
        <v>148</v>
      </c>
      <c r="J3" s="144" t="s">
        <v>139</v>
      </c>
    </row>
    <row r="4" spans="1:10" ht="15.75" thickTop="1" x14ac:dyDescent="0.25">
      <c r="B4">
        <v>1</v>
      </c>
      <c r="C4" s="217" t="s">
        <v>82</v>
      </c>
      <c r="D4" s="255">
        <f>VLOOKUP(B4,JTF_input!$B$3:$D$23,3,FALSE)</f>
        <v>2909637.2677000002</v>
      </c>
      <c r="E4" s="255">
        <f>VLOOKUP(B4,JTF_input!$H$3:$I$23,2,FALSE)*Index!$B$2</f>
        <v>3065195</v>
      </c>
      <c r="F4" s="256">
        <f>D4/$D$25</f>
        <v>0.78904209276573056</v>
      </c>
      <c r="G4" s="256">
        <f>E4/$E$25</f>
        <v>0.75818709580871646</v>
      </c>
      <c r="H4" s="256">
        <f>G4-F4</f>
        <v>-3.0854996957014102E-2</v>
      </c>
      <c r="I4" s="256">
        <f>H4/F4</f>
        <v>-3.9104373822265857E-2</v>
      </c>
    </row>
    <row r="5" spans="1:10" x14ac:dyDescent="0.25">
      <c r="B5">
        <v>2</v>
      </c>
      <c r="C5" s="5" t="s">
        <v>83</v>
      </c>
      <c r="D5" s="29">
        <f>VLOOKUP(B5,JTF_input!$B$3:$D$23,3,FALSE)</f>
        <v>192350.62231999999</v>
      </c>
      <c r="E5" s="29">
        <f>VLOOKUP(B5,JTF_input!$H$3:$I$23,2,FALSE)*Index!$B$2</f>
        <v>190015</v>
      </c>
      <c r="F5" s="2">
        <f t="shared" ref="F5:F24" si="0">D5/$D$25</f>
        <v>5.2162081942308994E-2</v>
      </c>
      <c r="G5" s="2">
        <f t="shared" ref="G5:G24" si="1">E5/$E$25</f>
        <v>4.7000899130428327E-2</v>
      </c>
      <c r="H5" s="195">
        <f t="shared" ref="H5:H23" si="2">G5-F5</f>
        <v>-5.1611828118806671E-3</v>
      </c>
      <c r="I5" s="145">
        <f t="shared" ref="I5:I23" si="3">H5/F5</f>
        <v>-9.8945107627968334E-2</v>
      </c>
    </row>
    <row r="6" spans="1:10" x14ac:dyDescent="0.25">
      <c r="B6">
        <v>3</v>
      </c>
      <c r="C6" s="5" t="s">
        <v>84</v>
      </c>
      <c r="D6" s="29">
        <f>VLOOKUP(B6,JTF_input!$B$3:$D$23,3,FALSE)</f>
        <v>127808.32066</v>
      </c>
      <c r="E6" s="29">
        <f>VLOOKUP(B6,JTF_input!$H$3:$I$23,2,FALSE)*Index!$B$2</f>
        <v>121660</v>
      </c>
      <c r="F6" s="2">
        <f t="shared" si="0"/>
        <v>3.4659352877397145E-2</v>
      </c>
      <c r="G6" s="2">
        <f t="shared" si="1"/>
        <v>3.0093042066194304E-2</v>
      </c>
      <c r="H6" s="196">
        <f t="shared" si="2"/>
        <v>-4.5663108112028415E-3</v>
      </c>
      <c r="I6" s="87">
        <f t="shared" si="3"/>
        <v>-0.131748299726067</v>
      </c>
    </row>
    <row r="7" spans="1:10" x14ac:dyDescent="0.25">
      <c r="B7">
        <v>4</v>
      </c>
      <c r="C7" s="5" t="s">
        <v>85</v>
      </c>
      <c r="D7" s="29">
        <f>VLOOKUP(B7,JTF_input!$B$3:$D$23,3,FALSE)</f>
        <v>76752.851649999997</v>
      </c>
      <c r="E7" s="29">
        <f>VLOOKUP(B7,JTF_input!$H$3:$I$23,2,FALSE)*Index!$B$2</f>
        <v>68860</v>
      </c>
      <c r="F7" s="2">
        <f t="shared" si="0"/>
        <v>2.0814013954229382E-2</v>
      </c>
      <c r="G7" s="2">
        <f t="shared" si="1"/>
        <v>1.7032770645061153E-2</v>
      </c>
      <c r="H7" s="196">
        <f t="shared" si="2"/>
        <v>-3.7812433091682293E-3</v>
      </c>
      <c r="I7" s="87">
        <f t="shared" si="3"/>
        <v>-0.18166814519694724</v>
      </c>
    </row>
    <row r="8" spans="1:10" x14ac:dyDescent="0.25">
      <c r="B8">
        <v>5</v>
      </c>
      <c r="C8" s="5" t="s">
        <v>86</v>
      </c>
      <c r="D8" s="29">
        <f>VLOOKUP(B8,JTF_input!$B$3:$D$23,3,FALSE)</f>
        <v>65493.087509999998</v>
      </c>
      <c r="E8" s="29">
        <f>VLOOKUP(B8,JTF_input!$H$3:$I$23,2,FALSE)*Index!$B$2</f>
        <v>54855</v>
      </c>
      <c r="F8" s="2">
        <f t="shared" si="0"/>
        <v>1.7760565347524859E-2</v>
      </c>
      <c r="G8" s="2">
        <f t="shared" si="1"/>
        <v>1.3568583121330663E-2</v>
      </c>
      <c r="H8" s="196">
        <f t="shared" si="2"/>
        <v>-4.1919822261941957E-3</v>
      </c>
      <c r="I8" s="87">
        <f t="shared" si="3"/>
        <v>-0.2360275218816949</v>
      </c>
    </row>
    <row r="9" spans="1:10" x14ac:dyDescent="0.25">
      <c r="B9">
        <v>6</v>
      </c>
      <c r="C9" s="5" t="s">
        <v>87</v>
      </c>
      <c r="D9" s="29">
        <f>VLOOKUP(B9,JTF_input!$B$3:$D$23,3,FALSE)</f>
        <v>175590.56818</v>
      </c>
      <c r="E9" s="29">
        <f>VLOOKUP(B9,JTF_input!$H$3:$I$23,2,FALSE)*Index!$B$2</f>
        <v>135560</v>
      </c>
      <c r="F9" s="2">
        <f t="shared" si="0"/>
        <v>4.7617052106357617E-2</v>
      </c>
      <c r="G9" s="2">
        <f t="shared" si="1"/>
        <v>3.3531257459257766E-2</v>
      </c>
      <c r="H9" s="196">
        <f t="shared" si="2"/>
        <v>-1.4085794647099852E-2</v>
      </c>
      <c r="I9" s="87">
        <f t="shared" si="3"/>
        <v>-0.29581408390502145</v>
      </c>
    </row>
    <row r="10" spans="1:10" x14ac:dyDescent="0.25">
      <c r="B10">
        <v>7</v>
      </c>
      <c r="C10" s="5" t="s">
        <v>88</v>
      </c>
      <c r="D10" s="29">
        <f>VLOOKUP(B10,JTF_input!$B$3:$D$23,3,FALSE)</f>
        <v>11225.48223</v>
      </c>
      <c r="E10" s="29">
        <f>VLOOKUP(B10,JTF_input!$H$3:$I$23,2,FALSE)*Index!$B$2</f>
        <v>81570</v>
      </c>
      <c r="F10" s="2">
        <f t="shared" si="0"/>
        <v>3.0441519598988602E-3</v>
      </c>
      <c r="G10" s="2">
        <f t="shared" si="1"/>
        <v>2.0176635223898318E-2</v>
      </c>
      <c r="H10" s="196">
        <f t="shared" si="2"/>
        <v>1.7132483263999458E-2</v>
      </c>
      <c r="I10" s="87">
        <f t="shared" si="3"/>
        <v>5.6279986970718348</v>
      </c>
    </row>
    <row r="11" spans="1:10" x14ac:dyDescent="0.25">
      <c r="B11">
        <v>8</v>
      </c>
      <c r="C11" s="5" t="s">
        <v>89</v>
      </c>
      <c r="D11" s="29">
        <f>VLOOKUP(B11,JTF_input!$B$3:$D$23,3,FALSE)</f>
        <v>4155.1526100000001</v>
      </c>
      <c r="E11" s="29">
        <f>VLOOKUP(B11,JTF_input!$H$3:$I$23,2,FALSE)*Index!$B$2</f>
        <v>35780</v>
      </c>
      <c r="F11" s="2">
        <f t="shared" si="0"/>
        <v>1.1268037935694426E-3</v>
      </c>
      <c r="G11" s="2">
        <f t="shared" si="1"/>
        <v>8.8503127168209125E-3</v>
      </c>
      <c r="H11" s="196">
        <f t="shared" si="2"/>
        <v>7.7235089232514697E-3</v>
      </c>
      <c r="I11" s="87">
        <f t="shared" si="3"/>
        <v>6.8543511899132472</v>
      </c>
    </row>
    <row r="12" spans="1:10" x14ac:dyDescent="0.25">
      <c r="B12">
        <v>9</v>
      </c>
      <c r="C12" s="5" t="s">
        <v>90</v>
      </c>
      <c r="D12" s="29">
        <f>VLOOKUP(B12,JTF_input!$B$3:$D$23,3,FALSE)</f>
        <v>592.44641999999999</v>
      </c>
      <c r="E12" s="29">
        <f>VLOOKUP(B12,JTF_input!$H$3:$I$23,2,FALSE)*Index!$B$2</f>
        <v>1420</v>
      </c>
      <c r="F12" s="2">
        <f t="shared" si="0"/>
        <v>1.6066097594972216E-4</v>
      </c>
      <c r="G12" s="2">
        <f t="shared" si="1"/>
        <v>3.5124214806835368E-4</v>
      </c>
      <c r="H12" s="196">
        <f t="shared" si="2"/>
        <v>1.9058117211863152E-4</v>
      </c>
      <c r="I12" s="87">
        <f t="shared" si="3"/>
        <v>1.1862318835799472</v>
      </c>
    </row>
    <row r="13" spans="1:10" x14ac:dyDescent="0.25">
      <c r="B13">
        <v>10</v>
      </c>
      <c r="C13" s="5" t="s">
        <v>91</v>
      </c>
      <c r="D13" s="29">
        <f>VLOOKUP(B13,JTF_input!$B$3:$D$23,3,FALSE)</f>
        <v>1158.32358</v>
      </c>
      <c r="E13" s="29">
        <f>VLOOKUP(B13,JTF_input!$H$3:$I$23,2,FALSE)*Index!$B$2</f>
        <v>6330</v>
      </c>
      <c r="F13" s="2">
        <f t="shared" si="0"/>
        <v>3.1411683917066468E-4</v>
      </c>
      <c r="G13" s="2">
        <f t="shared" si="1"/>
        <v>1.5657484487835768E-3</v>
      </c>
      <c r="H13" s="87">
        <f t="shared" si="2"/>
        <v>1.251631609612912E-3</v>
      </c>
      <c r="I13" s="87">
        <f t="shared" si="3"/>
        <v>3.9846052599965218</v>
      </c>
    </row>
    <row r="14" spans="1:10" x14ac:dyDescent="0.25">
      <c r="B14">
        <v>11</v>
      </c>
      <c r="C14" s="5" t="s">
        <v>92</v>
      </c>
      <c r="D14" s="29">
        <f>VLOOKUP(B14,JTF_input!$B$3:$D$23,3,FALSE)</f>
        <v>8936.62039</v>
      </c>
      <c r="E14" s="29">
        <f>VLOOKUP(B14,JTF_input!$H$3:$I$23,2,FALSE)*Index!$B$2</f>
        <v>54470</v>
      </c>
      <c r="F14" s="2">
        <f t="shared" si="0"/>
        <v>2.423453168219983E-3</v>
      </c>
      <c r="G14" s="2">
        <f t="shared" si="1"/>
        <v>1.3473351975551568E-2</v>
      </c>
      <c r="H14" s="87">
        <f t="shared" si="2"/>
        <v>1.1049898807331586E-2</v>
      </c>
      <c r="I14" s="87">
        <f t="shared" si="3"/>
        <v>4.559567707861957</v>
      </c>
    </row>
    <row r="15" spans="1:10" x14ac:dyDescent="0.25">
      <c r="B15">
        <v>12</v>
      </c>
      <c r="C15" s="5" t="s">
        <v>93</v>
      </c>
      <c r="D15" s="29">
        <f>VLOOKUP(B15,JTF_input!$B$3:$D$23,3,FALSE)</f>
        <v>22961.111980000001</v>
      </c>
      <c r="E15" s="29">
        <f>VLOOKUP(B15,JTF_input!$H$3:$I$23,2,FALSE)*Index!$B$2</f>
        <v>25340</v>
      </c>
      <c r="F15" s="2">
        <f t="shared" si="0"/>
        <v>6.2266468917098992E-3</v>
      </c>
      <c r="G15" s="2">
        <f t="shared" si="1"/>
        <v>6.2679408676423118E-3</v>
      </c>
      <c r="H15" s="87">
        <f t="shared" si="2"/>
        <v>4.1293975932412547E-5</v>
      </c>
      <c r="I15" s="87">
        <f t="shared" si="3"/>
        <v>6.6318159116090184E-3</v>
      </c>
    </row>
    <row r="16" spans="1:10" x14ac:dyDescent="0.25">
      <c r="B16">
        <v>13</v>
      </c>
      <c r="C16" s="5" t="s">
        <v>94</v>
      </c>
      <c r="D16" s="29">
        <f>VLOOKUP(B16,JTF_input!$B$3:$D$23,3,FALSE)</f>
        <v>12156.66914</v>
      </c>
      <c r="E16" s="29">
        <f>VLOOKUP(B16,JTF_input!$H$3:$I$23,2,FALSE)*Index!$B$2</f>
        <v>33030</v>
      </c>
      <c r="F16" s="2">
        <f t="shared" si="0"/>
        <v>3.2966733571118032E-3</v>
      </c>
      <c r="G16" s="2">
        <f t="shared" si="1"/>
        <v>8.1700902469702269E-3</v>
      </c>
      <c r="H16" s="87">
        <f t="shared" si="2"/>
        <v>4.8734168898584233E-3</v>
      </c>
      <c r="I16" s="87">
        <f t="shared" si="3"/>
        <v>1.4782832152130463</v>
      </c>
    </row>
    <row r="17" spans="2:9" x14ac:dyDescent="0.25">
      <c r="B17">
        <v>14</v>
      </c>
      <c r="C17" s="5" t="s">
        <v>95</v>
      </c>
      <c r="D17" s="29">
        <f>VLOOKUP(B17,JTF_input!$B$3:$D$23,3,FALSE)</f>
        <v>12646.029979999999</v>
      </c>
      <c r="E17" s="29">
        <f>VLOOKUP(B17,JTF_input!$H$3:$I$23,2,FALSE)*Index!$B$2</f>
        <v>24690</v>
      </c>
      <c r="F17" s="2">
        <f t="shared" si="0"/>
        <v>3.4293793495726501E-3</v>
      </c>
      <c r="G17" s="2">
        <f t="shared" si="1"/>
        <v>6.1071610111321497E-3</v>
      </c>
      <c r="H17" s="87">
        <f t="shared" si="2"/>
        <v>2.6777816615594996E-3</v>
      </c>
      <c r="I17" s="87">
        <f t="shared" si="3"/>
        <v>0.78083565234426155</v>
      </c>
    </row>
    <row r="18" spans="2:9" x14ac:dyDescent="0.25">
      <c r="B18">
        <v>15</v>
      </c>
      <c r="C18" s="5" t="s">
        <v>96</v>
      </c>
      <c r="D18" s="29">
        <f>VLOOKUP(B18,JTF_input!$B$3:$D$23,3,FALSE)</f>
        <v>25001.637200000001</v>
      </c>
      <c r="E18" s="29">
        <f>VLOOKUP(B18,JTF_input!$H$3:$I$23,2,FALSE)*Index!$B$2</f>
        <v>40190</v>
      </c>
      <c r="F18" s="2">
        <f t="shared" si="0"/>
        <v>6.7800011904753828E-3</v>
      </c>
      <c r="G18" s="2">
        <f t="shared" si="1"/>
        <v>9.941142204836011E-3</v>
      </c>
      <c r="H18" s="87">
        <f t="shared" si="2"/>
        <v>3.1611410143606283E-3</v>
      </c>
      <c r="I18" s="87">
        <f t="shared" si="3"/>
        <v>0.4662449055025879</v>
      </c>
    </row>
    <row r="19" spans="2:9" x14ac:dyDescent="0.25">
      <c r="B19">
        <v>16</v>
      </c>
      <c r="C19" s="5" t="s">
        <v>97</v>
      </c>
      <c r="D19" s="29">
        <f>VLOOKUP(B19,JTF_input!$B$3:$D$23,3,FALSE)</f>
        <v>5151.5937599999997</v>
      </c>
      <c r="E19" s="29">
        <f>VLOOKUP(B19,JTF_input!$H$3:$I$23,2,FALSE)*Index!$B$2</f>
        <v>14090</v>
      </c>
      <c r="F19" s="2">
        <f t="shared" si="0"/>
        <v>1.397020984915562E-3</v>
      </c>
      <c r="G19" s="2">
        <f t="shared" si="1"/>
        <v>3.4852125818895098E-3</v>
      </c>
      <c r="H19" s="87">
        <f t="shared" si="2"/>
        <v>2.0881915969739478E-3</v>
      </c>
      <c r="I19" s="87">
        <f t="shared" si="3"/>
        <v>1.4947460485714616</v>
      </c>
    </row>
    <row r="20" spans="2:9" x14ac:dyDescent="0.25">
      <c r="B20">
        <v>17</v>
      </c>
      <c r="C20" s="5" t="s">
        <v>98</v>
      </c>
      <c r="D20" s="29">
        <f>VLOOKUP(B20,JTF_input!$B$3:$D$23,3,FALSE)</f>
        <v>4657.4570199999998</v>
      </c>
      <c r="E20" s="29">
        <f>VLOOKUP(B20,JTF_input!$H$3:$I$23,2,FALSE)*Index!$B$2</f>
        <v>32080</v>
      </c>
      <c r="F20" s="2">
        <f t="shared" si="0"/>
        <v>1.2630198529633863E-3</v>
      </c>
      <c r="G20" s="2">
        <f t="shared" si="1"/>
        <v>7.935104302839991E-3</v>
      </c>
      <c r="H20" s="87">
        <f t="shared" si="2"/>
        <v>6.6720844498766047E-3</v>
      </c>
      <c r="I20" s="87">
        <f t="shared" si="3"/>
        <v>5.2826441597272513</v>
      </c>
    </row>
    <row r="21" spans="2:9" x14ac:dyDescent="0.25">
      <c r="B21">
        <v>18</v>
      </c>
      <c r="C21" s="5" t="s">
        <v>99</v>
      </c>
      <c r="D21" s="29">
        <f>VLOOKUP(B21,JTF_input!$B$3:$D$23,3,FALSE)</f>
        <v>16965.914519999998</v>
      </c>
      <c r="E21" s="29">
        <f>VLOOKUP(B21,JTF_input!$H$3:$I$23,2,FALSE)*Index!$B$2</f>
        <v>42310</v>
      </c>
      <c r="F21" s="2">
        <f t="shared" si="0"/>
        <v>4.6008555248975283E-3</v>
      </c>
      <c r="G21" s="2">
        <f t="shared" si="1"/>
        <v>1.0465531890684538E-2</v>
      </c>
      <c r="H21" s="87">
        <f t="shared" si="2"/>
        <v>5.8646763657870101E-3</v>
      </c>
      <c r="I21" s="87">
        <f t="shared" si="3"/>
        <v>1.2746925727292056</v>
      </c>
    </row>
    <row r="22" spans="2:9" x14ac:dyDescent="0.25">
      <c r="B22">
        <v>19</v>
      </c>
      <c r="C22" s="5" t="s">
        <v>100</v>
      </c>
      <c r="D22" s="29">
        <f>VLOOKUP(B22,JTF_input!$B$3:$D$23,3,FALSE)</f>
        <v>3473.1116299999999</v>
      </c>
      <c r="E22" s="29">
        <f>VLOOKUP(B22,JTF_input!$H$3:$I$23,2,FALSE)*Index!$B$2</f>
        <v>4490</v>
      </c>
      <c r="F22" s="2">
        <f t="shared" si="0"/>
        <v>9.4184635980774478E-4</v>
      </c>
      <c r="G22" s="2">
        <f t="shared" si="1"/>
        <v>1.1106177780471184E-3</v>
      </c>
      <c r="H22" s="87">
        <f t="shared" si="2"/>
        <v>1.6877141823937365E-4</v>
      </c>
      <c r="I22" s="87">
        <f t="shared" si="3"/>
        <v>0.17919209060151198</v>
      </c>
    </row>
    <row r="23" spans="2:9" x14ac:dyDescent="0.25">
      <c r="B23">
        <v>20</v>
      </c>
      <c r="C23" s="5" t="s">
        <v>101</v>
      </c>
      <c r="D23" s="29">
        <f>VLOOKUP(B23,JTF_input!$B$3:$D$23,3,FALSE)</f>
        <v>6724.0578500000001</v>
      </c>
      <c r="E23" s="29">
        <f>VLOOKUP(B23,JTF_input!$H$3:$I$23,2,FALSE)*Index!$B$2</f>
        <v>9550</v>
      </c>
      <c r="F23" s="2">
        <f t="shared" si="0"/>
        <v>1.8234453953209649E-3</v>
      </c>
      <c r="G23" s="2">
        <f t="shared" si="1"/>
        <v>2.3622271225723786E-3</v>
      </c>
      <c r="H23" s="87">
        <f t="shared" si="2"/>
        <v>5.3878172725141372E-4</v>
      </c>
      <c r="I23" s="87">
        <f t="shared" si="3"/>
        <v>0.29547456075951029</v>
      </c>
    </row>
    <row r="24" spans="2:9" ht="15.75" thickBot="1" x14ac:dyDescent="0.3">
      <c r="B24">
        <v>21</v>
      </c>
      <c r="C24" s="54" t="s">
        <v>102</v>
      </c>
      <c r="D24" s="84">
        <f>VLOOKUP(B24,JTF_input!$B$3:$D$23,3,FALSE)</f>
        <v>4118.1353300000001</v>
      </c>
      <c r="E24" s="84">
        <f>VLOOKUP(B24,JTF_input!$H$3:$I$23,2,FALSE)*Index!$B$2</f>
        <v>1310</v>
      </c>
      <c r="F24" s="85">
        <f t="shared" si="0"/>
        <v>1.1167653628674659E-3</v>
      </c>
      <c r="G24" s="85">
        <f t="shared" si="1"/>
        <v>3.2403324927432632E-4</v>
      </c>
      <c r="H24" s="85">
        <f>F24/SUM($E$5:$E$24)</f>
        <v>1.1423540945861967E-9</v>
      </c>
      <c r="I24" s="85">
        <f>G24/SUM($E$5:$E$24)</f>
        <v>3.3145790637717505E-10</v>
      </c>
    </row>
    <row r="25" spans="2:9" ht="15.75" thickTop="1" x14ac:dyDescent="0.25">
      <c r="C25" s="5" t="s">
        <v>29</v>
      </c>
      <c r="D25" s="29">
        <f>SUM(D4:D24)</f>
        <v>3687556.4616600014</v>
      </c>
      <c r="E25" s="29">
        <f>SUM(E4:E24)</f>
        <v>4042795</v>
      </c>
      <c r="F25" s="128">
        <f>SUM(F4:F24)</f>
        <v>0.99999999999999978</v>
      </c>
      <c r="G25" s="128">
        <f>SUM(G4:G24)</f>
        <v>1</v>
      </c>
      <c r="H25" s="128">
        <f>SUM(H4:H24)</f>
        <v>7.9273325594758322E-4</v>
      </c>
      <c r="I25" s="128">
        <f>G25/SUM($E$5:$E$24)</f>
        <v>1.0229132569558102E-6</v>
      </c>
    </row>
    <row r="28" spans="2:9" ht="18.75" x14ac:dyDescent="0.3">
      <c r="C28" s="59" t="s">
        <v>103</v>
      </c>
    </row>
    <row r="29" spans="2:9" x14ac:dyDescent="0.25">
      <c r="D29" s="397" t="s">
        <v>10</v>
      </c>
      <c r="E29" s="397"/>
      <c r="F29" s="397" t="s">
        <v>11</v>
      </c>
      <c r="G29" s="397"/>
    </row>
    <row r="30" spans="2:9" ht="15.75" thickBot="1" x14ac:dyDescent="0.3">
      <c r="C30" s="73" t="s">
        <v>76</v>
      </c>
      <c r="D30" s="83" t="s">
        <v>7</v>
      </c>
      <c r="E30" s="83" t="s">
        <v>3</v>
      </c>
      <c r="F30" s="83" t="s">
        <v>7</v>
      </c>
      <c r="G30" s="83" t="s">
        <v>3</v>
      </c>
      <c r="H30" s="90" t="s">
        <v>144</v>
      </c>
      <c r="I30" s="90" t="s">
        <v>148</v>
      </c>
    </row>
    <row r="31" spans="2:9" ht="15.75" thickTop="1" x14ac:dyDescent="0.25">
      <c r="C31" s="86" t="s">
        <v>104</v>
      </c>
      <c r="D31" s="18">
        <f>JTF_input!D25</f>
        <v>402388.19403000001</v>
      </c>
      <c r="E31" s="18">
        <f>JTF_input!I25*Index!$B$2</f>
        <v>402650</v>
      </c>
      <c r="F31" s="2">
        <f>D31/$D$34</f>
        <v>0.4293429118055434</v>
      </c>
      <c r="G31" s="2">
        <f>E31/$E$34</f>
        <v>0.40695147711308532</v>
      </c>
      <c r="H31" s="145">
        <f>G31-F31</f>
        <v>-2.2391434692458079E-2</v>
      </c>
      <c r="I31" s="145">
        <f>H31/F31</f>
        <v>-5.2152799258508624E-2</v>
      </c>
    </row>
    <row r="32" spans="2:9" x14ac:dyDescent="0.25">
      <c r="C32" s="86" t="s">
        <v>105</v>
      </c>
      <c r="D32" s="18">
        <f>JTF_input!D26</f>
        <v>44012.019719999997</v>
      </c>
      <c r="E32" s="18">
        <f>JTF_input!I26*Index!$B$2</f>
        <v>79115</v>
      </c>
      <c r="F32" s="2">
        <f>D32/$D$34</f>
        <v>4.6960246302899702E-2</v>
      </c>
      <c r="G32" s="2">
        <f>E32/$E$34</f>
        <v>7.9960179093013145E-2</v>
      </c>
      <c r="H32" s="2">
        <f>G32-F32</f>
        <v>3.2999932790113443E-2</v>
      </c>
      <c r="I32" s="2">
        <f>H32/F32</f>
        <v>0.7027206070696389</v>
      </c>
    </row>
    <row r="33" spans="3:22" ht="15.75" thickBot="1" x14ac:dyDescent="0.3">
      <c r="C33" s="54" t="s">
        <v>106</v>
      </c>
      <c r="D33" s="84">
        <f>JTF_input!D27</f>
        <v>490818.45916999999</v>
      </c>
      <c r="E33" s="84">
        <f>JTF_input!I27*Index!$B$2</f>
        <v>507665</v>
      </c>
      <c r="F33" s="85">
        <f>D33/$D$34</f>
        <v>0.52369684189155685</v>
      </c>
      <c r="G33" s="85">
        <f>E33/$E$34</f>
        <v>0.51308834379390156</v>
      </c>
      <c r="H33" s="85">
        <f>G33-F33</f>
        <v>-1.0608498097655295E-2</v>
      </c>
      <c r="I33" s="85">
        <f>H33/F33</f>
        <v>-2.0256944951850639E-2</v>
      </c>
    </row>
    <row r="34" spans="3:22" ht="15.75" thickTop="1" x14ac:dyDescent="0.25">
      <c r="C34" s="86" t="s">
        <v>29</v>
      </c>
      <c r="D34" s="18">
        <f>SUM(D31:D33)</f>
        <v>937218.67292000004</v>
      </c>
      <c r="E34" s="18">
        <f>SUM(E31:E33)</f>
        <v>989430</v>
      </c>
      <c r="F34" s="87">
        <f>SUM(F31:F33)</f>
        <v>1</v>
      </c>
      <c r="G34" s="87">
        <f>SUM(G31:G33)</f>
        <v>1</v>
      </c>
    </row>
    <row r="37" spans="3:22" ht="18.75" x14ac:dyDescent="0.3">
      <c r="C37" s="59" t="s">
        <v>107</v>
      </c>
    </row>
    <row r="38" spans="3:22" x14ac:dyDescent="0.25">
      <c r="D38" s="397" t="s">
        <v>10</v>
      </c>
      <c r="E38" s="397"/>
      <c r="F38" s="397" t="s">
        <v>11</v>
      </c>
      <c r="G38" s="397"/>
    </row>
    <row r="39" spans="3:22" ht="15.75" thickBot="1" x14ac:dyDescent="0.3">
      <c r="C39" s="83" t="s">
        <v>108</v>
      </c>
      <c r="D39" s="83" t="s">
        <v>7</v>
      </c>
      <c r="E39" s="83" t="s">
        <v>3</v>
      </c>
      <c r="F39" s="83" t="s">
        <v>7</v>
      </c>
      <c r="G39" s="83" t="s">
        <v>3</v>
      </c>
      <c r="H39" s="90" t="s">
        <v>144</v>
      </c>
      <c r="I39" s="90" t="s">
        <v>148</v>
      </c>
    </row>
    <row r="40" spans="3:22" ht="15.75" thickTop="1" x14ac:dyDescent="0.25">
      <c r="C40" s="72">
        <v>2</v>
      </c>
      <c r="D40" s="18">
        <f>JTF_input!D29</f>
        <v>665494.63155000005</v>
      </c>
      <c r="E40" s="18">
        <f>JTF_input!I29*Index!$B$2</f>
        <v>527380</v>
      </c>
      <c r="F40" s="2">
        <f t="shared" ref="F40:F45" si="4">D40/$D$45</f>
        <v>0.71007402090761151</v>
      </c>
      <c r="G40" s="2">
        <f t="shared" ref="G40:G45" si="5">E40/$E$45</f>
        <v>0.53301395753110381</v>
      </c>
      <c r="H40" s="145">
        <f>G40-F40</f>
        <v>-0.1770600633765077</v>
      </c>
      <c r="I40" s="145">
        <f>H40/F40</f>
        <v>-0.24935437456251505</v>
      </c>
    </row>
    <row r="41" spans="3:22" x14ac:dyDescent="0.25">
      <c r="C41" s="72">
        <v>3</v>
      </c>
      <c r="D41" s="18">
        <f>JTF_input!D30</f>
        <v>169835.82668</v>
      </c>
      <c r="E41" s="18">
        <f>JTF_input!I30*Index!$B$2</f>
        <v>201675</v>
      </c>
      <c r="F41" s="2">
        <f t="shared" si="4"/>
        <v>0.18121259380253193</v>
      </c>
      <c r="G41" s="2">
        <f t="shared" si="5"/>
        <v>0.20382947757799946</v>
      </c>
      <c r="H41" s="145">
        <f>G41-F41</f>
        <v>2.2616883775467528E-2</v>
      </c>
      <c r="I41" s="145">
        <f>H41/F41</f>
        <v>0.12480856490643931</v>
      </c>
    </row>
    <row r="42" spans="3:22" x14ac:dyDescent="0.25">
      <c r="C42" s="72">
        <v>4</v>
      </c>
      <c r="D42" s="18">
        <f>JTF_input!D31</f>
        <v>65484.47782</v>
      </c>
      <c r="E42" s="18">
        <f>JTF_input!I31*Index!$B$2</f>
        <v>162910</v>
      </c>
      <c r="F42" s="2">
        <f t="shared" si="4"/>
        <v>6.9871076742396149E-2</v>
      </c>
      <c r="G42" s="2">
        <f t="shared" si="5"/>
        <v>0.16465035424436292</v>
      </c>
      <c r="H42" s="145">
        <f>G42-F42</f>
        <v>9.4779277501966769E-2</v>
      </c>
      <c r="I42" s="145">
        <f>H42/F42</f>
        <v>1.3564880050640025</v>
      </c>
    </row>
    <row r="43" spans="3:22" x14ac:dyDescent="0.25">
      <c r="C43" s="88">
        <v>5</v>
      </c>
      <c r="D43" s="18">
        <f>JTF_input!D32</f>
        <v>32003.531080000001</v>
      </c>
      <c r="E43" s="18">
        <f>JTF_input!I32*Index!$B$2</f>
        <v>65500</v>
      </c>
      <c r="F43" s="2">
        <f t="shared" si="4"/>
        <v>3.4147346830265074E-2</v>
      </c>
      <c r="G43" s="2">
        <f t="shared" si="5"/>
        <v>6.6199731158343697E-2</v>
      </c>
      <c r="H43" s="145">
        <f>G43-F43</f>
        <v>3.2052384328078623E-2</v>
      </c>
      <c r="I43" s="145">
        <f>H43/F43</f>
        <v>0.93864933306239573</v>
      </c>
    </row>
    <row r="44" spans="3:22" ht="15.75" thickBot="1" x14ac:dyDescent="0.3">
      <c r="C44" s="90">
        <v>6</v>
      </c>
      <c r="D44" s="84">
        <f>JTF_input!D33+JTF_input!D34+JTF_input!D35</f>
        <v>4400.20579</v>
      </c>
      <c r="E44" s="84">
        <f>(JTF_input!I33+JTF_input!I34)*Index!$B$2</f>
        <v>31965</v>
      </c>
      <c r="F44" s="85">
        <f t="shared" si="4"/>
        <v>4.6949617171953171E-3</v>
      </c>
      <c r="G44" s="85">
        <f t="shared" si="5"/>
        <v>3.2306479488190168E-2</v>
      </c>
      <c r="H44" s="148">
        <f>G44-F44</f>
        <v>2.761151777099485E-2</v>
      </c>
      <c r="I44" s="148">
        <f>H44/F44</f>
        <v>5.8810954027308782</v>
      </c>
    </row>
    <row r="45" spans="3:22" ht="15.75" thickTop="1" x14ac:dyDescent="0.25">
      <c r="D45" s="89">
        <f>SUM(D40:D44)</f>
        <v>937218.67292000004</v>
      </c>
      <c r="E45" s="89">
        <f>SUM(E40:E44)</f>
        <v>989430</v>
      </c>
      <c r="F45" s="2">
        <f t="shared" si="4"/>
        <v>1</v>
      </c>
      <c r="G45" s="2">
        <f t="shared" si="5"/>
        <v>1</v>
      </c>
    </row>
    <row r="48" spans="3:22" ht="18.75" x14ac:dyDescent="0.3">
      <c r="C48" s="59" t="s">
        <v>110</v>
      </c>
      <c r="Q48" s="393" t="s">
        <v>140</v>
      </c>
      <c r="R48" s="393"/>
      <c r="S48" s="393"/>
      <c r="T48" s="393"/>
      <c r="U48" s="393"/>
      <c r="V48" s="393"/>
    </row>
    <row r="49" spans="3:22" x14ac:dyDescent="0.25">
      <c r="C49" s="92"/>
      <c r="D49" s="396" t="s">
        <v>78</v>
      </c>
      <c r="E49" s="396"/>
      <c r="F49" s="396"/>
      <c r="G49" s="396"/>
      <c r="H49" s="396"/>
      <c r="I49" s="72"/>
      <c r="J49" s="92"/>
      <c r="K49" s="396" t="s">
        <v>78</v>
      </c>
      <c r="L49" s="396"/>
      <c r="M49" s="396"/>
      <c r="N49" s="396"/>
      <c r="O49" s="396"/>
      <c r="P49" s="91"/>
      <c r="Q49" s="92"/>
      <c r="R49" s="396" t="s">
        <v>78</v>
      </c>
      <c r="S49" s="396"/>
      <c r="T49" s="396"/>
      <c r="U49" s="396"/>
      <c r="V49" s="396"/>
    </row>
    <row r="50" spans="3:22" ht="15.75" thickBot="1" x14ac:dyDescent="0.3">
      <c r="C50" s="71" t="s">
        <v>109</v>
      </c>
      <c r="D50" s="71">
        <v>2</v>
      </c>
      <c r="E50" s="71">
        <v>3</v>
      </c>
      <c r="F50" s="71">
        <v>4</v>
      </c>
      <c r="G50" s="71">
        <v>5</v>
      </c>
      <c r="H50" s="71" t="s">
        <v>29</v>
      </c>
      <c r="I50" s="92"/>
      <c r="J50" s="71" t="s">
        <v>109</v>
      </c>
      <c r="K50" s="71">
        <v>2</v>
      </c>
      <c r="L50" s="71">
        <v>3</v>
      </c>
      <c r="M50" s="71">
        <v>4</v>
      </c>
      <c r="N50" s="71">
        <v>5</v>
      </c>
      <c r="O50" s="71" t="s">
        <v>29</v>
      </c>
      <c r="P50" s="34"/>
      <c r="Q50" s="125" t="s">
        <v>109</v>
      </c>
      <c r="R50" s="125">
        <v>2</v>
      </c>
      <c r="S50" s="125">
        <v>3</v>
      </c>
      <c r="T50" s="125">
        <v>4</v>
      </c>
      <c r="U50" s="125">
        <v>5</v>
      </c>
      <c r="V50" s="125" t="s">
        <v>29</v>
      </c>
    </row>
    <row r="51" spans="3:22" ht="15.75" thickTop="1" x14ac:dyDescent="0.25">
      <c r="C51" s="72">
        <v>0</v>
      </c>
      <c r="D51" s="93">
        <f>IF(ISNA(VLOOKUP(CONCATENATE(D$50,$C51),JTF_input!$L$56:$P$68,5,FALSE)),0,VLOOKUP(CONCATENATE(D$50,$C51),JTF_input!$L$56:$P$68,5,FALSE))</f>
        <v>846749.05634000001</v>
      </c>
      <c r="E51" s="93">
        <f>IF(ISNA(VLOOKUP(CONCATENATE(E$50,$C51),JTF_input!$L$56:$P$68,5,FALSE)),0,VLOOKUP(CONCATENATE(E$50,$C51),JTF_input!$L$56:$P$68,5,FALSE))</f>
        <v>432731.93664000003</v>
      </c>
      <c r="F51" s="93">
        <f>IF(ISNA(VLOOKUP(CONCATENATE(F$50,$C51),JTF_input!$L$56:$P$68,5,FALSE)),0,VLOOKUP(CONCATENATE(F$50,$C51),JTF_input!$L$56:$P$68,5,FALSE))</f>
        <v>357196.77802999999</v>
      </c>
      <c r="G51" s="93">
        <f>IF(ISNA(VLOOKUP(CONCATENATE(G$50,$C51),JTF_input!$L$56:$P$68,5,FALSE)),0,VLOOKUP(CONCATENATE(G$50,$C51),JTF_input!$L$56:$P$68,5,FALSE))</f>
        <v>321381.55604000005</v>
      </c>
      <c r="H51" s="93">
        <f>SUM(D51:G51)</f>
        <v>1958059.32705</v>
      </c>
      <c r="I51" s="92"/>
      <c r="J51" s="72">
        <v>0</v>
      </c>
      <c r="K51" s="94">
        <f>D51/D$54</f>
        <v>0.78525037302515255</v>
      </c>
      <c r="L51" s="94">
        <f t="shared" ref="L51:O54" si="6">E51/E$54</f>
        <v>0.72803761817042423</v>
      </c>
      <c r="M51" s="94">
        <f t="shared" si="6"/>
        <v>0.64037439118630346</v>
      </c>
      <c r="N51" s="94">
        <f t="shared" si="6"/>
        <v>0.63576929757773859</v>
      </c>
      <c r="O51" s="94">
        <f t="shared" si="6"/>
        <v>0.71567057709472537</v>
      </c>
      <c r="P51" s="34"/>
      <c r="Q51" s="126">
        <v>0</v>
      </c>
      <c r="R51" s="149">
        <f t="shared" ref="R51:V53" si="7">K59-K51</f>
        <v>2.1657738883345212E-2</v>
      </c>
      <c r="S51" s="149">
        <f t="shared" si="7"/>
        <v>2.2302981284616608E-2</v>
      </c>
      <c r="T51" s="149">
        <f t="shared" si="7"/>
        <v>-9.9010130453951462E-3</v>
      </c>
      <c r="U51" s="149">
        <f t="shared" si="7"/>
        <v>-7.6125100767244325E-2</v>
      </c>
      <c r="V51" s="149">
        <f t="shared" si="7"/>
        <v>3.2862140293538067E-3</v>
      </c>
    </row>
    <row r="52" spans="3:22" x14ac:dyDescent="0.25">
      <c r="C52" s="72">
        <v>1</v>
      </c>
      <c r="D52" s="93">
        <f>IF(ISNA(VLOOKUP(CONCATENATE(D$50,$C52),JTF_input!$L$56:$P$68,5,FALSE)),0,VLOOKUP(CONCATENATE(D$50,$C52),JTF_input!$L$56:$P$68,5,FALSE))</f>
        <v>211688.63926</v>
      </c>
      <c r="E52" s="93">
        <f>IF(ISNA(VLOOKUP(CONCATENATE(E$50,$C52),JTF_input!$L$56:$P$68,5,FALSE)),0,VLOOKUP(CONCATENATE(E$50,$C52),JTF_input!$L$56:$P$68,5,FALSE))</f>
        <v>130519.35126</v>
      </c>
      <c r="F52" s="93">
        <f>IF(ISNA(VLOOKUP(CONCATENATE(F$50,$C52),JTF_input!$L$56:$P$68,5,FALSE)),0,VLOOKUP(CONCATENATE(F$50,$C52),JTF_input!$L$56:$P$68,5,FALSE))</f>
        <v>157279.88552000001</v>
      </c>
      <c r="G52" s="93">
        <f>IF(ISNA(VLOOKUP(CONCATENATE(G$50,$C52),JTF_input!$L$56:$P$68,5,FALSE)),0,VLOOKUP(CONCATENATE(G$50,$C52),JTF_input!$L$56:$P$68,5,FALSE))</f>
        <v>138507.57428</v>
      </c>
      <c r="H52" s="93">
        <f>SUM(D52:G52)</f>
        <v>637995.45032000006</v>
      </c>
      <c r="I52" s="92"/>
      <c r="J52" s="72">
        <v>1</v>
      </c>
      <c r="K52" s="94">
        <f>D52/D$54</f>
        <v>0.19631386855346578</v>
      </c>
      <c r="L52" s="94">
        <f t="shared" si="6"/>
        <v>0.21958859416362247</v>
      </c>
      <c r="M52" s="94">
        <f t="shared" si="6"/>
        <v>0.28196785954005016</v>
      </c>
      <c r="N52" s="94">
        <f t="shared" si="6"/>
        <v>0.27400098591293148</v>
      </c>
      <c r="O52" s="94">
        <f t="shared" si="6"/>
        <v>0.23318730224697848</v>
      </c>
      <c r="P52" s="34"/>
      <c r="Q52" s="126">
        <v>1</v>
      </c>
      <c r="R52" s="149">
        <f t="shared" si="7"/>
        <v>-3.5010270024772722E-2</v>
      </c>
      <c r="S52" s="149">
        <f t="shared" si="7"/>
        <v>-1.5710744758425432E-2</v>
      </c>
      <c r="T52" s="149">
        <f t="shared" si="7"/>
        <v>-1.6365221811105779E-2</v>
      </c>
      <c r="U52" s="149">
        <f t="shared" si="7"/>
        <v>-2.5026497571957074E-2</v>
      </c>
      <c r="V52" s="149">
        <f t="shared" si="7"/>
        <v>-2.7517375552574552E-2</v>
      </c>
    </row>
    <row r="53" spans="3:22" ht="15.75" thickBot="1" x14ac:dyDescent="0.3">
      <c r="C53" s="71">
        <v>2</v>
      </c>
      <c r="D53" s="95">
        <f>IF(ISNA(VLOOKUP(CONCATENATE(D$50,$C53),JTF_input!$L$56:$P$68,5,FALSE)),0,VLOOKUP(CONCATENATE(D$50,$C53),JTF_input!$L$56:$P$68,5,FALSE))</f>
        <v>19877.597109999999</v>
      </c>
      <c r="E53" s="95">
        <f>IF(ISNA(VLOOKUP(CONCATENATE(E$50,$C53),JTF_input!$L$56:$P$68,5,FALSE)),0,VLOOKUP(CONCATENATE(E$50,$C53),JTF_input!$L$56:$P$68,5,FALSE))</f>
        <v>31126.999329999999</v>
      </c>
      <c r="F53" s="95">
        <f>IF(ISNA(VLOOKUP(CONCATENATE(F$50,$C53),JTF_input!$L$56:$P$68,5,FALSE)),0,VLOOKUP(CONCATENATE(F$50,$C53),JTF_input!$L$56:$P$68,5,FALSE))</f>
        <v>43313.000509999998</v>
      </c>
      <c r="G53" s="95">
        <f>IF(ISNA(VLOOKUP(CONCATENATE(G$50,$C53),JTF_input!$L$56:$P$68,5,FALSE)),0,VLOOKUP(CONCATENATE(G$50,$C53),JTF_input!$L$56:$P$68,5,FALSE))</f>
        <v>45606.146690000001</v>
      </c>
      <c r="H53" s="95">
        <f>SUM(D53:G53)</f>
        <v>139923.74364</v>
      </c>
      <c r="I53" s="92"/>
      <c r="J53" s="71">
        <v>2</v>
      </c>
      <c r="K53" s="96">
        <f>D53/D$54</f>
        <v>1.8433903679726884E-2</v>
      </c>
      <c r="L53" s="96">
        <f t="shared" si="6"/>
        <v>5.2368740400730661E-2</v>
      </c>
      <c r="M53" s="96">
        <f t="shared" si="6"/>
        <v>7.7650578163148451E-2</v>
      </c>
      <c r="N53" s="96">
        <f t="shared" si="6"/>
        <v>9.0219825317915295E-2</v>
      </c>
      <c r="O53" s="96">
        <f t="shared" si="6"/>
        <v>5.1142120658296118E-2</v>
      </c>
      <c r="P53" s="34"/>
      <c r="Q53" s="125">
        <v>2</v>
      </c>
      <c r="R53" s="153">
        <f t="shared" si="7"/>
        <v>1.3354385883082315E-2</v>
      </c>
      <c r="S53" s="153">
        <f t="shared" si="7"/>
        <v>-6.5871892609685803E-3</v>
      </c>
      <c r="T53" s="153">
        <f t="shared" si="7"/>
        <v>2.6273405966998828E-2</v>
      </c>
      <c r="U53" s="153">
        <f t="shared" si="7"/>
        <v>0.10116148953061609</v>
      </c>
      <c r="V53" s="153">
        <f t="shared" si="7"/>
        <v>2.423116152322078E-2</v>
      </c>
    </row>
    <row r="54" spans="3:22" ht="15.75" thickTop="1" x14ac:dyDescent="0.25">
      <c r="C54" s="72" t="s">
        <v>29</v>
      </c>
      <c r="D54" s="93">
        <f>SUM(D50:D53)</f>
        <v>1078317.29271</v>
      </c>
      <c r="E54" s="93">
        <f>SUM(E50:E53)</f>
        <v>594381.28723000002</v>
      </c>
      <c r="F54" s="93">
        <f>SUM(F50:F53)</f>
        <v>557793.66405999998</v>
      </c>
      <c r="G54" s="93">
        <f>SUM(G50:G53)</f>
        <v>505500.27701000008</v>
      </c>
      <c r="H54" s="93">
        <f>SUM(H50:H53)</f>
        <v>2735978.5210100003</v>
      </c>
      <c r="I54" s="92"/>
      <c r="J54" s="72" t="s">
        <v>29</v>
      </c>
      <c r="K54" s="94">
        <f>D54/D$54</f>
        <v>1</v>
      </c>
      <c r="L54" s="94">
        <f t="shared" si="6"/>
        <v>1</v>
      </c>
      <c r="M54" s="94">
        <f t="shared" si="6"/>
        <v>1</v>
      </c>
      <c r="N54" s="94">
        <f t="shared" si="6"/>
        <v>1</v>
      </c>
      <c r="O54" s="94">
        <f t="shared" si="6"/>
        <v>1</v>
      </c>
      <c r="P54" s="34"/>
    </row>
    <row r="56" spans="3:22" ht="18.75" x14ac:dyDescent="0.3">
      <c r="C56" s="59" t="s">
        <v>111</v>
      </c>
      <c r="Q56" s="393" t="s">
        <v>160</v>
      </c>
      <c r="R56" s="393"/>
      <c r="S56" s="393"/>
      <c r="T56" s="393"/>
      <c r="U56" s="393"/>
      <c r="V56" s="393"/>
    </row>
    <row r="57" spans="3:22" x14ac:dyDescent="0.25">
      <c r="C57" s="92"/>
      <c r="D57" s="396" t="s">
        <v>78</v>
      </c>
      <c r="E57" s="396"/>
      <c r="F57" s="396"/>
      <c r="G57" s="396"/>
      <c r="H57" s="396"/>
      <c r="I57" s="72"/>
      <c r="J57" s="92"/>
      <c r="K57" s="396" t="s">
        <v>78</v>
      </c>
      <c r="L57" s="396"/>
      <c r="M57" s="396"/>
      <c r="N57" s="396"/>
      <c r="O57" s="396"/>
      <c r="Q57" s="92"/>
      <c r="R57" s="396" t="s">
        <v>78</v>
      </c>
      <c r="S57" s="396"/>
      <c r="T57" s="396"/>
      <c r="U57" s="396"/>
      <c r="V57" s="396"/>
    </row>
    <row r="58" spans="3:22" ht="15.75" thickBot="1" x14ac:dyDescent="0.3">
      <c r="C58" s="71" t="s">
        <v>109</v>
      </c>
      <c r="D58" s="71">
        <v>2</v>
      </c>
      <c r="E58" s="71">
        <v>3</v>
      </c>
      <c r="F58" s="71">
        <v>4</v>
      </c>
      <c r="G58" s="71">
        <v>5</v>
      </c>
      <c r="H58" s="71" t="s">
        <v>29</v>
      </c>
      <c r="I58" s="92"/>
      <c r="J58" s="71" t="s">
        <v>109</v>
      </c>
      <c r="K58" s="71">
        <v>2</v>
      </c>
      <c r="L58" s="71">
        <v>3</v>
      </c>
      <c r="M58" s="71">
        <v>4</v>
      </c>
      <c r="N58" s="71">
        <v>5</v>
      </c>
      <c r="O58" s="71" t="s">
        <v>29</v>
      </c>
      <c r="Q58" s="125" t="s">
        <v>109</v>
      </c>
      <c r="R58" s="125">
        <v>2</v>
      </c>
      <c r="S58" s="125">
        <v>3</v>
      </c>
      <c r="T58" s="125">
        <v>4</v>
      </c>
      <c r="U58" s="125">
        <v>5</v>
      </c>
      <c r="V58" s="125" t="s">
        <v>29</v>
      </c>
    </row>
    <row r="59" spans="3:22" ht="15.75" thickTop="1" x14ac:dyDescent="0.25">
      <c r="C59" s="72">
        <v>0</v>
      </c>
      <c r="D59" s="93">
        <f>IF(ISNA(VLOOKUP(CONCATENATE(D$58,$C59),JTF_input!$F$54:$J$66,5,FALSE)),0,VLOOKUP(CONCATENATE(D$58,$C59),JTF_input!$F$54:$J$66,5,FALSE))*Index!$B$2</f>
        <v>941105</v>
      </c>
      <c r="E59" s="93">
        <f>IF(ISNA(VLOOKUP(CONCATENATE(E$58,$C59),JTF_input!$F$54:$J$66,5,FALSE)),0,VLOOKUP(CONCATENATE(E$58,$C59),JTF_input!$F$54:$J$66,5,FALSE))*Index!$B$2</f>
        <v>451615</v>
      </c>
      <c r="F59" s="93">
        <f>IF(ISNA(VLOOKUP(CONCATENATE(F$58,$C59),JTF_input!$F$54:$J$66,5,FALSE)),0,VLOOKUP(CONCATENATE(F$58,$C59),JTF_input!$F$54:$J$66,5,FALSE))*Index!$B$2</f>
        <v>348015</v>
      </c>
      <c r="G59" s="93">
        <f>IF(ISNA(VLOOKUP(CONCATENATE(G$58,$C59),JTF_input!$F$54:$J$66,5,FALSE)),0,VLOOKUP(CONCATENATE(G$58,$C59),JTF_input!$F$54:$J$66,5,FALSE))*Index!$B$2</f>
        <v>255125</v>
      </c>
      <c r="H59" s="93">
        <f>SUM(D59:G59)</f>
        <v>1995860</v>
      </c>
      <c r="I59" s="92"/>
      <c r="J59" s="72">
        <v>0</v>
      </c>
      <c r="K59" s="94">
        <f>D59/D$62</f>
        <v>0.80690811190849776</v>
      </c>
      <c r="L59" s="94">
        <f t="shared" ref="L59:O62" si="8">E59/E$62</f>
        <v>0.75034059945504084</v>
      </c>
      <c r="M59" s="94">
        <f t="shared" si="8"/>
        <v>0.63047337814090831</v>
      </c>
      <c r="N59" s="94">
        <f t="shared" si="8"/>
        <v>0.55964419681049427</v>
      </c>
      <c r="O59" s="94">
        <f t="shared" si="8"/>
        <v>0.71895679112407918</v>
      </c>
      <c r="Q59" s="126">
        <v>0</v>
      </c>
      <c r="R59" s="149">
        <f t="shared" ref="R59:V61" si="9">R51/K51</f>
        <v>2.7580679522518976E-2</v>
      </c>
      <c r="S59" s="149">
        <f t="shared" si="9"/>
        <v>3.0634380323182376E-2</v>
      </c>
      <c r="T59" s="149">
        <f t="shared" si="9"/>
        <v>-1.5461288242731516E-2</v>
      </c>
      <c r="U59" s="149">
        <f t="shared" si="9"/>
        <v>-0.11973698801951999</v>
      </c>
      <c r="V59" s="149">
        <f t="shared" si="9"/>
        <v>4.5917970285913358E-3</v>
      </c>
    </row>
    <row r="60" spans="3:22" x14ac:dyDescent="0.25">
      <c r="C60" s="72">
        <v>1</v>
      </c>
      <c r="D60" s="93">
        <f>IF(ISNA(VLOOKUP(CONCATENATE(D$58,$C60),JTF_input!$F$54:$J$66,5,FALSE)),0,VLOOKUP(CONCATENATE(D$58,$C60),JTF_input!$F$54:$J$66,5,FALSE))*Index!$B$2</f>
        <v>188130</v>
      </c>
      <c r="E60" s="93">
        <f>IF(ISNA(VLOOKUP(CONCATENATE(E$58,$C60),JTF_input!$F$54:$J$66,5,FALSE)),0,VLOOKUP(CONCATENATE(E$58,$C60),JTF_input!$F$54:$J$66,5,FALSE))*Index!$B$2</f>
        <v>122710</v>
      </c>
      <c r="F60" s="93">
        <f>IF(ISNA(VLOOKUP(CONCATENATE(F$58,$C60),JTF_input!$F$54:$J$66,5,FALSE)),0,VLOOKUP(CONCATENATE(F$58,$C60),JTF_input!$F$54:$J$66,5,FALSE))*Index!$B$2</f>
        <v>146610</v>
      </c>
      <c r="G60" s="93">
        <f>IF(ISNA(VLOOKUP(CONCATENATE(G$58,$C60),JTF_input!$F$54:$J$66,5,FALSE)),0,VLOOKUP(CONCATENATE(G$58,$C60),JTF_input!$F$54:$J$66,5,FALSE))*Index!$B$2</f>
        <v>113500</v>
      </c>
      <c r="H60" s="93">
        <f>SUM(D60:G60)</f>
        <v>570950</v>
      </c>
      <c r="I60" s="92"/>
      <c r="J60" s="72">
        <v>1</v>
      </c>
      <c r="K60" s="94">
        <f>D60/D$62</f>
        <v>0.16130359852869305</v>
      </c>
      <c r="L60" s="94">
        <f t="shared" si="8"/>
        <v>0.20387784940519704</v>
      </c>
      <c r="M60" s="94">
        <f t="shared" si="8"/>
        <v>0.26560263772894438</v>
      </c>
      <c r="N60" s="94">
        <f t="shared" si="8"/>
        <v>0.24897448834097441</v>
      </c>
      <c r="O60" s="94">
        <f t="shared" si="8"/>
        <v>0.20566992669440393</v>
      </c>
      <c r="Q60" s="126">
        <v>1</v>
      </c>
      <c r="R60" s="149">
        <f t="shared" si="9"/>
        <v>-0.17833824111737542</v>
      </c>
      <c r="S60" s="149">
        <f t="shared" si="9"/>
        <v>-7.1546269596857365E-2</v>
      </c>
      <c r="T60" s="149">
        <f t="shared" si="9"/>
        <v>-5.8039316388048455E-2</v>
      </c>
      <c r="U60" s="149">
        <f t="shared" si="9"/>
        <v>-9.1337253727655096E-2</v>
      </c>
      <c r="V60" s="149">
        <f t="shared" si="9"/>
        <v>-0.11800546293652706</v>
      </c>
    </row>
    <row r="61" spans="3:22" ht="15.75" thickBot="1" x14ac:dyDescent="0.3">
      <c r="C61" s="71">
        <v>2</v>
      </c>
      <c r="D61" s="95">
        <f>IF(ISNA(VLOOKUP(CONCATENATE(D$58,$C61),JTF_input!$F$54:$J$66,5,FALSE)),0,VLOOKUP(CONCATENATE(D$58,$C61),JTF_input!$F$54:$J$66,5,FALSE))*Index!$B$2</f>
        <v>37075</v>
      </c>
      <c r="E61" s="95">
        <f>IF(ISNA(VLOOKUP(CONCATENATE(E$58,$C61),JTF_input!$F$54:$J$66,5,FALSE)),0,VLOOKUP(CONCATENATE(E$58,$C61),JTF_input!$F$54:$J$66,5,FALSE))*Index!$B$2</f>
        <v>27555</v>
      </c>
      <c r="F61" s="95">
        <f>IF(ISNA(VLOOKUP(CONCATENATE(F$58,$C61),JTF_input!$F$54:$J$66,5,FALSE)),0,VLOOKUP(CONCATENATE(F$58,$C61),JTF_input!$F$54:$J$66,5,FALSE))*Index!$B$2</f>
        <v>57365</v>
      </c>
      <c r="G61" s="95">
        <f>IF(ISNA(VLOOKUP(CONCATENATE(G$58,$C61),JTF_input!$F$54:$J$66,5,FALSE)),0,VLOOKUP(CONCATENATE(G$58,$C61),JTF_input!$F$54:$J$66,5,FALSE))*Index!$B$2</f>
        <v>87245</v>
      </c>
      <c r="H61" s="95">
        <f>SUM(D61:G61)</f>
        <v>209240</v>
      </c>
      <c r="I61" s="92"/>
      <c r="J61" s="71">
        <v>2</v>
      </c>
      <c r="K61" s="96">
        <f>D61/D$62</f>
        <v>3.1788289562809199E-2</v>
      </c>
      <c r="L61" s="96">
        <f t="shared" si="8"/>
        <v>4.5781551139762081E-2</v>
      </c>
      <c r="M61" s="96">
        <f t="shared" si="8"/>
        <v>0.10392398413014728</v>
      </c>
      <c r="N61" s="96">
        <f t="shared" si="8"/>
        <v>0.19138131484853138</v>
      </c>
      <c r="O61" s="96">
        <f t="shared" si="8"/>
        <v>7.5373282181516899E-2</v>
      </c>
      <c r="Q61" s="125">
        <v>2</v>
      </c>
      <c r="R61" s="153">
        <f t="shared" si="9"/>
        <v>0.72444698177354117</v>
      </c>
      <c r="S61" s="197">
        <f t="shared" si="9"/>
        <v>-0.12578475652770663</v>
      </c>
      <c r="T61" s="197">
        <f t="shared" si="9"/>
        <v>0.33835428645227661</v>
      </c>
      <c r="U61" s="197">
        <f t="shared" si="9"/>
        <v>1.1212778252911122</v>
      </c>
      <c r="V61" s="153">
        <f t="shared" si="9"/>
        <v>0.47380048404954195</v>
      </c>
    </row>
    <row r="62" spans="3:22" ht="15.75" thickTop="1" x14ac:dyDescent="0.25">
      <c r="C62" s="72" t="s">
        <v>29</v>
      </c>
      <c r="D62" s="93">
        <f>SUM(D59:D61)</f>
        <v>1166310</v>
      </c>
      <c r="E62" s="93">
        <f>SUM(E59:E61)</f>
        <v>601880</v>
      </c>
      <c r="F62" s="93">
        <f>SUM(F59:F61)</f>
        <v>551990</v>
      </c>
      <c r="G62" s="93">
        <f>SUM(G59:G61)</f>
        <v>455870</v>
      </c>
      <c r="H62" s="93">
        <f>SUM(H59:H61)</f>
        <v>2776050</v>
      </c>
      <c r="I62" s="92"/>
      <c r="J62" s="72" t="s">
        <v>29</v>
      </c>
      <c r="K62" s="94">
        <f>D62/D$62</f>
        <v>1</v>
      </c>
      <c r="L62" s="94">
        <f t="shared" si="8"/>
        <v>1</v>
      </c>
      <c r="M62" s="94">
        <f t="shared" si="8"/>
        <v>1</v>
      </c>
      <c r="N62" s="94">
        <f t="shared" si="8"/>
        <v>1</v>
      </c>
      <c r="O62" s="94">
        <f t="shared" si="8"/>
        <v>1</v>
      </c>
    </row>
    <row r="63" spans="3:22" x14ac:dyDescent="0.25">
      <c r="H63" s="89"/>
      <c r="R63" s="115"/>
    </row>
    <row r="66" spans="2:24" ht="18.75" x14ac:dyDescent="0.3">
      <c r="C66" s="59" t="s">
        <v>113</v>
      </c>
      <c r="S66" s="393" t="s">
        <v>140</v>
      </c>
      <c r="T66" s="393"/>
      <c r="U66" s="393"/>
      <c r="V66" s="393"/>
      <c r="W66" s="393"/>
      <c r="X66" s="393"/>
    </row>
    <row r="67" spans="2:24" x14ac:dyDescent="0.25">
      <c r="C67" s="92"/>
      <c r="D67" s="396" t="s">
        <v>112</v>
      </c>
      <c r="E67" s="396"/>
      <c r="F67" s="396"/>
      <c r="G67" s="396"/>
      <c r="H67" s="396"/>
      <c r="I67" s="396"/>
      <c r="J67" s="92"/>
      <c r="K67" s="92"/>
      <c r="L67" s="396" t="s">
        <v>112</v>
      </c>
      <c r="M67" s="396"/>
      <c r="N67" s="396"/>
      <c r="O67" s="396"/>
      <c r="P67" s="396"/>
      <c r="Q67" s="396"/>
      <c r="S67" s="92"/>
      <c r="T67" s="396" t="s">
        <v>112</v>
      </c>
      <c r="U67" s="396"/>
      <c r="V67" s="396"/>
      <c r="W67" s="396"/>
      <c r="X67" s="396"/>
    </row>
    <row r="68" spans="2:24" ht="15.75" thickBot="1" x14ac:dyDescent="0.3">
      <c r="C68" s="71" t="s">
        <v>76</v>
      </c>
      <c r="D68" s="71">
        <v>2</v>
      </c>
      <c r="E68" s="71">
        <v>3</v>
      </c>
      <c r="F68" s="71">
        <v>4</v>
      </c>
      <c r="G68" s="71">
        <v>5</v>
      </c>
      <c r="H68" s="71">
        <v>6</v>
      </c>
      <c r="I68" s="71" t="s">
        <v>29</v>
      </c>
      <c r="J68" s="92"/>
      <c r="K68" s="71" t="s">
        <v>76</v>
      </c>
      <c r="L68" s="71">
        <v>2</v>
      </c>
      <c r="M68" s="71">
        <v>3</v>
      </c>
      <c r="N68" s="71">
        <v>4</v>
      </c>
      <c r="O68" s="71">
        <v>5</v>
      </c>
      <c r="P68" s="71">
        <v>6</v>
      </c>
      <c r="Q68" s="71" t="s">
        <v>29</v>
      </c>
      <c r="S68" s="125" t="s">
        <v>76</v>
      </c>
      <c r="T68" s="125">
        <v>2</v>
      </c>
      <c r="U68" s="125">
        <v>3</v>
      </c>
      <c r="V68" s="125">
        <v>4</v>
      </c>
      <c r="W68" s="125">
        <v>5</v>
      </c>
      <c r="X68" s="125">
        <v>6</v>
      </c>
    </row>
    <row r="69" spans="2:24" ht="15.75" thickTop="1" x14ac:dyDescent="0.25">
      <c r="B69">
        <v>1</v>
      </c>
      <c r="C69" s="72" t="s">
        <v>104</v>
      </c>
      <c r="D69" s="93">
        <f>IF(ISNA(VLOOKUP(CONCATENATE($B69,D$68),JTF_input!$L$37:$O$50,4,FALSE)),0,VLOOKUP(CONCATENATE($B69,D$68),JTF_input!$L$37:$O$50,4,FALSE))</f>
        <v>387332.06533000001</v>
      </c>
      <c r="E69" s="93">
        <f>IF(ISNA(VLOOKUP(CONCATENATE($B69,E$68),JTF_input!$L$37:$O$50,4,FALSE)),0,VLOOKUP(CONCATENATE($B69,E$68),JTF_input!$L$37:$O$50,4,FALSE))</f>
        <v>12184.74883</v>
      </c>
      <c r="F69" s="93">
        <f>IF(ISNA(VLOOKUP(CONCATENATE($B69,F$68),JTF_input!$L$37:$O$50,4,FALSE)),0,VLOOKUP(CONCATENATE($B69,F$68),JTF_input!$L$37:$O$50,4,FALSE))</f>
        <v>2871.3798700000002</v>
      </c>
      <c r="G69" s="93">
        <f>IF(ISNA(VLOOKUP(CONCATENATE($B69,G$68),JTF_input!$L$37:$O$50,4,FALSE)),0,VLOOKUP(CONCATENATE($B69,G$68),JTF_input!$L$37:$O$50,4,FALSE))</f>
        <v>0</v>
      </c>
      <c r="H69" s="93">
        <f>IF(ISNA(VLOOKUP(CONCATENATE($B69,H$68),JTF_input!$L$37:$O$50,4,FALSE)),0,VLOOKUP(CONCATENATE($B69,H$68),JTF_input!$L$37:$O$50,4,FALSE))</f>
        <v>0</v>
      </c>
      <c r="I69" s="93">
        <f>SUM(D69:H69)</f>
        <v>402388.19403000001</v>
      </c>
      <c r="J69" s="92"/>
      <c r="K69" s="72" t="s">
        <v>104</v>
      </c>
      <c r="L69" s="97">
        <f t="shared" ref="L69:Q69" si="10">D69/$I$69</f>
        <v>0.96258307543964006</v>
      </c>
      <c r="M69" s="97">
        <f t="shared" si="10"/>
        <v>3.0281079342729344E-2</v>
      </c>
      <c r="N69" s="97">
        <f t="shared" si="10"/>
        <v>7.1358452176306262E-3</v>
      </c>
      <c r="O69" s="97">
        <f t="shared" si="10"/>
        <v>0</v>
      </c>
      <c r="P69" s="97">
        <f t="shared" si="10"/>
        <v>0</v>
      </c>
      <c r="Q69" s="97">
        <f t="shared" si="10"/>
        <v>1</v>
      </c>
      <c r="S69" s="126" t="s">
        <v>104</v>
      </c>
      <c r="T69" s="97">
        <f t="shared" ref="T69:X71" si="11">L77-L69</f>
        <v>-0.17409431348757254</v>
      </c>
      <c r="U69" s="97">
        <f t="shared" si="11"/>
        <v>0.13790468993580041</v>
      </c>
      <c r="V69" s="97">
        <f t="shared" si="11"/>
        <v>3.0750656707117911E-2</v>
      </c>
      <c r="W69" s="97">
        <f t="shared" si="11"/>
        <v>4.8925866136843412E-3</v>
      </c>
      <c r="X69" s="97">
        <f t="shared" si="11"/>
        <v>5.4638023096982493E-4</v>
      </c>
    </row>
    <row r="70" spans="2:24" x14ac:dyDescent="0.25">
      <c r="B70">
        <v>2</v>
      </c>
      <c r="C70" s="72" t="s">
        <v>105</v>
      </c>
      <c r="D70" s="93">
        <f>IF(ISNA(VLOOKUP(CONCATENATE($B70,D$68),JTF_input!$L$37:$O$50,4,FALSE)),0,VLOOKUP(CONCATENATE($B70,D$68),JTF_input!$L$37:$O$50,4,FALSE))</f>
        <v>40412.591399999998</v>
      </c>
      <c r="E70" s="93">
        <f>IF(ISNA(VLOOKUP(CONCATENATE($B70,E$68),JTF_input!$L$37:$O$50,4,FALSE)),0,VLOOKUP(CONCATENATE($B70,E$68),JTF_input!$L$37:$O$50,4,FALSE))</f>
        <v>1696.2967000000001</v>
      </c>
      <c r="F70" s="93">
        <f>IF(ISNA(VLOOKUP(CONCATENATE($B70,F$68),JTF_input!$L$37:$O$50,4,FALSE)),0,VLOOKUP(CONCATENATE($B70,F$68),JTF_input!$L$37:$O$50,4,FALSE))</f>
        <v>1271.0268599999999</v>
      </c>
      <c r="G70" s="93">
        <f>IF(ISNA(VLOOKUP(CONCATENATE($B70,G$68),JTF_input!$L$37:$O$50,4,FALSE)),0,VLOOKUP(CONCATENATE($B70,G$68),JTF_input!$L$37:$O$50,4,FALSE))</f>
        <v>632.10476000000006</v>
      </c>
      <c r="H70" s="93">
        <f>IF(ISNA(VLOOKUP(CONCATENATE($B70,H$68),JTF_input!$L$37:$O$50,4,FALSE)),0,VLOOKUP(CONCATENATE($B70,H$68),JTF_input!$L$37:$O$50,4,FALSE))</f>
        <v>0</v>
      </c>
      <c r="I70" s="93">
        <f>SUM(D70:H70)</f>
        <v>44012.019719999997</v>
      </c>
      <c r="J70" s="92"/>
      <c r="K70" s="72" t="s">
        <v>105</v>
      </c>
      <c r="L70" s="97">
        <f t="shared" ref="L70:Q70" si="12">D70/$I$70</f>
        <v>0.91821715197577392</v>
      </c>
      <c r="M70" s="97">
        <f t="shared" si="12"/>
        <v>3.8541669089300325E-2</v>
      </c>
      <c r="N70" s="97">
        <f t="shared" si="12"/>
        <v>2.8879085033728148E-2</v>
      </c>
      <c r="O70" s="97">
        <f t="shared" si="12"/>
        <v>1.4362093901197592E-2</v>
      </c>
      <c r="P70" s="97">
        <f t="shared" si="12"/>
        <v>0</v>
      </c>
      <c r="Q70" s="97">
        <f t="shared" si="12"/>
        <v>1</v>
      </c>
      <c r="S70" s="126" t="s">
        <v>105</v>
      </c>
      <c r="T70" s="97">
        <f t="shared" si="11"/>
        <v>-0.32540921416372814</v>
      </c>
      <c r="U70" s="97">
        <f t="shared" si="11"/>
        <v>0.23669058775200666</v>
      </c>
      <c r="V70" s="97">
        <f t="shared" si="11"/>
        <v>5.858852540676987E-2</v>
      </c>
      <c r="W70" s="97">
        <f t="shared" si="11"/>
        <v>1.4203917601045977E-2</v>
      </c>
      <c r="X70" s="97">
        <f t="shared" si="11"/>
        <v>1.5926183403905707E-2</v>
      </c>
    </row>
    <row r="71" spans="2:24" ht="15.75" thickBot="1" x14ac:dyDescent="0.3">
      <c r="B71">
        <v>3</v>
      </c>
      <c r="C71" s="71" t="s">
        <v>106</v>
      </c>
      <c r="D71" s="95">
        <f>IF(ISNA(VLOOKUP(CONCATENATE($B71,D$68),JTF_input!$L$37:$O$50,4,FALSE)),0,VLOOKUP(CONCATENATE($B71,D$68),JTF_input!$L$37:$O$50,4,FALSE))</f>
        <v>237749.97482</v>
      </c>
      <c r="E71" s="95">
        <f>IF(ISNA(VLOOKUP(CONCATENATE($B71,E$68),JTF_input!$L$37:$O$50,4,FALSE)),0,VLOOKUP(CONCATENATE($B71,E$68),JTF_input!$L$37:$O$50,4,FALSE))</f>
        <v>155954.78115</v>
      </c>
      <c r="F71" s="95">
        <f>IF(ISNA(VLOOKUP(CONCATENATE($B71,F$68),JTF_input!$L$37:$O$50,4,FALSE)),0,VLOOKUP(CONCATENATE($B71,F$68),JTF_input!$L$37:$O$50,4,FALSE))</f>
        <v>61342.071089999998</v>
      </c>
      <c r="G71" s="95">
        <f>IF(ISNA(VLOOKUP(CONCATENATE($B71,G$68),JTF_input!$L$37:$O$50,4,FALSE)),0,VLOOKUP(CONCATENATE($B71,G$68),JTF_input!$L$37:$O$50,4,FALSE))</f>
        <v>31371.426319999999</v>
      </c>
      <c r="H71" s="95">
        <f>IF(ISNA(VLOOKUP(CONCATENATE($B71,H$68),JTF_input!$L$37:$O$50,4,FALSE)),0,VLOOKUP(CONCATENATE($B71,H$68),JTF_input!$L$37:$O$50,4,FALSE))</f>
        <v>4400.20579</v>
      </c>
      <c r="I71" s="95">
        <f>SUM(D71:H71)</f>
        <v>490818.45916999999</v>
      </c>
      <c r="J71" s="92"/>
      <c r="K71" s="71" t="s">
        <v>106</v>
      </c>
      <c r="L71" s="98">
        <f t="shared" ref="L71:Q71" si="13">D71/$I$71</f>
        <v>0.48439493335692346</v>
      </c>
      <c r="M71" s="98">
        <f t="shared" si="13"/>
        <v>0.3177443273297581</v>
      </c>
      <c r="N71" s="98">
        <f t="shared" si="13"/>
        <v>0.12497914441468377</v>
      </c>
      <c r="O71" s="98">
        <f t="shared" si="13"/>
        <v>6.3916557606759003E-2</v>
      </c>
      <c r="P71" s="98">
        <f t="shared" si="13"/>
        <v>8.9650372918756577E-3</v>
      </c>
      <c r="Q71" s="98">
        <f t="shared" si="13"/>
        <v>1</v>
      </c>
      <c r="S71" s="125" t="s">
        <v>106</v>
      </c>
      <c r="T71" s="97">
        <f t="shared" si="11"/>
        <v>-0.16332690621303919</v>
      </c>
      <c r="U71" s="97">
        <f t="shared" si="11"/>
        <v>-9.6771835627552899E-2</v>
      </c>
      <c r="V71" s="97">
        <f t="shared" si="11"/>
        <v>0.15224106970289375</v>
      </c>
      <c r="W71" s="97">
        <f t="shared" si="11"/>
        <v>5.6773267376251449E-2</v>
      </c>
      <c r="X71" s="97">
        <f t="shared" si="11"/>
        <v>5.1084404761446905E-2</v>
      </c>
    </row>
    <row r="72" spans="2:24" ht="15.75" thickTop="1" x14ac:dyDescent="0.25">
      <c r="C72" s="72" t="s">
        <v>29</v>
      </c>
      <c r="D72" s="93">
        <f>SUM(D69:D71)</f>
        <v>665494.63155000005</v>
      </c>
      <c r="E72" s="93">
        <f>SUM(E69:E71)</f>
        <v>169835.82668</v>
      </c>
      <c r="F72" s="93">
        <f>SUM(F69:F71)</f>
        <v>65484.47782</v>
      </c>
      <c r="G72" s="93">
        <f>SUM(G69:G71)</f>
        <v>32003.531079999997</v>
      </c>
      <c r="H72" s="93">
        <f>SUM(H69:H71)</f>
        <v>4400.20579</v>
      </c>
      <c r="I72" s="93">
        <f>SUM(D72:H72)</f>
        <v>937218.67292000004</v>
      </c>
      <c r="J72" s="92"/>
      <c r="K72" s="72" t="s">
        <v>29</v>
      </c>
      <c r="L72" s="97">
        <f t="shared" ref="L72:Q72" si="14">D72/$I$72</f>
        <v>0.71007402090761151</v>
      </c>
      <c r="M72" s="97">
        <f t="shared" si="14"/>
        <v>0.18121259380253193</v>
      </c>
      <c r="N72" s="97">
        <f t="shared" si="14"/>
        <v>6.9871076742396149E-2</v>
      </c>
      <c r="O72" s="97">
        <f t="shared" si="14"/>
        <v>3.4147346830265067E-2</v>
      </c>
      <c r="P72" s="97">
        <f t="shared" si="14"/>
        <v>4.6949617171953171E-3</v>
      </c>
      <c r="Q72" s="97">
        <f t="shared" si="14"/>
        <v>1</v>
      </c>
    </row>
    <row r="73" spans="2:24" x14ac:dyDescent="0.25">
      <c r="R73" s="7"/>
      <c r="S73" s="88" t="s">
        <v>167</v>
      </c>
    </row>
    <row r="74" spans="2:24" ht="18.75" x14ac:dyDescent="0.3">
      <c r="C74" s="59" t="s">
        <v>114</v>
      </c>
      <c r="S74" s="393" t="s">
        <v>161</v>
      </c>
      <c r="T74" s="393"/>
      <c r="U74" s="393"/>
      <c r="V74" s="393"/>
      <c r="W74" s="393"/>
      <c r="X74" s="393"/>
    </row>
    <row r="75" spans="2:24" x14ac:dyDescent="0.25">
      <c r="C75" s="92"/>
      <c r="D75" s="396" t="s">
        <v>112</v>
      </c>
      <c r="E75" s="396"/>
      <c r="F75" s="396"/>
      <c r="G75" s="396"/>
      <c r="H75" s="396"/>
      <c r="I75" s="396"/>
      <c r="J75" s="92"/>
      <c r="K75" s="92"/>
      <c r="L75" s="396" t="s">
        <v>112</v>
      </c>
      <c r="M75" s="396"/>
      <c r="N75" s="396"/>
      <c r="O75" s="396"/>
      <c r="P75" s="396"/>
      <c r="Q75" s="396"/>
      <c r="S75" s="92"/>
      <c r="T75" s="396" t="s">
        <v>112</v>
      </c>
      <c r="U75" s="396"/>
      <c r="V75" s="396"/>
      <c r="W75" s="396"/>
      <c r="X75" s="396"/>
    </row>
    <row r="76" spans="2:24" ht="15.75" thickBot="1" x14ac:dyDescent="0.3">
      <c r="C76" s="71" t="s">
        <v>76</v>
      </c>
      <c r="D76" s="71">
        <v>2</v>
      </c>
      <c r="E76" s="71">
        <v>3</v>
      </c>
      <c r="F76" s="71">
        <v>4</v>
      </c>
      <c r="G76" s="71">
        <v>5</v>
      </c>
      <c r="H76" s="71">
        <v>6</v>
      </c>
      <c r="I76" s="71" t="s">
        <v>29</v>
      </c>
      <c r="J76" s="92"/>
      <c r="K76" s="71" t="s">
        <v>76</v>
      </c>
      <c r="L76" s="71">
        <v>2</v>
      </c>
      <c r="M76" s="71">
        <v>3</v>
      </c>
      <c r="N76" s="71">
        <v>4</v>
      </c>
      <c r="O76" s="71">
        <v>5</v>
      </c>
      <c r="P76" s="71">
        <v>6</v>
      </c>
      <c r="Q76" s="71" t="s">
        <v>29</v>
      </c>
      <c r="S76" s="125" t="s">
        <v>76</v>
      </c>
      <c r="T76" s="125">
        <v>2</v>
      </c>
      <c r="U76" s="125">
        <v>3</v>
      </c>
      <c r="V76" s="125">
        <v>4</v>
      </c>
      <c r="W76" s="125">
        <v>5</v>
      </c>
      <c r="X76" s="125">
        <v>6</v>
      </c>
    </row>
    <row r="77" spans="2:24" ht="15.75" thickTop="1" x14ac:dyDescent="0.25">
      <c r="B77">
        <v>1</v>
      </c>
      <c r="C77" s="72" t="s">
        <v>104</v>
      </c>
      <c r="D77" s="93">
        <f>IF(ISNA(VLOOKUP(CONCATENATE($B77,D$76),JTF_input!$Q$37:$T$51,4,FALSE)),0,VLOOKUP(CONCATENATE($B77,D$76),JTF_input!$Q$37:$T$51,4,FALSE))*Index!$B$2</f>
        <v>317485</v>
      </c>
      <c r="E77" s="93">
        <f>IF(ISNA(VLOOKUP(CONCATENATE($B77,E$76),JTF_input!$Q$37:$T$51,4,FALSE)),0,VLOOKUP(CONCATENATE($B77,E$76),JTF_input!$Q$37:$T$51,4,FALSE))*Index!$B$2</f>
        <v>67720</v>
      </c>
      <c r="F77" s="93">
        <f>IF(ISNA(VLOOKUP(CONCATENATE($B77,F$76),JTF_input!$Q$37:$T$51,4,FALSE)),0,VLOOKUP(CONCATENATE($B77,F$76),JTF_input!$Q$37:$T$51,4,FALSE))*Index!$B$2</f>
        <v>15255</v>
      </c>
      <c r="G77" s="93">
        <f>IF(ISNA(VLOOKUP(CONCATENATE($B77,G$76),JTF_input!$Q$37:$T$51,4,FALSE)),0,VLOOKUP(CONCATENATE($B77,G$76),JTF_input!$Q$37:$T$51,4,FALSE))*Index!$B$2</f>
        <v>1970</v>
      </c>
      <c r="H77" s="93">
        <f>IF(ISNA(VLOOKUP(CONCATENATE($B77,H$76),JTF_input!$Q$37:$T$51,4,FALSE)),0,VLOOKUP(CONCATENATE($B77,H$76),JTF_input!$Q$37:$T$51,4,FALSE))*Index!$B$2</f>
        <v>220</v>
      </c>
      <c r="I77" s="93">
        <f>SUM(D77:H77)</f>
        <v>402650</v>
      </c>
      <c r="J77" s="92"/>
      <c r="K77" s="72" t="s">
        <v>104</v>
      </c>
      <c r="L77" s="97">
        <f t="shared" ref="L77:Q77" si="15">D77/$I$77</f>
        <v>0.78848876195206752</v>
      </c>
      <c r="M77" s="97">
        <f t="shared" si="15"/>
        <v>0.16818576927852974</v>
      </c>
      <c r="N77" s="97">
        <f t="shared" si="15"/>
        <v>3.7886501924748538E-2</v>
      </c>
      <c r="O77" s="97">
        <f t="shared" si="15"/>
        <v>4.8925866136843412E-3</v>
      </c>
      <c r="P77" s="97">
        <f t="shared" si="15"/>
        <v>5.4638023096982493E-4</v>
      </c>
      <c r="Q77" s="97">
        <f t="shared" si="15"/>
        <v>1</v>
      </c>
      <c r="S77" s="126" t="s">
        <v>104</v>
      </c>
      <c r="T77" s="149">
        <f t="shared" ref="T77:U79" si="16">T69/L69</f>
        <v>-0.18086159826574816</v>
      </c>
      <c r="U77" s="149">
        <f t="shared" si="16"/>
        <v>4.5541537134445669</v>
      </c>
      <c r="V77" s="149"/>
      <c r="W77" s="149"/>
      <c r="X77" s="149"/>
    </row>
    <row r="78" spans="2:24" x14ac:dyDescent="0.25">
      <c r="B78">
        <v>2</v>
      </c>
      <c r="C78" s="72" t="s">
        <v>105</v>
      </c>
      <c r="D78" s="93">
        <f>IF(ISNA(VLOOKUP(CONCATENATE($B78,D$76),JTF_input!$Q$37:$T$51,4,FALSE)),0,VLOOKUP(CONCATENATE($B78,D$76),JTF_input!$Q$37:$T$51,4,FALSE))*Index!$B$2</f>
        <v>46900</v>
      </c>
      <c r="E78" s="93">
        <f>IF(ISNA(VLOOKUP(CONCATENATE($B78,E$76),JTF_input!$Q$37:$T$51,4,FALSE)),0,VLOOKUP(CONCATENATE($B78,E$76),JTF_input!$Q$37:$T$51,4,FALSE))*Index!$B$2</f>
        <v>21775</v>
      </c>
      <c r="F78" s="93">
        <f>IF(ISNA(VLOOKUP(CONCATENATE($B78,F$76),JTF_input!$Q$37:$T$51,4,FALSE)),0,VLOOKUP(CONCATENATE($B78,F$76),JTF_input!$Q$37:$T$51,4,FALSE))*Index!$B$2</f>
        <v>6920</v>
      </c>
      <c r="G78" s="93">
        <f>IF(ISNA(VLOOKUP(CONCATENATE($B78,G$76),JTF_input!$Q$37:$T$51,4,FALSE)),0,VLOOKUP(CONCATENATE($B78,G$76),JTF_input!$Q$37:$T$51,4,FALSE))*Index!$B$2</f>
        <v>2260</v>
      </c>
      <c r="H78" s="93">
        <f>IF(ISNA(VLOOKUP(CONCATENATE($B78,H$76),JTF_input!$Q$37:$T$51,4,FALSE)),0,VLOOKUP(CONCATENATE($B78,H$76),JTF_input!$Q$37:$T$51,4,FALSE))*Index!$B$2</f>
        <v>1260</v>
      </c>
      <c r="I78" s="93">
        <f>SUM(D78:H78)</f>
        <v>79115</v>
      </c>
      <c r="J78" s="92"/>
      <c r="K78" s="72" t="s">
        <v>105</v>
      </c>
      <c r="L78" s="97">
        <f t="shared" ref="L78:Q78" si="17">D78/$I$78</f>
        <v>0.59280793781204577</v>
      </c>
      <c r="M78" s="97">
        <f t="shared" si="17"/>
        <v>0.27523225684130698</v>
      </c>
      <c r="N78" s="97">
        <f t="shared" si="17"/>
        <v>8.7467610440498014E-2</v>
      </c>
      <c r="O78" s="97">
        <f t="shared" si="17"/>
        <v>2.8566011502243568E-2</v>
      </c>
      <c r="P78" s="97">
        <f t="shared" si="17"/>
        <v>1.5926183403905707E-2</v>
      </c>
      <c r="Q78" s="97">
        <f t="shared" si="17"/>
        <v>1</v>
      </c>
      <c r="S78" s="126" t="s">
        <v>105</v>
      </c>
      <c r="T78" s="149">
        <f t="shared" si="16"/>
        <v>-0.35439243697803818</v>
      </c>
      <c r="U78" s="149">
        <f t="shared" si="16"/>
        <v>6.1411608097095902</v>
      </c>
      <c r="V78" s="149"/>
      <c r="W78" s="149"/>
      <c r="X78" s="149"/>
    </row>
    <row r="79" spans="2:24" ht="15.75" thickBot="1" x14ac:dyDescent="0.3">
      <c r="B79">
        <v>3</v>
      </c>
      <c r="C79" s="71" t="s">
        <v>106</v>
      </c>
      <c r="D79" s="95">
        <f>IF(ISNA(VLOOKUP(CONCATENATE($B79,D$76),JTF_input!$Q$37:$T$51,4,FALSE)),0,VLOOKUP(CONCATENATE($B79,D$76),JTF_input!$Q$37:$T$51,4,FALSE))*Index!$B$2</f>
        <v>162995</v>
      </c>
      <c r="E79" s="95">
        <f>IF(ISNA(VLOOKUP(CONCATENATE($B79,E$76),JTF_input!$Q$37:$T$51,4,FALSE)),0,VLOOKUP(CONCATENATE($B79,E$76),JTF_input!$Q$37:$T$51,4,FALSE))*Index!$B$2</f>
        <v>112180</v>
      </c>
      <c r="F79" s="95">
        <f>IF(ISNA(VLOOKUP(CONCATENATE($B79,F$76),JTF_input!$Q$37:$T$51,4,FALSE)),0,VLOOKUP(CONCATENATE($B79,F$76),JTF_input!$Q$37:$T$51,4,FALSE))*Index!$B$2</f>
        <v>140735</v>
      </c>
      <c r="G79" s="95">
        <f>IF(ISNA(VLOOKUP(CONCATENATE($B79,G$76),JTF_input!$Q$37:$T$51,4,FALSE)),0,VLOOKUP(CONCATENATE($B79,G$76),JTF_input!$Q$37:$T$51,4,FALSE))*Index!$B$2</f>
        <v>61270</v>
      </c>
      <c r="H79" s="95">
        <f>IF(ISNA(VLOOKUP(CONCATENATE($B79,H$76),JTF_input!$Q$37:$T$51,4,FALSE)),0,VLOOKUP(CONCATENATE($B79,H$76),JTF_input!$Q$37:$T$51,4,FALSE))*Index!$B$2</f>
        <v>30485</v>
      </c>
      <c r="I79" s="95">
        <f>SUM(D79:H79)</f>
        <v>507665</v>
      </c>
      <c r="J79" s="92"/>
      <c r="K79" s="71" t="s">
        <v>106</v>
      </c>
      <c r="L79" s="98">
        <f t="shared" ref="L79:Q79" si="18">D79/$I$79</f>
        <v>0.32106802714388427</v>
      </c>
      <c r="M79" s="98">
        <f t="shared" si="18"/>
        <v>0.2209724917022052</v>
      </c>
      <c r="N79" s="98">
        <f t="shared" si="18"/>
        <v>0.27722021411757752</v>
      </c>
      <c r="O79" s="98">
        <f t="shared" si="18"/>
        <v>0.12068982498301045</v>
      </c>
      <c r="P79" s="98">
        <f t="shared" si="18"/>
        <v>6.0049442053322563E-2</v>
      </c>
      <c r="Q79" s="98">
        <f t="shared" si="18"/>
        <v>1</v>
      </c>
      <c r="S79" s="125" t="s">
        <v>106</v>
      </c>
      <c r="T79" s="149">
        <f t="shared" si="16"/>
        <v>-0.33717715641896023</v>
      </c>
      <c r="U79" s="149">
        <f t="shared" si="16"/>
        <v>-0.30455881444304167</v>
      </c>
      <c r="V79" s="149">
        <f>V71/N71</f>
        <v>1.2181317964360059</v>
      </c>
      <c r="W79" s="149">
        <f>W71/O71</f>
        <v>0.88824037936373201</v>
      </c>
      <c r="X79" s="149">
        <f>X71/P71</f>
        <v>5.6981809554479907</v>
      </c>
    </row>
    <row r="80" spans="2:24" ht="15.75" thickTop="1" x14ac:dyDescent="0.25">
      <c r="C80" s="72" t="s">
        <v>29</v>
      </c>
      <c r="D80" s="93">
        <f>SUM(D77:D79)</f>
        <v>527380</v>
      </c>
      <c r="E80" s="93">
        <f>SUM(E77:E79)</f>
        <v>201675</v>
      </c>
      <c r="F80" s="93">
        <f>SUM(F77:F79)</f>
        <v>162910</v>
      </c>
      <c r="G80" s="93">
        <f>SUM(G77:G79)</f>
        <v>65500</v>
      </c>
      <c r="H80" s="93">
        <f>SUM(H77:H79)</f>
        <v>31965</v>
      </c>
      <c r="I80" s="93">
        <f>SUM(D80:H80)</f>
        <v>989430</v>
      </c>
      <c r="J80" s="92"/>
      <c r="K80" s="72" t="s">
        <v>29</v>
      </c>
      <c r="L80" s="97">
        <f t="shared" ref="L80:Q80" si="19">D80/$I$80</f>
        <v>0.53301395753110381</v>
      </c>
      <c r="M80" s="97">
        <f t="shared" si="19"/>
        <v>0.20382947757799946</v>
      </c>
      <c r="N80" s="97">
        <f t="shared" si="19"/>
        <v>0.16465035424436292</v>
      </c>
      <c r="O80" s="97">
        <f t="shared" si="19"/>
        <v>6.6199731158343697E-2</v>
      </c>
      <c r="P80" s="97">
        <f t="shared" si="19"/>
        <v>3.2306479488190168E-2</v>
      </c>
      <c r="Q80" s="97">
        <f t="shared" si="19"/>
        <v>1</v>
      </c>
    </row>
  </sheetData>
  <mergeCells count="22">
    <mergeCell ref="S74:X74"/>
    <mergeCell ref="T75:X75"/>
    <mergeCell ref="R49:V49"/>
    <mergeCell ref="Q48:V48"/>
    <mergeCell ref="Q56:V56"/>
    <mergeCell ref="R57:V57"/>
    <mergeCell ref="T67:X67"/>
    <mergeCell ref="S66:X66"/>
    <mergeCell ref="D38:E38"/>
    <mergeCell ref="F38:G38"/>
    <mergeCell ref="D49:H49"/>
    <mergeCell ref="K49:O49"/>
    <mergeCell ref="D2:E2"/>
    <mergeCell ref="F2:G2"/>
    <mergeCell ref="D29:E29"/>
    <mergeCell ref="F29:G29"/>
    <mergeCell ref="D57:H57"/>
    <mergeCell ref="K57:O57"/>
    <mergeCell ref="D67:I67"/>
    <mergeCell ref="L67:Q67"/>
    <mergeCell ref="D75:I75"/>
    <mergeCell ref="L75:Q75"/>
  </mergeCells>
  <hyperlinks>
    <hyperlink ref="A1" location="Index!A1" display="Index"/>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Z73"/>
  <sheetViews>
    <sheetView topLeftCell="A31" workbookViewId="0">
      <selection activeCell="J54" sqref="J54:J66"/>
    </sheetView>
  </sheetViews>
  <sheetFormatPr defaultRowHeight="15" x14ac:dyDescent="0.25"/>
  <cols>
    <col min="7" max="7" width="16.85546875" bestFit="1" customWidth="1"/>
  </cols>
  <sheetData>
    <row r="1" spans="1:14" x14ac:dyDescent="0.25">
      <c r="A1" s="388" t="s">
        <v>7</v>
      </c>
      <c r="B1" s="388"/>
      <c r="C1" s="388"/>
      <c r="D1" s="388"/>
      <c r="F1" s="388" t="s">
        <v>3</v>
      </c>
      <c r="G1" s="388"/>
      <c r="H1" s="388"/>
      <c r="I1" s="388"/>
    </row>
    <row r="2" spans="1:14" x14ac:dyDescent="0.25">
      <c r="B2" s="151" t="s">
        <v>75</v>
      </c>
      <c r="C2" s="151" t="s">
        <v>39</v>
      </c>
      <c r="D2" s="151"/>
      <c r="E2" s="151"/>
      <c r="G2" s="152" t="s">
        <v>75</v>
      </c>
      <c r="H2" s="152" t="s">
        <v>39</v>
      </c>
      <c r="I2" s="152"/>
      <c r="J2" s="152"/>
    </row>
    <row r="3" spans="1:14" x14ac:dyDescent="0.25">
      <c r="B3" s="151">
        <v>1</v>
      </c>
      <c r="C3" s="151">
        <v>1</v>
      </c>
      <c r="D3" s="151">
        <v>2909637.2677000002</v>
      </c>
      <c r="E3" s="151"/>
      <c r="G3" s="152">
        <v>1</v>
      </c>
      <c r="H3" s="152">
        <v>1</v>
      </c>
      <c r="I3" s="152">
        <v>613039</v>
      </c>
      <c r="J3" s="152"/>
      <c r="M3" t="s">
        <v>75</v>
      </c>
      <c r="N3" t="s">
        <v>39</v>
      </c>
    </row>
    <row r="4" spans="1:14" x14ac:dyDescent="0.25">
      <c r="B4" s="151">
        <v>2</v>
      </c>
      <c r="C4" s="151">
        <v>2</v>
      </c>
      <c r="D4" s="151">
        <v>192350.62231999999</v>
      </c>
      <c r="E4" s="151"/>
      <c r="G4" s="152">
        <v>2</v>
      </c>
      <c r="H4" s="152">
        <v>2</v>
      </c>
      <c r="I4" s="152">
        <v>38003</v>
      </c>
      <c r="J4" s="152"/>
      <c r="L4" s="157"/>
      <c r="M4">
        <v>1</v>
      </c>
      <c r="N4">
        <v>613039</v>
      </c>
    </row>
    <row r="5" spans="1:14" x14ac:dyDescent="0.25">
      <c r="B5" s="151">
        <v>3</v>
      </c>
      <c r="C5" s="151">
        <v>3</v>
      </c>
      <c r="D5" s="151">
        <v>127808.32066</v>
      </c>
      <c r="E5" s="151"/>
      <c r="G5" s="152">
        <v>3</v>
      </c>
      <c r="H5" s="152">
        <v>3</v>
      </c>
      <c r="I5" s="152">
        <v>24332</v>
      </c>
      <c r="J5" s="152"/>
      <c r="L5" s="157">
        <v>1</v>
      </c>
      <c r="M5">
        <v>2</v>
      </c>
      <c r="N5">
        <v>38003</v>
      </c>
    </row>
    <row r="6" spans="1:14" x14ac:dyDescent="0.25">
      <c r="B6" s="151">
        <v>4</v>
      </c>
      <c r="C6" s="151">
        <v>4</v>
      </c>
      <c r="D6" s="151">
        <v>76752.851649999997</v>
      </c>
      <c r="E6" s="151"/>
      <c r="G6" s="152">
        <v>4</v>
      </c>
      <c r="H6" s="152">
        <v>4</v>
      </c>
      <c r="I6" s="152">
        <v>13772</v>
      </c>
      <c r="J6" s="152"/>
      <c r="L6" s="157">
        <v>2</v>
      </c>
      <c r="M6">
        <v>3</v>
      </c>
      <c r="N6">
        <v>24332</v>
      </c>
    </row>
    <row r="7" spans="1:14" x14ac:dyDescent="0.25">
      <c r="B7" s="151">
        <v>5</v>
      </c>
      <c r="C7" s="151">
        <v>5</v>
      </c>
      <c r="D7" s="151">
        <v>65493.087509999998</v>
      </c>
      <c r="E7" s="151"/>
      <c r="G7" s="152">
        <v>5</v>
      </c>
      <c r="H7" s="152">
        <v>5</v>
      </c>
      <c r="I7" s="152">
        <v>10971</v>
      </c>
      <c r="J7" s="152"/>
      <c r="L7" s="157">
        <v>3</v>
      </c>
      <c r="M7">
        <v>4</v>
      </c>
      <c r="N7">
        <v>13772</v>
      </c>
    </row>
    <row r="8" spans="1:14" x14ac:dyDescent="0.25">
      <c r="B8" s="151">
        <v>6</v>
      </c>
      <c r="C8" s="151">
        <v>6</v>
      </c>
      <c r="D8" s="151">
        <v>175590.56818</v>
      </c>
      <c r="E8" s="151"/>
      <c r="G8" s="152">
        <v>6</v>
      </c>
      <c r="H8" s="152">
        <v>6</v>
      </c>
      <c r="I8" s="152">
        <v>27112</v>
      </c>
      <c r="J8" s="152"/>
      <c r="L8" s="157">
        <v>4</v>
      </c>
      <c r="M8">
        <v>5</v>
      </c>
      <c r="N8">
        <v>10971</v>
      </c>
    </row>
    <row r="9" spans="1:14" x14ac:dyDescent="0.25">
      <c r="B9" s="151">
        <v>7</v>
      </c>
      <c r="C9" s="151">
        <v>7</v>
      </c>
      <c r="D9" s="151">
        <v>11225.48223</v>
      </c>
      <c r="E9" s="151"/>
      <c r="G9" s="152">
        <v>7</v>
      </c>
      <c r="H9" s="152">
        <v>7</v>
      </c>
      <c r="I9" s="152">
        <v>16314</v>
      </c>
      <c r="J9" s="152"/>
      <c r="L9" s="157">
        <v>5</v>
      </c>
      <c r="M9">
        <v>6</v>
      </c>
      <c r="N9">
        <v>27112</v>
      </c>
    </row>
    <row r="10" spans="1:14" x14ac:dyDescent="0.25">
      <c r="B10" s="151">
        <v>8</v>
      </c>
      <c r="C10" s="151">
        <v>8</v>
      </c>
      <c r="D10" s="151">
        <v>4155.1526100000001</v>
      </c>
      <c r="E10" s="151"/>
      <c r="G10" s="152">
        <v>8</v>
      </c>
      <c r="H10" s="152">
        <v>8</v>
      </c>
      <c r="I10" s="152">
        <v>7156</v>
      </c>
      <c r="J10" s="152"/>
      <c r="L10" s="157">
        <v>6</v>
      </c>
      <c r="M10">
        <v>7</v>
      </c>
      <c r="N10">
        <v>16314</v>
      </c>
    </row>
    <row r="11" spans="1:14" x14ac:dyDescent="0.25">
      <c r="B11" s="151">
        <v>9</v>
      </c>
      <c r="C11" s="151">
        <v>9</v>
      </c>
      <c r="D11" s="151">
        <v>592.44641999999999</v>
      </c>
      <c r="E11" s="151"/>
      <c r="G11" s="152">
        <v>9</v>
      </c>
      <c r="H11" s="152">
        <v>9</v>
      </c>
      <c r="I11" s="152">
        <v>284</v>
      </c>
      <c r="J11" s="152"/>
      <c r="L11" s="157">
        <v>7</v>
      </c>
      <c r="M11">
        <v>8</v>
      </c>
      <c r="N11">
        <v>7156</v>
      </c>
    </row>
    <row r="12" spans="1:14" x14ac:dyDescent="0.25">
      <c r="B12" s="151">
        <v>10</v>
      </c>
      <c r="C12" s="151">
        <v>10</v>
      </c>
      <c r="D12" s="151">
        <v>1158.32358</v>
      </c>
      <c r="E12" s="151"/>
      <c r="G12" s="152">
        <v>10</v>
      </c>
      <c r="H12" s="152">
        <v>10</v>
      </c>
      <c r="I12" s="152">
        <v>1266</v>
      </c>
      <c r="J12" s="152"/>
      <c r="L12" s="157">
        <v>8</v>
      </c>
      <c r="M12">
        <v>9</v>
      </c>
      <c r="N12">
        <v>284</v>
      </c>
    </row>
    <row r="13" spans="1:14" x14ac:dyDescent="0.25">
      <c r="B13" s="151">
        <v>11</v>
      </c>
      <c r="C13" s="151">
        <v>11</v>
      </c>
      <c r="D13" s="151">
        <v>8936.62039</v>
      </c>
      <c r="E13" s="151"/>
      <c r="G13" s="152">
        <v>11</v>
      </c>
      <c r="H13" s="152">
        <v>11</v>
      </c>
      <c r="I13" s="152">
        <v>10894</v>
      </c>
      <c r="J13" s="152"/>
      <c r="L13" s="157">
        <v>9</v>
      </c>
      <c r="M13">
        <v>10</v>
      </c>
      <c r="N13">
        <v>1266</v>
      </c>
    </row>
    <row r="14" spans="1:14" x14ac:dyDescent="0.25">
      <c r="B14" s="151">
        <v>12</v>
      </c>
      <c r="C14" s="151">
        <v>12</v>
      </c>
      <c r="D14" s="151">
        <v>22961.111980000001</v>
      </c>
      <c r="E14" s="151"/>
      <c r="G14" s="152">
        <v>12</v>
      </c>
      <c r="H14" s="152">
        <v>12</v>
      </c>
      <c r="I14" s="152">
        <v>5068</v>
      </c>
      <c r="J14" s="152"/>
      <c r="L14" s="157">
        <v>10</v>
      </c>
      <c r="M14">
        <v>11</v>
      </c>
      <c r="N14">
        <v>10894</v>
      </c>
    </row>
    <row r="15" spans="1:14" x14ac:dyDescent="0.25">
      <c r="B15" s="151">
        <v>13</v>
      </c>
      <c r="C15" s="151">
        <v>13</v>
      </c>
      <c r="D15" s="151">
        <v>12156.66914</v>
      </c>
      <c r="E15" s="151"/>
      <c r="G15" s="152">
        <v>13</v>
      </c>
      <c r="H15" s="152">
        <v>13</v>
      </c>
      <c r="I15" s="152">
        <v>6606</v>
      </c>
      <c r="J15" s="152"/>
      <c r="L15" s="157">
        <v>11</v>
      </c>
      <c r="M15">
        <v>12</v>
      </c>
      <c r="N15">
        <v>5068</v>
      </c>
    </row>
    <row r="16" spans="1:14" x14ac:dyDescent="0.25">
      <c r="B16" s="151">
        <v>14</v>
      </c>
      <c r="C16" s="151">
        <v>14</v>
      </c>
      <c r="D16" s="151">
        <v>12646.029979999999</v>
      </c>
      <c r="E16" s="151"/>
      <c r="G16" s="152">
        <v>14</v>
      </c>
      <c r="H16" s="152">
        <v>14</v>
      </c>
      <c r="I16" s="152">
        <v>4938</v>
      </c>
      <c r="J16" s="152"/>
      <c r="L16" s="157">
        <v>12</v>
      </c>
      <c r="M16">
        <v>13</v>
      </c>
      <c r="N16">
        <v>6606</v>
      </c>
    </row>
    <row r="17" spans="2:15" x14ac:dyDescent="0.25">
      <c r="B17" s="151">
        <v>15</v>
      </c>
      <c r="C17" s="151">
        <v>15</v>
      </c>
      <c r="D17" s="151">
        <v>25001.637200000001</v>
      </c>
      <c r="E17" s="151"/>
      <c r="G17" s="152">
        <v>15</v>
      </c>
      <c r="H17" s="152">
        <v>15</v>
      </c>
      <c r="I17" s="152">
        <v>8038</v>
      </c>
      <c r="J17" s="152"/>
      <c r="L17" s="157">
        <v>13</v>
      </c>
      <c r="M17">
        <v>14</v>
      </c>
      <c r="N17">
        <v>4938</v>
      </c>
    </row>
    <row r="18" spans="2:15" x14ac:dyDescent="0.25">
      <c r="B18" s="151">
        <v>16</v>
      </c>
      <c r="C18" s="151">
        <v>16</v>
      </c>
      <c r="D18" s="151">
        <v>5151.5937599999997</v>
      </c>
      <c r="E18" s="151"/>
      <c r="G18" s="152">
        <v>16</v>
      </c>
      <c r="H18" s="152">
        <v>16</v>
      </c>
      <c r="I18" s="152">
        <v>2818</v>
      </c>
      <c r="J18" s="152"/>
      <c r="L18" s="157">
        <v>14</v>
      </c>
      <c r="M18">
        <v>15</v>
      </c>
      <c r="N18">
        <v>8038</v>
      </c>
    </row>
    <row r="19" spans="2:15" x14ac:dyDescent="0.25">
      <c r="B19" s="151">
        <v>17</v>
      </c>
      <c r="C19" s="151">
        <v>17</v>
      </c>
      <c r="D19" s="151">
        <v>4657.4570199999998</v>
      </c>
      <c r="E19" s="151"/>
      <c r="G19" s="152">
        <v>17</v>
      </c>
      <c r="H19" s="152">
        <v>17</v>
      </c>
      <c r="I19" s="152">
        <v>6416</v>
      </c>
      <c r="J19" s="152"/>
      <c r="L19" s="157">
        <v>15</v>
      </c>
      <c r="M19">
        <v>16</v>
      </c>
      <c r="N19">
        <v>2818</v>
      </c>
    </row>
    <row r="20" spans="2:15" x14ac:dyDescent="0.25">
      <c r="B20" s="151">
        <v>18</v>
      </c>
      <c r="C20" s="151">
        <v>18</v>
      </c>
      <c r="D20" s="151">
        <v>16965.914519999998</v>
      </c>
      <c r="E20" s="151"/>
      <c r="G20" s="152">
        <v>18</v>
      </c>
      <c r="H20" s="152">
        <v>18</v>
      </c>
      <c r="I20" s="152">
        <v>8462</v>
      </c>
      <c r="J20" s="152"/>
      <c r="L20" s="157">
        <v>16</v>
      </c>
      <c r="M20">
        <v>17</v>
      </c>
      <c r="N20">
        <v>6416</v>
      </c>
    </row>
    <row r="21" spans="2:15" x14ac:dyDescent="0.25">
      <c r="B21" s="151">
        <v>19</v>
      </c>
      <c r="C21" s="151">
        <v>19</v>
      </c>
      <c r="D21" s="151">
        <v>3473.1116299999999</v>
      </c>
      <c r="E21" s="151"/>
      <c r="G21" s="152">
        <v>19</v>
      </c>
      <c r="H21" s="152">
        <v>19</v>
      </c>
      <c r="I21" s="152">
        <v>898</v>
      </c>
      <c r="J21" s="152"/>
      <c r="L21" s="157">
        <v>17</v>
      </c>
      <c r="M21">
        <v>18</v>
      </c>
      <c r="N21">
        <v>8462</v>
      </c>
    </row>
    <row r="22" spans="2:15" x14ac:dyDescent="0.25">
      <c r="B22" s="151">
        <v>20</v>
      </c>
      <c r="C22" s="151">
        <v>20</v>
      </c>
      <c r="D22" s="151">
        <v>6724.0578500000001</v>
      </c>
      <c r="E22" s="151"/>
      <c r="G22" s="152">
        <v>20</v>
      </c>
      <c r="H22" s="152">
        <v>20</v>
      </c>
      <c r="I22" s="152">
        <v>1910</v>
      </c>
      <c r="J22" s="152"/>
      <c r="L22" s="157">
        <v>18</v>
      </c>
      <c r="M22">
        <v>19</v>
      </c>
      <c r="N22">
        <v>898</v>
      </c>
    </row>
    <row r="23" spans="2:15" x14ac:dyDescent="0.25">
      <c r="B23" s="151">
        <v>21</v>
      </c>
      <c r="C23" s="151">
        <v>21</v>
      </c>
      <c r="D23" s="151">
        <v>4118.1353300000001</v>
      </c>
      <c r="E23" s="151"/>
      <c r="G23" s="152">
        <v>21</v>
      </c>
      <c r="H23" s="152">
        <v>21</v>
      </c>
      <c r="I23" s="152">
        <v>262</v>
      </c>
      <c r="J23" s="152"/>
      <c r="L23" s="157">
        <v>19</v>
      </c>
      <c r="M23">
        <v>20</v>
      </c>
      <c r="N23">
        <v>1910</v>
      </c>
    </row>
    <row r="24" spans="2:15" x14ac:dyDescent="0.25">
      <c r="B24" s="151" t="s">
        <v>76</v>
      </c>
      <c r="C24" s="151" t="s">
        <v>39</v>
      </c>
      <c r="D24" s="151"/>
      <c r="E24" s="151"/>
      <c r="G24" s="152" t="s">
        <v>80</v>
      </c>
      <c r="H24" s="152" t="s">
        <v>39</v>
      </c>
      <c r="I24" s="152"/>
      <c r="J24" s="152"/>
      <c r="L24" s="157">
        <v>20</v>
      </c>
      <c r="M24">
        <v>21</v>
      </c>
      <c r="N24">
        <v>262</v>
      </c>
    </row>
    <row r="25" spans="2:15" x14ac:dyDescent="0.25">
      <c r="B25" s="151">
        <v>1</v>
      </c>
      <c r="C25" s="151">
        <v>1</v>
      </c>
      <c r="D25">
        <v>402388.19403000001</v>
      </c>
      <c r="E25" s="151"/>
      <c r="G25" s="152">
        <v>1</v>
      </c>
      <c r="H25" s="152">
        <v>1</v>
      </c>
      <c r="I25" s="152">
        <v>80530</v>
      </c>
      <c r="J25" s="152"/>
      <c r="L25" s="157">
        <v>1</v>
      </c>
      <c r="M25" t="s">
        <v>669</v>
      </c>
      <c r="N25" t="s">
        <v>670</v>
      </c>
      <c r="O25">
        <v>80530</v>
      </c>
    </row>
    <row r="26" spans="2:15" x14ac:dyDescent="0.25">
      <c r="B26" s="151">
        <v>2</v>
      </c>
      <c r="C26" s="151">
        <v>2</v>
      </c>
      <c r="D26">
        <v>44012.019719999997</v>
      </c>
      <c r="E26" s="151"/>
      <c r="G26" s="152">
        <v>2</v>
      </c>
      <c r="H26" s="152">
        <v>2</v>
      </c>
      <c r="I26" s="152">
        <v>15823</v>
      </c>
      <c r="J26" s="152"/>
      <c r="L26" s="157">
        <v>2</v>
      </c>
      <c r="M26" t="s">
        <v>669</v>
      </c>
      <c r="N26" t="s">
        <v>671</v>
      </c>
      <c r="O26">
        <v>15823</v>
      </c>
    </row>
    <row r="27" spans="2:15" x14ac:dyDescent="0.25">
      <c r="B27" s="151">
        <v>3</v>
      </c>
      <c r="C27" s="151">
        <v>3</v>
      </c>
      <c r="D27">
        <v>490818.45916999999</v>
      </c>
      <c r="E27" s="151"/>
      <c r="G27" s="152">
        <v>3</v>
      </c>
      <c r="H27" s="152">
        <v>3</v>
      </c>
      <c r="I27" s="152">
        <v>101533</v>
      </c>
      <c r="J27" s="152"/>
      <c r="L27" s="157">
        <v>3</v>
      </c>
      <c r="N27" t="s">
        <v>106</v>
      </c>
      <c r="O27">
        <v>101533</v>
      </c>
    </row>
    <row r="28" spans="2:15" x14ac:dyDescent="0.25">
      <c r="B28" s="151" t="s">
        <v>77</v>
      </c>
      <c r="C28" s="151" t="s">
        <v>39</v>
      </c>
      <c r="D28" s="151"/>
      <c r="E28" s="151"/>
      <c r="G28" s="152" t="s">
        <v>77</v>
      </c>
      <c r="H28" s="152" t="s">
        <v>39</v>
      </c>
      <c r="I28" s="152"/>
      <c r="J28" s="152"/>
    </row>
    <row r="29" spans="2:15" x14ac:dyDescent="0.25">
      <c r="B29" s="151">
        <v>1</v>
      </c>
      <c r="C29" s="151">
        <v>2</v>
      </c>
      <c r="D29" s="151">
        <v>665494.63155000005</v>
      </c>
      <c r="E29" s="151"/>
      <c r="G29" s="152">
        <v>1</v>
      </c>
      <c r="H29" s="152">
        <v>2</v>
      </c>
      <c r="I29" s="152">
        <v>105476</v>
      </c>
      <c r="J29" s="152"/>
      <c r="K29">
        <f>I29*5</f>
        <v>527380</v>
      </c>
      <c r="L29" s="157"/>
      <c r="M29" t="s">
        <v>672</v>
      </c>
      <c r="N29" t="s">
        <v>39</v>
      </c>
    </row>
    <row r="30" spans="2:15" x14ac:dyDescent="0.25">
      <c r="B30" s="151">
        <v>2</v>
      </c>
      <c r="C30" s="151">
        <v>3</v>
      </c>
      <c r="D30" s="151">
        <v>169835.82668</v>
      </c>
      <c r="E30" s="151"/>
      <c r="G30" s="152">
        <v>2</v>
      </c>
      <c r="H30" s="152">
        <v>3</v>
      </c>
      <c r="I30" s="152">
        <v>40335</v>
      </c>
      <c r="J30" s="152"/>
      <c r="L30" s="157">
        <v>1</v>
      </c>
      <c r="M30">
        <v>2</v>
      </c>
      <c r="N30">
        <v>105476</v>
      </c>
    </row>
    <row r="31" spans="2:15" x14ac:dyDescent="0.25">
      <c r="B31" s="151">
        <v>3</v>
      </c>
      <c r="C31" s="151">
        <v>4</v>
      </c>
      <c r="D31" s="151">
        <v>65484.47782</v>
      </c>
      <c r="E31" s="151"/>
      <c r="G31" s="152">
        <v>3</v>
      </c>
      <c r="H31" s="152">
        <v>4</v>
      </c>
      <c r="I31" s="152">
        <v>32582</v>
      </c>
      <c r="J31" s="152"/>
      <c r="L31" s="157">
        <v>2</v>
      </c>
      <c r="M31">
        <v>3</v>
      </c>
      <c r="N31">
        <v>40335</v>
      </c>
    </row>
    <row r="32" spans="2:15" x14ac:dyDescent="0.25">
      <c r="B32" s="151">
        <v>4</v>
      </c>
      <c r="C32" s="151">
        <v>5</v>
      </c>
      <c r="D32" s="151">
        <v>32003.531080000001</v>
      </c>
      <c r="E32" s="151"/>
      <c r="G32" s="152">
        <v>4</v>
      </c>
      <c r="H32" s="152">
        <v>5</v>
      </c>
      <c r="I32" s="152">
        <v>13100</v>
      </c>
      <c r="J32" s="152"/>
      <c r="L32" s="157">
        <v>3</v>
      </c>
      <c r="M32">
        <v>4</v>
      </c>
      <c r="N32">
        <v>32582</v>
      </c>
    </row>
    <row r="33" spans="1:26" x14ac:dyDescent="0.25">
      <c r="B33" s="151">
        <v>5</v>
      </c>
      <c r="C33" s="151">
        <v>6</v>
      </c>
      <c r="D33" s="151">
        <v>3294.72705</v>
      </c>
      <c r="E33" s="151"/>
      <c r="G33" s="152">
        <v>5</v>
      </c>
      <c r="H33" s="152">
        <v>6</v>
      </c>
      <c r="I33" s="152">
        <v>4092</v>
      </c>
      <c r="J33" s="152"/>
      <c r="L33" s="157">
        <v>4</v>
      </c>
      <c r="M33">
        <v>5</v>
      </c>
      <c r="N33">
        <v>13100</v>
      </c>
    </row>
    <row r="34" spans="1:26" x14ac:dyDescent="0.25">
      <c r="B34" s="151">
        <v>6</v>
      </c>
      <c r="C34" s="151">
        <v>7</v>
      </c>
      <c r="D34" s="151">
        <v>394.82141999999999</v>
      </c>
      <c r="E34" s="151"/>
      <c r="G34" s="152">
        <v>6</v>
      </c>
      <c r="H34" s="152">
        <v>7</v>
      </c>
      <c r="I34" s="152">
        <v>2301</v>
      </c>
      <c r="J34" s="152"/>
      <c r="L34" s="157">
        <v>5</v>
      </c>
      <c r="M34">
        <v>6</v>
      </c>
      <c r="N34">
        <v>4092</v>
      </c>
    </row>
    <row r="35" spans="1:26" x14ac:dyDescent="0.25">
      <c r="B35" s="151">
        <v>7</v>
      </c>
      <c r="C35" s="151">
        <v>8</v>
      </c>
      <c r="D35" s="151">
        <v>710.65732000000003</v>
      </c>
      <c r="E35" s="151"/>
      <c r="G35" s="152"/>
      <c r="H35" s="152"/>
      <c r="I35" s="152"/>
      <c r="J35" s="152"/>
      <c r="L35" s="157">
        <v>6</v>
      </c>
      <c r="M35">
        <v>7</v>
      </c>
      <c r="N35">
        <v>2301</v>
      </c>
    </row>
    <row r="36" spans="1:26" x14ac:dyDescent="0.25">
      <c r="B36" s="151" t="s">
        <v>76</v>
      </c>
      <c r="C36" s="151" t="s">
        <v>77</v>
      </c>
      <c r="D36" s="151" t="s">
        <v>39</v>
      </c>
      <c r="E36" s="151"/>
      <c r="G36" s="152" t="s">
        <v>80</v>
      </c>
      <c r="H36" s="152" t="s">
        <v>77</v>
      </c>
      <c r="I36" s="152" t="s">
        <v>39</v>
      </c>
      <c r="J36" s="152"/>
      <c r="W36" s="157"/>
      <c r="X36" t="s">
        <v>76</v>
      </c>
      <c r="Y36" t="s">
        <v>672</v>
      </c>
      <c r="Z36" t="s">
        <v>39</v>
      </c>
    </row>
    <row r="37" spans="1:26" x14ac:dyDescent="0.25">
      <c r="A37" t="str">
        <f>CONCATENATE(B37,C37)</f>
        <v>12</v>
      </c>
      <c r="B37" s="151">
        <v>1</v>
      </c>
      <c r="C37" s="151">
        <v>2</v>
      </c>
      <c r="D37" s="151">
        <v>387332.06533000001</v>
      </c>
      <c r="E37" s="151"/>
      <c r="G37" s="152">
        <v>1</v>
      </c>
      <c r="H37" s="152">
        <v>1</v>
      </c>
      <c r="I37" s="152">
        <v>2</v>
      </c>
      <c r="J37" s="152">
        <v>123064</v>
      </c>
      <c r="L37" t="str">
        <f>CONCATENATE(M37,N37)</f>
        <v>12</v>
      </c>
      <c r="M37" s="152">
        <v>1</v>
      </c>
      <c r="N37" s="152">
        <v>2</v>
      </c>
      <c r="O37">
        <f>D37</f>
        <v>387332.06533000001</v>
      </c>
      <c r="Q37" t="str">
        <f>CONCATENATE(R37,S37)</f>
        <v>12</v>
      </c>
      <c r="R37" s="152">
        <v>1</v>
      </c>
      <c r="S37" s="152">
        <v>2</v>
      </c>
      <c r="T37" s="152">
        <v>63497</v>
      </c>
      <c r="W37" s="157">
        <v>1</v>
      </c>
      <c r="X37" t="s">
        <v>670</v>
      </c>
      <c r="Y37">
        <v>2</v>
      </c>
      <c r="Z37">
        <v>63497</v>
      </c>
    </row>
    <row r="38" spans="1:26" x14ac:dyDescent="0.25">
      <c r="A38" t="str">
        <f t="shared" ref="A38:A50" si="0">CONCATENATE(B38,C38)</f>
        <v>13</v>
      </c>
      <c r="B38" s="151">
        <v>1</v>
      </c>
      <c r="C38" s="151">
        <v>3</v>
      </c>
      <c r="D38" s="151">
        <v>12184.74883</v>
      </c>
      <c r="E38" s="151"/>
      <c r="G38" s="152">
        <v>2</v>
      </c>
      <c r="H38" s="152">
        <v>1</v>
      </c>
      <c r="I38" s="152">
        <v>3</v>
      </c>
      <c r="J38" s="152">
        <v>30107</v>
      </c>
      <c r="L38" t="str">
        <f t="shared" ref="L38:L50" si="1">CONCATENATE(M38,N38)</f>
        <v>13</v>
      </c>
      <c r="M38" s="152">
        <v>1</v>
      </c>
      <c r="N38" s="152">
        <v>3</v>
      </c>
      <c r="O38">
        <f>D38</f>
        <v>12184.74883</v>
      </c>
      <c r="Q38" t="str">
        <f t="shared" ref="Q38:Q51" si="2">CONCATENATE(R38,S38)</f>
        <v>13</v>
      </c>
      <c r="R38" s="152">
        <v>1</v>
      </c>
      <c r="S38" s="152">
        <v>3</v>
      </c>
      <c r="T38" s="152">
        <v>13544</v>
      </c>
      <c r="W38" s="157">
        <v>2</v>
      </c>
      <c r="X38" t="s">
        <v>670</v>
      </c>
      <c r="Y38">
        <v>3</v>
      </c>
      <c r="Z38">
        <v>13544</v>
      </c>
    </row>
    <row r="39" spans="1:26" x14ac:dyDescent="0.25">
      <c r="A39" t="str">
        <f t="shared" si="0"/>
        <v>14</v>
      </c>
      <c r="B39" s="151">
        <v>1</v>
      </c>
      <c r="C39" s="151">
        <v>4</v>
      </c>
      <c r="D39" s="151">
        <v>2871.3798700000002</v>
      </c>
      <c r="E39" s="151"/>
      <c r="G39" s="152">
        <v>3</v>
      </c>
      <c r="H39" s="152">
        <v>1</v>
      </c>
      <c r="I39" s="152">
        <v>4</v>
      </c>
      <c r="J39" s="152">
        <v>7451</v>
      </c>
      <c r="L39" t="str">
        <f t="shared" si="1"/>
        <v>14</v>
      </c>
      <c r="M39" s="152">
        <v>1</v>
      </c>
      <c r="N39" s="152">
        <v>4</v>
      </c>
      <c r="O39">
        <f>D39</f>
        <v>2871.3798700000002</v>
      </c>
      <c r="Q39" t="str">
        <f t="shared" si="2"/>
        <v>14</v>
      </c>
      <c r="R39" s="152">
        <v>1</v>
      </c>
      <c r="S39" s="152">
        <v>4</v>
      </c>
      <c r="T39" s="152">
        <v>3051</v>
      </c>
      <c r="W39" s="157">
        <v>3</v>
      </c>
      <c r="X39" t="s">
        <v>670</v>
      </c>
      <c r="Y39">
        <v>4</v>
      </c>
      <c r="Z39">
        <v>3051</v>
      </c>
    </row>
    <row r="40" spans="1:26" x14ac:dyDescent="0.25">
      <c r="A40" t="str">
        <f t="shared" si="0"/>
        <v>22</v>
      </c>
      <c r="B40" s="151">
        <v>2</v>
      </c>
      <c r="C40" s="151">
        <v>2</v>
      </c>
      <c r="D40" s="151">
        <v>40412.591399999998</v>
      </c>
      <c r="E40" s="151"/>
      <c r="G40" s="152">
        <v>4</v>
      </c>
      <c r="H40" s="152">
        <v>2</v>
      </c>
      <c r="I40" s="152">
        <v>2</v>
      </c>
      <c r="J40" s="152">
        <v>20623</v>
      </c>
      <c r="L40" t="str">
        <f t="shared" si="1"/>
        <v>15</v>
      </c>
      <c r="M40" s="152">
        <v>1</v>
      </c>
      <c r="N40" s="152">
        <v>5</v>
      </c>
      <c r="O40">
        <v>0</v>
      </c>
      <c r="Q40" t="str">
        <f t="shared" si="2"/>
        <v>15</v>
      </c>
      <c r="R40" s="152">
        <v>1</v>
      </c>
      <c r="S40" s="152">
        <v>5</v>
      </c>
      <c r="T40" s="152">
        <v>394</v>
      </c>
      <c r="W40" s="157">
        <v>4</v>
      </c>
      <c r="X40" t="s">
        <v>670</v>
      </c>
      <c r="Y40">
        <v>5</v>
      </c>
      <c r="Z40">
        <v>394</v>
      </c>
    </row>
    <row r="41" spans="1:26" x14ac:dyDescent="0.25">
      <c r="A41" t="str">
        <f t="shared" si="0"/>
        <v>23</v>
      </c>
      <c r="B41" s="151">
        <v>2</v>
      </c>
      <c r="C41" s="151">
        <v>3</v>
      </c>
      <c r="D41" s="151">
        <v>1696.2967000000001</v>
      </c>
      <c r="E41" s="151"/>
      <c r="G41" s="152">
        <v>5</v>
      </c>
      <c r="H41" s="152">
        <v>2</v>
      </c>
      <c r="I41" s="152">
        <v>3</v>
      </c>
      <c r="J41" s="152">
        <v>10747</v>
      </c>
      <c r="L41" t="str">
        <f t="shared" si="1"/>
        <v>16</v>
      </c>
      <c r="M41" s="152">
        <v>1</v>
      </c>
      <c r="N41" s="152">
        <v>6</v>
      </c>
      <c r="O41">
        <v>0</v>
      </c>
      <c r="Q41" t="str">
        <f t="shared" si="2"/>
        <v>16</v>
      </c>
      <c r="R41" s="152">
        <v>1</v>
      </c>
      <c r="S41" s="152">
        <v>6</v>
      </c>
      <c r="T41" s="152">
        <v>44</v>
      </c>
      <c r="W41" s="157">
        <v>5</v>
      </c>
      <c r="X41" t="s">
        <v>670</v>
      </c>
      <c r="Y41">
        <v>6</v>
      </c>
      <c r="Z41">
        <v>44</v>
      </c>
    </row>
    <row r="42" spans="1:26" x14ac:dyDescent="0.25">
      <c r="A42" t="str">
        <f t="shared" si="0"/>
        <v>24</v>
      </c>
      <c r="B42" s="151">
        <v>2</v>
      </c>
      <c r="C42" s="151">
        <v>4</v>
      </c>
      <c r="D42" s="151">
        <v>1271.0268599999999</v>
      </c>
      <c r="E42" s="151"/>
      <c r="G42" s="152">
        <v>6</v>
      </c>
      <c r="H42" s="152">
        <v>3</v>
      </c>
      <c r="I42" s="152">
        <v>2</v>
      </c>
      <c r="J42" s="152">
        <v>72443</v>
      </c>
      <c r="L42" t="str">
        <f t="shared" si="1"/>
        <v>22</v>
      </c>
      <c r="M42" s="152">
        <v>2</v>
      </c>
      <c r="N42" s="152">
        <v>2</v>
      </c>
      <c r="O42">
        <f t="shared" ref="O42:O49" si="3">D40</f>
        <v>40412.591399999998</v>
      </c>
      <c r="Q42" t="str">
        <f t="shared" si="2"/>
        <v>22</v>
      </c>
      <c r="R42" s="152">
        <v>2</v>
      </c>
      <c r="S42" s="152">
        <v>2</v>
      </c>
      <c r="T42" s="152">
        <v>9380</v>
      </c>
      <c r="W42" s="157">
        <v>6</v>
      </c>
      <c r="X42" t="s">
        <v>671</v>
      </c>
      <c r="Y42">
        <v>2</v>
      </c>
      <c r="Z42">
        <v>9380</v>
      </c>
    </row>
    <row r="43" spans="1:26" x14ac:dyDescent="0.25">
      <c r="A43" t="str">
        <f t="shared" si="0"/>
        <v>25</v>
      </c>
      <c r="B43" s="151">
        <v>2</v>
      </c>
      <c r="C43" s="151">
        <v>5</v>
      </c>
      <c r="D43" s="151">
        <v>632.10476000000006</v>
      </c>
      <c r="E43" s="151"/>
      <c r="G43" s="152">
        <v>7</v>
      </c>
      <c r="H43" s="152">
        <v>3</v>
      </c>
      <c r="I43" s="152">
        <v>3</v>
      </c>
      <c r="J43" s="152">
        <v>51467</v>
      </c>
      <c r="L43" t="str">
        <f t="shared" si="1"/>
        <v>23</v>
      </c>
      <c r="M43" s="152">
        <v>2</v>
      </c>
      <c r="N43" s="152">
        <v>3</v>
      </c>
      <c r="O43">
        <f t="shared" si="3"/>
        <v>1696.2967000000001</v>
      </c>
      <c r="Q43" t="str">
        <f t="shared" si="2"/>
        <v>23</v>
      </c>
      <c r="R43" s="152">
        <v>2</v>
      </c>
      <c r="S43" s="152">
        <v>3</v>
      </c>
      <c r="T43" s="152">
        <v>4355</v>
      </c>
      <c r="W43" s="157">
        <v>7</v>
      </c>
      <c r="X43" t="s">
        <v>671</v>
      </c>
      <c r="Y43">
        <v>3</v>
      </c>
      <c r="Z43">
        <v>4355</v>
      </c>
    </row>
    <row r="44" spans="1:26" x14ac:dyDescent="0.25">
      <c r="A44" t="str">
        <f t="shared" si="0"/>
        <v>32</v>
      </c>
      <c r="B44" s="151">
        <v>3</v>
      </c>
      <c r="C44" s="151">
        <v>2</v>
      </c>
      <c r="D44" s="151">
        <v>237749.97482</v>
      </c>
      <c r="E44" s="151"/>
      <c r="G44" s="152">
        <v>8</v>
      </c>
      <c r="H44" s="152">
        <v>3</v>
      </c>
      <c r="I44" s="152">
        <v>4</v>
      </c>
      <c r="J44" s="152">
        <v>62791</v>
      </c>
      <c r="L44" t="str">
        <f t="shared" si="1"/>
        <v>24</v>
      </c>
      <c r="M44" s="152">
        <v>2</v>
      </c>
      <c r="N44" s="152">
        <v>4</v>
      </c>
      <c r="O44">
        <f t="shared" si="3"/>
        <v>1271.0268599999999</v>
      </c>
      <c r="Q44" t="str">
        <f t="shared" si="2"/>
        <v>24</v>
      </c>
      <c r="R44" s="152">
        <v>2</v>
      </c>
      <c r="S44" s="152">
        <v>4</v>
      </c>
      <c r="T44" s="152">
        <v>1384</v>
      </c>
      <c r="W44" s="157">
        <v>8</v>
      </c>
      <c r="X44" t="s">
        <v>671</v>
      </c>
      <c r="Y44">
        <v>4</v>
      </c>
      <c r="Z44">
        <v>1384</v>
      </c>
    </row>
    <row r="45" spans="1:26" x14ac:dyDescent="0.25">
      <c r="A45" t="str">
        <f t="shared" si="0"/>
        <v>33</v>
      </c>
      <c r="B45" s="151">
        <v>3</v>
      </c>
      <c r="C45" s="151">
        <v>3</v>
      </c>
      <c r="D45" s="151">
        <v>155954.78115</v>
      </c>
      <c r="E45" s="151"/>
      <c r="G45" s="152">
        <v>9</v>
      </c>
      <c r="H45" s="152">
        <v>3</v>
      </c>
      <c r="I45" s="152">
        <v>5</v>
      </c>
      <c r="J45" s="152">
        <v>27300</v>
      </c>
      <c r="L45" t="str">
        <f t="shared" si="1"/>
        <v>25</v>
      </c>
      <c r="M45" s="152">
        <v>2</v>
      </c>
      <c r="N45" s="152">
        <v>5</v>
      </c>
      <c r="O45">
        <f t="shared" si="3"/>
        <v>632.10476000000006</v>
      </c>
      <c r="Q45" t="str">
        <f t="shared" si="2"/>
        <v>25</v>
      </c>
      <c r="R45" s="152">
        <v>2</v>
      </c>
      <c r="S45" s="152">
        <v>5</v>
      </c>
      <c r="T45" s="152">
        <v>452</v>
      </c>
      <c r="W45" s="157">
        <v>9</v>
      </c>
      <c r="X45" t="s">
        <v>671</v>
      </c>
      <c r="Y45">
        <v>5</v>
      </c>
      <c r="Z45">
        <v>452</v>
      </c>
    </row>
    <row r="46" spans="1:26" x14ac:dyDescent="0.25">
      <c r="A46" t="str">
        <f t="shared" si="0"/>
        <v>34</v>
      </c>
      <c r="B46" s="151">
        <v>3</v>
      </c>
      <c r="C46" s="151">
        <v>4</v>
      </c>
      <c r="D46" s="151">
        <v>61342.071089999998</v>
      </c>
      <c r="E46" s="151"/>
      <c r="G46" s="152">
        <v>10</v>
      </c>
      <c r="H46" s="152">
        <v>3</v>
      </c>
      <c r="I46" s="152">
        <v>6</v>
      </c>
      <c r="J46" s="152">
        <v>4299</v>
      </c>
      <c r="L46" t="str">
        <f t="shared" si="1"/>
        <v>32</v>
      </c>
      <c r="M46" s="152">
        <v>3</v>
      </c>
      <c r="N46" s="152">
        <v>2</v>
      </c>
      <c r="O46">
        <f t="shared" si="3"/>
        <v>237749.97482</v>
      </c>
      <c r="Q46" t="str">
        <f t="shared" si="2"/>
        <v>26</v>
      </c>
      <c r="R46" s="152">
        <v>2</v>
      </c>
      <c r="S46" s="152">
        <v>6</v>
      </c>
      <c r="T46" s="152">
        <v>252</v>
      </c>
      <c r="W46" s="157">
        <v>10</v>
      </c>
      <c r="X46" t="s">
        <v>671</v>
      </c>
      <c r="Y46">
        <v>6</v>
      </c>
      <c r="Z46">
        <v>252</v>
      </c>
    </row>
    <row r="47" spans="1:26" x14ac:dyDescent="0.25">
      <c r="A47" t="str">
        <f t="shared" si="0"/>
        <v>35</v>
      </c>
      <c r="B47" s="151">
        <v>3</v>
      </c>
      <c r="C47" s="151">
        <v>5</v>
      </c>
      <c r="D47" s="151">
        <v>31371.426319999999</v>
      </c>
      <c r="E47" s="151"/>
      <c r="G47" s="152">
        <v>11</v>
      </c>
      <c r="H47" s="152">
        <v>3</v>
      </c>
      <c r="I47" s="152">
        <v>7</v>
      </c>
      <c r="J47" s="152">
        <v>647</v>
      </c>
      <c r="L47" t="str">
        <f t="shared" si="1"/>
        <v>33</v>
      </c>
      <c r="M47" s="152">
        <v>3</v>
      </c>
      <c r="N47" s="152">
        <v>3</v>
      </c>
      <c r="O47">
        <f t="shared" si="3"/>
        <v>155954.78115</v>
      </c>
      <c r="Q47" t="str">
        <f t="shared" si="2"/>
        <v>32</v>
      </c>
      <c r="R47" s="152">
        <v>3</v>
      </c>
      <c r="S47" s="152">
        <v>2</v>
      </c>
      <c r="T47" s="152">
        <v>32599</v>
      </c>
      <c r="W47" s="157">
        <v>11</v>
      </c>
      <c r="X47" t="s">
        <v>106</v>
      </c>
      <c r="Y47">
        <v>2</v>
      </c>
      <c r="Z47">
        <v>32599</v>
      </c>
    </row>
    <row r="48" spans="1:26" x14ac:dyDescent="0.25">
      <c r="A48" t="str">
        <f t="shared" si="0"/>
        <v>36</v>
      </c>
      <c r="B48" s="151">
        <v>3</v>
      </c>
      <c r="C48" s="151">
        <v>6</v>
      </c>
      <c r="D48" s="151">
        <v>3294.72705</v>
      </c>
      <c r="E48" s="151"/>
      <c r="G48" s="152"/>
      <c r="H48" s="152"/>
      <c r="I48" s="152"/>
      <c r="J48" s="152"/>
      <c r="L48" t="str">
        <f t="shared" si="1"/>
        <v>34</v>
      </c>
      <c r="M48" s="152">
        <v>3</v>
      </c>
      <c r="N48" s="152">
        <v>4</v>
      </c>
      <c r="O48">
        <f t="shared" si="3"/>
        <v>61342.071089999998</v>
      </c>
      <c r="Q48" t="str">
        <f t="shared" si="2"/>
        <v>33</v>
      </c>
      <c r="R48" s="152">
        <v>3</v>
      </c>
      <c r="S48" s="152">
        <v>3</v>
      </c>
      <c r="T48" s="152">
        <v>22436</v>
      </c>
      <c r="W48" s="157">
        <v>12</v>
      </c>
      <c r="X48" t="s">
        <v>106</v>
      </c>
      <c r="Y48">
        <v>3</v>
      </c>
      <c r="Z48">
        <v>22436</v>
      </c>
    </row>
    <row r="49" spans="1:26" x14ac:dyDescent="0.25">
      <c r="A49" t="str">
        <f t="shared" si="0"/>
        <v>37</v>
      </c>
      <c r="B49" s="151">
        <v>3</v>
      </c>
      <c r="C49" s="151">
        <v>7</v>
      </c>
      <c r="D49" s="151">
        <v>394.82141999999999</v>
      </c>
      <c r="E49" s="151"/>
      <c r="G49" s="152"/>
      <c r="H49" s="152"/>
      <c r="I49" s="152"/>
      <c r="J49" s="152"/>
      <c r="L49" t="str">
        <f t="shared" si="1"/>
        <v>35</v>
      </c>
      <c r="M49" s="152">
        <v>3</v>
      </c>
      <c r="N49" s="152">
        <v>5</v>
      </c>
      <c r="O49">
        <f t="shared" si="3"/>
        <v>31371.426319999999</v>
      </c>
      <c r="Q49" t="str">
        <f t="shared" si="2"/>
        <v>34</v>
      </c>
      <c r="R49" s="152">
        <v>3</v>
      </c>
      <c r="S49" s="152">
        <v>4</v>
      </c>
      <c r="T49" s="152">
        <v>28147</v>
      </c>
      <c r="W49" s="157">
        <v>13</v>
      </c>
      <c r="X49" t="s">
        <v>106</v>
      </c>
      <c r="Y49">
        <v>4</v>
      </c>
      <c r="Z49">
        <v>28147</v>
      </c>
    </row>
    <row r="50" spans="1:26" x14ac:dyDescent="0.25">
      <c r="A50" t="str">
        <f t="shared" si="0"/>
        <v>38</v>
      </c>
      <c r="B50" s="151">
        <v>3</v>
      </c>
      <c r="C50" s="151">
        <v>8</v>
      </c>
      <c r="D50" s="151">
        <v>710.65732000000003</v>
      </c>
      <c r="E50" s="151"/>
      <c r="G50" s="152"/>
      <c r="H50" s="152"/>
      <c r="I50" s="152"/>
      <c r="J50" s="152"/>
      <c r="L50" t="str">
        <f t="shared" si="1"/>
        <v>36</v>
      </c>
      <c r="M50" s="152">
        <v>3</v>
      </c>
      <c r="N50" s="152">
        <v>6</v>
      </c>
      <c r="O50">
        <f>D48+D49+D50</f>
        <v>4400.20579</v>
      </c>
      <c r="Q50" t="str">
        <f t="shared" si="2"/>
        <v>35</v>
      </c>
      <c r="R50" s="152">
        <v>3</v>
      </c>
      <c r="S50" s="152">
        <v>5</v>
      </c>
      <c r="T50" s="152">
        <v>12254</v>
      </c>
      <c r="W50" s="157">
        <v>14</v>
      </c>
      <c r="X50" t="s">
        <v>106</v>
      </c>
      <c r="Y50">
        <v>5</v>
      </c>
      <c r="Z50">
        <v>12254</v>
      </c>
    </row>
    <row r="51" spans="1:26" x14ac:dyDescent="0.25">
      <c r="B51" s="151" t="s">
        <v>78</v>
      </c>
      <c r="C51" s="151" t="s">
        <v>79</v>
      </c>
      <c r="D51" s="151" t="s">
        <v>39</v>
      </c>
      <c r="E51" s="151"/>
      <c r="G51" s="152"/>
      <c r="H51" s="152"/>
      <c r="I51" s="152"/>
      <c r="J51" s="152"/>
      <c r="M51" s="152"/>
      <c r="N51" s="152"/>
      <c r="O51" s="152"/>
      <c r="Q51" t="str">
        <f t="shared" si="2"/>
        <v>36</v>
      </c>
      <c r="R51" s="152">
        <v>3</v>
      </c>
      <c r="S51" s="152">
        <v>6</v>
      </c>
      <c r="T51" s="152">
        <v>6097</v>
      </c>
      <c r="W51" s="157">
        <v>15</v>
      </c>
      <c r="X51" t="s">
        <v>106</v>
      </c>
      <c r="Y51">
        <v>6</v>
      </c>
      <c r="Z51">
        <v>6097</v>
      </c>
    </row>
    <row r="52" spans="1:26" ht="15.75" thickBot="1" x14ac:dyDescent="0.3">
      <c r="A52" t="str">
        <f t="shared" ref="A52:A64" si="4">CONCATENATE(C52,D52)</f>
        <v>10</v>
      </c>
      <c r="B52" s="151">
        <v>1</v>
      </c>
      <c r="C52" s="151">
        <v>1</v>
      </c>
      <c r="D52" s="151">
        <v>0</v>
      </c>
      <c r="E52" s="151">
        <v>951577.94065</v>
      </c>
      <c r="G52" s="152"/>
      <c r="H52" s="152"/>
      <c r="I52" s="152"/>
      <c r="J52" s="152"/>
      <c r="M52" s="152"/>
      <c r="N52" s="152"/>
      <c r="O52" s="152"/>
      <c r="W52" s="157"/>
    </row>
    <row r="53" spans="1:26" x14ac:dyDescent="0.25">
      <c r="A53" t="str">
        <f t="shared" si="4"/>
        <v>20</v>
      </c>
      <c r="B53" s="151">
        <v>2</v>
      </c>
      <c r="C53" s="151">
        <v>2</v>
      </c>
      <c r="D53" s="151">
        <v>0</v>
      </c>
      <c r="E53">
        <v>846749.05634000001</v>
      </c>
      <c r="F53" s="346"/>
      <c r="H53" s="347" t="s">
        <v>78</v>
      </c>
      <c r="I53" s="347" t="s">
        <v>79</v>
      </c>
      <c r="J53" s="347" t="s">
        <v>39</v>
      </c>
      <c r="W53" s="157"/>
    </row>
    <row r="54" spans="1:26" x14ac:dyDescent="0.25">
      <c r="A54" t="str">
        <f t="shared" si="4"/>
        <v>21</v>
      </c>
      <c r="B54" s="151">
        <v>3</v>
      </c>
      <c r="C54" s="151">
        <v>2</v>
      </c>
      <c r="D54" s="151">
        <v>1</v>
      </c>
      <c r="E54">
        <v>211688.63926</v>
      </c>
      <c r="F54" s="348" t="str">
        <f>CONCATENATE(H54,I54)</f>
        <v>10</v>
      </c>
      <c r="G54" s="349">
        <v>1</v>
      </c>
      <c r="H54" s="349">
        <v>1</v>
      </c>
      <c r="I54" s="349">
        <v>0</v>
      </c>
      <c r="J54" s="350">
        <v>213867</v>
      </c>
      <c r="W54" s="157"/>
    </row>
    <row r="55" spans="1:26" x14ac:dyDescent="0.25">
      <c r="A55" t="str">
        <f t="shared" si="4"/>
        <v>22</v>
      </c>
      <c r="B55" s="151">
        <v>4</v>
      </c>
      <c r="C55" s="151">
        <v>2</v>
      </c>
      <c r="D55" s="151">
        <v>2</v>
      </c>
      <c r="E55">
        <v>19877.597109999999</v>
      </c>
      <c r="F55" s="348" t="str">
        <f t="shared" ref="F55:F66" si="5">CONCATENATE(H55,I55)</f>
        <v>20</v>
      </c>
      <c r="G55" s="349">
        <v>2</v>
      </c>
      <c r="H55" s="349">
        <v>2</v>
      </c>
      <c r="I55" s="349">
        <v>0</v>
      </c>
      <c r="J55" s="350">
        <v>188221</v>
      </c>
      <c r="M55" s="152" t="s">
        <v>78</v>
      </c>
      <c r="N55" s="152" t="s">
        <v>79</v>
      </c>
      <c r="O55" s="152" t="s">
        <v>39</v>
      </c>
      <c r="P55" s="152"/>
      <c r="R55" s="157"/>
      <c r="S55" t="s">
        <v>78</v>
      </c>
      <c r="T55" t="s">
        <v>79</v>
      </c>
      <c r="U55" t="s">
        <v>39</v>
      </c>
    </row>
    <row r="56" spans="1:26" x14ac:dyDescent="0.25">
      <c r="A56" t="str">
        <f t="shared" si="4"/>
        <v>30</v>
      </c>
      <c r="B56" s="151">
        <v>5</v>
      </c>
      <c r="C56" s="151">
        <v>3</v>
      </c>
      <c r="D56" s="151">
        <v>0</v>
      </c>
      <c r="E56">
        <v>432731.93664000003</v>
      </c>
      <c r="F56" s="348" t="str">
        <f t="shared" si="5"/>
        <v>21</v>
      </c>
      <c r="G56" s="349">
        <v>3</v>
      </c>
      <c r="H56" s="349">
        <v>2</v>
      </c>
      <c r="I56" s="349">
        <v>1</v>
      </c>
      <c r="J56" s="350">
        <v>37626</v>
      </c>
      <c r="L56" t="str">
        <f>CONCATENATE(N56,O56)</f>
        <v>10</v>
      </c>
      <c r="M56" s="152">
        <v>1</v>
      </c>
      <c r="N56" s="152">
        <v>1</v>
      </c>
      <c r="O56" s="152">
        <v>0</v>
      </c>
      <c r="P56" s="152">
        <f t="shared" ref="P56:P65" si="6">E52</f>
        <v>951577.94065</v>
      </c>
      <c r="R56" s="157">
        <v>1</v>
      </c>
      <c r="S56">
        <v>1</v>
      </c>
      <c r="T56">
        <v>0</v>
      </c>
      <c r="U56">
        <v>213867</v>
      </c>
    </row>
    <row r="57" spans="1:26" x14ac:dyDescent="0.25">
      <c r="A57" t="str">
        <f t="shared" si="4"/>
        <v>31</v>
      </c>
      <c r="B57" s="151">
        <v>6</v>
      </c>
      <c r="C57" s="151">
        <v>3</v>
      </c>
      <c r="D57" s="151">
        <v>1</v>
      </c>
      <c r="E57">
        <v>130519.35126</v>
      </c>
      <c r="F57" s="348" t="str">
        <f t="shared" si="5"/>
        <v>22</v>
      </c>
      <c r="G57" s="349">
        <v>4</v>
      </c>
      <c r="H57" s="349">
        <v>2</v>
      </c>
      <c r="I57" s="349">
        <v>2</v>
      </c>
      <c r="J57" s="350">
        <v>7415</v>
      </c>
      <c r="L57" t="str">
        <f t="shared" ref="L57:L68" si="7">CONCATENATE(N57,O57)</f>
        <v>20</v>
      </c>
      <c r="M57" s="152">
        <v>2</v>
      </c>
      <c r="N57" s="152">
        <v>2</v>
      </c>
      <c r="O57" s="152">
        <v>0</v>
      </c>
      <c r="P57" s="152">
        <f t="shared" si="6"/>
        <v>846749.05634000001</v>
      </c>
      <c r="R57" s="157">
        <v>2</v>
      </c>
      <c r="S57">
        <v>2</v>
      </c>
      <c r="T57">
        <v>0</v>
      </c>
      <c r="U57">
        <v>188221</v>
      </c>
    </row>
    <row r="58" spans="1:26" x14ac:dyDescent="0.25">
      <c r="A58" t="str">
        <f t="shared" si="4"/>
        <v>32</v>
      </c>
      <c r="B58" s="151">
        <v>7</v>
      </c>
      <c r="C58" s="151">
        <v>3</v>
      </c>
      <c r="D58" s="151">
        <v>2</v>
      </c>
      <c r="E58">
        <v>31126.999329999999</v>
      </c>
      <c r="F58" s="348" t="str">
        <f t="shared" si="5"/>
        <v>30</v>
      </c>
      <c r="G58" s="349">
        <v>5</v>
      </c>
      <c r="H58" s="349">
        <v>3</v>
      </c>
      <c r="I58" s="349">
        <v>0</v>
      </c>
      <c r="J58" s="350">
        <v>90323</v>
      </c>
      <c r="L58" t="str">
        <f t="shared" si="7"/>
        <v>21</v>
      </c>
      <c r="M58" s="152">
        <v>3</v>
      </c>
      <c r="N58" s="152">
        <v>2</v>
      </c>
      <c r="O58" s="152">
        <v>1</v>
      </c>
      <c r="P58" s="152">
        <f t="shared" si="6"/>
        <v>211688.63926</v>
      </c>
      <c r="R58" s="157">
        <v>3</v>
      </c>
      <c r="S58">
        <v>2</v>
      </c>
      <c r="T58">
        <v>1</v>
      </c>
      <c r="U58">
        <v>37626</v>
      </c>
    </row>
    <row r="59" spans="1:26" x14ac:dyDescent="0.25">
      <c r="A59" t="str">
        <f t="shared" si="4"/>
        <v>40</v>
      </c>
      <c r="B59" s="151">
        <v>8</v>
      </c>
      <c r="C59" s="151">
        <v>4</v>
      </c>
      <c r="D59" s="151">
        <v>0</v>
      </c>
      <c r="E59">
        <v>357196.77802999999</v>
      </c>
      <c r="F59" s="348" t="str">
        <f t="shared" si="5"/>
        <v>31</v>
      </c>
      <c r="G59" s="349">
        <v>6</v>
      </c>
      <c r="H59" s="349">
        <v>3</v>
      </c>
      <c r="I59" s="349">
        <v>1</v>
      </c>
      <c r="J59" s="350">
        <v>24542</v>
      </c>
      <c r="L59" t="str">
        <f t="shared" si="7"/>
        <v>22</v>
      </c>
      <c r="M59" s="152">
        <v>4</v>
      </c>
      <c r="N59" s="152">
        <v>2</v>
      </c>
      <c r="O59" s="152">
        <v>2</v>
      </c>
      <c r="P59" s="152">
        <f t="shared" si="6"/>
        <v>19877.597109999999</v>
      </c>
      <c r="R59" s="157">
        <v>4</v>
      </c>
      <c r="S59">
        <v>2</v>
      </c>
      <c r="T59">
        <v>2</v>
      </c>
      <c r="U59">
        <v>7415</v>
      </c>
    </row>
    <row r="60" spans="1:26" x14ac:dyDescent="0.25">
      <c r="A60" t="str">
        <f t="shared" si="4"/>
        <v>41</v>
      </c>
      <c r="B60" s="151">
        <v>9</v>
      </c>
      <c r="C60" s="151">
        <v>4</v>
      </c>
      <c r="D60" s="151">
        <v>1</v>
      </c>
      <c r="E60">
        <v>157279.88552000001</v>
      </c>
      <c r="F60" s="348" t="str">
        <f t="shared" si="5"/>
        <v>32</v>
      </c>
      <c r="G60" s="349">
        <v>7</v>
      </c>
      <c r="H60" s="349">
        <v>3</v>
      </c>
      <c r="I60" s="349">
        <v>2</v>
      </c>
      <c r="J60" s="350">
        <v>5511</v>
      </c>
      <c r="L60" t="str">
        <f t="shared" si="7"/>
        <v>30</v>
      </c>
      <c r="M60" s="152">
        <v>5</v>
      </c>
      <c r="N60" s="152">
        <v>3</v>
      </c>
      <c r="O60" s="152">
        <v>0</v>
      </c>
      <c r="P60" s="152">
        <f t="shared" si="6"/>
        <v>432731.93664000003</v>
      </c>
      <c r="R60" s="157">
        <v>5</v>
      </c>
      <c r="S60">
        <v>3</v>
      </c>
      <c r="T60">
        <v>0</v>
      </c>
      <c r="U60">
        <v>90323</v>
      </c>
    </row>
    <row r="61" spans="1:26" x14ac:dyDescent="0.25">
      <c r="A61" t="str">
        <f t="shared" si="4"/>
        <v>42</v>
      </c>
      <c r="B61" s="151">
        <v>10</v>
      </c>
      <c r="C61" s="151">
        <v>4</v>
      </c>
      <c r="D61" s="151">
        <v>2</v>
      </c>
      <c r="E61">
        <v>43313.000509999998</v>
      </c>
      <c r="F61" s="348" t="str">
        <f t="shared" si="5"/>
        <v>40</v>
      </c>
      <c r="G61" s="349">
        <v>8</v>
      </c>
      <c r="H61" s="349">
        <v>4</v>
      </c>
      <c r="I61" s="349">
        <v>0</v>
      </c>
      <c r="J61" s="350">
        <v>69603</v>
      </c>
      <c r="L61" t="str">
        <f t="shared" si="7"/>
        <v>31</v>
      </c>
      <c r="M61" s="152">
        <v>6</v>
      </c>
      <c r="N61" s="152">
        <v>3</v>
      </c>
      <c r="O61" s="152">
        <v>1</v>
      </c>
      <c r="P61" s="152">
        <f t="shared" si="6"/>
        <v>130519.35126</v>
      </c>
      <c r="R61" s="157">
        <v>6</v>
      </c>
      <c r="S61">
        <v>3</v>
      </c>
      <c r="T61">
        <v>1</v>
      </c>
      <c r="U61">
        <v>24542</v>
      </c>
    </row>
    <row r="62" spans="1:26" x14ac:dyDescent="0.25">
      <c r="A62" t="str">
        <f t="shared" si="4"/>
        <v>50</v>
      </c>
      <c r="B62" s="151">
        <v>11</v>
      </c>
      <c r="C62" s="151">
        <v>5</v>
      </c>
      <c r="D62" s="151">
        <v>0</v>
      </c>
      <c r="E62">
        <v>236398.38961000001</v>
      </c>
      <c r="F62" s="348" t="str">
        <f t="shared" si="5"/>
        <v>41</v>
      </c>
      <c r="G62" s="349">
        <v>9</v>
      </c>
      <c r="H62" s="349">
        <v>4</v>
      </c>
      <c r="I62" s="349">
        <v>1</v>
      </c>
      <c r="J62" s="350">
        <v>29322</v>
      </c>
      <c r="L62" t="str">
        <f t="shared" si="7"/>
        <v>32</v>
      </c>
      <c r="M62" s="152">
        <v>7</v>
      </c>
      <c r="N62" s="152">
        <v>3</v>
      </c>
      <c r="O62" s="152">
        <v>2</v>
      </c>
      <c r="P62" s="152">
        <f t="shared" si="6"/>
        <v>31126.999329999999</v>
      </c>
      <c r="R62" s="157">
        <v>7</v>
      </c>
      <c r="S62">
        <v>3</v>
      </c>
      <c r="T62">
        <v>2</v>
      </c>
      <c r="U62">
        <v>5511</v>
      </c>
    </row>
    <row r="63" spans="1:26" x14ac:dyDescent="0.25">
      <c r="A63" t="str">
        <f t="shared" si="4"/>
        <v>51</v>
      </c>
      <c r="B63" s="151">
        <v>12</v>
      </c>
      <c r="C63" s="151">
        <v>5</v>
      </c>
      <c r="D63" s="151">
        <v>1</v>
      </c>
      <c r="E63">
        <v>99539.381259999995</v>
      </c>
      <c r="F63" s="348" t="str">
        <f t="shared" si="5"/>
        <v>42</v>
      </c>
      <c r="G63" s="349">
        <v>10</v>
      </c>
      <c r="H63" s="349">
        <v>4</v>
      </c>
      <c r="I63" s="349">
        <v>2</v>
      </c>
      <c r="J63" s="350">
        <v>11473</v>
      </c>
      <c r="L63" t="str">
        <f t="shared" si="7"/>
        <v>40</v>
      </c>
      <c r="M63" s="152">
        <v>8</v>
      </c>
      <c r="N63" s="152">
        <v>4</v>
      </c>
      <c r="O63" s="152">
        <v>0</v>
      </c>
      <c r="P63" s="152">
        <f t="shared" si="6"/>
        <v>357196.77802999999</v>
      </c>
      <c r="R63" s="157">
        <v>8</v>
      </c>
      <c r="S63">
        <v>4</v>
      </c>
      <c r="T63">
        <v>0</v>
      </c>
      <c r="U63">
        <v>69603</v>
      </c>
    </row>
    <row r="64" spans="1:26" x14ac:dyDescent="0.25">
      <c r="A64" t="str">
        <f t="shared" si="4"/>
        <v>52</v>
      </c>
      <c r="B64" s="151">
        <v>13</v>
      </c>
      <c r="C64" s="151">
        <v>5</v>
      </c>
      <c r="D64" s="151">
        <v>2</v>
      </c>
      <c r="E64">
        <v>28209.088790000002</v>
      </c>
      <c r="F64" s="348" t="str">
        <f t="shared" si="5"/>
        <v>50</v>
      </c>
      <c r="G64" s="349">
        <v>11</v>
      </c>
      <c r="H64" s="349">
        <v>5</v>
      </c>
      <c r="I64" s="349">
        <v>0</v>
      </c>
      <c r="J64" s="350">
        <v>51025</v>
      </c>
      <c r="L64" t="str">
        <f t="shared" si="7"/>
        <v>41</v>
      </c>
      <c r="M64" s="152">
        <v>9</v>
      </c>
      <c r="N64" s="152">
        <v>4</v>
      </c>
      <c r="O64" s="152">
        <v>1</v>
      </c>
      <c r="P64" s="152">
        <f t="shared" si="6"/>
        <v>157279.88552000001</v>
      </c>
      <c r="R64" s="157">
        <v>9</v>
      </c>
      <c r="S64">
        <v>4</v>
      </c>
      <c r="T64">
        <v>1</v>
      </c>
      <c r="U64">
        <v>29322</v>
      </c>
    </row>
    <row r="65" spans="1:21" x14ac:dyDescent="0.25">
      <c r="A65" t="str">
        <f t="shared" ref="A65:A73" si="8">CONCATENATE(C65,D65)</f>
        <v>60</v>
      </c>
      <c r="B65">
        <v>14</v>
      </c>
      <c r="C65">
        <v>6</v>
      </c>
      <c r="D65">
        <v>0</v>
      </c>
      <c r="E65">
        <v>62405.251830000001</v>
      </c>
      <c r="F65" s="348" t="str">
        <f t="shared" si="5"/>
        <v>51</v>
      </c>
      <c r="G65" s="349">
        <v>12</v>
      </c>
      <c r="H65" s="349">
        <v>5</v>
      </c>
      <c r="I65" s="349">
        <v>1</v>
      </c>
      <c r="J65" s="350">
        <v>22700</v>
      </c>
      <c r="L65" t="str">
        <f t="shared" si="7"/>
        <v>42</v>
      </c>
      <c r="M65" s="152">
        <v>10</v>
      </c>
      <c r="N65" s="152">
        <v>4</v>
      </c>
      <c r="O65" s="152">
        <v>2</v>
      </c>
      <c r="P65" s="152">
        <f t="shared" si="6"/>
        <v>43313.000509999998</v>
      </c>
      <c r="R65" s="157">
        <v>10</v>
      </c>
      <c r="S65">
        <v>4</v>
      </c>
      <c r="T65">
        <v>2</v>
      </c>
      <c r="U65">
        <v>11473</v>
      </c>
    </row>
    <row r="66" spans="1:21" ht="15.75" thickBot="1" x14ac:dyDescent="0.3">
      <c r="A66" t="str">
        <f t="shared" si="8"/>
        <v>61</v>
      </c>
      <c r="B66">
        <v>15</v>
      </c>
      <c r="C66">
        <v>6</v>
      </c>
      <c r="D66">
        <v>1</v>
      </c>
      <c r="E66">
        <v>27858.74439</v>
      </c>
      <c r="F66" s="351" t="str">
        <f t="shared" si="5"/>
        <v>52</v>
      </c>
      <c r="G66" s="352">
        <v>13</v>
      </c>
      <c r="H66" s="352">
        <v>5</v>
      </c>
      <c r="I66" s="352">
        <v>2</v>
      </c>
      <c r="J66" s="353">
        <v>17449</v>
      </c>
      <c r="L66" t="str">
        <f t="shared" si="7"/>
        <v>50</v>
      </c>
      <c r="M66" s="152">
        <v>11</v>
      </c>
      <c r="N66" s="152">
        <v>5</v>
      </c>
      <c r="O66" s="152">
        <v>0</v>
      </c>
      <c r="P66" s="152">
        <f>E62+E65+E68+E71</f>
        <v>321381.55604000005</v>
      </c>
      <c r="R66" s="157">
        <v>11</v>
      </c>
      <c r="S66">
        <v>5</v>
      </c>
      <c r="T66">
        <v>0</v>
      </c>
      <c r="U66">
        <v>51025</v>
      </c>
    </row>
    <row r="67" spans="1:21" x14ac:dyDescent="0.25">
      <c r="A67" t="str">
        <f t="shared" si="8"/>
        <v>62</v>
      </c>
      <c r="B67">
        <v>16</v>
      </c>
      <c r="C67">
        <v>6</v>
      </c>
      <c r="D67">
        <v>2</v>
      </c>
      <c r="E67">
        <v>14403.99236</v>
      </c>
      <c r="L67" t="str">
        <f t="shared" si="7"/>
        <v>51</v>
      </c>
      <c r="M67" s="152">
        <v>12</v>
      </c>
      <c r="N67" s="152">
        <v>5</v>
      </c>
      <c r="O67" s="152">
        <v>1</v>
      </c>
      <c r="P67" s="152">
        <f>E63+E66+E69+E72</f>
        <v>138507.57428</v>
      </c>
      <c r="R67" s="157">
        <v>12</v>
      </c>
      <c r="S67">
        <v>5</v>
      </c>
      <c r="T67">
        <v>1</v>
      </c>
      <c r="U67">
        <v>22700</v>
      </c>
    </row>
    <row r="68" spans="1:21" x14ac:dyDescent="0.25">
      <c r="A68" t="str">
        <f t="shared" si="8"/>
        <v>70</v>
      </c>
      <c r="B68">
        <v>17</v>
      </c>
      <c r="C68">
        <v>7</v>
      </c>
      <c r="D68">
        <v>0</v>
      </c>
      <c r="E68">
        <v>17431.28946</v>
      </c>
      <c r="L68" t="str">
        <f t="shared" si="7"/>
        <v>52</v>
      </c>
      <c r="M68" s="152">
        <v>13</v>
      </c>
      <c r="N68" s="152">
        <v>5</v>
      </c>
      <c r="O68" s="152">
        <v>2</v>
      </c>
      <c r="P68" s="152">
        <f>E64+E67+E70+E73</f>
        <v>45606.146690000001</v>
      </c>
      <c r="R68" s="157">
        <v>13</v>
      </c>
      <c r="S68">
        <v>5</v>
      </c>
      <c r="T68">
        <v>2</v>
      </c>
      <c r="U68">
        <v>17449</v>
      </c>
    </row>
    <row r="69" spans="1:21" x14ac:dyDescent="0.25">
      <c r="A69" t="str">
        <f t="shared" si="8"/>
        <v>71</v>
      </c>
      <c r="B69">
        <v>18</v>
      </c>
      <c r="C69">
        <v>7</v>
      </c>
      <c r="D69">
        <v>1</v>
      </c>
      <c r="E69">
        <v>4529.0051899999999</v>
      </c>
    </row>
    <row r="70" spans="1:21" x14ac:dyDescent="0.25">
      <c r="A70" t="str">
        <f t="shared" si="8"/>
        <v>72</v>
      </c>
      <c r="B70">
        <v>19</v>
      </c>
      <c r="C70">
        <v>7</v>
      </c>
      <c r="D70">
        <v>2</v>
      </c>
      <c r="E70">
        <v>2678.4633600000002</v>
      </c>
    </row>
    <row r="71" spans="1:21" x14ac:dyDescent="0.25">
      <c r="A71" t="str">
        <f t="shared" si="8"/>
        <v>80</v>
      </c>
      <c r="B71">
        <v>20</v>
      </c>
      <c r="C71">
        <v>8</v>
      </c>
      <c r="D71">
        <v>0</v>
      </c>
      <c r="E71">
        <v>5146.6251400000001</v>
      </c>
    </row>
    <row r="72" spans="1:21" x14ac:dyDescent="0.25">
      <c r="A72" t="str">
        <f t="shared" si="8"/>
        <v>81</v>
      </c>
      <c r="B72">
        <v>21</v>
      </c>
      <c r="C72">
        <v>8</v>
      </c>
      <c r="D72">
        <v>1</v>
      </c>
      <c r="E72">
        <v>6580.44344</v>
      </c>
    </row>
    <row r="73" spans="1:21" x14ac:dyDescent="0.25">
      <c r="A73" t="str">
        <f t="shared" si="8"/>
        <v>82</v>
      </c>
      <c r="B73">
        <v>22</v>
      </c>
      <c r="C73">
        <v>8</v>
      </c>
      <c r="D73">
        <v>2</v>
      </c>
      <c r="E73">
        <v>314.60217999999998</v>
      </c>
    </row>
  </sheetData>
  <mergeCells count="2">
    <mergeCell ref="A1:D1"/>
    <mergeCell ref="F1:I1"/>
  </mergeCells>
  <pageMargins left="0.7" right="0.7" top="0.75" bottom="0.75" header="0.3" footer="0.3"/>
  <pageSetup paperSize="0" orientation="portrait" horizontalDpi="0" verticalDpi="0" copie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N91"/>
  <sheetViews>
    <sheetView zoomScale="66" zoomScaleNormal="66" workbookViewId="0">
      <pane ySplit="4" topLeftCell="A5" activePane="bottomLeft" state="frozen"/>
      <selection pane="bottomLeft" activeCell="K8" sqref="K8"/>
    </sheetView>
  </sheetViews>
  <sheetFormatPr defaultRowHeight="15" x14ac:dyDescent="0.25"/>
  <cols>
    <col min="2" max="2" width="31.140625" bestFit="1" customWidth="1"/>
    <col min="3" max="4" width="16.85546875" bestFit="1" customWidth="1"/>
    <col min="5" max="5" width="16.42578125" bestFit="1" customWidth="1"/>
    <col min="9" max="9" width="16" bestFit="1" customWidth="1"/>
    <col min="10" max="11" width="16.42578125" bestFit="1" customWidth="1"/>
    <col min="12" max="12" width="15.140625" bestFit="1" customWidth="1"/>
    <col min="13" max="13" width="13.7109375" bestFit="1" customWidth="1"/>
    <col min="14" max="14" width="14.42578125" bestFit="1" customWidth="1"/>
  </cols>
  <sheetData>
    <row r="1" spans="1:14" ht="28.5" x14ac:dyDescent="0.45">
      <c r="A1" s="174" t="s">
        <v>371</v>
      </c>
    </row>
    <row r="2" spans="1:14" ht="21" x14ac:dyDescent="0.35">
      <c r="B2" s="101" t="s">
        <v>125</v>
      </c>
    </row>
    <row r="3" spans="1:14" x14ac:dyDescent="0.25">
      <c r="B3" t="s">
        <v>116</v>
      </c>
    </row>
    <row r="5" spans="1:14" x14ac:dyDescent="0.25">
      <c r="B5" s="86"/>
      <c r="C5" s="400" t="s">
        <v>7</v>
      </c>
      <c r="D5" s="385"/>
      <c r="E5" s="385"/>
      <c r="F5" s="385"/>
      <c r="G5" s="385"/>
      <c r="H5" s="401"/>
      <c r="I5" s="400" t="s">
        <v>3</v>
      </c>
      <c r="J5" s="385"/>
      <c r="K5" s="385"/>
      <c r="L5" s="385"/>
      <c r="M5" s="385"/>
      <c r="N5" s="401"/>
    </row>
    <row r="6" spans="1:14" x14ac:dyDescent="0.25">
      <c r="B6" s="86"/>
      <c r="C6" s="398" t="s">
        <v>10</v>
      </c>
      <c r="D6" s="396"/>
      <c r="E6" s="396"/>
      <c r="F6" s="396" t="s">
        <v>11</v>
      </c>
      <c r="G6" s="396"/>
      <c r="H6" s="399"/>
      <c r="I6" s="398" t="s">
        <v>10</v>
      </c>
      <c r="J6" s="396"/>
      <c r="K6" s="396"/>
      <c r="L6" s="396" t="s">
        <v>11</v>
      </c>
      <c r="M6" s="396"/>
      <c r="N6" s="399"/>
    </row>
    <row r="7" spans="1:14" ht="15.75" thickBot="1" x14ac:dyDescent="0.3">
      <c r="B7" s="54"/>
      <c r="C7" s="99" t="s">
        <v>122</v>
      </c>
      <c r="D7" s="54" t="s">
        <v>123</v>
      </c>
      <c r="E7" s="54" t="s">
        <v>124</v>
      </c>
      <c r="F7" s="54" t="s">
        <v>168</v>
      </c>
      <c r="G7" s="54" t="s">
        <v>127</v>
      </c>
      <c r="H7" s="100" t="s">
        <v>128</v>
      </c>
      <c r="I7" s="99" t="s">
        <v>126</v>
      </c>
      <c r="J7" s="54" t="s">
        <v>123</v>
      </c>
      <c r="K7" s="54" t="s">
        <v>124</v>
      </c>
      <c r="L7" s="99" t="s">
        <v>126</v>
      </c>
      <c r="M7" s="54" t="s">
        <v>129</v>
      </c>
      <c r="N7" s="100" t="s">
        <v>130</v>
      </c>
    </row>
    <row r="8" spans="1:14" ht="15.75" thickTop="1" x14ac:dyDescent="0.25">
      <c r="A8">
        <v>1</v>
      </c>
      <c r="B8" t="s">
        <v>277</v>
      </c>
      <c r="C8" s="24">
        <f>INDEX(TOD_input!$B$4:$K$43,MATCH(TOD!A8,todBins,0), MATCH($B$3,todPurpose,0))</f>
        <v>3642.2654900000002</v>
      </c>
      <c r="D8" s="18">
        <f>INDEX(TOD_input!$M$4:$V$43,MATCH(TOD!A8,todBins,0), MATCH($B$3,todPurpose,0))</f>
        <v>1380.4249500000001</v>
      </c>
      <c r="E8" s="18">
        <f>INDEX(TOD_input!$X$4:$AG$43,MATCH(TOD!A8,todBins,0), MATCH($B$3,todPurpose,0))</f>
        <v>277477.89129</v>
      </c>
      <c r="F8" s="28">
        <f>C8/C$48</f>
        <v>3.0958243626876365E-3</v>
      </c>
      <c r="G8" s="28">
        <f t="shared" ref="G8:H23" si="0">D8/D$48</f>
        <v>1.1733228131790752E-3</v>
      </c>
      <c r="H8" s="28">
        <f t="shared" si="0"/>
        <v>0.23676734573030284</v>
      </c>
      <c r="I8" s="24">
        <f>INDEX(TOD_input!$B$48:$K$87,MATCH(TOD!A8,todBins,0), MATCH($B$3,todPurpose,0))*5</f>
        <v>5425</v>
      </c>
      <c r="J8" s="18">
        <f>INDEX(TOD_input!$M$48:$V$87,MATCH(TOD!A8,todBins,0),MATCH($B$3,todPurpose,0))*5</f>
        <v>690</v>
      </c>
      <c r="K8" s="18">
        <f>INDEX(TOD_input!$X$48:$AG$88,MATCH(TOD!A8,todBins,0), MATCH($B$3,todPurpose,0))*5</f>
        <v>249015</v>
      </c>
      <c r="L8" s="28">
        <f>I8/I$48</f>
        <v>4.0775524162786417E-3</v>
      </c>
      <c r="M8" s="28">
        <f>J8/J$48</f>
        <v>5.1861956999673048E-4</v>
      </c>
      <c r="N8" s="28">
        <f>K8/K$48</f>
        <v>0.18716529307642873</v>
      </c>
    </row>
    <row r="9" spans="1:14" x14ac:dyDescent="0.25">
      <c r="A9">
        <v>2</v>
      </c>
      <c r="B9" t="s">
        <v>278</v>
      </c>
      <c r="C9" s="24">
        <f>INDEX(TOD_input!$B$4:$K$43,MATCH(TOD!A9,todBins,0), MATCH($B$3,todPurpose,0))</f>
        <v>574.27747999999997</v>
      </c>
      <c r="D9" s="18">
        <f>INDEX(TOD_input!$M$4:$V$43,MATCH(TOD!A9,todBins,0), MATCH($B$3,todPurpose,0))</f>
        <v>227.42298</v>
      </c>
      <c r="E9" s="18">
        <f>INDEX(TOD_input!$X$4:$AG$43,MATCH(TOD!A9,todBins,0), MATCH($B$3,todPurpose,0))</f>
        <v>533931.03573999996</v>
      </c>
      <c r="F9" s="28">
        <f t="shared" ref="F9:H47" si="1">C9/C$48</f>
        <v>4.8811988538673541E-4</v>
      </c>
      <c r="G9" s="28">
        <f t="shared" si="0"/>
        <v>1.9330320759210307E-4</v>
      </c>
      <c r="H9" s="28">
        <f t="shared" si="0"/>
        <v>0.45559461889909203</v>
      </c>
      <c r="I9" s="24">
        <f>INDEX(TOD_input!$B$48:$K$87,MATCH(TOD!A9,todBins,0), MATCH($B$3,todPurpose,0))*5</f>
        <v>8065</v>
      </c>
      <c r="J9" s="18">
        <f>INDEX(TOD_input!$M$48:$V$87,MATCH(TOD!A9,todBins,0),MATCH($B$3,todPurpose,0))*5</f>
        <v>3295</v>
      </c>
      <c r="K9" s="18">
        <f>INDEX(TOD_input!$X$48:$AG$88,MATCH(TOD!A9,todBins,0), MATCH($B$3,todPurpose,0))*5</f>
        <v>568320</v>
      </c>
      <c r="L9" s="28">
        <f t="shared" ref="L9:L47" si="2">I9/I$48</f>
        <v>6.0618359884400449E-3</v>
      </c>
      <c r="M9" s="28">
        <f t="shared" ref="M9:M47" si="3">J9/J$48</f>
        <v>2.4765963523756909E-3</v>
      </c>
      <c r="N9" s="28">
        <f t="shared" ref="N9:N47" si="4">K9/K$48</f>
        <v>0.42716213626165483</v>
      </c>
    </row>
    <row r="10" spans="1:14" x14ac:dyDescent="0.25">
      <c r="A10">
        <v>3</v>
      </c>
      <c r="B10" t="s">
        <v>279</v>
      </c>
      <c r="C10" s="24">
        <f>INDEX(TOD_input!$B$4:$K$43,MATCH(TOD!A10,todBins,0), MATCH($B$3,todPurpose,0))</f>
        <v>2424.7846599999998</v>
      </c>
      <c r="D10" s="18">
        <f>INDEX(TOD_input!$M$4:$V$43,MATCH(TOD!A10,todBins,0), MATCH($B$3,todPurpose,0))</f>
        <v>1007.19426</v>
      </c>
      <c r="E10" s="18">
        <f>INDEX(TOD_input!$X$4:$AG$43,MATCH(TOD!A10,todBins,0), MATCH($B$3,todPurpose,0))</f>
        <v>183749.91029999999</v>
      </c>
      <c r="F10" s="28">
        <f t="shared" si="1"/>
        <v>2.0609995194774381E-3</v>
      </c>
      <c r="G10" s="28">
        <f t="shared" si="0"/>
        <v>8.5608710749614941E-4</v>
      </c>
      <c r="H10" s="28">
        <f t="shared" si="0"/>
        <v>0.15679079272821378</v>
      </c>
      <c r="I10" s="24">
        <f>INDEX(TOD_input!$B$48:$K$87,MATCH(TOD!A10,todBins,0), MATCH($B$3,todPurpose,0))*5</f>
        <v>12170</v>
      </c>
      <c r="J10" s="18">
        <f>INDEX(TOD_input!$M$48:$V$87,MATCH(TOD!A10,todBins,0),MATCH($B$3,todPurpose,0))*5</f>
        <v>5795</v>
      </c>
      <c r="K10" s="18">
        <f>INDEX(TOD_input!$X$48:$AG$88,MATCH(TOD!A10,todBins,0), MATCH($B$3,todPurpose,0))*5</f>
        <v>215220</v>
      </c>
      <c r="L10" s="28">
        <f t="shared" si="2"/>
        <v>9.1472466186379841E-3</v>
      </c>
      <c r="M10" s="28">
        <f t="shared" si="3"/>
        <v>4.3556527654073232E-3</v>
      </c>
      <c r="N10" s="28">
        <f t="shared" si="4"/>
        <v>0.16176420848506715</v>
      </c>
    </row>
    <row r="11" spans="1:14" x14ac:dyDescent="0.25">
      <c r="A11">
        <v>4</v>
      </c>
      <c r="B11" t="s">
        <v>280</v>
      </c>
      <c r="C11" s="24">
        <f>INDEX(TOD_input!$B$4:$K$43,MATCH(TOD!A11,todBins,0), MATCH($B$3,todPurpose,0))</f>
        <v>9228.4104800000005</v>
      </c>
      <c r="D11" s="18">
        <f>INDEX(TOD_input!$M$4:$V$43,MATCH(TOD!A11,todBins,0), MATCH($B$3,todPurpose,0))</f>
        <v>3604.1703000000002</v>
      </c>
      <c r="E11" s="18">
        <f>INDEX(TOD_input!$X$4:$AG$43,MATCH(TOD!A11,todBins,0), MATCH($B$3,todPurpose,0))</f>
        <v>63207.326509999999</v>
      </c>
      <c r="F11" s="28">
        <f t="shared" si="1"/>
        <v>7.8438922344636394E-3</v>
      </c>
      <c r="G11" s="28">
        <f t="shared" si="0"/>
        <v>3.0634445107446595E-3</v>
      </c>
      <c r="H11" s="28">
        <f t="shared" si="0"/>
        <v>5.3933777782823461E-2</v>
      </c>
      <c r="I11" s="24">
        <f>INDEX(TOD_input!$B$48:$K$87,MATCH(TOD!A11,todBins,0), MATCH($B$3,todPurpose,0))*5</f>
        <v>17405</v>
      </c>
      <c r="J11" s="18">
        <f>INDEX(TOD_input!$M$48:$V$87,MATCH(TOD!A11,todBins,0),MATCH($B$3,todPurpose,0))*5</f>
        <v>8945</v>
      </c>
      <c r="K11" s="18">
        <f>INDEX(TOD_input!$X$48:$AG$88,MATCH(TOD!A11,todBins,0), MATCH($B$3,todPurpose,0))*5</f>
        <v>97550</v>
      </c>
      <c r="L11" s="28">
        <f t="shared" si="2"/>
        <v>1.3081990747526221E-2</v>
      </c>
      <c r="M11" s="28">
        <f t="shared" si="3"/>
        <v>6.7232638458271793E-3</v>
      </c>
      <c r="N11" s="28">
        <f t="shared" si="4"/>
        <v>7.3320781236494284E-2</v>
      </c>
    </row>
    <row r="12" spans="1:14" x14ac:dyDescent="0.25">
      <c r="A12">
        <v>5</v>
      </c>
      <c r="B12" t="s">
        <v>281</v>
      </c>
      <c r="C12" s="24">
        <f>INDEX(TOD_input!$B$4:$K$43,MATCH(TOD!A12,todBins,0), MATCH($B$3,todPurpose,0))</f>
        <v>22966.517899999999</v>
      </c>
      <c r="D12" s="18">
        <f>INDEX(TOD_input!$M$4:$V$43,MATCH(TOD!A12,todBins,0), MATCH($B$3,todPurpose,0))</f>
        <v>10418.616969999999</v>
      </c>
      <c r="E12" s="18">
        <f>INDEX(TOD_input!$X$4:$AG$43,MATCH(TOD!A12,todBins,0), MATCH($B$3,todPurpose,0))</f>
        <v>38454.668729999998</v>
      </c>
      <c r="F12" s="28">
        <f t="shared" si="1"/>
        <v>1.9520901437890977E-2</v>
      </c>
      <c r="G12" s="28">
        <f t="shared" si="0"/>
        <v>8.8555346472661556E-3</v>
      </c>
      <c r="H12" s="28">
        <f t="shared" si="0"/>
        <v>3.2812739796355447E-2</v>
      </c>
      <c r="I12" s="24">
        <f>INDEX(TOD_input!$B$48:$K$87,MATCH(TOD!A12,todBins,0), MATCH($B$3,todPurpose,0))*5</f>
        <v>33985</v>
      </c>
      <c r="J12" s="18">
        <f>INDEX(TOD_input!$M$48:$V$87,MATCH(TOD!A12,todBins,0),MATCH($B$3,todPurpose,0))*5</f>
        <v>14950</v>
      </c>
      <c r="K12" s="18">
        <f>INDEX(TOD_input!$X$48:$AG$88,MATCH(TOD!A12,todBins,0), MATCH($B$3,todPurpose,0))*5</f>
        <v>50275</v>
      </c>
      <c r="L12" s="28">
        <f t="shared" si="2"/>
        <v>2.5543892878752007E-2</v>
      </c>
      <c r="M12" s="28">
        <f t="shared" si="3"/>
        <v>1.123675734992916E-2</v>
      </c>
      <c r="N12" s="28">
        <f t="shared" si="4"/>
        <v>3.7787824466066121E-2</v>
      </c>
    </row>
    <row r="13" spans="1:14" x14ac:dyDescent="0.25">
      <c r="A13">
        <v>6</v>
      </c>
      <c r="B13" t="s">
        <v>282</v>
      </c>
      <c r="C13" s="24">
        <f>INDEX(TOD_input!$B$4:$K$43,MATCH(TOD!A13,todBins,0), MATCH($B$3,todPurpose,0))</f>
        <v>54033.746709999999</v>
      </c>
      <c r="D13" s="18">
        <f>INDEX(TOD_input!$M$4:$V$43,MATCH(TOD!A13,todBins,0), MATCH($B$3,todPurpose,0))</f>
        <v>30887.526279999998</v>
      </c>
      <c r="E13" s="18">
        <f>INDEX(TOD_input!$X$4:$AG$43,MATCH(TOD!A13,todBins,0), MATCH($B$3,todPurpose,0))</f>
        <v>18325.98286</v>
      </c>
      <c r="F13" s="28">
        <f t="shared" si="1"/>
        <v>4.5927181840912677E-2</v>
      </c>
      <c r="G13" s="28">
        <f t="shared" si="0"/>
        <v>2.6253538250661297E-2</v>
      </c>
      <c r="H13" s="28">
        <f t="shared" si="0"/>
        <v>1.5637261403022622E-2</v>
      </c>
      <c r="I13" s="24">
        <f>INDEX(TOD_input!$B$48:$K$87,MATCH(TOD!A13,todBins,0), MATCH($B$3,todPurpose,0))*5</f>
        <v>57290</v>
      </c>
      <c r="J13" s="18">
        <f>INDEX(TOD_input!$M$48:$V$87,MATCH(TOD!A13,todBins,0),MATCH($B$3,todPurpose,0))*5</f>
        <v>28115</v>
      </c>
      <c r="K13" s="18">
        <f>INDEX(TOD_input!$X$48:$AG$88,MATCH(TOD!A13,todBins,0), MATCH($B$3,todPurpose,0))*5</f>
        <v>26070</v>
      </c>
      <c r="L13" s="28">
        <f t="shared" si="2"/>
        <v>4.306045676103288E-2</v>
      </c>
      <c r="M13" s="28">
        <f t="shared" si="3"/>
        <v>2.1131868420953735E-2</v>
      </c>
      <c r="N13" s="28">
        <f t="shared" si="4"/>
        <v>1.959480027509386E-2</v>
      </c>
    </row>
    <row r="14" spans="1:14" x14ac:dyDescent="0.25">
      <c r="A14">
        <v>7</v>
      </c>
      <c r="B14" t="s">
        <v>283</v>
      </c>
      <c r="C14" s="24">
        <f>INDEX(TOD_input!$B$4:$K$43,MATCH(TOD!A14,todBins,0), MATCH($B$3,todPurpose,0))</f>
        <v>101637.63172</v>
      </c>
      <c r="D14" s="18">
        <f>INDEX(TOD_input!$M$4:$V$43,MATCH(TOD!A14,todBins,0), MATCH($B$3,todPurpose,0))</f>
        <v>51726.479599999999</v>
      </c>
      <c r="E14" s="18">
        <f>INDEX(TOD_input!$X$4:$AG$43,MATCH(TOD!A14,todBins,0), MATCH($B$3,todPurpose,0))</f>
        <v>16350.21456</v>
      </c>
      <c r="F14" s="28">
        <f t="shared" si="1"/>
        <v>8.6389160073185575E-2</v>
      </c>
      <c r="G14" s="28">
        <f t="shared" si="0"/>
        <v>4.3966068970371794E-2</v>
      </c>
      <c r="H14" s="28">
        <f t="shared" si="0"/>
        <v>1.395137063171009E-2</v>
      </c>
      <c r="I14" s="24">
        <f>INDEX(TOD_input!$B$48:$K$87,MATCH(TOD!A14,todBins,0), MATCH($B$3,todPurpose,0))*5</f>
        <v>81545</v>
      </c>
      <c r="J14" s="18">
        <f>INDEX(TOD_input!$M$48:$V$87,MATCH(TOD!A14,todBins,0),MATCH($B$3,todPurpose,0))*5</f>
        <v>48270</v>
      </c>
      <c r="K14" s="18">
        <f>INDEX(TOD_input!$X$48:$AG$88,MATCH(TOD!A14,todBins,0), MATCH($B$3,todPurpose,0))*5</f>
        <v>21160</v>
      </c>
      <c r="L14" s="28">
        <f t="shared" si="2"/>
        <v>6.1291062080265774E-2</v>
      </c>
      <c r="M14" s="28">
        <f t="shared" si="3"/>
        <v>3.6280821222814751E-2</v>
      </c>
      <c r="N14" s="28">
        <f t="shared" si="4"/>
        <v>1.5904333479899734E-2</v>
      </c>
    </row>
    <row r="15" spans="1:14" x14ac:dyDescent="0.25">
      <c r="A15">
        <v>8</v>
      </c>
      <c r="B15" t="s">
        <v>284</v>
      </c>
      <c r="C15" s="24">
        <f>INDEX(TOD_input!$B$4:$K$43,MATCH(TOD!A15,todBins,0), MATCH($B$3,todPurpose,0))</f>
        <v>92252.555789999999</v>
      </c>
      <c r="D15" s="18">
        <f>INDEX(TOD_input!$M$4:$V$43,MATCH(TOD!A15,todBins,0), MATCH($B$3,todPurpose,0))</f>
        <v>98437.990699999995</v>
      </c>
      <c r="E15" s="18">
        <f>INDEX(TOD_input!$X$4:$AG$43,MATCH(TOD!A15,todBins,0), MATCH($B$3,todPurpose,0))</f>
        <v>10754.60751</v>
      </c>
      <c r="F15" s="28">
        <f t="shared" si="1"/>
        <v>7.8412106563621853E-2</v>
      </c>
      <c r="G15" s="28">
        <f t="shared" si="0"/>
        <v>8.3669554199103408E-2</v>
      </c>
      <c r="H15" s="28">
        <f t="shared" si="0"/>
        <v>9.1767306673547887E-3</v>
      </c>
      <c r="I15" s="24">
        <f>INDEX(TOD_input!$B$48:$K$87,MATCH(TOD!A15,todBins,0), MATCH($B$3,todPurpose,0))*5</f>
        <v>100915</v>
      </c>
      <c r="J15" s="18">
        <f>INDEX(TOD_input!$M$48:$V$87,MATCH(TOD!A15,todBins,0),MATCH($B$3,todPurpose,0))*5</f>
        <v>76775</v>
      </c>
      <c r="K15" s="18">
        <f>INDEX(TOD_input!$X$48:$AG$88,MATCH(TOD!A15,todBins,0), MATCH($B$3,todPurpose,0))*5</f>
        <v>17620</v>
      </c>
      <c r="L15" s="28">
        <f t="shared" si="2"/>
        <v>7.5849991168434855E-2</v>
      </c>
      <c r="M15" s="28">
        <f t="shared" si="3"/>
        <v>5.7705822444201423E-2</v>
      </c>
      <c r="N15" s="28">
        <f t="shared" si="4"/>
        <v>1.3243589599046942E-2</v>
      </c>
    </row>
    <row r="16" spans="1:14" x14ac:dyDescent="0.25">
      <c r="A16">
        <v>9</v>
      </c>
      <c r="B16" t="s">
        <v>285</v>
      </c>
      <c r="C16" s="24">
        <f>INDEX(TOD_input!$B$4:$K$43,MATCH(TOD!A16,todBins,0), MATCH($B$3,todPurpose,0))</f>
        <v>103354.16749000001</v>
      </c>
      <c r="D16" s="18">
        <f>INDEX(TOD_input!$M$4:$V$43,MATCH(TOD!A16,todBins,0), MATCH($B$3,todPurpose,0))</f>
        <v>75374.771229999998</v>
      </c>
      <c r="E16" s="18">
        <f>INDEX(TOD_input!$X$4:$AG$43,MATCH(TOD!A16,todBins,0), MATCH($B$3,todPurpose,0))</f>
        <v>3707.1295</v>
      </c>
      <c r="F16" s="28">
        <f t="shared" si="1"/>
        <v>8.7848167734977625E-2</v>
      </c>
      <c r="G16" s="28">
        <f t="shared" si="0"/>
        <v>6.4066459116312563E-2</v>
      </c>
      <c r="H16" s="28">
        <f t="shared" si="0"/>
        <v>3.163232962139557E-3</v>
      </c>
      <c r="I16" s="24">
        <f>INDEX(TOD_input!$B$48:$K$87,MATCH(TOD!A16,todBins,0), MATCH($B$3,todPurpose,0))*5</f>
        <v>77000</v>
      </c>
      <c r="J16" s="18">
        <f>INDEX(TOD_input!$M$48:$V$87,MATCH(TOD!A16,todBins,0),MATCH($B$3,todPurpose,0))*5</f>
        <v>71365</v>
      </c>
      <c r="K16" s="18">
        <f>INDEX(TOD_input!$X$48:$AG$88,MATCH(TOD!A16,todBins,0), MATCH($B$3,todPurpose,0))*5</f>
        <v>14805</v>
      </c>
      <c r="L16" s="28">
        <f t="shared" si="2"/>
        <v>5.7874937521374265E-2</v>
      </c>
      <c r="M16" s="28">
        <f t="shared" si="3"/>
        <v>5.3639544366400969E-2</v>
      </c>
      <c r="N16" s="28">
        <f t="shared" si="4"/>
        <v>1.1127772077973325E-2</v>
      </c>
    </row>
    <row r="17" spans="1:14" x14ac:dyDescent="0.25">
      <c r="A17">
        <v>10</v>
      </c>
      <c r="B17" t="s">
        <v>286</v>
      </c>
      <c r="C17" s="24">
        <f>INDEX(TOD_input!$B$4:$K$43,MATCH(TOD!A17,todBins,0), MATCH($B$3,todPurpose,0))</f>
        <v>25195.82202</v>
      </c>
      <c r="D17" s="18">
        <f>INDEX(TOD_input!$M$4:$V$43,MATCH(TOD!A17,todBins,0), MATCH($B$3,todPurpose,0))</f>
        <v>74786.485339999999</v>
      </c>
      <c r="E17" s="18">
        <f>INDEX(TOD_input!$X$4:$AG$43,MATCH(TOD!A17,todBins,0), MATCH($B$3,todPurpose,0))</f>
        <v>4974.9099100000003</v>
      </c>
      <c r="F17" s="28">
        <f t="shared" si="1"/>
        <v>2.1415747935348228E-2</v>
      </c>
      <c r="G17" s="28">
        <f t="shared" si="0"/>
        <v>6.3566432472047435E-2</v>
      </c>
      <c r="H17" s="28">
        <f t="shared" si="0"/>
        <v>4.2450092479873547E-3</v>
      </c>
      <c r="I17" s="24">
        <f>INDEX(TOD_input!$B$48:$K$87,MATCH(TOD!A17,todBins,0), MATCH($B$3,todPurpose,0))*5</f>
        <v>23040</v>
      </c>
      <c r="J17" s="18">
        <f>INDEX(TOD_input!$M$48:$V$87,MATCH(TOD!A17,todBins,0),MATCH($B$3,todPurpose,0))*5</f>
        <v>63975</v>
      </c>
      <c r="K17" s="18">
        <f>INDEX(TOD_input!$X$48:$AG$88,MATCH(TOD!A17,todBins,0), MATCH($B$3,todPurpose,0))*5</f>
        <v>12060</v>
      </c>
      <c r="L17" s="28">
        <f t="shared" si="2"/>
        <v>1.7317383902499522E-2</v>
      </c>
      <c r="M17" s="28">
        <f t="shared" si="3"/>
        <v>4.8085053609479463E-2</v>
      </c>
      <c r="N17" s="28">
        <f t="shared" si="4"/>
        <v>9.0645681364645934E-3</v>
      </c>
    </row>
    <row r="18" spans="1:14" x14ac:dyDescent="0.25">
      <c r="A18">
        <v>11</v>
      </c>
      <c r="B18" t="s">
        <v>287</v>
      </c>
      <c r="C18" s="24">
        <f>INDEX(TOD_input!$B$4:$K$43,MATCH(TOD!A18,todBins,0), MATCH($B$3,todPurpose,0))</f>
        <v>11815.798339999999</v>
      </c>
      <c r="D18" s="18">
        <f>INDEX(TOD_input!$M$4:$V$43,MATCH(TOD!A18,todBins,0), MATCH($B$3,todPurpose,0))</f>
        <v>23232.39975</v>
      </c>
      <c r="E18" s="18">
        <f>INDEX(TOD_input!$X$4:$AG$43,MATCH(TOD!A18,todBins,0), MATCH($B$3,todPurpose,0))</f>
        <v>2108.6318999999999</v>
      </c>
      <c r="F18" s="28">
        <f t="shared" si="1"/>
        <v>1.00430999513921E-2</v>
      </c>
      <c r="G18" s="28">
        <f t="shared" si="0"/>
        <v>1.974689361531088E-2</v>
      </c>
      <c r="H18" s="28">
        <f t="shared" si="0"/>
        <v>1.7992611078461007E-3</v>
      </c>
      <c r="I18" s="24">
        <f>INDEX(TOD_input!$B$48:$K$87,MATCH(TOD!A18,todBins,0), MATCH($B$3,todPurpose,0))*5</f>
        <v>20545</v>
      </c>
      <c r="J18" s="18">
        <f>INDEX(TOD_input!$M$48:$V$87,MATCH(TOD!A18,todBins,0),MATCH($B$3,todPurpose,0))*5</f>
        <v>26425</v>
      </c>
      <c r="K18" s="18">
        <f>INDEX(TOD_input!$X$48:$AG$88,MATCH(TOD!A18,todBins,0), MATCH($B$3,todPurpose,0))*5</f>
        <v>9805</v>
      </c>
      <c r="L18" s="28">
        <f t="shared" si="2"/>
        <v>1.5442085602293952E-2</v>
      </c>
      <c r="M18" s="28">
        <f t="shared" si="3"/>
        <v>1.9861626285744352E-2</v>
      </c>
      <c r="N18" s="28">
        <f t="shared" si="4"/>
        <v>7.3696592519100611E-3</v>
      </c>
    </row>
    <row r="19" spans="1:14" x14ac:dyDescent="0.25">
      <c r="A19">
        <v>12</v>
      </c>
      <c r="B19" t="s">
        <v>288</v>
      </c>
      <c r="C19" s="24">
        <f>INDEX(TOD_input!$B$4:$K$43,MATCH(TOD!A19,todBins,0), MATCH($B$3,todPurpose,0))</f>
        <v>13174.12738</v>
      </c>
      <c r="D19" s="18">
        <f>INDEX(TOD_input!$M$4:$V$43,MATCH(TOD!A19,todBins,0), MATCH($B$3,todPurpose,0))</f>
        <v>14029.343339999999</v>
      </c>
      <c r="E19" s="18">
        <f>INDEX(TOD_input!$X$4:$AG$43,MATCH(TOD!A19,todBins,0), MATCH($B$3,todPurpose,0))</f>
        <v>2371.9530300000001</v>
      </c>
      <c r="F19" s="28">
        <f t="shared" si="1"/>
        <v>1.1197641855633714E-2</v>
      </c>
      <c r="G19" s="28">
        <f t="shared" si="0"/>
        <v>1.1924551635164172E-2</v>
      </c>
      <c r="H19" s="28">
        <f t="shared" si="0"/>
        <v>2.0239487207400759E-3</v>
      </c>
      <c r="I19" s="24">
        <f>INDEX(TOD_input!$B$48:$K$87,MATCH(TOD!A19,todBins,0), MATCH($B$3,todPurpose,0))*5</f>
        <v>20645</v>
      </c>
      <c r="J19" s="18">
        <f>INDEX(TOD_input!$M$48:$V$87,MATCH(TOD!A19,todBins,0),MATCH($B$3,todPurpose,0))*5</f>
        <v>20845</v>
      </c>
      <c r="K19" s="18">
        <f>INDEX(TOD_input!$X$48:$AG$88,MATCH(TOD!A19,todBins,0), MATCH($B$3,todPurpose,0))*5</f>
        <v>8235</v>
      </c>
      <c r="L19" s="28">
        <f t="shared" si="2"/>
        <v>1.5517247858815216E-2</v>
      </c>
      <c r="M19" s="28">
        <f t="shared" si="3"/>
        <v>1.5667572371857747E-2</v>
      </c>
      <c r="N19" s="28">
        <f t="shared" si="4"/>
        <v>6.1896118245261958E-3</v>
      </c>
    </row>
    <row r="20" spans="1:14" x14ac:dyDescent="0.25">
      <c r="A20">
        <v>13</v>
      </c>
      <c r="B20" t="s">
        <v>289</v>
      </c>
      <c r="C20" s="24">
        <f>INDEX(TOD_input!$B$4:$K$43,MATCH(TOD!A20,todBins,0), MATCH($B$3,todPurpose,0))</f>
        <v>21609.325720000001</v>
      </c>
      <c r="D20" s="18">
        <f>INDEX(TOD_input!$M$4:$V$43,MATCH(TOD!A20,todBins,0), MATCH($B$3,todPurpose,0))</f>
        <v>11018.753500000001</v>
      </c>
      <c r="E20" s="18">
        <f>INDEX(TOD_input!$X$4:$AG$43,MATCH(TOD!A20,todBins,0), MATCH($B$3,todPurpose,0))</f>
        <v>624.78084999999999</v>
      </c>
      <c r="F20" s="28">
        <f t="shared" si="1"/>
        <v>1.8367325833029417E-2</v>
      </c>
      <c r="G20" s="28">
        <f t="shared" si="0"/>
        <v>9.3656340059246092E-3</v>
      </c>
      <c r="H20" s="28">
        <f t="shared" si="0"/>
        <v>5.3311527931073624E-4</v>
      </c>
      <c r="I20" s="24">
        <f>INDEX(TOD_input!$B$48:$K$87,MATCH(TOD!A20,todBins,0), MATCH($B$3,todPurpose,0))*5</f>
        <v>23530</v>
      </c>
      <c r="J20" s="18">
        <f>INDEX(TOD_input!$M$48:$V$87,MATCH(TOD!A20,todBins,0),MATCH($B$3,todPurpose,0))*5</f>
        <v>17240</v>
      </c>
      <c r="K20" s="18">
        <f>INDEX(TOD_input!$X$48:$AG$88,MATCH(TOD!A20,todBins,0), MATCH($B$3,todPurpose,0))*5</f>
        <v>6940</v>
      </c>
      <c r="L20" s="28">
        <f t="shared" si="2"/>
        <v>1.7685678959453721E-2</v>
      </c>
      <c r="M20" s="28">
        <f t="shared" si="3"/>
        <v>1.2957973024266135E-2</v>
      </c>
      <c r="N20" s="28">
        <f t="shared" si="4"/>
        <v>5.2162606025758108E-3</v>
      </c>
    </row>
    <row r="21" spans="1:14" x14ac:dyDescent="0.25">
      <c r="A21">
        <v>14</v>
      </c>
      <c r="B21" t="s">
        <v>290</v>
      </c>
      <c r="C21" s="24">
        <f>INDEX(TOD_input!$B$4:$K$43,MATCH(TOD!A21,todBins,0), MATCH($B$3,todPurpose,0))</f>
        <v>53793.913710000001</v>
      </c>
      <c r="D21" s="18">
        <f>INDEX(TOD_input!$M$4:$V$43,MATCH(TOD!A21,todBins,0), MATCH($B$3,todPurpose,0))</f>
        <v>29292.912400000001</v>
      </c>
      <c r="E21" s="18">
        <f>INDEX(TOD_input!$X$4:$AG$43,MATCH(TOD!A21,todBins,0), MATCH($B$3,todPurpose,0))</f>
        <v>3035.81475</v>
      </c>
      <c r="F21" s="28">
        <f t="shared" si="1"/>
        <v>4.5723330461485509E-2</v>
      </c>
      <c r="G21" s="28">
        <f t="shared" si="0"/>
        <v>2.4898160804306103E-2</v>
      </c>
      <c r="H21" s="28">
        <f t="shared" si="0"/>
        <v>2.5904110671476294E-3</v>
      </c>
      <c r="I21" s="24">
        <f>INDEX(TOD_input!$B$48:$K$87,MATCH(TOD!A21,todBins,0), MATCH($B$3,todPurpose,0))*5</f>
        <v>45620</v>
      </c>
      <c r="J21" s="18">
        <f>INDEX(TOD_input!$M$48:$V$87,MATCH(TOD!A21,todBins,0),MATCH($B$3,todPurpose,0))*5</f>
        <v>29760</v>
      </c>
      <c r="K21" s="18">
        <f>INDEX(TOD_input!$X$48:$AG$88,MATCH(TOD!A21,todBins,0), MATCH($B$3,todPurpose,0))*5</f>
        <v>6140</v>
      </c>
      <c r="L21" s="28">
        <f t="shared" si="2"/>
        <v>3.4289021425001225E-2</v>
      </c>
      <c r="M21" s="28">
        <f t="shared" si="3"/>
        <v>2.2368287540728549E-2</v>
      </c>
      <c r="N21" s="28">
        <f t="shared" si="4"/>
        <v>4.6149625504056883E-3</v>
      </c>
    </row>
    <row r="22" spans="1:14" x14ac:dyDescent="0.25">
      <c r="A22">
        <v>15</v>
      </c>
      <c r="B22" t="s">
        <v>291</v>
      </c>
      <c r="C22" s="24">
        <f>INDEX(TOD_input!$B$4:$K$43,MATCH(TOD!A22,todBins,0), MATCH($B$3,todPurpose,0))</f>
        <v>48240.82836</v>
      </c>
      <c r="D22" s="18">
        <f>INDEX(TOD_input!$M$4:$V$43,MATCH(TOD!A22,todBins,0), MATCH($B$3,todPurpose,0))</f>
        <v>53579.288619999999</v>
      </c>
      <c r="E22" s="18">
        <f>INDEX(TOD_input!$X$4:$AG$43,MATCH(TOD!A22,todBins,0), MATCH($B$3,todPurpose,0))</f>
        <v>1295.9601</v>
      </c>
      <c r="F22" s="28">
        <f t="shared" si="1"/>
        <v>4.1003362364208283E-2</v>
      </c>
      <c r="G22" s="28">
        <f t="shared" si="0"/>
        <v>4.5540905104440484E-2</v>
      </c>
      <c r="H22" s="28">
        <f t="shared" si="0"/>
        <v>1.1058215543691356E-3</v>
      </c>
      <c r="I22" s="24">
        <f>INDEX(TOD_input!$B$48:$K$87,MATCH(TOD!A22,todBins,0), MATCH($B$3,todPurpose,0))*5</f>
        <v>48905</v>
      </c>
      <c r="J22" s="18">
        <f>INDEX(TOD_input!$M$48:$V$87,MATCH(TOD!A22,todBins,0),MATCH($B$3,todPurpose,0))*5</f>
        <v>44630</v>
      </c>
      <c r="K22" s="18">
        <f>INDEX(TOD_input!$X$48:$AG$88,MATCH(TOD!A22,todBins,0), MATCH($B$3,todPurpose,0))*5</f>
        <v>5080</v>
      </c>
      <c r="L22" s="28">
        <f t="shared" si="2"/>
        <v>3.6758101551724785E-2</v>
      </c>
      <c r="M22" s="28">
        <f t="shared" si="3"/>
        <v>3.3544915085440698E-2</v>
      </c>
      <c r="N22" s="28">
        <f t="shared" si="4"/>
        <v>3.8182426312802762E-3</v>
      </c>
    </row>
    <row r="23" spans="1:14" x14ac:dyDescent="0.25">
      <c r="A23">
        <v>16</v>
      </c>
      <c r="B23" t="s">
        <v>292</v>
      </c>
      <c r="C23" s="24">
        <f>INDEX(TOD_input!$B$4:$K$43,MATCH(TOD!A23,todBins,0), MATCH($B$3,todPurpose,0))</f>
        <v>15328.382250000001</v>
      </c>
      <c r="D23" s="18">
        <f>INDEX(TOD_input!$M$4:$V$43,MATCH(TOD!A23,todBins,0), MATCH($B$3,todPurpose,0))</f>
        <v>35847.166870000001</v>
      </c>
      <c r="E23" s="18">
        <f>INDEX(TOD_input!$X$4:$AG$43,MATCH(TOD!A23,todBins,0), MATCH($B$3,todPurpose,0))</f>
        <v>2535.1372099999999</v>
      </c>
      <c r="F23" s="28">
        <f t="shared" si="1"/>
        <v>1.30286985779663E-2</v>
      </c>
      <c r="G23" s="28">
        <f t="shared" si="0"/>
        <v>3.0469094807659147E-2</v>
      </c>
      <c r="H23" s="28">
        <f t="shared" si="0"/>
        <v>2.1631911122118909E-3</v>
      </c>
      <c r="I23" s="24">
        <f>INDEX(TOD_input!$B$48:$K$87,MATCH(TOD!A23,todBins,0), MATCH($B$3,todPurpose,0))*5</f>
        <v>19415</v>
      </c>
      <c r="J23" s="18">
        <f>INDEX(TOD_input!$M$48:$V$87,MATCH(TOD!A23,todBins,0),MATCH($B$3,todPurpose,0))*5</f>
        <v>40805</v>
      </c>
      <c r="K23" s="18">
        <f>INDEX(TOD_input!$X$48:$AG$88,MATCH(TOD!A23,todBins,0), MATCH($B$3,todPurpose,0))*5</f>
        <v>4360</v>
      </c>
      <c r="L23" s="28">
        <f t="shared" si="2"/>
        <v>1.4592752103603654E-2</v>
      </c>
      <c r="M23" s="28">
        <f t="shared" si="3"/>
        <v>3.0669958773502298E-2</v>
      </c>
      <c r="N23" s="28">
        <f t="shared" si="4"/>
        <v>3.2770743843271661E-3</v>
      </c>
    </row>
    <row r="24" spans="1:14" x14ac:dyDescent="0.25">
      <c r="A24">
        <v>17</v>
      </c>
      <c r="B24" t="s">
        <v>293</v>
      </c>
      <c r="C24" s="24">
        <f>INDEX(TOD_input!$B$4:$K$43,MATCH(TOD!A24,todBins,0), MATCH($B$3,todPurpose,0))</f>
        <v>19603.039929999999</v>
      </c>
      <c r="D24" s="18">
        <f>INDEX(TOD_input!$M$4:$V$43,MATCH(TOD!A24,todBins,0), MATCH($B$3,todPurpose,0))</f>
        <v>32906.180310000003</v>
      </c>
      <c r="E24" s="18">
        <f>INDEX(TOD_input!$X$4:$AG$43,MATCH(TOD!A24,todBins,0), MATCH($B$3,todPurpose,0))</f>
        <v>524.00185999999997</v>
      </c>
      <c r="F24" s="28">
        <f t="shared" si="1"/>
        <v>1.6662038713172591E-2</v>
      </c>
      <c r="G24" s="28">
        <f t="shared" si="1"/>
        <v>2.7969338030515233E-2</v>
      </c>
      <c r="H24" s="28">
        <f t="shared" si="1"/>
        <v>4.4712221565889113E-4</v>
      </c>
      <c r="I24" s="24">
        <f>INDEX(TOD_input!$B$48:$K$87,MATCH(TOD!A24,todBins,0), MATCH($B$3,todPurpose,0))*5</f>
        <v>16495</v>
      </c>
      <c r="J24" s="18">
        <f>INDEX(TOD_input!$M$48:$V$87,MATCH(TOD!A24,todBins,0),MATCH($B$3,todPurpose,0))*5</f>
        <v>24725</v>
      </c>
      <c r="K24" s="18">
        <f>INDEX(TOD_input!$X$48:$AG$88,MATCH(TOD!A24,todBins,0), MATCH($B$3,todPurpose,0))*5</f>
        <v>3555</v>
      </c>
      <c r="L24" s="28">
        <f t="shared" si="2"/>
        <v>1.2398014213182708E-2</v>
      </c>
      <c r="M24" s="28">
        <f t="shared" si="3"/>
        <v>1.8583867924882841E-2</v>
      </c>
      <c r="N24" s="28">
        <f t="shared" si="4"/>
        <v>2.6720182193309809E-3</v>
      </c>
    </row>
    <row r="25" spans="1:14" x14ac:dyDescent="0.25">
      <c r="A25">
        <v>18</v>
      </c>
      <c r="B25" t="s">
        <v>294</v>
      </c>
      <c r="C25" s="24">
        <f>INDEX(TOD_input!$B$4:$K$43,MATCH(TOD!A25,todBins,0), MATCH($B$3,todPurpose,0))</f>
        <v>13014.246709999999</v>
      </c>
      <c r="D25" s="18">
        <f>INDEX(TOD_input!$M$4:$V$43,MATCH(TOD!A25,todBins,0), MATCH($B$3,todPurpose,0))</f>
        <v>17583.24134</v>
      </c>
      <c r="E25" s="18">
        <f>INDEX(TOD_input!$X$4:$AG$43,MATCH(TOD!A25,todBins,0), MATCH($B$3,todPurpose,0))</f>
        <v>0</v>
      </c>
      <c r="F25" s="28">
        <f t="shared" si="1"/>
        <v>1.1061747732959855E-2</v>
      </c>
      <c r="G25" s="28">
        <f t="shared" si="1"/>
        <v>1.4945266089152771E-2</v>
      </c>
      <c r="H25" s="28">
        <f t="shared" si="1"/>
        <v>0</v>
      </c>
      <c r="I25" s="24">
        <f>INDEX(TOD_input!$B$48:$K$87,MATCH(TOD!A25,todBins,0), MATCH($B$3,todPurpose,0))*5</f>
        <v>15125</v>
      </c>
      <c r="J25" s="18">
        <f>INDEX(TOD_input!$M$48:$V$87,MATCH(TOD!A25,todBins,0),MATCH($B$3,todPurpose,0))*5</f>
        <v>17970</v>
      </c>
      <c r="K25" s="18">
        <f>INDEX(TOD_input!$X$48:$AG$88,MATCH(TOD!A25,todBins,0), MATCH($B$3,todPurpose,0))*5</f>
        <v>3125</v>
      </c>
      <c r="L25" s="28">
        <f t="shared" si="2"/>
        <v>1.1368291298841374E-2</v>
      </c>
      <c r="M25" s="28">
        <f t="shared" si="3"/>
        <v>1.350665749687137E-2</v>
      </c>
      <c r="N25" s="28">
        <f t="shared" si="4"/>
        <v>2.3488205162895399E-3</v>
      </c>
    </row>
    <row r="26" spans="1:14" x14ac:dyDescent="0.25">
      <c r="A26">
        <v>19</v>
      </c>
      <c r="B26" t="s">
        <v>295</v>
      </c>
      <c r="C26" s="24">
        <f>INDEX(TOD_input!$B$4:$K$43,MATCH(TOD!A26,todBins,0), MATCH($B$3,todPurpose,0))</f>
        <v>20820.226549999999</v>
      </c>
      <c r="D26" s="18">
        <f>INDEX(TOD_input!$M$4:$V$43,MATCH(TOD!A26,todBins,0), MATCH($B$3,todPurpose,0))</f>
        <v>12371.54903</v>
      </c>
      <c r="E26" s="18">
        <f>INDEX(TOD_input!$X$4:$AG$43,MATCH(TOD!A26,todBins,0), MATCH($B$3,todPurpose,0))</f>
        <v>215.40135000000001</v>
      </c>
      <c r="F26" s="28">
        <f t="shared" si="1"/>
        <v>1.7696613486065771E-2</v>
      </c>
      <c r="G26" s="28">
        <f t="shared" si="1"/>
        <v>1.0515472580571988E-2</v>
      </c>
      <c r="H26" s="28">
        <f t="shared" si="1"/>
        <v>1.8379844847863001E-4</v>
      </c>
      <c r="I26" s="24">
        <f>INDEX(TOD_input!$B$48:$K$87,MATCH(TOD!A26,todBins,0), MATCH($B$3,todPurpose,0))*5</f>
        <v>26370</v>
      </c>
      <c r="J26" s="18">
        <f>INDEX(TOD_input!$M$48:$V$87,MATCH(TOD!A26,todBins,0),MATCH($B$3,todPurpose,0))*5</f>
        <v>19200</v>
      </c>
      <c r="K26" s="18">
        <f>INDEX(TOD_input!$X$48:$AG$88,MATCH(TOD!A26,todBins,0), MATCH($B$3,todPurpose,0))*5</f>
        <v>2595</v>
      </c>
      <c r="L26" s="28">
        <f t="shared" si="2"/>
        <v>1.9820287044657655E-2</v>
      </c>
      <c r="M26" s="28">
        <f t="shared" si="3"/>
        <v>1.4431153252082935E-2</v>
      </c>
      <c r="N26" s="28">
        <f t="shared" si="4"/>
        <v>1.9504605567268341E-3</v>
      </c>
    </row>
    <row r="27" spans="1:14" x14ac:dyDescent="0.25">
      <c r="A27">
        <v>20</v>
      </c>
      <c r="B27" t="s">
        <v>296</v>
      </c>
      <c r="C27" s="24">
        <f>INDEX(TOD_input!$B$4:$K$43,MATCH(TOD!A27,todBins,0), MATCH($B$3,todPurpose,0))</f>
        <v>55569.700490000003</v>
      </c>
      <c r="D27" s="18">
        <f>INDEX(TOD_input!$M$4:$V$43,MATCH(TOD!A27,todBins,0), MATCH($B$3,todPurpose,0))</f>
        <v>20166.60817</v>
      </c>
      <c r="E27" s="18">
        <f>INDEX(TOD_input!$X$4:$AG$43,MATCH(TOD!A27,todBins,0), MATCH($B$3,todPurpose,0))</f>
        <v>3651.4164700000001</v>
      </c>
      <c r="F27" s="28">
        <f t="shared" si="1"/>
        <v>4.7232699833805111E-2</v>
      </c>
      <c r="G27" s="28">
        <f t="shared" si="1"/>
        <v>1.7141056042419774E-2</v>
      </c>
      <c r="H27" s="28">
        <f t="shared" si="1"/>
        <v>3.1156939449790639E-3</v>
      </c>
      <c r="I27" s="24">
        <f>INDEX(TOD_input!$B$48:$K$87,MATCH(TOD!A27,todBins,0), MATCH($B$3,todPurpose,0))*5</f>
        <v>46865</v>
      </c>
      <c r="J27" s="18">
        <f>INDEX(TOD_input!$M$48:$V$87,MATCH(TOD!A27,todBins,0),MATCH($B$3,todPurpose,0))*5</f>
        <v>20215</v>
      </c>
      <c r="K27" s="18">
        <f>INDEX(TOD_input!$X$48:$AG$88,MATCH(TOD!A27,todBins,0), MATCH($B$3,todPurpose,0))*5</f>
        <v>1915</v>
      </c>
      <c r="L27" s="28">
        <f t="shared" si="2"/>
        <v>3.5224791518690977E-2</v>
      </c>
      <c r="M27" s="28">
        <f t="shared" si="3"/>
        <v>1.5194050155773776E-2</v>
      </c>
      <c r="N27" s="28">
        <f t="shared" si="4"/>
        <v>1.4393572123822301E-3</v>
      </c>
    </row>
    <row r="28" spans="1:14" x14ac:dyDescent="0.25">
      <c r="A28">
        <v>21</v>
      </c>
      <c r="B28" t="s">
        <v>297</v>
      </c>
      <c r="C28" s="24">
        <f>INDEX(TOD_input!$B$4:$K$43,MATCH(TOD!A28,todBins,0), MATCH($B$3,todPurpose,0))</f>
        <v>66118.601070000004</v>
      </c>
      <c r="D28" s="18">
        <f>INDEX(TOD_input!$M$4:$V$43,MATCH(TOD!A28,todBins,0), MATCH($B$3,todPurpose,0))</f>
        <v>51135.666499999999</v>
      </c>
      <c r="E28" s="18">
        <f>INDEX(TOD_input!$X$4:$AG$43,MATCH(TOD!A28,todBins,0), MATCH($B$3,todPurpose,0))</f>
        <v>1013.08109</v>
      </c>
      <c r="F28" s="28">
        <f t="shared" si="1"/>
        <v>5.61989719259402E-2</v>
      </c>
      <c r="G28" s="28">
        <f t="shared" si="1"/>
        <v>4.3463894267896985E-2</v>
      </c>
      <c r="H28" s="28">
        <f t="shared" si="1"/>
        <v>8.6444552239361234E-4</v>
      </c>
      <c r="I28" s="24">
        <f>INDEX(TOD_input!$B$48:$K$87,MATCH(TOD!A28,todBins,0), MATCH($B$3,todPurpose,0))*5</f>
        <v>56850</v>
      </c>
      <c r="J28" s="18">
        <f>INDEX(TOD_input!$M$48:$V$87,MATCH(TOD!A28,todBins,0),MATCH($B$3,todPurpose,0))*5</f>
        <v>35040</v>
      </c>
      <c r="K28" s="18">
        <f>INDEX(TOD_input!$X$48:$AG$88,MATCH(TOD!A28,todBins,0), MATCH($B$3,todPurpose,0))*5</f>
        <v>1630</v>
      </c>
      <c r="L28" s="28">
        <f t="shared" si="2"/>
        <v>4.272974283233931E-2</v>
      </c>
      <c r="M28" s="28">
        <f t="shared" si="3"/>
        <v>2.6336854685051356E-2</v>
      </c>
      <c r="N28" s="28">
        <f t="shared" si="4"/>
        <v>1.225144781296624E-3</v>
      </c>
    </row>
    <row r="29" spans="1:14" x14ac:dyDescent="0.25">
      <c r="A29">
        <v>22</v>
      </c>
      <c r="B29" t="s">
        <v>298</v>
      </c>
      <c r="C29" s="24">
        <f>INDEX(TOD_input!$B$4:$K$43,MATCH(TOD!A29,todBins,0), MATCH($B$3,todPurpose,0))</f>
        <v>72047.34938</v>
      </c>
      <c r="D29" s="18">
        <f>INDEX(TOD_input!$M$4:$V$43,MATCH(TOD!A29,todBins,0), MATCH($B$3,todPurpose,0))</f>
        <v>91894.416649999999</v>
      </c>
      <c r="E29" s="18">
        <f>INDEX(TOD_input!$X$4:$AG$43,MATCH(TOD!A29,todBins,0), MATCH($B$3,todPurpose,0))</f>
        <v>1210.4382000000001</v>
      </c>
      <c r="F29" s="28">
        <f t="shared" si="1"/>
        <v>6.1238243090750627E-2</v>
      </c>
      <c r="G29" s="28">
        <f t="shared" si="1"/>
        <v>7.8107698255691499E-2</v>
      </c>
      <c r="H29" s="28">
        <f t="shared" si="1"/>
        <v>1.032847116042985E-3</v>
      </c>
      <c r="I29" s="24">
        <f>INDEX(TOD_input!$B$48:$K$87,MATCH(TOD!A29,todBins,0), MATCH($B$3,todPurpose,0))*5</f>
        <v>57640</v>
      </c>
      <c r="J29" s="18">
        <f>INDEX(TOD_input!$M$48:$V$87,MATCH(TOD!A29,todBins,0),MATCH($B$3,todPurpose,0))*5</f>
        <v>71920</v>
      </c>
      <c r="K29" s="18">
        <f>INDEX(TOD_input!$X$48:$AG$88,MATCH(TOD!A29,todBins,0), MATCH($B$3,todPurpose,0))*5</f>
        <v>1435</v>
      </c>
      <c r="L29" s="28">
        <f t="shared" si="2"/>
        <v>4.3323524658857311E-2</v>
      </c>
      <c r="M29" s="28">
        <f t="shared" si="3"/>
        <v>5.4056694890093987E-2</v>
      </c>
      <c r="N29" s="28">
        <f t="shared" si="4"/>
        <v>1.0785783810801568E-3</v>
      </c>
    </row>
    <row r="30" spans="1:14" x14ac:dyDescent="0.25">
      <c r="A30">
        <v>23</v>
      </c>
      <c r="B30" t="s">
        <v>299</v>
      </c>
      <c r="C30" s="24">
        <f>INDEX(TOD_input!$B$4:$K$43,MATCH(TOD!A30,todBins,0), MATCH($B$3,todPurpose,0))</f>
        <v>42586.123529999997</v>
      </c>
      <c r="D30" s="18">
        <f>INDEX(TOD_input!$M$4:$V$43,MATCH(TOD!A30,todBins,0), MATCH($B$3,todPurpose,0))</f>
        <v>62075.770089999998</v>
      </c>
      <c r="E30" s="18">
        <f>INDEX(TOD_input!$X$4:$AG$43,MATCH(TOD!A30,todBins,0), MATCH($B$3,todPurpose,0))</f>
        <v>270.01051000000001</v>
      </c>
      <c r="F30" s="28">
        <f t="shared" si="1"/>
        <v>3.6197020535315011E-2</v>
      </c>
      <c r="G30" s="28">
        <f t="shared" si="1"/>
        <v>5.2762678037843548E-2</v>
      </c>
      <c r="H30" s="28">
        <f t="shared" si="1"/>
        <v>2.303955514249266E-4</v>
      </c>
      <c r="I30" s="24">
        <f>INDEX(TOD_input!$B$48:$K$87,MATCH(TOD!A30,todBins,0), MATCH($B$3,todPurpose,0))*5</f>
        <v>48845</v>
      </c>
      <c r="J30" s="18">
        <f>INDEX(TOD_input!$M$48:$V$87,MATCH(TOD!A30,todBins,0),MATCH($B$3,todPurpose,0))*5</f>
        <v>55065</v>
      </c>
      <c r="K30" s="18">
        <f>INDEX(TOD_input!$X$48:$AG$88,MATCH(TOD!A30,todBins,0), MATCH($B$3,todPurpose,0))*5</f>
        <v>995</v>
      </c>
      <c r="L30" s="28">
        <f t="shared" si="2"/>
        <v>3.6713004197812024E-2</v>
      </c>
      <c r="M30" s="28">
        <f t="shared" si="3"/>
        <v>4.1388096553434728E-2</v>
      </c>
      <c r="N30" s="28">
        <f t="shared" si="4"/>
        <v>7.4786445238658955E-4</v>
      </c>
    </row>
    <row r="31" spans="1:14" x14ac:dyDescent="0.25">
      <c r="A31">
        <v>24</v>
      </c>
      <c r="B31" t="s">
        <v>300</v>
      </c>
      <c r="C31" s="24">
        <f>INDEX(TOD_input!$B$4:$K$43,MATCH(TOD!A31,todBins,0), MATCH($B$3,todPurpose,0))</f>
        <v>37776.088009999999</v>
      </c>
      <c r="D31" s="18">
        <f>INDEX(TOD_input!$M$4:$V$43,MATCH(TOD!A31,todBins,0), MATCH($B$3,todPurpose,0))</f>
        <v>38330.495130000003</v>
      </c>
      <c r="E31" s="18">
        <f>INDEX(TOD_input!$X$4:$AG$43,MATCH(TOD!A31,todBins,0), MATCH($B$3,todPurpose,0))</f>
        <v>148.90297000000001</v>
      </c>
      <c r="F31" s="28">
        <f t="shared" si="1"/>
        <v>3.2108624126790469E-2</v>
      </c>
      <c r="G31" s="28">
        <f t="shared" si="1"/>
        <v>3.2579854758839615E-2</v>
      </c>
      <c r="H31" s="28">
        <f t="shared" si="1"/>
        <v>1.2705646858694243E-4</v>
      </c>
      <c r="I31" s="24">
        <f>INDEX(TOD_input!$B$48:$K$87,MATCH(TOD!A31,todBins,0), MATCH($B$3,todPurpose,0))*5</f>
        <v>47480</v>
      </c>
      <c r="J31" s="18">
        <f>INDEX(TOD_input!$M$48:$V$87,MATCH(TOD!A31,todBins,0),MATCH($B$3,todPurpose,0))*5</f>
        <v>44995</v>
      </c>
      <c r="K31" s="18">
        <f>INDEX(TOD_input!$X$48:$AG$88,MATCH(TOD!A31,todBins,0), MATCH($B$3,todPurpose,0))*5</f>
        <v>685</v>
      </c>
      <c r="L31" s="28">
        <f t="shared" si="2"/>
        <v>3.5687039396296756E-2</v>
      </c>
      <c r="M31" s="28">
        <f t="shared" si="3"/>
        <v>3.3819257321743311E-2</v>
      </c>
      <c r="N31" s="28">
        <f t="shared" si="4"/>
        <v>5.1486145717066713E-4</v>
      </c>
    </row>
    <row r="32" spans="1:14" x14ac:dyDescent="0.25">
      <c r="A32">
        <v>25</v>
      </c>
      <c r="B32" t="s">
        <v>301</v>
      </c>
      <c r="C32" s="24">
        <f>INDEX(TOD_input!$B$4:$K$43,MATCH(TOD!A32,todBins,0), MATCH($B$3,todPurpose,0))</f>
        <v>32216.089550000001</v>
      </c>
      <c r="D32" s="18">
        <f>INDEX(TOD_input!$M$4:$V$43,MATCH(TOD!A32,todBins,0), MATCH($B$3,todPurpose,0))</f>
        <v>35266.977290000003</v>
      </c>
      <c r="E32" s="18">
        <f>INDEX(TOD_input!$X$4:$AG$43,MATCH(TOD!A32,todBins,0), MATCH($B$3,todPurpose,0))</f>
        <v>1313.94082</v>
      </c>
      <c r="F32" s="28">
        <f t="shared" si="1"/>
        <v>2.7382780078290384E-2</v>
      </c>
      <c r="G32" s="28">
        <f t="shared" si="1"/>
        <v>2.9975949801708056E-2</v>
      </c>
      <c r="H32" s="28">
        <f t="shared" si="1"/>
        <v>1.1211642086214357E-3</v>
      </c>
      <c r="I32" s="24">
        <f>INDEX(TOD_input!$B$48:$K$87,MATCH(TOD!A32,todBins,0), MATCH($B$3,todPurpose,0))*5</f>
        <v>47730</v>
      </c>
      <c r="J32" s="18">
        <f>INDEX(TOD_input!$M$48:$V$87,MATCH(TOD!A32,todBins,0),MATCH($B$3,todPurpose,0))*5</f>
        <v>50090</v>
      </c>
      <c r="K32" s="18">
        <f>INDEX(TOD_input!$X$48:$AG$88,MATCH(TOD!A32,todBins,0), MATCH($B$3,todPurpose,0))*5</f>
        <v>540</v>
      </c>
      <c r="L32" s="28">
        <f t="shared" si="2"/>
        <v>3.5874945037599922E-2</v>
      </c>
      <c r="M32" s="28">
        <f t="shared" si="3"/>
        <v>3.7648774291501777E-2</v>
      </c>
      <c r="N32" s="28">
        <f t="shared" si="4"/>
        <v>4.0587618521483251E-4</v>
      </c>
    </row>
    <row r="33" spans="1:14" x14ac:dyDescent="0.25">
      <c r="A33">
        <v>26</v>
      </c>
      <c r="B33" t="s">
        <v>302</v>
      </c>
      <c r="C33" s="24">
        <f>INDEX(TOD_input!$B$4:$K$43,MATCH(TOD!A33,todBins,0), MATCH($B$3,todPurpose,0))</f>
        <v>44829.358809999998</v>
      </c>
      <c r="D33" s="18">
        <f>INDEX(TOD_input!$M$4:$V$43,MATCH(TOD!A33,todBins,0), MATCH($B$3,todPurpose,0))</f>
        <v>37345.81018</v>
      </c>
      <c r="E33" s="18">
        <f>INDEX(TOD_input!$X$4:$AG$43,MATCH(TOD!A33,todBins,0), MATCH($B$3,todPurpose,0))</f>
        <v>607.66751999999997</v>
      </c>
      <c r="F33" s="28">
        <f t="shared" si="1"/>
        <v>3.8103708131299242E-2</v>
      </c>
      <c r="G33" s="28">
        <f t="shared" si="1"/>
        <v>3.1742899938782862E-2</v>
      </c>
      <c r="H33" s="28">
        <f t="shared" si="1"/>
        <v>5.1851275475690785E-4</v>
      </c>
      <c r="I33" s="24">
        <f>INDEX(TOD_input!$B$48:$K$87,MATCH(TOD!A33,todBins,0), MATCH($B$3,todPurpose,0))*5</f>
        <v>68190</v>
      </c>
      <c r="J33" s="18">
        <f>INDEX(TOD_input!$M$48:$V$87,MATCH(TOD!A33,todBins,0),MATCH($B$3,todPurpose,0))*5</f>
        <v>60540</v>
      </c>
      <c r="K33" s="18">
        <f>INDEX(TOD_input!$X$48:$AG$88,MATCH(TOD!A33,todBins,0), MATCH($B$3,todPurpose,0))*5</f>
        <v>475</v>
      </c>
      <c r="L33" s="28">
        <f t="shared" si="2"/>
        <v>5.1253142721850796E-2</v>
      </c>
      <c r="M33" s="28">
        <f t="shared" si="3"/>
        <v>4.5503230097974003E-2</v>
      </c>
      <c r="N33" s="28">
        <f t="shared" si="4"/>
        <v>3.5702071847601007E-4</v>
      </c>
    </row>
    <row r="34" spans="1:14" x14ac:dyDescent="0.25">
      <c r="A34">
        <v>27</v>
      </c>
      <c r="B34" t="s">
        <v>303</v>
      </c>
      <c r="C34" s="24">
        <f>INDEX(TOD_input!$B$4:$K$43,MATCH(TOD!A34,todBins,0), MATCH($B$3,todPurpose,0))</f>
        <v>50183.52317</v>
      </c>
      <c r="D34" s="18">
        <f>INDEX(TOD_input!$M$4:$V$43,MATCH(TOD!A34,todBins,0), MATCH($B$3,todPurpose,0))</f>
        <v>40354.185160000001</v>
      </c>
      <c r="E34" s="18">
        <f>INDEX(TOD_input!$X$4:$AG$43,MATCH(TOD!A34,todBins,0), MATCH($B$3,todPurpose,0))</f>
        <v>82.428719999999998</v>
      </c>
      <c r="F34" s="28">
        <f t="shared" si="1"/>
        <v>4.2654598919746919E-2</v>
      </c>
      <c r="G34" s="28">
        <f t="shared" si="1"/>
        <v>3.4299934998625228E-2</v>
      </c>
      <c r="H34" s="28">
        <f t="shared" si="1"/>
        <v>7.0335078429542886E-5</v>
      </c>
      <c r="I34" s="24">
        <f>INDEX(TOD_input!$B$48:$K$87,MATCH(TOD!A34,todBins,0), MATCH($B$3,todPurpose,0))*5</f>
        <v>63555</v>
      </c>
      <c r="J34" s="18">
        <f>INDEX(TOD_input!$M$48:$V$87,MATCH(TOD!A34,todBins,0),MATCH($B$3,todPurpose,0))*5</f>
        <v>68950</v>
      </c>
      <c r="K34" s="18">
        <f>INDEX(TOD_input!$X$48:$AG$88,MATCH(TOD!A34,todBins,0), MATCH($B$3,todPurpose,0))*5</f>
        <v>300</v>
      </c>
      <c r="L34" s="28">
        <f t="shared" si="2"/>
        <v>4.7769372132090149E-2</v>
      </c>
      <c r="M34" s="28">
        <f t="shared" si="3"/>
        <v>5.1824375871412413E-2</v>
      </c>
      <c r="N34" s="28">
        <f t="shared" si="4"/>
        <v>2.2548676956379586E-4</v>
      </c>
    </row>
    <row r="35" spans="1:14" x14ac:dyDescent="0.25">
      <c r="A35">
        <v>28</v>
      </c>
      <c r="B35" t="s">
        <v>304</v>
      </c>
      <c r="C35" s="24">
        <f>INDEX(TOD_input!$B$4:$K$43,MATCH(TOD!A35,todBins,0), MATCH($B$3,todPurpose,0))</f>
        <v>25953.972849999998</v>
      </c>
      <c r="D35" s="18">
        <f>INDEX(TOD_input!$M$4:$V$43,MATCH(TOD!A35,todBins,0), MATCH($B$3,todPurpose,0))</f>
        <v>51246.618349999997</v>
      </c>
      <c r="E35" s="18">
        <f>INDEX(TOD_input!$X$4:$AG$43,MATCH(TOD!A35,todBins,0), MATCH($B$3,todPurpose,0))</f>
        <v>0</v>
      </c>
      <c r="F35" s="28">
        <f t="shared" si="1"/>
        <v>2.206015505409065E-2</v>
      </c>
      <c r="G35" s="28">
        <f t="shared" si="1"/>
        <v>4.3558200254448023E-2</v>
      </c>
      <c r="H35" s="28">
        <f t="shared" si="1"/>
        <v>0</v>
      </c>
      <c r="I35" s="24">
        <f>INDEX(TOD_input!$B$48:$K$87,MATCH(TOD!A35,todBins,0), MATCH($B$3,todPurpose,0))*5</f>
        <v>38595</v>
      </c>
      <c r="J35" s="18">
        <f>INDEX(TOD_input!$M$48:$V$87,MATCH(TOD!A35,todBins,0),MATCH($B$3,todPurpose,0))*5</f>
        <v>73020</v>
      </c>
      <c r="K35" s="18">
        <f>INDEX(TOD_input!$X$48:$AG$88,MATCH(TOD!A35,todBins,0), MATCH($B$3,todPurpose,0))*5</f>
        <v>160</v>
      </c>
      <c r="L35" s="28">
        <f t="shared" si="2"/>
        <v>2.9008872904382334E-2</v>
      </c>
      <c r="M35" s="28">
        <f t="shared" si="3"/>
        <v>5.4883479711827908E-2</v>
      </c>
      <c r="N35" s="28">
        <f t="shared" si="4"/>
        <v>1.2025961043402446E-4</v>
      </c>
    </row>
    <row r="36" spans="1:14" x14ac:dyDescent="0.25">
      <c r="A36">
        <v>29</v>
      </c>
      <c r="B36" t="s">
        <v>305</v>
      </c>
      <c r="C36" s="24">
        <f>INDEX(TOD_input!$B$4:$K$43,MATCH(TOD!A36,todBins,0), MATCH($B$3,todPurpose,0))</f>
        <v>23704.773120000002</v>
      </c>
      <c r="D36" s="18">
        <f>INDEX(TOD_input!$M$4:$V$43,MATCH(TOD!A36,todBins,0), MATCH($B$3,todPurpose,0))</f>
        <v>34550.466710000001</v>
      </c>
      <c r="E36" s="18">
        <f>INDEX(TOD_input!$X$4:$AG$43,MATCH(TOD!A36,todBins,0), MATCH($B$3,todPurpose,0))</f>
        <v>0</v>
      </c>
      <c r="F36" s="28">
        <f t="shared" si="1"/>
        <v>2.0148397841498099E-2</v>
      </c>
      <c r="G36" s="28">
        <f t="shared" si="1"/>
        <v>2.9366935737308413E-2</v>
      </c>
      <c r="H36" s="28">
        <f t="shared" si="1"/>
        <v>0</v>
      </c>
      <c r="I36" s="24">
        <f>INDEX(TOD_input!$B$48:$K$87,MATCH(TOD!A36,todBins,0), MATCH($B$3,todPurpose,0))*5</f>
        <v>33870</v>
      </c>
      <c r="J36" s="18">
        <f>INDEX(TOD_input!$M$48:$V$87,MATCH(TOD!A36,todBins,0),MATCH($B$3,todPurpose,0))*5</f>
        <v>48815</v>
      </c>
      <c r="K36" s="18">
        <f>INDEX(TOD_input!$X$48:$AG$88,MATCH(TOD!A36,todBins,0), MATCH($B$3,todPurpose,0))*5</f>
        <v>135</v>
      </c>
      <c r="L36" s="28">
        <f t="shared" si="2"/>
        <v>2.5457456283752553E-2</v>
      </c>
      <c r="M36" s="28">
        <f t="shared" si="3"/>
        <v>3.6690455520855647E-2</v>
      </c>
      <c r="N36" s="28">
        <f t="shared" si="4"/>
        <v>1.0146904630370813E-4</v>
      </c>
    </row>
    <row r="37" spans="1:14" x14ac:dyDescent="0.25">
      <c r="A37">
        <v>30</v>
      </c>
      <c r="B37" t="s">
        <v>306</v>
      </c>
      <c r="C37" s="24">
        <f>INDEX(TOD_input!$B$4:$K$43,MATCH(TOD!A37,todBins,0), MATCH($B$3,todPurpose,0))</f>
        <v>15325.9475</v>
      </c>
      <c r="D37" s="18">
        <f>INDEX(TOD_input!$M$4:$V$43,MATCH(TOD!A37,todBins,0), MATCH($B$3,todPurpose,0))</f>
        <v>28482.549749999998</v>
      </c>
      <c r="E37" s="18">
        <f>INDEX(TOD_input!$X$4:$AG$43,MATCH(TOD!A37,todBins,0), MATCH($B$3,todPurpose,0))</f>
        <v>0</v>
      </c>
      <c r="F37" s="28">
        <f t="shared" si="1"/>
        <v>1.3026629108184992E-2</v>
      </c>
      <c r="G37" s="28">
        <f t="shared" si="1"/>
        <v>2.4209375090752275E-2</v>
      </c>
      <c r="H37" s="28">
        <f t="shared" si="1"/>
        <v>0</v>
      </c>
      <c r="I37" s="24">
        <f>INDEX(TOD_input!$B$48:$K$87,MATCH(TOD!A37,todBins,0), MATCH($B$3,todPurpose,0))*5</f>
        <v>29305</v>
      </c>
      <c r="J37" s="18">
        <f>INDEX(TOD_input!$M$48:$V$87,MATCH(TOD!A37,todBins,0),MATCH($B$3,todPurpose,0))*5</f>
        <v>40625</v>
      </c>
      <c r="K37" s="18">
        <f>INDEX(TOD_input!$X$48:$AG$88,MATCH(TOD!A37,todBins,0), MATCH($B$3,todPurpose,0))*5</f>
        <v>90</v>
      </c>
      <c r="L37" s="28">
        <f t="shared" si="2"/>
        <v>2.2026299273556791E-2</v>
      </c>
      <c r="M37" s="28">
        <f t="shared" si="3"/>
        <v>3.0534666711764021E-2</v>
      </c>
      <c r="N37" s="28">
        <f t="shared" si="4"/>
        <v>6.7646030869138757E-5</v>
      </c>
    </row>
    <row r="38" spans="1:14" x14ac:dyDescent="0.25">
      <c r="A38">
        <v>31</v>
      </c>
      <c r="B38" t="s">
        <v>307</v>
      </c>
      <c r="C38" s="24">
        <f>INDEX(TOD_input!$B$4:$K$43,MATCH(TOD!A38,todBins,0), MATCH($B$3,todPurpose,0))</f>
        <v>13090.30798</v>
      </c>
      <c r="D38" s="18">
        <f>INDEX(TOD_input!$M$4:$V$43,MATCH(TOD!A38,todBins,0), MATCH($B$3,todPurpose,0))</f>
        <v>14035.83763</v>
      </c>
      <c r="E38" s="18">
        <f>INDEX(TOD_input!$X$4:$AG$43,MATCH(TOD!A38,todBins,0), MATCH($B$3,todPurpose,0))</f>
        <v>0</v>
      </c>
      <c r="F38" s="28">
        <f t="shared" si="1"/>
        <v>1.1126397696936798E-2</v>
      </c>
      <c r="G38" s="28">
        <f t="shared" si="1"/>
        <v>1.1930071601035841E-2</v>
      </c>
      <c r="H38" s="28">
        <f t="shared" si="1"/>
        <v>0</v>
      </c>
      <c r="I38" s="24">
        <f>INDEX(TOD_input!$B$48:$K$87,MATCH(TOD!A38,todBins,0), MATCH($B$3,todPurpose,0))*5</f>
        <v>24440</v>
      </c>
      <c r="J38" s="18">
        <f>INDEX(TOD_input!$M$48:$V$87,MATCH(TOD!A38,todBins,0),MATCH($B$3,todPurpose,0))*5</f>
        <v>34175</v>
      </c>
      <c r="K38" s="18">
        <f>INDEX(TOD_input!$X$48:$AG$88,MATCH(TOD!A38,todBins,0), MATCH($B$3,todPurpose,0))*5</f>
        <v>65</v>
      </c>
      <c r="L38" s="28">
        <f t="shared" si="2"/>
        <v>1.8369655493797234E-2</v>
      </c>
      <c r="M38" s="28">
        <f t="shared" si="3"/>
        <v>2.5686701166142412E-2</v>
      </c>
      <c r="N38" s="28">
        <f t="shared" si="4"/>
        <v>4.8855466738822435E-5</v>
      </c>
    </row>
    <row r="39" spans="1:14" x14ac:dyDescent="0.25">
      <c r="A39">
        <v>32</v>
      </c>
      <c r="B39" t="s">
        <v>308</v>
      </c>
      <c r="C39" s="24">
        <f>INDEX(TOD_input!$B$4:$K$43,MATCH(TOD!A39,todBins,0), MATCH($B$3,todPurpose,0))</f>
        <v>15418.19989</v>
      </c>
      <c r="D39" s="18">
        <f>INDEX(TOD_input!$M$4:$V$43,MATCH(TOD!A39,todBins,0), MATCH($B$3,todPurpose,0))</f>
        <v>17406.326779999999</v>
      </c>
      <c r="E39" s="18">
        <f>INDEX(TOD_input!$X$4:$AG$43,MATCH(TOD!A39,todBins,0), MATCH($B$3,todPurpose,0))</f>
        <v>0</v>
      </c>
      <c r="F39" s="28">
        <f t="shared" si="1"/>
        <v>1.3105041073831725E-2</v>
      </c>
      <c r="G39" s="28">
        <f t="shared" si="1"/>
        <v>1.4794893633749426E-2</v>
      </c>
      <c r="H39" s="28">
        <f t="shared" si="1"/>
        <v>0</v>
      </c>
      <c r="I39" s="24">
        <f>INDEX(TOD_input!$B$48:$K$87,MATCH(TOD!A39,todBins,0), MATCH($B$3,todPurpose,0))*5</f>
        <v>21470</v>
      </c>
      <c r="J39" s="18">
        <f>INDEX(TOD_input!$M$48:$V$87,MATCH(TOD!A39,todBins,0),MATCH($B$3,todPurpose,0))*5</f>
        <v>28220</v>
      </c>
      <c r="K39" s="18">
        <f>INDEX(TOD_input!$X$48:$AG$88,MATCH(TOD!A39,todBins,0), MATCH($B$3,todPurpose,0))*5</f>
        <v>45</v>
      </c>
      <c r="L39" s="28">
        <f t="shared" si="2"/>
        <v>1.6137336475115657E-2</v>
      </c>
      <c r="M39" s="28">
        <f t="shared" si="3"/>
        <v>2.1210788790301062E-2</v>
      </c>
      <c r="N39" s="28">
        <f t="shared" si="4"/>
        <v>3.3823015434569378E-5</v>
      </c>
    </row>
    <row r="40" spans="1:14" x14ac:dyDescent="0.25">
      <c r="A40">
        <v>33</v>
      </c>
      <c r="B40" t="s">
        <v>309</v>
      </c>
      <c r="C40" s="24">
        <f>INDEX(TOD_input!$B$4:$K$43,MATCH(TOD!A40,todBins,0), MATCH($B$3,todPurpose,0))</f>
        <v>10736.457770000001</v>
      </c>
      <c r="D40" s="18">
        <f>INDEX(TOD_input!$M$4:$V$43,MATCH(TOD!A40,todBins,0), MATCH($B$3,todPurpose,0))</f>
        <v>15891.446599999999</v>
      </c>
      <c r="E40" s="18">
        <f>INDEX(TOD_input!$X$4:$AG$43,MATCH(TOD!A40,todBins,0), MATCH($B$3,todPurpose,0))</f>
        <v>0</v>
      </c>
      <c r="F40" s="28">
        <f t="shared" si="1"/>
        <v>9.1256904870306351E-3</v>
      </c>
      <c r="G40" s="28">
        <f t="shared" si="1"/>
        <v>1.3507287614728383E-2</v>
      </c>
      <c r="H40" s="28">
        <f t="shared" si="1"/>
        <v>0</v>
      </c>
      <c r="I40" s="24">
        <f>INDEX(TOD_input!$B$48:$K$87,MATCH(TOD!A40,todBins,0), MATCH($B$3,todPurpose,0))*5</f>
        <v>18700</v>
      </c>
      <c r="J40" s="18">
        <f>INDEX(TOD_input!$M$48:$V$87,MATCH(TOD!A40,todBins,0),MATCH($B$3,todPurpose,0))*5</f>
        <v>25210</v>
      </c>
      <c r="K40" s="18">
        <f>INDEX(TOD_input!$X$48:$AG$88,MATCH(TOD!A40,todBins,0), MATCH($B$3,todPurpose,0))*5</f>
        <v>35</v>
      </c>
      <c r="L40" s="28">
        <f t="shared" si="2"/>
        <v>1.4055341969476607E-2</v>
      </c>
      <c r="M40" s="28">
        <f t="shared" si="3"/>
        <v>1.8948404869010976E-2</v>
      </c>
      <c r="N40" s="28">
        <f t="shared" si="4"/>
        <v>2.630678978244285E-5</v>
      </c>
    </row>
    <row r="41" spans="1:14" x14ac:dyDescent="0.25">
      <c r="A41">
        <v>34</v>
      </c>
      <c r="B41" t="s">
        <v>310</v>
      </c>
      <c r="C41" s="24">
        <f>INDEX(TOD_input!$B$4:$K$43,MATCH(TOD!A41,todBins,0), MATCH($B$3,todPurpose,0))</f>
        <v>7172.6639800000003</v>
      </c>
      <c r="D41" s="18">
        <f>INDEX(TOD_input!$M$4:$V$43,MATCH(TOD!A41,todBins,0), MATCH($B$3,todPurpose,0))</f>
        <v>15993.297060000001</v>
      </c>
      <c r="E41" s="18">
        <f>INDEX(TOD_input!$X$4:$AG$43,MATCH(TOD!A41,todBins,0), MATCH($B$3,todPurpose,0))</f>
        <v>0</v>
      </c>
      <c r="F41" s="28">
        <f t="shared" si="1"/>
        <v>6.09656488677767E-3</v>
      </c>
      <c r="G41" s="28">
        <f t="shared" si="1"/>
        <v>1.3593857672920089E-2</v>
      </c>
      <c r="H41" s="28">
        <f t="shared" si="1"/>
        <v>0</v>
      </c>
      <c r="I41" s="24">
        <f>INDEX(TOD_input!$B$48:$K$87,MATCH(TOD!A41,todBins,0), MATCH($B$3,todPurpose,0))*5</f>
        <v>16365</v>
      </c>
      <c r="J41" s="18">
        <f>INDEX(TOD_input!$M$48:$V$87,MATCH(TOD!A41,todBins,0),MATCH($B$3,todPurpose,0))*5</f>
        <v>21340</v>
      </c>
      <c r="K41" s="18">
        <f>INDEX(TOD_input!$X$48:$AG$88,MATCH(TOD!A41,todBins,0), MATCH($B$3,todPurpose,0))*5</f>
        <v>15</v>
      </c>
      <c r="L41" s="28">
        <f t="shared" si="2"/>
        <v>1.2300303279705063E-2</v>
      </c>
      <c r="M41" s="28">
        <f t="shared" si="3"/>
        <v>1.6039625541638011E-2</v>
      </c>
      <c r="N41" s="28">
        <f t="shared" si="4"/>
        <v>1.1274338478189793E-5</v>
      </c>
    </row>
    <row r="42" spans="1:14" x14ac:dyDescent="0.25">
      <c r="A42">
        <v>35</v>
      </c>
      <c r="B42" t="s">
        <v>311</v>
      </c>
      <c r="C42" s="24">
        <f>INDEX(TOD_input!$B$4:$K$43,MATCH(TOD!A42,todBins,0), MATCH($B$3,todPurpose,0))</f>
        <v>10069.96003</v>
      </c>
      <c r="D42" s="18">
        <f>INDEX(TOD_input!$M$4:$V$43,MATCH(TOD!A42,todBins,0), MATCH($B$3,todPurpose,0))</f>
        <v>10832.77961</v>
      </c>
      <c r="E42" s="18">
        <f>INDEX(TOD_input!$X$4:$AG$43,MATCH(TOD!A42,todBins,0), MATCH($B$3,todPurpose,0))</f>
        <v>0</v>
      </c>
      <c r="F42" s="28">
        <f t="shared" si="1"/>
        <v>8.5591859456035212E-3</v>
      </c>
      <c r="G42" s="28">
        <f t="shared" si="1"/>
        <v>9.2075613719920981E-3</v>
      </c>
      <c r="H42" s="28">
        <f t="shared" si="1"/>
        <v>0</v>
      </c>
      <c r="I42" s="24">
        <f>INDEX(TOD_input!$B$48:$K$87,MATCH(TOD!A42,todBins,0), MATCH($B$3,todPurpose,0))*5</f>
        <v>14485</v>
      </c>
      <c r="J42" s="18">
        <f>INDEX(TOD_input!$M$48:$V$87,MATCH(TOD!A42,todBins,0),MATCH($B$3,todPurpose,0))*5</f>
        <v>19175</v>
      </c>
      <c r="K42" s="18">
        <f>INDEX(TOD_input!$X$48:$AG$88,MATCH(TOD!A42,todBins,0), MATCH($B$3,todPurpose,0))*5</f>
        <v>5</v>
      </c>
      <c r="L42" s="28">
        <f t="shared" si="2"/>
        <v>1.0887252857105276E-2</v>
      </c>
      <c r="M42" s="28">
        <f t="shared" si="3"/>
        <v>1.4412362687952618E-2</v>
      </c>
      <c r="N42" s="28">
        <f t="shared" si="4"/>
        <v>3.7581128260632643E-6</v>
      </c>
    </row>
    <row r="43" spans="1:14" x14ac:dyDescent="0.25">
      <c r="A43">
        <v>36</v>
      </c>
      <c r="B43" t="s">
        <v>312</v>
      </c>
      <c r="C43" s="24">
        <f>INDEX(TOD_input!$B$4:$K$43,MATCH(TOD!A43,todBins,0), MATCH($B$3,todPurpose,0))</f>
        <v>9320.4838600000003</v>
      </c>
      <c r="D43" s="18">
        <f>INDEX(TOD_input!$M$4:$V$43,MATCH(TOD!A43,todBins,0), MATCH($B$3,todPurpose,0))</f>
        <v>7462.4941500000004</v>
      </c>
      <c r="E43" s="18">
        <f>INDEX(TOD_input!$X$4:$AG$43,MATCH(TOD!A43,todBins,0), MATCH($B$3,todPurpose,0))</f>
        <v>0</v>
      </c>
      <c r="F43" s="28">
        <f t="shared" si="1"/>
        <v>7.9221520465892498E-3</v>
      </c>
      <c r="G43" s="28">
        <f t="shared" si="1"/>
        <v>6.3429124701132001E-3</v>
      </c>
      <c r="H43" s="28">
        <f t="shared" si="1"/>
        <v>0</v>
      </c>
      <c r="I43" s="24">
        <f>INDEX(TOD_input!$B$48:$K$87,MATCH(TOD!A43,todBins,0), MATCH($B$3,todPurpose,0))*5</f>
        <v>12120</v>
      </c>
      <c r="J43" s="18">
        <f>INDEX(TOD_input!$M$48:$V$87,MATCH(TOD!A43,todBins,0),MATCH($B$3,todPurpose,0))*5</f>
        <v>16770</v>
      </c>
      <c r="K43" s="18">
        <f>INDEX(TOD_input!$X$48:$AG$88,MATCH(TOD!A43,todBins,0), MATCH($B$3,todPurpose,0))*5</f>
        <v>0</v>
      </c>
      <c r="L43" s="28">
        <f t="shared" si="2"/>
        <v>9.1096654903773527E-3</v>
      </c>
      <c r="M43" s="28">
        <f t="shared" si="3"/>
        <v>1.2604710418616188E-2</v>
      </c>
      <c r="N43" s="28">
        <f t="shared" si="4"/>
        <v>0</v>
      </c>
    </row>
    <row r="44" spans="1:14" x14ac:dyDescent="0.25">
      <c r="A44">
        <v>37</v>
      </c>
      <c r="B44" t="s">
        <v>313</v>
      </c>
      <c r="C44" s="24">
        <f>INDEX(TOD_input!$B$4:$K$43,MATCH(TOD!A44,todBins,0), MATCH($B$3,todPurpose,0))</f>
        <v>6546.9249200000004</v>
      </c>
      <c r="D44" s="18">
        <f>INDEX(TOD_input!$M$4:$V$43,MATCH(TOD!A44,todBins,0), MATCH($B$3,todPurpose,0))</f>
        <v>10423.70909</v>
      </c>
      <c r="E44" s="18">
        <f>INDEX(TOD_input!$X$4:$AG$43,MATCH(TOD!A44,todBins,0), MATCH($B$3,todPurpose,0))</f>
        <v>0</v>
      </c>
      <c r="F44" s="28">
        <f t="shared" si="1"/>
        <v>5.5647040897128025E-3</v>
      </c>
      <c r="G44" s="28">
        <f t="shared" si="1"/>
        <v>8.85986280763695E-3</v>
      </c>
      <c r="H44" s="28">
        <f t="shared" si="1"/>
        <v>0</v>
      </c>
      <c r="I44" s="24">
        <f>INDEX(TOD_input!$B$48:$K$87,MATCH(TOD!A44,todBins,0), MATCH($B$3,todPurpose,0))*5</f>
        <v>10460</v>
      </c>
      <c r="J44" s="18">
        <f>INDEX(TOD_input!$M$48:$V$87,MATCH(TOD!A44,todBins,0),MATCH($B$3,todPurpose,0))*5</f>
        <v>14680</v>
      </c>
      <c r="K44" s="18">
        <f>INDEX(TOD_input!$X$48:$AG$88,MATCH(TOD!A44,todBins,0), MATCH($B$3,todPurpose,0))*5</f>
        <v>0</v>
      </c>
      <c r="L44" s="28">
        <f t="shared" si="2"/>
        <v>7.8619720321243484E-3</v>
      </c>
      <c r="M44" s="28">
        <f t="shared" si="3"/>
        <v>1.1033819257321744E-2</v>
      </c>
      <c r="N44" s="28">
        <f t="shared" si="4"/>
        <v>0</v>
      </c>
    </row>
    <row r="45" spans="1:14" x14ac:dyDescent="0.25">
      <c r="A45">
        <v>38</v>
      </c>
      <c r="B45" t="s">
        <v>314</v>
      </c>
      <c r="C45" s="24">
        <f>INDEX(TOD_input!$B$4:$K$43,MATCH(TOD!A45,todBins,0), MATCH($B$3,todPurpose,0))</f>
        <v>1877.7432799999999</v>
      </c>
      <c r="D45" s="18">
        <f>INDEX(TOD_input!$M$4:$V$43,MATCH(TOD!A45,todBins,0), MATCH($B$3,todPurpose,0))</f>
        <v>7974.7592199999999</v>
      </c>
      <c r="E45" s="18">
        <f>INDEX(TOD_input!$X$4:$AG$43,MATCH(TOD!A45,todBins,0), MATCH($B$3,todPurpose,0))</f>
        <v>0</v>
      </c>
      <c r="F45" s="28">
        <f t="shared" si="1"/>
        <v>1.5960295615619693E-3</v>
      </c>
      <c r="G45" s="28">
        <f t="shared" si="1"/>
        <v>6.7783235317763315E-3</v>
      </c>
      <c r="H45" s="28">
        <f t="shared" si="1"/>
        <v>0</v>
      </c>
      <c r="I45" s="24">
        <f>INDEX(TOD_input!$B$48:$K$87,MATCH(TOD!A45,todBins,0), MATCH($B$3,todPurpose,0))*5</f>
        <v>8585</v>
      </c>
      <c r="J45" s="18">
        <f>INDEX(TOD_input!$M$48:$V$87,MATCH(TOD!A45,todBins,0),MATCH($B$3,todPurpose,0))*5</f>
        <v>12670</v>
      </c>
      <c r="K45" s="18">
        <f>INDEX(TOD_input!$X$48:$AG$88,MATCH(TOD!A45,todBins,0), MATCH($B$3,todPurpose,0))*5</f>
        <v>0</v>
      </c>
      <c r="L45" s="28">
        <f t="shared" si="2"/>
        <v>6.452679722350624E-3</v>
      </c>
      <c r="M45" s="28">
        <f t="shared" si="3"/>
        <v>9.5230579012443115E-3</v>
      </c>
      <c r="N45" s="28">
        <f t="shared" si="4"/>
        <v>0</v>
      </c>
    </row>
    <row r="46" spans="1:14" x14ac:dyDescent="0.25">
      <c r="A46">
        <v>39</v>
      </c>
      <c r="B46" t="s">
        <v>315</v>
      </c>
      <c r="C46" s="24">
        <f>INDEX(TOD_input!$B$4:$K$43,MATCH(TOD!A46,todBins,0), MATCH($B$3,todPurpose,0))</f>
        <v>2066.4291400000002</v>
      </c>
      <c r="D46" s="18">
        <f>INDEX(TOD_input!$M$4:$V$43,MATCH(TOD!A46,todBins,0), MATCH($B$3,todPurpose,0))</f>
        <v>4270.9747299999999</v>
      </c>
      <c r="E46" s="18">
        <f>INDEX(TOD_input!$X$4:$AG$43,MATCH(TOD!A46,todBins,0), MATCH($B$3,todPurpose,0))</f>
        <v>0</v>
      </c>
      <c r="F46" s="28">
        <f t="shared" si="1"/>
        <v>1.756407294565356E-3</v>
      </c>
      <c r="G46" s="28">
        <f t="shared" si="1"/>
        <v>3.6302097301416786E-3</v>
      </c>
      <c r="H46" s="28">
        <f t="shared" si="1"/>
        <v>0</v>
      </c>
      <c r="I46" s="24">
        <f>INDEX(TOD_input!$B$48:$K$87,MATCH(TOD!A46,todBins,0), MATCH($B$3,todPurpose,0))*5</f>
        <v>6845</v>
      </c>
      <c r="J46" s="18">
        <f>INDEX(TOD_input!$M$48:$V$87,MATCH(TOD!A46,todBins,0),MATCH($B$3,todPurpose,0))*5</f>
        <v>11820</v>
      </c>
      <c r="K46" s="18">
        <f>INDEX(TOD_input!$X$48:$AG$88,MATCH(TOD!A46,todBins,0), MATCH($B$3,todPurpose,0))*5</f>
        <v>0</v>
      </c>
      <c r="L46" s="28">
        <f t="shared" si="2"/>
        <v>5.1448564588806086E-3</v>
      </c>
      <c r="M46" s="28">
        <f t="shared" si="3"/>
        <v>8.8841787208135559E-3</v>
      </c>
      <c r="N46" s="28">
        <f t="shared" si="4"/>
        <v>0</v>
      </c>
    </row>
    <row r="47" spans="1:14" x14ac:dyDescent="0.25">
      <c r="A47">
        <v>40</v>
      </c>
      <c r="B47" t="s">
        <v>316</v>
      </c>
      <c r="C47" s="24">
        <f>INDEX(TOD_input!$B$4:$K$43,MATCH(TOD!A47,todBins,0), MATCH($B$3,todPurpose,0))</f>
        <v>1188.31854</v>
      </c>
      <c r="D47" s="18">
        <f>INDEX(TOD_input!$M$4:$V$43,MATCH(TOD!A47,todBins,0), MATCH($B$3,todPurpose,0))</f>
        <v>3655.97894</v>
      </c>
      <c r="E47" s="18">
        <f>INDEX(TOD_input!$X$4:$AG$43,MATCH(TOD!A47,todBins,0), MATCH($B$3,todPurpose,0))</f>
        <v>0</v>
      </c>
      <c r="F47" s="28">
        <f t="shared" si="1"/>
        <v>1.0100377078128377E-3</v>
      </c>
      <c r="G47" s="28">
        <f t="shared" si="1"/>
        <v>3.1074804137698705E-3</v>
      </c>
      <c r="H47" s="28">
        <f t="shared" si="1"/>
        <v>0</v>
      </c>
      <c r="I47" s="24">
        <f>INDEX(TOD_input!$B$48:$K$87,MATCH(TOD!A47,todBins,0), MATCH($B$3,todPurpose,0))*5</f>
        <v>4570</v>
      </c>
      <c r="J47" s="18">
        <f>INDEX(TOD_input!$M$48:$V$87,MATCH(TOD!A47,todBins,0),MATCH($B$3,todPurpose,0))*5</f>
        <v>13345</v>
      </c>
      <c r="K47" s="18">
        <f>INDEX(TOD_input!$X$48:$AG$88,MATCH(TOD!A47,todBins,0), MATCH($B$3,todPurpose,0))*5</f>
        <v>0</v>
      </c>
      <c r="L47" s="28">
        <f t="shared" si="2"/>
        <v>3.4349151230218234E-3</v>
      </c>
      <c r="M47" s="28">
        <f t="shared" si="3"/>
        <v>1.0030403132762851E-2</v>
      </c>
      <c r="N47" s="28">
        <f t="shared" si="4"/>
        <v>0</v>
      </c>
    </row>
    <row r="48" spans="1:14" x14ac:dyDescent="0.25">
      <c r="C48" s="29">
        <f t="shared" ref="C48:N48" si="5">SUM(C8:C47)</f>
        <v>1176509.0855599998</v>
      </c>
      <c r="D48" s="29">
        <f t="shared" si="5"/>
        <v>1176509.0855599998</v>
      </c>
      <c r="E48" s="29">
        <f t="shared" si="5"/>
        <v>1171943.2442599994</v>
      </c>
      <c r="F48" s="2">
        <f t="shared" si="5"/>
        <v>1.0000000000000004</v>
      </c>
      <c r="G48" s="2">
        <f t="shared" si="5"/>
        <v>1.0000000000000002</v>
      </c>
      <c r="H48" s="2">
        <f t="shared" si="5"/>
        <v>1.0000000000000002</v>
      </c>
      <c r="I48" s="29">
        <f t="shared" si="5"/>
        <v>1330455</v>
      </c>
      <c r="J48" s="29">
        <f t="shared" si="5"/>
        <v>1330455</v>
      </c>
      <c r="K48" s="29">
        <f t="shared" si="5"/>
        <v>1330455</v>
      </c>
      <c r="L48" s="2">
        <f t="shared" si="5"/>
        <v>1</v>
      </c>
      <c r="M48" s="2">
        <f t="shared" si="5"/>
        <v>0.99999999999999989</v>
      </c>
      <c r="N48" s="2">
        <f t="shared" si="5"/>
        <v>0.99999999999999978</v>
      </c>
    </row>
    <row r="52" spans="2:2" x14ac:dyDescent="0.25">
      <c r="B52" t="s">
        <v>317</v>
      </c>
    </row>
    <row r="53" spans="2:2" x14ac:dyDescent="0.25">
      <c r="B53" t="s">
        <v>318</v>
      </c>
    </row>
    <row r="54" spans="2:2" x14ac:dyDescent="0.25">
      <c r="B54" t="s">
        <v>319</v>
      </c>
    </row>
    <row r="55" spans="2:2" x14ac:dyDescent="0.25">
      <c r="B55" t="s">
        <v>320</v>
      </c>
    </row>
    <row r="56" spans="2:2" x14ac:dyDescent="0.25">
      <c r="B56" t="s">
        <v>321</v>
      </c>
    </row>
    <row r="57" spans="2:2" x14ac:dyDescent="0.25">
      <c r="B57" t="s">
        <v>322</v>
      </c>
    </row>
    <row r="58" spans="2:2" x14ac:dyDescent="0.25">
      <c r="B58" t="s">
        <v>323</v>
      </c>
    </row>
    <row r="59" spans="2:2" x14ac:dyDescent="0.25">
      <c r="B59" t="s">
        <v>324</v>
      </c>
    </row>
    <row r="60" spans="2:2" x14ac:dyDescent="0.25">
      <c r="B60" t="s">
        <v>325</v>
      </c>
    </row>
    <row r="61" spans="2:2" x14ac:dyDescent="0.25">
      <c r="B61" t="s">
        <v>326</v>
      </c>
    </row>
    <row r="62" spans="2:2" x14ac:dyDescent="0.25">
      <c r="B62" t="s">
        <v>327</v>
      </c>
    </row>
    <row r="63" spans="2:2" x14ac:dyDescent="0.25">
      <c r="B63" t="s">
        <v>328</v>
      </c>
    </row>
    <row r="64" spans="2:2" x14ac:dyDescent="0.25">
      <c r="B64" t="s">
        <v>329</v>
      </c>
    </row>
    <row r="65" spans="2:2" x14ac:dyDescent="0.25">
      <c r="B65" t="s">
        <v>330</v>
      </c>
    </row>
    <row r="66" spans="2:2" x14ac:dyDescent="0.25">
      <c r="B66" t="s">
        <v>331</v>
      </c>
    </row>
    <row r="67" spans="2:2" x14ac:dyDescent="0.25">
      <c r="B67" t="s">
        <v>332</v>
      </c>
    </row>
    <row r="68" spans="2:2" x14ac:dyDescent="0.25">
      <c r="B68" t="s">
        <v>333</v>
      </c>
    </row>
    <row r="69" spans="2:2" x14ac:dyDescent="0.25">
      <c r="B69" t="s">
        <v>334</v>
      </c>
    </row>
    <row r="70" spans="2:2" x14ac:dyDescent="0.25">
      <c r="B70" t="s">
        <v>335</v>
      </c>
    </row>
    <row r="71" spans="2:2" x14ac:dyDescent="0.25">
      <c r="B71" t="s">
        <v>336</v>
      </c>
    </row>
    <row r="72" spans="2:2" x14ac:dyDescent="0.25">
      <c r="B72" t="s">
        <v>337</v>
      </c>
    </row>
    <row r="73" spans="2:2" x14ac:dyDescent="0.25">
      <c r="B73" t="s">
        <v>338</v>
      </c>
    </row>
    <row r="74" spans="2:2" x14ac:dyDescent="0.25">
      <c r="B74" t="s">
        <v>339</v>
      </c>
    </row>
    <row r="75" spans="2:2" x14ac:dyDescent="0.25">
      <c r="B75" t="s">
        <v>340</v>
      </c>
    </row>
    <row r="76" spans="2:2" x14ac:dyDescent="0.25">
      <c r="B76" t="s">
        <v>341</v>
      </c>
    </row>
    <row r="77" spans="2:2" x14ac:dyDescent="0.25">
      <c r="B77" t="s">
        <v>342</v>
      </c>
    </row>
    <row r="78" spans="2:2" x14ac:dyDescent="0.25">
      <c r="B78" t="s">
        <v>343</v>
      </c>
    </row>
    <row r="79" spans="2:2" x14ac:dyDescent="0.25">
      <c r="B79" t="s">
        <v>344</v>
      </c>
    </row>
    <row r="80" spans="2:2" x14ac:dyDescent="0.25">
      <c r="B80" t="s">
        <v>345</v>
      </c>
    </row>
    <row r="81" spans="2:2" x14ac:dyDescent="0.25">
      <c r="B81" t="s">
        <v>346</v>
      </c>
    </row>
    <row r="82" spans="2:2" x14ac:dyDescent="0.25">
      <c r="B82" t="s">
        <v>347</v>
      </c>
    </row>
    <row r="83" spans="2:2" x14ac:dyDescent="0.25">
      <c r="B83" t="s">
        <v>348</v>
      </c>
    </row>
    <row r="84" spans="2:2" x14ac:dyDescent="0.25">
      <c r="B84" t="s">
        <v>349</v>
      </c>
    </row>
    <row r="85" spans="2:2" x14ac:dyDescent="0.25">
      <c r="B85" t="s">
        <v>350</v>
      </c>
    </row>
    <row r="86" spans="2:2" x14ac:dyDescent="0.25">
      <c r="B86" t="s">
        <v>351</v>
      </c>
    </row>
    <row r="87" spans="2:2" x14ac:dyDescent="0.25">
      <c r="B87" t="s">
        <v>352</v>
      </c>
    </row>
    <row r="88" spans="2:2" x14ac:dyDescent="0.25">
      <c r="B88" t="s">
        <v>353</v>
      </c>
    </row>
    <row r="89" spans="2:2" x14ac:dyDescent="0.25">
      <c r="B89" t="s">
        <v>354</v>
      </c>
    </row>
    <row r="90" spans="2:2" x14ac:dyDescent="0.25">
      <c r="B90" t="s">
        <v>355</v>
      </c>
    </row>
    <row r="91" spans="2:2" x14ac:dyDescent="0.25">
      <c r="B91" t="s">
        <v>356</v>
      </c>
    </row>
  </sheetData>
  <mergeCells count="6">
    <mergeCell ref="C6:E6"/>
    <mergeCell ref="F6:H6"/>
    <mergeCell ref="I6:K6"/>
    <mergeCell ref="L6:N6"/>
    <mergeCell ref="C5:H5"/>
    <mergeCell ref="I5:N5"/>
  </mergeCells>
  <hyperlinks>
    <hyperlink ref="A1" location="Index!A1" display="Index"/>
  </hyperlinks>
  <pageMargins left="0.7" right="0.7" top="0.75" bottom="0.75" header="0.3" footer="0.3"/>
  <pageSetup paperSize="0" orientation="portrait" horizontalDpi="0" verticalDpi="0" copies="0"/>
  <drawing r:id="rId1"/>
  <legacyDrawing r:id="rId2"/>
  <controls>
    <mc:AlternateContent xmlns:mc="http://schemas.openxmlformats.org/markup-compatibility/2006">
      <mc:Choice Requires="x14">
        <control shapeId="9217" r:id="rId3" name="ComboBox1">
          <controlPr defaultSize="0" autoLine="0" linkedCell="B3" listFillRange="todPurpose" r:id="rId4">
            <anchor moveWithCells="1">
              <from>
                <xdr:col>0</xdr:col>
                <xdr:colOff>590550</xdr:colOff>
                <xdr:row>2</xdr:row>
                <xdr:rowOff>0</xdr:rowOff>
              </from>
              <to>
                <xdr:col>1</xdr:col>
                <xdr:colOff>2066925</xdr:colOff>
                <xdr:row>3</xdr:row>
                <xdr:rowOff>133350</xdr:rowOff>
              </to>
            </anchor>
          </controlPr>
        </control>
      </mc:Choice>
      <mc:Fallback>
        <control shapeId="9217" r:id="rId3" name="ComboBox1"/>
      </mc:Fallback>
    </mc:AlternateContent>
  </control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H87"/>
  <sheetViews>
    <sheetView topLeftCell="F46" workbookViewId="0">
      <selection activeCell="AF51" sqref="AF51"/>
    </sheetView>
  </sheetViews>
  <sheetFormatPr defaultRowHeight="15" x14ac:dyDescent="0.25"/>
  <cols>
    <col min="33" max="33" width="13.28515625" style="29" bestFit="1" customWidth="1"/>
  </cols>
  <sheetData>
    <row r="1" spans="1:34" x14ac:dyDescent="0.25">
      <c r="A1" t="s">
        <v>7</v>
      </c>
      <c r="X1">
        <f>SUM(X4:X20)</f>
        <v>1044793.7229500001</v>
      </c>
    </row>
    <row r="2" spans="1:34" x14ac:dyDescent="0.25">
      <c r="A2" t="s">
        <v>122</v>
      </c>
      <c r="L2" t="s">
        <v>123</v>
      </c>
      <c r="W2" t="s">
        <v>124</v>
      </c>
    </row>
    <row r="3" spans="1:34" x14ac:dyDescent="0.25">
      <c r="B3" t="s">
        <v>55</v>
      </c>
      <c r="C3" t="s">
        <v>56</v>
      </c>
      <c r="D3" t="s">
        <v>115</v>
      </c>
      <c r="E3" t="s">
        <v>116</v>
      </c>
      <c r="F3" t="s">
        <v>117</v>
      </c>
      <c r="G3" t="s">
        <v>118</v>
      </c>
      <c r="H3" t="s">
        <v>119</v>
      </c>
      <c r="I3" t="s">
        <v>120</v>
      </c>
      <c r="J3" t="s">
        <v>121</v>
      </c>
      <c r="K3" t="s">
        <v>219</v>
      </c>
      <c r="M3" t="s">
        <v>55</v>
      </c>
      <c r="N3" t="s">
        <v>56</v>
      </c>
      <c r="O3" t="s">
        <v>115</v>
      </c>
      <c r="P3" t="s">
        <v>116</v>
      </c>
      <c r="Q3" t="s">
        <v>117</v>
      </c>
      <c r="R3" t="s">
        <v>118</v>
      </c>
      <c r="S3" t="s">
        <v>119</v>
      </c>
      <c r="T3" t="s">
        <v>120</v>
      </c>
      <c r="U3" t="s">
        <v>121</v>
      </c>
      <c r="V3" t="s">
        <v>219</v>
      </c>
      <c r="X3" t="s">
        <v>55</v>
      </c>
      <c r="Y3" t="s">
        <v>56</v>
      </c>
      <c r="Z3" t="s">
        <v>115</v>
      </c>
      <c r="AA3" t="s">
        <v>116</v>
      </c>
      <c r="AB3" t="s">
        <v>117</v>
      </c>
      <c r="AC3" t="s">
        <v>118</v>
      </c>
      <c r="AD3" t="s">
        <v>119</v>
      </c>
      <c r="AE3" t="s">
        <v>120</v>
      </c>
      <c r="AF3" t="s">
        <v>121</v>
      </c>
      <c r="AG3" s="29" t="s">
        <v>219</v>
      </c>
      <c r="AH3" t="s">
        <v>55</v>
      </c>
    </row>
    <row r="4" spans="1:34" x14ac:dyDescent="0.25">
      <c r="A4">
        <v>1</v>
      </c>
      <c r="B4">
        <v>104324.54601000001</v>
      </c>
      <c r="C4">
        <v>0</v>
      </c>
      <c r="D4">
        <v>253.68756999999999</v>
      </c>
      <c r="E4">
        <v>3642.2654900000002</v>
      </c>
      <c r="F4">
        <v>4966.0111200000001</v>
      </c>
      <c r="G4">
        <v>3801.4462800000001</v>
      </c>
      <c r="H4">
        <v>799.55160000000001</v>
      </c>
      <c r="I4">
        <v>911.82115999999996</v>
      </c>
      <c r="J4">
        <v>0</v>
      </c>
      <c r="K4">
        <f>SUM(B4:J4)</f>
        <v>118699.32923000002</v>
      </c>
      <c r="L4">
        <v>1</v>
      </c>
      <c r="M4">
        <v>591.44054000000006</v>
      </c>
      <c r="N4">
        <v>0</v>
      </c>
      <c r="O4">
        <v>0</v>
      </c>
      <c r="P4">
        <v>1380.4249500000001</v>
      </c>
      <c r="Q4">
        <v>537.76593000000003</v>
      </c>
      <c r="R4">
        <v>0</v>
      </c>
      <c r="S4">
        <v>0</v>
      </c>
      <c r="T4">
        <v>0</v>
      </c>
      <c r="U4">
        <v>0</v>
      </c>
      <c r="V4">
        <f>SUM(M4:U4)</f>
        <v>2509.6314200000002</v>
      </c>
      <c r="W4">
        <v>1</v>
      </c>
      <c r="X4">
        <v>1906.8018199999999</v>
      </c>
      <c r="Y4">
        <v>0</v>
      </c>
      <c r="Z4">
        <v>388.73286999999999</v>
      </c>
      <c r="AA4">
        <v>277477.89129</v>
      </c>
      <c r="AB4">
        <v>117615.97941</v>
      </c>
      <c r="AC4">
        <v>34064.461900000002</v>
      </c>
      <c r="AD4">
        <v>14317.14774</v>
      </c>
      <c r="AE4">
        <v>5669.8209900000002</v>
      </c>
      <c r="AF4">
        <v>56355.261169999998</v>
      </c>
      <c r="AG4" s="29">
        <f>SUM(X4:AF4)</f>
        <v>507796.09718999994</v>
      </c>
      <c r="AH4" t="s">
        <v>56</v>
      </c>
    </row>
    <row r="5" spans="1:34" x14ac:dyDescent="0.25">
      <c r="A5">
        <v>2</v>
      </c>
      <c r="B5">
        <v>116824.36255000001</v>
      </c>
      <c r="C5">
        <v>82.428719999999998</v>
      </c>
      <c r="D5">
        <v>4296.7793899999997</v>
      </c>
      <c r="E5">
        <v>574.27747999999997</v>
      </c>
      <c r="F5">
        <v>3874.67256</v>
      </c>
      <c r="G5">
        <v>7421.3999700000004</v>
      </c>
      <c r="H5">
        <v>173.31453999999999</v>
      </c>
      <c r="I5">
        <v>288.41953000000001</v>
      </c>
      <c r="J5">
        <v>0</v>
      </c>
      <c r="K5">
        <f t="shared" ref="K5:K43" si="0">SUM(B5:J5)</f>
        <v>133535.65474000003</v>
      </c>
      <c r="L5">
        <v>2</v>
      </c>
      <c r="M5">
        <v>0</v>
      </c>
      <c r="N5">
        <v>0</v>
      </c>
      <c r="O5">
        <v>0</v>
      </c>
      <c r="P5">
        <v>227.42298</v>
      </c>
      <c r="Q5">
        <v>75.301839999999999</v>
      </c>
      <c r="R5">
        <v>262.67016999999998</v>
      </c>
      <c r="S5">
        <v>0</v>
      </c>
      <c r="T5">
        <v>0</v>
      </c>
      <c r="U5">
        <v>0</v>
      </c>
      <c r="V5">
        <f t="shared" ref="V5:V42" si="1">SUM(M5:U5)</f>
        <v>565.39499000000001</v>
      </c>
      <c r="W5">
        <v>2</v>
      </c>
      <c r="X5">
        <v>14496.05451</v>
      </c>
      <c r="Y5">
        <v>557.40332000000001</v>
      </c>
      <c r="Z5">
        <v>571.93008999999995</v>
      </c>
      <c r="AA5">
        <v>533931.03573999996</v>
      </c>
      <c r="AB5">
        <v>371085.08743000001</v>
      </c>
      <c r="AC5">
        <v>105948.5591</v>
      </c>
      <c r="AD5">
        <v>61901.536330000003</v>
      </c>
      <c r="AE5">
        <v>17909.27738</v>
      </c>
      <c r="AF5">
        <v>115820.42810999999</v>
      </c>
      <c r="AG5" s="29">
        <f t="shared" ref="AG5:AG42" si="2">SUM(X5:AF5)</f>
        <v>1222221.31201</v>
      </c>
      <c r="AH5" t="s">
        <v>115</v>
      </c>
    </row>
    <row r="6" spans="1:34" x14ac:dyDescent="0.25">
      <c r="A6">
        <v>3</v>
      </c>
      <c r="B6">
        <v>236971.24901999999</v>
      </c>
      <c r="C6">
        <v>1128.1184699999999</v>
      </c>
      <c r="D6">
        <v>2576.05069</v>
      </c>
      <c r="E6">
        <v>2424.7846599999998</v>
      </c>
      <c r="F6">
        <v>7330.6850800000002</v>
      </c>
      <c r="G6">
        <v>11345.234930000001</v>
      </c>
      <c r="H6">
        <v>198.125</v>
      </c>
      <c r="I6">
        <v>13.45144</v>
      </c>
      <c r="J6">
        <v>0</v>
      </c>
      <c r="K6">
        <f t="shared" si="0"/>
        <v>261987.69928999999</v>
      </c>
      <c r="L6">
        <v>3</v>
      </c>
      <c r="M6">
        <v>123.91991</v>
      </c>
      <c r="N6">
        <v>0</v>
      </c>
      <c r="O6">
        <v>0</v>
      </c>
      <c r="P6">
        <v>1007.19426</v>
      </c>
      <c r="Q6">
        <v>311.73460999999998</v>
      </c>
      <c r="R6">
        <v>1002.74163</v>
      </c>
      <c r="S6">
        <v>0</v>
      </c>
      <c r="T6">
        <v>0</v>
      </c>
      <c r="U6">
        <v>0</v>
      </c>
      <c r="V6">
        <f t="shared" si="1"/>
        <v>2445.5904099999998</v>
      </c>
      <c r="W6">
        <v>3</v>
      </c>
      <c r="X6">
        <v>63346.074359999999</v>
      </c>
      <c r="Y6">
        <v>837.21033</v>
      </c>
      <c r="Z6">
        <v>719.19289000000003</v>
      </c>
      <c r="AA6">
        <v>183749.91029999999</v>
      </c>
      <c r="AB6">
        <v>358837.51183999999</v>
      </c>
      <c r="AC6">
        <v>126930.99262</v>
      </c>
      <c r="AD6">
        <v>91740.010630000004</v>
      </c>
      <c r="AE6">
        <v>40939.314259999999</v>
      </c>
      <c r="AF6">
        <v>106705.51015</v>
      </c>
      <c r="AG6" s="29">
        <f t="shared" si="2"/>
        <v>973805.72738000005</v>
      </c>
      <c r="AH6" t="s">
        <v>116</v>
      </c>
    </row>
    <row r="7" spans="1:34" x14ac:dyDescent="0.25">
      <c r="A7">
        <v>4</v>
      </c>
      <c r="B7">
        <v>291432.85665999999</v>
      </c>
      <c r="C7">
        <v>8228.1286099999998</v>
      </c>
      <c r="D7">
        <v>22827.171050000001</v>
      </c>
      <c r="E7">
        <v>9228.4104800000005</v>
      </c>
      <c r="F7">
        <v>11701.323899999999</v>
      </c>
      <c r="G7">
        <v>15440.93583</v>
      </c>
      <c r="H7">
        <v>175.24986999999999</v>
      </c>
      <c r="I7">
        <v>2750.23443</v>
      </c>
      <c r="J7">
        <v>2289.6405300000001</v>
      </c>
      <c r="K7">
        <f t="shared" si="0"/>
        <v>364073.95136000001</v>
      </c>
      <c r="L7">
        <v>4</v>
      </c>
      <c r="M7">
        <v>359.80182000000002</v>
      </c>
      <c r="N7">
        <v>0</v>
      </c>
      <c r="O7">
        <v>0</v>
      </c>
      <c r="P7">
        <v>3604.1703000000002</v>
      </c>
      <c r="Q7">
        <v>1495.6003499999999</v>
      </c>
      <c r="R7">
        <v>5700.7794400000002</v>
      </c>
      <c r="S7">
        <v>0</v>
      </c>
      <c r="T7">
        <v>352.33240000000001</v>
      </c>
      <c r="U7">
        <v>0</v>
      </c>
      <c r="V7">
        <f t="shared" si="1"/>
        <v>11512.684310000001</v>
      </c>
      <c r="W7">
        <v>4</v>
      </c>
      <c r="X7">
        <v>21252.81738</v>
      </c>
      <c r="Y7">
        <v>2996.02405</v>
      </c>
      <c r="Z7">
        <v>1072.6757500000001</v>
      </c>
      <c r="AA7">
        <v>63207.326509999999</v>
      </c>
      <c r="AB7">
        <v>251346.30345000001</v>
      </c>
      <c r="AC7">
        <v>156804.51147</v>
      </c>
      <c r="AD7">
        <v>80881.406229999993</v>
      </c>
      <c r="AE7">
        <v>83999.989950000003</v>
      </c>
      <c r="AF7">
        <v>51836.677199999998</v>
      </c>
      <c r="AG7" s="29">
        <f t="shared" si="2"/>
        <v>713397.73199</v>
      </c>
      <c r="AH7" t="s">
        <v>117</v>
      </c>
    </row>
    <row r="8" spans="1:34" x14ac:dyDescent="0.25">
      <c r="A8">
        <v>5</v>
      </c>
      <c r="B8">
        <v>423761.07504999998</v>
      </c>
      <c r="C8">
        <v>3853.4856100000002</v>
      </c>
      <c r="D8">
        <v>133586.25917</v>
      </c>
      <c r="E8">
        <v>22966.517899999999</v>
      </c>
      <c r="F8">
        <v>21885.172200000001</v>
      </c>
      <c r="G8">
        <v>25368.250469999999</v>
      </c>
      <c r="H8">
        <v>2875.1741400000001</v>
      </c>
      <c r="I8">
        <v>2275.8531200000002</v>
      </c>
      <c r="J8">
        <v>1707.3911900000001</v>
      </c>
      <c r="K8">
        <f t="shared" si="0"/>
        <v>638279.17884999991</v>
      </c>
      <c r="L8">
        <v>5</v>
      </c>
      <c r="M8">
        <v>346.50571000000002</v>
      </c>
      <c r="N8">
        <v>0</v>
      </c>
      <c r="O8">
        <v>0</v>
      </c>
      <c r="P8">
        <v>10418.616969999999</v>
      </c>
      <c r="Q8">
        <v>1753.6025</v>
      </c>
      <c r="R8">
        <v>4429.8459899999998</v>
      </c>
      <c r="S8">
        <v>0</v>
      </c>
      <c r="T8">
        <v>293.53163000000001</v>
      </c>
      <c r="U8">
        <v>584.95627999999999</v>
      </c>
      <c r="V8">
        <f t="shared" si="1"/>
        <v>17827.059079999995</v>
      </c>
      <c r="W8">
        <v>5</v>
      </c>
      <c r="X8">
        <v>30363.195520000001</v>
      </c>
      <c r="Y8">
        <v>6625.7280000000001</v>
      </c>
      <c r="Z8">
        <v>4047.5311299999998</v>
      </c>
      <c r="AA8">
        <v>38454.668729999998</v>
      </c>
      <c r="AB8">
        <v>163077.19203000001</v>
      </c>
      <c r="AC8">
        <v>149633.18349</v>
      </c>
      <c r="AD8">
        <v>62650.965150000004</v>
      </c>
      <c r="AE8">
        <v>53659.118690000003</v>
      </c>
      <c r="AF8">
        <v>36319.303260000001</v>
      </c>
      <c r="AG8" s="29">
        <f t="shared" si="2"/>
        <v>544830.88599999994</v>
      </c>
      <c r="AH8" t="s">
        <v>118</v>
      </c>
    </row>
    <row r="9" spans="1:34" x14ac:dyDescent="0.25">
      <c r="A9">
        <v>6</v>
      </c>
      <c r="B9">
        <v>501334.11251000001</v>
      </c>
      <c r="C9">
        <v>21808.88236</v>
      </c>
      <c r="D9">
        <v>299903.77857000002</v>
      </c>
      <c r="E9">
        <v>54033.746709999999</v>
      </c>
      <c r="F9">
        <v>35483.764569999999</v>
      </c>
      <c r="G9">
        <v>38116.306689999998</v>
      </c>
      <c r="H9">
        <v>4968.1606899999997</v>
      </c>
      <c r="I9">
        <v>3457.62754</v>
      </c>
      <c r="J9">
        <v>1415.1875500000001</v>
      </c>
      <c r="K9">
        <f t="shared" si="0"/>
        <v>960521.56719000009</v>
      </c>
      <c r="L9">
        <v>6</v>
      </c>
      <c r="M9">
        <v>875.18246999999997</v>
      </c>
      <c r="N9">
        <v>0</v>
      </c>
      <c r="O9">
        <v>0</v>
      </c>
      <c r="P9">
        <v>30887.526279999998</v>
      </c>
      <c r="Q9">
        <v>10580.01735</v>
      </c>
      <c r="R9">
        <v>7714.1374999999998</v>
      </c>
      <c r="S9">
        <v>0</v>
      </c>
      <c r="T9">
        <v>586.77584999999999</v>
      </c>
      <c r="U9">
        <v>0</v>
      </c>
      <c r="V9">
        <f t="shared" si="1"/>
        <v>50643.639449999995</v>
      </c>
      <c r="W9">
        <v>6</v>
      </c>
      <c r="X9">
        <v>35836.354379999997</v>
      </c>
      <c r="Y9">
        <v>9861.2094500000003</v>
      </c>
      <c r="Z9">
        <v>9508.4382700000006</v>
      </c>
      <c r="AA9">
        <v>18325.98286</v>
      </c>
      <c r="AB9">
        <v>161564.71197</v>
      </c>
      <c r="AC9">
        <v>140256.12346999999</v>
      </c>
      <c r="AD9">
        <v>40999.775529999999</v>
      </c>
      <c r="AE9">
        <v>47557.838100000001</v>
      </c>
      <c r="AF9">
        <v>12483.858459999999</v>
      </c>
      <c r="AG9" s="29">
        <f t="shared" si="2"/>
        <v>476394.29248999996</v>
      </c>
      <c r="AH9" t="s">
        <v>119</v>
      </c>
    </row>
    <row r="10" spans="1:34" x14ac:dyDescent="0.25">
      <c r="A10">
        <v>7</v>
      </c>
      <c r="B10">
        <v>533460.52486999996</v>
      </c>
      <c r="C10">
        <v>23391.260330000001</v>
      </c>
      <c r="D10">
        <v>417899.23512999999</v>
      </c>
      <c r="E10">
        <v>101637.63172</v>
      </c>
      <c r="F10">
        <v>49316.893239999998</v>
      </c>
      <c r="G10">
        <v>46915.702980000002</v>
      </c>
      <c r="H10">
        <v>4041.4136100000001</v>
      </c>
      <c r="I10">
        <v>6744.52916</v>
      </c>
      <c r="J10">
        <v>4849.7193799999995</v>
      </c>
      <c r="K10">
        <f t="shared" si="0"/>
        <v>1188256.9104199996</v>
      </c>
      <c r="L10">
        <v>7</v>
      </c>
      <c r="M10">
        <v>445.66451999999998</v>
      </c>
      <c r="N10">
        <v>0</v>
      </c>
      <c r="O10">
        <v>215.38507000000001</v>
      </c>
      <c r="P10">
        <v>51726.479599999999</v>
      </c>
      <c r="Q10">
        <v>7684.4962500000001</v>
      </c>
      <c r="R10">
        <v>12524.764999999999</v>
      </c>
      <c r="S10">
        <v>582.55966000000001</v>
      </c>
      <c r="T10">
        <v>822.32894999999996</v>
      </c>
      <c r="U10">
        <v>0</v>
      </c>
      <c r="V10">
        <f t="shared" si="1"/>
        <v>74001.679049999992</v>
      </c>
      <c r="W10">
        <v>7</v>
      </c>
      <c r="X10">
        <v>45258.258549999999</v>
      </c>
      <c r="Y10">
        <v>7833.5798599999998</v>
      </c>
      <c r="Z10">
        <v>37100.576130000001</v>
      </c>
      <c r="AA10">
        <v>16350.21456</v>
      </c>
      <c r="AB10">
        <v>76420.857109999997</v>
      </c>
      <c r="AC10">
        <v>128418.43240999999</v>
      </c>
      <c r="AD10">
        <v>28991.258099999999</v>
      </c>
      <c r="AE10">
        <v>41618.18952</v>
      </c>
      <c r="AF10">
        <v>11594.692719999999</v>
      </c>
      <c r="AG10" s="29">
        <f t="shared" si="2"/>
        <v>393586.05895999999</v>
      </c>
      <c r="AH10" t="s">
        <v>120</v>
      </c>
    </row>
    <row r="11" spans="1:34" x14ac:dyDescent="0.25">
      <c r="A11">
        <v>8</v>
      </c>
      <c r="B11">
        <v>383795.50884000002</v>
      </c>
      <c r="C11">
        <v>12272.612450000001</v>
      </c>
      <c r="D11">
        <v>333228.11673000001</v>
      </c>
      <c r="E11">
        <v>92252.555789999999</v>
      </c>
      <c r="F11">
        <v>85508.913100000005</v>
      </c>
      <c r="G11">
        <v>54749.442470000002</v>
      </c>
      <c r="H11">
        <v>13774.907880000001</v>
      </c>
      <c r="I11">
        <v>7462.6090700000004</v>
      </c>
      <c r="J11">
        <v>10744.005649999999</v>
      </c>
      <c r="K11">
        <f t="shared" si="0"/>
        <v>993788.67197999998</v>
      </c>
      <c r="L11">
        <v>8</v>
      </c>
      <c r="M11">
        <v>1613.7986000000001</v>
      </c>
      <c r="N11">
        <v>0</v>
      </c>
      <c r="O11">
        <v>388.73286999999999</v>
      </c>
      <c r="P11">
        <v>98437.990699999995</v>
      </c>
      <c r="Q11">
        <v>14179.85598</v>
      </c>
      <c r="R11">
        <v>11255.97762</v>
      </c>
      <c r="S11">
        <v>1752.8669299999999</v>
      </c>
      <c r="T11">
        <v>1596.11204</v>
      </c>
      <c r="U11">
        <v>3008.3861900000002</v>
      </c>
      <c r="V11">
        <f t="shared" si="1"/>
        <v>132233.72093000001</v>
      </c>
      <c r="W11">
        <v>8</v>
      </c>
      <c r="X11">
        <v>48180.330349999997</v>
      </c>
      <c r="Y11">
        <v>20587.180639999999</v>
      </c>
      <c r="Z11">
        <v>39016.924910000002</v>
      </c>
      <c r="AA11">
        <v>10754.60751</v>
      </c>
      <c r="AB11">
        <v>60853.849090000003</v>
      </c>
      <c r="AC11">
        <v>104693.73654</v>
      </c>
      <c r="AD11">
        <v>19737.864870000001</v>
      </c>
      <c r="AE11">
        <v>32033.781640000001</v>
      </c>
      <c r="AF11">
        <v>6021.3653999999997</v>
      </c>
      <c r="AG11" s="29">
        <f t="shared" si="2"/>
        <v>341879.64095000003</v>
      </c>
      <c r="AH11" t="s">
        <v>121</v>
      </c>
    </row>
    <row r="12" spans="1:34" x14ac:dyDescent="0.25">
      <c r="A12">
        <v>9</v>
      </c>
      <c r="B12">
        <v>213893.35334</v>
      </c>
      <c r="C12">
        <v>12521.956819999999</v>
      </c>
      <c r="D12">
        <v>217139.85578000001</v>
      </c>
      <c r="E12">
        <v>103354.16749000001</v>
      </c>
      <c r="F12">
        <v>70166.543659999996</v>
      </c>
      <c r="G12">
        <v>61540.689140000002</v>
      </c>
      <c r="H12">
        <v>23118.673129999999</v>
      </c>
      <c r="I12">
        <v>14047.44325</v>
      </c>
      <c r="J12">
        <v>6706.1335300000001</v>
      </c>
      <c r="K12">
        <f t="shared" si="0"/>
        <v>722488.81614000001</v>
      </c>
      <c r="L12">
        <v>9</v>
      </c>
      <c r="M12">
        <v>3385.6355600000002</v>
      </c>
      <c r="N12">
        <v>0</v>
      </c>
      <c r="O12">
        <v>0</v>
      </c>
      <c r="P12">
        <v>75374.771229999998</v>
      </c>
      <c r="Q12">
        <v>28599.791850000001</v>
      </c>
      <c r="R12">
        <v>13682.03321</v>
      </c>
      <c r="S12">
        <v>3705.3641899999998</v>
      </c>
      <c r="T12">
        <v>1188.7739999999999</v>
      </c>
      <c r="U12">
        <v>2586.66167</v>
      </c>
      <c r="V12">
        <f t="shared" si="1"/>
        <v>128523.03170999998</v>
      </c>
      <c r="W12">
        <v>9</v>
      </c>
      <c r="X12">
        <v>65870.776370000007</v>
      </c>
      <c r="Y12">
        <v>11603.263559999999</v>
      </c>
      <c r="Z12">
        <v>28404.469450000001</v>
      </c>
      <c r="AA12">
        <v>3707.1295</v>
      </c>
      <c r="AB12">
        <v>46941.231509999998</v>
      </c>
      <c r="AC12">
        <v>71364.534069999994</v>
      </c>
      <c r="AD12">
        <v>19921.068770000002</v>
      </c>
      <c r="AE12">
        <v>17889.058730000001</v>
      </c>
      <c r="AF12">
        <v>2816.4238500000001</v>
      </c>
      <c r="AG12" s="29">
        <f t="shared" si="2"/>
        <v>268517.95581000001</v>
      </c>
      <c r="AH12" t="s">
        <v>219</v>
      </c>
    </row>
    <row r="13" spans="1:34" x14ac:dyDescent="0.25">
      <c r="A13">
        <v>10</v>
      </c>
      <c r="B13">
        <v>165351.59599999999</v>
      </c>
      <c r="C13">
        <v>17487.479530000001</v>
      </c>
      <c r="D13">
        <v>28368.914059999999</v>
      </c>
      <c r="E13">
        <v>25195.82202</v>
      </c>
      <c r="F13">
        <v>79468.378370000006</v>
      </c>
      <c r="G13">
        <v>51380.235699999997</v>
      </c>
      <c r="H13">
        <v>23841.52922</v>
      </c>
      <c r="I13">
        <v>20440.927449999999</v>
      </c>
      <c r="J13">
        <v>12955.64155</v>
      </c>
      <c r="K13">
        <f t="shared" si="0"/>
        <v>424490.52390000009</v>
      </c>
      <c r="L13">
        <v>10</v>
      </c>
      <c r="M13">
        <v>4567.2927900000004</v>
      </c>
      <c r="N13">
        <v>0</v>
      </c>
      <c r="O13">
        <v>673.39263000000005</v>
      </c>
      <c r="P13">
        <v>74786.485339999999</v>
      </c>
      <c r="Q13">
        <v>40755.919679999999</v>
      </c>
      <c r="R13">
        <v>16265.34648</v>
      </c>
      <c r="S13">
        <v>3425.4930300000001</v>
      </c>
      <c r="T13">
        <v>2412.2555000000002</v>
      </c>
      <c r="U13">
        <v>3706.5893000000001</v>
      </c>
      <c r="V13">
        <f t="shared" si="1"/>
        <v>146592.77475000001</v>
      </c>
      <c r="W13">
        <v>10</v>
      </c>
      <c r="X13">
        <v>96988.732730000003</v>
      </c>
      <c r="Y13">
        <v>11486.089819999999</v>
      </c>
      <c r="Z13">
        <v>22894.612509999999</v>
      </c>
      <c r="AA13">
        <v>4974.9099100000003</v>
      </c>
      <c r="AB13">
        <v>49003.394910000003</v>
      </c>
      <c r="AC13">
        <v>64222.815260000003</v>
      </c>
      <c r="AD13">
        <v>10734.578380000001</v>
      </c>
      <c r="AE13">
        <v>19908.64098</v>
      </c>
      <c r="AF13">
        <v>3721.23623</v>
      </c>
      <c r="AG13" s="29">
        <f t="shared" si="2"/>
        <v>283935.01072999998</v>
      </c>
    </row>
    <row r="14" spans="1:34" x14ac:dyDescent="0.25">
      <c r="A14">
        <v>11</v>
      </c>
      <c r="B14">
        <v>89990.85858</v>
      </c>
      <c r="C14">
        <v>9263.2583599999998</v>
      </c>
      <c r="D14">
        <v>4851.0885099999996</v>
      </c>
      <c r="E14">
        <v>11815.798339999999</v>
      </c>
      <c r="F14">
        <v>90931.033150000003</v>
      </c>
      <c r="G14">
        <v>37048.128790000002</v>
      </c>
      <c r="H14">
        <v>23033.765739999999</v>
      </c>
      <c r="I14">
        <v>10439.00827</v>
      </c>
      <c r="J14">
        <v>10728.362230000001</v>
      </c>
      <c r="K14">
        <f t="shared" si="0"/>
        <v>288101.30197000003</v>
      </c>
      <c r="L14">
        <v>11</v>
      </c>
      <c r="M14">
        <v>6655.2334499999997</v>
      </c>
      <c r="N14">
        <v>773.25967000000003</v>
      </c>
      <c r="O14">
        <v>283.27776</v>
      </c>
      <c r="P14">
        <v>23232.39975</v>
      </c>
      <c r="Q14">
        <v>33768.757790000003</v>
      </c>
      <c r="R14">
        <v>16698.026000000002</v>
      </c>
      <c r="S14">
        <v>6619.6907099999999</v>
      </c>
      <c r="T14">
        <v>4113.3504899999998</v>
      </c>
      <c r="U14">
        <v>3508.68878</v>
      </c>
      <c r="V14">
        <f t="shared" si="1"/>
        <v>95652.684399999998</v>
      </c>
      <c r="W14">
        <v>11</v>
      </c>
      <c r="X14">
        <v>66157.541339999996</v>
      </c>
      <c r="Y14">
        <v>8127.0666600000004</v>
      </c>
      <c r="Z14">
        <v>7936.9125000000004</v>
      </c>
      <c r="AA14">
        <v>2108.6318999999999</v>
      </c>
      <c r="AB14">
        <v>36760.148459999997</v>
      </c>
      <c r="AC14">
        <v>54976.633529999999</v>
      </c>
      <c r="AD14">
        <v>8104.7232000000004</v>
      </c>
      <c r="AE14">
        <v>15484.0969</v>
      </c>
      <c r="AF14">
        <v>3599.3867799999998</v>
      </c>
      <c r="AG14" s="29">
        <f t="shared" si="2"/>
        <v>203255.14126999999</v>
      </c>
    </row>
    <row r="15" spans="1:34" x14ac:dyDescent="0.25">
      <c r="A15">
        <v>12</v>
      </c>
      <c r="B15">
        <v>64163.872230000001</v>
      </c>
      <c r="C15">
        <v>7081.1928500000004</v>
      </c>
      <c r="D15">
        <v>2019.2163499999999</v>
      </c>
      <c r="E15">
        <v>13174.12738</v>
      </c>
      <c r="F15">
        <v>106187.39965000001</v>
      </c>
      <c r="G15">
        <v>36987.856449999999</v>
      </c>
      <c r="H15">
        <v>31646.064050000001</v>
      </c>
      <c r="I15">
        <v>13789.21506</v>
      </c>
      <c r="J15">
        <v>10609.35829</v>
      </c>
      <c r="K15">
        <f t="shared" si="0"/>
        <v>285658.30231000006</v>
      </c>
      <c r="L15">
        <v>12</v>
      </c>
      <c r="M15">
        <v>6856.1350000000002</v>
      </c>
      <c r="N15">
        <v>1162.99416</v>
      </c>
      <c r="O15">
        <v>1498.3418999999999</v>
      </c>
      <c r="P15">
        <v>14029.343339999999</v>
      </c>
      <c r="Q15">
        <v>46341.311959999999</v>
      </c>
      <c r="R15">
        <v>17546.43475</v>
      </c>
      <c r="S15">
        <v>9990.2967800000006</v>
      </c>
      <c r="T15">
        <v>3827.70858</v>
      </c>
      <c r="U15">
        <v>7430.7099799999996</v>
      </c>
      <c r="V15">
        <f t="shared" si="1"/>
        <v>108683.27645</v>
      </c>
      <c r="W15">
        <v>12</v>
      </c>
      <c r="X15">
        <v>79159.916429999997</v>
      </c>
      <c r="Y15">
        <v>8128.8022300000002</v>
      </c>
      <c r="Z15">
        <v>14870.86047</v>
      </c>
      <c r="AA15">
        <v>2371.9530300000001</v>
      </c>
      <c r="AB15">
        <v>23815.237440000001</v>
      </c>
      <c r="AC15">
        <v>40843.771500000003</v>
      </c>
      <c r="AD15">
        <v>3205.17551</v>
      </c>
      <c r="AE15">
        <v>5986.3415400000004</v>
      </c>
      <c r="AF15">
        <v>2336.1139899999998</v>
      </c>
      <c r="AG15" s="29">
        <f t="shared" si="2"/>
        <v>180718.17214000001</v>
      </c>
    </row>
    <row r="16" spans="1:34" x14ac:dyDescent="0.25">
      <c r="A16">
        <v>13</v>
      </c>
      <c r="B16">
        <v>43033.929969999997</v>
      </c>
      <c r="C16">
        <v>4555.4015499999996</v>
      </c>
      <c r="D16">
        <v>4381.2364600000001</v>
      </c>
      <c r="E16">
        <v>21609.325720000001</v>
      </c>
      <c r="F16">
        <v>139256.38814</v>
      </c>
      <c r="G16">
        <v>28311.255209999999</v>
      </c>
      <c r="H16">
        <v>18940.815149999999</v>
      </c>
      <c r="I16">
        <v>6053.2247500000003</v>
      </c>
      <c r="J16">
        <v>11538.59518</v>
      </c>
      <c r="K16">
        <f t="shared" si="0"/>
        <v>277680.17213000002</v>
      </c>
      <c r="L16">
        <v>13</v>
      </c>
      <c r="M16">
        <v>10183.214819999999</v>
      </c>
      <c r="N16">
        <v>1910.8216600000001</v>
      </c>
      <c r="O16">
        <v>1870.6107999999999</v>
      </c>
      <c r="P16">
        <v>11018.753500000001</v>
      </c>
      <c r="Q16">
        <v>58158.065170000002</v>
      </c>
      <c r="R16">
        <v>18092.028849999999</v>
      </c>
      <c r="S16">
        <v>13383.68369</v>
      </c>
      <c r="T16">
        <v>4356.11175</v>
      </c>
      <c r="U16">
        <v>5190.3145400000003</v>
      </c>
      <c r="V16">
        <f t="shared" si="1"/>
        <v>124163.60478000001</v>
      </c>
      <c r="W16">
        <v>13</v>
      </c>
      <c r="X16">
        <v>70012.727939999997</v>
      </c>
      <c r="Y16">
        <v>6726.9602500000001</v>
      </c>
      <c r="Z16">
        <v>39840.155550000003</v>
      </c>
      <c r="AA16">
        <v>624.78084999999999</v>
      </c>
      <c r="AB16">
        <v>20717.301380000001</v>
      </c>
      <c r="AC16">
        <v>33149.825040000003</v>
      </c>
      <c r="AD16">
        <v>4798.5286800000003</v>
      </c>
      <c r="AE16">
        <v>7061.2851300000002</v>
      </c>
      <c r="AF16">
        <v>3317.4301500000001</v>
      </c>
      <c r="AG16" s="29">
        <f t="shared" si="2"/>
        <v>186248.99497</v>
      </c>
    </row>
    <row r="17" spans="1:33" x14ac:dyDescent="0.25">
      <c r="A17">
        <v>14</v>
      </c>
      <c r="B17">
        <v>40288.40238</v>
      </c>
      <c r="C17">
        <v>4048.8162900000002</v>
      </c>
      <c r="D17">
        <v>8242.3604400000004</v>
      </c>
      <c r="E17">
        <v>53793.913710000001</v>
      </c>
      <c r="F17">
        <v>96878.472949999996</v>
      </c>
      <c r="G17">
        <v>36221.950210000003</v>
      </c>
      <c r="H17">
        <v>30157.58122</v>
      </c>
      <c r="I17">
        <v>7378.5962900000004</v>
      </c>
      <c r="J17">
        <v>31039.264749999998</v>
      </c>
      <c r="K17">
        <f t="shared" si="0"/>
        <v>308049.35824000003</v>
      </c>
      <c r="L17">
        <v>14</v>
      </c>
      <c r="M17">
        <v>16940.454669999999</v>
      </c>
      <c r="N17">
        <v>3485.52549</v>
      </c>
      <c r="O17">
        <v>18774.360659999998</v>
      </c>
      <c r="P17">
        <v>29292.912400000001</v>
      </c>
      <c r="Q17">
        <v>122137.75683</v>
      </c>
      <c r="R17">
        <v>23749.11721</v>
      </c>
      <c r="S17">
        <v>21121.907569999999</v>
      </c>
      <c r="T17">
        <v>14887.353220000001</v>
      </c>
      <c r="U17">
        <v>12781.97982</v>
      </c>
      <c r="V17">
        <f t="shared" si="1"/>
        <v>263171.36786999996</v>
      </c>
      <c r="W17">
        <v>14</v>
      </c>
      <c r="X17">
        <v>87192.742209999997</v>
      </c>
      <c r="Y17">
        <v>7576.5147699999998</v>
      </c>
      <c r="Z17">
        <v>98367.901459999994</v>
      </c>
      <c r="AA17">
        <v>3035.81475</v>
      </c>
      <c r="AB17">
        <v>14929.77095</v>
      </c>
      <c r="AC17">
        <v>33461.701059999999</v>
      </c>
      <c r="AD17">
        <v>4119.5131899999997</v>
      </c>
      <c r="AE17">
        <v>5547.5375000000004</v>
      </c>
      <c r="AF17">
        <v>1499.6730500000001</v>
      </c>
      <c r="AG17" s="29">
        <f t="shared" si="2"/>
        <v>255731.16893999997</v>
      </c>
    </row>
    <row r="18" spans="1:33" x14ac:dyDescent="0.25">
      <c r="A18">
        <v>15</v>
      </c>
      <c r="B18">
        <v>31785.015500000001</v>
      </c>
      <c r="C18">
        <v>3197.1764800000001</v>
      </c>
      <c r="D18">
        <v>8775.99251</v>
      </c>
      <c r="E18">
        <v>48240.82836</v>
      </c>
      <c r="F18">
        <v>57018.435230000003</v>
      </c>
      <c r="G18">
        <v>46433.496480000002</v>
      </c>
      <c r="H18">
        <v>14409.246279999999</v>
      </c>
      <c r="I18">
        <v>9789.8445599999995</v>
      </c>
      <c r="J18">
        <v>75524.77089</v>
      </c>
      <c r="K18">
        <f t="shared" si="0"/>
        <v>295174.80628999998</v>
      </c>
      <c r="L18">
        <v>15</v>
      </c>
      <c r="M18">
        <v>38712.851540000003</v>
      </c>
      <c r="N18">
        <v>3361.82485</v>
      </c>
      <c r="O18">
        <v>29151.418949999999</v>
      </c>
      <c r="P18">
        <v>53579.288619999999</v>
      </c>
      <c r="Q18">
        <v>76453.158729999996</v>
      </c>
      <c r="R18">
        <v>24147.725740000002</v>
      </c>
      <c r="S18">
        <v>24026.29391</v>
      </c>
      <c r="T18">
        <v>7826.9037200000002</v>
      </c>
      <c r="U18">
        <v>16589.868589999998</v>
      </c>
      <c r="V18">
        <f t="shared" si="1"/>
        <v>273849.33464999998</v>
      </c>
      <c r="W18">
        <v>15</v>
      </c>
      <c r="X18">
        <v>90796.099449999994</v>
      </c>
      <c r="Y18">
        <v>6859.6490599999997</v>
      </c>
      <c r="Z18">
        <v>197217.28975</v>
      </c>
      <c r="AA18">
        <v>1295.9601</v>
      </c>
      <c r="AB18">
        <v>17172.56524</v>
      </c>
      <c r="AC18">
        <v>25355.470509999999</v>
      </c>
      <c r="AD18">
        <v>5533.0589399999999</v>
      </c>
      <c r="AE18">
        <v>6297.6611300000004</v>
      </c>
      <c r="AF18">
        <v>1968.2093299999999</v>
      </c>
      <c r="AG18" s="29">
        <f t="shared" si="2"/>
        <v>352495.96351000009</v>
      </c>
    </row>
    <row r="19" spans="1:33" x14ac:dyDescent="0.25">
      <c r="A19">
        <v>16</v>
      </c>
      <c r="B19">
        <v>48525.04479</v>
      </c>
      <c r="C19">
        <v>4149.3568500000001</v>
      </c>
      <c r="D19">
        <v>16554.74163</v>
      </c>
      <c r="E19">
        <v>15328.382250000001</v>
      </c>
      <c r="F19">
        <v>69965.772379999995</v>
      </c>
      <c r="G19">
        <v>33802.470450000001</v>
      </c>
      <c r="H19">
        <v>18406.41344</v>
      </c>
      <c r="I19">
        <v>17815.86767</v>
      </c>
      <c r="J19">
        <v>86560.154079999993</v>
      </c>
      <c r="K19">
        <f t="shared" si="0"/>
        <v>311108.20354000002</v>
      </c>
      <c r="L19">
        <v>16</v>
      </c>
      <c r="M19">
        <v>38523.373269999996</v>
      </c>
      <c r="N19">
        <v>2959.62426</v>
      </c>
      <c r="O19">
        <v>32379.070319999999</v>
      </c>
      <c r="P19">
        <v>35847.166870000001</v>
      </c>
      <c r="Q19">
        <v>72434.909020000006</v>
      </c>
      <c r="R19">
        <v>35445.43593</v>
      </c>
      <c r="S19">
        <v>22144.699519999998</v>
      </c>
      <c r="T19">
        <v>11161.707479999999</v>
      </c>
      <c r="U19">
        <v>41047.979829999997</v>
      </c>
      <c r="V19">
        <f t="shared" si="1"/>
        <v>291943.96649999998</v>
      </c>
      <c r="W19">
        <v>16</v>
      </c>
      <c r="X19">
        <v>101508.23934</v>
      </c>
      <c r="Y19">
        <v>13017.634830000001</v>
      </c>
      <c r="Z19">
        <v>304638.18291999999</v>
      </c>
      <c r="AA19">
        <v>2535.1372099999999</v>
      </c>
      <c r="AB19">
        <v>12828.31005</v>
      </c>
      <c r="AC19">
        <v>16496.811580000001</v>
      </c>
      <c r="AD19">
        <v>4134.2220100000004</v>
      </c>
      <c r="AE19">
        <v>3224.93307</v>
      </c>
      <c r="AF19">
        <v>992.13319999999999</v>
      </c>
      <c r="AG19" s="29">
        <f t="shared" si="2"/>
        <v>459375.60421000008</v>
      </c>
    </row>
    <row r="20" spans="1:33" x14ac:dyDescent="0.25">
      <c r="A20">
        <v>17</v>
      </c>
      <c r="B20">
        <v>48938.696580000003</v>
      </c>
      <c r="C20">
        <v>5416.2511299999996</v>
      </c>
      <c r="D20">
        <v>6837.79925</v>
      </c>
      <c r="E20">
        <v>19603.039929999999</v>
      </c>
      <c r="F20">
        <v>61778.591399999998</v>
      </c>
      <c r="G20">
        <v>38930.350700000003</v>
      </c>
      <c r="H20">
        <v>15427.284519999999</v>
      </c>
      <c r="I20">
        <v>7064.22156</v>
      </c>
      <c r="J20">
        <v>50678.760049999997</v>
      </c>
      <c r="K20">
        <f t="shared" si="0"/>
        <v>254674.99511999998</v>
      </c>
      <c r="L20">
        <v>17</v>
      </c>
      <c r="M20">
        <v>48034.889710000003</v>
      </c>
      <c r="N20">
        <v>5800.14959</v>
      </c>
      <c r="O20">
        <v>10823.87744</v>
      </c>
      <c r="P20">
        <v>32906.180310000003</v>
      </c>
      <c r="Q20">
        <v>85892.893249999994</v>
      </c>
      <c r="R20">
        <v>21795.15828</v>
      </c>
      <c r="S20">
        <v>15480.14429</v>
      </c>
      <c r="T20">
        <v>5161.7472299999999</v>
      </c>
      <c r="U20">
        <v>84264.119120000003</v>
      </c>
      <c r="V20">
        <f t="shared" si="1"/>
        <v>310159.15922000003</v>
      </c>
      <c r="W20">
        <v>17</v>
      </c>
      <c r="X20">
        <v>126467.06027</v>
      </c>
      <c r="Y20">
        <v>15440.675279999999</v>
      </c>
      <c r="Z20">
        <v>188235.01712999999</v>
      </c>
      <c r="AA20">
        <v>524.00185999999997</v>
      </c>
      <c r="AB20">
        <v>8699.4337599999999</v>
      </c>
      <c r="AC20">
        <v>13347.79334</v>
      </c>
      <c r="AD20">
        <v>2777.4728300000002</v>
      </c>
      <c r="AE20">
        <v>2054.85034</v>
      </c>
      <c r="AF20">
        <v>1535.38832</v>
      </c>
      <c r="AG20" s="29">
        <f t="shared" si="2"/>
        <v>359081.69313000003</v>
      </c>
    </row>
    <row r="21" spans="1:33" x14ac:dyDescent="0.25">
      <c r="A21">
        <v>18</v>
      </c>
      <c r="B21">
        <v>44548.241099999999</v>
      </c>
      <c r="C21">
        <v>2955.4062100000001</v>
      </c>
      <c r="D21">
        <v>625.41476999999998</v>
      </c>
      <c r="E21">
        <v>13014.246709999999</v>
      </c>
      <c r="F21">
        <v>78515.985109999994</v>
      </c>
      <c r="G21">
        <v>26162.686740000001</v>
      </c>
      <c r="H21">
        <v>15945.20732</v>
      </c>
      <c r="I21">
        <v>10540.87213</v>
      </c>
      <c r="J21">
        <v>34207.144719999997</v>
      </c>
      <c r="K21">
        <f t="shared" si="0"/>
        <v>226515.20480999997</v>
      </c>
      <c r="L21">
        <v>18</v>
      </c>
      <c r="M21">
        <v>38456.469019999997</v>
      </c>
      <c r="N21">
        <v>6119.9100600000002</v>
      </c>
      <c r="O21">
        <v>16973.430380000002</v>
      </c>
      <c r="P21">
        <v>17583.24134</v>
      </c>
      <c r="Q21">
        <v>68363.775269999998</v>
      </c>
      <c r="R21">
        <v>33427.721149999998</v>
      </c>
      <c r="S21">
        <v>18362.947080000002</v>
      </c>
      <c r="T21">
        <v>11189.84971</v>
      </c>
      <c r="U21">
        <v>69061.983410000001</v>
      </c>
      <c r="V21">
        <f t="shared" si="1"/>
        <v>279539.32742000005</v>
      </c>
      <c r="W21">
        <v>18</v>
      </c>
      <c r="X21">
        <v>169978.93158</v>
      </c>
      <c r="Y21">
        <v>3965.0855700000002</v>
      </c>
      <c r="Z21">
        <v>142813.43502999999</v>
      </c>
      <c r="AA21">
        <v>0</v>
      </c>
      <c r="AB21">
        <v>8331.6522700000005</v>
      </c>
      <c r="AC21">
        <v>14062.43175</v>
      </c>
      <c r="AD21">
        <v>899.43073000000004</v>
      </c>
      <c r="AE21">
        <v>2247.8388500000001</v>
      </c>
      <c r="AF21">
        <v>260.62914999999998</v>
      </c>
      <c r="AG21" s="29">
        <f t="shared" si="2"/>
        <v>342559.43493000005</v>
      </c>
    </row>
    <row r="22" spans="1:33" x14ac:dyDescent="0.25">
      <c r="A22">
        <v>19</v>
      </c>
      <c r="B22">
        <v>47742.292970000002</v>
      </c>
      <c r="C22">
        <v>342.50328999999999</v>
      </c>
      <c r="D22">
        <v>551.21253000000002</v>
      </c>
      <c r="E22">
        <v>20820.226549999999</v>
      </c>
      <c r="F22">
        <v>45277.095269999998</v>
      </c>
      <c r="G22">
        <v>24453.023349999999</v>
      </c>
      <c r="H22">
        <v>12198.305759999999</v>
      </c>
      <c r="I22">
        <v>9266.49964</v>
      </c>
      <c r="J22">
        <v>17453.766019999999</v>
      </c>
      <c r="K22">
        <f t="shared" si="0"/>
        <v>178104.92538</v>
      </c>
      <c r="L22">
        <v>19</v>
      </c>
      <c r="M22">
        <v>40558.804559999997</v>
      </c>
      <c r="N22">
        <v>4516.5340699999997</v>
      </c>
      <c r="O22">
        <v>17936.26943</v>
      </c>
      <c r="P22">
        <v>12371.54903</v>
      </c>
      <c r="Q22">
        <v>69159.245540000004</v>
      </c>
      <c r="R22">
        <v>24117.628970000002</v>
      </c>
      <c r="S22">
        <v>16822.822889999999</v>
      </c>
      <c r="T22">
        <v>10201.116190000001</v>
      </c>
      <c r="U22">
        <v>57590.346680000002</v>
      </c>
      <c r="V22">
        <f t="shared" si="1"/>
        <v>253274.31735999999</v>
      </c>
      <c r="W22">
        <v>19</v>
      </c>
      <c r="X22">
        <v>261521.64621000001</v>
      </c>
      <c r="Y22">
        <v>5720.3764499999997</v>
      </c>
      <c r="Z22">
        <v>92604.192349999998</v>
      </c>
      <c r="AA22">
        <v>215.40135000000001</v>
      </c>
      <c r="AB22">
        <v>9436.3911900000003</v>
      </c>
      <c r="AC22">
        <v>15789.19837</v>
      </c>
      <c r="AD22">
        <v>817.99767999999995</v>
      </c>
      <c r="AE22">
        <v>577.13729000000001</v>
      </c>
      <c r="AF22">
        <v>777.46573000000001</v>
      </c>
      <c r="AG22" s="29">
        <f t="shared" si="2"/>
        <v>387459.80661999999</v>
      </c>
    </row>
    <row r="23" spans="1:33" x14ac:dyDescent="0.25">
      <c r="A23">
        <v>20</v>
      </c>
      <c r="B23">
        <v>83718.677540000004</v>
      </c>
      <c r="C23">
        <v>1106.63212</v>
      </c>
      <c r="D23">
        <v>483.40442000000002</v>
      </c>
      <c r="E23">
        <v>55569.700490000003</v>
      </c>
      <c r="F23">
        <v>68136.684829999998</v>
      </c>
      <c r="G23">
        <v>35262.734779999999</v>
      </c>
      <c r="H23">
        <v>15022.98725</v>
      </c>
      <c r="I23">
        <v>5539.93246</v>
      </c>
      <c r="J23">
        <v>13575.78211</v>
      </c>
      <c r="K23">
        <f t="shared" si="0"/>
        <v>278416.53599999996</v>
      </c>
      <c r="L23">
        <v>20</v>
      </c>
      <c r="M23">
        <v>55821.472020000001</v>
      </c>
      <c r="N23">
        <v>5803.8544400000001</v>
      </c>
      <c r="O23">
        <v>48398.094599999997</v>
      </c>
      <c r="P23">
        <v>20166.60817</v>
      </c>
      <c r="Q23">
        <v>68702.005420000001</v>
      </c>
      <c r="R23">
        <v>31106.25604</v>
      </c>
      <c r="S23">
        <v>20930.455600000001</v>
      </c>
      <c r="T23">
        <v>7858.5382200000004</v>
      </c>
      <c r="U23">
        <v>25797.228090000001</v>
      </c>
      <c r="V23">
        <f t="shared" si="1"/>
        <v>284584.51259999996</v>
      </c>
      <c r="W23">
        <v>20</v>
      </c>
      <c r="X23">
        <v>353733.57449000003</v>
      </c>
      <c r="Y23">
        <v>7568.7947299999996</v>
      </c>
      <c r="Z23">
        <v>68789.808810000002</v>
      </c>
      <c r="AA23">
        <v>3651.4164700000001</v>
      </c>
      <c r="AB23">
        <v>11095.012699999999</v>
      </c>
      <c r="AC23">
        <v>12337.62211</v>
      </c>
      <c r="AD23">
        <v>2741.94515</v>
      </c>
      <c r="AE23">
        <v>4421.65175</v>
      </c>
      <c r="AF23">
        <v>0</v>
      </c>
      <c r="AG23" s="29">
        <f t="shared" si="2"/>
        <v>464339.82621000009</v>
      </c>
    </row>
    <row r="24" spans="1:33" x14ac:dyDescent="0.25">
      <c r="A24">
        <v>21</v>
      </c>
      <c r="B24">
        <v>24684.845990000002</v>
      </c>
      <c r="C24">
        <v>1096.8261199999999</v>
      </c>
      <c r="D24">
        <v>1172.11499</v>
      </c>
      <c r="E24">
        <v>66118.601070000004</v>
      </c>
      <c r="F24">
        <v>57474.030980000003</v>
      </c>
      <c r="G24">
        <v>28664.80111</v>
      </c>
      <c r="H24">
        <v>16390.979950000001</v>
      </c>
      <c r="I24">
        <v>7155.9793499999996</v>
      </c>
      <c r="J24">
        <v>11294.45528</v>
      </c>
      <c r="K24">
        <f t="shared" si="0"/>
        <v>214052.63484000001</v>
      </c>
      <c r="L24">
        <v>21</v>
      </c>
      <c r="M24">
        <v>94821.592000000004</v>
      </c>
      <c r="N24">
        <v>10417.771140000001</v>
      </c>
      <c r="O24">
        <v>176225.78312000001</v>
      </c>
      <c r="P24">
        <v>51135.666499999999</v>
      </c>
      <c r="Q24">
        <v>70448.334000000003</v>
      </c>
      <c r="R24">
        <v>37305.87255</v>
      </c>
      <c r="S24">
        <v>25469.75013</v>
      </c>
      <c r="T24">
        <v>12509.61873</v>
      </c>
      <c r="U24">
        <v>18275.428370000001</v>
      </c>
      <c r="V24">
        <f t="shared" si="1"/>
        <v>496609.81653999997</v>
      </c>
      <c r="W24">
        <v>21</v>
      </c>
      <c r="X24">
        <v>379829.95552999998</v>
      </c>
      <c r="Y24">
        <v>8313.8916000000008</v>
      </c>
      <c r="Z24">
        <v>48434.624320000003</v>
      </c>
      <c r="AA24">
        <v>1013.08109</v>
      </c>
      <c r="AB24">
        <v>9320.1833299999998</v>
      </c>
      <c r="AC24">
        <v>14314.441930000001</v>
      </c>
      <c r="AD24">
        <v>336.90066999999999</v>
      </c>
      <c r="AE24">
        <v>2290.9269100000001</v>
      </c>
      <c r="AF24">
        <v>227.84692999999999</v>
      </c>
      <c r="AG24" s="29">
        <f t="shared" si="2"/>
        <v>464081.85230999993</v>
      </c>
    </row>
    <row r="25" spans="1:33" x14ac:dyDescent="0.25">
      <c r="A25">
        <v>22</v>
      </c>
      <c r="B25">
        <v>38630.893649999998</v>
      </c>
      <c r="C25">
        <v>842.26841000000002</v>
      </c>
      <c r="D25">
        <v>0</v>
      </c>
      <c r="E25">
        <v>72047.34938</v>
      </c>
      <c r="F25">
        <v>57197.85931</v>
      </c>
      <c r="G25">
        <v>32470.936079999999</v>
      </c>
      <c r="H25">
        <v>15571.64107</v>
      </c>
      <c r="I25">
        <v>9303.5795099999996</v>
      </c>
      <c r="J25">
        <v>5114.9712600000003</v>
      </c>
      <c r="K25">
        <f t="shared" si="0"/>
        <v>231179.49867000003</v>
      </c>
      <c r="L25">
        <v>22</v>
      </c>
      <c r="M25">
        <v>184412.73790000001</v>
      </c>
      <c r="N25">
        <v>6956.3229300000003</v>
      </c>
      <c r="O25">
        <v>371487.88827</v>
      </c>
      <c r="P25">
        <v>91894.416649999999</v>
      </c>
      <c r="Q25">
        <v>89597.170819999999</v>
      </c>
      <c r="R25">
        <v>53611.454059999996</v>
      </c>
      <c r="S25">
        <v>25028.59332</v>
      </c>
      <c r="T25">
        <v>7539.5011400000003</v>
      </c>
      <c r="U25">
        <v>14598.472750000001</v>
      </c>
      <c r="V25">
        <f t="shared" si="1"/>
        <v>845126.55783999991</v>
      </c>
      <c r="W25">
        <v>22</v>
      </c>
      <c r="X25">
        <v>371380.38351000001</v>
      </c>
      <c r="Y25">
        <v>5224.6931500000001</v>
      </c>
      <c r="Z25">
        <v>48262.588799999998</v>
      </c>
      <c r="AA25">
        <v>1210.4382000000001</v>
      </c>
      <c r="AB25">
        <v>5077.5145300000004</v>
      </c>
      <c r="AC25">
        <v>14213.99057</v>
      </c>
      <c r="AD25">
        <v>0</v>
      </c>
      <c r="AE25">
        <v>2565.10061</v>
      </c>
      <c r="AF25">
        <v>227.84692999999999</v>
      </c>
      <c r="AG25" s="29">
        <f t="shared" si="2"/>
        <v>448162.55630000005</v>
      </c>
    </row>
    <row r="26" spans="1:33" x14ac:dyDescent="0.25">
      <c r="A26">
        <v>23</v>
      </c>
      <c r="B26">
        <v>44615.042119999998</v>
      </c>
      <c r="C26">
        <v>724.37328000000002</v>
      </c>
      <c r="D26">
        <v>91.039420000000007</v>
      </c>
      <c r="E26">
        <v>42586.123529999997</v>
      </c>
      <c r="F26">
        <v>47982.4208</v>
      </c>
      <c r="G26">
        <v>39365.946080000002</v>
      </c>
      <c r="H26">
        <v>13368.435810000001</v>
      </c>
      <c r="I26">
        <v>11275.804620000001</v>
      </c>
      <c r="J26">
        <v>5281.3547900000003</v>
      </c>
      <c r="K26">
        <f t="shared" si="0"/>
        <v>205290.54045</v>
      </c>
      <c r="L26">
        <v>23</v>
      </c>
      <c r="M26">
        <v>233794.96478000001</v>
      </c>
      <c r="N26">
        <v>17445.846850000002</v>
      </c>
      <c r="O26">
        <v>309518.43661999999</v>
      </c>
      <c r="P26">
        <v>62075.770089999998</v>
      </c>
      <c r="Q26">
        <v>93421.293829999995</v>
      </c>
      <c r="R26">
        <v>42868.451809999999</v>
      </c>
      <c r="S26">
        <v>12854.69579</v>
      </c>
      <c r="T26">
        <v>9040.2560099999992</v>
      </c>
      <c r="U26">
        <v>13620.50684</v>
      </c>
      <c r="V26">
        <f t="shared" si="1"/>
        <v>794640.22262000002</v>
      </c>
      <c r="W26">
        <v>23</v>
      </c>
      <c r="X26">
        <v>279967.39607999998</v>
      </c>
      <c r="Y26">
        <v>3066.2736199999999</v>
      </c>
      <c r="Z26">
        <v>28852.61132</v>
      </c>
      <c r="AA26">
        <v>270.01051000000001</v>
      </c>
      <c r="AB26">
        <v>6065.4933799999999</v>
      </c>
      <c r="AC26">
        <v>8030.5537100000001</v>
      </c>
      <c r="AD26">
        <v>929.51720999999998</v>
      </c>
      <c r="AE26">
        <v>1205.42453</v>
      </c>
      <c r="AF26">
        <v>529.36544000000004</v>
      </c>
      <c r="AG26" s="29">
        <f t="shared" si="2"/>
        <v>328916.64580000006</v>
      </c>
    </row>
    <row r="27" spans="1:33" x14ac:dyDescent="0.25">
      <c r="A27">
        <v>24</v>
      </c>
      <c r="B27">
        <v>22924.123049999998</v>
      </c>
      <c r="C27">
        <v>2575.5921400000002</v>
      </c>
      <c r="D27">
        <v>0</v>
      </c>
      <c r="E27">
        <v>37776.088009999999</v>
      </c>
      <c r="F27">
        <v>90396.913849999997</v>
      </c>
      <c r="G27">
        <v>42060.640789999998</v>
      </c>
      <c r="H27">
        <v>21503.919709999998</v>
      </c>
      <c r="I27">
        <v>18860.659680000001</v>
      </c>
      <c r="J27">
        <v>4610.3191399999996</v>
      </c>
      <c r="K27">
        <f t="shared" si="0"/>
        <v>240708.25636999999</v>
      </c>
      <c r="L27">
        <v>24</v>
      </c>
      <c r="M27">
        <v>239048.54404000001</v>
      </c>
      <c r="N27">
        <v>7971.8795899999996</v>
      </c>
      <c r="O27">
        <v>138723.11642000001</v>
      </c>
      <c r="P27">
        <v>38330.495130000003</v>
      </c>
      <c r="Q27">
        <v>77533.431049999999</v>
      </c>
      <c r="R27">
        <v>45327.748420000004</v>
      </c>
      <c r="S27">
        <v>14333.810020000001</v>
      </c>
      <c r="T27">
        <v>8587.0105899999999</v>
      </c>
      <c r="U27">
        <v>8142.6482500000002</v>
      </c>
      <c r="V27">
        <f t="shared" si="1"/>
        <v>577998.68350999989</v>
      </c>
      <c r="W27">
        <v>24</v>
      </c>
      <c r="X27">
        <v>274811.33493999997</v>
      </c>
      <c r="Y27">
        <v>1079.7470699999999</v>
      </c>
      <c r="Z27">
        <v>17454.164560000001</v>
      </c>
      <c r="AA27">
        <v>148.90297000000001</v>
      </c>
      <c r="AB27">
        <v>3854.2933800000001</v>
      </c>
      <c r="AC27">
        <v>15341.523279999999</v>
      </c>
      <c r="AD27">
        <v>142.8912</v>
      </c>
      <c r="AE27">
        <v>1167.8734899999999</v>
      </c>
      <c r="AF27">
        <v>0</v>
      </c>
      <c r="AG27" s="29">
        <f t="shared" si="2"/>
        <v>314000.73089000001</v>
      </c>
    </row>
    <row r="28" spans="1:33" x14ac:dyDescent="0.25">
      <c r="A28">
        <v>25</v>
      </c>
      <c r="B28">
        <v>22794.131870000001</v>
      </c>
      <c r="C28">
        <v>8150.45784</v>
      </c>
      <c r="D28">
        <v>176.84039999999999</v>
      </c>
      <c r="E28">
        <v>32216.089550000001</v>
      </c>
      <c r="F28">
        <v>57969.23431</v>
      </c>
      <c r="G28">
        <v>55207.295960000003</v>
      </c>
      <c r="H28">
        <v>13225.15525</v>
      </c>
      <c r="I28">
        <v>15420.170910000001</v>
      </c>
      <c r="J28">
        <v>903.20399999999995</v>
      </c>
      <c r="K28">
        <f t="shared" si="0"/>
        <v>206062.58009000003</v>
      </c>
      <c r="L28">
        <v>25</v>
      </c>
      <c r="M28">
        <v>281419.76634999999</v>
      </c>
      <c r="N28">
        <v>13012.073539999999</v>
      </c>
      <c r="O28">
        <v>71837.636360000004</v>
      </c>
      <c r="P28">
        <v>35266.977290000003</v>
      </c>
      <c r="Q28">
        <v>74792.796860000002</v>
      </c>
      <c r="R28">
        <v>51302.450400000002</v>
      </c>
      <c r="S28">
        <v>23913.646079999999</v>
      </c>
      <c r="T28">
        <v>10080.03628</v>
      </c>
      <c r="U28">
        <v>10480.44544</v>
      </c>
      <c r="V28">
        <f t="shared" si="1"/>
        <v>572105.82860000001</v>
      </c>
      <c r="W28">
        <v>25</v>
      </c>
      <c r="X28">
        <v>181988.32157</v>
      </c>
      <c r="Y28">
        <v>5719.3454300000003</v>
      </c>
      <c r="Z28">
        <v>12163.071529999999</v>
      </c>
      <c r="AA28">
        <v>1313.94082</v>
      </c>
      <c r="AB28">
        <v>5803.2525100000003</v>
      </c>
      <c r="AC28">
        <v>3318.8973599999999</v>
      </c>
      <c r="AD28">
        <v>117.45874999999999</v>
      </c>
      <c r="AE28">
        <v>0</v>
      </c>
      <c r="AF28">
        <v>0</v>
      </c>
      <c r="AG28" s="29">
        <f t="shared" si="2"/>
        <v>210424.28796999995</v>
      </c>
    </row>
    <row r="29" spans="1:33" x14ac:dyDescent="0.25">
      <c r="A29">
        <v>26</v>
      </c>
      <c r="B29">
        <v>18385.503199999999</v>
      </c>
      <c r="C29">
        <v>17848.785909999999</v>
      </c>
      <c r="D29">
        <v>172.30315999999999</v>
      </c>
      <c r="E29">
        <v>44829.358809999998</v>
      </c>
      <c r="F29">
        <v>42124.877489999999</v>
      </c>
      <c r="G29">
        <v>77177.779460000005</v>
      </c>
      <c r="H29">
        <v>19475.441709999999</v>
      </c>
      <c r="I29">
        <v>41390.634230000003</v>
      </c>
      <c r="J29">
        <v>2149.8657199999998</v>
      </c>
      <c r="K29">
        <f t="shared" si="0"/>
        <v>263554.54968999996</v>
      </c>
      <c r="L29">
        <v>26</v>
      </c>
      <c r="M29">
        <v>451006.31719999999</v>
      </c>
      <c r="N29">
        <v>6743.1641600000003</v>
      </c>
      <c r="O29">
        <v>64299.908660000001</v>
      </c>
      <c r="P29">
        <v>37345.81018</v>
      </c>
      <c r="Q29">
        <v>78163.903619999997</v>
      </c>
      <c r="R29">
        <v>49561.984230000002</v>
      </c>
      <c r="S29">
        <v>21250.03211</v>
      </c>
      <c r="T29">
        <v>13302.15301</v>
      </c>
      <c r="U29">
        <v>3968.1905499999998</v>
      </c>
      <c r="V29">
        <f t="shared" si="1"/>
        <v>725641.46372</v>
      </c>
      <c r="W29">
        <v>26</v>
      </c>
      <c r="X29">
        <v>117738.12363</v>
      </c>
      <c r="Y29">
        <v>2504.2486100000001</v>
      </c>
      <c r="Z29">
        <v>8271.7798999999995</v>
      </c>
      <c r="AA29">
        <v>607.66751999999997</v>
      </c>
      <c r="AB29">
        <v>4086.7094999999999</v>
      </c>
      <c r="AC29">
        <v>1693.28106</v>
      </c>
      <c r="AD29">
        <v>573.66336999999999</v>
      </c>
      <c r="AE29">
        <v>153.94639000000001</v>
      </c>
      <c r="AF29">
        <v>497.38391999999999</v>
      </c>
      <c r="AG29" s="29">
        <f t="shared" si="2"/>
        <v>136126.8039</v>
      </c>
    </row>
    <row r="30" spans="1:33" x14ac:dyDescent="0.25">
      <c r="A30">
        <v>27</v>
      </c>
      <c r="B30">
        <v>18777.662769999999</v>
      </c>
      <c r="C30">
        <v>8257.7245899999998</v>
      </c>
      <c r="D30">
        <v>0</v>
      </c>
      <c r="E30">
        <v>50183.52317</v>
      </c>
      <c r="F30">
        <v>44776.610650000002</v>
      </c>
      <c r="G30">
        <v>84136.106310000003</v>
      </c>
      <c r="H30">
        <v>17825.232349999998</v>
      </c>
      <c r="I30">
        <v>27567.947479999999</v>
      </c>
      <c r="J30">
        <v>1596.6680100000001</v>
      </c>
      <c r="K30">
        <f t="shared" si="0"/>
        <v>253121.47532999999</v>
      </c>
      <c r="L30">
        <v>27</v>
      </c>
      <c r="M30">
        <v>401506.09253999998</v>
      </c>
      <c r="N30">
        <v>7182.7722000000003</v>
      </c>
      <c r="O30">
        <v>59217.9159</v>
      </c>
      <c r="P30">
        <v>40354.185160000001</v>
      </c>
      <c r="Q30">
        <v>58733.093999999997</v>
      </c>
      <c r="R30">
        <v>51116.83281</v>
      </c>
      <c r="S30">
        <v>18366.322560000001</v>
      </c>
      <c r="T30">
        <v>13220.523380000001</v>
      </c>
      <c r="U30">
        <v>2431.73459</v>
      </c>
      <c r="V30">
        <f t="shared" si="1"/>
        <v>652129.47314000013</v>
      </c>
      <c r="W30">
        <v>27</v>
      </c>
      <c r="X30">
        <v>115926.53317</v>
      </c>
      <c r="Y30">
        <v>1745.2448199999999</v>
      </c>
      <c r="Z30">
        <v>35220.263570000003</v>
      </c>
      <c r="AA30">
        <v>82.428719999999998</v>
      </c>
      <c r="AB30">
        <v>1116.5544500000001</v>
      </c>
      <c r="AC30">
        <v>2543.7651000000001</v>
      </c>
      <c r="AD30">
        <v>24.37096</v>
      </c>
      <c r="AE30">
        <v>0</v>
      </c>
      <c r="AF30">
        <v>0</v>
      </c>
      <c r="AG30" s="29">
        <f t="shared" si="2"/>
        <v>156659.16078999999</v>
      </c>
    </row>
    <row r="31" spans="1:33" x14ac:dyDescent="0.25">
      <c r="A31">
        <v>28</v>
      </c>
      <c r="B31">
        <v>13037.67561</v>
      </c>
      <c r="C31">
        <v>2751.1007800000002</v>
      </c>
      <c r="D31">
        <v>908.85299999999995</v>
      </c>
      <c r="E31">
        <v>25953.972849999998</v>
      </c>
      <c r="F31">
        <v>96107.146099999998</v>
      </c>
      <c r="G31">
        <v>86622.008839999995</v>
      </c>
      <c r="H31">
        <v>26921.230670000001</v>
      </c>
      <c r="I31">
        <v>37469.516499999998</v>
      </c>
      <c r="J31">
        <v>1609.1257700000001</v>
      </c>
      <c r="K31">
        <f t="shared" si="0"/>
        <v>291380.63011999993</v>
      </c>
      <c r="L31">
        <v>28</v>
      </c>
      <c r="M31">
        <v>345834.42479999998</v>
      </c>
      <c r="N31">
        <v>7797.7541600000004</v>
      </c>
      <c r="O31">
        <v>39576.261570000002</v>
      </c>
      <c r="P31">
        <v>51246.618349999997</v>
      </c>
      <c r="Q31">
        <v>60511.11421</v>
      </c>
      <c r="R31">
        <v>54830.244120000003</v>
      </c>
      <c r="S31">
        <v>16113.63047</v>
      </c>
      <c r="T31">
        <v>13734.87076</v>
      </c>
      <c r="U31">
        <v>3407.79378</v>
      </c>
      <c r="V31">
        <f t="shared" si="1"/>
        <v>593052.71221999999</v>
      </c>
      <c r="W31">
        <v>28</v>
      </c>
      <c r="X31">
        <v>51460.82314</v>
      </c>
      <c r="Y31">
        <v>393.90553999999997</v>
      </c>
      <c r="Z31">
        <v>6836.53809</v>
      </c>
      <c r="AA31">
        <v>0</v>
      </c>
      <c r="AB31">
        <v>1200.77954</v>
      </c>
      <c r="AC31">
        <v>2104.6552700000002</v>
      </c>
      <c r="AD31">
        <v>0</v>
      </c>
      <c r="AE31">
        <v>288.77735000000001</v>
      </c>
      <c r="AF31">
        <v>0</v>
      </c>
      <c r="AG31" s="29">
        <f t="shared" si="2"/>
        <v>62285.478930000005</v>
      </c>
    </row>
    <row r="32" spans="1:33" x14ac:dyDescent="0.25">
      <c r="A32">
        <v>29</v>
      </c>
      <c r="B32">
        <v>9091.10304</v>
      </c>
      <c r="C32">
        <v>3318.6393499999999</v>
      </c>
      <c r="D32">
        <v>183.27045000000001</v>
      </c>
      <c r="E32">
        <v>23704.773120000002</v>
      </c>
      <c r="F32">
        <v>53263.306510000002</v>
      </c>
      <c r="G32">
        <v>113515.58081</v>
      </c>
      <c r="H32">
        <v>14306.23869</v>
      </c>
      <c r="I32">
        <v>38575.759870000002</v>
      </c>
      <c r="J32">
        <v>1417.04465</v>
      </c>
      <c r="K32">
        <f t="shared" si="0"/>
        <v>257375.71648999999</v>
      </c>
      <c r="L32">
        <v>29</v>
      </c>
      <c r="M32">
        <v>316632.87614000001</v>
      </c>
      <c r="N32">
        <v>3823.4381600000002</v>
      </c>
      <c r="O32">
        <v>25428.42265</v>
      </c>
      <c r="P32">
        <v>34550.466710000001</v>
      </c>
      <c r="Q32">
        <v>87244.887990000003</v>
      </c>
      <c r="R32">
        <v>53143.646529999998</v>
      </c>
      <c r="S32">
        <v>20719.79061</v>
      </c>
      <c r="T32">
        <v>31982.573769999999</v>
      </c>
      <c r="U32">
        <v>1747.7596900000001</v>
      </c>
      <c r="V32">
        <f t="shared" si="1"/>
        <v>575273.86225000012</v>
      </c>
      <c r="W32">
        <v>29</v>
      </c>
      <c r="X32">
        <v>46081.912219999998</v>
      </c>
      <c r="Y32">
        <v>1801.01767</v>
      </c>
      <c r="Z32">
        <v>3501.6709999999998</v>
      </c>
      <c r="AA32">
        <v>0</v>
      </c>
      <c r="AB32">
        <v>776.30268999999998</v>
      </c>
      <c r="AC32">
        <v>575.10842000000002</v>
      </c>
      <c r="AD32">
        <v>356.67160000000001</v>
      </c>
      <c r="AE32">
        <v>710.65732000000003</v>
      </c>
      <c r="AF32">
        <v>0</v>
      </c>
      <c r="AG32" s="29">
        <f t="shared" si="2"/>
        <v>53803.340919999995</v>
      </c>
    </row>
    <row r="33" spans="1:33" x14ac:dyDescent="0.25">
      <c r="A33">
        <v>30</v>
      </c>
      <c r="B33">
        <v>7054.67281</v>
      </c>
      <c r="C33">
        <v>992.77745000000004</v>
      </c>
      <c r="D33">
        <v>0</v>
      </c>
      <c r="E33">
        <v>15325.9475</v>
      </c>
      <c r="F33">
        <v>41589.812400000003</v>
      </c>
      <c r="G33">
        <v>61326.464399999997</v>
      </c>
      <c r="H33">
        <v>24081.266510000001</v>
      </c>
      <c r="I33">
        <v>24696.712739999999</v>
      </c>
      <c r="J33">
        <v>207.73374000000001</v>
      </c>
      <c r="K33">
        <f t="shared" si="0"/>
        <v>175275.38754999998</v>
      </c>
      <c r="L33">
        <v>30</v>
      </c>
      <c r="M33">
        <v>193022.72492000001</v>
      </c>
      <c r="N33">
        <v>6902.5333899999996</v>
      </c>
      <c r="O33">
        <v>14456.2729</v>
      </c>
      <c r="P33">
        <v>28482.549749999998</v>
      </c>
      <c r="Q33">
        <v>109419.99209</v>
      </c>
      <c r="R33">
        <v>61477.621420000003</v>
      </c>
      <c r="S33">
        <v>20351.81869</v>
      </c>
      <c r="T33">
        <v>19632.95203</v>
      </c>
      <c r="U33">
        <v>2859.3968799999998</v>
      </c>
      <c r="V33">
        <f t="shared" si="1"/>
        <v>456605.86206999997</v>
      </c>
      <c r="W33">
        <v>30</v>
      </c>
      <c r="X33">
        <v>25523.275570000002</v>
      </c>
      <c r="Y33">
        <v>2101.9808400000002</v>
      </c>
      <c r="Z33">
        <v>3131.1176599999999</v>
      </c>
      <c r="AA33">
        <v>0</v>
      </c>
      <c r="AB33">
        <v>226.03697</v>
      </c>
      <c r="AC33">
        <v>937.54453999999998</v>
      </c>
      <c r="AD33">
        <v>383.26011999999997</v>
      </c>
      <c r="AE33">
        <v>1904.2207100000001</v>
      </c>
      <c r="AF33">
        <v>0</v>
      </c>
      <c r="AG33" s="29">
        <f t="shared" si="2"/>
        <v>34207.436410000002</v>
      </c>
    </row>
    <row r="34" spans="1:33" x14ac:dyDescent="0.25">
      <c r="A34">
        <v>31</v>
      </c>
      <c r="B34">
        <v>5962.32618</v>
      </c>
      <c r="C34">
        <v>0</v>
      </c>
      <c r="D34">
        <v>0</v>
      </c>
      <c r="E34">
        <v>13090.30798</v>
      </c>
      <c r="F34">
        <v>32817.074000000001</v>
      </c>
      <c r="G34">
        <v>41777.883329999997</v>
      </c>
      <c r="H34">
        <v>7959.2515800000001</v>
      </c>
      <c r="I34">
        <v>15215.63638</v>
      </c>
      <c r="J34">
        <v>355.92747000000003</v>
      </c>
      <c r="K34">
        <f t="shared" si="0"/>
        <v>117178.40691999998</v>
      </c>
      <c r="L34">
        <v>31</v>
      </c>
      <c r="M34">
        <v>94098.804709999997</v>
      </c>
      <c r="N34">
        <v>5983.6746899999998</v>
      </c>
      <c r="O34">
        <v>6245.6545599999999</v>
      </c>
      <c r="P34">
        <v>14035.83763</v>
      </c>
      <c r="Q34">
        <v>47466.879090000002</v>
      </c>
      <c r="R34">
        <v>50097.563370000003</v>
      </c>
      <c r="S34">
        <v>25240.209719999999</v>
      </c>
      <c r="T34">
        <v>19326.95566</v>
      </c>
      <c r="U34">
        <v>2803.6738399999999</v>
      </c>
      <c r="V34">
        <f t="shared" si="1"/>
        <v>265299.25326999993</v>
      </c>
      <c r="W34">
        <v>31</v>
      </c>
      <c r="X34">
        <v>22900.40956</v>
      </c>
      <c r="Y34">
        <v>1294.9027000000001</v>
      </c>
      <c r="Z34">
        <v>2745.5074800000002</v>
      </c>
      <c r="AA34">
        <v>0</v>
      </c>
      <c r="AB34">
        <v>1620.93055</v>
      </c>
      <c r="AC34">
        <v>285.58224000000001</v>
      </c>
      <c r="AD34">
        <v>0</v>
      </c>
      <c r="AE34">
        <v>0</v>
      </c>
      <c r="AF34">
        <v>0</v>
      </c>
      <c r="AG34" s="29">
        <f t="shared" si="2"/>
        <v>28847.33253</v>
      </c>
    </row>
    <row r="35" spans="1:33" x14ac:dyDescent="0.25">
      <c r="A35">
        <v>32</v>
      </c>
      <c r="B35">
        <v>4953.4735199999996</v>
      </c>
      <c r="C35">
        <v>116.45432</v>
      </c>
      <c r="D35">
        <v>0</v>
      </c>
      <c r="E35">
        <v>15418.19989</v>
      </c>
      <c r="F35">
        <v>23795.50216</v>
      </c>
      <c r="G35">
        <v>28563.779450000002</v>
      </c>
      <c r="H35">
        <v>7844.06412</v>
      </c>
      <c r="I35">
        <v>8830.7306900000003</v>
      </c>
      <c r="J35">
        <v>0</v>
      </c>
      <c r="K35">
        <f t="shared" si="0"/>
        <v>89522.20414999999</v>
      </c>
      <c r="L35">
        <v>32</v>
      </c>
      <c r="M35">
        <v>90322.215840000004</v>
      </c>
      <c r="N35">
        <v>6547.21677</v>
      </c>
      <c r="O35">
        <v>7427.7684900000004</v>
      </c>
      <c r="P35">
        <v>17406.326779999999</v>
      </c>
      <c r="Q35">
        <v>43023.495710000003</v>
      </c>
      <c r="R35">
        <v>90600.978669999997</v>
      </c>
      <c r="S35">
        <v>16909.08827</v>
      </c>
      <c r="T35">
        <v>27850.41634</v>
      </c>
      <c r="U35">
        <v>838.89625000000001</v>
      </c>
      <c r="V35">
        <f t="shared" si="1"/>
        <v>300926.40311999997</v>
      </c>
      <c r="W35">
        <v>32</v>
      </c>
      <c r="X35">
        <v>12533.67052</v>
      </c>
      <c r="Y35">
        <v>164.66001</v>
      </c>
      <c r="Z35">
        <v>1228.22199</v>
      </c>
      <c r="AA35">
        <v>0</v>
      </c>
      <c r="AB35">
        <v>1242.0726400000001</v>
      </c>
      <c r="AC35">
        <v>1455.0140899999999</v>
      </c>
      <c r="AD35">
        <v>0</v>
      </c>
      <c r="AE35">
        <v>0</v>
      </c>
      <c r="AF35">
        <v>0</v>
      </c>
      <c r="AG35" s="29">
        <f t="shared" si="2"/>
        <v>16623.63925</v>
      </c>
    </row>
    <row r="36" spans="1:33" x14ac:dyDescent="0.25">
      <c r="A36">
        <v>33</v>
      </c>
      <c r="B36">
        <v>1410.0479600000001</v>
      </c>
      <c r="C36">
        <v>0</v>
      </c>
      <c r="D36">
        <v>0</v>
      </c>
      <c r="E36">
        <v>10736.457770000001</v>
      </c>
      <c r="F36">
        <v>14611.78715</v>
      </c>
      <c r="G36">
        <v>18701.47983</v>
      </c>
      <c r="H36">
        <v>1234.0785900000001</v>
      </c>
      <c r="I36">
        <v>3336.0523400000002</v>
      </c>
      <c r="J36">
        <v>87.105360000000005</v>
      </c>
      <c r="K36">
        <f t="shared" si="0"/>
        <v>50117.009000000005</v>
      </c>
      <c r="L36">
        <v>33</v>
      </c>
      <c r="M36">
        <v>71512.161170000007</v>
      </c>
      <c r="N36">
        <v>20404.308949999999</v>
      </c>
      <c r="O36">
        <v>8285.8040899999996</v>
      </c>
      <c r="P36">
        <v>15891.446599999999</v>
      </c>
      <c r="Q36">
        <v>49135.91719</v>
      </c>
      <c r="R36">
        <v>85626.422420000003</v>
      </c>
      <c r="S36">
        <v>27647.508600000001</v>
      </c>
      <c r="T36">
        <v>29741.301640000001</v>
      </c>
      <c r="U36">
        <v>497.43257</v>
      </c>
      <c r="V36">
        <f t="shared" si="1"/>
        <v>308742.30323000002</v>
      </c>
      <c r="W36">
        <v>33</v>
      </c>
      <c r="X36">
        <v>14945.41044</v>
      </c>
      <c r="Y36">
        <v>47.197839999999999</v>
      </c>
      <c r="Z36">
        <v>526.72090000000003</v>
      </c>
      <c r="AA36">
        <v>0</v>
      </c>
      <c r="AB36">
        <v>129.24096</v>
      </c>
      <c r="AC36">
        <v>291.24847999999997</v>
      </c>
      <c r="AD36">
        <v>0</v>
      </c>
      <c r="AE36">
        <v>0</v>
      </c>
      <c r="AF36">
        <v>0</v>
      </c>
      <c r="AG36" s="29">
        <f t="shared" si="2"/>
        <v>15939.81862</v>
      </c>
    </row>
    <row r="37" spans="1:33" x14ac:dyDescent="0.25">
      <c r="A37">
        <v>34</v>
      </c>
      <c r="B37">
        <v>229.92596</v>
      </c>
      <c r="C37">
        <v>0</v>
      </c>
      <c r="D37">
        <v>0</v>
      </c>
      <c r="E37">
        <v>7172.6639800000003</v>
      </c>
      <c r="F37">
        <v>5794.40852</v>
      </c>
      <c r="G37">
        <v>15986.689969999999</v>
      </c>
      <c r="H37">
        <v>2874.4950600000002</v>
      </c>
      <c r="I37">
        <v>6110.1230400000004</v>
      </c>
      <c r="J37">
        <v>3998.66995</v>
      </c>
      <c r="K37">
        <f t="shared" si="0"/>
        <v>42166.976480000005</v>
      </c>
      <c r="L37">
        <v>34</v>
      </c>
      <c r="M37">
        <v>88832.604789999998</v>
      </c>
      <c r="N37">
        <v>11930.130730000001</v>
      </c>
      <c r="O37">
        <v>32480.87025</v>
      </c>
      <c r="P37">
        <v>15993.297060000001</v>
      </c>
      <c r="Q37">
        <v>44709.092490000003</v>
      </c>
      <c r="R37">
        <v>95999.091950000002</v>
      </c>
      <c r="S37">
        <v>9890.4763800000001</v>
      </c>
      <c r="T37">
        <v>35706.524210000003</v>
      </c>
      <c r="U37">
        <v>3998.66995</v>
      </c>
      <c r="V37">
        <f t="shared" si="1"/>
        <v>339540.75781000004</v>
      </c>
      <c r="W37">
        <v>34</v>
      </c>
      <c r="X37">
        <v>8329.4023199999992</v>
      </c>
      <c r="Y37">
        <v>83.648660000000007</v>
      </c>
      <c r="Z37">
        <v>103.16242</v>
      </c>
      <c r="AA37">
        <v>0</v>
      </c>
      <c r="AB37">
        <v>467.36718999999999</v>
      </c>
      <c r="AC37">
        <v>0</v>
      </c>
      <c r="AD37">
        <v>0</v>
      </c>
      <c r="AE37">
        <v>0</v>
      </c>
      <c r="AF37">
        <v>0</v>
      </c>
      <c r="AG37" s="29">
        <f t="shared" si="2"/>
        <v>8983.5805900000014</v>
      </c>
    </row>
    <row r="38" spans="1:33" x14ac:dyDescent="0.25">
      <c r="A38">
        <v>35</v>
      </c>
      <c r="B38">
        <v>0</v>
      </c>
      <c r="C38">
        <v>0</v>
      </c>
      <c r="D38">
        <v>0</v>
      </c>
      <c r="E38">
        <v>10069.96003</v>
      </c>
      <c r="F38">
        <v>6875.9766399999999</v>
      </c>
      <c r="G38">
        <v>4013.3159999999998</v>
      </c>
      <c r="H38">
        <v>710.71718999999996</v>
      </c>
      <c r="I38">
        <v>1027.4649300000001</v>
      </c>
      <c r="J38">
        <v>54.431310000000003</v>
      </c>
      <c r="K38">
        <f t="shared" si="0"/>
        <v>22751.866099999999</v>
      </c>
      <c r="L38">
        <v>35</v>
      </c>
      <c r="M38">
        <v>54581.825120000001</v>
      </c>
      <c r="N38">
        <v>7194.1762399999998</v>
      </c>
      <c r="O38">
        <v>4474.4452700000002</v>
      </c>
      <c r="P38">
        <v>10832.77961</v>
      </c>
      <c r="Q38">
        <v>23483.329440000001</v>
      </c>
      <c r="R38">
        <v>57732.855580000003</v>
      </c>
      <c r="S38">
        <v>5676.9943999999996</v>
      </c>
      <c r="T38">
        <v>21356.64359</v>
      </c>
      <c r="U38">
        <v>88.973479999999995</v>
      </c>
      <c r="V38">
        <f t="shared" si="1"/>
        <v>185422.02273</v>
      </c>
      <c r="W38">
        <v>35</v>
      </c>
      <c r="X38">
        <v>5396.0352499999999</v>
      </c>
      <c r="Y38">
        <v>505.34179999999998</v>
      </c>
      <c r="Z38">
        <v>0</v>
      </c>
      <c r="AA38">
        <v>0</v>
      </c>
      <c r="AB38">
        <v>409.02287999999999</v>
      </c>
      <c r="AC38">
        <v>48.290529999999997</v>
      </c>
      <c r="AD38">
        <v>0</v>
      </c>
      <c r="AE38">
        <v>0</v>
      </c>
      <c r="AF38">
        <v>0</v>
      </c>
      <c r="AG38" s="29">
        <f t="shared" si="2"/>
        <v>6358.6904599999998</v>
      </c>
    </row>
    <row r="39" spans="1:33" x14ac:dyDescent="0.25">
      <c r="A39">
        <v>36</v>
      </c>
      <c r="B39">
        <v>306.12294000000003</v>
      </c>
      <c r="C39">
        <v>0</v>
      </c>
      <c r="D39">
        <v>0</v>
      </c>
      <c r="E39">
        <v>9320.4838600000003</v>
      </c>
      <c r="F39">
        <v>2949.50828</v>
      </c>
      <c r="G39">
        <v>8912.0897499999992</v>
      </c>
      <c r="H39">
        <v>0</v>
      </c>
      <c r="I39">
        <v>1679.2295999999999</v>
      </c>
      <c r="J39">
        <v>25.12893</v>
      </c>
      <c r="K39">
        <f t="shared" si="0"/>
        <v>23192.563359999996</v>
      </c>
      <c r="L39">
        <v>36</v>
      </c>
      <c r="M39">
        <v>69703.045840000006</v>
      </c>
      <c r="N39">
        <v>5411.6154200000001</v>
      </c>
      <c r="O39">
        <v>3790.30456</v>
      </c>
      <c r="P39">
        <v>7462.4941500000004</v>
      </c>
      <c r="Q39">
        <v>15290.812239999999</v>
      </c>
      <c r="R39">
        <v>60955.156289999999</v>
      </c>
      <c r="S39">
        <v>4980.70208</v>
      </c>
      <c r="T39">
        <v>19071.622149999999</v>
      </c>
      <c r="U39">
        <v>267.86455000000001</v>
      </c>
      <c r="V39">
        <f t="shared" si="1"/>
        <v>186933.61728000001</v>
      </c>
      <c r="W39">
        <v>36</v>
      </c>
      <c r="X39">
        <v>3885.5714200000002</v>
      </c>
      <c r="Y39">
        <v>0</v>
      </c>
      <c r="Z39">
        <v>0</v>
      </c>
      <c r="AA39">
        <v>0</v>
      </c>
      <c r="AB39">
        <v>0</v>
      </c>
      <c r="AC39">
        <v>163.04205999999999</v>
      </c>
      <c r="AD39">
        <v>0</v>
      </c>
      <c r="AE39">
        <v>0</v>
      </c>
      <c r="AF39">
        <v>0</v>
      </c>
      <c r="AG39" s="29">
        <f t="shared" si="2"/>
        <v>4048.61348</v>
      </c>
    </row>
    <row r="40" spans="1:33" x14ac:dyDescent="0.25">
      <c r="A40">
        <v>37</v>
      </c>
      <c r="B40">
        <v>128.11025000000001</v>
      </c>
      <c r="C40">
        <v>0</v>
      </c>
      <c r="D40">
        <v>0</v>
      </c>
      <c r="E40">
        <v>6546.9249200000004</v>
      </c>
      <c r="F40">
        <v>2372.57377</v>
      </c>
      <c r="G40">
        <v>2118.22442</v>
      </c>
      <c r="H40">
        <v>0</v>
      </c>
      <c r="I40">
        <v>0</v>
      </c>
      <c r="J40">
        <v>0</v>
      </c>
      <c r="K40">
        <f t="shared" si="0"/>
        <v>11165.833360000001</v>
      </c>
      <c r="L40">
        <v>37</v>
      </c>
      <c r="M40">
        <v>52047.035839999997</v>
      </c>
      <c r="N40">
        <v>3296.6662000000001</v>
      </c>
      <c r="O40">
        <v>2177.5043599999999</v>
      </c>
      <c r="P40">
        <v>10423.70909</v>
      </c>
      <c r="Q40">
        <v>13571.607770000001</v>
      </c>
      <c r="R40">
        <v>35212.368040000001</v>
      </c>
      <c r="S40">
        <v>3093.2885700000002</v>
      </c>
      <c r="T40">
        <v>12045.97356</v>
      </c>
      <c r="U40">
        <v>0</v>
      </c>
      <c r="V40">
        <f t="shared" si="1"/>
        <v>131868.15343000001</v>
      </c>
      <c r="W40">
        <v>37</v>
      </c>
      <c r="X40">
        <v>3102.7604900000001</v>
      </c>
      <c r="Y40">
        <v>0</v>
      </c>
      <c r="Z40">
        <v>335.85291999999998</v>
      </c>
      <c r="AA40">
        <v>0</v>
      </c>
      <c r="AB40">
        <v>539.60029999999995</v>
      </c>
      <c r="AC40">
        <v>88.75215</v>
      </c>
      <c r="AD40">
        <v>0</v>
      </c>
      <c r="AE40">
        <v>0</v>
      </c>
      <c r="AF40">
        <v>0</v>
      </c>
      <c r="AG40" s="29">
        <f t="shared" si="2"/>
        <v>4066.9658599999998</v>
      </c>
    </row>
    <row r="41" spans="1:33" x14ac:dyDescent="0.25">
      <c r="A41">
        <v>38</v>
      </c>
      <c r="B41">
        <v>0</v>
      </c>
      <c r="C41">
        <v>0</v>
      </c>
      <c r="D41">
        <v>0</v>
      </c>
      <c r="E41">
        <v>1877.7432799999999</v>
      </c>
      <c r="F41">
        <v>1924.7625800000001</v>
      </c>
      <c r="G41">
        <v>4579.6883799999996</v>
      </c>
      <c r="H41">
        <v>0</v>
      </c>
      <c r="I41">
        <v>127.34954</v>
      </c>
      <c r="J41">
        <v>0</v>
      </c>
      <c r="K41">
        <f t="shared" si="0"/>
        <v>8509.54378</v>
      </c>
      <c r="L41">
        <v>38</v>
      </c>
      <c r="M41">
        <v>41197.679969999997</v>
      </c>
      <c r="N41">
        <v>2663.46587</v>
      </c>
      <c r="O41">
        <v>398.16870999999998</v>
      </c>
      <c r="P41">
        <v>7974.7592199999999</v>
      </c>
      <c r="Q41">
        <v>7331.9588800000001</v>
      </c>
      <c r="R41">
        <v>26045.42452</v>
      </c>
      <c r="S41">
        <v>1694.60709</v>
      </c>
      <c r="T41">
        <v>11051.09043</v>
      </c>
      <c r="U41">
        <v>0</v>
      </c>
      <c r="V41">
        <f t="shared" si="1"/>
        <v>98357.154689999996</v>
      </c>
      <c r="W41">
        <v>38</v>
      </c>
      <c r="X41">
        <v>86.148510000000002</v>
      </c>
      <c r="Y41">
        <v>0</v>
      </c>
      <c r="Z41">
        <v>0</v>
      </c>
      <c r="AA41">
        <v>0</v>
      </c>
      <c r="AB41">
        <v>0</v>
      </c>
      <c r="AC41">
        <v>35.628410000000002</v>
      </c>
      <c r="AD41">
        <v>0</v>
      </c>
      <c r="AE41">
        <v>0</v>
      </c>
      <c r="AF41">
        <v>0</v>
      </c>
      <c r="AG41" s="29">
        <f t="shared" si="2"/>
        <v>121.77692</v>
      </c>
    </row>
    <row r="42" spans="1:33" x14ac:dyDescent="0.25">
      <c r="A42">
        <v>39</v>
      </c>
      <c r="B42">
        <v>0</v>
      </c>
      <c r="C42">
        <v>0</v>
      </c>
      <c r="D42">
        <v>0</v>
      </c>
      <c r="E42">
        <v>2066.4291400000002</v>
      </c>
      <c r="F42">
        <v>290.91696000000002</v>
      </c>
      <c r="G42">
        <v>2204.70111</v>
      </c>
      <c r="H42">
        <v>0</v>
      </c>
      <c r="I42">
        <v>175.58951999999999</v>
      </c>
      <c r="J42">
        <v>0</v>
      </c>
      <c r="K42">
        <f t="shared" si="0"/>
        <v>4737.6367300000002</v>
      </c>
      <c r="L42">
        <v>39</v>
      </c>
      <c r="M42">
        <v>35252.637730000002</v>
      </c>
      <c r="N42">
        <v>536.78081999999995</v>
      </c>
      <c r="O42">
        <v>502.14285999999998</v>
      </c>
      <c r="P42">
        <v>4270.9747299999999</v>
      </c>
      <c r="Q42">
        <v>5777.5663599999998</v>
      </c>
      <c r="R42">
        <v>21924.512480000001</v>
      </c>
      <c r="S42">
        <v>140.58745999999999</v>
      </c>
      <c r="T42">
        <v>7981.9336999999996</v>
      </c>
      <c r="U42">
        <v>32.422780000000003</v>
      </c>
      <c r="V42">
        <f t="shared" si="1"/>
        <v>76419.558919999981</v>
      </c>
      <c r="W42">
        <v>39</v>
      </c>
      <c r="X42">
        <v>898.59717999999998</v>
      </c>
      <c r="Y42">
        <v>0</v>
      </c>
      <c r="Z42">
        <v>0</v>
      </c>
      <c r="AA42">
        <v>0</v>
      </c>
      <c r="AB42">
        <v>539.60029999999995</v>
      </c>
      <c r="AC42">
        <v>0</v>
      </c>
      <c r="AD42">
        <v>0</v>
      </c>
      <c r="AE42">
        <v>0</v>
      </c>
      <c r="AF42">
        <v>0</v>
      </c>
      <c r="AG42" s="29">
        <f t="shared" si="2"/>
        <v>1438.1974799999998</v>
      </c>
    </row>
    <row r="43" spans="1:33" x14ac:dyDescent="0.25">
      <c r="A43">
        <v>40</v>
      </c>
      <c r="B43">
        <v>0</v>
      </c>
      <c r="C43">
        <v>0</v>
      </c>
      <c r="D43">
        <v>0</v>
      </c>
      <c r="E43">
        <v>1188.31854</v>
      </c>
      <c r="F43">
        <v>294.47719999999998</v>
      </c>
      <c r="G43">
        <v>1817.43219</v>
      </c>
      <c r="H43">
        <v>0</v>
      </c>
      <c r="I43">
        <v>86.151579999999996</v>
      </c>
      <c r="J43">
        <v>153.94639000000001</v>
      </c>
      <c r="K43">
        <f t="shared" si="0"/>
        <v>3540.3259000000003</v>
      </c>
      <c r="L43">
        <v>40</v>
      </c>
      <c r="M43">
        <v>94769.685750000004</v>
      </c>
      <c r="N43">
        <v>1449.2581600000001</v>
      </c>
      <c r="O43">
        <v>186.16800000000001</v>
      </c>
      <c r="P43">
        <v>3655.97894</v>
      </c>
      <c r="Q43">
        <v>7214.77261</v>
      </c>
      <c r="R43">
        <v>65211.932260000001</v>
      </c>
      <c r="S43">
        <v>421.14046999999999</v>
      </c>
      <c r="T43">
        <v>12776.83711</v>
      </c>
      <c r="U43">
        <v>233.50663</v>
      </c>
      <c r="V43">
        <f>SUM(M43:U43)</f>
        <v>185919.27992999999</v>
      </c>
      <c r="W43">
        <v>40</v>
      </c>
      <c r="X43">
        <v>55.937130000000003</v>
      </c>
      <c r="Y43">
        <v>0</v>
      </c>
      <c r="Z43">
        <v>0</v>
      </c>
      <c r="AA43">
        <v>0</v>
      </c>
      <c r="AB43">
        <v>0</v>
      </c>
      <c r="AC43">
        <v>0</v>
      </c>
      <c r="AD43">
        <v>0</v>
      </c>
      <c r="AE43">
        <v>0</v>
      </c>
      <c r="AF43">
        <v>0</v>
      </c>
      <c r="AG43" s="29">
        <f>SUM(X43:AF43)</f>
        <v>55.937130000000003</v>
      </c>
    </row>
    <row r="45" spans="1:33" x14ac:dyDescent="0.25">
      <c r="A45" t="s">
        <v>3</v>
      </c>
    </row>
    <row r="46" spans="1:33" x14ac:dyDescent="0.25">
      <c r="A46" t="s">
        <v>122</v>
      </c>
      <c r="L46" t="s">
        <v>123</v>
      </c>
      <c r="W46" t="s">
        <v>124</v>
      </c>
    </row>
    <row r="47" spans="1:33" x14ac:dyDescent="0.25">
      <c r="B47" t="s">
        <v>55</v>
      </c>
      <c r="C47" t="s">
        <v>56</v>
      </c>
      <c r="D47" t="s">
        <v>115</v>
      </c>
      <c r="E47" t="s">
        <v>116</v>
      </c>
      <c r="F47" t="s">
        <v>117</v>
      </c>
      <c r="G47" t="s">
        <v>118</v>
      </c>
      <c r="H47" t="s">
        <v>119</v>
      </c>
      <c r="I47" t="s">
        <v>120</v>
      </c>
      <c r="J47" t="s">
        <v>121</v>
      </c>
      <c r="K47" t="s">
        <v>219</v>
      </c>
      <c r="M47" t="s">
        <v>55</v>
      </c>
      <c r="N47" t="s">
        <v>56</v>
      </c>
      <c r="O47" t="s">
        <v>115</v>
      </c>
      <c r="P47" t="s">
        <v>116</v>
      </c>
      <c r="Q47" t="s">
        <v>117</v>
      </c>
      <c r="R47" t="s">
        <v>118</v>
      </c>
      <c r="S47" t="s">
        <v>119</v>
      </c>
      <c r="T47" t="s">
        <v>120</v>
      </c>
      <c r="U47" t="s">
        <v>121</v>
      </c>
      <c r="V47" t="s">
        <v>219</v>
      </c>
      <c r="X47" t="s">
        <v>55</v>
      </c>
      <c r="Y47" t="s">
        <v>56</v>
      </c>
      <c r="Z47" t="s">
        <v>115</v>
      </c>
      <c r="AA47" t="s">
        <v>116</v>
      </c>
      <c r="AB47" t="s">
        <v>117</v>
      </c>
      <c r="AC47" t="s">
        <v>118</v>
      </c>
      <c r="AD47" t="s">
        <v>119</v>
      </c>
      <c r="AE47" t="s">
        <v>120</v>
      </c>
      <c r="AF47" t="s">
        <v>121</v>
      </c>
      <c r="AG47" s="29" t="s">
        <v>219</v>
      </c>
    </row>
    <row r="48" spans="1:33" x14ac:dyDescent="0.25">
      <c r="A48">
        <v>1</v>
      </c>
      <c r="B48">
        <v>19715</v>
      </c>
      <c r="C48">
        <v>96</v>
      </c>
      <c r="D48">
        <v>1658</v>
      </c>
      <c r="E48">
        <v>1085</v>
      </c>
      <c r="F48">
        <v>1908</v>
      </c>
      <c r="G48">
        <v>10919</v>
      </c>
      <c r="H48">
        <v>965</v>
      </c>
      <c r="I48">
        <v>3812</v>
      </c>
      <c r="J48">
        <v>58</v>
      </c>
      <c r="K48">
        <f>SUM(B48:J48)</f>
        <v>40216</v>
      </c>
      <c r="L48">
        <v>1</v>
      </c>
      <c r="M48">
        <v>14</v>
      </c>
      <c r="N48">
        <v>13</v>
      </c>
      <c r="O48">
        <v>21</v>
      </c>
      <c r="P48">
        <v>138</v>
      </c>
      <c r="Q48">
        <v>224</v>
      </c>
      <c r="R48">
        <v>1288</v>
      </c>
      <c r="S48">
        <v>96</v>
      </c>
      <c r="T48">
        <v>287</v>
      </c>
      <c r="U48">
        <v>0</v>
      </c>
      <c r="V48">
        <f>SUM(M48:U48)</f>
        <v>2081</v>
      </c>
      <c r="W48">
        <v>1</v>
      </c>
      <c r="X48">
        <v>4209</v>
      </c>
      <c r="Y48">
        <v>176</v>
      </c>
      <c r="Z48">
        <v>2184</v>
      </c>
      <c r="AA48">
        <v>49803</v>
      </c>
      <c r="AB48">
        <v>52745</v>
      </c>
      <c r="AC48">
        <v>31510</v>
      </c>
      <c r="AD48">
        <v>96</v>
      </c>
      <c r="AE48">
        <v>287</v>
      </c>
      <c r="AF48">
        <v>28636</v>
      </c>
      <c r="AG48" s="29">
        <f>SUM(X48:AF48)</f>
        <v>169646</v>
      </c>
    </row>
    <row r="49" spans="1:33" x14ac:dyDescent="0.25">
      <c r="A49">
        <v>2</v>
      </c>
      <c r="B49">
        <v>16788</v>
      </c>
      <c r="C49">
        <v>105</v>
      </c>
      <c r="D49">
        <v>1563</v>
      </c>
      <c r="E49">
        <v>1613</v>
      </c>
      <c r="F49">
        <v>2939</v>
      </c>
      <c r="G49">
        <v>10485</v>
      </c>
      <c r="H49">
        <v>1140</v>
      </c>
      <c r="I49">
        <v>3283</v>
      </c>
      <c r="J49">
        <v>116</v>
      </c>
      <c r="K49">
        <f t="shared" ref="K49:K86" si="3">SUM(B49:J49)</f>
        <v>38032</v>
      </c>
      <c r="L49">
        <v>2</v>
      </c>
      <c r="M49">
        <v>5</v>
      </c>
      <c r="N49">
        <v>0</v>
      </c>
      <c r="O49">
        <v>53</v>
      </c>
      <c r="P49">
        <v>659</v>
      </c>
      <c r="Q49">
        <v>691</v>
      </c>
      <c r="R49">
        <v>2640</v>
      </c>
      <c r="S49">
        <v>246</v>
      </c>
      <c r="T49">
        <v>622</v>
      </c>
      <c r="U49">
        <v>18</v>
      </c>
      <c r="V49">
        <f t="shared" ref="V49:V86" si="4">SUM(M49:U49)</f>
        <v>4934</v>
      </c>
      <c r="W49">
        <v>2</v>
      </c>
      <c r="X49">
        <v>4539</v>
      </c>
      <c r="Y49">
        <v>117</v>
      </c>
      <c r="Z49">
        <v>2074</v>
      </c>
      <c r="AA49">
        <v>113664</v>
      </c>
      <c r="AB49">
        <v>130267</v>
      </c>
      <c r="AC49">
        <v>53088</v>
      </c>
      <c r="AD49">
        <v>246</v>
      </c>
      <c r="AE49">
        <v>622</v>
      </c>
      <c r="AF49">
        <v>81603</v>
      </c>
      <c r="AG49" s="29">
        <f t="shared" ref="AG49:AG86" si="5">SUM(X49:AF49)</f>
        <v>386220</v>
      </c>
    </row>
    <row r="50" spans="1:33" x14ac:dyDescent="0.25">
      <c r="A50">
        <v>3</v>
      </c>
      <c r="B50">
        <v>33458</v>
      </c>
      <c r="C50">
        <v>43</v>
      </c>
      <c r="D50">
        <v>1607</v>
      </c>
      <c r="E50">
        <v>2434</v>
      </c>
      <c r="F50">
        <v>4338</v>
      </c>
      <c r="G50">
        <v>10724</v>
      </c>
      <c r="H50">
        <v>1483</v>
      </c>
      <c r="I50">
        <v>2632</v>
      </c>
      <c r="J50">
        <v>239</v>
      </c>
      <c r="K50">
        <f t="shared" si="3"/>
        <v>56958</v>
      </c>
      <c r="L50">
        <v>3</v>
      </c>
      <c r="M50">
        <v>17</v>
      </c>
      <c r="N50">
        <v>0</v>
      </c>
      <c r="O50">
        <v>54</v>
      </c>
      <c r="P50">
        <v>1159</v>
      </c>
      <c r="Q50">
        <v>1445</v>
      </c>
      <c r="R50">
        <v>4089</v>
      </c>
      <c r="S50">
        <v>685</v>
      </c>
      <c r="T50">
        <v>1562</v>
      </c>
      <c r="U50">
        <v>28</v>
      </c>
      <c r="V50">
        <f t="shared" si="4"/>
        <v>9039</v>
      </c>
      <c r="W50">
        <v>3</v>
      </c>
      <c r="X50">
        <v>4810</v>
      </c>
      <c r="Y50">
        <v>107</v>
      </c>
      <c r="Z50">
        <v>2114</v>
      </c>
      <c r="AA50">
        <v>43044</v>
      </c>
      <c r="AB50">
        <v>104844</v>
      </c>
      <c r="AC50">
        <v>62747</v>
      </c>
      <c r="AD50">
        <v>685</v>
      </c>
      <c r="AE50">
        <v>1562</v>
      </c>
      <c r="AF50">
        <v>68399</v>
      </c>
      <c r="AG50" s="29">
        <f t="shared" si="5"/>
        <v>288312</v>
      </c>
    </row>
    <row r="51" spans="1:33" x14ac:dyDescent="0.25">
      <c r="A51">
        <v>4</v>
      </c>
      <c r="B51">
        <v>56596</v>
      </c>
      <c r="C51">
        <v>758</v>
      </c>
      <c r="D51">
        <v>1738</v>
      </c>
      <c r="E51">
        <v>3481</v>
      </c>
      <c r="F51">
        <v>6439</v>
      </c>
      <c r="G51">
        <v>12218</v>
      </c>
      <c r="H51">
        <v>1586</v>
      </c>
      <c r="I51">
        <v>2026</v>
      </c>
      <c r="J51">
        <v>451</v>
      </c>
      <c r="K51">
        <f t="shared" si="3"/>
        <v>85293</v>
      </c>
      <c r="L51">
        <v>4</v>
      </c>
      <c r="M51">
        <v>71</v>
      </c>
      <c r="N51">
        <v>0</v>
      </c>
      <c r="O51">
        <v>53</v>
      </c>
      <c r="P51">
        <v>1789</v>
      </c>
      <c r="Q51">
        <v>2522</v>
      </c>
      <c r="R51">
        <v>6571</v>
      </c>
      <c r="S51">
        <v>1182</v>
      </c>
      <c r="T51">
        <v>2778</v>
      </c>
      <c r="U51">
        <v>91</v>
      </c>
      <c r="V51">
        <f t="shared" si="4"/>
        <v>15057</v>
      </c>
      <c r="W51">
        <v>4</v>
      </c>
      <c r="X51">
        <v>5238</v>
      </c>
      <c r="Y51">
        <v>550</v>
      </c>
      <c r="Z51">
        <v>2310</v>
      </c>
      <c r="AA51">
        <v>19510</v>
      </c>
      <c r="AB51">
        <v>79410</v>
      </c>
      <c r="AC51">
        <v>74099</v>
      </c>
      <c r="AD51">
        <v>1182</v>
      </c>
      <c r="AE51">
        <v>2778</v>
      </c>
      <c r="AF51">
        <v>33727</v>
      </c>
      <c r="AG51" s="29">
        <f t="shared" si="5"/>
        <v>218804</v>
      </c>
    </row>
    <row r="52" spans="1:33" x14ac:dyDescent="0.25">
      <c r="A52">
        <v>5</v>
      </c>
      <c r="B52">
        <v>81032</v>
      </c>
      <c r="C52">
        <v>929</v>
      </c>
      <c r="D52">
        <v>32195</v>
      </c>
      <c r="E52">
        <v>6797</v>
      </c>
      <c r="F52">
        <v>9020</v>
      </c>
      <c r="G52">
        <v>14366</v>
      </c>
      <c r="H52">
        <v>1638</v>
      </c>
      <c r="I52">
        <v>1564</v>
      </c>
      <c r="J52">
        <v>726</v>
      </c>
      <c r="K52">
        <f t="shared" si="3"/>
        <v>148267</v>
      </c>
      <c r="L52">
        <v>5</v>
      </c>
      <c r="M52">
        <v>170</v>
      </c>
      <c r="N52">
        <v>1</v>
      </c>
      <c r="O52">
        <v>192</v>
      </c>
      <c r="P52">
        <v>2990</v>
      </c>
      <c r="Q52">
        <v>4103</v>
      </c>
      <c r="R52">
        <v>8467</v>
      </c>
      <c r="S52">
        <v>1586</v>
      </c>
      <c r="T52">
        <v>3061</v>
      </c>
      <c r="U52">
        <v>186</v>
      </c>
      <c r="V52">
        <f t="shared" si="4"/>
        <v>20756</v>
      </c>
      <c r="W52">
        <v>5</v>
      </c>
      <c r="X52">
        <v>5897</v>
      </c>
      <c r="Y52">
        <v>1225</v>
      </c>
      <c r="Z52">
        <v>2093</v>
      </c>
      <c r="AA52">
        <v>10055</v>
      </c>
      <c r="AB52">
        <v>57979</v>
      </c>
      <c r="AC52">
        <v>59135</v>
      </c>
      <c r="AD52">
        <v>1586</v>
      </c>
      <c r="AE52">
        <v>3061</v>
      </c>
      <c r="AF52">
        <v>17554</v>
      </c>
      <c r="AG52" s="29">
        <f t="shared" si="5"/>
        <v>158585</v>
      </c>
    </row>
    <row r="53" spans="1:33" x14ac:dyDescent="0.25">
      <c r="A53">
        <v>6</v>
      </c>
      <c r="B53">
        <v>98586</v>
      </c>
      <c r="C53">
        <v>4009</v>
      </c>
      <c r="D53">
        <v>71641</v>
      </c>
      <c r="E53">
        <v>11458</v>
      </c>
      <c r="F53">
        <v>11984</v>
      </c>
      <c r="G53">
        <v>18115</v>
      </c>
      <c r="H53">
        <v>1620</v>
      </c>
      <c r="I53">
        <v>1311</v>
      </c>
      <c r="J53">
        <v>1583</v>
      </c>
      <c r="K53">
        <f t="shared" si="3"/>
        <v>220307</v>
      </c>
      <c r="L53">
        <v>6</v>
      </c>
      <c r="M53">
        <v>274</v>
      </c>
      <c r="N53">
        <v>3</v>
      </c>
      <c r="O53">
        <v>370</v>
      </c>
      <c r="P53">
        <v>5623</v>
      </c>
      <c r="Q53">
        <v>5331</v>
      </c>
      <c r="R53">
        <v>9439</v>
      </c>
      <c r="S53">
        <v>1581</v>
      </c>
      <c r="T53">
        <v>2337</v>
      </c>
      <c r="U53">
        <v>302</v>
      </c>
      <c r="V53">
        <f t="shared" si="4"/>
        <v>25260</v>
      </c>
      <c r="W53">
        <v>6</v>
      </c>
      <c r="X53">
        <v>6537</v>
      </c>
      <c r="Y53">
        <v>1681</v>
      </c>
      <c r="Z53">
        <v>2131</v>
      </c>
      <c r="AA53">
        <v>5214</v>
      </c>
      <c r="AB53">
        <v>40341</v>
      </c>
      <c r="AC53">
        <v>48696</v>
      </c>
      <c r="AD53">
        <v>1581</v>
      </c>
      <c r="AE53">
        <v>2337</v>
      </c>
      <c r="AF53">
        <v>4998</v>
      </c>
      <c r="AG53" s="29">
        <f t="shared" si="5"/>
        <v>113516</v>
      </c>
    </row>
    <row r="54" spans="1:33" x14ac:dyDescent="0.25">
      <c r="A54">
        <v>7</v>
      </c>
      <c r="B54">
        <v>99774</v>
      </c>
      <c r="C54">
        <v>3330</v>
      </c>
      <c r="D54">
        <v>83826</v>
      </c>
      <c r="E54">
        <v>16309</v>
      </c>
      <c r="F54">
        <v>16308</v>
      </c>
      <c r="G54">
        <v>18640</v>
      </c>
      <c r="H54">
        <v>1839</v>
      </c>
      <c r="I54">
        <v>1002</v>
      </c>
      <c r="J54">
        <v>3745</v>
      </c>
      <c r="K54">
        <f t="shared" si="3"/>
        <v>244773</v>
      </c>
      <c r="L54">
        <v>7</v>
      </c>
      <c r="M54">
        <v>524</v>
      </c>
      <c r="N54">
        <v>2</v>
      </c>
      <c r="O54">
        <v>612</v>
      </c>
      <c r="P54">
        <v>9654</v>
      </c>
      <c r="Q54">
        <v>6382</v>
      </c>
      <c r="R54">
        <v>9567</v>
      </c>
      <c r="S54">
        <v>1327</v>
      </c>
      <c r="T54">
        <v>1493</v>
      </c>
      <c r="U54">
        <v>568</v>
      </c>
      <c r="V54">
        <f t="shared" si="4"/>
        <v>30129</v>
      </c>
      <c r="W54">
        <v>7</v>
      </c>
      <c r="X54">
        <v>7183</v>
      </c>
      <c r="Y54">
        <v>1739</v>
      </c>
      <c r="Z54">
        <v>2554</v>
      </c>
      <c r="AA54">
        <v>4232</v>
      </c>
      <c r="AB54">
        <v>28659</v>
      </c>
      <c r="AC54">
        <v>39495</v>
      </c>
      <c r="AD54">
        <v>1327</v>
      </c>
      <c r="AE54">
        <v>1493</v>
      </c>
      <c r="AF54">
        <v>4200</v>
      </c>
      <c r="AG54" s="29">
        <f t="shared" si="5"/>
        <v>90882</v>
      </c>
    </row>
    <row r="55" spans="1:33" x14ac:dyDescent="0.25">
      <c r="A55">
        <v>8</v>
      </c>
      <c r="B55">
        <v>76753</v>
      </c>
      <c r="C55">
        <v>2552</v>
      </c>
      <c r="D55">
        <v>66918</v>
      </c>
      <c r="E55">
        <v>20183</v>
      </c>
      <c r="F55">
        <v>23205</v>
      </c>
      <c r="G55">
        <v>21450</v>
      </c>
      <c r="H55">
        <v>2418</v>
      </c>
      <c r="I55">
        <v>1106</v>
      </c>
      <c r="J55">
        <v>4314</v>
      </c>
      <c r="K55">
        <f t="shared" si="3"/>
        <v>218899</v>
      </c>
      <c r="L55">
        <v>8</v>
      </c>
      <c r="M55">
        <v>712</v>
      </c>
      <c r="N55">
        <v>9</v>
      </c>
      <c r="O55">
        <v>792</v>
      </c>
      <c r="P55">
        <v>15355</v>
      </c>
      <c r="Q55">
        <v>7317</v>
      </c>
      <c r="R55">
        <v>11080</v>
      </c>
      <c r="S55">
        <v>1056</v>
      </c>
      <c r="T55">
        <v>950</v>
      </c>
      <c r="U55">
        <v>1203</v>
      </c>
      <c r="V55">
        <f t="shared" si="4"/>
        <v>38474</v>
      </c>
      <c r="W55">
        <v>8</v>
      </c>
      <c r="X55">
        <v>8234</v>
      </c>
      <c r="Y55">
        <v>1824</v>
      </c>
      <c r="Z55">
        <v>3199</v>
      </c>
      <c r="AA55">
        <v>3524</v>
      </c>
      <c r="AB55">
        <v>20253</v>
      </c>
      <c r="AC55">
        <v>31441</v>
      </c>
      <c r="AD55">
        <v>1056</v>
      </c>
      <c r="AE55">
        <v>950</v>
      </c>
      <c r="AF55">
        <v>4466</v>
      </c>
      <c r="AG55" s="29">
        <f t="shared" si="5"/>
        <v>74947</v>
      </c>
    </row>
    <row r="56" spans="1:33" x14ac:dyDescent="0.25">
      <c r="A56">
        <v>9</v>
      </c>
      <c r="B56">
        <v>45680</v>
      </c>
      <c r="C56">
        <v>2659</v>
      </c>
      <c r="D56">
        <v>42894</v>
      </c>
      <c r="E56">
        <v>15400</v>
      </c>
      <c r="F56">
        <v>24720</v>
      </c>
      <c r="G56">
        <v>22007</v>
      </c>
      <c r="H56">
        <v>2497</v>
      </c>
      <c r="I56">
        <v>1076</v>
      </c>
      <c r="J56">
        <v>4631</v>
      </c>
      <c r="K56">
        <f t="shared" si="3"/>
        <v>161564</v>
      </c>
      <c r="L56">
        <v>9</v>
      </c>
      <c r="M56">
        <v>933</v>
      </c>
      <c r="N56">
        <v>11</v>
      </c>
      <c r="O56">
        <v>905</v>
      </c>
      <c r="P56">
        <v>14273</v>
      </c>
      <c r="Q56">
        <v>8443</v>
      </c>
      <c r="R56">
        <v>8327</v>
      </c>
      <c r="S56">
        <v>902</v>
      </c>
      <c r="T56">
        <v>537</v>
      </c>
      <c r="U56">
        <v>1863</v>
      </c>
      <c r="V56">
        <f t="shared" si="4"/>
        <v>36194</v>
      </c>
      <c r="W56">
        <v>9</v>
      </c>
      <c r="X56">
        <v>8788</v>
      </c>
      <c r="Y56">
        <v>1907</v>
      </c>
      <c r="Z56">
        <v>3753</v>
      </c>
      <c r="AA56">
        <v>2961</v>
      </c>
      <c r="AB56">
        <v>14807</v>
      </c>
      <c r="AC56">
        <v>23114</v>
      </c>
      <c r="AD56">
        <v>902</v>
      </c>
      <c r="AE56">
        <v>537</v>
      </c>
      <c r="AF56">
        <v>2697</v>
      </c>
      <c r="AG56" s="29">
        <f t="shared" si="5"/>
        <v>59466</v>
      </c>
    </row>
    <row r="57" spans="1:33" x14ac:dyDescent="0.25">
      <c r="A57">
        <v>10</v>
      </c>
      <c r="B57">
        <v>24126</v>
      </c>
      <c r="C57">
        <v>1897</v>
      </c>
      <c r="D57">
        <v>5029</v>
      </c>
      <c r="E57">
        <v>4608</v>
      </c>
      <c r="F57">
        <v>29324</v>
      </c>
      <c r="G57">
        <v>17867</v>
      </c>
      <c r="H57">
        <v>3285</v>
      </c>
      <c r="I57">
        <v>1404</v>
      </c>
      <c r="J57">
        <v>4912</v>
      </c>
      <c r="K57">
        <f t="shared" si="3"/>
        <v>92452</v>
      </c>
      <c r="L57">
        <v>10</v>
      </c>
      <c r="M57">
        <v>1129</v>
      </c>
      <c r="N57">
        <v>39</v>
      </c>
      <c r="O57">
        <v>776</v>
      </c>
      <c r="P57">
        <v>12795</v>
      </c>
      <c r="Q57">
        <v>11315</v>
      </c>
      <c r="R57">
        <v>9149</v>
      </c>
      <c r="S57">
        <v>1165</v>
      </c>
      <c r="T57">
        <v>504</v>
      </c>
      <c r="U57">
        <v>2480</v>
      </c>
      <c r="V57">
        <f t="shared" si="4"/>
        <v>39352</v>
      </c>
      <c r="W57">
        <v>10</v>
      </c>
      <c r="X57">
        <v>10190</v>
      </c>
      <c r="Y57">
        <v>1340</v>
      </c>
      <c r="Z57">
        <v>4289</v>
      </c>
      <c r="AA57">
        <v>2412</v>
      </c>
      <c r="AB57">
        <v>10763</v>
      </c>
      <c r="AC57">
        <v>18472</v>
      </c>
      <c r="AD57">
        <v>1165</v>
      </c>
      <c r="AE57">
        <v>504</v>
      </c>
      <c r="AF57">
        <v>1636</v>
      </c>
      <c r="AG57" s="29">
        <f t="shared" si="5"/>
        <v>50771</v>
      </c>
    </row>
    <row r="58" spans="1:33" x14ac:dyDescent="0.25">
      <c r="A58">
        <v>11</v>
      </c>
      <c r="B58">
        <v>18046</v>
      </c>
      <c r="C58">
        <v>1481</v>
      </c>
      <c r="D58">
        <v>2049</v>
      </c>
      <c r="E58">
        <v>4109</v>
      </c>
      <c r="F58">
        <v>27683</v>
      </c>
      <c r="G58">
        <v>14336</v>
      </c>
      <c r="H58">
        <v>2955</v>
      </c>
      <c r="I58">
        <v>1183</v>
      </c>
      <c r="J58">
        <v>5275</v>
      </c>
      <c r="K58">
        <f t="shared" si="3"/>
        <v>77117</v>
      </c>
      <c r="L58">
        <v>11</v>
      </c>
      <c r="M58">
        <v>1502</v>
      </c>
      <c r="N58">
        <v>109</v>
      </c>
      <c r="O58">
        <v>713</v>
      </c>
      <c r="P58">
        <v>5285</v>
      </c>
      <c r="Q58">
        <v>15006</v>
      </c>
      <c r="R58">
        <v>9685</v>
      </c>
      <c r="S58">
        <v>1573</v>
      </c>
      <c r="T58">
        <v>562</v>
      </c>
      <c r="U58">
        <v>3060</v>
      </c>
      <c r="V58">
        <f t="shared" si="4"/>
        <v>37495</v>
      </c>
      <c r="W58">
        <v>11</v>
      </c>
      <c r="X58">
        <v>11449</v>
      </c>
      <c r="Y58">
        <v>1424</v>
      </c>
      <c r="Z58">
        <v>5096</v>
      </c>
      <c r="AA58">
        <v>1961</v>
      </c>
      <c r="AB58">
        <v>7770</v>
      </c>
      <c r="AC58">
        <v>14584</v>
      </c>
      <c r="AD58">
        <v>1573</v>
      </c>
      <c r="AE58">
        <v>562</v>
      </c>
      <c r="AF58">
        <v>1106</v>
      </c>
      <c r="AG58" s="29">
        <f t="shared" si="5"/>
        <v>45525</v>
      </c>
    </row>
    <row r="59" spans="1:33" x14ac:dyDescent="0.25">
      <c r="A59">
        <v>12</v>
      </c>
      <c r="B59">
        <v>15371</v>
      </c>
      <c r="C59">
        <v>1334</v>
      </c>
      <c r="D59">
        <v>1636</v>
      </c>
      <c r="E59">
        <v>4129</v>
      </c>
      <c r="F59">
        <v>33971</v>
      </c>
      <c r="G59">
        <v>13128</v>
      </c>
      <c r="H59">
        <v>3991</v>
      </c>
      <c r="I59">
        <v>1074</v>
      </c>
      <c r="J59">
        <v>6124</v>
      </c>
      <c r="K59">
        <f t="shared" si="3"/>
        <v>80758</v>
      </c>
      <c r="L59">
        <v>12</v>
      </c>
      <c r="M59">
        <v>1891</v>
      </c>
      <c r="N59">
        <v>197</v>
      </c>
      <c r="O59">
        <v>1018</v>
      </c>
      <c r="P59">
        <v>4169</v>
      </c>
      <c r="Q59">
        <v>17826</v>
      </c>
      <c r="R59">
        <v>9517</v>
      </c>
      <c r="S59">
        <v>1908</v>
      </c>
      <c r="T59">
        <v>573</v>
      </c>
      <c r="U59">
        <v>3753</v>
      </c>
      <c r="V59">
        <f t="shared" si="4"/>
        <v>40852</v>
      </c>
      <c r="W59">
        <v>12</v>
      </c>
      <c r="X59">
        <v>13116</v>
      </c>
      <c r="Y59">
        <v>1383</v>
      </c>
      <c r="Z59">
        <v>5841</v>
      </c>
      <c r="AA59">
        <v>1647</v>
      </c>
      <c r="AB59">
        <v>5720</v>
      </c>
      <c r="AC59">
        <v>12275</v>
      </c>
      <c r="AD59">
        <v>1908</v>
      </c>
      <c r="AE59">
        <v>573</v>
      </c>
      <c r="AF59">
        <v>1004</v>
      </c>
      <c r="AG59" s="29">
        <f t="shared" si="5"/>
        <v>43467</v>
      </c>
    </row>
    <row r="60" spans="1:33" x14ac:dyDescent="0.25">
      <c r="A60">
        <v>13</v>
      </c>
      <c r="B60">
        <v>13017</v>
      </c>
      <c r="C60">
        <v>1101</v>
      </c>
      <c r="D60">
        <v>1459</v>
      </c>
      <c r="E60">
        <v>4706</v>
      </c>
      <c r="F60">
        <v>28205</v>
      </c>
      <c r="G60">
        <v>11371</v>
      </c>
      <c r="H60">
        <v>3198</v>
      </c>
      <c r="I60">
        <v>819</v>
      </c>
      <c r="J60">
        <v>7784</v>
      </c>
      <c r="K60">
        <f t="shared" si="3"/>
        <v>71660</v>
      </c>
      <c r="L60">
        <v>13</v>
      </c>
      <c r="M60">
        <v>2409</v>
      </c>
      <c r="N60">
        <v>414</v>
      </c>
      <c r="O60">
        <v>1416</v>
      </c>
      <c r="P60">
        <v>3448</v>
      </c>
      <c r="Q60">
        <v>19957</v>
      </c>
      <c r="R60">
        <v>9211</v>
      </c>
      <c r="S60">
        <v>2177</v>
      </c>
      <c r="T60">
        <v>620</v>
      </c>
      <c r="U60">
        <v>4461</v>
      </c>
      <c r="V60">
        <f t="shared" si="4"/>
        <v>44113</v>
      </c>
      <c r="W60">
        <v>13</v>
      </c>
      <c r="X60">
        <v>14646</v>
      </c>
      <c r="Y60">
        <v>1343</v>
      </c>
      <c r="Z60">
        <v>9726</v>
      </c>
      <c r="AA60">
        <v>1388</v>
      </c>
      <c r="AB60">
        <v>4315</v>
      </c>
      <c r="AC60">
        <v>10490</v>
      </c>
      <c r="AD60">
        <v>2177</v>
      </c>
      <c r="AE60">
        <v>620</v>
      </c>
      <c r="AF60">
        <v>762</v>
      </c>
      <c r="AG60" s="29">
        <f t="shared" si="5"/>
        <v>45467</v>
      </c>
    </row>
    <row r="61" spans="1:33" x14ac:dyDescent="0.25">
      <c r="A61">
        <v>14</v>
      </c>
      <c r="B61">
        <v>11176</v>
      </c>
      <c r="C61">
        <v>883</v>
      </c>
      <c r="D61">
        <v>1431</v>
      </c>
      <c r="E61">
        <v>9124</v>
      </c>
      <c r="F61">
        <v>26068</v>
      </c>
      <c r="G61">
        <v>11699</v>
      </c>
      <c r="H61">
        <v>3108</v>
      </c>
      <c r="I61">
        <v>1140</v>
      </c>
      <c r="J61">
        <v>17597</v>
      </c>
      <c r="K61">
        <f t="shared" si="3"/>
        <v>82226</v>
      </c>
      <c r="L61">
        <v>14</v>
      </c>
      <c r="M61">
        <v>3052</v>
      </c>
      <c r="N61">
        <v>790</v>
      </c>
      <c r="O61">
        <v>1926</v>
      </c>
      <c r="P61">
        <v>5952</v>
      </c>
      <c r="Q61">
        <v>23947</v>
      </c>
      <c r="R61">
        <v>11341</v>
      </c>
      <c r="S61">
        <v>2535</v>
      </c>
      <c r="T61">
        <v>774</v>
      </c>
      <c r="U61">
        <v>6181</v>
      </c>
      <c r="V61">
        <f t="shared" si="4"/>
        <v>56498</v>
      </c>
      <c r="W61">
        <v>14</v>
      </c>
      <c r="X61">
        <v>15996</v>
      </c>
      <c r="Y61">
        <v>1237</v>
      </c>
      <c r="Z61">
        <v>16078</v>
      </c>
      <c r="AA61">
        <v>1228</v>
      </c>
      <c r="AB61">
        <v>3165</v>
      </c>
      <c r="AC61">
        <v>9412</v>
      </c>
      <c r="AD61">
        <v>2535</v>
      </c>
      <c r="AE61">
        <v>774</v>
      </c>
      <c r="AF61">
        <v>610</v>
      </c>
      <c r="AG61" s="29">
        <f t="shared" si="5"/>
        <v>51035</v>
      </c>
    </row>
    <row r="62" spans="1:33" x14ac:dyDescent="0.25">
      <c r="A62">
        <v>15</v>
      </c>
      <c r="B62">
        <v>10041</v>
      </c>
      <c r="C62">
        <v>794</v>
      </c>
      <c r="D62">
        <v>1451</v>
      </c>
      <c r="E62">
        <v>9781</v>
      </c>
      <c r="F62">
        <v>20962</v>
      </c>
      <c r="G62">
        <v>13088</v>
      </c>
      <c r="H62">
        <v>2400</v>
      </c>
      <c r="I62">
        <v>1070</v>
      </c>
      <c r="J62">
        <v>46202</v>
      </c>
      <c r="K62">
        <f t="shared" si="3"/>
        <v>105789</v>
      </c>
      <c r="L62">
        <v>15</v>
      </c>
      <c r="M62">
        <v>3974</v>
      </c>
      <c r="N62">
        <v>809</v>
      </c>
      <c r="O62">
        <v>2603</v>
      </c>
      <c r="P62">
        <v>8926</v>
      </c>
      <c r="Q62">
        <v>24802</v>
      </c>
      <c r="R62">
        <v>10786</v>
      </c>
      <c r="S62">
        <v>2850</v>
      </c>
      <c r="T62">
        <v>777</v>
      </c>
      <c r="U62">
        <v>11670</v>
      </c>
      <c r="V62">
        <f t="shared" si="4"/>
        <v>67197</v>
      </c>
      <c r="W62">
        <v>15</v>
      </c>
      <c r="X62">
        <v>18173</v>
      </c>
      <c r="Y62">
        <v>1338</v>
      </c>
      <c r="Z62">
        <v>45150</v>
      </c>
      <c r="AA62">
        <v>1016</v>
      </c>
      <c r="AB62">
        <v>3402</v>
      </c>
      <c r="AC62">
        <v>8610</v>
      </c>
      <c r="AD62">
        <v>2850</v>
      </c>
      <c r="AE62">
        <v>777</v>
      </c>
      <c r="AF62">
        <v>501</v>
      </c>
      <c r="AG62" s="29">
        <f t="shared" si="5"/>
        <v>81817</v>
      </c>
    </row>
    <row r="63" spans="1:33" x14ac:dyDescent="0.25">
      <c r="A63">
        <v>16</v>
      </c>
      <c r="B63">
        <v>9179</v>
      </c>
      <c r="C63">
        <v>695</v>
      </c>
      <c r="D63">
        <v>874</v>
      </c>
      <c r="E63">
        <v>3883</v>
      </c>
      <c r="F63">
        <v>20110</v>
      </c>
      <c r="G63">
        <v>12486</v>
      </c>
      <c r="H63">
        <v>2233</v>
      </c>
      <c r="I63">
        <v>1345</v>
      </c>
      <c r="J63">
        <v>59493</v>
      </c>
      <c r="K63">
        <f t="shared" si="3"/>
        <v>110298</v>
      </c>
      <c r="L63">
        <v>16</v>
      </c>
      <c r="M63">
        <v>5262</v>
      </c>
      <c r="N63">
        <v>924</v>
      </c>
      <c r="O63">
        <v>3653</v>
      </c>
      <c r="P63">
        <v>8161</v>
      </c>
      <c r="Q63">
        <v>24314</v>
      </c>
      <c r="R63">
        <v>10387</v>
      </c>
      <c r="S63">
        <v>2837</v>
      </c>
      <c r="T63">
        <v>831</v>
      </c>
      <c r="U63">
        <v>27297</v>
      </c>
      <c r="V63">
        <f t="shared" si="4"/>
        <v>83666</v>
      </c>
      <c r="W63">
        <v>16</v>
      </c>
      <c r="X63">
        <v>21127</v>
      </c>
      <c r="Y63">
        <v>1238</v>
      </c>
      <c r="Z63">
        <v>57062</v>
      </c>
      <c r="AA63">
        <v>872</v>
      </c>
      <c r="AB63">
        <v>3443</v>
      </c>
      <c r="AC63">
        <v>7870</v>
      </c>
      <c r="AD63">
        <v>2837</v>
      </c>
      <c r="AE63">
        <v>831</v>
      </c>
      <c r="AF63">
        <v>389</v>
      </c>
      <c r="AG63" s="29">
        <f t="shared" si="5"/>
        <v>95669</v>
      </c>
    </row>
    <row r="64" spans="1:33" x14ac:dyDescent="0.25">
      <c r="A64">
        <v>17</v>
      </c>
      <c r="B64">
        <v>8462</v>
      </c>
      <c r="C64">
        <v>609</v>
      </c>
      <c r="D64">
        <v>561</v>
      </c>
      <c r="E64">
        <v>3299</v>
      </c>
      <c r="F64">
        <v>19999</v>
      </c>
      <c r="G64">
        <v>11515</v>
      </c>
      <c r="H64">
        <v>2225</v>
      </c>
      <c r="I64">
        <v>1009</v>
      </c>
      <c r="J64">
        <v>26680</v>
      </c>
      <c r="K64">
        <f t="shared" si="3"/>
        <v>74359</v>
      </c>
      <c r="L64">
        <v>17</v>
      </c>
      <c r="M64">
        <v>6868</v>
      </c>
      <c r="N64">
        <v>954</v>
      </c>
      <c r="O64">
        <v>4537</v>
      </c>
      <c r="P64">
        <v>4945</v>
      </c>
      <c r="Q64">
        <v>23504</v>
      </c>
      <c r="R64">
        <v>9955</v>
      </c>
      <c r="S64">
        <v>2720</v>
      </c>
      <c r="T64">
        <v>877</v>
      </c>
      <c r="U64">
        <v>47333</v>
      </c>
      <c r="V64">
        <f t="shared" si="4"/>
        <v>101693</v>
      </c>
      <c r="W64">
        <v>17</v>
      </c>
      <c r="X64">
        <v>24713</v>
      </c>
      <c r="Y64">
        <v>1240</v>
      </c>
      <c r="Z64">
        <v>48408</v>
      </c>
      <c r="AA64">
        <v>711</v>
      </c>
      <c r="AB64">
        <v>3679</v>
      </c>
      <c r="AC64">
        <v>7670</v>
      </c>
      <c r="AD64">
        <v>2720</v>
      </c>
      <c r="AE64">
        <v>877</v>
      </c>
      <c r="AF64">
        <v>331</v>
      </c>
      <c r="AG64" s="29">
        <f t="shared" si="5"/>
        <v>90349</v>
      </c>
    </row>
    <row r="65" spans="1:33" x14ac:dyDescent="0.25">
      <c r="A65">
        <v>18</v>
      </c>
      <c r="B65">
        <v>7682</v>
      </c>
      <c r="C65">
        <v>528</v>
      </c>
      <c r="D65">
        <v>375</v>
      </c>
      <c r="E65">
        <v>3025</v>
      </c>
      <c r="F65">
        <v>19639</v>
      </c>
      <c r="G65">
        <v>11150</v>
      </c>
      <c r="H65">
        <v>2274</v>
      </c>
      <c r="I65">
        <v>1091</v>
      </c>
      <c r="J65">
        <v>18803</v>
      </c>
      <c r="K65">
        <f t="shared" si="3"/>
        <v>64567</v>
      </c>
      <c r="L65">
        <v>18</v>
      </c>
      <c r="M65">
        <v>8924</v>
      </c>
      <c r="N65">
        <v>1013</v>
      </c>
      <c r="O65">
        <v>5771</v>
      </c>
      <c r="P65">
        <v>3594</v>
      </c>
      <c r="Q65">
        <v>22842</v>
      </c>
      <c r="R65">
        <v>11311</v>
      </c>
      <c r="S65">
        <v>2572</v>
      </c>
      <c r="T65">
        <v>935</v>
      </c>
      <c r="U65">
        <v>46186</v>
      </c>
      <c r="V65">
        <f t="shared" si="4"/>
        <v>103148</v>
      </c>
      <c r="W65">
        <v>18</v>
      </c>
      <c r="X65">
        <v>34143</v>
      </c>
      <c r="Y65">
        <v>1163</v>
      </c>
      <c r="Z65">
        <v>32272</v>
      </c>
      <c r="AA65">
        <v>625</v>
      </c>
      <c r="AB65">
        <v>2924</v>
      </c>
      <c r="AC65">
        <v>5964</v>
      </c>
      <c r="AD65">
        <v>2572</v>
      </c>
      <c r="AE65">
        <v>935</v>
      </c>
      <c r="AF65">
        <v>254</v>
      </c>
      <c r="AG65" s="29">
        <f t="shared" si="5"/>
        <v>80852</v>
      </c>
    </row>
    <row r="66" spans="1:33" x14ac:dyDescent="0.25">
      <c r="A66">
        <v>19</v>
      </c>
      <c r="B66">
        <v>7098</v>
      </c>
      <c r="C66">
        <v>437</v>
      </c>
      <c r="D66">
        <v>433</v>
      </c>
      <c r="E66">
        <v>5274</v>
      </c>
      <c r="F66">
        <v>19601</v>
      </c>
      <c r="G66">
        <v>11216</v>
      </c>
      <c r="H66">
        <v>2153</v>
      </c>
      <c r="I66">
        <v>793</v>
      </c>
      <c r="J66">
        <v>11887</v>
      </c>
      <c r="K66">
        <f t="shared" si="3"/>
        <v>58892</v>
      </c>
      <c r="L66">
        <v>19</v>
      </c>
      <c r="M66">
        <v>11643</v>
      </c>
      <c r="N66">
        <v>1032</v>
      </c>
      <c r="O66">
        <v>6360</v>
      </c>
      <c r="P66">
        <v>3840</v>
      </c>
      <c r="Q66">
        <v>22722</v>
      </c>
      <c r="R66">
        <v>11250</v>
      </c>
      <c r="S66">
        <v>2516</v>
      </c>
      <c r="T66">
        <v>915</v>
      </c>
      <c r="U66">
        <v>31296</v>
      </c>
      <c r="V66">
        <f t="shared" si="4"/>
        <v>91574</v>
      </c>
      <c r="W66">
        <v>19</v>
      </c>
      <c r="X66">
        <v>51146</v>
      </c>
      <c r="Y66">
        <v>1031</v>
      </c>
      <c r="Z66">
        <v>19411</v>
      </c>
      <c r="AA66">
        <v>519</v>
      </c>
      <c r="AB66">
        <v>2617</v>
      </c>
      <c r="AC66">
        <v>4723</v>
      </c>
      <c r="AD66">
        <v>2516</v>
      </c>
      <c r="AE66">
        <v>915</v>
      </c>
      <c r="AF66">
        <v>192</v>
      </c>
      <c r="AG66" s="29">
        <f t="shared" si="5"/>
        <v>83070</v>
      </c>
    </row>
    <row r="67" spans="1:33" x14ac:dyDescent="0.25">
      <c r="A67">
        <v>20</v>
      </c>
      <c r="B67">
        <v>6710</v>
      </c>
      <c r="C67">
        <v>368</v>
      </c>
      <c r="D67">
        <v>495</v>
      </c>
      <c r="E67">
        <v>9373</v>
      </c>
      <c r="F67">
        <v>19198</v>
      </c>
      <c r="G67">
        <v>11703</v>
      </c>
      <c r="H67">
        <v>2210</v>
      </c>
      <c r="I67">
        <v>845</v>
      </c>
      <c r="J67">
        <v>8089</v>
      </c>
      <c r="K67">
        <f t="shared" si="3"/>
        <v>58991</v>
      </c>
      <c r="L67">
        <v>20</v>
      </c>
      <c r="M67">
        <v>13782</v>
      </c>
      <c r="N67">
        <v>1172</v>
      </c>
      <c r="O67">
        <v>8289</v>
      </c>
      <c r="P67">
        <v>4043</v>
      </c>
      <c r="Q67">
        <v>21993</v>
      </c>
      <c r="R67">
        <v>12014</v>
      </c>
      <c r="S67">
        <v>2484</v>
      </c>
      <c r="T67">
        <v>851</v>
      </c>
      <c r="U67">
        <v>16897</v>
      </c>
      <c r="V67">
        <f t="shared" si="4"/>
        <v>81525</v>
      </c>
      <c r="W67">
        <v>20</v>
      </c>
      <c r="X67">
        <v>68791</v>
      </c>
      <c r="Y67">
        <v>921</v>
      </c>
      <c r="Z67">
        <v>13285</v>
      </c>
      <c r="AA67">
        <v>383</v>
      </c>
      <c r="AB67">
        <v>1998</v>
      </c>
      <c r="AC67">
        <v>3753</v>
      </c>
      <c r="AD67">
        <v>2484</v>
      </c>
      <c r="AE67">
        <v>851</v>
      </c>
      <c r="AF67">
        <v>129</v>
      </c>
      <c r="AG67" s="29">
        <f t="shared" si="5"/>
        <v>92595</v>
      </c>
    </row>
    <row r="68" spans="1:33" x14ac:dyDescent="0.25">
      <c r="A68">
        <v>21</v>
      </c>
      <c r="B68">
        <v>5745</v>
      </c>
      <c r="C68">
        <v>305</v>
      </c>
      <c r="D68">
        <v>555</v>
      </c>
      <c r="E68">
        <v>11370</v>
      </c>
      <c r="F68">
        <v>18989</v>
      </c>
      <c r="G68">
        <v>11095</v>
      </c>
      <c r="H68">
        <v>2185</v>
      </c>
      <c r="I68">
        <v>862</v>
      </c>
      <c r="J68">
        <v>5818</v>
      </c>
      <c r="K68">
        <f t="shared" si="3"/>
        <v>56924</v>
      </c>
      <c r="L68">
        <v>21</v>
      </c>
      <c r="M68">
        <v>9192</v>
      </c>
      <c r="N68">
        <v>1411</v>
      </c>
      <c r="O68">
        <v>40344</v>
      </c>
      <c r="P68">
        <v>7008</v>
      </c>
      <c r="Q68">
        <v>23531</v>
      </c>
      <c r="R68">
        <v>13598</v>
      </c>
      <c r="S68">
        <v>2555</v>
      </c>
      <c r="T68">
        <v>920</v>
      </c>
      <c r="U68">
        <v>10302</v>
      </c>
      <c r="V68">
        <f t="shared" si="4"/>
        <v>108861</v>
      </c>
      <c r="W68">
        <v>21</v>
      </c>
      <c r="X68">
        <v>74125</v>
      </c>
      <c r="Y68">
        <v>821</v>
      </c>
      <c r="Z68">
        <v>10563</v>
      </c>
      <c r="AA68">
        <v>326</v>
      </c>
      <c r="AB68">
        <v>1667</v>
      </c>
      <c r="AC68">
        <v>3025</v>
      </c>
      <c r="AD68">
        <v>2555</v>
      </c>
      <c r="AE68">
        <v>920</v>
      </c>
      <c r="AF68">
        <v>131</v>
      </c>
      <c r="AG68" s="29">
        <f t="shared" si="5"/>
        <v>94133</v>
      </c>
    </row>
    <row r="69" spans="1:33" x14ac:dyDescent="0.25">
      <c r="A69">
        <v>22</v>
      </c>
      <c r="B69">
        <v>4931</v>
      </c>
      <c r="C69">
        <v>373</v>
      </c>
      <c r="D69">
        <v>521</v>
      </c>
      <c r="E69">
        <v>11528</v>
      </c>
      <c r="F69">
        <v>19136</v>
      </c>
      <c r="G69">
        <v>12563</v>
      </c>
      <c r="H69">
        <v>2455</v>
      </c>
      <c r="I69">
        <v>1170</v>
      </c>
      <c r="J69">
        <v>4277</v>
      </c>
      <c r="K69">
        <f t="shared" si="3"/>
        <v>56954</v>
      </c>
      <c r="L69">
        <v>22</v>
      </c>
      <c r="M69">
        <v>24638</v>
      </c>
      <c r="N69">
        <v>1562</v>
      </c>
      <c r="O69">
        <v>74159</v>
      </c>
      <c r="P69">
        <v>14384</v>
      </c>
      <c r="Q69">
        <v>23783</v>
      </c>
      <c r="R69">
        <v>14526</v>
      </c>
      <c r="S69">
        <v>2615</v>
      </c>
      <c r="T69">
        <v>955</v>
      </c>
      <c r="U69">
        <v>8100</v>
      </c>
      <c r="V69">
        <f t="shared" si="4"/>
        <v>164722</v>
      </c>
      <c r="W69">
        <v>22</v>
      </c>
      <c r="X69">
        <v>66590</v>
      </c>
      <c r="Y69">
        <v>753</v>
      </c>
      <c r="Z69">
        <v>8652</v>
      </c>
      <c r="AA69">
        <v>287</v>
      </c>
      <c r="AB69">
        <v>1283</v>
      </c>
      <c r="AC69">
        <v>2361</v>
      </c>
      <c r="AD69">
        <v>2615</v>
      </c>
      <c r="AE69">
        <v>955</v>
      </c>
      <c r="AF69">
        <v>76</v>
      </c>
      <c r="AG69" s="29">
        <f t="shared" si="5"/>
        <v>83572</v>
      </c>
    </row>
    <row r="70" spans="1:33" x14ac:dyDescent="0.25">
      <c r="A70">
        <v>23</v>
      </c>
      <c r="B70">
        <v>4746</v>
      </c>
      <c r="C70">
        <v>293</v>
      </c>
      <c r="D70">
        <v>436</v>
      </c>
      <c r="E70">
        <v>9769</v>
      </c>
      <c r="F70">
        <v>20668</v>
      </c>
      <c r="G70">
        <v>15131</v>
      </c>
      <c r="H70">
        <v>3354</v>
      </c>
      <c r="I70">
        <v>1652</v>
      </c>
      <c r="J70">
        <v>3154</v>
      </c>
      <c r="K70">
        <f t="shared" si="3"/>
        <v>59203</v>
      </c>
      <c r="L70">
        <v>23</v>
      </c>
      <c r="M70">
        <v>39471</v>
      </c>
      <c r="N70">
        <v>1702</v>
      </c>
      <c r="O70">
        <v>65785</v>
      </c>
      <c r="P70">
        <v>11013</v>
      </c>
      <c r="Q70">
        <v>25407</v>
      </c>
      <c r="R70">
        <v>13901</v>
      </c>
      <c r="S70">
        <v>2772</v>
      </c>
      <c r="T70">
        <v>927</v>
      </c>
      <c r="U70">
        <v>6451</v>
      </c>
      <c r="V70">
        <f t="shared" si="4"/>
        <v>167429</v>
      </c>
      <c r="W70">
        <v>23</v>
      </c>
      <c r="X70">
        <v>60143</v>
      </c>
      <c r="Y70">
        <v>653</v>
      </c>
      <c r="Z70">
        <v>6576</v>
      </c>
      <c r="AA70">
        <v>199</v>
      </c>
      <c r="AB70">
        <v>1039</v>
      </c>
      <c r="AC70">
        <v>1782</v>
      </c>
      <c r="AD70">
        <v>2772</v>
      </c>
      <c r="AE70">
        <v>927</v>
      </c>
      <c r="AF70">
        <v>51</v>
      </c>
      <c r="AG70" s="29">
        <f t="shared" si="5"/>
        <v>74142</v>
      </c>
    </row>
    <row r="71" spans="1:33" x14ac:dyDescent="0.25">
      <c r="A71">
        <v>24</v>
      </c>
      <c r="B71">
        <v>4384</v>
      </c>
      <c r="C71">
        <v>307</v>
      </c>
      <c r="D71">
        <v>380</v>
      </c>
      <c r="E71">
        <v>9496</v>
      </c>
      <c r="F71">
        <v>20985</v>
      </c>
      <c r="G71">
        <v>16610</v>
      </c>
      <c r="H71">
        <v>4229</v>
      </c>
      <c r="I71">
        <v>2646</v>
      </c>
      <c r="J71">
        <v>2354</v>
      </c>
      <c r="K71">
        <f t="shared" si="3"/>
        <v>61391</v>
      </c>
      <c r="L71">
        <v>24</v>
      </c>
      <c r="M71">
        <v>49293</v>
      </c>
      <c r="N71">
        <v>1565</v>
      </c>
      <c r="O71">
        <v>30790</v>
      </c>
      <c r="P71">
        <v>8999</v>
      </c>
      <c r="Q71">
        <v>26981</v>
      </c>
      <c r="R71">
        <v>14365</v>
      </c>
      <c r="S71">
        <v>3293</v>
      </c>
      <c r="T71">
        <v>1007</v>
      </c>
      <c r="U71">
        <v>4940</v>
      </c>
      <c r="V71">
        <f t="shared" si="4"/>
        <v>141233</v>
      </c>
      <c r="W71">
        <v>24</v>
      </c>
      <c r="X71">
        <v>44356</v>
      </c>
      <c r="Y71">
        <v>596</v>
      </c>
      <c r="Z71">
        <v>4681</v>
      </c>
      <c r="AA71">
        <v>137</v>
      </c>
      <c r="AB71">
        <v>876</v>
      </c>
      <c r="AC71">
        <v>1508</v>
      </c>
      <c r="AD71">
        <v>3293</v>
      </c>
      <c r="AE71">
        <v>1007</v>
      </c>
      <c r="AF71">
        <v>38</v>
      </c>
      <c r="AG71" s="29">
        <f t="shared" si="5"/>
        <v>56492</v>
      </c>
    </row>
    <row r="72" spans="1:33" x14ac:dyDescent="0.25">
      <c r="A72">
        <v>25</v>
      </c>
      <c r="B72">
        <v>4237</v>
      </c>
      <c r="C72">
        <v>332</v>
      </c>
      <c r="D72">
        <v>283</v>
      </c>
      <c r="E72">
        <v>9546</v>
      </c>
      <c r="F72">
        <v>19337</v>
      </c>
      <c r="G72">
        <v>16866</v>
      </c>
      <c r="H72">
        <v>4436</v>
      </c>
      <c r="I72">
        <v>3032</v>
      </c>
      <c r="J72">
        <v>1715</v>
      </c>
      <c r="K72">
        <f t="shared" si="3"/>
        <v>59784</v>
      </c>
      <c r="L72">
        <v>25</v>
      </c>
      <c r="M72">
        <v>52611</v>
      </c>
      <c r="N72">
        <v>1510</v>
      </c>
      <c r="O72">
        <v>14911</v>
      </c>
      <c r="P72">
        <v>10018</v>
      </c>
      <c r="Q72">
        <v>30447</v>
      </c>
      <c r="R72">
        <v>15781</v>
      </c>
      <c r="S72">
        <v>4142</v>
      </c>
      <c r="T72">
        <v>1298</v>
      </c>
      <c r="U72">
        <v>3871</v>
      </c>
      <c r="V72">
        <f t="shared" si="4"/>
        <v>134589</v>
      </c>
      <c r="W72">
        <v>25</v>
      </c>
      <c r="X72">
        <v>36403</v>
      </c>
      <c r="Y72">
        <v>521</v>
      </c>
      <c r="Z72">
        <v>3255</v>
      </c>
      <c r="AA72">
        <v>108</v>
      </c>
      <c r="AB72">
        <v>689</v>
      </c>
      <c r="AC72">
        <v>1149</v>
      </c>
      <c r="AD72">
        <v>4142</v>
      </c>
      <c r="AE72">
        <v>1298</v>
      </c>
      <c r="AF72">
        <v>32</v>
      </c>
      <c r="AG72" s="29">
        <f t="shared" si="5"/>
        <v>47597</v>
      </c>
    </row>
    <row r="73" spans="1:33" x14ac:dyDescent="0.25">
      <c r="A73">
        <v>26</v>
      </c>
      <c r="B73">
        <v>3623</v>
      </c>
      <c r="C73">
        <v>309</v>
      </c>
      <c r="D73">
        <v>231</v>
      </c>
      <c r="E73">
        <v>13638</v>
      </c>
      <c r="F73">
        <v>17722</v>
      </c>
      <c r="G73">
        <v>21224</v>
      </c>
      <c r="H73">
        <v>5379</v>
      </c>
      <c r="I73">
        <v>4860</v>
      </c>
      <c r="J73">
        <v>1086</v>
      </c>
      <c r="K73">
        <f t="shared" si="3"/>
        <v>68072</v>
      </c>
      <c r="L73">
        <v>26</v>
      </c>
      <c r="M73">
        <v>78736</v>
      </c>
      <c r="N73">
        <v>1467</v>
      </c>
      <c r="O73">
        <v>14427</v>
      </c>
      <c r="P73">
        <v>12108</v>
      </c>
      <c r="Q73">
        <v>25720</v>
      </c>
      <c r="R73">
        <v>17635</v>
      </c>
      <c r="S73">
        <v>4009</v>
      </c>
      <c r="T73">
        <v>1648</v>
      </c>
      <c r="U73">
        <v>3073</v>
      </c>
      <c r="V73">
        <f t="shared" si="4"/>
        <v>158823</v>
      </c>
      <c r="W73">
        <v>26</v>
      </c>
      <c r="X73">
        <v>27561</v>
      </c>
      <c r="Y73">
        <v>446</v>
      </c>
      <c r="Z73">
        <v>2608</v>
      </c>
      <c r="AA73">
        <v>95</v>
      </c>
      <c r="AB73">
        <v>560</v>
      </c>
      <c r="AC73">
        <v>978</v>
      </c>
      <c r="AD73">
        <v>4009</v>
      </c>
      <c r="AE73">
        <v>1648</v>
      </c>
      <c r="AF73">
        <v>18</v>
      </c>
      <c r="AG73" s="29">
        <f t="shared" si="5"/>
        <v>37923</v>
      </c>
    </row>
    <row r="74" spans="1:33" x14ac:dyDescent="0.25">
      <c r="A74">
        <v>27</v>
      </c>
      <c r="B74">
        <v>3289</v>
      </c>
      <c r="C74">
        <v>279</v>
      </c>
      <c r="D74">
        <v>204</v>
      </c>
      <c r="E74">
        <v>12711</v>
      </c>
      <c r="F74">
        <v>16661</v>
      </c>
      <c r="G74">
        <v>24134</v>
      </c>
      <c r="H74">
        <v>5668</v>
      </c>
      <c r="I74">
        <v>6080</v>
      </c>
      <c r="J74">
        <v>895</v>
      </c>
      <c r="K74">
        <f t="shared" si="3"/>
        <v>69921</v>
      </c>
      <c r="L74">
        <v>27</v>
      </c>
      <c r="M74">
        <v>76657</v>
      </c>
      <c r="N74">
        <v>1143</v>
      </c>
      <c r="O74">
        <v>12263</v>
      </c>
      <c r="P74">
        <v>13790</v>
      </c>
      <c r="Q74">
        <v>23482</v>
      </c>
      <c r="R74">
        <v>20305</v>
      </c>
      <c r="S74">
        <v>4567</v>
      </c>
      <c r="T74">
        <v>2203</v>
      </c>
      <c r="U74">
        <v>2198</v>
      </c>
      <c r="V74">
        <f t="shared" si="4"/>
        <v>156608</v>
      </c>
      <c r="W74">
        <v>27</v>
      </c>
      <c r="X74">
        <v>17677</v>
      </c>
      <c r="Y74">
        <v>410</v>
      </c>
      <c r="Z74">
        <v>1774</v>
      </c>
      <c r="AA74">
        <v>60</v>
      </c>
      <c r="AB74">
        <v>422</v>
      </c>
      <c r="AC74">
        <v>741</v>
      </c>
      <c r="AD74">
        <v>4567</v>
      </c>
      <c r="AE74">
        <v>2203</v>
      </c>
      <c r="AF74">
        <v>14</v>
      </c>
      <c r="AG74" s="29">
        <f t="shared" si="5"/>
        <v>27868</v>
      </c>
    </row>
    <row r="75" spans="1:33" x14ac:dyDescent="0.25">
      <c r="A75">
        <v>28</v>
      </c>
      <c r="B75">
        <v>2909</v>
      </c>
      <c r="C75">
        <v>308</v>
      </c>
      <c r="D75">
        <v>132</v>
      </c>
      <c r="E75">
        <v>7719</v>
      </c>
      <c r="F75">
        <v>15829</v>
      </c>
      <c r="G75">
        <v>27719</v>
      </c>
      <c r="H75">
        <v>6411</v>
      </c>
      <c r="I75">
        <v>7770</v>
      </c>
      <c r="J75">
        <v>792</v>
      </c>
      <c r="K75">
        <f t="shared" si="3"/>
        <v>69589</v>
      </c>
      <c r="L75">
        <v>28</v>
      </c>
      <c r="M75">
        <v>71412</v>
      </c>
      <c r="N75">
        <v>1161</v>
      </c>
      <c r="O75">
        <v>8477</v>
      </c>
      <c r="P75">
        <v>14604</v>
      </c>
      <c r="Q75">
        <v>20983</v>
      </c>
      <c r="R75">
        <v>22305</v>
      </c>
      <c r="S75">
        <v>5019</v>
      </c>
      <c r="T75">
        <v>3092</v>
      </c>
      <c r="U75">
        <v>1716</v>
      </c>
      <c r="V75">
        <f t="shared" si="4"/>
        <v>148769</v>
      </c>
      <c r="W75">
        <v>28</v>
      </c>
      <c r="X75">
        <v>11202</v>
      </c>
      <c r="Y75">
        <v>370</v>
      </c>
      <c r="Z75">
        <v>1169</v>
      </c>
      <c r="AA75">
        <v>32</v>
      </c>
      <c r="AB75">
        <v>384</v>
      </c>
      <c r="AC75">
        <v>583</v>
      </c>
      <c r="AD75">
        <v>5019</v>
      </c>
      <c r="AE75">
        <v>3092</v>
      </c>
      <c r="AF75">
        <v>6</v>
      </c>
      <c r="AG75" s="29">
        <f t="shared" si="5"/>
        <v>21857</v>
      </c>
    </row>
    <row r="76" spans="1:33" x14ac:dyDescent="0.25">
      <c r="A76">
        <v>29</v>
      </c>
      <c r="B76">
        <v>2394</v>
      </c>
      <c r="C76">
        <v>298</v>
      </c>
      <c r="D76">
        <v>125</v>
      </c>
      <c r="E76">
        <v>6774</v>
      </c>
      <c r="F76">
        <v>15265</v>
      </c>
      <c r="G76">
        <v>30437</v>
      </c>
      <c r="H76">
        <v>7089</v>
      </c>
      <c r="I76">
        <v>10322</v>
      </c>
      <c r="J76">
        <v>705</v>
      </c>
      <c r="K76">
        <f t="shared" si="3"/>
        <v>73409</v>
      </c>
      <c r="L76">
        <v>29</v>
      </c>
      <c r="M76">
        <v>53861</v>
      </c>
      <c r="N76">
        <v>1168</v>
      </c>
      <c r="O76">
        <v>5635</v>
      </c>
      <c r="P76">
        <v>9763</v>
      </c>
      <c r="Q76">
        <v>16857</v>
      </c>
      <c r="R76">
        <v>20329</v>
      </c>
      <c r="S76">
        <v>4896</v>
      </c>
      <c r="T76">
        <v>3664</v>
      </c>
      <c r="U76">
        <v>1286</v>
      </c>
      <c r="V76">
        <f t="shared" si="4"/>
        <v>117459</v>
      </c>
      <c r="W76">
        <v>29</v>
      </c>
      <c r="X76">
        <v>7189</v>
      </c>
      <c r="Y76">
        <v>308</v>
      </c>
      <c r="Z76">
        <v>870</v>
      </c>
      <c r="AA76">
        <v>27</v>
      </c>
      <c r="AB76">
        <v>299</v>
      </c>
      <c r="AC76">
        <v>464</v>
      </c>
      <c r="AD76">
        <v>4896</v>
      </c>
      <c r="AE76">
        <v>3664</v>
      </c>
      <c r="AF76">
        <v>9</v>
      </c>
      <c r="AG76" s="29">
        <f t="shared" si="5"/>
        <v>17726</v>
      </c>
    </row>
    <row r="77" spans="1:33" x14ac:dyDescent="0.25">
      <c r="A77">
        <v>30</v>
      </c>
      <c r="B77">
        <v>1857</v>
      </c>
      <c r="C77">
        <v>259</v>
      </c>
      <c r="D77">
        <v>82</v>
      </c>
      <c r="E77">
        <v>5861</v>
      </c>
      <c r="F77">
        <v>13317</v>
      </c>
      <c r="G77">
        <v>21680</v>
      </c>
      <c r="H77">
        <v>6614</v>
      </c>
      <c r="I77">
        <v>6804</v>
      </c>
      <c r="J77">
        <v>630</v>
      </c>
      <c r="K77">
        <f t="shared" si="3"/>
        <v>57104</v>
      </c>
      <c r="L77">
        <v>30</v>
      </c>
      <c r="M77">
        <v>40123</v>
      </c>
      <c r="N77">
        <v>960</v>
      </c>
      <c r="O77">
        <v>3816</v>
      </c>
      <c r="P77">
        <v>8125</v>
      </c>
      <c r="Q77">
        <v>16104</v>
      </c>
      <c r="R77">
        <v>21675</v>
      </c>
      <c r="S77">
        <v>5663</v>
      </c>
      <c r="T77">
        <v>4602</v>
      </c>
      <c r="U77">
        <v>1043</v>
      </c>
      <c r="V77">
        <f t="shared" si="4"/>
        <v>102111</v>
      </c>
      <c r="W77">
        <v>30</v>
      </c>
      <c r="X77">
        <v>4818</v>
      </c>
      <c r="Y77">
        <v>269</v>
      </c>
      <c r="Z77">
        <v>800</v>
      </c>
      <c r="AA77">
        <v>18</v>
      </c>
      <c r="AB77">
        <v>254</v>
      </c>
      <c r="AC77">
        <v>368</v>
      </c>
      <c r="AD77">
        <v>5663</v>
      </c>
      <c r="AE77">
        <v>4602</v>
      </c>
      <c r="AF77">
        <v>2</v>
      </c>
      <c r="AG77" s="29">
        <f t="shared" si="5"/>
        <v>16794</v>
      </c>
    </row>
    <row r="78" spans="1:33" x14ac:dyDescent="0.25">
      <c r="A78">
        <v>31</v>
      </c>
      <c r="B78">
        <v>1436</v>
      </c>
      <c r="C78">
        <v>250</v>
      </c>
      <c r="D78">
        <v>64</v>
      </c>
      <c r="E78">
        <v>4888</v>
      </c>
      <c r="F78">
        <v>10915</v>
      </c>
      <c r="G78">
        <v>14394</v>
      </c>
      <c r="H78">
        <v>4688</v>
      </c>
      <c r="I78">
        <v>4038</v>
      </c>
      <c r="J78">
        <v>571</v>
      </c>
      <c r="K78">
        <f t="shared" si="3"/>
        <v>41244</v>
      </c>
      <c r="L78">
        <v>31</v>
      </c>
      <c r="M78">
        <v>22818</v>
      </c>
      <c r="N78">
        <v>929</v>
      </c>
      <c r="O78">
        <v>3565</v>
      </c>
      <c r="P78">
        <v>6835</v>
      </c>
      <c r="Q78">
        <v>15481</v>
      </c>
      <c r="R78">
        <v>19195</v>
      </c>
      <c r="S78">
        <v>6377</v>
      </c>
      <c r="T78">
        <v>4977</v>
      </c>
      <c r="U78">
        <v>845</v>
      </c>
      <c r="V78">
        <f t="shared" si="4"/>
        <v>81022</v>
      </c>
      <c r="W78">
        <v>31</v>
      </c>
      <c r="X78">
        <v>3265</v>
      </c>
      <c r="Y78">
        <v>217</v>
      </c>
      <c r="Z78">
        <v>700</v>
      </c>
      <c r="AA78">
        <v>13</v>
      </c>
      <c r="AB78">
        <v>203</v>
      </c>
      <c r="AC78">
        <v>322</v>
      </c>
      <c r="AD78">
        <v>6377</v>
      </c>
      <c r="AE78">
        <v>4977</v>
      </c>
      <c r="AF78">
        <v>4</v>
      </c>
      <c r="AG78" s="29">
        <f t="shared" si="5"/>
        <v>16078</v>
      </c>
    </row>
    <row r="79" spans="1:33" x14ac:dyDescent="0.25">
      <c r="A79">
        <v>32</v>
      </c>
      <c r="B79">
        <v>1156</v>
      </c>
      <c r="C79">
        <v>240</v>
      </c>
      <c r="D79">
        <v>68</v>
      </c>
      <c r="E79">
        <v>4294</v>
      </c>
      <c r="F79">
        <v>9509</v>
      </c>
      <c r="G79">
        <v>11267</v>
      </c>
      <c r="H79">
        <v>3781</v>
      </c>
      <c r="I79">
        <v>3108</v>
      </c>
      <c r="J79">
        <v>499</v>
      </c>
      <c r="K79">
        <f t="shared" si="3"/>
        <v>33922</v>
      </c>
      <c r="L79">
        <v>32</v>
      </c>
      <c r="M79">
        <v>18241</v>
      </c>
      <c r="N79">
        <v>902</v>
      </c>
      <c r="O79">
        <v>2108</v>
      </c>
      <c r="P79">
        <v>5644</v>
      </c>
      <c r="Q79">
        <v>14341</v>
      </c>
      <c r="R79">
        <v>19105</v>
      </c>
      <c r="S79">
        <v>6399</v>
      </c>
      <c r="T79">
        <v>5831</v>
      </c>
      <c r="U79">
        <v>760</v>
      </c>
      <c r="V79">
        <f t="shared" si="4"/>
        <v>73331</v>
      </c>
      <c r="W79">
        <v>32</v>
      </c>
      <c r="X79">
        <v>2792</v>
      </c>
      <c r="Y79">
        <v>175</v>
      </c>
      <c r="Z79">
        <v>684</v>
      </c>
      <c r="AA79">
        <v>9</v>
      </c>
      <c r="AB79">
        <v>145</v>
      </c>
      <c r="AC79">
        <v>251</v>
      </c>
      <c r="AD79">
        <v>6399</v>
      </c>
      <c r="AE79">
        <v>5831</v>
      </c>
      <c r="AF79">
        <v>2</v>
      </c>
      <c r="AG79" s="29">
        <f t="shared" si="5"/>
        <v>16288</v>
      </c>
    </row>
    <row r="80" spans="1:33" x14ac:dyDescent="0.25">
      <c r="A80">
        <v>33</v>
      </c>
      <c r="B80">
        <v>879</v>
      </c>
      <c r="C80">
        <v>191</v>
      </c>
      <c r="D80">
        <v>45</v>
      </c>
      <c r="E80">
        <v>3740</v>
      </c>
      <c r="F80">
        <v>6098</v>
      </c>
      <c r="G80">
        <v>9403</v>
      </c>
      <c r="H80">
        <v>2369</v>
      </c>
      <c r="I80">
        <v>2168</v>
      </c>
      <c r="J80">
        <v>464</v>
      </c>
      <c r="K80">
        <f t="shared" si="3"/>
        <v>25357</v>
      </c>
      <c r="L80">
        <v>33</v>
      </c>
      <c r="M80">
        <v>15308</v>
      </c>
      <c r="N80">
        <v>852</v>
      </c>
      <c r="O80">
        <v>1213</v>
      </c>
      <c r="P80">
        <v>5042</v>
      </c>
      <c r="Q80">
        <v>13060</v>
      </c>
      <c r="R80">
        <v>20966</v>
      </c>
      <c r="S80">
        <v>5312</v>
      </c>
      <c r="T80">
        <v>6800</v>
      </c>
      <c r="U80">
        <v>667</v>
      </c>
      <c r="V80">
        <f t="shared" si="4"/>
        <v>69220</v>
      </c>
      <c r="W80">
        <v>33</v>
      </c>
      <c r="X80">
        <v>2447</v>
      </c>
      <c r="Y80">
        <v>143</v>
      </c>
      <c r="Z80">
        <v>649</v>
      </c>
      <c r="AA80">
        <v>7</v>
      </c>
      <c r="AB80">
        <v>103</v>
      </c>
      <c r="AC80">
        <v>181</v>
      </c>
      <c r="AD80">
        <v>5312</v>
      </c>
      <c r="AE80">
        <v>6800</v>
      </c>
      <c r="AF80">
        <v>0</v>
      </c>
      <c r="AG80" s="29">
        <f t="shared" si="5"/>
        <v>15642</v>
      </c>
    </row>
    <row r="81" spans="1:33" x14ac:dyDescent="0.25">
      <c r="A81">
        <v>34</v>
      </c>
      <c r="B81">
        <v>663</v>
      </c>
      <c r="C81">
        <v>167</v>
      </c>
      <c r="D81">
        <v>53</v>
      </c>
      <c r="E81">
        <v>3273</v>
      </c>
      <c r="F81">
        <v>5242</v>
      </c>
      <c r="G81">
        <v>7645</v>
      </c>
      <c r="H81">
        <v>1881</v>
      </c>
      <c r="I81">
        <v>1535</v>
      </c>
      <c r="J81">
        <v>435</v>
      </c>
      <c r="K81">
        <f t="shared" si="3"/>
        <v>20894</v>
      </c>
      <c r="L81">
        <v>34</v>
      </c>
      <c r="M81">
        <v>13410</v>
      </c>
      <c r="N81">
        <v>769</v>
      </c>
      <c r="O81">
        <v>828</v>
      </c>
      <c r="P81">
        <v>4268</v>
      </c>
      <c r="Q81">
        <v>10975</v>
      </c>
      <c r="R81">
        <v>23419</v>
      </c>
      <c r="S81">
        <v>4357</v>
      </c>
      <c r="T81">
        <v>7667</v>
      </c>
      <c r="U81">
        <v>665</v>
      </c>
      <c r="V81">
        <f t="shared" si="4"/>
        <v>66358</v>
      </c>
      <c r="W81">
        <v>34</v>
      </c>
      <c r="X81">
        <v>1995</v>
      </c>
      <c r="Y81">
        <v>105</v>
      </c>
      <c r="Z81">
        <v>538</v>
      </c>
      <c r="AA81">
        <v>3</v>
      </c>
      <c r="AB81">
        <v>61</v>
      </c>
      <c r="AC81">
        <v>118</v>
      </c>
      <c r="AD81">
        <v>4357</v>
      </c>
      <c r="AE81">
        <v>7667</v>
      </c>
      <c r="AF81">
        <v>2</v>
      </c>
      <c r="AG81" s="29">
        <f t="shared" si="5"/>
        <v>14846</v>
      </c>
    </row>
    <row r="82" spans="1:33" x14ac:dyDescent="0.25">
      <c r="A82">
        <v>35</v>
      </c>
      <c r="B82">
        <v>502</v>
      </c>
      <c r="C82">
        <v>144</v>
      </c>
      <c r="D82">
        <v>34</v>
      </c>
      <c r="E82">
        <v>2897</v>
      </c>
      <c r="F82">
        <v>4087</v>
      </c>
      <c r="G82">
        <v>6153</v>
      </c>
      <c r="H82">
        <v>1377</v>
      </c>
      <c r="I82">
        <v>951</v>
      </c>
      <c r="J82">
        <v>372</v>
      </c>
      <c r="K82">
        <f t="shared" si="3"/>
        <v>16517</v>
      </c>
      <c r="L82">
        <v>35</v>
      </c>
      <c r="M82">
        <v>11940</v>
      </c>
      <c r="N82">
        <v>751</v>
      </c>
      <c r="O82">
        <v>762</v>
      </c>
      <c r="P82">
        <v>3835</v>
      </c>
      <c r="Q82">
        <v>8979</v>
      </c>
      <c r="R82">
        <v>20000</v>
      </c>
      <c r="S82">
        <v>3566</v>
      </c>
      <c r="T82">
        <v>5387</v>
      </c>
      <c r="U82">
        <v>566</v>
      </c>
      <c r="V82">
        <f t="shared" si="4"/>
        <v>55786</v>
      </c>
      <c r="W82">
        <v>35</v>
      </c>
      <c r="X82">
        <v>1389</v>
      </c>
      <c r="Y82">
        <v>75</v>
      </c>
      <c r="Z82">
        <v>390</v>
      </c>
      <c r="AA82">
        <v>1</v>
      </c>
      <c r="AB82">
        <v>38</v>
      </c>
      <c r="AC82">
        <v>96</v>
      </c>
      <c r="AD82">
        <v>3566</v>
      </c>
      <c r="AE82">
        <v>5387</v>
      </c>
      <c r="AF82">
        <v>0</v>
      </c>
      <c r="AG82" s="29">
        <f t="shared" si="5"/>
        <v>10942</v>
      </c>
    </row>
    <row r="83" spans="1:33" x14ac:dyDescent="0.25">
      <c r="A83">
        <v>36</v>
      </c>
      <c r="B83">
        <v>352</v>
      </c>
      <c r="C83">
        <v>87</v>
      </c>
      <c r="D83">
        <v>28</v>
      </c>
      <c r="E83">
        <v>2424</v>
      </c>
      <c r="F83">
        <v>3081</v>
      </c>
      <c r="G83">
        <v>5302</v>
      </c>
      <c r="H83">
        <v>969</v>
      </c>
      <c r="I83">
        <v>731</v>
      </c>
      <c r="J83">
        <v>311</v>
      </c>
      <c r="K83">
        <f t="shared" si="3"/>
        <v>13285</v>
      </c>
      <c r="L83">
        <v>36</v>
      </c>
      <c r="M83">
        <v>11087</v>
      </c>
      <c r="N83">
        <v>684</v>
      </c>
      <c r="O83">
        <v>795</v>
      </c>
      <c r="P83">
        <v>3354</v>
      </c>
      <c r="Q83">
        <v>7612</v>
      </c>
      <c r="R83">
        <v>17904</v>
      </c>
      <c r="S83">
        <v>2933</v>
      </c>
      <c r="T83">
        <v>4256</v>
      </c>
      <c r="U83">
        <v>527</v>
      </c>
      <c r="V83">
        <f t="shared" si="4"/>
        <v>49152</v>
      </c>
      <c r="W83">
        <v>36</v>
      </c>
      <c r="X83">
        <v>980</v>
      </c>
      <c r="Y83">
        <v>31</v>
      </c>
      <c r="Z83">
        <v>156</v>
      </c>
      <c r="AA83">
        <v>0</v>
      </c>
      <c r="AB83">
        <v>27</v>
      </c>
      <c r="AC83">
        <v>53</v>
      </c>
      <c r="AD83">
        <v>2933</v>
      </c>
      <c r="AE83">
        <v>4256</v>
      </c>
      <c r="AF83">
        <v>0</v>
      </c>
      <c r="AG83" s="29">
        <f t="shared" si="5"/>
        <v>8436</v>
      </c>
    </row>
    <row r="84" spans="1:33" x14ac:dyDescent="0.25">
      <c r="A84">
        <v>37</v>
      </c>
      <c r="B84">
        <v>272</v>
      </c>
      <c r="C84">
        <v>32</v>
      </c>
      <c r="D84">
        <v>44</v>
      </c>
      <c r="E84">
        <v>2092</v>
      </c>
      <c r="F84">
        <v>2156</v>
      </c>
      <c r="G84">
        <v>4165</v>
      </c>
      <c r="H84">
        <v>686</v>
      </c>
      <c r="I84">
        <v>499</v>
      </c>
      <c r="J84">
        <v>247</v>
      </c>
      <c r="K84">
        <f t="shared" si="3"/>
        <v>10193</v>
      </c>
      <c r="L84">
        <v>37</v>
      </c>
      <c r="M84">
        <v>10454</v>
      </c>
      <c r="N84">
        <v>691</v>
      </c>
      <c r="O84">
        <v>751</v>
      </c>
      <c r="P84">
        <v>2936</v>
      </c>
      <c r="Q84">
        <v>6154</v>
      </c>
      <c r="R84">
        <v>15843</v>
      </c>
      <c r="S84">
        <v>2396</v>
      </c>
      <c r="T84">
        <v>3641</v>
      </c>
      <c r="U84">
        <v>473</v>
      </c>
      <c r="V84">
        <f t="shared" si="4"/>
        <v>43339</v>
      </c>
      <c r="W84">
        <v>37</v>
      </c>
      <c r="X84">
        <v>586</v>
      </c>
      <c r="Y84">
        <v>15</v>
      </c>
      <c r="Z84">
        <v>22</v>
      </c>
      <c r="AA84">
        <v>0</v>
      </c>
      <c r="AB84">
        <v>22</v>
      </c>
      <c r="AC84">
        <v>32</v>
      </c>
      <c r="AD84">
        <v>2396</v>
      </c>
      <c r="AE84">
        <v>3641</v>
      </c>
      <c r="AF84">
        <v>0</v>
      </c>
      <c r="AG84" s="29">
        <f t="shared" si="5"/>
        <v>6714</v>
      </c>
    </row>
    <row r="85" spans="1:33" x14ac:dyDescent="0.25">
      <c r="A85">
        <v>38</v>
      </c>
      <c r="B85">
        <v>176</v>
      </c>
      <c r="C85">
        <v>37</v>
      </c>
      <c r="D85">
        <v>17</v>
      </c>
      <c r="E85">
        <v>1717</v>
      </c>
      <c r="F85">
        <v>1370</v>
      </c>
      <c r="G85">
        <v>2944</v>
      </c>
      <c r="H85">
        <v>451</v>
      </c>
      <c r="I85">
        <v>305</v>
      </c>
      <c r="J85">
        <v>166</v>
      </c>
      <c r="K85">
        <f t="shared" si="3"/>
        <v>7183</v>
      </c>
      <c r="L85">
        <v>38</v>
      </c>
      <c r="M85">
        <v>10310</v>
      </c>
      <c r="N85">
        <v>704</v>
      </c>
      <c r="O85">
        <v>822</v>
      </c>
      <c r="P85">
        <v>2534</v>
      </c>
      <c r="Q85">
        <v>4995</v>
      </c>
      <c r="R85">
        <v>16081</v>
      </c>
      <c r="S85">
        <v>1841</v>
      </c>
      <c r="T85">
        <v>2706</v>
      </c>
      <c r="U85">
        <v>408</v>
      </c>
      <c r="V85">
        <f t="shared" si="4"/>
        <v>40401</v>
      </c>
      <c r="W85">
        <v>38</v>
      </c>
      <c r="X85">
        <v>301</v>
      </c>
      <c r="Y85">
        <v>6</v>
      </c>
      <c r="Z85">
        <v>33</v>
      </c>
      <c r="AA85">
        <v>0</v>
      </c>
      <c r="AB85">
        <v>7</v>
      </c>
      <c r="AC85">
        <v>21</v>
      </c>
      <c r="AD85">
        <v>1841</v>
      </c>
      <c r="AE85">
        <v>2706</v>
      </c>
      <c r="AF85">
        <v>0</v>
      </c>
      <c r="AG85" s="29">
        <f t="shared" si="5"/>
        <v>4915</v>
      </c>
    </row>
    <row r="86" spans="1:33" x14ac:dyDescent="0.25">
      <c r="A86">
        <v>39</v>
      </c>
      <c r="B86">
        <v>123</v>
      </c>
      <c r="C86">
        <v>35</v>
      </c>
      <c r="D86">
        <v>16</v>
      </c>
      <c r="E86">
        <v>1369</v>
      </c>
      <c r="F86">
        <v>812</v>
      </c>
      <c r="G86">
        <v>1953</v>
      </c>
      <c r="H86">
        <v>183</v>
      </c>
      <c r="I86">
        <v>152</v>
      </c>
      <c r="J86">
        <v>98</v>
      </c>
      <c r="K86">
        <f t="shared" si="3"/>
        <v>4741</v>
      </c>
      <c r="L86">
        <v>39</v>
      </c>
      <c r="M86">
        <v>11521</v>
      </c>
      <c r="N86">
        <v>676</v>
      </c>
      <c r="O86">
        <v>778</v>
      </c>
      <c r="P86">
        <v>2364</v>
      </c>
      <c r="Q86">
        <v>4020</v>
      </c>
      <c r="R86">
        <v>16907</v>
      </c>
      <c r="S86">
        <v>1513</v>
      </c>
      <c r="T86">
        <v>2510</v>
      </c>
      <c r="U86">
        <v>332</v>
      </c>
      <c r="V86">
        <f t="shared" si="4"/>
        <v>40621</v>
      </c>
      <c r="W86">
        <v>39</v>
      </c>
      <c r="X86">
        <v>175</v>
      </c>
      <c r="Y86">
        <v>1</v>
      </c>
      <c r="Z86">
        <v>12</v>
      </c>
      <c r="AA86">
        <v>0</v>
      </c>
      <c r="AB86">
        <v>2</v>
      </c>
      <c r="AC86">
        <v>9</v>
      </c>
      <c r="AD86">
        <v>1513</v>
      </c>
      <c r="AE86">
        <v>2510</v>
      </c>
      <c r="AF86">
        <v>0</v>
      </c>
      <c r="AG86" s="29">
        <f t="shared" si="5"/>
        <v>4222</v>
      </c>
    </row>
    <row r="87" spans="1:33" x14ac:dyDescent="0.25">
      <c r="A87">
        <v>40</v>
      </c>
      <c r="B87">
        <v>74</v>
      </c>
      <c r="C87">
        <v>46</v>
      </c>
      <c r="D87">
        <v>16</v>
      </c>
      <c r="E87">
        <v>914</v>
      </c>
      <c r="F87">
        <v>383</v>
      </c>
      <c r="G87">
        <v>2032</v>
      </c>
      <c r="H87">
        <v>89</v>
      </c>
      <c r="I87">
        <v>104</v>
      </c>
      <c r="J87">
        <v>28</v>
      </c>
      <c r="K87">
        <f>SUM(B87:J87)</f>
        <v>3686</v>
      </c>
      <c r="L87">
        <v>40</v>
      </c>
      <c r="M87">
        <v>18799</v>
      </c>
      <c r="N87">
        <v>801</v>
      </c>
      <c r="O87">
        <v>824</v>
      </c>
      <c r="P87">
        <v>2669</v>
      </c>
      <c r="Q87">
        <v>3585</v>
      </c>
      <c r="R87">
        <v>21286</v>
      </c>
      <c r="S87">
        <v>1289</v>
      </c>
      <c r="T87">
        <v>2437</v>
      </c>
      <c r="U87">
        <v>483</v>
      </c>
      <c r="V87">
        <f>SUM(M87:U87)</f>
        <v>52173</v>
      </c>
      <c r="W87">
        <v>40</v>
      </c>
      <c r="X87">
        <v>119</v>
      </c>
      <c r="Y87">
        <v>1</v>
      </c>
      <c r="Z87">
        <v>5</v>
      </c>
      <c r="AA87">
        <v>0</v>
      </c>
      <c r="AB87">
        <v>1</v>
      </c>
      <c r="AC87">
        <v>10</v>
      </c>
      <c r="AD87">
        <v>1289</v>
      </c>
      <c r="AE87">
        <v>2437</v>
      </c>
      <c r="AF87">
        <v>0</v>
      </c>
      <c r="AG87" s="29">
        <f>SUM(X87:AF87)</f>
        <v>3862</v>
      </c>
    </row>
  </sheetData>
  <pageMargins left="0.7" right="0.7" top="0.75" bottom="0.75" header="0.3" footer="0.3"/>
  <pageSetup paperSize="0" orientation="portrait" horizontalDpi="0" verticalDpi="0" copie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J212"/>
  <sheetViews>
    <sheetView zoomScaleNormal="100" workbookViewId="0">
      <pane xSplit="1" ySplit="3" topLeftCell="B172" activePane="bottomRight" state="frozen"/>
      <selection pane="topRight" activeCell="B1" sqref="B1"/>
      <selection pane="bottomLeft" activeCell="A4" sqref="A4"/>
      <selection pane="bottomRight" activeCell="L170" sqref="L170:L173"/>
    </sheetView>
  </sheetViews>
  <sheetFormatPr defaultRowHeight="15" x14ac:dyDescent="0.25"/>
  <cols>
    <col min="1" max="1" width="23.5703125" bestFit="1" customWidth="1"/>
    <col min="2" max="2" width="19.42578125" customWidth="1"/>
    <col min="6" max="6" width="10" customWidth="1"/>
    <col min="8" max="8" width="17.85546875" bestFit="1" customWidth="1"/>
    <col min="11" max="11" width="10" customWidth="1"/>
    <col min="12" max="12" width="9.85546875" customWidth="1"/>
    <col min="14" max="14" width="17.85546875" bestFit="1" customWidth="1"/>
    <col min="20" max="20" width="17.85546875" bestFit="1" customWidth="1"/>
    <col min="26" max="26" width="17.85546875" bestFit="1" customWidth="1"/>
    <col min="27" max="27" width="9.5703125" customWidth="1"/>
    <col min="29" max="29" width="9.7109375" customWidth="1"/>
    <col min="30" max="30" width="10.7109375" customWidth="1"/>
    <col min="32" max="32" width="17.85546875" bestFit="1" customWidth="1"/>
  </cols>
  <sheetData>
    <row r="1" spans="1:36" ht="28.5" x14ac:dyDescent="0.45">
      <c r="A1" s="174" t="s">
        <v>371</v>
      </c>
      <c r="B1" s="124"/>
    </row>
    <row r="2" spans="1:36" ht="19.149999999999999" customHeight="1" x14ac:dyDescent="0.25"/>
    <row r="3" spans="1:36" ht="18.75" x14ac:dyDescent="0.3">
      <c r="B3" s="402" t="s">
        <v>7</v>
      </c>
      <c r="C3" s="402"/>
      <c r="D3" s="402"/>
      <c r="E3" s="402"/>
      <c r="F3" s="402"/>
      <c r="H3" s="402" t="s">
        <v>3</v>
      </c>
      <c r="I3" s="402"/>
      <c r="J3" s="402"/>
      <c r="K3" s="402"/>
      <c r="L3" s="402"/>
      <c r="N3" s="402" t="s">
        <v>7</v>
      </c>
      <c r="O3" s="402"/>
      <c r="P3" s="402"/>
      <c r="Q3" s="402"/>
      <c r="R3" s="402"/>
      <c r="T3" s="402" t="s">
        <v>3</v>
      </c>
      <c r="U3" s="402"/>
      <c r="V3" s="402"/>
      <c r="W3" s="402"/>
      <c r="X3" s="402"/>
      <c r="Z3" s="402" t="s">
        <v>7</v>
      </c>
      <c r="AA3" s="402"/>
      <c r="AB3" s="402"/>
      <c r="AC3" s="402"/>
      <c r="AD3" s="402"/>
      <c r="AF3" s="402" t="s">
        <v>3</v>
      </c>
      <c r="AG3" s="402"/>
      <c r="AH3" s="402"/>
      <c r="AI3" s="402"/>
      <c r="AJ3" s="402"/>
    </row>
    <row r="4" spans="1:36" ht="26.25" x14ac:dyDescent="0.4">
      <c r="A4" s="150" t="s">
        <v>4</v>
      </c>
      <c r="B4" s="402" t="s">
        <v>7</v>
      </c>
      <c r="C4" s="402"/>
      <c r="D4" s="402"/>
      <c r="E4" s="402"/>
      <c r="F4" s="402"/>
      <c r="H4" s="402" t="s">
        <v>3</v>
      </c>
      <c r="I4" s="402"/>
      <c r="J4" s="402"/>
      <c r="K4" s="402"/>
      <c r="L4" s="402"/>
      <c r="N4" s="402" t="s">
        <v>7</v>
      </c>
      <c r="O4" s="402"/>
      <c r="P4" s="402"/>
      <c r="Q4" s="402"/>
      <c r="R4" s="402"/>
      <c r="T4" s="402" t="s">
        <v>3</v>
      </c>
      <c r="U4" s="402"/>
      <c r="V4" s="402"/>
      <c r="W4" s="402"/>
      <c r="X4" s="402"/>
      <c r="Z4" s="402" t="s">
        <v>154</v>
      </c>
      <c r="AA4" s="402"/>
      <c r="AB4" s="402"/>
      <c r="AC4" s="402"/>
      <c r="AD4" s="402"/>
      <c r="AF4" s="402" t="s">
        <v>160</v>
      </c>
      <c r="AG4" s="402"/>
      <c r="AH4" s="402"/>
      <c r="AI4" s="402"/>
      <c r="AJ4" s="402"/>
    </row>
    <row r="5" spans="1:36" ht="26.25" x14ac:dyDescent="0.25">
      <c r="B5" s="102" t="s">
        <v>134</v>
      </c>
      <c r="C5" s="103" t="s">
        <v>135</v>
      </c>
      <c r="D5" s="104" t="s">
        <v>136</v>
      </c>
      <c r="E5" s="105" t="s">
        <v>137</v>
      </c>
      <c r="F5" s="106" t="s">
        <v>29</v>
      </c>
      <c r="H5" s="102" t="s">
        <v>134</v>
      </c>
      <c r="I5" s="103" t="s">
        <v>135</v>
      </c>
      <c r="J5" s="104" t="s">
        <v>136</v>
      </c>
      <c r="K5" s="105" t="s">
        <v>137</v>
      </c>
      <c r="L5" s="106" t="s">
        <v>29</v>
      </c>
      <c r="N5" s="102" t="s">
        <v>134</v>
      </c>
      <c r="O5" s="103" t="s">
        <v>135</v>
      </c>
      <c r="P5" s="104" t="s">
        <v>136</v>
      </c>
      <c r="Q5" s="105" t="s">
        <v>137</v>
      </c>
      <c r="R5" s="106" t="s">
        <v>29</v>
      </c>
      <c r="T5" s="102" t="s">
        <v>134</v>
      </c>
      <c r="U5" s="103" t="s">
        <v>135</v>
      </c>
      <c r="V5" s="104" t="s">
        <v>136</v>
      </c>
      <c r="W5" s="105" t="s">
        <v>137</v>
      </c>
      <c r="X5" s="106" t="s">
        <v>29</v>
      </c>
      <c r="Z5" s="102" t="s">
        <v>134</v>
      </c>
      <c r="AA5" s="103" t="s">
        <v>135</v>
      </c>
      <c r="AB5" s="104" t="s">
        <v>136</v>
      </c>
      <c r="AC5" s="105" t="s">
        <v>137</v>
      </c>
      <c r="AD5" s="106" t="s">
        <v>29</v>
      </c>
      <c r="AF5" s="102" t="s">
        <v>134</v>
      </c>
      <c r="AG5" s="103" t="s">
        <v>135</v>
      </c>
      <c r="AH5" s="104" t="s">
        <v>136</v>
      </c>
      <c r="AI5" s="105" t="s">
        <v>137</v>
      </c>
      <c r="AJ5" s="106" t="s">
        <v>29</v>
      </c>
    </row>
    <row r="6" spans="1:36" x14ac:dyDescent="0.25">
      <c r="A6">
        <v>1</v>
      </c>
      <c r="B6" s="107" t="s">
        <v>386</v>
      </c>
      <c r="C6" s="113">
        <f>INDEX(TourMode_input!$B$4:$J$172,MATCH(TourMode!$A6,modes,0),MATCH("work",modePurpose,0))</f>
        <v>4574.73171</v>
      </c>
      <c r="D6" s="113">
        <f>INDEX(TourMode_input!$B$20:$J$33,MATCH(TourMode!$A6,modes,0),MATCH("work",modePurpose,0))</f>
        <v>397916.46717999998</v>
      </c>
      <c r="E6" s="113">
        <f>INDEX(TourMode_input!$B$36:$J$49,MATCH(TourMode!$A6,modes,0),MATCH("work",modePurpose,0))</f>
        <v>2020079.1609700001</v>
      </c>
      <c r="F6" s="114">
        <f>SUM(C6:E6)</f>
        <v>2422570.3598600002</v>
      </c>
      <c r="G6" s="115"/>
      <c r="H6" s="107" t="s">
        <v>386</v>
      </c>
      <c r="I6" s="113">
        <f>INDEX(TourMode_input!$L$4:$T$17,MATCH(TourMode!$A6,modes,0),MATCH("work",modePurpose,0))*Index!$B$2</f>
        <v>0</v>
      </c>
      <c r="J6" s="113">
        <f>INDEX(TourMode_input!$L$20:$T$33,MATCH(TourMode!$A6,modes,0), MATCH("work",modePurpose,0))*Index!$B$2</f>
        <v>559485</v>
      </c>
      <c r="K6" s="113">
        <f>INDEX(TourMode_input!$L$36:$T$49,MATCH(TourMode!$A6,modes,0), MATCH("work",modePurpose,0))*Index!$B$2</f>
        <v>1493650</v>
      </c>
      <c r="L6" s="114">
        <f>SUM(I6:K6)</f>
        <v>2053135</v>
      </c>
      <c r="N6" s="107" t="s">
        <v>386</v>
      </c>
      <c r="O6" s="117">
        <f>C6/$C$20</f>
        <v>2.5668690093798355E-2</v>
      </c>
      <c r="P6" s="117">
        <f>D6/$D$20</f>
        <v>0.46289142759906349</v>
      </c>
      <c r="Q6" s="117">
        <f>E6/$E$20</f>
        <v>0.72644805406462654</v>
      </c>
      <c r="R6" s="118">
        <f>F6/$F$20</f>
        <v>0.63441046037060012</v>
      </c>
      <c r="S6" s="115"/>
      <c r="T6" s="107" t="s">
        <v>386</v>
      </c>
      <c r="U6" s="117">
        <f>I6/$I$20</f>
        <v>0</v>
      </c>
      <c r="V6" s="117">
        <f>J6/$J$20</f>
        <v>0.47277559246411838</v>
      </c>
      <c r="W6" s="117">
        <f>K6/$K$20</f>
        <v>0.69629650348346372</v>
      </c>
      <c r="X6" s="118">
        <f>L6/$L$20</f>
        <v>0.58407511400521739</v>
      </c>
      <c r="Z6" s="107" t="s">
        <v>386</v>
      </c>
      <c r="AA6" s="113">
        <f>I6-C6</f>
        <v>-4574.73171</v>
      </c>
      <c r="AB6" s="113">
        <f>J6-D6</f>
        <v>161568.53282000002</v>
      </c>
      <c r="AC6" s="113">
        <f>K6-E6</f>
        <v>-526429.16097000008</v>
      </c>
      <c r="AD6" s="114">
        <f>L6-F6</f>
        <v>-369435.3598600002</v>
      </c>
      <c r="AE6" s="115"/>
      <c r="AF6" s="107" t="s">
        <v>386</v>
      </c>
      <c r="AG6" s="117">
        <f>IF(C6=0, 0,AA6/C6)</f>
        <v>-1</v>
      </c>
      <c r="AH6" s="117">
        <f>IF(D6=0, 0,AB6/D6)</f>
        <v>0.40603630697925724</v>
      </c>
      <c r="AI6" s="117">
        <f>IF(E6=0, 0,AC6/E6)</f>
        <v>-0.26059828304808597</v>
      </c>
      <c r="AJ6" s="118">
        <f>IF(F6=0, 0,AD6/F6)</f>
        <v>-0.15249726735753086</v>
      </c>
    </row>
    <row r="7" spans="1:36" x14ac:dyDescent="0.25">
      <c r="A7">
        <v>2</v>
      </c>
      <c r="B7" s="107" t="s">
        <v>387</v>
      </c>
      <c r="C7" s="113">
        <f>INDEX(TourMode_input!$B$4:$J$172,MATCH(TourMode!$A7,modes,0),MATCH("work",modePurpose,0))</f>
        <v>146.35839999999999</v>
      </c>
      <c r="D7" s="113">
        <f>INDEX(TourMode_input!$B$20:$J$33,MATCH(TourMode!$A7,modes,0),MATCH("work",modePurpose,0))</f>
        <v>13673.94627</v>
      </c>
      <c r="E7" s="113">
        <f>INDEX(TourMode_input!$B$36:$J$49,MATCH(TourMode!$A7,modes,0),MATCH("work",modePurpose,0))</f>
        <v>144841.65341</v>
      </c>
      <c r="F7" s="116">
        <f t="shared" ref="F7:F19" si="0">SUM(C7:E7)</f>
        <v>158661.95808000001</v>
      </c>
      <c r="G7" s="115"/>
      <c r="H7" s="107" t="s">
        <v>387</v>
      </c>
      <c r="I7" s="113">
        <f>INDEX(TourMode_input!$L$4:$T$17,MATCH(TourMode!$A7,modes,0),MATCH("work",modePurpose,0))*Index!$B$2</f>
        <v>0</v>
      </c>
      <c r="J7" s="113">
        <f>INDEX(TourMode_input!$L$20:$T$33,MATCH(TourMode!$A7,modes,0), MATCH("work",modePurpose,0))*Index!$B$2</f>
        <v>84335</v>
      </c>
      <c r="K7" s="113">
        <f>INDEX(TourMode_input!$L$36:$T$49,MATCH(TourMode!$A7,modes,0), MATCH("work",modePurpose,0))*Index!$B$2</f>
        <v>218805</v>
      </c>
      <c r="L7" s="116">
        <f t="shared" ref="L7:L19" si="1">SUM(I7:K7)</f>
        <v>303140</v>
      </c>
      <c r="N7" s="107" t="s">
        <v>387</v>
      </c>
      <c r="O7" s="117">
        <f t="shared" ref="O7:O19" si="2">C7/$C$20</f>
        <v>8.2121283834242097E-4</v>
      </c>
      <c r="P7" s="117">
        <f t="shared" ref="P7:P19" si="3">D7/$D$20</f>
        <v>1.5906736795011745E-2</v>
      </c>
      <c r="Q7" s="117">
        <f t="shared" ref="Q7:Q19" si="4">E7/$E$20</f>
        <v>5.2087036637055918E-2</v>
      </c>
      <c r="R7" s="118">
        <f t="shared" ref="R7:R19" si="5">F7/$F$20</f>
        <v>4.1549590276771402E-2</v>
      </c>
      <c r="S7" s="115"/>
      <c r="T7" s="107" t="s">
        <v>387</v>
      </c>
      <c r="U7" s="117">
        <f t="shared" ref="U7:U15" si="6">I7/$I$20</f>
        <v>0</v>
      </c>
      <c r="V7" s="117">
        <f t="shared" ref="V7:V15" si="7">J7/$J$20</f>
        <v>7.1264698053498166E-2</v>
      </c>
      <c r="W7" s="117">
        <f t="shared" ref="W7:W15" si="8">K7/$K$20</f>
        <v>0.10200057339048592</v>
      </c>
      <c r="X7" s="118">
        <f t="shared" ref="X7:X15" si="9">L7/$L$20</f>
        <v>8.6237159300066285E-2</v>
      </c>
      <c r="Z7" s="107" t="s">
        <v>387</v>
      </c>
      <c r="AA7" s="113">
        <f t="shared" ref="AA7:AA20" si="10">I7-C7</f>
        <v>-146.35839999999999</v>
      </c>
      <c r="AB7" s="113">
        <f t="shared" ref="AB7:AB20" si="11">J7-D7</f>
        <v>70661.05373</v>
      </c>
      <c r="AC7" s="113">
        <f t="shared" ref="AC7:AC20" si="12">K7-E7</f>
        <v>73963.346590000001</v>
      </c>
      <c r="AD7" s="116">
        <f>L7-F7</f>
        <v>144478.04191999999</v>
      </c>
      <c r="AE7" s="115"/>
      <c r="AF7" s="107" t="s">
        <v>387</v>
      </c>
      <c r="AG7" s="117">
        <f t="shared" ref="AG7:AG20" si="13">IF(C7=0, 0,AA7/C7)</f>
        <v>-1</v>
      </c>
      <c r="AH7" s="117">
        <f t="shared" ref="AH7:AH20" si="14">IF(D7=0, 0,AB7/D7)</f>
        <v>5.1675684791176231</v>
      </c>
      <c r="AI7" s="117">
        <f t="shared" ref="AI7:AI20" si="15">IF(E7=0, 0,AC7/E7)</f>
        <v>0.51064969812677863</v>
      </c>
      <c r="AJ7" s="118">
        <f t="shared" ref="AJ7:AJ20" si="16">IF(F7=0, 0,AD7/F7)</f>
        <v>0.91060291747535183</v>
      </c>
    </row>
    <row r="8" spans="1:36" x14ac:dyDescent="0.25">
      <c r="A8">
        <v>3</v>
      </c>
      <c r="B8" s="107" t="s">
        <v>388</v>
      </c>
      <c r="C8" s="113">
        <f>INDEX(TourMode_input!$B$4:$J$172,MATCH(TourMode!$A8,modes,0),MATCH("work",modePurpose,0))</f>
        <v>12994.649020000001</v>
      </c>
      <c r="D8" s="113">
        <f>INDEX(TourMode_input!$B$20:$J$33,MATCH(TourMode!$A8,modes,0),MATCH("work",modePurpose,0))</f>
        <v>137341.0269</v>
      </c>
      <c r="E8" s="113">
        <f>INDEX(TourMode_input!$B$36:$J$49,MATCH(TourMode!$A8,modes,0),MATCH("work",modePurpose,0))</f>
        <v>213123.38761999999</v>
      </c>
      <c r="F8" s="116">
        <f t="shared" si="0"/>
        <v>363459.06354</v>
      </c>
      <c r="G8" s="115"/>
      <c r="H8" s="107" t="s">
        <v>388</v>
      </c>
      <c r="I8" s="113">
        <f>INDEX(TourMode_input!$L$4:$T$17,MATCH(TourMode!$A8,modes,0),MATCH("work",modePurpose,0))*Index!$B$2</f>
        <v>19370</v>
      </c>
      <c r="J8" s="113">
        <f>INDEX(TourMode_input!$L$20:$T$33,MATCH(TourMode!$A8,modes,0), MATCH("work",modePurpose,0))*Index!$B$2</f>
        <v>211370</v>
      </c>
      <c r="K8" s="113">
        <f>INDEX(TourMode_input!$L$36:$T$49,MATCH(TourMode!$A8,modes,0), MATCH("work",modePurpose,0))*Index!$B$2</f>
        <v>173945</v>
      </c>
      <c r="L8" s="116">
        <f t="shared" si="1"/>
        <v>404685</v>
      </c>
      <c r="N8" s="107" t="s">
        <v>388</v>
      </c>
      <c r="O8" s="117">
        <f t="shared" si="2"/>
        <v>7.2912607714881825E-2</v>
      </c>
      <c r="P8" s="117">
        <f t="shared" si="3"/>
        <v>0.15976716032941732</v>
      </c>
      <c r="Q8" s="117">
        <f t="shared" si="4"/>
        <v>7.6642080767699863E-2</v>
      </c>
      <c r="R8" s="118">
        <f t="shared" si="5"/>
        <v>9.51808193672459E-2</v>
      </c>
      <c r="S8" s="115"/>
      <c r="T8" s="107" t="s">
        <v>388</v>
      </c>
      <c r="U8" s="117">
        <f t="shared" si="6"/>
        <v>0.10377712295740692</v>
      </c>
      <c r="V8" s="117">
        <f t="shared" si="7"/>
        <v>0.17861171788187477</v>
      </c>
      <c r="W8" s="117">
        <f t="shared" si="8"/>
        <v>8.1088136644080669E-2</v>
      </c>
      <c r="X8" s="118">
        <f t="shared" si="9"/>
        <v>0.11512464475604448</v>
      </c>
      <c r="Z8" s="107" t="s">
        <v>388</v>
      </c>
      <c r="AA8" s="113">
        <f t="shared" si="10"/>
        <v>6375.3509799999993</v>
      </c>
      <c r="AB8" s="113">
        <f t="shared" si="11"/>
        <v>74028.973100000003</v>
      </c>
      <c r="AC8" s="113">
        <f t="shared" si="12"/>
        <v>-39178.387619999994</v>
      </c>
      <c r="AD8" s="116">
        <f>L8-F8</f>
        <v>41225.936459999997</v>
      </c>
      <c r="AE8" s="115"/>
      <c r="AF8" s="107" t="s">
        <v>388</v>
      </c>
      <c r="AG8" s="117">
        <f t="shared" si="13"/>
        <v>0.49061355717939958</v>
      </c>
      <c r="AH8" s="117">
        <f t="shared" si="14"/>
        <v>0.53901572436837519</v>
      </c>
      <c r="AI8" s="117">
        <f t="shared" si="15"/>
        <v>-0.18382960245477725</v>
      </c>
      <c r="AJ8" s="118">
        <f t="shared" si="16"/>
        <v>0.11342662928383111</v>
      </c>
    </row>
    <row r="9" spans="1:36" x14ac:dyDescent="0.25">
      <c r="A9">
        <v>4</v>
      </c>
      <c r="B9" s="107" t="s">
        <v>389</v>
      </c>
      <c r="C9" s="113">
        <f>INDEX(TourMode_input!$B$4:$J$172,MATCH(TourMode!$A9,modes,0),MATCH("work",modePurpose,0))</f>
        <v>0</v>
      </c>
      <c r="D9" s="113">
        <f>INDEX(TourMode_input!$B$20:$J$33,MATCH(TourMode!$A9,modes,0),MATCH("work",modePurpose,0))</f>
        <v>4576.3464899999999</v>
      </c>
      <c r="E9" s="113">
        <f>INDEX(TourMode_input!$B$36:$J$49,MATCH(TourMode!$A9,modes,0),MATCH("work",modePurpose,0))</f>
        <v>17432.22724</v>
      </c>
      <c r="F9" s="116">
        <f t="shared" si="0"/>
        <v>22008.57373</v>
      </c>
      <c r="G9" s="115"/>
      <c r="H9" s="107" t="s">
        <v>389</v>
      </c>
      <c r="I9" s="113">
        <f>INDEX(TourMode_input!$L$4:$T$17,MATCH(TourMode!$A9,modes,0),MATCH("work",modePurpose,0))*Index!$B$2</f>
        <v>980</v>
      </c>
      <c r="J9" s="113">
        <f>INDEX(TourMode_input!$L$20:$T$33,MATCH(TourMode!$A9,modes,0), MATCH("work",modePurpose,0))*Index!$B$2</f>
        <v>18615</v>
      </c>
      <c r="K9" s="113">
        <f>INDEX(TourMode_input!$L$36:$T$49,MATCH(TourMode!$A9,modes,0), MATCH("work",modePurpose,0))*Index!$B$2</f>
        <v>16115</v>
      </c>
      <c r="L9" s="116">
        <f t="shared" si="1"/>
        <v>35710</v>
      </c>
      <c r="N9" s="107" t="s">
        <v>389</v>
      </c>
      <c r="O9" s="117">
        <f t="shared" si="2"/>
        <v>0</v>
      </c>
      <c r="P9" s="117">
        <f t="shared" si="3"/>
        <v>5.3236086833918688E-3</v>
      </c>
      <c r="Q9" s="117">
        <f t="shared" si="4"/>
        <v>6.2688669836233422E-3</v>
      </c>
      <c r="R9" s="118">
        <f t="shared" si="5"/>
        <v>5.7634938590417177E-3</v>
      </c>
      <c r="S9" s="115"/>
      <c r="T9" s="107" t="s">
        <v>389</v>
      </c>
      <c r="U9" s="117">
        <f t="shared" si="6"/>
        <v>5.2504687918564158E-3</v>
      </c>
      <c r="V9" s="117">
        <f t="shared" si="7"/>
        <v>1.5730033251507302E-2</v>
      </c>
      <c r="W9" s="117">
        <f t="shared" si="8"/>
        <v>7.5123477077200266E-3</v>
      </c>
      <c r="X9" s="118">
        <f t="shared" si="9"/>
        <v>1.0158768089349367E-2</v>
      </c>
      <c r="Z9" s="107" t="s">
        <v>389</v>
      </c>
      <c r="AA9" s="113">
        <f t="shared" si="10"/>
        <v>980</v>
      </c>
      <c r="AB9" s="113">
        <f t="shared" si="11"/>
        <v>14038.65351</v>
      </c>
      <c r="AC9" s="113">
        <f t="shared" si="12"/>
        <v>-1317.2272400000002</v>
      </c>
      <c r="AD9" s="116">
        <f>L9-F9</f>
        <v>13701.42627</v>
      </c>
      <c r="AE9" s="115"/>
      <c r="AF9" s="107" t="s">
        <v>389</v>
      </c>
      <c r="AG9" s="117">
        <f t="shared" si="13"/>
        <v>0</v>
      </c>
      <c r="AH9" s="117">
        <f t="shared" si="14"/>
        <v>3.0676552880505339</v>
      </c>
      <c r="AI9" s="117">
        <f t="shared" si="15"/>
        <v>-7.5562762110941831E-2</v>
      </c>
      <c r="AJ9" s="118">
        <f t="shared" si="16"/>
        <v>0.62254948630876139</v>
      </c>
    </row>
    <row r="10" spans="1:36" x14ac:dyDescent="0.25">
      <c r="A10">
        <v>5</v>
      </c>
      <c r="B10" s="107" t="s">
        <v>390</v>
      </c>
      <c r="C10" s="113">
        <f>INDEX(TourMode_input!$B$4:$J$172,MATCH(TourMode!$A10,modes,0),MATCH("work",modePurpose,0))</f>
        <v>15578.29702</v>
      </c>
      <c r="D10" s="113">
        <f>INDEX(TourMode_input!$B$20:$J$33,MATCH(TourMode!$A10,modes,0),MATCH("work",modePurpose,0))</f>
        <v>39484.334300000002</v>
      </c>
      <c r="E10" s="113">
        <f>INDEX(TourMode_input!$B$36:$J$49,MATCH(TourMode!$A10,modes,0),MATCH("work",modePurpose,0))</f>
        <v>125892.83252</v>
      </c>
      <c r="F10" s="116">
        <f t="shared" si="0"/>
        <v>180955.46383999998</v>
      </c>
      <c r="G10" s="115"/>
      <c r="H10" s="107" t="s">
        <v>390</v>
      </c>
      <c r="I10" s="113">
        <f>INDEX(TourMode_input!$L$4:$T$17,MATCH(TourMode!$A10,modes,0),MATCH("work",modePurpose,0))*Index!$B$2</f>
        <v>23770</v>
      </c>
      <c r="J10" s="113">
        <f>INDEX(TourMode_input!$L$20:$T$33,MATCH(TourMode!$A10,modes,0), MATCH("work",modePurpose,0))*Index!$B$2</f>
        <v>63350</v>
      </c>
      <c r="K10" s="113">
        <f>INDEX(TourMode_input!$L$36:$T$49,MATCH(TourMode!$A10,modes,0), MATCH("work",modePurpose,0))*Index!$B$2</f>
        <v>106350</v>
      </c>
      <c r="L10" s="116">
        <f t="shared" si="1"/>
        <v>193470</v>
      </c>
      <c r="N10" s="107" t="s">
        <v>390</v>
      </c>
      <c r="O10" s="117">
        <f t="shared" si="2"/>
        <v>8.7409383488310052E-2</v>
      </c>
      <c r="P10" s="117">
        <f t="shared" si="3"/>
        <v>4.5931649930079359E-2</v>
      </c>
      <c r="Q10" s="117">
        <f t="shared" si="4"/>
        <v>4.5272781865104403E-2</v>
      </c>
      <c r="R10" s="118">
        <f t="shared" si="5"/>
        <v>4.738770069321914E-2</v>
      </c>
      <c r="S10" s="115"/>
      <c r="T10" s="107" t="s">
        <v>390</v>
      </c>
      <c r="U10" s="117">
        <f t="shared" si="6"/>
        <v>0.12735065630859899</v>
      </c>
      <c r="V10" s="117">
        <f t="shared" si="7"/>
        <v>5.3531969190598314E-2</v>
      </c>
      <c r="W10" s="117">
        <f t="shared" si="8"/>
        <v>4.9577299330811349E-2</v>
      </c>
      <c r="X10" s="118">
        <f t="shared" si="9"/>
        <v>5.5038276736108151E-2</v>
      </c>
      <c r="Z10" s="107" t="s">
        <v>390</v>
      </c>
      <c r="AA10" s="113">
        <f t="shared" ref="AA10:AA15" si="17">I10-C10</f>
        <v>8191.70298</v>
      </c>
      <c r="AB10" s="113">
        <f t="shared" ref="AB10:AB15" si="18">J10-D10</f>
        <v>23865.665699999998</v>
      </c>
      <c r="AC10" s="113">
        <f t="shared" ref="AC10:AC15" si="19">K10-E10</f>
        <v>-19542.832519999996</v>
      </c>
      <c r="AD10" s="116">
        <f t="shared" ref="AD10:AD15" si="20">L10-F10</f>
        <v>12514.536160000018</v>
      </c>
      <c r="AE10" s="115"/>
      <c r="AF10" s="107" t="s">
        <v>390</v>
      </c>
      <c r="AG10" s="117">
        <f t="shared" si="13"/>
        <v>0.52584072376352731</v>
      </c>
      <c r="AH10" s="117">
        <f t="shared" si="14"/>
        <v>0.60443378679427284</v>
      </c>
      <c r="AI10" s="117">
        <f t="shared" si="15"/>
        <v>-0.15523387732892036</v>
      </c>
      <c r="AJ10" s="118">
        <f t="shared" si="16"/>
        <v>6.9158100531660729E-2</v>
      </c>
    </row>
    <row r="11" spans="1:36" x14ac:dyDescent="0.25">
      <c r="A11">
        <v>6</v>
      </c>
      <c r="B11" s="107" t="s">
        <v>391</v>
      </c>
      <c r="C11" s="113">
        <f>INDEX(TourMode_input!$B$4:$J$172,MATCH(TourMode!$A11,modes,0),MATCH("work",modePurpose,0))</f>
        <v>0</v>
      </c>
      <c r="D11" s="113">
        <f>INDEX(TourMode_input!$B$20:$J$33,MATCH(TourMode!$A11,modes,0),MATCH("work",modePurpose,0))</f>
        <v>325.87184999999999</v>
      </c>
      <c r="E11" s="113">
        <f>INDEX(TourMode_input!$B$36:$J$49,MATCH(TourMode!$A11,modes,0),MATCH("work",modePurpose,0))</f>
        <v>7082.7475899999999</v>
      </c>
      <c r="F11" s="116">
        <f t="shared" si="0"/>
        <v>7408.6194400000004</v>
      </c>
      <c r="G11" s="115"/>
      <c r="H11" s="107" t="s">
        <v>391</v>
      </c>
      <c r="I11" s="113">
        <f>INDEX(TourMode_input!$L$4:$T$17,MATCH(TourMode!$A11,modes,0),MATCH("work",modePurpose,0))*Index!$B$2</f>
        <v>1060</v>
      </c>
      <c r="J11" s="113">
        <f>INDEX(TourMode_input!$L$20:$T$33,MATCH(TourMode!$A11,modes,0), MATCH("work",modePurpose,0))*Index!$B$2</f>
        <v>6525</v>
      </c>
      <c r="K11" s="113">
        <f>INDEX(TourMode_input!$L$36:$T$49,MATCH(TourMode!$A11,modes,0), MATCH("work",modePurpose,0))*Index!$B$2</f>
        <v>13600</v>
      </c>
      <c r="L11" s="116">
        <f t="shared" si="1"/>
        <v>21185</v>
      </c>
      <c r="N11" s="107" t="s">
        <v>391</v>
      </c>
      <c r="O11" s="117">
        <f t="shared" si="2"/>
        <v>0</v>
      </c>
      <c r="P11" s="117">
        <f t="shared" si="3"/>
        <v>3.7908279325523107E-4</v>
      </c>
      <c r="Q11" s="117">
        <f t="shared" si="4"/>
        <v>2.5470527609006083E-3</v>
      </c>
      <c r="R11" s="118">
        <f t="shared" si="5"/>
        <v>1.9401317491198051E-3</v>
      </c>
      <c r="S11" s="115"/>
      <c r="T11" s="107" t="s">
        <v>391</v>
      </c>
      <c r="U11" s="117">
        <f t="shared" si="6"/>
        <v>5.6790784891508168E-3</v>
      </c>
      <c r="V11" s="117">
        <f t="shared" si="7"/>
        <v>5.5137505756693607E-3</v>
      </c>
      <c r="W11" s="117">
        <f t="shared" si="8"/>
        <v>6.3399273239213381E-3</v>
      </c>
      <c r="X11" s="118">
        <f t="shared" si="9"/>
        <v>6.026701259391384E-3</v>
      </c>
      <c r="Z11" s="107" t="s">
        <v>391</v>
      </c>
      <c r="AA11" s="113">
        <f t="shared" si="17"/>
        <v>1060</v>
      </c>
      <c r="AB11" s="113">
        <f t="shared" si="18"/>
        <v>6199.1281500000005</v>
      </c>
      <c r="AC11" s="113">
        <f t="shared" si="19"/>
        <v>6517.2524100000001</v>
      </c>
      <c r="AD11" s="116">
        <f t="shared" si="20"/>
        <v>13776.38056</v>
      </c>
      <c r="AE11" s="115"/>
      <c r="AF11" s="107" t="s">
        <v>391</v>
      </c>
      <c r="AG11" s="117">
        <f t="shared" si="13"/>
        <v>0</v>
      </c>
      <c r="AH11" s="117">
        <f t="shared" si="14"/>
        <v>19.023208509725528</v>
      </c>
      <c r="AI11" s="117">
        <f t="shared" si="15"/>
        <v>0.92015878402917928</v>
      </c>
      <c r="AJ11" s="118">
        <f t="shared" si="16"/>
        <v>1.8595071148640345</v>
      </c>
    </row>
    <row r="12" spans="1:36" x14ac:dyDescent="0.25">
      <c r="A12">
        <v>7</v>
      </c>
      <c r="B12" s="107" t="s">
        <v>392</v>
      </c>
      <c r="C12" s="113">
        <f>INDEX(TourMode_input!$B$4:$J$172,MATCH(TourMode!$A12,modes,0),MATCH("work",modePurpose,0))</f>
        <v>21025.37055</v>
      </c>
      <c r="D12" s="113">
        <f>INDEX(TourMode_input!$B$20:$J$33,MATCH(TourMode!$A12,modes,0),MATCH("work",modePurpose,0))</f>
        <v>41561.740180000001</v>
      </c>
      <c r="E12" s="113">
        <f>INDEX(TourMode_input!$B$36:$J$49,MATCH(TourMode!$A12,modes,0),MATCH("work",modePurpose,0))</f>
        <v>21978.733980000001</v>
      </c>
      <c r="F12" s="116">
        <f t="shared" si="0"/>
        <v>84565.844710000005</v>
      </c>
      <c r="G12" s="115"/>
      <c r="H12" s="107" t="s">
        <v>392</v>
      </c>
      <c r="I12" s="113">
        <f>INDEX(TourMode_input!$L$4:$T$17,MATCH(TourMode!$A12,modes,0),MATCH("work",modePurpose,0))*Index!$B$2</f>
        <v>36000</v>
      </c>
      <c r="J12" s="113">
        <f>INDEX(TourMode_input!$L$20:$T$33,MATCH(TourMode!$A12,modes,0), MATCH("work",modePurpose,0))*Index!$B$2</f>
        <v>72800</v>
      </c>
      <c r="K12" s="113">
        <f>INDEX(TourMode_input!$L$36:$T$49,MATCH(TourMode!$A12,modes,0), MATCH("work",modePurpose,0))*Index!$B$2</f>
        <v>20175</v>
      </c>
      <c r="L12" s="116">
        <f t="shared" si="1"/>
        <v>128975</v>
      </c>
      <c r="N12" s="107" t="s">
        <v>392</v>
      </c>
      <c r="O12" s="117">
        <f t="shared" si="2"/>
        <v>0.11797275883424968</v>
      </c>
      <c r="P12" s="117">
        <f t="shared" si="3"/>
        <v>4.8348271137818657E-2</v>
      </c>
      <c r="Q12" s="117">
        <f t="shared" si="4"/>
        <v>7.9038528979767046E-3</v>
      </c>
      <c r="R12" s="118">
        <f t="shared" si="5"/>
        <v>2.2145675255929479E-2</v>
      </c>
      <c r="S12" s="115"/>
      <c r="T12" s="107" t="s">
        <v>392</v>
      </c>
      <c r="U12" s="117">
        <f t="shared" si="6"/>
        <v>0.19287436378248057</v>
      </c>
      <c r="V12" s="117">
        <f t="shared" si="7"/>
        <v>6.1517401058809117E-2</v>
      </c>
      <c r="W12" s="117">
        <f t="shared" si="8"/>
        <v>9.4050024823612507E-3</v>
      </c>
      <c r="X12" s="118">
        <f t="shared" si="9"/>
        <v>3.6690762092518467E-2</v>
      </c>
      <c r="Z12" s="107" t="s">
        <v>392</v>
      </c>
      <c r="AA12" s="113">
        <f t="shared" si="17"/>
        <v>14974.62945</v>
      </c>
      <c r="AB12" s="113">
        <f t="shared" si="18"/>
        <v>31238.259819999999</v>
      </c>
      <c r="AC12" s="113">
        <f t="shared" si="19"/>
        <v>-1803.7339800000009</v>
      </c>
      <c r="AD12" s="116">
        <f t="shared" si="20"/>
        <v>44409.155289999995</v>
      </c>
      <c r="AE12" s="115"/>
      <c r="AF12" s="107" t="s">
        <v>392</v>
      </c>
      <c r="AG12" s="117">
        <f t="shared" si="13"/>
        <v>0.71221714805877701</v>
      </c>
      <c r="AH12" s="117">
        <f t="shared" si="14"/>
        <v>0.75161096924022008</v>
      </c>
      <c r="AI12" s="117">
        <f t="shared" si="15"/>
        <v>-8.2067237432390125E-2</v>
      </c>
      <c r="AJ12" s="118">
        <f t="shared" si="16"/>
        <v>0.52514292788408179</v>
      </c>
    </row>
    <row r="13" spans="1:36" x14ac:dyDescent="0.25">
      <c r="A13">
        <v>8</v>
      </c>
      <c r="B13" s="107" t="s">
        <v>393</v>
      </c>
      <c r="C13" s="113">
        <f>INDEX(TourMode_input!$B$4:$J$172,MATCH(TourMode!$A13,modes,0),MATCH("work",modePurpose,0))</f>
        <v>9144.0296899999994</v>
      </c>
      <c r="D13" s="113">
        <f>INDEX(TourMode_input!$B$20:$J$33,MATCH(TourMode!$A13,modes,0),MATCH("work",modePurpose,0))</f>
        <v>27933.991679999999</v>
      </c>
      <c r="E13" s="113">
        <f>INDEX(TourMode_input!$B$36:$J$49,MATCH(TourMode!$A13,modes,0),MATCH("work",modePurpose,0))</f>
        <v>14350.58232</v>
      </c>
      <c r="F13" s="116">
        <f t="shared" si="0"/>
        <v>51428.603690000004</v>
      </c>
      <c r="G13" s="115"/>
      <c r="H13" s="107" t="s">
        <v>393</v>
      </c>
      <c r="I13" s="113">
        <f>INDEX(TourMode_input!$L$4:$T$17,MATCH(TourMode!$A13,modes,0),MATCH("work",modePurpose,0))*Index!$B$2</f>
        <v>17340</v>
      </c>
      <c r="J13" s="113">
        <f>INDEX(TourMode_input!$L$20:$T$33,MATCH(TourMode!$A13,modes,0), MATCH("work",modePurpose,0))*Index!$B$2</f>
        <v>53180</v>
      </c>
      <c r="K13" s="113">
        <f>INDEX(TourMode_input!$L$36:$T$49,MATCH(TourMode!$A13,modes,0), MATCH("work",modePurpose,0))*Index!$B$2</f>
        <v>15790</v>
      </c>
      <c r="L13" s="116">
        <f t="shared" si="1"/>
        <v>86310</v>
      </c>
      <c r="N13" s="107" t="s">
        <v>393</v>
      </c>
      <c r="O13" s="117">
        <f t="shared" si="2"/>
        <v>5.1306891682419781E-2</v>
      </c>
      <c r="P13" s="117">
        <f t="shared" si="3"/>
        <v>3.2495275651526156E-2</v>
      </c>
      <c r="Q13" s="117">
        <f t="shared" si="4"/>
        <v>5.1606653850398551E-3</v>
      </c>
      <c r="R13" s="118">
        <f t="shared" si="5"/>
        <v>1.3467862351405778E-2</v>
      </c>
      <c r="S13" s="115"/>
      <c r="T13" s="107" t="s">
        <v>393</v>
      </c>
      <c r="U13" s="117">
        <f t="shared" si="6"/>
        <v>9.2901151888561476E-2</v>
      </c>
      <c r="V13" s="117">
        <f t="shared" si="7"/>
        <v>4.4938123465761932E-2</v>
      </c>
      <c r="W13" s="117">
        <f t="shared" si="8"/>
        <v>7.3608420915233777E-3</v>
      </c>
      <c r="X13" s="118">
        <f t="shared" si="9"/>
        <v>2.4553438078738277E-2</v>
      </c>
      <c r="Z13" s="107" t="s">
        <v>393</v>
      </c>
      <c r="AA13" s="113">
        <f t="shared" si="17"/>
        <v>8195.9703100000006</v>
      </c>
      <c r="AB13" s="113">
        <f t="shared" si="18"/>
        <v>25246.008320000001</v>
      </c>
      <c r="AC13" s="113">
        <f t="shared" si="19"/>
        <v>1439.4176800000005</v>
      </c>
      <c r="AD13" s="116">
        <f t="shared" si="20"/>
        <v>34881.396309999996</v>
      </c>
      <c r="AE13" s="115"/>
      <c r="AF13" s="107" t="s">
        <v>393</v>
      </c>
      <c r="AG13" s="117">
        <f t="shared" si="13"/>
        <v>0.89631930208660571</v>
      </c>
      <c r="AH13" s="117">
        <f t="shared" si="14"/>
        <v>0.90377374666705712</v>
      </c>
      <c r="AI13" s="117">
        <f t="shared" si="15"/>
        <v>0.10030378195830596</v>
      </c>
      <c r="AJ13" s="118">
        <f t="shared" si="16"/>
        <v>0.67824894722511164</v>
      </c>
    </row>
    <row r="14" spans="1:36" x14ac:dyDescent="0.25">
      <c r="A14">
        <v>9</v>
      </c>
      <c r="B14" s="107" t="s">
        <v>394</v>
      </c>
      <c r="C14" s="113"/>
      <c r="D14" s="113"/>
      <c r="E14" s="113"/>
      <c r="F14" s="116">
        <f t="shared" si="0"/>
        <v>0</v>
      </c>
      <c r="G14" s="115"/>
      <c r="H14" s="107" t="s">
        <v>394</v>
      </c>
      <c r="I14" s="113">
        <f>INDEX(TourMode_input!$L$4:$T$17,MATCH(TourMode!$A14,modes,0),MATCH("work",modePurpose,0))*Index!$B$2</f>
        <v>0</v>
      </c>
      <c r="J14" s="113">
        <f>INDEX(TourMode_input!$L$20:$T$33,MATCH(TourMode!$A14,modes,0), MATCH("work",modePurpose,0))*Index!$B$2</f>
        <v>0</v>
      </c>
      <c r="K14" s="113">
        <f>INDEX(TourMode_input!$L$36:$T$49,MATCH(TourMode!$A14,modes,0), MATCH("work",modePurpose,0))*Index!$B$2</f>
        <v>0</v>
      </c>
      <c r="L14" s="116">
        <f t="shared" si="1"/>
        <v>0</v>
      </c>
      <c r="N14" s="107" t="s">
        <v>394</v>
      </c>
      <c r="O14" s="117">
        <f t="shared" si="2"/>
        <v>0</v>
      </c>
      <c r="P14" s="117">
        <f t="shared" si="3"/>
        <v>0</v>
      </c>
      <c r="Q14" s="117">
        <f t="shared" si="4"/>
        <v>0</v>
      </c>
      <c r="R14" s="118">
        <f t="shared" si="5"/>
        <v>0</v>
      </c>
      <c r="S14" s="115"/>
      <c r="T14" s="107" t="s">
        <v>394</v>
      </c>
      <c r="U14" s="117">
        <f t="shared" si="6"/>
        <v>0</v>
      </c>
      <c r="V14" s="117">
        <f t="shared" si="7"/>
        <v>0</v>
      </c>
      <c r="W14" s="117">
        <f t="shared" si="8"/>
        <v>0</v>
      </c>
      <c r="X14" s="118">
        <f t="shared" si="9"/>
        <v>0</v>
      </c>
      <c r="Z14" s="107" t="s">
        <v>394</v>
      </c>
      <c r="AA14" s="113">
        <f t="shared" si="17"/>
        <v>0</v>
      </c>
      <c r="AB14" s="113">
        <f t="shared" si="18"/>
        <v>0</v>
      </c>
      <c r="AC14" s="113">
        <f t="shared" si="19"/>
        <v>0</v>
      </c>
      <c r="AD14" s="116">
        <f t="shared" si="20"/>
        <v>0</v>
      </c>
      <c r="AE14" s="115"/>
      <c r="AF14" s="107" t="s">
        <v>394</v>
      </c>
      <c r="AG14" s="117">
        <f t="shared" si="13"/>
        <v>0</v>
      </c>
      <c r="AH14" s="117">
        <f t="shared" si="14"/>
        <v>0</v>
      </c>
      <c r="AI14" s="117">
        <f t="shared" si="15"/>
        <v>0</v>
      </c>
      <c r="AJ14" s="118">
        <f t="shared" si="16"/>
        <v>0</v>
      </c>
    </row>
    <row r="15" spans="1:36" x14ac:dyDescent="0.25">
      <c r="A15">
        <v>10</v>
      </c>
      <c r="B15" s="107" t="s">
        <v>395</v>
      </c>
      <c r="C15" s="113">
        <f>INDEX(TourMode_input!$B$4:$J$172,MATCH(TourMode!$A15,modes,0),MATCH("work",modePurpose,0))+INDEX(TourMode_input!$B$4:$J$172,MATCH(TourMode!$A14,modes,0),MATCH("work",modePurpose,0))</f>
        <v>102952.94852999999</v>
      </c>
      <c r="D15" s="113">
        <f>INDEX(TourMode_input!$B$20:$J$33,MATCH(TourMode!$A15,modes,0),MATCH("work",modePurpose,0))+INDEX(TourMode_input!$B$20:$J$33,MATCH(TourMode!$A14,modes,0),MATCH("work",modePurpose,0))</f>
        <v>147596.38795999999</v>
      </c>
      <c r="E15" s="113">
        <f>INDEX(TourMode_input!$B$36:$J$49,MATCH(TourMode!$A15,modes,0),MATCH("work",modePurpose,0))+INDEX(TourMode_input!$B$36:$J$49,MATCH(TourMode!$A14,modes,0),MATCH("work",modePurpose,0))</f>
        <v>83082.375869999989</v>
      </c>
      <c r="F15" s="116">
        <f t="shared" si="0"/>
        <v>333631.71236</v>
      </c>
      <c r="G15" s="115"/>
      <c r="H15" s="107" t="s">
        <v>395</v>
      </c>
      <c r="I15" s="113">
        <f>INDEX(TourMode_input!$L$4:$T$17,MATCH(TourMode!$A15,modes,0),MATCH("work",modePurpose,0))*Index!$B$2</f>
        <v>84580</v>
      </c>
      <c r="J15" s="113">
        <f>INDEX(TourMode_input!$L$20:$T$33,MATCH(TourMode!$A15,modes,0), MATCH("work",modePurpose,0))*Index!$B$2</f>
        <v>97685</v>
      </c>
      <c r="K15" s="113">
        <f>INDEX(TourMode_input!$L$36:$T$49,MATCH(TourMode!$A15,modes,0), MATCH("work",modePurpose,0))*Index!$B$2</f>
        <v>55115</v>
      </c>
      <c r="L15" s="116">
        <f t="shared" si="1"/>
        <v>237380</v>
      </c>
      <c r="N15" s="107" t="s">
        <v>395</v>
      </c>
      <c r="O15" s="117">
        <f t="shared" si="2"/>
        <v>0.57766607914573043</v>
      </c>
      <c r="P15" s="117">
        <f t="shared" si="3"/>
        <v>0.17169709817604545</v>
      </c>
      <c r="Q15" s="117">
        <f t="shared" si="4"/>
        <v>2.9877557000709883E-2</v>
      </c>
      <c r="R15" s="118">
        <f t="shared" si="5"/>
        <v>8.7369783656054884E-2</v>
      </c>
      <c r="S15" s="115"/>
      <c r="T15" s="107" t="s">
        <v>395</v>
      </c>
      <c r="U15" s="117">
        <f t="shared" si="6"/>
        <v>0.45314760246450575</v>
      </c>
      <c r="V15" s="117">
        <f t="shared" si="7"/>
        <v>8.2545704978430889E-2</v>
      </c>
      <c r="W15" s="117">
        <f t="shared" si="8"/>
        <v>2.5693021651317982E-2</v>
      </c>
      <c r="X15" s="118">
        <f t="shared" si="9"/>
        <v>6.7529777906741889E-2</v>
      </c>
      <c r="Z15" s="107" t="s">
        <v>395</v>
      </c>
      <c r="AA15" s="113">
        <f t="shared" si="17"/>
        <v>-18372.948529999994</v>
      </c>
      <c r="AB15" s="113">
        <f t="shared" si="18"/>
        <v>-49911.387959999993</v>
      </c>
      <c r="AC15" s="113">
        <f t="shared" si="19"/>
        <v>-27967.375869999989</v>
      </c>
      <c r="AD15" s="116">
        <f t="shared" si="20"/>
        <v>-96251.712360000005</v>
      </c>
      <c r="AE15" s="115"/>
      <c r="AF15" s="107" t="s">
        <v>395</v>
      </c>
      <c r="AG15" s="117">
        <f t="shared" si="13"/>
        <v>-0.17845966329605611</v>
      </c>
      <c r="AH15" s="117">
        <f t="shared" si="14"/>
        <v>-0.33816131038062019</v>
      </c>
      <c r="AI15" s="117">
        <f t="shared" si="15"/>
        <v>-0.33662224481592684</v>
      </c>
      <c r="AJ15" s="118">
        <f t="shared" si="16"/>
        <v>-0.28849689281377761</v>
      </c>
    </row>
    <row r="16" spans="1:36" x14ac:dyDescent="0.25">
      <c r="A16">
        <v>11</v>
      </c>
      <c r="B16" s="107" t="s">
        <v>396</v>
      </c>
      <c r="C16" s="113">
        <f>INDEX(TourMode_input!$B$4:$J$172,MATCH(TourMode!$A16,modes,0),MATCH("work",modePurpose,0))</f>
        <v>8903.7111800000002</v>
      </c>
      <c r="D16" s="113">
        <f>INDEX(TourMode_input!$B$20:$J$33,MATCH(TourMode!$A16,modes,0),MATCH("work",modePurpose,0))</f>
        <v>21062.73905</v>
      </c>
      <c r="E16" s="113">
        <f>INDEX(TourMode_input!$B$36:$J$49,MATCH(TourMode!$A16,modes,0),MATCH("work",modePurpose,0))</f>
        <v>21879.500670000001</v>
      </c>
      <c r="F16" s="116">
        <f t="shared" si="0"/>
        <v>51845.950900000003</v>
      </c>
      <c r="G16" s="115"/>
      <c r="H16" s="107" t="s">
        <v>396</v>
      </c>
      <c r="I16" s="113">
        <f>INDEX(TourMode_input!$L$4:$T$17,MATCH(TourMode!$A16,modes,0),MATCH("work",modePurpose,0))*Index!$B$2</f>
        <v>2475</v>
      </c>
      <c r="J16" s="113">
        <f>INDEX(TourMode_input!$L$20:$T$33,MATCH(TourMode!$A16,modes,0), MATCH("work",modePurpose,0))*Index!$B$2</f>
        <v>4710</v>
      </c>
      <c r="K16" s="113">
        <f>INDEX(TourMode_input!$L$36:$T$49,MATCH(TourMode!$A16,modes,0), MATCH("work",modePurpose,0))*Index!$B$2</f>
        <v>4545</v>
      </c>
      <c r="L16" s="116">
        <f t="shared" si="1"/>
        <v>11730</v>
      </c>
      <c r="N16" s="107" t="s">
        <v>396</v>
      </c>
      <c r="O16" s="117">
        <f t="shared" si="2"/>
        <v>4.9958471327296188E-2</v>
      </c>
      <c r="P16" s="117">
        <f t="shared" si="3"/>
        <v>2.4502030330880168E-2</v>
      </c>
      <c r="Q16" s="117">
        <f t="shared" si="4"/>
        <v>7.868167244493067E-3</v>
      </c>
      <c r="R16" s="118">
        <f t="shared" si="5"/>
        <v>1.3577155125732376E-2</v>
      </c>
      <c r="S16" s="115"/>
      <c r="T16" s="107" t="s">
        <v>396</v>
      </c>
      <c r="U16" s="117">
        <f>I16/$I$20</f>
        <v>1.326011251004554E-2</v>
      </c>
      <c r="V16" s="117">
        <f>J16/$J$20</f>
        <v>3.9800406454256997E-3</v>
      </c>
      <c r="W16" s="117">
        <f>K16/$K$20</f>
        <v>2.1187477711193002E-3</v>
      </c>
      <c r="X16" s="119">
        <f>L16/$L$20</f>
        <v>3.3369462248128835E-3</v>
      </c>
      <c r="Z16" s="107" t="s">
        <v>396</v>
      </c>
      <c r="AA16" s="113">
        <f t="shared" si="10"/>
        <v>-6428.7111800000002</v>
      </c>
      <c r="AB16" s="113">
        <f t="shared" si="11"/>
        <v>-16352.73905</v>
      </c>
      <c r="AC16" s="113">
        <f t="shared" si="12"/>
        <v>-17334.500670000001</v>
      </c>
      <c r="AD16" s="116">
        <f>L16-F16</f>
        <v>-40115.950900000003</v>
      </c>
      <c r="AE16" s="115"/>
      <c r="AF16" s="107" t="s">
        <v>396</v>
      </c>
      <c r="AG16" s="117">
        <f t="shared" si="13"/>
        <v>-0.72202602375967906</v>
      </c>
      <c r="AH16" s="117">
        <f t="shared" si="14"/>
        <v>-0.77638235991913884</v>
      </c>
      <c r="AI16" s="117">
        <f t="shared" si="15"/>
        <v>-0.79227131054997701</v>
      </c>
      <c r="AJ16" s="118">
        <f t="shared" si="16"/>
        <v>-0.77375282357874553</v>
      </c>
    </row>
    <row r="17" spans="1:36" x14ac:dyDescent="0.25">
      <c r="A17">
        <v>12</v>
      </c>
      <c r="B17" s="107" t="s">
        <v>397</v>
      </c>
      <c r="C17" s="113">
        <f>INDEX(TourMode_input!$B$4:$J$172,MATCH(TourMode!$A17,modes,0),MATCH("work",modePurpose,0))</f>
        <v>1836.42749</v>
      </c>
      <c r="D17" s="113">
        <f>INDEX(TourMode_input!$B$20:$J$33,MATCH(TourMode!$A17,modes,0),MATCH("work",modePurpose,0))</f>
        <v>21169.64604</v>
      </c>
      <c r="E17" s="113">
        <f>INDEX(TourMode_input!$B$36:$J$49,MATCH(TourMode!$A17,modes,0),MATCH("work",modePurpose,0))</f>
        <v>106250.27499999999</v>
      </c>
      <c r="F17" s="116">
        <f t="shared" si="0"/>
        <v>129256.34852999999</v>
      </c>
      <c r="G17" s="115"/>
      <c r="H17" s="107" t="s">
        <v>397</v>
      </c>
      <c r="I17" s="113">
        <f>INDEX(TourMode_input!$L$4:$T$17,MATCH(TourMode!$A17,modes,0),MATCH("work",modePurpose,0))*Index!$B$2</f>
        <v>0</v>
      </c>
      <c r="J17" s="113">
        <f>INDEX(TourMode_input!$L$20:$T$33,MATCH(TourMode!$A17,modes,0), MATCH("work",modePurpose,0))*Index!$B$2</f>
        <v>5955</v>
      </c>
      <c r="K17" s="113">
        <f>INDEX(TourMode_input!$L$36:$T$49,MATCH(TourMode!$A17,modes,0), MATCH("work",modePurpose,0))*Index!$B$2</f>
        <v>24415</v>
      </c>
      <c r="L17" s="116">
        <f t="shared" si="1"/>
        <v>30370</v>
      </c>
      <c r="N17" s="107" t="s">
        <v>397</v>
      </c>
      <c r="O17" s="117">
        <f t="shared" si="2"/>
        <v>1.0304142648955905E-2</v>
      </c>
      <c r="P17" s="117">
        <f t="shared" si="3"/>
        <v>2.4626393943102915E-2</v>
      </c>
      <c r="Q17" s="117">
        <f t="shared" si="4"/>
        <v>3.8209049926795267E-2</v>
      </c>
      <c r="R17" s="118">
        <f t="shared" si="5"/>
        <v>3.3848998128367627E-2</v>
      </c>
      <c r="S17" s="115"/>
      <c r="T17" s="107" t="s">
        <v>397</v>
      </c>
      <c r="U17" s="117">
        <f>I17/$I$20</f>
        <v>0</v>
      </c>
      <c r="V17" s="117">
        <f>J17/$J$20</f>
        <v>5.0320896058407734E-3</v>
      </c>
      <c r="W17" s="117">
        <f>K17/$K$20</f>
        <v>1.1381568059819078E-2</v>
      </c>
      <c r="X17" s="119">
        <f>L17/$L$20</f>
        <v>8.6396467900739359E-3</v>
      </c>
      <c r="Z17" s="107" t="s">
        <v>397</v>
      </c>
      <c r="AA17" s="113">
        <f t="shared" si="10"/>
        <v>-1836.42749</v>
      </c>
      <c r="AB17" s="113">
        <f t="shared" si="11"/>
        <v>-15214.64604</v>
      </c>
      <c r="AC17" s="113">
        <f t="shared" si="12"/>
        <v>-81835.274999999994</v>
      </c>
      <c r="AD17" s="116">
        <f>L17-F17</f>
        <v>-98886.348529999988</v>
      </c>
      <c r="AE17" s="115"/>
      <c r="AF17" s="107" t="s">
        <v>397</v>
      </c>
      <c r="AG17" s="117">
        <f t="shared" si="13"/>
        <v>-1</v>
      </c>
      <c r="AH17" s="117">
        <f t="shared" si="14"/>
        <v>-0.71870101234814976</v>
      </c>
      <c r="AI17" s="117">
        <f t="shared" si="15"/>
        <v>-0.77021235945036381</v>
      </c>
      <c r="AJ17" s="118">
        <f t="shared" si="16"/>
        <v>-0.76504055432951346</v>
      </c>
    </row>
    <row r="18" spans="1:36" x14ac:dyDescent="0.25">
      <c r="A18">
        <v>13</v>
      </c>
      <c r="B18" s="107" t="s">
        <v>398</v>
      </c>
      <c r="C18" s="113">
        <f>INDEX(TourMode_input!$B$4:$J$172,MATCH(TourMode!$A18,modes,0),MATCH("work",modePurpose,0))</f>
        <v>1065.72668</v>
      </c>
      <c r="D18" s="113">
        <f>INDEX(TourMode_input!$B$20:$J$33,MATCH(TourMode!$A18,modes,0),MATCH("work",modePurpose,0))</f>
        <v>3973.15184</v>
      </c>
      <c r="E18" s="113">
        <f>INDEX(TourMode_input!$B$36:$J$49,MATCH(TourMode!$A18,modes,0),MATCH("work",modePurpose,0))</f>
        <v>3680.99233</v>
      </c>
      <c r="F18" s="116">
        <f t="shared" si="0"/>
        <v>8719.8708499999993</v>
      </c>
      <c r="G18" s="115"/>
      <c r="H18" s="107" t="s">
        <v>398</v>
      </c>
      <c r="I18" s="113">
        <f>INDEX(TourMode_input!$L$4:$T$17,MATCH(TourMode!$A18,modes,0),MATCH("work",modePurpose,0))*Index!$B$2</f>
        <v>1075</v>
      </c>
      <c r="J18" s="113">
        <f>INDEX(TourMode_input!$L$20:$T$33,MATCH(TourMode!$A18,modes,0), MATCH("work",modePurpose,0))*Index!$B$2</f>
        <v>5395</v>
      </c>
      <c r="K18" s="113">
        <f>INDEX(TourMode_input!$L$36:$T$49,MATCH(TourMode!$A18,modes,0), MATCH("work",modePurpose,0))*Index!$B$2</f>
        <v>2630</v>
      </c>
      <c r="L18" s="116">
        <f t="shared" si="1"/>
        <v>9100</v>
      </c>
      <c r="N18" s="107" t="s">
        <v>398</v>
      </c>
      <c r="O18" s="117">
        <f t="shared" si="2"/>
        <v>5.9797622260153501E-3</v>
      </c>
      <c r="P18" s="117">
        <f t="shared" si="3"/>
        <v>4.621919621269407E-3</v>
      </c>
      <c r="Q18" s="117">
        <f t="shared" si="4"/>
        <v>1.323735112376137E-3</v>
      </c>
      <c r="R18" s="118">
        <f t="shared" si="5"/>
        <v>2.2835156295069868E-3</v>
      </c>
      <c r="S18" s="115"/>
      <c r="T18" s="107" t="s">
        <v>398</v>
      </c>
      <c r="U18" s="117">
        <f>I18/$I$20</f>
        <v>5.7594428073935175E-3</v>
      </c>
      <c r="V18" s="117">
        <f>J18/$J$20</f>
        <v>4.5588788284653186E-3</v>
      </c>
      <c r="W18" s="117">
        <f>K18/$K$20</f>
        <v>1.2260300633759648E-3</v>
      </c>
      <c r="X18" s="119">
        <f>L18/$L$20</f>
        <v>2.5887647609375312E-3</v>
      </c>
      <c r="Z18" s="107" t="s">
        <v>398</v>
      </c>
      <c r="AA18" s="113">
        <f t="shared" si="10"/>
        <v>9.2733200000000124</v>
      </c>
      <c r="AB18" s="113">
        <f t="shared" si="11"/>
        <v>1421.84816</v>
      </c>
      <c r="AC18" s="113">
        <f t="shared" si="12"/>
        <v>-1050.99233</v>
      </c>
      <c r="AD18" s="116">
        <f>L18-F18</f>
        <v>380.12915000000066</v>
      </c>
      <c r="AE18" s="115"/>
      <c r="AF18" s="107" t="s">
        <v>398</v>
      </c>
      <c r="AG18" s="117">
        <f t="shared" si="13"/>
        <v>8.7014055048335783E-3</v>
      </c>
      <c r="AH18" s="117">
        <f t="shared" si="14"/>
        <v>0.35786403773584452</v>
      </c>
      <c r="AI18" s="117">
        <f t="shared" si="15"/>
        <v>-0.28551875032024315</v>
      </c>
      <c r="AJ18" s="118">
        <f t="shared" si="16"/>
        <v>4.3593438084005648E-2</v>
      </c>
    </row>
    <row r="19" spans="1:36" x14ac:dyDescent="0.25">
      <c r="A19">
        <v>14</v>
      </c>
      <c r="B19" s="107" t="s">
        <v>399</v>
      </c>
      <c r="C19" s="113">
        <f>INDEX(TourMode_input!$B$4:$J$172,MATCH(TourMode!$A19,modes,0),MATCH("work",modePurpose,0))</f>
        <v>0</v>
      </c>
      <c r="D19" s="113">
        <f>INDEX(TourMode_input!$B$20:$J$33,MATCH(TourMode!$A19,modes,0),MATCH("work",modePurpose,0))</f>
        <v>3016.7466599999998</v>
      </c>
      <c r="E19" s="113">
        <f>INDEX(TourMode_input!$B$36:$J$49,MATCH(TourMode!$A19,modes,0),MATCH("work",modePurpose,0))</f>
        <v>1087.55423</v>
      </c>
      <c r="F19" s="116">
        <f t="shared" si="0"/>
        <v>4104.3008899999995</v>
      </c>
      <c r="G19" s="115"/>
      <c r="H19" s="107" t="s">
        <v>399</v>
      </c>
      <c r="I19" s="113">
        <f>INDEX(TourMode_input!$L$4:$T$17,MATCH(TourMode!$A19,modes,0),MATCH("work",modePurpose,0))*Index!$B$2</f>
        <v>0</v>
      </c>
      <c r="J19" s="113">
        <f>INDEX(TourMode_input!$L$20:$T$33,MATCH(TourMode!$A19,modes,0), MATCH("work",modePurpose,0))*Index!$B$2</f>
        <v>0</v>
      </c>
      <c r="K19" s="113">
        <f>INDEX(TourMode_input!$L$36:$T$49,MATCH(TourMode!$A19,modes,0), MATCH("work",modePurpose,0))*Index!$B$2</f>
        <v>0</v>
      </c>
      <c r="L19" s="116">
        <f t="shared" si="1"/>
        <v>0</v>
      </c>
      <c r="N19" s="107" t="s">
        <v>399</v>
      </c>
      <c r="O19" s="117">
        <f t="shared" si="2"/>
        <v>0</v>
      </c>
      <c r="P19" s="117">
        <f t="shared" si="3"/>
        <v>3.5093450091383742E-3</v>
      </c>
      <c r="Q19" s="117">
        <f t="shared" si="4"/>
        <v>3.9109935359854259E-4</v>
      </c>
      <c r="R19" s="118">
        <f t="shared" si="5"/>
        <v>1.0748135370049013E-3</v>
      </c>
      <c r="S19" s="115"/>
      <c r="T19" s="107" t="s">
        <v>399</v>
      </c>
      <c r="U19" s="117">
        <f>I19/$I$20</f>
        <v>0</v>
      </c>
      <c r="V19" s="117">
        <f>J19/$J$20</f>
        <v>0</v>
      </c>
      <c r="W19" s="117">
        <f>K19/$K$20</f>
        <v>0</v>
      </c>
      <c r="X19" s="119">
        <f>L19/$L$20</f>
        <v>0</v>
      </c>
      <c r="Z19" s="107" t="s">
        <v>399</v>
      </c>
      <c r="AA19" s="113">
        <f t="shared" si="10"/>
        <v>0</v>
      </c>
      <c r="AB19" s="113">
        <f t="shared" si="11"/>
        <v>-3016.7466599999998</v>
      </c>
      <c r="AC19" s="113">
        <f t="shared" si="12"/>
        <v>-1087.55423</v>
      </c>
      <c r="AD19" s="116">
        <f>L19-F19</f>
        <v>-4104.3008899999995</v>
      </c>
      <c r="AE19" s="115"/>
      <c r="AF19" s="107" t="s">
        <v>399</v>
      </c>
      <c r="AG19" s="117">
        <f t="shared" si="13"/>
        <v>0</v>
      </c>
      <c r="AH19" s="117">
        <f t="shared" si="14"/>
        <v>-1</v>
      </c>
      <c r="AI19" s="117">
        <f t="shared" si="15"/>
        <v>-1</v>
      </c>
      <c r="AJ19" s="118">
        <f t="shared" si="16"/>
        <v>-1</v>
      </c>
    </row>
    <row r="20" spans="1:36" ht="15.75" thickBot="1" x14ac:dyDescent="0.3">
      <c r="B20" s="108" t="s">
        <v>29</v>
      </c>
      <c r="C20" s="109">
        <f>SUM(C6:C19)</f>
        <v>178222.25026999999</v>
      </c>
      <c r="D20" s="110">
        <f>SUM(D6:D19)</f>
        <v>859632.39639999985</v>
      </c>
      <c r="E20" s="111">
        <f>SUM(E6:E19)</f>
        <v>2780762.0237499997</v>
      </c>
      <c r="F20" s="112">
        <f>SUM(F6:F19)</f>
        <v>3818616.6704199999</v>
      </c>
      <c r="H20" s="108" t="s">
        <v>29</v>
      </c>
      <c r="I20" s="109">
        <f>SUM(I6:I19)</f>
        <v>186650</v>
      </c>
      <c r="J20" s="110">
        <f>SUM(J6:J19)</f>
        <v>1183405</v>
      </c>
      <c r="K20" s="111">
        <f>SUM(K6:K19)</f>
        <v>2145135</v>
      </c>
      <c r="L20" s="112">
        <f>SUM(L6:L19)</f>
        <v>3515190</v>
      </c>
      <c r="N20" s="108" t="s">
        <v>29</v>
      </c>
      <c r="O20" s="120">
        <f>C20/$C$20</f>
        <v>1</v>
      </c>
      <c r="P20" s="121">
        <f>D20/$D$20</f>
        <v>1</v>
      </c>
      <c r="Q20" s="122">
        <f>E20/$E$20</f>
        <v>1</v>
      </c>
      <c r="R20" s="123">
        <f>F20/$F$20</f>
        <v>1</v>
      </c>
      <c r="T20" s="108" t="s">
        <v>29</v>
      </c>
      <c r="U20" s="120">
        <f>I20/$I$20</f>
        <v>1</v>
      </c>
      <c r="V20" s="121">
        <f>J20/$J$20</f>
        <v>1</v>
      </c>
      <c r="W20" s="122">
        <f>K20/$K$20</f>
        <v>1</v>
      </c>
      <c r="X20" s="123">
        <f>L20/$L$20</f>
        <v>1</v>
      </c>
      <c r="Z20" s="108" t="s">
        <v>29</v>
      </c>
      <c r="AA20" s="109">
        <f t="shared" si="10"/>
        <v>8427.7497300000105</v>
      </c>
      <c r="AB20" s="110">
        <f t="shared" si="11"/>
        <v>323772.60360000015</v>
      </c>
      <c r="AC20" s="111">
        <f t="shared" si="12"/>
        <v>-635627.0237499997</v>
      </c>
      <c r="AD20" s="112">
        <f>L20-F20</f>
        <v>-303426.67041999986</v>
      </c>
      <c r="AF20" s="108" t="s">
        <v>29</v>
      </c>
      <c r="AG20" s="117">
        <f t="shared" si="13"/>
        <v>4.7287865107932862E-2</v>
      </c>
      <c r="AH20" s="117">
        <f t="shared" si="14"/>
        <v>0.37664076523396156</v>
      </c>
      <c r="AI20" s="117">
        <f t="shared" si="15"/>
        <v>-0.22858015835991036</v>
      </c>
      <c r="AJ20" s="118">
        <f t="shared" si="16"/>
        <v>-7.9459840200882675E-2</v>
      </c>
    </row>
    <row r="22" spans="1:36" ht="26.25" x14ac:dyDescent="0.4">
      <c r="A22" s="150" t="s">
        <v>149</v>
      </c>
    </row>
    <row r="23" spans="1:36" ht="26.25" x14ac:dyDescent="0.25">
      <c r="B23" s="102" t="s">
        <v>134</v>
      </c>
      <c r="C23" s="103" t="s">
        <v>135</v>
      </c>
      <c r="D23" s="104" t="s">
        <v>136</v>
      </c>
      <c r="E23" s="105" t="s">
        <v>137</v>
      </c>
      <c r="F23" s="106" t="s">
        <v>29</v>
      </c>
      <c r="H23" s="102" t="s">
        <v>134</v>
      </c>
      <c r="I23" s="103" t="s">
        <v>135</v>
      </c>
      <c r="J23" s="104" t="s">
        <v>136</v>
      </c>
      <c r="K23" s="105" t="s">
        <v>137</v>
      </c>
      <c r="L23" s="106" t="s">
        <v>29</v>
      </c>
      <c r="N23" s="102" t="s">
        <v>134</v>
      </c>
      <c r="O23" s="103" t="s">
        <v>135</v>
      </c>
      <c r="P23" s="104" t="s">
        <v>136</v>
      </c>
      <c r="Q23" s="105" t="s">
        <v>137</v>
      </c>
      <c r="R23" s="106" t="s">
        <v>29</v>
      </c>
      <c r="T23" s="102" t="s">
        <v>134</v>
      </c>
      <c r="U23" s="103" t="s">
        <v>135</v>
      </c>
      <c r="V23" s="104" t="s">
        <v>136</v>
      </c>
      <c r="W23" s="105" t="s">
        <v>137</v>
      </c>
      <c r="X23" s="106" t="s">
        <v>29</v>
      </c>
      <c r="Z23" s="102" t="s">
        <v>134</v>
      </c>
      <c r="AA23" s="103" t="s">
        <v>135</v>
      </c>
      <c r="AB23" s="104" t="s">
        <v>136</v>
      </c>
      <c r="AC23" s="105" t="s">
        <v>137</v>
      </c>
      <c r="AD23" s="106" t="s">
        <v>29</v>
      </c>
      <c r="AF23" s="102" t="s">
        <v>134</v>
      </c>
      <c r="AG23" s="103" t="s">
        <v>135</v>
      </c>
      <c r="AH23" s="104" t="s">
        <v>136</v>
      </c>
      <c r="AI23" s="105" t="s">
        <v>137</v>
      </c>
      <c r="AJ23" s="106" t="s">
        <v>29</v>
      </c>
    </row>
    <row r="24" spans="1:36" x14ac:dyDescent="0.25">
      <c r="A24">
        <v>1</v>
      </c>
      <c r="B24" s="107" t="s">
        <v>386</v>
      </c>
      <c r="C24" s="113">
        <f>INDEX(TourMode_input!$B$4:$J$172,MATCH(TourMode!$A24,modes,0),MATCH("univ",modePurpose,0))</f>
        <v>0</v>
      </c>
      <c r="D24" s="113">
        <f>INDEX(TourMode_input!$B$20:$J$33,MATCH(TourMode!$A24,modes,0),MATCH("univ",modePurpose,0))</f>
        <v>27186.153989999999</v>
      </c>
      <c r="E24" s="113">
        <f>INDEX(TourMode_input!$B$36:$J$49,MATCH(TourMode!$A24,modes,0),MATCH("univ",modePurpose,0))</f>
        <v>47965.815110000003</v>
      </c>
      <c r="F24" s="114">
        <f>SUM(C24:E24)</f>
        <v>75151.969100000002</v>
      </c>
      <c r="G24" s="115"/>
      <c r="H24" s="107" t="s">
        <v>386</v>
      </c>
      <c r="I24" s="113">
        <f>INDEX(TourMode_input!$L$4:$T$17,MATCH(TourMode!$A24,modes,0),MATCH("univ",modePurpose,0))*Index!$B$2</f>
        <v>0</v>
      </c>
      <c r="J24" s="113">
        <f>INDEX(TourMode_input!$L$20:$T$33,MATCH(TourMode!$A24,modes,0), MATCH("univ",modePurpose,0))*Index!$B$2</f>
        <v>18980</v>
      </c>
      <c r="K24" s="113">
        <f>INDEX(TourMode_input!$L$36:$T$49,MATCH(TourMode!$A24,modes,0), MATCH("univ",modePurpose,0))*Index!$B$2</f>
        <v>28100</v>
      </c>
      <c r="L24" s="114">
        <f>SUM(I24:K24)</f>
        <v>47080</v>
      </c>
      <c r="N24" s="107" t="s">
        <v>386</v>
      </c>
      <c r="O24" s="117">
        <f>C24/C$38</f>
        <v>0</v>
      </c>
      <c r="P24" s="117">
        <f>D24/D$38</f>
        <v>0.32709507806004806</v>
      </c>
      <c r="Q24" s="117">
        <f>E24/E$38</f>
        <v>0.60363111082122378</v>
      </c>
      <c r="R24" s="118">
        <f>F24/F$38</f>
        <v>0.40713844928208298</v>
      </c>
      <c r="S24" s="115"/>
      <c r="T24" s="107" t="s">
        <v>386</v>
      </c>
      <c r="U24" s="117">
        <f>I24/I$38</f>
        <v>0</v>
      </c>
      <c r="V24" s="117">
        <f>J24/J$38</f>
        <v>0.25732104121475052</v>
      </c>
      <c r="W24" s="117">
        <f>K24/K$38</f>
        <v>0.55792713193686094</v>
      </c>
      <c r="X24" s="118">
        <f>L24/L$38</f>
        <v>0.32581314878892731</v>
      </c>
      <c r="Z24" s="107" t="s">
        <v>386</v>
      </c>
      <c r="AA24" s="113">
        <f>I24-C24</f>
        <v>0</v>
      </c>
      <c r="AB24" s="113">
        <f t="shared" ref="AB24:AB38" si="21">J24-D24</f>
        <v>-8206.1539899999989</v>
      </c>
      <c r="AC24" s="113">
        <f t="shared" ref="AC24:AC38" si="22">K24-E24</f>
        <v>-19865.815110000003</v>
      </c>
      <c r="AD24" s="114">
        <f t="shared" ref="AD24:AD38" si="23">L24-F24</f>
        <v>-28071.969100000002</v>
      </c>
      <c r="AE24" s="115"/>
      <c r="AF24" s="107" t="s">
        <v>386</v>
      </c>
      <c r="AG24" s="117">
        <f>IF(C24=0, 0,AA24/C24)</f>
        <v>0</v>
      </c>
      <c r="AH24" s="117">
        <f t="shared" ref="AH24:AH38" si="24">IF(D24=0, 0,AB24/D24)</f>
        <v>-0.30185049319659207</v>
      </c>
      <c r="AI24" s="117">
        <f t="shared" ref="AI24:AI38" si="25">IF(E24=0, 0,AC24/E24)</f>
        <v>-0.41416611110312063</v>
      </c>
      <c r="AJ24" s="118">
        <f t="shared" ref="AJ24:AJ38" si="26">IF(F24=0, 0,AD24/F24)</f>
        <v>-0.37353604218468844</v>
      </c>
    </row>
    <row r="25" spans="1:36" x14ac:dyDescent="0.25">
      <c r="A25">
        <v>2</v>
      </c>
      <c r="B25" s="107" t="s">
        <v>387</v>
      </c>
      <c r="C25" s="113">
        <f>INDEX(TourMode_input!$B$4:$J$172,MATCH(TourMode!$A25,modes,0),MATCH("univ",modePurpose,0))</f>
        <v>0</v>
      </c>
      <c r="D25" s="113">
        <f>INDEX(TourMode_input!$B$20:$J$33,MATCH(TourMode!$A25,modes,0),MATCH("univ",modePurpose,0))</f>
        <v>430.77012999999999</v>
      </c>
      <c r="E25" s="113">
        <f>INDEX(TourMode_input!$B$36:$J$49,MATCH(TourMode!$A25,modes,0),MATCH("univ",modePurpose,0))</f>
        <v>3161.0840800000001</v>
      </c>
      <c r="F25" s="116">
        <f t="shared" ref="F25:F37" si="27">SUM(C25:E25)</f>
        <v>3591.85421</v>
      </c>
      <c r="G25" s="115"/>
      <c r="H25" s="107" t="s">
        <v>387</v>
      </c>
      <c r="I25" s="113">
        <f>INDEX(TourMode_input!$L$4:$T$17,MATCH(TourMode!$A25,modes,0),MATCH("univ",modePurpose,0))*Index!$B$2</f>
        <v>0</v>
      </c>
      <c r="J25" s="113">
        <f>INDEX(TourMode_input!$L$20:$T$33,MATCH(TourMode!$A25,modes,0), MATCH("univ",modePurpose,0))*Index!$B$2</f>
        <v>3675</v>
      </c>
      <c r="K25" s="113">
        <f>INDEX(TourMode_input!$L$36:$T$49,MATCH(TourMode!$A25,modes,0), MATCH("univ",modePurpose,0))*Index!$B$2</f>
        <v>4990</v>
      </c>
      <c r="L25" s="116">
        <f t="shared" ref="L25:L37" si="28">SUM(I25:K25)</f>
        <v>8665</v>
      </c>
      <c r="N25" s="107" t="s">
        <v>387</v>
      </c>
      <c r="O25" s="117">
        <f t="shared" ref="O25:O37" si="29">C25/C$38</f>
        <v>0</v>
      </c>
      <c r="P25" s="117">
        <f t="shared" ref="P25:P37" si="30">D25/D$38</f>
        <v>5.1828879270718444E-3</v>
      </c>
      <c r="Q25" s="117">
        <f t="shared" ref="Q25:Q37" si="31">E25/E$38</f>
        <v>3.9781012586438382E-2</v>
      </c>
      <c r="R25" s="118">
        <f t="shared" ref="R25:R37" si="32">F25/F$38</f>
        <v>1.9458997157623659E-2</v>
      </c>
      <c r="S25" s="115"/>
      <c r="T25" s="107" t="s">
        <v>387</v>
      </c>
      <c r="U25" s="117">
        <f t="shared" ref="U25:U38" si="33">I25/I$38</f>
        <v>0</v>
      </c>
      <c r="V25" s="117">
        <f t="shared" ref="V25:V38" si="34">J25/J$38</f>
        <v>4.9823752711496749E-2</v>
      </c>
      <c r="W25" s="117">
        <f t="shared" ref="W25:W38" si="35">K25/K$38</f>
        <v>9.9076739799463909E-2</v>
      </c>
      <c r="X25" s="118">
        <f t="shared" ref="X25:X38" si="36">L25/L$38</f>
        <v>5.9965397923875431E-2</v>
      </c>
      <c r="Z25" s="107" t="s">
        <v>387</v>
      </c>
      <c r="AA25" s="113">
        <f t="shared" ref="AA25:AA38" si="37">I25-C25</f>
        <v>0</v>
      </c>
      <c r="AB25" s="113">
        <f t="shared" si="21"/>
        <v>3244.2298700000001</v>
      </c>
      <c r="AC25" s="113">
        <f t="shared" si="22"/>
        <v>1828.9159199999999</v>
      </c>
      <c r="AD25" s="116">
        <f t="shared" si="23"/>
        <v>5073.1457900000005</v>
      </c>
      <c r="AE25" s="115"/>
      <c r="AF25" s="107" t="s">
        <v>387</v>
      </c>
      <c r="AG25" s="117">
        <f t="shared" ref="AG25:AG38" si="38">IF(C25=0, 0,AA25/C25)</f>
        <v>0</v>
      </c>
      <c r="AH25" s="117">
        <f t="shared" si="24"/>
        <v>7.5312321910528013</v>
      </c>
      <c r="AI25" s="117">
        <f t="shared" si="25"/>
        <v>0.57857237381676985</v>
      </c>
      <c r="AJ25" s="118">
        <f t="shared" si="26"/>
        <v>1.4124030357011623</v>
      </c>
    </row>
    <row r="26" spans="1:36" x14ac:dyDescent="0.25">
      <c r="A26">
        <v>3</v>
      </c>
      <c r="B26" s="107" t="s">
        <v>388</v>
      </c>
      <c r="C26" s="113">
        <f>INDEX(TourMode_input!$B$4:$J$172,MATCH(TourMode!$A26,modes,0),MATCH("univ",modePurpose,0))</f>
        <v>2409.9859900000001</v>
      </c>
      <c r="D26" s="113">
        <f>INDEX(TourMode_input!$B$20:$J$33,MATCH(TourMode!$A26,modes,0),MATCH("univ",modePurpose,0))</f>
        <v>18965.470809999999</v>
      </c>
      <c r="E26" s="113">
        <f>INDEX(TourMode_input!$B$36:$J$49,MATCH(TourMode!$A26,modes,0),MATCH("univ",modePurpose,0))</f>
        <v>4944.23675</v>
      </c>
      <c r="F26" s="116">
        <f t="shared" si="27"/>
        <v>26319.69355</v>
      </c>
      <c r="G26" s="115"/>
      <c r="H26" s="107" t="s">
        <v>388</v>
      </c>
      <c r="I26" s="113">
        <f>INDEX(TourMode_input!$L$4:$T$17,MATCH(TourMode!$A26,modes,0),MATCH("univ",modePurpose,0))*Index!$B$2</f>
        <v>255</v>
      </c>
      <c r="J26" s="113">
        <f>INDEX(TourMode_input!$L$20:$T$33,MATCH(TourMode!$A26,modes,0), MATCH("univ",modePurpose,0))*Index!$B$2</f>
        <v>13860</v>
      </c>
      <c r="K26" s="113">
        <f>INDEX(TourMode_input!$L$36:$T$49,MATCH(TourMode!$A26,modes,0), MATCH("univ",modePurpose,0))*Index!$B$2</f>
        <v>3745</v>
      </c>
      <c r="L26" s="116">
        <f t="shared" si="28"/>
        <v>17860</v>
      </c>
      <c r="N26" s="107" t="s">
        <v>388</v>
      </c>
      <c r="O26" s="117">
        <f t="shared" si="29"/>
        <v>0.10949638817157963</v>
      </c>
      <c r="P26" s="117">
        <f t="shared" si="30"/>
        <v>0.22818645687523059</v>
      </c>
      <c r="Q26" s="117">
        <f t="shared" si="31"/>
        <v>6.2221294785072968E-2</v>
      </c>
      <c r="R26" s="118">
        <f t="shared" si="32"/>
        <v>0.14258787022955918</v>
      </c>
      <c r="S26" s="115"/>
      <c r="T26" s="107" t="s">
        <v>388</v>
      </c>
      <c r="U26" s="117">
        <f t="shared" si="33"/>
        <v>1.2515337423312883E-2</v>
      </c>
      <c r="V26" s="117">
        <f t="shared" si="34"/>
        <v>0.18790672451193058</v>
      </c>
      <c r="W26" s="117">
        <f t="shared" si="35"/>
        <v>7.4357192494788046E-2</v>
      </c>
      <c r="X26" s="118">
        <f t="shared" si="36"/>
        <v>0.12359861591695502</v>
      </c>
      <c r="Z26" s="107" t="s">
        <v>388</v>
      </c>
      <c r="AA26" s="113">
        <f t="shared" si="37"/>
        <v>-2154.9859900000001</v>
      </c>
      <c r="AB26" s="113">
        <f t="shared" si="21"/>
        <v>-5105.4708099999989</v>
      </c>
      <c r="AC26" s="113">
        <f t="shared" si="22"/>
        <v>-1199.23675</v>
      </c>
      <c r="AD26" s="116">
        <f t="shared" si="23"/>
        <v>-8459.69355</v>
      </c>
      <c r="AE26" s="115"/>
      <c r="AF26" s="107" t="s">
        <v>388</v>
      </c>
      <c r="AG26" s="117">
        <f t="shared" si="38"/>
        <v>-0.89419025626783832</v>
      </c>
      <c r="AH26" s="117">
        <f t="shared" si="24"/>
        <v>-0.26919821085105977</v>
      </c>
      <c r="AI26" s="117">
        <f t="shared" si="25"/>
        <v>-0.24255245261060771</v>
      </c>
      <c r="AJ26" s="118">
        <f t="shared" si="26"/>
        <v>-0.32142067056855989</v>
      </c>
    </row>
    <row r="27" spans="1:36" x14ac:dyDescent="0.25">
      <c r="A27">
        <v>4</v>
      </c>
      <c r="B27" s="107" t="s">
        <v>389</v>
      </c>
      <c r="C27" s="113">
        <f>INDEX(TourMode_input!$B$4:$J$172,MATCH(TourMode!$A27,modes,0),MATCH("univ",modePurpose,0))</f>
        <v>0</v>
      </c>
      <c r="D27" s="113">
        <f>INDEX(TourMode_input!$B$20:$J$33,MATCH(TourMode!$A27,modes,0),MATCH("univ",modePurpose,0))</f>
        <v>0</v>
      </c>
      <c r="E27" s="113">
        <f>INDEX(TourMode_input!$B$36:$J$49,MATCH(TourMode!$A27,modes,0),MATCH("univ",modePurpose,0))</f>
        <v>753.80551000000003</v>
      </c>
      <c r="F27" s="116">
        <f t="shared" si="27"/>
        <v>753.80551000000003</v>
      </c>
      <c r="G27" s="115"/>
      <c r="H27" s="107" t="s">
        <v>389</v>
      </c>
      <c r="I27" s="113">
        <f>INDEX(TourMode_input!$L$4:$T$17,MATCH(TourMode!$A27,modes,0),MATCH("univ",modePurpose,0))*Index!$B$2</f>
        <v>10</v>
      </c>
      <c r="J27" s="113">
        <f>INDEX(TourMode_input!$L$20:$T$33,MATCH(TourMode!$A27,modes,0), MATCH("univ",modePurpose,0))*Index!$B$2</f>
        <v>1555</v>
      </c>
      <c r="K27" s="113">
        <f>INDEX(TourMode_input!$L$36:$T$49,MATCH(TourMode!$A27,modes,0), MATCH("univ",modePurpose,0))*Index!$B$2</f>
        <v>320</v>
      </c>
      <c r="L27" s="116">
        <f t="shared" si="28"/>
        <v>1885</v>
      </c>
      <c r="N27" s="107" t="s">
        <v>389</v>
      </c>
      <c r="O27" s="117">
        <f t="shared" si="29"/>
        <v>0</v>
      </c>
      <c r="P27" s="117">
        <f t="shared" si="30"/>
        <v>0</v>
      </c>
      <c r="Q27" s="117">
        <f t="shared" si="31"/>
        <v>9.4863488987096487E-3</v>
      </c>
      <c r="R27" s="118">
        <f t="shared" si="32"/>
        <v>4.083767998058878E-3</v>
      </c>
      <c r="S27" s="115"/>
      <c r="T27" s="107" t="s">
        <v>389</v>
      </c>
      <c r="U27" s="117">
        <f t="shared" si="33"/>
        <v>4.9079754601226997E-4</v>
      </c>
      <c r="V27" s="117">
        <f t="shared" si="34"/>
        <v>2.1081887201735358E-2</v>
      </c>
      <c r="W27" s="117">
        <f t="shared" si="35"/>
        <v>6.3536185843343588E-3</v>
      </c>
      <c r="X27" s="118">
        <f t="shared" si="36"/>
        <v>1.3044982698961937E-2</v>
      </c>
      <c r="Z27" s="107" t="s">
        <v>389</v>
      </c>
      <c r="AA27" s="113">
        <f t="shared" si="37"/>
        <v>10</v>
      </c>
      <c r="AB27" s="113">
        <f t="shared" si="21"/>
        <v>1555</v>
      </c>
      <c r="AC27" s="113">
        <f t="shared" si="22"/>
        <v>-433.80551000000003</v>
      </c>
      <c r="AD27" s="116">
        <f t="shared" si="23"/>
        <v>1131.1944899999999</v>
      </c>
      <c r="AE27" s="115"/>
      <c r="AF27" s="107" t="s">
        <v>389</v>
      </c>
      <c r="AG27" s="117">
        <f t="shared" si="38"/>
        <v>0</v>
      </c>
      <c r="AH27" s="117">
        <f t="shared" si="24"/>
        <v>0</v>
      </c>
      <c r="AI27" s="117">
        <f t="shared" si="25"/>
        <v>-0.57548731635034078</v>
      </c>
      <c r="AJ27" s="118">
        <f t="shared" si="26"/>
        <v>1.5006450271237735</v>
      </c>
    </row>
    <row r="28" spans="1:36" x14ac:dyDescent="0.25">
      <c r="A28">
        <v>5</v>
      </c>
      <c r="B28" s="107" t="s">
        <v>390</v>
      </c>
      <c r="C28" s="113">
        <f>INDEX(TourMode_input!$B$4:$J$172,MATCH(TourMode!$A28,modes,0),MATCH("univ",modePurpose,0))</f>
        <v>0</v>
      </c>
      <c r="D28" s="113">
        <f>INDEX(TourMode_input!$B$20:$J$33,MATCH(TourMode!$A28,modes,0),MATCH("univ",modePurpose,0))</f>
        <v>3028.37896</v>
      </c>
      <c r="E28" s="113">
        <f>INDEX(TourMode_input!$B$36:$J$49,MATCH(TourMode!$A28,modes,0),MATCH("univ",modePurpose,0))</f>
        <v>892.16390000000001</v>
      </c>
      <c r="F28" s="116">
        <f t="shared" si="27"/>
        <v>3920.54286</v>
      </c>
      <c r="G28" s="115"/>
      <c r="H28" s="107" t="s">
        <v>390</v>
      </c>
      <c r="I28" s="113">
        <f>INDEX(TourMode_input!$L$4:$T$17,MATCH(TourMode!$A28,modes,0),MATCH("univ",modePurpose,0))*Index!$B$2</f>
        <v>0</v>
      </c>
      <c r="J28" s="113">
        <f>INDEX(TourMode_input!$L$20:$T$33,MATCH(TourMode!$A28,modes,0), MATCH("univ",modePurpose,0))*Index!$B$2</f>
        <v>2500</v>
      </c>
      <c r="K28" s="113">
        <f>INDEX(TourMode_input!$L$36:$T$49,MATCH(TourMode!$A28,modes,0), MATCH("univ",modePurpose,0))*Index!$B$2</f>
        <v>800</v>
      </c>
      <c r="L28" s="116">
        <f t="shared" si="28"/>
        <v>3300</v>
      </c>
      <c r="N28" s="107" t="s">
        <v>390</v>
      </c>
      <c r="O28" s="117">
        <f t="shared" si="29"/>
        <v>0</v>
      </c>
      <c r="P28" s="117">
        <f t="shared" si="30"/>
        <v>3.6436483537942585E-2</v>
      </c>
      <c r="Q28" s="117">
        <f t="shared" si="31"/>
        <v>1.1227535376112473E-2</v>
      </c>
      <c r="R28" s="118">
        <f t="shared" si="32"/>
        <v>2.1239679538408027E-2</v>
      </c>
      <c r="S28" s="115"/>
      <c r="T28" s="107" t="s">
        <v>390</v>
      </c>
      <c r="U28" s="117">
        <f t="shared" si="33"/>
        <v>0</v>
      </c>
      <c r="V28" s="117">
        <f t="shared" si="34"/>
        <v>3.3893709327548809E-2</v>
      </c>
      <c r="W28" s="117">
        <f t="shared" si="35"/>
        <v>1.58840464608359E-2</v>
      </c>
      <c r="X28" s="118">
        <f t="shared" si="36"/>
        <v>2.2837370242214532E-2</v>
      </c>
      <c r="Z28" s="107" t="s">
        <v>390</v>
      </c>
      <c r="AA28" s="113">
        <f t="shared" si="37"/>
        <v>0</v>
      </c>
      <c r="AB28" s="113">
        <f t="shared" si="21"/>
        <v>-528.37896000000001</v>
      </c>
      <c r="AC28" s="113">
        <f t="shared" si="22"/>
        <v>-92.163900000000012</v>
      </c>
      <c r="AD28" s="116">
        <f t="shared" si="23"/>
        <v>-620.54286000000002</v>
      </c>
      <c r="AE28" s="115"/>
      <c r="AF28" s="107" t="s">
        <v>390</v>
      </c>
      <c r="AG28" s="117">
        <f t="shared" si="38"/>
        <v>0</v>
      </c>
      <c r="AH28" s="117">
        <f t="shared" si="24"/>
        <v>-0.17447583904756755</v>
      </c>
      <c r="AI28" s="117">
        <f t="shared" si="25"/>
        <v>-0.10330377635768496</v>
      </c>
      <c r="AJ28" s="118">
        <f t="shared" si="26"/>
        <v>-0.15827983066610321</v>
      </c>
    </row>
    <row r="29" spans="1:36" x14ac:dyDescent="0.25">
      <c r="A29">
        <v>6</v>
      </c>
      <c r="B29" s="107" t="s">
        <v>391</v>
      </c>
      <c r="C29" s="113">
        <f>INDEX(TourMode_input!$B$4:$J$172,MATCH(TourMode!$A29,modes,0),MATCH("univ",modePurpose,0))</f>
        <v>0</v>
      </c>
      <c r="D29" s="113">
        <f>INDEX(TourMode_input!$B$20:$J$33,MATCH(TourMode!$A29,modes,0),MATCH("univ",modePurpose,0))</f>
        <v>0</v>
      </c>
      <c r="E29" s="113">
        <f>INDEX(TourMode_input!$B$36:$J$49,MATCH(TourMode!$A29,modes,0),MATCH("univ",modePurpose,0))</f>
        <v>529.91952000000003</v>
      </c>
      <c r="F29" s="116">
        <f t="shared" si="27"/>
        <v>529.91952000000003</v>
      </c>
      <c r="G29" s="115"/>
      <c r="H29" s="107" t="s">
        <v>391</v>
      </c>
      <c r="I29" s="113">
        <f>INDEX(TourMode_input!$L$4:$T$17,MATCH(TourMode!$A29,modes,0),MATCH("univ",modePurpose,0))*Index!$B$2</f>
        <v>0</v>
      </c>
      <c r="J29" s="113">
        <f>INDEX(TourMode_input!$L$20:$T$33,MATCH(TourMode!$A29,modes,0), MATCH("univ",modePurpose,0))*Index!$B$2</f>
        <v>335</v>
      </c>
      <c r="K29" s="113">
        <f>INDEX(TourMode_input!$L$36:$T$49,MATCH(TourMode!$A29,modes,0), MATCH("univ",modePurpose,0))*Index!$B$2</f>
        <v>95</v>
      </c>
      <c r="L29" s="116">
        <f t="shared" si="28"/>
        <v>430</v>
      </c>
      <c r="N29" s="107" t="s">
        <v>391</v>
      </c>
      <c r="O29" s="117">
        <f t="shared" si="29"/>
        <v>0</v>
      </c>
      <c r="P29" s="117">
        <f t="shared" si="30"/>
        <v>0</v>
      </c>
      <c r="Q29" s="117">
        <f t="shared" si="31"/>
        <v>6.6688308698575919E-3</v>
      </c>
      <c r="R29" s="118">
        <f t="shared" si="32"/>
        <v>2.8708577326832245E-3</v>
      </c>
      <c r="S29" s="115"/>
      <c r="T29" s="107" t="s">
        <v>391</v>
      </c>
      <c r="U29" s="117">
        <f t="shared" si="33"/>
        <v>0</v>
      </c>
      <c r="V29" s="117">
        <f t="shared" si="34"/>
        <v>4.5417570498915401E-3</v>
      </c>
      <c r="W29" s="117">
        <f t="shared" si="35"/>
        <v>1.8862305172242628E-3</v>
      </c>
      <c r="X29" s="118">
        <f t="shared" si="36"/>
        <v>2.9757785467128027E-3</v>
      </c>
      <c r="Z29" s="107" t="s">
        <v>391</v>
      </c>
      <c r="AA29" s="113">
        <f t="shared" si="37"/>
        <v>0</v>
      </c>
      <c r="AB29" s="113">
        <f t="shared" si="21"/>
        <v>335</v>
      </c>
      <c r="AC29" s="113">
        <f t="shared" si="22"/>
        <v>-434.91952000000003</v>
      </c>
      <c r="AD29" s="116">
        <f t="shared" si="23"/>
        <v>-99.919520000000034</v>
      </c>
      <c r="AE29" s="115"/>
      <c r="AF29" s="107" t="s">
        <v>391</v>
      </c>
      <c r="AG29" s="117">
        <f t="shared" si="38"/>
        <v>0</v>
      </c>
      <c r="AH29" s="117">
        <f t="shared" si="24"/>
        <v>0</v>
      </c>
      <c r="AI29" s="117">
        <f t="shared" si="25"/>
        <v>-0.82072749462031513</v>
      </c>
      <c r="AJ29" s="118">
        <f t="shared" si="26"/>
        <v>-0.18855602828142665</v>
      </c>
    </row>
    <row r="30" spans="1:36" x14ac:dyDescent="0.25">
      <c r="A30">
        <v>7</v>
      </c>
      <c r="B30" s="107" t="s">
        <v>392</v>
      </c>
      <c r="C30" s="113">
        <f>INDEX(TourMode_input!$B$4:$J$172,MATCH(TourMode!$A30,modes,0),MATCH("univ",modePurpose,0))</f>
        <v>2517.4375</v>
      </c>
      <c r="D30" s="113">
        <f>INDEX(TourMode_input!$B$20:$J$33,MATCH(TourMode!$A30,modes,0),MATCH("univ",modePurpose,0))</f>
        <v>11833.887129999999</v>
      </c>
      <c r="E30" s="113">
        <f>INDEX(TourMode_input!$B$36:$J$49,MATCH(TourMode!$A30,modes,0),MATCH("univ",modePurpose,0))</f>
        <v>3026.57033</v>
      </c>
      <c r="F30" s="116">
        <f t="shared" si="27"/>
        <v>17377.894959999998</v>
      </c>
      <c r="G30" s="115"/>
      <c r="H30" s="107" t="s">
        <v>392</v>
      </c>
      <c r="I30" s="113">
        <f>INDEX(TourMode_input!$L$4:$T$17,MATCH(TourMode!$A30,modes,0),MATCH("univ",modePurpose,0))*Index!$B$2</f>
        <v>775</v>
      </c>
      <c r="J30" s="113">
        <f>INDEX(TourMode_input!$L$20:$T$33,MATCH(TourMode!$A30,modes,0), MATCH("univ",modePurpose,0))*Index!$B$2</f>
        <v>9285</v>
      </c>
      <c r="K30" s="113">
        <f>INDEX(TourMode_input!$L$36:$T$49,MATCH(TourMode!$A30,modes,0), MATCH("univ",modePurpose,0))*Index!$B$2</f>
        <v>2185</v>
      </c>
      <c r="L30" s="116">
        <f t="shared" si="28"/>
        <v>12245</v>
      </c>
      <c r="N30" s="107" t="s">
        <v>392</v>
      </c>
      <c r="O30" s="117">
        <f t="shared" si="29"/>
        <v>0.11437838843938299</v>
      </c>
      <c r="P30" s="117">
        <f t="shared" si="30"/>
        <v>0.14238153127378603</v>
      </c>
      <c r="Q30" s="117">
        <f t="shared" si="31"/>
        <v>3.8088209406777616E-2</v>
      </c>
      <c r="R30" s="118">
        <f t="shared" si="32"/>
        <v>9.4145360268428735E-2</v>
      </c>
      <c r="S30" s="115"/>
      <c r="T30" s="107" t="s">
        <v>392</v>
      </c>
      <c r="U30" s="117">
        <f t="shared" si="33"/>
        <v>3.8036809815950923E-2</v>
      </c>
      <c r="V30" s="117">
        <f t="shared" si="34"/>
        <v>0.12588123644251628</v>
      </c>
      <c r="W30" s="117">
        <f t="shared" si="35"/>
        <v>4.338330189615805E-2</v>
      </c>
      <c r="X30" s="118">
        <f t="shared" si="36"/>
        <v>8.4740484429065746E-2</v>
      </c>
      <c r="Z30" s="107" t="s">
        <v>392</v>
      </c>
      <c r="AA30" s="113">
        <f t="shared" si="37"/>
        <v>-1742.4375</v>
      </c>
      <c r="AB30" s="113">
        <f t="shared" si="21"/>
        <v>-2548.8871299999992</v>
      </c>
      <c r="AC30" s="113">
        <f t="shared" si="22"/>
        <v>-841.57033000000001</v>
      </c>
      <c r="AD30" s="116">
        <f t="shared" si="23"/>
        <v>-5132.8949599999978</v>
      </c>
      <c r="AE30" s="115"/>
      <c r="AF30" s="107" t="s">
        <v>392</v>
      </c>
      <c r="AG30" s="117">
        <f t="shared" si="38"/>
        <v>-0.69214727277241239</v>
      </c>
      <c r="AH30" s="117">
        <f t="shared" si="24"/>
        <v>-0.2153888322576894</v>
      </c>
      <c r="AI30" s="117">
        <f t="shared" si="25"/>
        <v>-0.27806072162215373</v>
      </c>
      <c r="AJ30" s="118">
        <f t="shared" si="26"/>
        <v>-0.29536920161013552</v>
      </c>
    </row>
    <row r="31" spans="1:36" x14ac:dyDescent="0.25">
      <c r="A31">
        <v>8</v>
      </c>
      <c r="B31" s="107" t="s">
        <v>393</v>
      </c>
      <c r="C31" s="113">
        <f>INDEX(TourMode_input!$B$4:$J$172,MATCH(TourMode!$A31,modes,0),MATCH("univ",modePurpose,0))</f>
        <v>126.24865</v>
      </c>
      <c r="D31" s="113">
        <f>INDEX(TourMode_input!$B$20:$J$33,MATCH(TourMode!$A31,modes,0),MATCH("univ",modePurpose,0))</f>
        <v>6041.5281199999999</v>
      </c>
      <c r="E31" s="113">
        <f>INDEX(TourMode_input!$B$36:$J$49,MATCH(TourMode!$A31,modes,0),MATCH("univ",modePurpose,0))</f>
        <v>31.783899999999999</v>
      </c>
      <c r="F31" s="116">
        <f t="shared" si="27"/>
        <v>6199.5606700000008</v>
      </c>
      <c r="G31" s="115"/>
      <c r="H31" s="107" t="s">
        <v>393</v>
      </c>
      <c r="I31" s="113">
        <f>INDEX(TourMode_input!$L$4:$T$17,MATCH(TourMode!$A31,modes,0),MATCH("univ",modePurpose,0))*Index!$B$2</f>
        <v>25</v>
      </c>
      <c r="J31" s="113">
        <f>INDEX(TourMode_input!$L$20:$T$33,MATCH(TourMode!$A31,modes,0), MATCH("univ",modePurpose,0))*Index!$B$2</f>
        <v>5355</v>
      </c>
      <c r="K31" s="113">
        <f>INDEX(TourMode_input!$L$36:$T$49,MATCH(TourMode!$A31,modes,0), MATCH("univ",modePurpose,0))*Index!$B$2</f>
        <v>15</v>
      </c>
      <c r="L31" s="116">
        <f t="shared" si="28"/>
        <v>5395</v>
      </c>
      <c r="N31" s="107" t="s">
        <v>393</v>
      </c>
      <c r="O31" s="117">
        <f t="shared" si="29"/>
        <v>5.7360379869004531E-3</v>
      </c>
      <c r="P31" s="117">
        <f t="shared" si="30"/>
        <v>7.2689727011046604E-2</v>
      </c>
      <c r="Q31" s="117">
        <f t="shared" si="31"/>
        <v>3.9998800852715657E-4</v>
      </c>
      <c r="R31" s="118">
        <f t="shared" si="32"/>
        <v>3.3586339089204137E-2</v>
      </c>
      <c r="S31" s="115"/>
      <c r="T31" s="107" t="s">
        <v>393</v>
      </c>
      <c r="U31" s="117">
        <f t="shared" si="33"/>
        <v>1.2269938650306749E-3</v>
      </c>
      <c r="V31" s="117">
        <f t="shared" si="34"/>
        <v>7.2600325379609545E-2</v>
      </c>
      <c r="W31" s="117">
        <f t="shared" si="35"/>
        <v>2.978258711406731E-4</v>
      </c>
      <c r="X31" s="118">
        <f t="shared" si="36"/>
        <v>3.7335640138408302E-2</v>
      </c>
      <c r="Z31" s="107" t="s">
        <v>393</v>
      </c>
      <c r="AA31" s="113">
        <f t="shared" si="37"/>
        <v>-101.24865</v>
      </c>
      <c r="AB31" s="113">
        <f t="shared" si="21"/>
        <v>-686.52811999999994</v>
      </c>
      <c r="AC31" s="113">
        <f t="shared" si="22"/>
        <v>-16.783899999999999</v>
      </c>
      <c r="AD31" s="116">
        <f t="shared" si="23"/>
        <v>-804.56067000000075</v>
      </c>
      <c r="AE31" s="115"/>
      <c r="AF31" s="107" t="s">
        <v>393</v>
      </c>
      <c r="AG31" s="117">
        <f t="shared" si="38"/>
        <v>-0.80197808055769304</v>
      </c>
      <c r="AH31" s="117">
        <f t="shared" si="24"/>
        <v>-0.11363484641034824</v>
      </c>
      <c r="AI31" s="117">
        <f t="shared" si="25"/>
        <v>-0.52806295010996129</v>
      </c>
      <c r="AJ31" s="118">
        <f t="shared" si="26"/>
        <v>-0.12977704595961323</v>
      </c>
    </row>
    <row r="32" spans="1:36" x14ac:dyDescent="0.25">
      <c r="A32">
        <v>9</v>
      </c>
      <c r="B32" s="107" t="s">
        <v>394</v>
      </c>
      <c r="C32" s="113"/>
      <c r="D32" s="113"/>
      <c r="E32" s="113"/>
      <c r="F32" s="116">
        <f t="shared" si="27"/>
        <v>0</v>
      </c>
      <c r="G32" s="115"/>
      <c r="H32" s="107" t="s">
        <v>394</v>
      </c>
      <c r="I32" s="113">
        <f>INDEX(TourMode_input!$L$4:$T$17,MATCH(TourMode!$A32,modes,0),MATCH("univ",modePurpose,0))*Index!$B$2</f>
        <v>0</v>
      </c>
      <c r="J32" s="113">
        <f>INDEX(TourMode_input!$L$20:$T$33,MATCH(TourMode!$A32,modes,0), MATCH("univ",modePurpose,0))*Index!$B$2</f>
        <v>0</v>
      </c>
      <c r="K32" s="113">
        <f>INDEX(TourMode_input!$L$36:$T$49,MATCH(TourMode!$A32,modes,0), MATCH("univ",modePurpose,0))*Index!$B$2</f>
        <v>0</v>
      </c>
      <c r="L32" s="116">
        <f t="shared" si="28"/>
        <v>0</v>
      </c>
      <c r="N32" s="107" t="s">
        <v>394</v>
      </c>
      <c r="O32" s="117">
        <f t="shared" si="29"/>
        <v>0</v>
      </c>
      <c r="P32" s="117">
        <f t="shared" si="30"/>
        <v>0</v>
      </c>
      <c r="Q32" s="117">
        <f t="shared" si="31"/>
        <v>0</v>
      </c>
      <c r="R32" s="118">
        <f t="shared" si="32"/>
        <v>0</v>
      </c>
      <c r="S32" s="115"/>
      <c r="T32" s="107" t="s">
        <v>394</v>
      </c>
      <c r="U32" s="117">
        <f t="shared" si="33"/>
        <v>0</v>
      </c>
      <c r="V32" s="117">
        <f t="shared" si="34"/>
        <v>0</v>
      </c>
      <c r="W32" s="117">
        <f t="shared" si="35"/>
        <v>0</v>
      </c>
      <c r="X32" s="118">
        <f t="shared" si="36"/>
        <v>0</v>
      </c>
      <c r="Z32" s="107" t="s">
        <v>394</v>
      </c>
      <c r="AA32" s="113">
        <f t="shared" si="37"/>
        <v>0</v>
      </c>
      <c r="AB32" s="113">
        <f t="shared" si="21"/>
        <v>0</v>
      </c>
      <c r="AC32" s="113">
        <f t="shared" si="22"/>
        <v>0</v>
      </c>
      <c r="AD32" s="116">
        <f t="shared" si="23"/>
        <v>0</v>
      </c>
      <c r="AE32" s="115"/>
      <c r="AF32" s="107" t="s">
        <v>394</v>
      </c>
      <c r="AG32" s="117">
        <f t="shared" si="38"/>
        <v>0</v>
      </c>
      <c r="AH32" s="117">
        <f t="shared" si="24"/>
        <v>0</v>
      </c>
      <c r="AI32" s="117">
        <f t="shared" si="25"/>
        <v>0</v>
      </c>
      <c r="AJ32" s="118">
        <f t="shared" si="26"/>
        <v>0</v>
      </c>
    </row>
    <row r="33" spans="1:36" x14ac:dyDescent="0.25">
      <c r="A33">
        <v>10</v>
      </c>
      <c r="B33" s="107" t="s">
        <v>395</v>
      </c>
      <c r="C33" s="113">
        <f>INDEX(TourMode_input!$B$4:$J$172,MATCH(TourMode!$A33,modes,0),MATCH("univ",modePurpose,0))+INDEX(TourMode_input!$B$4:$J$172,MATCH(TourMode!$A32,modes,0),MATCH("univ",modePurpose,0))</f>
        <v>16827.948069999999</v>
      </c>
      <c r="D33" s="113">
        <f>INDEX(TourMode_input!$B$20:$J$33,MATCH(TourMode!$A33,modes,0),MATCH("univ",modePurpose,0))+INDEX(TourMode_input!$B$20:$J$33,MATCH(TourMode!$A32,modes,0),MATCH("univ",modePurpose,0))</f>
        <v>11091.39788</v>
      </c>
      <c r="E33" s="113">
        <f>INDEX(TourMode_input!$B$36:$J$49,MATCH(TourMode!$A33,modes,0),MATCH("univ",modePurpose,0))+INDEX(TourMode_input!$B$36:$J$49,MATCH(TourMode!$A32,modes,0),MATCH("univ",modePurpose,0))</f>
        <v>6066.4920599999996</v>
      </c>
      <c r="F33" s="116">
        <f t="shared" si="27"/>
        <v>33985.838009999999</v>
      </c>
      <c r="G33" s="115"/>
      <c r="H33" s="107" t="s">
        <v>395</v>
      </c>
      <c r="I33" s="113">
        <f>INDEX(TourMode_input!$L$4:$T$17,MATCH(TourMode!$A33,modes,0),MATCH("univ",modePurpose,0))*Index!$B$2</f>
        <v>15285</v>
      </c>
      <c r="J33" s="113">
        <f>INDEX(TourMode_input!$L$20:$T$33,MATCH(TourMode!$A33,modes,0), MATCH("univ",modePurpose,0))*Index!$B$2</f>
        <v>9915</v>
      </c>
      <c r="K33" s="113">
        <f>INDEX(TourMode_input!$L$36:$T$49,MATCH(TourMode!$A33,modes,0), MATCH("univ",modePurpose,0))*Index!$B$2</f>
        <v>5195</v>
      </c>
      <c r="L33" s="116">
        <f t="shared" si="28"/>
        <v>30395</v>
      </c>
      <c r="N33" s="107" t="s">
        <v>395</v>
      </c>
      <c r="O33" s="117">
        <f t="shared" si="29"/>
        <v>0.76456856664295547</v>
      </c>
      <c r="P33" s="117">
        <f t="shared" si="30"/>
        <v>0.1334481389566223</v>
      </c>
      <c r="Q33" s="117">
        <f t="shared" si="31"/>
        <v>7.6344440985065001E-2</v>
      </c>
      <c r="R33" s="118">
        <f t="shared" si="32"/>
        <v>0.18411947884601032</v>
      </c>
      <c r="S33" s="115"/>
      <c r="T33" s="107" t="s">
        <v>395</v>
      </c>
      <c r="U33" s="117">
        <f t="shared" si="33"/>
        <v>0.75018404907975456</v>
      </c>
      <c r="V33" s="117">
        <f t="shared" si="34"/>
        <v>0.13442245119305857</v>
      </c>
      <c r="W33" s="117">
        <f t="shared" si="35"/>
        <v>0.10314702670505312</v>
      </c>
      <c r="X33" s="118">
        <f t="shared" si="36"/>
        <v>0.21034602076124567</v>
      </c>
      <c r="Z33" s="107" t="s">
        <v>395</v>
      </c>
      <c r="AA33" s="113">
        <f t="shared" si="37"/>
        <v>-1542.9480699999986</v>
      </c>
      <c r="AB33" s="113">
        <f t="shared" si="21"/>
        <v>-1176.3978800000004</v>
      </c>
      <c r="AC33" s="113">
        <f t="shared" si="22"/>
        <v>-871.49205999999958</v>
      </c>
      <c r="AD33" s="116">
        <f t="shared" si="23"/>
        <v>-3590.8380099999995</v>
      </c>
      <c r="AE33" s="115"/>
      <c r="AF33" s="107" t="s">
        <v>395</v>
      </c>
      <c r="AG33" s="117">
        <f t="shared" si="38"/>
        <v>-9.1689614418925328E-2</v>
      </c>
      <c r="AH33" s="117">
        <f t="shared" si="24"/>
        <v>-0.10606398694985779</v>
      </c>
      <c r="AI33" s="117">
        <f t="shared" si="25"/>
        <v>-0.14365667199109458</v>
      </c>
      <c r="AJ33" s="118">
        <f t="shared" si="26"/>
        <v>-0.1056568918189815</v>
      </c>
    </row>
    <row r="34" spans="1:36" x14ac:dyDescent="0.25">
      <c r="A34">
        <v>11</v>
      </c>
      <c r="B34" s="107" t="s">
        <v>396</v>
      </c>
      <c r="C34" s="113">
        <f>INDEX(TourMode_input!$B$4:$J$172,MATCH(TourMode!$A34,modes,0),MATCH("univ",modePurpose,0))</f>
        <v>128.11025000000001</v>
      </c>
      <c r="D34" s="113">
        <f>INDEX(TourMode_input!$B$20:$J$33,MATCH(TourMode!$A34,modes,0),MATCH("univ",modePurpose,0))</f>
        <v>2253.8181199999999</v>
      </c>
      <c r="E34" s="113">
        <f>INDEX(TourMode_input!$B$36:$J$49,MATCH(TourMode!$A34,modes,0),MATCH("univ",modePurpose,0))</f>
        <v>855.19790999999998</v>
      </c>
      <c r="F34" s="116">
        <f t="shared" si="27"/>
        <v>3237.12628</v>
      </c>
      <c r="G34" s="115"/>
      <c r="H34" s="107" t="s">
        <v>396</v>
      </c>
      <c r="I34" s="113">
        <f>INDEX(TourMode_input!$L$4:$T$17,MATCH(TourMode!$A34,modes,0),MATCH("univ",modePurpose,0))*Index!$B$2</f>
        <v>15</v>
      </c>
      <c r="J34" s="113">
        <f>INDEX(TourMode_input!$L$20:$T$33,MATCH(TourMode!$A34,modes,0), MATCH("univ",modePurpose,0))*Index!$B$2</f>
        <v>610</v>
      </c>
      <c r="K34" s="113">
        <f>INDEX(TourMode_input!$L$36:$T$49,MATCH(TourMode!$A34,modes,0), MATCH("univ",modePurpose,0))*Index!$B$2</f>
        <v>185</v>
      </c>
      <c r="L34" s="116">
        <f t="shared" si="28"/>
        <v>810</v>
      </c>
      <c r="N34" s="107" t="s">
        <v>396</v>
      </c>
      <c r="O34" s="117">
        <f t="shared" si="29"/>
        <v>5.8206187591812964E-3</v>
      </c>
      <c r="P34" s="117">
        <f t="shared" si="30"/>
        <v>2.7117216144870029E-2</v>
      </c>
      <c r="Q34" s="117">
        <f t="shared" si="31"/>
        <v>1.0762332782241526E-2</v>
      </c>
      <c r="R34" s="118">
        <f t="shared" si="32"/>
        <v>1.7537246056929703E-2</v>
      </c>
      <c r="S34" s="115"/>
      <c r="T34" s="107" t="s">
        <v>396</v>
      </c>
      <c r="U34" s="117">
        <f t="shared" si="33"/>
        <v>7.3619631901840495E-4</v>
      </c>
      <c r="V34" s="117">
        <f t="shared" si="34"/>
        <v>8.2700650759219094E-3</v>
      </c>
      <c r="W34" s="117">
        <f t="shared" si="35"/>
        <v>3.6731857440683016E-3</v>
      </c>
      <c r="X34" s="118">
        <f t="shared" si="36"/>
        <v>5.6055363321799306E-3</v>
      </c>
      <c r="Z34" s="107" t="s">
        <v>396</v>
      </c>
      <c r="AA34" s="113">
        <f t="shared" si="37"/>
        <v>-113.11025000000001</v>
      </c>
      <c r="AB34" s="113">
        <f t="shared" si="21"/>
        <v>-1643.8181199999999</v>
      </c>
      <c r="AC34" s="113">
        <f t="shared" si="22"/>
        <v>-670.19790999999998</v>
      </c>
      <c r="AD34" s="116">
        <f t="shared" si="23"/>
        <v>-2427.12628</v>
      </c>
      <c r="AE34" s="115"/>
      <c r="AF34" s="107" t="s">
        <v>396</v>
      </c>
      <c r="AG34" s="117">
        <f t="shared" si="38"/>
        <v>-0.88291335002468574</v>
      </c>
      <c r="AH34" s="117">
        <f t="shared" si="24"/>
        <v>-0.72934816940774261</v>
      </c>
      <c r="AI34" s="117">
        <f t="shared" si="25"/>
        <v>-0.78367580435270245</v>
      </c>
      <c r="AJ34" s="118">
        <f t="shared" si="26"/>
        <v>-0.74977806550073789</v>
      </c>
    </row>
    <row r="35" spans="1:36" x14ac:dyDescent="0.25">
      <c r="A35">
        <v>12</v>
      </c>
      <c r="B35" s="107" t="s">
        <v>397</v>
      </c>
      <c r="C35" s="113">
        <f>INDEX(TourMode_input!$B$4:$J$172,MATCH(TourMode!$A35,modes,0),MATCH("univ",modePurpose,0))</f>
        <v>0</v>
      </c>
      <c r="D35" s="113">
        <f>INDEX(TourMode_input!$B$20:$J$33,MATCH(TourMode!$A35,modes,0),MATCH("univ",modePurpose,0))</f>
        <v>1691.07383</v>
      </c>
      <c r="E35" s="113">
        <f>INDEX(TourMode_input!$B$36:$J$49,MATCH(TourMode!$A35,modes,0),MATCH("univ",modePurpose,0))</f>
        <v>9837.5679400000008</v>
      </c>
      <c r="F35" s="116">
        <f t="shared" si="27"/>
        <v>11528.64177</v>
      </c>
      <c r="G35" s="115"/>
      <c r="H35" s="107" t="s">
        <v>397</v>
      </c>
      <c r="I35" s="113">
        <f>INDEX(TourMode_input!$L$4:$T$17,MATCH(TourMode!$A35,modes,0),MATCH("univ",modePurpose,0))*Index!$B$2</f>
        <v>0</v>
      </c>
      <c r="J35" s="113">
        <f>INDEX(TourMode_input!$L$20:$T$33,MATCH(TourMode!$A35,modes,0), MATCH("univ",modePurpose,0))*Index!$B$2</f>
        <v>435</v>
      </c>
      <c r="K35" s="113">
        <f>INDEX(TourMode_input!$L$36:$T$49,MATCH(TourMode!$A35,modes,0), MATCH("univ",modePurpose,0))*Index!$B$2</f>
        <v>3500</v>
      </c>
      <c r="L35" s="116">
        <f t="shared" si="28"/>
        <v>3935</v>
      </c>
      <c r="N35" s="107" t="s">
        <v>397</v>
      </c>
      <c r="O35" s="117">
        <f t="shared" si="29"/>
        <v>0</v>
      </c>
      <c r="P35" s="117">
        <f t="shared" si="30"/>
        <v>2.0346457488345689E-2</v>
      </c>
      <c r="Q35" s="117">
        <f t="shared" si="31"/>
        <v>0.12380196291428057</v>
      </c>
      <c r="R35" s="118">
        <f t="shared" si="32"/>
        <v>6.2456824335777095E-2</v>
      </c>
      <c r="S35" s="115"/>
      <c r="T35" s="107" t="s">
        <v>397</v>
      </c>
      <c r="U35" s="117">
        <f t="shared" si="33"/>
        <v>0</v>
      </c>
      <c r="V35" s="117">
        <f t="shared" si="34"/>
        <v>5.8975054229934926E-3</v>
      </c>
      <c r="W35" s="117">
        <f t="shared" si="35"/>
        <v>6.9492703266157058E-2</v>
      </c>
      <c r="X35" s="118">
        <f t="shared" si="36"/>
        <v>2.7231833910034604E-2</v>
      </c>
      <c r="Z35" s="107" t="s">
        <v>397</v>
      </c>
      <c r="AA35" s="113">
        <f t="shared" si="37"/>
        <v>0</v>
      </c>
      <c r="AB35" s="113">
        <f t="shared" si="21"/>
        <v>-1256.07383</v>
      </c>
      <c r="AC35" s="113">
        <f t="shared" si="22"/>
        <v>-6337.5679400000008</v>
      </c>
      <c r="AD35" s="116">
        <f t="shared" si="23"/>
        <v>-7593.6417700000002</v>
      </c>
      <c r="AE35" s="115"/>
      <c r="AF35" s="107" t="s">
        <v>397</v>
      </c>
      <c r="AG35" s="117">
        <f t="shared" si="38"/>
        <v>0</v>
      </c>
      <c r="AH35" s="117">
        <f t="shared" si="24"/>
        <v>-0.74276699675495539</v>
      </c>
      <c r="AI35" s="117">
        <f t="shared" si="25"/>
        <v>-0.64422100855142861</v>
      </c>
      <c r="AJ35" s="118">
        <f t="shared" si="26"/>
        <v>-0.65867618419372576</v>
      </c>
    </row>
    <row r="36" spans="1:36" x14ac:dyDescent="0.25">
      <c r="A36">
        <v>13</v>
      </c>
      <c r="B36" s="107" t="s">
        <v>398</v>
      </c>
      <c r="C36" s="113">
        <f>INDEX(TourMode_input!$B$4:$J$172,MATCH(TourMode!$A36,modes,0),MATCH("univ",modePurpose,0))</f>
        <v>0</v>
      </c>
      <c r="D36" s="113">
        <f>INDEX(TourMode_input!$B$20:$J$33,MATCH(TourMode!$A36,modes,0),MATCH("univ",modePurpose,0))</f>
        <v>0</v>
      </c>
      <c r="E36" s="113">
        <f>INDEX(TourMode_input!$B$36:$J$49,MATCH(TourMode!$A36,modes,0),MATCH("univ",modePurpose,0))</f>
        <v>1386.7236</v>
      </c>
      <c r="F36" s="116">
        <f t="shared" si="27"/>
        <v>1386.7236</v>
      </c>
      <c r="G36" s="115"/>
      <c r="H36" s="107" t="s">
        <v>398</v>
      </c>
      <c r="I36" s="113">
        <f>INDEX(TourMode_input!$L$4:$T$17,MATCH(TourMode!$A36,modes,0),MATCH("univ",modePurpose,0))*Index!$B$2</f>
        <v>4010</v>
      </c>
      <c r="J36" s="113">
        <f>INDEX(TourMode_input!$L$20:$T$33,MATCH(TourMode!$A36,modes,0), MATCH("univ",modePurpose,0))*Index!$B$2</f>
        <v>7255</v>
      </c>
      <c r="K36" s="113">
        <f>INDEX(TourMode_input!$L$36:$T$49,MATCH(TourMode!$A36,modes,0), MATCH("univ",modePurpose,0))*Index!$B$2</f>
        <v>1235</v>
      </c>
      <c r="L36" s="116">
        <f t="shared" si="28"/>
        <v>12500</v>
      </c>
      <c r="N36" s="107" t="s">
        <v>398</v>
      </c>
      <c r="O36" s="117">
        <f t="shared" si="29"/>
        <v>0</v>
      </c>
      <c r="P36" s="117">
        <f t="shared" si="30"/>
        <v>0</v>
      </c>
      <c r="Q36" s="117">
        <f t="shared" si="31"/>
        <v>1.7451376676292377E-2</v>
      </c>
      <c r="R36" s="118">
        <f t="shared" si="32"/>
        <v>7.512624124799778E-3</v>
      </c>
      <c r="S36" s="115"/>
      <c r="T36" s="107" t="s">
        <v>398</v>
      </c>
      <c r="U36" s="117">
        <f t="shared" si="33"/>
        <v>0.19680981595092026</v>
      </c>
      <c r="V36" s="117">
        <f t="shared" si="34"/>
        <v>9.8359544468546639E-2</v>
      </c>
      <c r="W36" s="117">
        <f t="shared" si="35"/>
        <v>2.4520996723915417E-2</v>
      </c>
      <c r="X36" s="118">
        <f t="shared" si="36"/>
        <v>8.6505190311418678E-2</v>
      </c>
      <c r="Z36" s="107" t="s">
        <v>398</v>
      </c>
      <c r="AA36" s="113">
        <f t="shared" si="37"/>
        <v>4010</v>
      </c>
      <c r="AB36" s="113">
        <f t="shared" si="21"/>
        <v>7255</v>
      </c>
      <c r="AC36" s="113">
        <f t="shared" si="22"/>
        <v>-151.72360000000003</v>
      </c>
      <c r="AD36" s="116">
        <f t="shared" si="23"/>
        <v>11113.276400000001</v>
      </c>
      <c r="AE36" s="115"/>
      <c r="AF36" s="107" t="s">
        <v>398</v>
      </c>
      <c r="AG36" s="117">
        <f t="shared" si="38"/>
        <v>0</v>
      </c>
      <c r="AH36" s="117">
        <f t="shared" si="24"/>
        <v>0</v>
      </c>
      <c r="AI36" s="117">
        <f t="shared" si="25"/>
        <v>-0.10941156550591627</v>
      </c>
      <c r="AJ36" s="118">
        <f t="shared" si="26"/>
        <v>8.0140529807093497</v>
      </c>
    </row>
    <row r="37" spans="1:36" x14ac:dyDescent="0.25">
      <c r="A37">
        <v>14</v>
      </c>
      <c r="B37" s="107" t="s">
        <v>399</v>
      </c>
      <c r="C37" s="113">
        <f>INDEX(TourMode_input!$B$4:$J$172,MATCH(TourMode!$A37,modes,0),MATCH("univ",modePurpose,0))</f>
        <v>0</v>
      </c>
      <c r="D37" s="113">
        <f>INDEX(TourMode_input!$B$20:$J$33,MATCH(TourMode!$A37,modes,0),MATCH("univ",modePurpose,0))</f>
        <v>591.44054000000006</v>
      </c>
      <c r="E37" s="113">
        <f>INDEX(TourMode_input!$B$36:$J$49,MATCH(TourMode!$A37,modes,0),MATCH("univ",modePurpose,0))</f>
        <v>10.771559999999999</v>
      </c>
      <c r="F37" s="116">
        <f t="shared" si="27"/>
        <v>602.21210000000008</v>
      </c>
      <c r="G37" s="115"/>
      <c r="H37" s="107" t="s">
        <v>399</v>
      </c>
      <c r="I37" s="113">
        <f>INDEX(TourMode_input!$L$4:$T$17,MATCH(TourMode!$A37,modes,0),MATCH("univ",modePurpose,0))*Index!$B$2</f>
        <v>0</v>
      </c>
      <c r="J37" s="113">
        <f>INDEX(TourMode_input!$L$20:$T$33,MATCH(TourMode!$A37,modes,0), MATCH("univ",modePurpose,0))*Index!$B$2</f>
        <v>0</v>
      </c>
      <c r="K37" s="113">
        <f>INDEX(TourMode_input!$L$36:$T$49,MATCH(TourMode!$A37,modes,0), MATCH("univ",modePurpose,0))*Index!$B$2</f>
        <v>0</v>
      </c>
      <c r="L37" s="116">
        <f t="shared" si="28"/>
        <v>0</v>
      </c>
      <c r="N37" s="107" t="s">
        <v>399</v>
      </c>
      <c r="O37" s="117">
        <f t="shared" si="29"/>
        <v>0</v>
      </c>
      <c r="P37" s="117">
        <f t="shared" si="30"/>
        <v>7.1160227250363266E-3</v>
      </c>
      <c r="Q37" s="117">
        <f t="shared" si="31"/>
        <v>1.355558894009476E-4</v>
      </c>
      <c r="R37" s="118">
        <f t="shared" si="32"/>
        <v>3.2625053404343428E-3</v>
      </c>
      <c r="S37" s="115"/>
      <c r="T37" s="107" t="s">
        <v>399</v>
      </c>
      <c r="U37" s="117">
        <f t="shared" si="33"/>
        <v>0</v>
      </c>
      <c r="V37" s="117">
        <f t="shared" si="34"/>
        <v>0</v>
      </c>
      <c r="W37" s="117">
        <f t="shared" si="35"/>
        <v>0</v>
      </c>
      <c r="X37" s="118">
        <f t="shared" si="36"/>
        <v>0</v>
      </c>
      <c r="Z37" s="107" t="s">
        <v>399</v>
      </c>
      <c r="AA37" s="113">
        <f t="shared" si="37"/>
        <v>0</v>
      </c>
      <c r="AB37" s="113">
        <f t="shared" si="21"/>
        <v>-591.44054000000006</v>
      </c>
      <c r="AC37" s="113">
        <f t="shared" si="22"/>
        <v>-10.771559999999999</v>
      </c>
      <c r="AD37" s="116">
        <f t="shared" si="23"/>
        <v>-602.21210000000008</v>
      </c>
      <c r="AE37" s="115"/>
      <c r="AF37" s="107" t="s">
        <v>399</v>
      </c>
      <c r="AG37" s="117">
        <f t="shared" si="38"/>
        <v>0</v>
      </c>
      <c r="AH37" s="117">
        <f t="shared" si="24"/>
        <v>-1</v>
      </c>
      <c r="AI37" s="117">
        <f t="shared" si="25"/>
        <v>-1</v>
      </c>
      <c r="AJ37" s="118">
        <f t="shared" si="26"/>
        <v>-1</v>
      </c>
    </row>
    <row r="38" spans="1:36" ht="15.75" thickBot="1" x14ac:dyDescent="0.3">
      <c r="B38" s="108" t="s">
        <v>29</v>
      </c>
      <c r="C38" s="109">
        <f>SUM(C24:C37)</f>
        <v>22009.730460000002</v>
      </c>
      <c r="D38" s="110">
        <f>SUM(D24:D37)</f>
        <v>83113.919509999992</v>
      </c>
      <c r="E38" s="111">
        <f>SUM(E24:E37)</f>
        <v>79462.132169999997</v>
      </c>
      <c r="F38" s="112">
        <f>SUM(F24:F37)</f>
        <v>184585.78214</v>
      </c>
      <c r="H38" s="108" t="s">
        <v>29</v>
      </c>
      <c r="I38" s="109">
        <f>SUM(I24:I37)</f>
        <v>20375</v>
      </c>
      <c r="J38" s="110">
        <f>SUM(J24:J37)</f>
        <v>73760</v>
      </c>
      <c r="K38" s="111">
        <f>SUM(K24:K37)</f>
        <v>50365</v>
      </c>
      <c r="L38" s="112">
        <f>SUM(L24:L37)</f>
        <v>144500</v>
      </c>
      <c r="N38" s="108" t="s">
        <v>29</v>
      </c>
      <c r="O38" s="120">
        <f>C38/C$38</f>
        <v>1</v>
      </c>
      <c r="P38" s="121">
        <f>D38/D$38</f>
        <v>1</v>
      </c>
      <c r="Q38" s="122">
        <f>E38/E$38</f>
        <v>1</v>
      </c>
      <c r="R38" s="123">
        <f>F38/F$38</f>
        <v>1</v>
      </c>
      <c r="T38" s="108" t="s">
        <v>29</v>
      </c>
      <c r="U38" s="120">
        <f t="shared" si="33"/>
        <v>1</v>
      </c>
      <c r="V38" s="121">
        <f t="shared" si="34"/>
        <v>1</v>
      </c>
      <c r="W38" s="122">
        <f t="shared" si="35"/>
        <v>1</v>
      </c>
      <c r="X38" s="123">
        <f t="shared" si="36"/>
        <v>1</v>
      </c>
      <c r="Z38" s="108" t="s">
        <v>29</v>
      </c>
      <c r="AA38" s="109">
        <f t="shared" si="37"/>
        <v>-1634.7304600000025</v>
      </c>
      <c r="AB38" s="110">
        <f t="shared" si="21"/>
        <v>-9353.9195099999924</v>
      </c>
      <c r="AC38" s="111">
        <f t="shared" si="22"/>
        <v>-29097.132169999997</v>
      </c>
      <c r="AD38" s="112">
        <f t="shared" si="23"/>
        <v>-40085.782139999996</v>
      </c>
      <c r="AF38" s="108" t="s">
        <v>29</v>
      </c>
      <c r="AG38" s="117">
        <f t="shared" si="38"/>
        <v>-7.4273079489588723E-2</v>
      </c>
      <c r="AH38" s="117">
        <f t="shared" si="24"/>
        <v>-0.11254335693884054</v>
      </c>
      <c r="AI38" s="117">
        <f t="shared" si="25"/>
        <v>-0.36617608130310503</v>
      </c>
      <c r="AJ38" s="118">
        <f t="shared" si="26"/>
        <v>-0.21716614180823926</v>
      </c>
    </row>
    <row r="40" spans="1:36" ht="26.25" x14ac:dyDescent="0.4">
      <c r="A40" s="150" t="s">
        <v>6</v>
      </c>
    </row>
    <row r="41" spans="1:36" ht="26.25" x14ac:dyDescent="0.25">
      <c r="B41" s="102" t="s">
        <v>134</v>
      </c>
      <c r="C41" s="103" t="s">
        <v>135</v>
      </c>
      <c r="D41" s="104" t="s">
        <v>136</v>
      </c>
      <c r="E41" s="105" t="s">
        <v>137</v>
      </c>
      <c r="F41" s="106" t="s">
        <v>29</v>
      </c>
      <c r="H41" s="102" t="s">
        <v>134</v>
      </c>
      <c r="I41" s="103" t="s">
        <v>135</v>
      </c>
      <c r="J41" s="104" t="s">
        <v>136</v>
      </c>
      <c r="K41" s="105" t="s">
        <v>137</v>
      </c>
      <c r="L41" s="106" t="s">
        <v>29</v>
      </c>
      <c r="N41" s="102" t="s">
        <v>134</v>
      </c>
      <c r="O41" s="103" t="s">
        <v>135</v>
      </c>
      <c r="P41" s="104" t="s">
        <v>136</v>
      </c>
      <c r="Q41" s="105" t="s">
        <v>137</v>
      </c>
      <c r="R41" s="106" t="s">
        <v>29</v>
      </c>
      <c r="T41" s="102" t="s">
        <v>134</v>
      </c>
      <c r="U41" s="103" t="s">
        <v>135</v>
      </c>
      <c r="V41" s="104" t="s">
        <v>136</v>
      </c>
      <c r="W41" s="105" t="s">
        <v>137</v>
      </c>
      <c r="X41" s="106" t="s">
        <v>29</v>
      </c>
      <c r="Z41" s="102" t="s">
        <v>134</v>
      </c>
      <c r="AA41" s="103" t="s">
        <v>135</v>
      </c>
      <c r="AB41" s="104" t="s">
        <v>136</v>
      </c>
      <c r="AC41" s="105" t="s">
        <v>137</v>
      </c>
      <c r="AD41" s="106" t="s">
        <v>29</v>
      </c>
      <c r="AF41" s="102" t="s">
        <v>134</v>
      </c>
      <c r="AG41" s="103" t="s">
        <v>135</v>
      </c>
      <c r="AH41" s="104" t="s">
        <v>136</v>
      </c>
      <c r="AI41" s="105" t="s">
        <v>137</v>
      </c>
      <c r="AJ41" s="106" t="s">
        <v>29</v>
      </c>
    </row>
    <row r="42" spans="1:36" x14ac:dyDescent="0.25">
      <c r="A42">
        <v>1</v>
      </c>
      <c r="B42" s="107" t="s">
        <v>386</v>
      </c>
      <c r="C42" s="113">
        <f>INDEX(TourMode_input!$B$4:$J$172,MATCH(TourMode!$A42,modes,0),MATCH("sch",modePurpose,0))</f>
        <v>0</v>
      </c>
      <c r="D42" s="113">
        <f>INDEX(TourMode_input!$B$20:$J$33,MATCH(TourMode!$A42,modes,0),MATCH("sch",modePurpose,0))</f>
        <v>547.84873000000005</v>
      </c>
      <c r="E42" s="113">
        <f>INDEX(TourMode_input!$B$36:$J$49,MATCH(TourMode!$A42,modes,0),MATCH("sch",modePurpose,0))</f>
        <v>38881.46372</v>
      </c>
      <c r="F42" s="114">
        <f>SUM(C42:E42)</f>
        <v>39429.312449999998</v>
      </c>
      <c r="G42" s="115"/>
      <c r="H42" s="107" t="s">
        <v>386</v>
      </c>
      <c r="I42" s="113">
        <f>INDEX(TourMode_input!$L$4:$T$17,MATCH(TourMode!$A42,modes,0),MATCH("sch",modePurpose,0))*Index!$B$2</f>
        <v>0</v>
      </c>
      <c r="J42" s="113">
        <f>INDEX(TourMode_input!$L$20:$T$33,MATCH(TourMode!$A42,modes,0), MATCH("sch",modePurpose,0))*Index!$B$2</f>
        <v>1000</v>
      </c>
      <c r="K42" s="113">
        <f>INDEX(TourMode_input!$L$36:$T$49,MATCH(TourMode!$A42,modes,0), MATCH("sch",modePurpose,0))*Index!$B$2</f>
        <v>33785</v>
      </c>
      <c r="L42" s="114">
        <f>SUM(I42:K42)</f>
        <v>34785</v>
      </c>
      <c r="N42" s="107" t="s">
        <v>386</v>
      </c>
      <c r="O42" s="117">
        <f>C42/C$56</f>
        <v>0</v>
      </c>
      <c r="P42" s="117">
        <f>D42/D$56</f>
        <v>1.8952019275188881E-3</v>
      </c>
      <c r="Q42" s="117">
        <f>E42/E$56</f>
        <v>3.6909242987414589E-2</v>
      </c>
      <c r="R42" s="118">
        <f>F42/F$56</f>
        <v>2.7792521468036013E-2</v>
      </c>
      <c r="S42" s="115"/>
      <c r="T42" s="107" t="s">
        <v>386</v>
      </c>
      <c r="U42" s="117">
        <f>I42/I$56</f>
        <v>0</v>
      </c>
      <c r="V42" s="117">
        <f>J42/J$56</f>
        <v>1.9895548371051978E-3</v>
      </c>
      <c r="W42" s="117">
        <f>K42/K$56</f>
        <v>3.3023639980255218E-2</v>
      </c>
      <c r="X42" s="118">
        <f>L42/L$56</f>
        <v>2.1527569337215741E-2</v>
      </c>
      <c r="Z42" s="107" t="s">
        <v>386</v>
      </c>
      <c r="AA42" s="113">
        <f>I42-C42</f>
        <v>0</v>
      </c>
      <c r="AB42" s="113">
        <f t="shared" ref="AB42:AB56" si="39">J42-D42</f>
        <v>452.15126999999995</v>
      </c>
      <c r="AC42" s="113">
        <f t="shared" ref="AC42:AC56" si="40">K42-E42</f>
        <v>-5096.4637199999997</v>
      </c>
      <c r="AD42" s="114">
        <f t="shared" ref="AD42:AD56" si="41">L42-F42</f>
        <v>-4644.3124499999976</v>
      </c>
      <c r="AE42" s="115"/>
      <c r="AF42" s="107" t="s">
        <v>386</v>
      </c>
      <c r="AG42" s="117">
        <f>IF(C42=0, 0,AA42/C42)</f>
        <v>0</v>
      </c>
      <c r="AH42" s="117">
        <f t="shared" ref="AH42:AH56" si="42">IF(D42=0, 0,AB42/D42)</f>
        <v>0.82532138022844359</v>
      </c>
      <c r="AI42" s="117">
        <f t="shared" ref="AI42:AI56" si="43">IF(E42=0, 0,AC42/E42)</f>
        <v>-0.1310769511328469</v>
      </c>
      <c r="AJ42" s="118">
        <f t="shared" ref="AJ42:AJ56" si="44">IF(F42=0, 0,AD42/F42)</f>
        <v>-0.11778831943593776</v>
      </c>
    </row>
    <row r="43" spans="1:36" x14ac:dyDescent="0.25">
      <c r="A43">
        <v>2</v>
      </c>
      <c r="B43" s="107" t="s">
        <v>387</v>
      </c>
      <c r="C43" s="113">
        <f>INDEX(TourMode_input!$B$4:$J$172,MATCH(TourMode!$A43,modes,0),MATCH("sch",modePurpose,0))</f>
        <v>0</v>
      </c>
      <c r="D43" s="113">
        <f>INDEX(TourMode_input!$B$20:$J$33,MATCH(TourMode!$A43,modes,0),MATCH("sch",modePurpose,0))</f>
        <v>0</v>
      </c>
      <c r="E43" s="113">
        <f>INDEX(TourMode_input!$B$36:$J$49,MATCH(TourMode!$A43,modes,0),MATCH("sch",modePurpose,0))</f>
        <v>0</v>
      </c>
      <c r="F43" s="116">
        <f t="shared" ref="F43:F55" si="45">SUM(C43:E43)</f>
        <v>0</v>
      </c>
      <c r="G43" s="115"/>
      <c r="H43" s="107" t="s">
        <v>387</v>
      </c>
      <c r="I43" s="113">
        <f>INDEX(TourMode_input!$L$4:$T$17,MATCH(TourMode!$A43,modes,0),MATCH("sch",modePurpose,0))*Index!$B$2</f>
        <v>0</v>
      </c>
      <c r="J43" s="113">
        <f>INDEX(TourMode_input!$L$20:$T$33,MATCH(TourMode!$A43,modes,0), MATCH("sch",modePurpose,0))*Index!$B$2</f>
        <v>185</v>
      </c>
      <c r="K43" s="113">
        <f>INDEX(TourMode_input!$L$36:$T$49,MATCH(TourMode!$A43,modes,0), MATCH("sch",modePurpose,0))*Index!$B$2</f>
        <v>4420</v>
      </c>
      <c r="L43" s="116">
        <f t="shared" ref="L43:L55" si="46">SUM(I43:K43)</f>
        <v>4605</v>
      </c>
      <c r="N43" s="107" t="s">
        <v>387</v>
      </c>
      <c r="O43" s="117">
        <f t="shared" ref="O43:O55" si="47">C43/C$56</f>
        <v>0</v>
      </c>
      <c r="P43" s="117">
        <f t="shared" ref="P43:P56" si="48">D43/D$56</f>
        <v>0</v>
      </c>
      <c r="Q43" s="117">
        <f t="shared" ref="Q43:Q56" si="49">E43/E$56</f>
        <v>0</v>
      </c>
      <c r="R43" s="118">
        <f t="shared" ref="R43:R56" si="50">F43/F$56</f>
        <v>0</v>
      </c>
      <c r="S43" s="115"/>
      <c r="T43" s="107" t="s">
        <v>387</v>
      </c>
      <c r="U43" s="117">
        <f t="shared" ref="U43:U56" si="51">I43/I$56</f>
        <v>0</v>
      </c>
      <c r="V43" s="117">
        <f t="shared" ref="V43:V56" si="52">J43/J$56</f>
        <v>3.6806764486446155E-4</v>
      </c>
      <c r="W43" s="117">
        <f t="shared" ref="W43:W56" si="53">K43/K$56</f>
        <v>4.3203933317368078E-3</v>
      </c>
      <c r="X43" s="118">
        <f t="shared" ref="X43:X56" si="54">L43/L$56</f>
        <v>2.8499197009595658E-3</v>
      </c>
      <c r="Z43" s="107" t="s">
        <v>387</v>
      </c>
      <c r="AA43" s="113">
        <f t="shared" ref="AA43:AA56" si="55">I43-C43</f>
        <v>0</v>
      </c>
      <c r="AB43" s="113">
        <f t="shared" si="39"/>
        <v>185</v>
      </c>
      <c r="AC43" s="113">
        <f t="shared" si="40"/>
        <v>4420</v>
      </c>
      <c r="AD43" s="116">
        <f t="shared" si="41"/>
        <v>4605</v>
      </c>
      <c r="AE43" s="115"/>
      <c r="AF43" s="107" t="s">
        <v>387</v>
      </c>
      <c r="AG43" s="117">
        <f t="shared" ref="AG43:AG56" si="56">IF(C43=0, 0,AA43/C43)</f>
        <v>0</v>
      </c>
      <c r="AH43" s="117">
        <f t="shared" si="42"/>
        <v>0</v>
      </c>
      <c r="AI43" s="117">
        <f t="shared" si="43"/>
        <v>0</v>
      </c>
      <c r="AJ43" s="118">
        <f t="shared" si="44"/>
        <v>0</v>
      </c>
    </row>
    <row r="44" spans="1:36" x14ac:dyDescent="0.25">
      <c r="A44">
        <v>3</v>
      </c>
      <c r="B44" s="107" t="s">
        <v>388</v>
      </c>
      <c r="C44" s="113">
        <f>INDEX(TourMode_input!$B$4:$J$172,MATCH(TourMode!$A44,modes,0),MATCH("sch",modePurpose,0))</f>
        <v>2057.5741600000001</v>
      </c>
      <c r="D44" s="113">
        <f>INDEX(TourMode_input!$B$20:$J$33,MATCH(TourMode!$A44,modes,0),MATCH("sch",modePurpose,0))</f>
        <v>26759.63423</v>
      </c>
      <c r="E44" s="113">
        <f>INDEX(TourMode_input!$B$36:$J$49,MATCH(TourMode!$A44,modes,0),MATCH("sch",modePurpose,0))</f>
        <v>171405.36989</v>
      </c>
      <c r="F44" s="116">
        <f t="shared" si="45"/>
        <v>200222.57828000002</v>
      </c>
      <c r="G44" s="115"/>
      <c r="H44" s="107" t="s">
        <v>388</v>
      </c>
      <c r="I44" s="113">
        <f>INDEX(TourMode_input!$L$4:$T$17,MATCH(TourMode!$A44,modes,0),MATCH("sch",modePurpose,0))*Index!$B$2</f>
        <v>2630</v>
      </c>
      <c r="J44" s="113">
        <f>INDEX(TourMode_input!$L$20:$T$33,MATCH(TourMode!$A44,modes,0), MATCH("sch",modePurpose,0))*Index!$B$2</f>
        <v>45500</v>
      </c>
      <c r="K44" s="113">
        <f>INDEX(TourMode_input!$L$36:$T$49,MATCH(TourMode!$A44,modes,0), MATCH("sch",modePurpose,0))*Index!$B$2</f>
        <v>158010</v>
      </c>
      <c r="L44" s="116">
        <f t="shared" si="46"/>
        <v>206140</v>
      </c>
      <c r="N44" s="107" t="s">
        <v>388</v>
      </c>
      <c r="O44" s="117">
        <f t="shared" si="47"/>
        <v>2.7003533478384471E-2</v>
      </c>
      <c r="P44" s="117">
        <f t="shared" si="48"/>
        <v>9.2571010199104437E-2</v>
      </c>
      <c r="Q44" s="117">
        <f t="shared" si="49"/>
        <v>0.16271101551569073</v>
      </c>
      <c r="R44" s="118">
        <f t="shared" si="50"/>
        <v>0.14113079735511397</v>
      </c>
      <c r="S44" s="115"/>
      <c r="T44" s="107" t="s">
        <v>388</v>
      </c>
      <c r="U44" s="117">
        <f t="shared" si="51"/>
        <v>2.9171981587266374E-2</v>
      </c>
      <c r="V44" s="117">
        <f t="shared" si="52"/>
        <v>9.0524745088286493E-2</v>
      </c>
      <c r="W44" s="117">
        <f t="shared" si="53"/>
        <v>0.15444917428681743</v>
      </c>
      <c r="X44" s="118">
        <f t="shared" si="54"/>
        <v>0.12757490709138</v>
      </c>
      <c r="Z44" s="107" t="s">
        <v>388</v>
      </c>
      <c r="AA44" s="113">
        <f t="shared" si="55"/>
        <v>572.42583999999988</v>
      </c>
      <c r="AB44" s="113">
        <f t="shared" si="39"/>
        <v>18740.36577</v>
      </c>
      <c r="AC44" s="113">
        <f t="shared" si="40"/>
        <v>-13395.369890000002</v>
      </c>
      <c r="AD44" s="116">
        <f t="shared" si="41"/>
        <v>5917.4217199999839</v>
      </c>
      <c r="AE44" s="115"/>
      <c r="AF44" s="107" t="s">
        <v>388</v>
      </c>
      <c r="AG44" s="117">
        <f t="shared" si="56"/>
        <v>0.27820423250260873</v>
      </c>
      <c r="AH44" s="117">
        <f t="shared" si="42"/>
        <v>0.70032219457582623</v>
      </c>
      <c r="AI44" s="117">
        <f t="shared" si="43"/>
        <v>-7.8150234724831125E-2</v>
      </c>
      <c r="AJ44" s="118">
        <f t="shared" si="44"/>
        <v>2.9554217964992951E-2</v>
      </c>
    </row>
    <row r="45" spans="1:36" x14ac:dyDescent="0.25">
      <c r="A45">
        <v>4</v>
      </c>
      <c r="B45" s="107" t="s">
        <v>389</v>
      </c>
      <c r="C45" s="113">
        <f>INDEX(TourMode_input!$B$4:$J$172,MATCH(TourMode!$A45,modes,0),MATCH("sch",modePurpose,0))</f>
        <v>0</v>
      </c>
      <c r="D45" s="113">
        <f>INDEX(TourMode_input!$B$20:$J$33,MATCH(TourMode!$A45,modes,0),MATCH("sch",modePurpose,0))</f>
        <v>112.04868999999999</v>
      </c>
      <c r="E45" s="113">
        <f>INDEX(TourMode_input!$B$36:$J$49,MATCH(TourMode!$A45,modes,0),MATCH("sch",modePurpose,0))</f>
        <v>300.27800999999999</v>
      </c>
      <c r="F45" s="116">
        <f t="shared" si="45"/>
        <v>412.32669999999996</v>
      </c>
      <c r="G45" s="115"/>
      <c r="H45" s="107" t="s">
        <v>389</v>
      </c>
      <c r="I45" s="113">
        <f>INDEX(TourMode_input!$L$4:$T$17,MATCH(TourMode!$A45,modes,0),MATCH("sch",modePurpose,0))*Index!$B$2</f>
        <v>60</v>
      </c>
      <c r="J45" s="113">
        <f>INDEX(TourMode_input!$L$20:$T$33,MATCH(TourMode!$A45,modes,0), MATCH("sch",modePurpose,0))*Index!$B$2</f>
        <v>685</v>
      </c>
      <c r="K45" s="113">
        <f>INDEX(TourMode_input!$L$36:$T$49,MATCH(TourMode!$A45,modes,0), MATCH("sch",modePurpose,0))*Index!$B$2</f>
        <v>2145</v>
      </c>
      <c r="L45" s="116">
        <f t="shared" si="46"/>
        <v>2890</v>
      </c>
      <c r="N45" s="107" t="s">
        <v>389</v>
      </c>
      <c r="O45" s="117">
        <f t="shared" si="47"/>
        <v>0</v>
      </c>
      <c r="P45" s="117">
        <f t="shared" si="48"/>
        <v>3.876159268708469E-4</v>
      </c>
      <c r="Q45" s="117">
        <f t="shared" si="49"/>
        <v>2.8504672855632167E-4</v>
      </c>
      <c r="R45" s="118">
        <f t="shared" si="50"/>
        <v>2.9063653281112301E-4</v>
      </c>
      <c r="S45" s="115"/>
      <c r="T45" s="107" t="s">
        <v>389</v>
      </c>
      <c r="U45" s="117">
        <f t="shared" si="51"/>
        <v>6.6552049248516448E-4</v>
      </c>
      <c r="V45" s="117">
        <f t="shared" si="52"/>
        <v>1.3628450634170603E-3</v>
      </c>
      <c r="W45" s="117">
        <f t="shared" si="53"/>
        <v>2.0966614698134508E-3</v>
      </c>
      <c r="X45" s="118">
        <f t="shared" si="54"/>
        <v>1.7885489545652867E-3</v>
      </c>
      <c r="Z45" s="107" t="s">
        <v>389</v>
      </c>
      <c r="AA45" s="113">
        <f t="shared" si="55"/>
        <v>60</v>
      </c>
      <c r="AB45" s="113">
        <f t="shared" si="39"/>
        <v>572.95131000000003</v>
      </c>
      <c r="AC45" s="113">
        <f t="shared" si="40"/>
        <v>1844.72199</v>
      </c>
      <c r="AD45" s="116">
        <f t="shared" si="41"/>
        <v>2477.6732999999999</v>
      </c>
      <c r="AE45" s="115"/>
      <c r="AF45" s="107" t="s">
        <v>389</v>
      </c>
      <c r="AG45" s="117">
        <f t="shared" si="56"/>
        <v>0</v>
      </c>
      <c r="AH45" s="117">
        <f t="shared" si="42"/>
        <v>5.1134137311199268</v>
      </c>
      <c r="AI45" s="117">
        <f t="shared" si="43"/>
        <v>6.1433802295412843</v>
      </c>
      <c r="AJ45" s="118">
        <f t="shared" si="44"/>
        <v>6.0090052378368908</v>
      </c>
    </row>
    <row r="46" spans="1:36" x14ac:dyDescent="0.25">
      <c r="A46">
        <v>5</v>
      </c>
      <c r="B46" s="107" t="s">
        <v>390</v>
      </c>
      <c r="C46" s="113">
        <f>INDEX(TourMode_input!$B$4:$J$172,MATCH(TourMode!$A46,modes,0),MATCH("sch",modePurpose,0))</f>
        <v>1212.0835</v>
      </c>
      <c r="D46" s="113">
        <f>INDEX(TourMode_input!$B$20:$J$33,MATCH(TourMode!$A46,modes,0),MATCH("sch",modePurpose,0))</f>
        <v>73468.042350000003</v>
      </c>
      <c r="E46" s="113">
        <f>INDEX(TourMode_input!$B$36:$J$49,MATCH(TourMode!$A46,modes,0),MATCH("sch",modePurpose,0))</f>
        <v>300508.88522</v>
      </c>
      <c r="F46" s="116">
        <f t="shared" si="45"/>
        <v>375189.01107000001</v>
      </c>
      <c r="G46" s="115"/>
      <c r="H46" s="107" t="s">
        <v>390</v>
      </c>
      <c r="I46" s="113">
        <f>INDEX(TourMode_input!$L$4:$T$17,MATCH(TourMode!$A46,modes,0),MATCH("sch",modePurpose,0))*Index!$B$2</f>
        <v>1660</v>
      </c>
      <c r="J46" s="113">
        <f>INDEX(TourMode_input!$L$20:$T$33,MATCH(TourMode!$A46,modes,0), MATCH("sch",modePurpose,0))*Index!$B$2</f>
        <v>123420</v>
      </c>
      <c r="K46" s="113">
        <f>INDEX(TourMode_input!$L$36:$T$49,MATCH(TourMode!$A46,modes,0), MATCH("sch",modePurpose,0))*Index!$B$2</f>
        <v>284120</v>
      </c>
      <c r="L46" s="116">
        <f t="shared" si="46"/>
        <v>409200</v>
      </c>
      <c r="N46" s="107" t="s">
        <v>390</v>
      </c>
      <c r="O46" s="117">
        <f t="shared" si="47"/>
        <v>1.5907342737453225E-2</v>
      </c>
      <c r="P46" s="117">
        <f t="shared" si="48"/>
        <v>0.25415186318449495</v>
      </c>
      <c r="Q46" s="117">
        <f t="shared" si="49"/>
        <v>0.28526589287729781</v>
      </c>
      <c r="R46" s="118">
        <f t="shared" si="50"/>
        <v>0.26445930696755476</v>
      </c>
      <c r="S46" s="115"/>
      <c r="T46" s="107" t="s">
        <v>390</v>
      </c>
      <c r="U46" s="117">
        <f t="shared" si="51"/>
        <v>1.8412733625422884E-2</v>
      </c>
      <c r="V46" s="117">
        <f t="shared" si="52"/>
        <v>0.24555085799552351</v>
      </c>
      <c r="W46" s="117">
        <f t="shared" si="53"/>
        <v>0.2777172292789733</v>
      </c>
      <c r="X46" s="118">
        <f t="shared" si="54"/>
        <v>0.25324367896474576</v>
      </c>
      <c r="Z46" s="107" t="s">
        <v>390</v>
      </c>
      <c r="AA46" s="113">
        <f t="shared" si="55"/>
        <v>447.91650000000004</v>
      </c>
      <c r="AB46" s="113">
        <f t="shared" si="39"/>
        <v>49951.957649999997</v>
      </c>
      <c r="AC46" s="113">
        <f t="shared" si="40"/>
        <v>-16388.885219999996</v>
      </c>
      <c r="AD46" s="116">
        <f t="shared" si="41"/>
        <v>34010.988929999992</v>
      </c>
      <c r="AE46" s="115"/>
      <c r="AF46" s="107" t="s">
        <v>390</v>
      </c>
      <c r="AG46" s="117">
        <f t="shared" si="56"/>
        <v>0.36954260989445037</v>
      </c>
      <c r="AH46" s="117">
        <f t="shared" si="42"/>
        <v>0.67991409669023251</v>
      </c>
      <c r="AI46" s="117">
        <f t="shared" si="43"/>
        <v>-5.4537106974397224E-2</v>
      </c>
      <c r="AJ46" s="118">
        <f t="shared" si="44"/>
        <v>9.0650280062852029E-2</v>
      </c>
    </row>
    <row r="47" spans="1:36" x14ac:dyDescent="0.25">
      <c r="A47">
        <v>6</v>
      </c>
      <c r="B47" s="107" t="s">
        <v>391</v>
      </c>
      <c r="C47" s="113">
        <f>INDEX(TourMode_input!$B$4:$J$172,MATCH(TourMode!$A47,modes,0),MATCH("sch",modePurpose,0))</f>
        <v>0</v>
      </c>
      <c r="D47" s="113">
        <f>INDEX(TourMode_input!$B$20:$J$33,MATCH(TourMode!$A47,modes,0),MATCH("sch",modePurpose,0))</f>
        <v>0</v>
      </c>
      <c r="E47" s="113">
        <f>INDEX(TourMode_input!$B$36:$J$49,MATCH(TourMode!$A47,modes,0),MATCH("sch",modePurpose,0))</f>
        <v>1983.6124500000001</v>
      </c>
      <c r="F47" s="116">
        <f t="shared" si="45"/>
        <v>1983.6124500000001</v>
      </c>
      <c r="G47" s="115"/>
      <c r="H47" s="107" t="s">
        <v>391</v>
      </c>
      <c r="I47" s="113">
        <f>INDEX(TourMode_input!$L$4:$T$17,MATCH(TourMode!$A47,modes,0),MATCH("sch",modePurpose,0))*Index!$B$2</f>
        <v>90</v>
      </c>
      <c r="J47" s="113">
        <f>INDEX(TourMode_input!$L$20:$T$33,MATCH(TourMode!$A47,modes,0), MATCH("sch",modePurpose,0))*Index!$B$2</f>
        <v>5105</v>
      </c>
      <c r="K47" s="113">
        <f>INDEX(TourMode_input!$L$36:$T$49,MATCH(TourMode!$A47,modes,0), MATCH("sch",modePurpose,0))*Index!$B$2</f>
        <v>9195</v>
      </c>
      <c r="L47" s="116">
        <f t="shared" si="46"/>
        <v>14390</v>
      </c>
      <c r="N47" s="107" t="s">
        <v>391</v>
      </c>
      <c r="O47" s="117">
        <f t="shared" si="47"/>
        <v>0</v>
      </c>
      <c r="P47" s="117">
        <f t="shared" si="48"/>
        <v>0</v>
      </c>
      <c r="Q47" s="117">
        <f t="shared" si="49"/>
        <v>1.8829958264212894E-3</v>
      </c>
      <c r="R47" s="118">
        <f t="shared" si="50"/>
        <v>1.3981880021569719E-3</v>
      </c>
      <c r="S47" s="115"/>
      <c r="T47" s="107" t="s">
        <v>391</v>
      </c>
      <c r="U47" s="117">
        <f t="shared" si="51"/>
        <v>9.9828073872774655E-4</v>
      </c>
      <c r="V47" s="117">
        <f t="shared" si="52"/>
        <v>1.0156677443422035E-2</v>
      </c>
      <c r="W47" s="117">
        <f t="shared" si="53"/>
        <v>8.9877865803891285E-3</v>
      </c>
      <c r="X47" s="118">
        <f t="shared" si="54"/>
        <v>8.9056122685794038E-3</v>
      </c>
      <c r="Z47" s="107" t="s">
        <v>391</v>
      </c>
      <c r="AA47" s="113">
        <f t="shared" si="55"/>
        <v>90</v>
      </c>
      <c r="AB47" s="113">
        <f t="shared" si="39"/>
        <v>5105</v>
      </c>
      <c r="AC47" s="113">
        <f t="shared" si="40"/>
        <v>7211.3875499999995</v>
      </c>
      <c r="AD47" s="116">
        <f t="shared" si="41"/>
        <v>12406.387549999999</v>
      </c>
      <c r="AE47" s="115"/>
      <c r="AF47" s="107" t="s">
        <v>391</v>
      </c>
      <c r="AG47" s="117">
        <f t="shared" si="56"/>
        <v>0</v>
      </c>
      <c r="AH47" s="117">
        <f t="shared" si="42"/>
        <v>0</v>
      </c>
      <c r="AI47" s="117">
        <f t="shared" si="43"/>
        <v>3.6354820973219839</v>
      </c>
      <c r="AJ47" s="118">
        <f t="shared" si="44"/>
        <v>6.2544412594304895</v>
      </c>
    </row>
    <row r="48" spans="1:36" x14ac:dyDescent="0.25">
      <c r="A48">
        <v>7</v>
      </c>
      <c r="B48" s="107" t="s">
        <v>392</v>
      </c>
      <c r="C48" s="113">
        <f>INDEX(TourMode_input!$B$4:$J$172,MATCH(TourMode!$A48,modes,0),MATCH("sch",modePurpose,0))</f>
        <v>38949.577870000001</v>
      </c>
      <c r="D48" s="113">
        <f>INDEX(TourMode_input!$B$20:$J$33,MATCH(TourMode!$A48,modes,0),MATCH("sch",modePurpose,0))</f>
        <v>68414.714649999994</v>
      </c>
      <c r="E48" s="113">
        <f>INDEX(TourMode_input!$B$36:$J$49,MATCH(TourMode!$A48,modes,0),MATCH("sch",modePurpose,0))</f>
        <v>106026.70808</v>
      </c>
      <c r="F48" s="116">
        <f t="shared" si="45"/>
        <v>213391.00059999997</v>
      </c>
      <c r="G48" s="115"/>
      <c r="H48" s="107" t="s">
        <v>392</v>
      </c>
      <c r="I48" s="113">
        <f>INDEX(TourMode_input!$L$4:$T$17,MATCH(TourMode!$A48,modes,0),MATCH("sch",modePurpose,0))*Index!$B$2</f>
        <v>53280</v>
      </c>
      <c r="J48" s="113">
        <f>INDEX(TourMode_input!$L$20:$T$33,MATCH(TourMode!$A48,modes,0), MATCH("sch",modePurpose,0))*Index!$B$2</f>
        <v>127230</v>
      </c>
      <c r="K48" s="113">
        <f>INDEX(TourMode_input!$L$36:$T$49,MATCH(TourMode!$A48,modes,0), MATCH("sch",modePurpose,0))*Index!$B$2</f>
        <v>111065</v>
      </c>
      <c r="L48" s="116">
        <f t="shared" si="46"/>
        <v>291575</v>
      </c>
      <c r="N48" s="107" t="s">
        <v>392</v>
      </c>
      <c r="O48" s="117">
        <f t="shared" si="47"/>
        <v>0.51117293871025671</v>
      </c>
      <c r="P48" s="117">
        <f t="shared" si="48"/>
        <v>0.23667062087619459</v>
      </c>
      <c r="Q48" s="117">
        <f t="shared" si="49"/>
        <v>0.10064861651973821</v>
      </c>
      <c r="R48" s="118">
        <f t="shared" si="50"/>
        <v>0.15041281718472332</v>
      </c>
      <c r="S48" s="115"/>
      <c r="T48" s="107" t="s">
        <v>392</v>
      </c>
      <c r="U48" s="117">
        <f t="shared" si="51"/>
        <v>0.590982197326826</v>
      </c>
      <c r="V48" s="117">
        <f t="shared" si="52"/>
        <v>0.25313106192489432</v>
      </c>
      <c r="W48" s="117">
        <f t="shared" si="53"/>
        <v>0.10856210076682095</v>
      </c>
      <c r="X48" s="118">
        <f t="shared" si="54"/>
        <v>0.18044849876379704</v>
      </c>
      <c r="Z48" s="107" t="s">
        <v>392</v>
      </c>
      <c r="AA48" s="113">
        <f t="shared" si="55"/>
        <v>14330.422129999999</v>
      </c>
      <c r="AB48" s="113">
        <f t="shared" si="39"/>
        <v>58815.285350000006</v>
      </c>
      <c r="AC48" s="113">
        <f t="shared" si="40"/>
        <v>5038.2919200000033</v>
      </c>
      <c r="AD48" s="116">
        <f t="shared" si="41"/>
        <v>78183.99940000003</v>
      </c>
      <c r="AE48" s="115"/>
      <c r="AF48" s="107" t="s">
        <v>392</v>
      </c>
      <c r="AG48" s="117">
        <f t="shared" si="56"/>
        <v>0.36792239900082896</v>
      </c>
      <c r="AH48" s="117">
        <f t="shared" si="42"/>
        <v>0.85968765127342395</v>
      </c>
      <c r="AI48" s="117">
        <f t="shared" si="43"/>
        <v>4.7519082797501146E-2</v>
      </c>
      <c r="AJ48" s="118">
        <f t="shared" si="44"/>
        <v>0.36638845677731002</v>
      </c>
    </row>
    <row r="49" spans="1:36" x14ac:dyDescent="0.25">
      <c r="A49">
        <v>8</v>
      </c>
      <c r="B49" s="107" t="s">
        <v>393</v>
      </c>
      <c r="C49" s="113">
        <f>INDEX(TourMode_input!$B$4:$J$172,MATCH(TourMode!$A49,modes,0),MATCH("sch",modePurpose,0))</f>
        <v>1634.13975</v>
      </c>
      <c r="D49" s="113">
        <f>INDEX(TourMode_input!$B$20:$J$33,MATCH(TourMode!$A49,modes,0),MATCH("sch",modePurpose,0))</f>
        <v>2237.8300199999999</v>
      </c>
      <c r="E49" s="113">
        <f>INDEX(TourMode_input!$B$36:$J$49,MATCH(TourMode!$A49,modes,0),MATCH("sch",modePurpose,0))</f>
        <v>11794.437679999999</v>
      </c>
      <c r="F49" s="116">
        <f t="shared" si="45"/>
        <v>15666.407449999999</v>
      </c>
      <c r="G49" s="115"/>
      <c r="H49" s="107" t="s">
        <v>393</v>
      </c>
      <c r="I49" s="113">
        <f>INDEX(TourMode_input!$L$4:$T$17,MATCH(TourMode!$A49,modes,0),MATCH("sch",modePurpose,0))*Index!$B$2</f>
        <v>2180</v>
      </c>
      <c r="J49" s="113">
        <f>INDEX(TourMode_input!$L$20:$T$33,MATCH(TourMode!$A49,modes,0), MATCH("sch",modePurpose,0))*Index!$B$2</f>
        <v>4360</v>
      </c>
      <c r="K49" s="113">
        <f>INDEX(TourMode_input!$L$36:$T$49,MATCH(TourMode!$A49,modes,0), MATCH("sch",modePurpose,0))*Index!$B$2</f>
        <v>11580</v>
      </c>
      <c r="L49" s="116">
        <f t="shared" si="46"/>
        <v>18120</v>
      </c>
      <c r="N49" s="107" t="s">
        <v>393</v>
      </c>
      <c r="O49" s="117">
        <f t="shared" si="47"/>
        <v>2.1446394645373963E-2</v>
      </c>
      <c r="P49" s="117">
        <f t="shared" si="48"/>
        <v>7.7414430939059245E-3</v>
      </c>
      <c r="Q49" s="117">
        <f t="shared" si="49"/>
        <v>1.1196177421867862E-2</v>
      </c>
      <c r="R49" s="118">
        <f t="shared" si="50"/>
        <v>1.1042773467918392E-2</v>
      </c>
      <c r="S49" s="115"/>
      <c r="T49" s="107" t="s">
        <v>393</v>
      </c>
      <c r="U49" s="117">
        <f t="shared" si="51"/>
        <v>2.4180577893627642E-2</v>
      </c>
      <c r="V49" s="117">
        <f t="shared" si="52"/>
        <v>8.6744590897786626E-3</v>
      </c>
      <c r="W49" s="117">
        <f t="shared" si="53"/>
        <v>1.131903954332856E-2</v>
      </c>
      <c r="X49" s="118">
        <f t="shared" si="54"/>
        <v>1.1214016282603113E-2</v>
      </c>
      <c r="Z49" s="107" t="s">
        <v>393</v>
      </c>
      <c r="AA49" s="113">
        <f t="shared" si="55"/>
        <v>545.86024999999995</v>
      </c>
      <c r="AB49" s="113">
        <f t="shared" si="39"/>
        <v>2122.1699800000001</v>
      </c>
      <c r="AC49" s="113">
        <f t="shared" si="40"/>
        <v>-214.43767999999909</v>
      </c>
      <c r="AD49" s="116">
        <f t="shared" si="41"/>
        <v>2453.5925500000012</v>
      </c>
      <c r="AE49" s="115"/>
      <c r="AF49" s="107" t="s">
        <v>393</v>
      </c>
      <c r="AG49" s="117">
        <f t="shared" si="56"/>
        <v>0.33403523168688598</v>
      </c>
      <c r="AH49" s="117">
        <f t="shared" si="42"/>
        <v>0.94831598514350091</v>
      </c>
      <c r="AI49" s="117">
        <f t="shared" si="43"/>
        <v>-1.8181255081251072E-2</v>
      </c>
      <c r="AJ49" s="118">
        <f t="shared" si="44"/>
        <v>0.15661488173537841</v>
      </c>
    </row>
    <row r="50" spans="1:36" x14ac:dyDescent="0.25">
      <c r="A50">
        <v>9</v>
      </c>
      <c r="B50" s="107" t="s">
        <v>394</v>
      </c>
      <c r="C50" s="113"/>
      <c r="D50" s="113"/>
      <c r="E50" s="113"/>
      <c r="F50" s="116">
        <f t="shared" si="45"/>
        <v>0</v>
      </c>
      <c r="G50" s="115"/>
      <c r="H50" s="107" t="s">
        <v>394</v>
      </c>
      <c r="I50" s="113">
        <f>INDEX(TourMode_input!$L$4:$T$17,MATCH(TourMode!$A50,modes,0),MATCH("sch",modePurpose,0))*Index!$B$2</f>
        <v>0</v>
      </c>
      <c r="J50" s="113">
        <f>INDEX(TourMode_input!$L$20:$T$33,MATCH(TourMode!$A50,modes,0), MATCH("sch",modePurpose,0))*Index!$B$2</f>
        <v>0</v>
      </c>
      <c r="K50" s="113">
        <f>INDEX(TourMode_input!$L$36:$T$49,MATCH(TourMode!$A50,modes,0), MATCH("sch",modePurpose,0))*Index!$B$2</f>
        <v>0</v>
      </c>
      <c r="L50" s="116">
        <f t="shared" si="46"/>
        <v>0</v>
      </c>
      <c r="N50" s="107" t="s">
        <v>394</v>
      </c>
      <c r="O50" s="117">
        <f t="shared" si="47"/>
        <v>0</v>
      </c>
      <c r="P50" s="117">
        <f t="shared" si="48"/>
        <v>0</v>
      </c>
      <c r="Q50" s="117">
        <f t="shared" si="49"/>
        <v>0</v>
      </c>
      <c r="R50" s="118">
        <f t="shared" si="50"/>
        <v>0</v>
      </c>
      <c r="S50" s="115"/>
      <c r="T50" s="107" t="s">
        <v>394</v>
      </c>
      <c r="U50" s="117">
        <f t="shared" si="51"/>
        <v>0</v>
      </c>
      <c r="V50" s="117">
        <f t="shared" si="52"/>
        <v>0</v>
      </c>
      <c r="W50" s="117">
        <f t="shared" si="53"/>
        <v>0</v>
      </c>
      <c r="X50" s="118">
        <f t="shared" si="54"/>
        <v>0</v>
      </c>
      <c r="Z50" s="107" t="s">
        <v>394</v>
      </c>
      <c r="AA50" s="113">
        <f t="shared" si="55"/>
        <v>0</v>
      </c>
      <c r="AB50" s="113">
        <f t="shared" si="39"/>
        <v>0</v>
      </c>
      <c r="AC50" s="113">
        <f t="shared" si="40"/>
        <v>0</v>
      </c>
      <c r="AD50" s="116">
        <f t="shared" si="41"/>
        <v>0</v>
      </c>
      <c r="AE50" s="115"/>
      <c r="AF50" s="107" t="s">
        <v>394</v>
      </c>
      <c r="AG50" s="117">
        <f t="shared" si="56"/>
        <v>0</v>
      </c>
      <c r="AH50" s="117">
        <f t="shared" si="42"/>
        <v>0</v>
      </c>
      <c r="AI50" s="117">
        <f t="shared" si="43"/>
        <v>0</v>
      </c>
      <c r="AJ50" s="118">
        <f t="shared" si="44"/>
        <v>0</v>
      </c>
    </row>
    <row r="51" spans="1:36" x14ac:dyDescent="0.25">
      <c r="A51">
        <v>10</v>
      </c>
      <c r="B51" s="107" t="s">
        <v>395</v>
      </c>
      <c r="C51" s="113">
        <f>INDEX(TourMode_input!$B$4:$J$172,MATCH(TourMode!$A51,modes,0),MATCH("sch",modePurpose,0))+INDEX(TourMode_input!$B$4:$J$172,MATCH(TourMode!$A50,modes,0),MATCH("sch",modePurpose,0))</f>
        <v>24114.882479999997</v>
      </c>
      <c r="D51" s="113">
        <f>INDEX(TourMode_input!$B$20:$J$33,MATCH(TourMode!$A51,modes,0),MATCH("sch",modePurpose,0))+INDEX(TourMode_input!$B$20:$J$33,MATCH(TourMode!$A50,modes,0),MATCH("sch",modePurpose,0))</f>
        <v>13296.354079999999</v>
      </c>
      <c r="E51" s="113">
        <f>INDEX(TourMode_input!$B$36:$J$49,MATCH(TourMode!$A51,modes,0),MATCH("sch",modePurpose,0))+INDEX(TourMode_input!$B$36:$J$49,MATCH(TourMode!$A50,modes,0),MATCH("sch",modePurpose,0))</f>
        <v>19282.366620000001</v>
      </c>
      <c r="F51" s="116">
        <f t="shared" si="45"/>
        <v>56693.603179999998</v>
      </c>
      <c r="G51" s="115"/>
      <c r="H51" s="107" t="s">
        <v>395</v>
      </c>
      <c r="I51" s="113">
        <f>INDEX(TourMode_input!$L$4:$T$17,MATCH(TourMode!$A51,modes,0),MATCH("sch",modePurpose,0))*Index!$B$2</f>
        <v>17565</v>
      </c>
      <c r="J51" s="113">
        <f>INDEX(TourMode_input!$L$20:$T$33,MATCH(TourMode!$A51,modes,0), MATCH("sch",modePurpose,0))*Index!$B$2</f>
        <v>8760</v>
      </c>
      <c r="K51" s="113">
        <f>INDEX(TourMode_input!$L$36:$T$49,MATCH(TourMode!$A51,modes,0), MATCH("sch",modePurpose,0))*Index!$B$2</f>
        <v>13240</v>
      </c>
      <c r="L51" s="116">
        <f t="shared" si="46"/>
        <v>39565</v>
      </c>
      <c r="N51" s="107" t="s">
        <v>395</v>
      </c>
      <c r="O51" s="117">
        <f t="shared" si="47"/>
        <v>0.31648289963749693</v>
      </c>
      <c r="P51" s="117">
        <f t="shared" si="48"/>
        <v>4.5996777032575452E-2</v>
      </c>
      <c r="Q51" s="117">
        <f t="shared" si="49"/>
        <v>1.8304289161416173E-2</v>
      </c>
      <c r="R51" s="118">
        <f t="shared" si="50"/>
        <v>3.996159419413018E-2</v>
      </c>
      <c r="S51" s="115"/>
      <c r="T51" s="107" t="s">
        <v>395</v>
      </c>
      <c r="U51" s="117">
        <f t="shared" si="51"/>
        <v>0.1948311241750319</v>
      </c>
      <c r="V51" s="117">
        <f t="shared" si="52"/>
        <v>1.7428500373041531E-2</v>
      </c>
      <c r="W51" s="117">
        <f t="shared" si="53"/>
        <v>1.2941630704116592E-2</v>
      </c>
      <c r="X51" s="118">
        <f t="shared" si="54"/>
        <v>2.448579217556248E-2</v>
      </c>
      <c r="Z51" s="107" t="s">
        <v>395</v>
      </c>
      <c r="AA51" s="113">
        <f t="shared" si="55"/>
        <v>-6549.8824799999966</v>
      </c>
      <c r="AB51" s="113">
        <f t="shared" si="39"/>
        <v>-4536.3540799999992</v>
      </c>
      <c r="AC51" s="113">
        <f t="shared" si="40"/>
        <v>-6042.3666200000007</v>
      </c>
      <c r="AD51" s="116">
        <f t="shared" si="41"/>
        <v>-17128.603179999998</v>
      </c>
      <c r="AE51" s="115"/>
      <c r="AF51" s="107" t="s">
        <v>395</v>
      </c>
      <c r="AG51" s="117">
        <f t="shared" si="56"/>
        <v>-0.27161162760930846</v>
      </c>
      <c r="AH51" s="117">
        <f t="shared" si="42"/>
        <v>-0.34117277959854087</v>
      </c>
      <c r="AI51" s="117">
        <f t="shared" si="43"/>
        <v>-0.31336229307727997</v>
      </c>
      <c r="AJ51" s="118">
        <f t="shared" si="44"/>
        <v>-0.3021258522873797</v>
      </c>
    </row>
    <row r="52" spans="1:36" x14ac:dyDescent="0.25">
      <c r="A52">
        <v>11</v>
      </c>
      <c r="B52" s="107" t="s">
        <v>396</v>
      </c>
      <c r="C52" s="113">
        <f>INDEX(TourMode_input!$B$4:$J$172,MATCH(TourMode!$A52,modes,0),MATCH("sch",modePurpose,0))</f>
        <v>173.24529000000001</v>
      </c>
      <c r="D52" s="113">
        <f>INDEX(TourMode_input!$B$20:$J$33,MATCH(TourMode!$A52,modes,0),MATCH("sch",modePurpose,0))</f>
        <v>1094.1285</v>
      </c>
      <c r="E52" s="113">
        <f>INDEX(TourMode_input!$B$36:$J$49,MATCH(TourMode!$A52,modes,0),MATCH("sch",modePurpose,0))</f>
        <v>9147.8425800000005</v>
      </c>
      <c r="F52" s="116">
        <f t="shared" si="45"/>
        <v>10415.21637</v>
      </c>
      <c r="G52" s="115"/>
      <c r="H52" s="107" t="s">
        <v>396</v>
      </c>
      <c r="I52" s="113">
        <f>INDEX(TourMode_input!$L$4:$T$17,MATCH(TourMode!$A52,modes,0),MATCH("sch",modePurpose,0))*Index!$B$2</f>
        <v>70</v>
      </c>
      <c r="J52" s="113">
        <f>INDEX(TourMode_input!$L$20:$T$33,MATCH(TourMode!$A52,modes,0), MATCH("sch",modePurpose,0))*Index!$B$2</f>
        <v>240</v>
      </c>
      <c r="K52" s="113">
        <f>INDEX(TourMode_input!$L$36:$T$49,MATCH(TourMode!$A52,modes,0), MATCH("sch",modePurpose,0))*Index!$B$2</f>
        <v>2675</v>
      </c>
      <c r="L52" s="116">
        <f t="shared" si="46"/>
        <v>2985</v>
      </c>
      <c r="N52" s="107" t="s">
        <v>396</v>
      </c>
      <c r="O52" s="117">
        <f t="shared" si="47"/>
        <v>2.2736653090974987E-3</v>
      </c>
      <c r="P52" s="117">
        <f t="shared" si="48"/>
        <v>3.7849762691853821E-3</v>
      </c>
      <c r="Q52" s="117">
        <f t="shared" si="49"/>
        <v>8.6838280324863654E-3</v>
      </c>
      <c r="R52" s="118">
        <f t="shared" si="50"/>
        <v>7.3413688084095711E-3</v>
      </c>
      <c r="S52" s="115"/>
      <c r="T52" s="107" t="s">
        <v>396</v>
      </c>
      <c r="U52" s="117">
        <f t="shared" si="51"/>
        <v>7.7644057456602517E-4</v>
      </c>
      <c r="V52" s="117">
        <f t="shared" si="52"/>
        <v>4.7749316090524746E-4</v>
      </c>
      <c r="W52" s="117">
        <f t="shared" si="53"/>
        <v>2.6147176837999914E-3</v>
      </c>
      <c r="X52" s="118">
        <f t="shared" si="54"/>
        <v>1.847342086289751E-3</v>
      </c>
      <c r="Z52" s="107" t="s">
        <v>396</v>
      </c>
      <c r="AA52" s="113">
        <f t="shared" si="55"/>
        <v>-103.24529000000001</v>
      </c>
      <c r="AB52" s="113">
        <f t="shared" si="39"/>
        <v>-854.12850000000003</v>
      </c>
      <c r="AC52" s="113">
        <f t="shared" si="40"/>
        <v>-6472.8425800000005</v>
      </c>
      <c r="AD52" s="116">
        <f t="shared" si="41"/>
        <v>-7430.2163700000001</v>
      </c>
      <c r="AE52" s="115"/>
      <c r="AF52" s="107" t="s">
        <v>396</v>
      </c>
      <c r="AG52" s="117">
        <f t="shared" si="56"/>
        <v>-0.59594861135907362</v>
      </c>
      <c r="AH52" s="117">
        <f t="shared" si="42"/>
        <v>-0.78064733712722045</v>
      </c>
      <c r="AI52" s="117">
        <f t="shared" si="43"/>
        <v>-0.70758132569439125</v>
      </c>
      <c r="AJ52" s="118">
        <f t="shared" si="44"/>
        <v>-0.71340009713115538</v>
      </c>
    </row>
    <row r="53" spans="1:36" x14ac:dyDescent="0.25">
      <c r="A53">
        <v>12</v>
      </c>
      <c r="B53" s="107" t="s">
        <v>397</v>
      </c>
      <c r="C53" s="113">
        <f>INDEX(TourMode_input!$B$4:$J$172,MATCH(TourMode!$A53,modes,0),MATCH("sch",modePurpose,0))</f>
        <v>0</v>
      </c>
      <c r="D53" s="113">
        <f>INDEX(TourMode_input!$B$20:$J$33,MATCH(TourMode!$A53,modes,0),MATCH("sch",modePurpose,0))</f>
        <v>513.97964000000002</v>
      </c>
      <c r="E53" s="113">
        <f>INDEX(TourMode_input!$B$36:$J$49,MATCH(TourMode!$A53,modes,0),MATCH("sch",modePurpose,0))</f>
        <v>205.61553000000001</v>
      </c>
      <c r="F53" s="116">
        <f t="shared" si="45"/>
        <v>719.59517000000005</v>
      </c>
      <c r="G53" s="115"/>
      <c r="H53" s="107" t="s">
        <v>397</v>
      </c>
      <c r="I53" s="113">
        <f>INDEX(TourMode_input!$L$4:$T$17,MATCH(TourMode!$A53,modes,0),MATCH("sch",modePurpose,0))*Index!$B$2</f>
        <v>0</v>
      </c>
      <c r="J53" s="113">
        <f>INDEX(TourMode_input!$L$20:$T$33,MATCH(TourMode!$A53,modes,0), MATCH("sch",modePurpose,0))*Index!$B$2</f>
        <v>115</v>
      </c>
      <c r="K53" s="113">
        <f>INDEX(TourMode_input!$L$36:$T$49,MATCH(TourMode!$A53,modes,0), MATCH("sch",modePurpose,0))*Index!$B$2</f>
        <v>70</v>
      </c>
      <c r="L53" s="116">
        <f t="shared" si="46"/>
        <v>185</v>
      </c>
      <c r="N53" s="107" t="s">
        <v>397</v>
      </c>
      <c r="O53" s="117">
        <f t="shared" si="47"/>
        <v>0</v>
      </c>
      <c r="P53" s="117">
        <f t="shared" si="48"/>
        <v>1.7780368030303989E-3</v>
      </c>
      <c r="Q53" s="117">
        <f t="shared" si="49"/>
        <v>1.9518590178106688E-4</v>
      </c>
      <c r="R53" s="118">
        <f t="shared" si="50"/>
        <v>5.0722071899886832E-4</v>
      </c>
      <c r="S53" s="115"/>
      <c r="T53" s="107" t="s">
        <v>397</v>
      </c>
      <c r="U53" s="117">
        <f t="shared" si="51"/>
        <v>0</v>
      </c>
      <c r="V53" s="117">
        <f t="shared" si="52"/>
        <v>2.2879880626709774E-4</v>
      </c>
      <c r="W53" s="117">
        <f t="shared" si="53"/>
        <v>6.8422518828410982E-5</v>
      </c>
      <c r="X53" s="118">
        <f t="shared" si="54"/>
        <v>1.1449188809500969E-4</v>
      </c>
      <c r="Z53" s="107" t="s">
        <v>397</v>
      </c>
      <c r="AA53" s="113">
        <f t="shared" si="55"/>
        <v>0</v>
      </c>
      <c r="AB53" s="113">
        <f t="shared" si="39"/>
        <v>-398.97964000000002</v>
      </c>
      <c r="AC53" s="113">
        <f t="shared" si="40"/>
        <v>-135.61553000000001</v>
      </c>
      <c r="AD53" s="116">
        <f t="shared" si="41"/>
        <v>-534.59517000000005</v>
      </c>
      <c r="AE53" s="115"/>
      <c r="AF53" s="107" t="s">
        <v>397</v>
      </c>
      <c r="AG53" s="117">
        <f t="shared" si="56"/>
        <v>0</v>
      </c>
      <c r="AH53" s="117">
        <f t="shared" si="42"/>
        <v>-0.77625572872886561</v>
      </c>
      <c r="AI53" s="117">
        <f t="shared" si="43"/>
        <v>-0.65955878916344501</v>
      </c>
      <c r="AJ53" s="118">
        <f t="shared" si="44"/>
        <v>-0.74291100369670349</v>
      </c>
    </row>
    <row r="54" spans="1:36" x14ac:dyDescent="0.25">
      <c r="A54">
        <v>13</v>
      </c>
      <c r="B54" s="107" t="s">
        <v>398</v>
      </c>
      <c r="C54" s="113">
        <f>INDEX(TourMode_input!$B$4:$J$172,MATCH(TourMode!$A54,modes,0),MATCH("sch",modePurpose,0))</f>
        <v>0</v>
      </c>
      <c r="D54" s="113">
        <f>INDEX(TourMode_input!$B$20:$J$33,MATCH(TourMode!$A54,modes,0),MATCH("sch",modePurpose,0))</f>
        <v>229.45972</v>
      </c>
      <c r="E54" s="113">
        <f>INDEX(TourMode_input!$B$36:$J$49,MATCH(TourMode!$A54,modes,0),MATCH("sch",modePurpose,0))</f>
        <v>270.39208000000002</v>
      </c>
      <c r="F54" s="116">
        <f t="shared" si="45"/>
        <v>499.85180000000003</v>
      </c>
      <c r="G54" s="115"/>
      <c r="H54" s="107" t="s">
        <v>398</v>
      </c>
      <c r="I54" s="113">
        <f>INDEX(TourMode_input!$L$4:$T$17,MATCH(TourMode!$A54,modes,0),MATCH("sch",modePurpose,0))*Index!$B$2</f>
        <v>395</v>
      </c>
      <c r="J54" s="113">
        <f>INDEX(TourMode_input!$L$20:$T$33,MATCH(TourMode!$A54,modes,0), MATCH("sch",modePurpose,0))*Index!$B$2</f>
        <v>400</v>
      </c>
      <c r="K54" s="113">
        <f>INDEX(TourMode_input!$L$36:$T$49,MATCH(TourMode!$A54,modes,0), MATCH("sch",modePurpose,0))*Index!$B$2</f>
        <v>325</v>
      </c>
      <c r="L54" s="116">
        <f t="shared" si="46"/>
        <v>1120</v>
      </c>
      <c r="N54" s="107" t="s">
        <v>398</v>
      </c>
      <c r="O54" s="117">
        <f t="shared" si="47"/>
        <v>0</v>
      </c>
      <c r="P54" s="117">
        <f t="shared" si="48"/>
        <v>7.9378207855285957E-4</v>
      </c>
      <c r="Q54" s="117">
        <f t="shared" si="49"/>
        <v>2.5667673044569336E-4</v>
      </c>
      <c r="R54" s="118">
        <f t="shared" si="50"/>
        <v>3.5233031009488085E-4</v>
      </c>
      <c r="S54" s="115"/>
      <c r="T54" s="107" t="s">
        <v>398</v>
      </c>
      <c r="U54" s="117">
        <f t="shared" si="51"/>
        <v>4.3813432421939994E-3</v>
      </c>
      <c r="V54" s="117">
        <f t="shared" si="52"/>
        <v>7.9582193484207912E-4</v>
      </c>
      <c r="W54" s="117">
        <f t="shared" si="53"/>
        <v>3.1767598027476529E-4</v>
      </c>
      <c r="X54" s="118">
        <f t="shared" si="54"/>
        <v>6.9314007927789661E-4</v>
      </c>
      <c r="Z54" s="107" t="s">
        <v>398</v>
      </c>
      <c r="AA54" s="113">
        <f t="shared" si="55"/>
        <v>395</v>
      </c>
      <c r="AB54" s="113">
        <f t="shared" si="39"/>
        <v>170.54028</v>
      </c>
      <c r="AC54" s="113">
        <f t="shared" si="40"/>
        <v>54.607919999999979</v>
      </c>
      <c r="AD54" s="116">
        <f t="shared" si="41"/>
        <v>620.14819999999997</v>
      </c>
      <c r="AE54" s="115"/>
      <c r="AF54" s="107" t="s">
        <v>398</v>
      </c>
      <c r="AG54" s="117">
        <f t="shared" si="56"/>
        <v>0</v>
      </c>
      <c r="AH54" s="117">
        <f t="shared" si="42"/>
        <v>0.74322534691491815</v>
      </c>
      <c r="AI54" s="117">
        <f t="shared" si="43"/>
        <v>0.20195828221004097</v>
      </c>
      <c r="AJ54" s="118">
        <f t="shared" si="44"/>
        <v>1.2406641328489763</v>
      </c>
    </row>
    <row r="55" spans="1:36" x14ac:dyDescent="0.25">
      <c r="A55">
        <v>14</v>
      </c>
      <c r="B55" s="107" t="s">
        <v>399</v>
      </c>
      <c r="C55" s="113">
        <f>INDEX(TourMode_input!$B$4:$J$172,MATCH(TourMode!$A55,modes,0),MATCH("sch",modePurpose,0))</f>
        <v>8054.97552</v>
      </c>
      <c r="D55" s="113">
        <f>INDEX(TourMode_input!$B$20:$J$33,MATCH(TourMode!$A55,modes,0),MATCH("sch",modePurpose,0))</f>
        <v>102397.38869000001</v>
      </c>
      <c r="E55" s="113">
        <f>INDEX(TourMode_input!$B$36:$J$49,MATCH(TourMode!$A55,modes,0),MATCH("sch",modePurpose,0))</f>
        <v>393627.35983999999</v>
      </c>
      <c r="F55" s="116">
        <f t="shared" si="45"/>
        <v>504079.72404999996</v>
      </c>
      <c r="G55" s="115"/>
      <c r="H55" s="107" t="s">
        <v>399</v>
      </c>
      <c r="I55" s="113">
        <f>INDEX(TourMode_input!$L$4:$T$17,MATCH(TourMode!$A55,modes,0),MATCH("sch",modePurpose,0))*Index!$B$2</f>
        <v>12225</v>
      </c>
      <c r="J55" s="113">
        <f>INDEX(TourMode_input!$L$20:$T$33,MATCH(TourMode!$A55,modes,0), MATCH("sch",modePurpose,0))*Index!$B$2</f>
        <v>185625</v>
      </c>
      <c r="K55" s="113">
        <f>INDEX(TourMode_input!$L$36:$T$49,MATCH(TourMode!$A55,modes,0), MATCH("sch",modePurpose,0))*Index!$B$2</f>
        <v>392425</v>
      </c>
      <c r="L55" s="116">
        <f t="shared" si="46"/>
        <v>590275</v>
      </c>
      <c r="N55" s="107" t="s">
        <v>399</v>
      </c>
      <c r="O55" s="117">
        <f t="shared" si="47"/>
        <v>0.10571322548193711</v>
      </c>
      <c r="P55" s="117">
        <f t="shared" si="48"/>
        <v>0.35422867260856622</v>
      </c>
      <c r="Q55" s="117">
        <f t="shared" si="49"/>
        <v>0.37366103229688391</v>
      </c>
      <c r="R55" s="118">
        <f t="shared" si="50"/>
        <v>0.35531044499005193</v>
      </c>
      <c r="S55" s="115"/>
      <c r="T55" s="107" t="s">
        <v>399</v>
      </c>
      <c r="U55" s="117">
        <f t="shared" si="51"/>
        <v>0.13559980034385224</v>
      </c>
      <c r="V55" s="117">
        <f t="shared" si="52"/>
        <v>0.36931111663765231</v>
      </c>
      <c r="W55" s="117">
        <f t="shared" si="53"/>
        <v>0.38358152787484545</v>
      </c>
      <c r="X55" s="118">
        <f t="shared" si="54"/>
        <v>0.36530648240692892</v>
      </c>
      <c r="Z55" s="107" t="s">
        <v>399</v>
      </c>
      <c r="AA55" s="113">
        <f t="shared" si="55"/>
        <v>4170.02448</v>
      </c>
      <c r="AB55" s="113">
        <f t="shared" si="39"/>
        <v>83227.611309999993</v>
      </c>
      <c r="AC55" s="113">
        <f t="shared" si="40"/>
        <v>-1202.3598399999901</v>
      </c>
      <c r="AD55" s="116">
        <f t="shared" si="41"/>
        <v>86195.275950000039</v>
      </c>
      <c r="AE55" s="115"/>
      <c r="AF55" s="107" t="s">
        <v>399</v>
      </c>
      <c r="AG55" s="117">
        <f t="shared" si="56"/>
        <v>0.51769548767045792</v>
      </c>
      <c r="AH55" s="117">
        <f t="shared" si="42"/>
        <v>0.81279036872673582</v>
      </c>
      <c r="AI55" s="117">
        <f t="shared" si="43"/>
        <v>-3.0545636880747323E-3</v>
      </c>
      <c r="AJ55" s="118">
        <f t="shared" si="44"/>
        <v>0.17099532442501156</v>
      </c>
    </row>
    <row r="56" spans="1:36" ht="15.75" thickBot="1" x14ac:dyDescent="0.3">
      <c r="B56" s="108" t="s">
        <v>29</v>
      </c>
      <c r="C56" s="109">
        <f>SUM(C42:C55)</f>
        <v>76196.478570000007</v>
      </c>
      <c r="D56" s="110">
        <f>SUM(D42:D55)</f>
        <v>289071.42930000002</v>
      </c>
      <c r="E56" s="111">
        <f>SUM(E42:E55)</f>
        <v>1053434.3317</v>
      </c>
      <c r="F56" s="112">
        <f>SUM(F42:F55)</f>
        <v>1418702.23957</v>
      </c>
      <c r="H56" s="108" t="s">
        <v>29</v>
      </c>
      <c r="I56" s="109">
        <f>SUM(I42:I55)</f>
        <v>90155</v>
      </c>
      <c r="J56" s="110">
        <f>SUM(J42:J55)</f>
        <v>502625</v>
      </c>
      <c r="K56" s="111">
        <f>SUM(K42:K55)</f>
        <v>1023055</v>
      </c>
      <c r="L56" s="112">
        <f>SUM(L42:L55)</f>
        <v>1615835</v>
      </c>
      <c r="N56" s="108" t="s">
        <v>29</v>
      </c>
      <c r="O56" s="120">
        <f>C56/C$56</f>
        <v>1</v>
      </c>
      <c r="P56" s="121">
        <f t="shared" si="48"/>
        <v>1</v>
      </c>
      <c r="Q56" s="122">
        <f t="shared" si="49"/>
        <v>1</v>
      </c>
      <c r="R56" s="123">
        <f t="shared" si="50"/>
        <v>1</v>
      </c>
      <c r="T56" s="108" t="s">
        <v>29</v>
      </c>
      <c r="U56" s="120">
        <f t="shared" si="51"/>
        <v>1</v>
      </c>
      <c r="V56" s="121">
        <f t="shared" si="52"/>
        <v>1</v>
      </c>
      <c r="W56" s="122">
        <f t="shared" si="53"/>
        <v>1</v>
      </c>
      <c r="X56" s="123">
        <f t="shared" si="54"/>
        <v>1</v>
      </c>
      <c r="Z56" s="108" t="s">
        <v>29</v>
      </c>
      <c r="AA56" s="109">
        <f t="shared" si="55"/>
        <v>13958.521429999993</v>
      </c>
      <c r="AB56" s="110">
        <f t="shared" si="39"/>
        <v>213553.57069999998</v>
      </c>
      <c r="AC56" s="111">
        <f t="shared" si="40"/>
        <v>-30379.331699999981</v>
      </c>
      <c r="AD56" s="112">
        <f t="shared" si="41"/>
        <v>197132.76043000002</v>
      </c>
      <c r="AF56" s="108" t="s">
        <v>29</v>
      </c>
      <c r="AG56" s="117">
        <f t="shared" si="56"/>
        <v>0.18319116174347364</v>
      </c>
      <c r="AH56" s="117">
        <f t="shared" si="42"/>
        <v>0.73875709964533653</v>
      </c>
      <c r="AI56" s="117">
        <f t="shared" si="43"/>
        <v>-2.8838372536211868E-2</v>
      </c>
      <c r="AJ56" s="118">
        <f t="shared" si="44"/>
        <v>0.13895287885761692</v>
      </c>
    </row>
    <row r="57" spans="1:36" ht="26.25" x14ac:dyDescent="0.4">
      <c r="A57" s="150" t="s">
        <v>525</v>
      </c>
    </row>
    <row r="58" spans="1:36" ht="26.25" x14ac:dyDescent="0.25">
      <c r="B58" s="102" t="s">
        <v>134</v>
      </c>
      <c r="C58" s="103" t="s">
        <v>135</v>
      </c>
      <c r="D58" s="104" t="s">
        <v>136</v>
      </c>
      <c r="E58" s="105" t="s">
        <v>137</v>
      </c>
      <c r="F58" s="106" t="s">
        <v>29</v>
      </c>
      <c r="H58" s="102" t="s">
        <v>134</v>
      </c>
      <c r="I58" s="103" t="s">
        <v>135</v>
      </c>
      <c r="J58" s="104" t="s">
        <v>136</v>
      </c>
      <c r="K58" s="105" t="s">
        <v>137</v>
      </c>
      <c r="L58" s="106" t="s">
        <v>29</v>
      </c>
      <c r="N58" s="102" t="s">
        <v>134</v>
      </c>
      <c r="O58" s="103" t="s">
        <v>135</v>
      </c>
      <c r="P58" s="104" t="s">
        <v>136</v>
      </c>
      <c r="Q58" s="105" t="s">
        <v>137</v>
      </c>
      <c r="R58" s="106" t="s">
        <v>29</v>
      </c>
      <c r="T58" s="102" t="s">
        <v>134</v>
      </c>
      <c r="U58" s="103" t="s">
        <v>135</v>
      </c>
      <c r="V58" s="104" t="s">
        <v>136</v>
      </c>
      <c r="W58" s="105" t="s">
        <v>137</v>
      </c>
      <c r="X58" s="106" t="s">
        <v>29</v>
      </c>
      <c r="Z58" s="102" t="s">
        <v>134</v>
      </c>
      <c r="AA58" s="103" t="s">
        <v>135</v>
      </c>
      <c r="AB58" s="104" t="s">
        <v>136</v>
      </c>
      <c r="AC58" s="105" t="s">
        <v>137</v>
      </c>
      <c r="AD58" s="106" t="s">
        <v>29</v>
      </c>
      <c r="AF58" s="102" t="s">
        <v>134</v>
      </c>
      <c r="AG58" s="103" t="s">
        <v>135</v>
      </c>
      <c r="AH58" s="104" t="s">
        <v>136</v>
      </c>
      <c r="AI58" s="105" t="s">
        <v>137</v>
      </c>
      <c r="AJ58" s="106" t="s">
        <v>29</v>
      </c>
    </row>
    <row r="59" spans="1:36" x14ac:dyDescent="0.25">
      <c r="A59">
        <v>1</v>
      </c>
      <c r="B59" s="107" t="s">
        <v>386</v>
      </c>
      <c r="C59" s="113">
        <f>INDEX(TourMode_input!$B$4:$J$172,MATCH(TourMode!$A59,modes,0),MATCH("esc",modePurpose,0))</f>
        <v>0</v>
      </c>
      <c r="D59" s="113">
        <f>INDEX(TourMode_input!$B$20:$J$33,MATCH(TourMode!$A59,modes,0),MATCH("esc",modePurpose,0))</f>
        <v>0</v>
      </c>
      <c r="E59" s="113">
        <f>INDEX(TourMode_input!$B$36:$J$49,MATCH(TourMode!$A59,modes,0),MATCH("esc",modePurpose,0))</f>
        <v>0</v>
      </c>
      <c r="F59" s="114">
        <f>SUM(C59:E59)</f>
        <v>0</v>
      </c>
      <c r="G59" s="115"/>
      <c r="H59" s="107" t="s">
        <v>386</v>
      </c>
      <c r="I59" s="113">
        <f>INDEX(TourMode_input!$L$4:$T$17,MATCH(TourMode!$A59,modes,0),MATCH("esc",modePurpose,0))*Index!$B$2</f>
        <v>0</v>
      </c>
      <c r="J59" s="113">
        <f>INDEX(TourMode_input!$L$20:$T$33,MATCH(TourMode!$A59,modes,0), MATCH("esc",modePurpose,0))*Index!$B$2</f>
        <v>0</v>
      </c>
      <c r="K59" s="113">
        <f>INDEX(TourMode_input!$L$36:$T$49,MATCH(TourMode!$A59,modes,0), MATCH("esc",modePurpose,0))*Index!$B$2</f>
        <v>0</v>
      </c>
      <c r="L59" s="114">
        <f>SUM(I59:K59)</f>
        <v>0</v>
      </c>
      <c r="N59" s="107" t="s">
        <v>386</v>
      </c>
      <c r="O59" s="117">
        <f>C59/C$56</f>
        <v>0</v>
      </c>
      <c r="P59" s="117">
        <f t="shared" ref="P59:P73" si="57">D59/D$56</f>
        <v>0</v>
      </c>
      <c r="Q59" s="117">
        <f t="shared" ref="Q59:Q73" si="58">E59/E$56</f>
        <v>0</v>
      </c>
      <c r="R59" s="118">
        <f t="shared" ref="R59:R73" si="59">F59/F$56</f>
        <v>0</v>
      </c>
      <c r="S59" s="115"/>
      <c r="T59" s="107" t="s">
        <v>386</v>
      </c>
      <c r="U59" s="117">
        <f>I59/I$56</f>
        <v>0</v>
      </c>
      <c r="V59" s="117">
        <f t="shared" ref="V59:V73" si="60">J59/J$56</f>
        <v>0</v>
      </c>
      <c r="W59" s="117">
        <f t="shared" ref="W59:W73" si="61">K59/K$56</f>
        <v>0</v>
      </c>
      <c r="X59" s="118">
        <f t="shared" ref="X59:X73" si="62">L59/L$56</f>
        <v>0</v>
      </c>
      <c r="Z59" s="107" t="s">
        <v>386</v>
      </c>
      <c r="AA59" s="113">
        <f>I59-C59</f>
        <v>0</v>
      </c>
      <c r="AB59" s="113">
        <f t="shared" ref="AB59:AB73" si="63">J59-D59</f>
        <v>0</v>
      </c>
      <c r="AC59" s="113">
        <f t="shared" ref="AC59:AC73" si="64">K59-E59</f>
        <v>0</v>
      </c>
      <c r="AD59" s="114">
        <f t="shared" ref="AD59:AD73" si="65">L59-F59</f>
        <v>0</v>
      </c>
      <c r="AE59" s="115"/>
      <c r="AF59" s="107" t="s">
        <v>386</v>
      </c>
      <c r="AG59" s="117">
        <f>IF(C59=0, 0,AA59/C59)</f>
        <v>0</v>
      </c>
      <c r="AH59" s="117">
        <f t="shared" ref="AH59:AH73" si="66">IF(D59=0, 0,AB59/D59)</f>
        <v>0</v>
      </c>
      <c r="AI59" s="117">
        <f t="shared" ref="AI59:AI73" si="67">IF(E59=0, 0,AC59/E59)</f>
        <v>0</v>
      </c>
      <c r="AJ59" s="118">
        <f t="shared" ref="AJ59:AJ73" si="68">IF(F59=0, 0,AD59/F59)</f>
        <v>0</v>
      </c>
    </row>
    <row r="60" spans="1:36" x14ac:dyDescent="0.25">
      <c r="A60">
        <v>2</v>
      </c>
      <c r="B60" s="107" t="s">
        <v>387</v>
      </c>
      <c r="C60" s="113">
        <f>INDEX(TourMode_input!$B$4:$J$172,MATCH(TourMode!$A60,modes,0),MATCH("esc",modePurpose,0))</f>
        <v>0</v>
      </c>
      <c r="D60" s="113">
        <f>INDEX(TourMode_input!$B$20:$J$33,MATCH(TourMode!$A60,modes,0),MATCH("esc",modePurpose,0))</f>
        <v>0</v>
      </c>
      <c r="E60" s="113">
        <f>INDEX(TourMode_input!$B$36:$J$49,MATCH(TourMode!$A60,modes,0),MATCH("esc",modePurpose,0))</f>
        <v>0</v>
      </c>
      <c r="F60" s="116">
        <f t="shared" ref="F60:F72" si="69">SUM(C60:E60)</f>
        <v>0</v>
      </c>
      <c r="G60" s="115"/>
      <c r="H60" s="107" t="s">
        <v>387</v>
      </c>
      <c r="I60" s="113">
        <f>INDEX(TourMode_input!$L$4:$T$17,MATCH(TourMode!$A60,modes,0),MATCH("esc",modePurpose,0))*Index!$B$2</f>
        <v>0</v>
      </c>
      <c r="J60" s="113">
        <f>INDEX(TourMode_input!$L$20:$T$33,MATCH(TourMode!$A60,modes,0), MATCH("esc",modePurpose,0))*Index!$B$2</f>
        <v>0</v>
      </c>
      <c r="K60" s="113">
        <f>INDEX(TourMode_input!$L$36:$T$49,MATCH(TourMode!$A60,modes,0), MATCH("esc",modePurpose,0))*Index!$B$2</f>
        <v>0</v>
      </c>
      <c r="L60" s="116">
        <f t="shared" ref="L60:L72" si="70">SUM(I60:K60)</f>
        <v>0</v>
      </c>
      <c r="N60" s="107" t="s">
        <v>387</v>
      </c>
      <c r="O60" s="117">
        <f t="shared" ref="O60:O72" si="71">C60/C$56</f>
        <v>0</v>
      </c>
      <c r="P60" s="117">
        <f t="shared" si="57"/>
        <v>0</v>
      </c>
      <c r="Q60" s="117">
        <f t="shared" si="58"/>
        <v>0</v>
      </c>
      <c r="R60" s="118">
        <f t="shared" si="59"/>
        <v>0</v>
      </c>
      <c r="S60" s="115"/>
      <c r="T60" s="107" t="s">
        <v>387</v>
      </c>
      <c r="U60" s="117">
        <f t="shared" ref="U60:U73" si="72">I60/I$56</f>
        <v>0</v>
      </c>
      <c r="V60" s="117">
        <f t="shared" si="60"/>
        <v>0</v>
      </c>
      <c r="W60" s="117">
        <f t="shared" si="61"/>
        <v>0</v>
      </c>
      <c r="X60" s="118">
        <f t="shared" si="62"/>
        <v>0</v>
      </c>
      <c r="Z60" s="107" t="s">
        <v>387</v>
      </c>
      <c r="AA60" s="113">
        <f t="shared" ref="AA60:AA73" si="73">I60-C60</f>
        <v>0</v>
      </c>
      <c r="AB60" s="113">
        <f t="shared" si="63"/>
        <v>0</v>
      </c>
      <c r="AC60" s="113">
        <f t="shared" si="64"/>
        <v>0</v>
      </c>
      <c r="AD60" s="116">
        <f t="shared" si="65"/>
        <v>0</v>
      </c>
      <c r="AE60" s="115"/>
      <c r="AF60" s="107" t="s">
        <v>387</v>
      </c>
      <c r="AG60" s="117">
        <f t="shared" ref="AG60:AG73" si="74">IF(C60=0, 0,AA60/C60)</f>
        <v>0</v>
      </c>
      <c r="AH60" s="117">
        <f t="shared" si="66"/>
        <v>0</v>
      </c>
      <c r="AI60" s="117">
        <f t="shared" si="67"/>
        <v>0</v>
      </c>
      <c r="AJ60" s="118">
        <f t="shared" si="68"/>
        <v>0</v>
      </c>
    </row>
    <row r="61" spans="1:36" x14ac:dyDescent="0.25">
      <c r="A61">
        <v>3</v>
      </c>
      <c r="B61" s="107" t="s">
        <v>388</v>
      </c>
      <c r="C61" s="113">
        <f>INDEX(TourMode_input!$B$4:$J$172,MATCH(TourMode!$A61,modes,0),MATCH("esc",modePurpose,0))</f>
        <v>1726.00279</v>
      </c>
      <c r="D61" s="113">
        <f>INDEX(TourMode_input!$B$20:$J$33,MATCH(TourMode!$A61,modes,0),MATCH("esc",modePurpose,0))</f>
        <v>105019.18552</v>
      </c>
      <c r="E61" s="113">
        <f>INDEX(TourMode_input!$B$36:$J$49,MATCH(TourMode!$A61,modes,0),MATCH("esc",modePurpose,0))</f>
        <v>288294.02471999999</v>
      </c>
      <c r="F61" s="116">
        <f t="shared" si="69"/>
        <v>395039.21302999998</v>
      </c>
      <c r="G61" s="115"/>
      <c r="H61" s="107" t="s">
        <v>388</v>
      </c>
      <c r="I61" s="113">
        <f>INDEX(TourMode_input!$L$4:$T$17,MATCH(TourMode!$A61,modes,0),MATCH("esc",modePurpose,0))*Index!$B$2</f>
        <v>12245</v>
      </c>
      <c r="J61" s="113">
        <f>INDEX(TourMode_input!$L$20:$T$33,MATCH(TourMode!$A61,modes,0), MATCH("esc",modePurpose,0))*Index!$B$2</f>
        <v>159250</v>
      </c>
      <c r="K61" s="113">
        <f>INDEX(TourMode_input!$L$36:$T$49,MATCH(TourMode!$A61,modes,0), MATCH("esc",modePurpose,0))*Index!$B$2</f>
        <v>311215</v>
      </c>
      <c r="L61" s="116">
        <f t="shared" si="70"/>
        <v>482710</v>
      </c>
      <c r="N61" s="107" t="s">
        <v>388</v>
      </c>
      <c r="O61" s="117">
        <f t="shared" si="71"/>
        <v>2.2652002066136951E-2</v>
      </c>
      <c r="P61" s="117">
        <f t="shared" si="57"/>
        <v>0.36329839228424915</v>
      </c>
      <c r="Q61" s="117">
        <f t="shared" si="58"/>
        <v>0.27367061813407956</v>
      </c>
      <c r="R61" s="118">
        <f t="shared" si="59"/>
        <v>0.27845110976192861</v>
      </c>
      <c r="S61" s="115"/>
      <c r="T61" s="107" t="s">
        <v>388</v>
      </c>
      <c r="U61" s="117">
        <f t="shared" si="72"/>
        <v>0.13582164050801399</v>
      </c>
      <c r="V61" s="117">
        <f t="shared" si="60"/>
        <v>0.31683660780900275</v>
      </c>
      <c r="W61" s="117">
        <f t="shared" si="61"/>
        <v>0.30420163138834178</v>
      </c>
      <c r="X61" s="118">
        <f t="shared" si="62"/>
        <v>0.2987371854180656</v>
      </c>
      <c r="Z61" s="107" t="s">
        <v>388</v>
      </c>
      <c r="AA61" s="113">
        <f t="shared" si="73"/>
        <v>10518.99721</v>
      </c>
      <c r="AB61" s="113">
        <f t="shared" si="63"/>
        <v>54230.814480000001</v>
      </c>
      <c r="AC61" s="113">
        <f t="shared" si="64"/>
        <v>22920.975280000013</v>
      </c>
      <c r="AD61" s="116">
        <f t="shared" si="65"/>
        <v>87670.786970000016</v>
      </c>
      <c r="AE61" s="115"/>
      <c r="AF61" s="107" t="s">
        <v>388</v>
      </c>
      <c r="AG61" s="117">
        <f t="shared" si="74"/>
        <v>6.0944265391367063</v>
      </c>
      <c r="AH61" s="117">
        <f t="shared" si="66"/>
        <v>0.5163895931155571</v>
      </c>
      <c r="AI61" s="117">
        <f t="shared" si="67"/>
        <v>7.9505550981368994E-2</v>
      </c>
      <c r="AJ61" s="118">
        <f t="shared" si="68"/>
        <v>0.22192932771801097</v>
      </c>
    </row>
    <row r="62" spans="1:36" x14ac:dyDescent="0.25">
      <c r="A62">
        <v>4</v>
      </c>
      <c r="B62" s="107" t="s">
        <v>389</v>
      </c>
      <c r="C62" s="113">
        <f>INDEX(TourMode_input!$B$4:$J$172,MATCH(TourMode!$A62,modes,0),MATCH("esc",modePurpose,0))</f>
        <v>0</v>
      </c>
      <c r="D62" s="113">
        <f>INDEX(TourMode_input!$B$20:$J$33,MATCH(TourMode!$A62,modes,0),MATCH("esc",modePurpose,0))</f>
        <v>0</v>
      </c>
      <c r="E62" s="113">
        <f>INDEX(TourMode_input!$B$36:$J$49,MATCH(TourMode!$A62,modes,0),MATCH("esc",modePurpose,0))</f>
        <v>298.98732000000001</v>
      </c>
      <c r="F62" s="116">
        <f t="shared" si="69"/>
        <v>298.98732000000001</v>
      </c>
      <c r="G62" s="115"/>
      <c r="H62" s="107" t="s">
        <v>389</v>
      </c>
      <c r="I62" s="113">
        <f>INDEX(TourMode_input!$L$4:$T$17,MATCH(TourMode!$A62,modes,0),MATCH("esc",modePurpose,0))*Index!$B$2</f>
        <v>180</v>
      </c>
      <c r="J62" s="113">
        <f>INDEX(TourMode_input!$L$20:$T$33,MATCH(TourMode!$A62,modes,0), MATCH("esc",modePurpose,0))*Index!$B$2</f>
        <v>4005</v>
      </c>
      <c r="K62" s="113">
        <f>INDEX(TourMode_input!$L$36:$T$49,MATCH(TourMode!$A62,modes,0), MATCH("esc",modePurpose,0))*Index!$B$2</f>
        <v>7520</v>
      </c>
      <c r="L62" s="116">
        <f t="shared" si="70"/>
        <v>11705</v>
      </c>
      <c r="N62" s="107" t="s">
        <v>389</v>
      </c>
      <c r="O62" s="117">
        <f t="shared" si="71"/>
        <v>0</v>
      </c>
      <c r="P62" s="117">
        <f t="shared" si="57"/>
        <v>0</v>
      </c>
      <c r="Q62" s="117">
        <f t="shared" si="58"/>
        <v>2.8382150742847296E-4</v>
      </c>
      <c r="R62" s="118">
        <f t="shared" si="59"/>
        <v>2.1074705576740418E-4</v>
      </c>
      <c r="S62" s="115"/>
      <c r="T62" s="107" t="s">
        <v>389</v>
      </c>
      <c r="U62" s="117">
        <f t="shared" si="72"/>
        <v>1.9965614774554931E-3</v>
      </c>
      <c r="V62" s="117">
        <f t="shared" si="60"/>
        <v>7.9681671226063174E-3</v>
      </c>
      <c r="W62" s="117">
        <f t="shared" si="61"/>
        <v>7.3505334512807231E-3</v>
      </c>
      <c r="X62" s="118">
        <f t="shared" si="62"/>
        <v>7.2439327035248033E-3</v>
      </c>
      <c r="Z62" s="107" t="s">
        <v>389</v>
      </c>
      <c r="AA62" s="113">
        <f t="shared" si="73"/>
        <v>180</v>
      </c>
      <c r="AB62" s="113">
        <f t="shared" si="63"/>
        <v>4005</v>
      </c>
      <c r="AC62" s="113">
        <f t="shared" si="64"/>
        <v>7221.0126799999998</v>
      </c>
      <c r="AD62" s="116">
        <f t="shared" si="65"/>
        <v>11406.01268</v>
      </c>
      <c r="AE62" s="115"/>
      <c r="AF62" s="107" t="s">
        <v>389</v>
      </c>
      <c r="AG62" s="117">
        <f t="shared" si="74"/>
        <v>0</v>
      </c>
      <c r="AH62" s="117">
        <f t="shared" si="66"/>
        <v>0</v>
      </c>
      <c r="AI62" s="117">
        <f t="shared" si="67"/>
        <v>24.151568300622245</v>
      </c>
      <c r="AJ62" s="118">
        <f t="shared" si="68"/>
        <v>38.14881741473183</v>
      </c>
    </row>
    <row r="63" spans="1:36" x14ac:dyDescent="0.25">
      <c r="A63">
        <v>5</v>
      </c>
      <c r="B63" s="107" t="s">
        <v>390</v>
      </c>
      <c r="C63" s="113">
        <f>INDEX(TourMode_input!$B$4:$J$172,MATCH(TourMode!$A63,modes,0),MATCH("esc",modePurpose,0))</f>
        <v>0</v>
      </c>
      <c r="D63" s="113">
        <f>INDEX(TourMode_input!$B$20:$J$33,MATCH(TourMode!$A63,modes,0),MATCH("esc",modePurpose,0))</f>
        <v>121630.00469</v>
      </c>
      <c r="E63" s="113">
        <f>INDEX(TourMode_input!$B$36:$J$49,MATCH(TourMode!$A63,modes,0),MATCH("esc",modePurpose,0))</f>
        <v>360466.06368000002</v>
      </c>
      <c r="F63" s="116">
        <f t="shared" si="69"/>
        <v>482096.06836999999</v>
      </c>
      <c r="G63" s="115"/>
      <c r="H63" s="107" t="s">
        <v>390</v>
      </c>
      <c r="I63" s="113">
        <f>INDEX(TourMode_input!$L$4:$T$17,MATCH(TourMode!$A63,modes,0),MATCH("esc",modePurpose,0))*Index!$B$2</f>
        <v>0</v>
      </c>
      <c r="J63" s="113">
        <f>INDEX(TourMode_input!$L$20:$T$33,MATCH(TourMode!$A63,modes,0), MATCH("esc",modePurpose,0))*Index!$B$2</f>
        <v>191145</v>
      </c>
      <c r="K63" s="113">
        <f>INDEX(TourMode_input!$L$36:$T$49,MATCH(TourMode!$A63,modes,0), MATCH("esc",modePurpose,0))*Index!$B$2</f>
        <v>387215</v>
      </c>
      <c r="L63" s="116">
        <f t="shared" si="70"/>
        <v>578360</v>
      </c>
      <c r="N63" s="107" t="s">
        <v>390</v>
      </c>
      <c r="O63" s="117">
        <f t="shared" si="71"/>
        <v>0</v>
      </c>
      <c r="P63" s="117">
        <f t="shared" si="57"/>
        <v>0.42076107273739488</v>
      </c>
      <c r="Q63" s="117">
        <f t="shared" si="58"/>
        <v>0.34218180747753962</v>
      </c>
      <c r="R63" s="118">
        <f t="shared" si="59"/>
        <v>0.3398148356459354</v>
      </c>
      <c r="S63" s="115"/>
      <c r="T63" s="107" t="s">
        <v>390</v>
      </c>
      <c r="U63" s="117">
        <f t="shared" si="72"/>
        <v>0</v>
      </c>
      <c r="V63" s="117">
        <f t="shared" si="60"/>
        <v>0.38029345933847303</v>
      </c>
      <c r="W63" s="117">
        <f t="shared" si="61"/>
        <v>0.37848893754490226</v>
      </c>
      <c r="X63" s="118">
        <f t="shared" si="62"/>
        <v>0.35793258593853949</v>
      </c>
      <c r="Z63" s="107" t="s">
        <v>390</v>
      </c>
      <c r="AA63" s="113">
        <f t="shared" si="73"/>
        <v>0</v>
      </c>
      <c r="AB63" s="113">
        <f t="shared" si="63"/>
        <v>69514.995309999998</v>
      </c>
      <c r="AC63" s="113">
        <f t="shared" si="64"/>
        <v>26748.936319999979</v>
      </c>
      <c r="AD63" s="116">
        <f t="shared" si="65"/>
        <v>96263.931630000006</v>
      </c>
      <c r="AE63" s="115"/>
      <c r="AF63" s="107" t="s">
        <v>390</v>
      </c>
      <c r="AG63" s="117">
        <f t="shared" si="74"/>
        <v>0</v>
      </c>
      <c r="AH63" s="117">
        <f t="shared" si="66"/>
        <v>0.5715283452234815</v>
      </c>
      <c r="AI63" s="117">
        <f t="shared" si="67"/>
        <v>7.4206531530097292E-2</v>
      </c>
      <c r="AJ63" s="118">
        <f t="shared" si="68"/>
        <v>0.19967790228091881</v>
      </c>
    </row>
    <row r="64" spans="1:36" x14ac:dyDescent="0.25">
      <c r="A64">
        <v>6</v>
      </c>
      <c r="B64" s="107" t="s">
        <v>391</v>
      </c>
      <c r="C64" s="113">
        <f>INDEX(TourMode_input!$B$4:$J$172,MATCH(TourMode!$A64,modes,0),MATCH("esc",modePurpose,0))</f>
        <v>0</v>
      </c>
      <c r="D64" s="113">
        <f>INDEX(TourMode_input!$B$20:$J$33,MATCH(TourMode!$A64,modes,0),MATCH("esc",modePurpose,0))</f>
        <v>3083.2808599999998</v>
      </c>
      <c r="E64" s="113">
        <f>INDEX(TourMode_input!$B$36:$J$49,MATCH(TourMode!$A64,modes,0),MATCH("esc",modePurpose,0))</f>
        <v>1465.8073899999999</v>
      </c>
      <c r="F64" s="116">
        <f t="shared" si="69"/>
        <v>4549.0882499999998</v>
      </c>
      <c r="G64" s="115"/>
      <c r="H64" s="107" t="s">
        <v>391</v>
      </c>
      <c r="I64" s="113">
        <f>INDEX(TourMode_input!$L$4:$T$17,MATCH(TourMode!$A64,modes,0),MATCH("esc",modePurpose,0))*Index!$B$2</f>
        <v>0</v>
      </c>
      <c r="J64" s="113">
        <f>INDEX(TourMode_input!$L$20:$T$33,MATCH(TourMode!$A64,modes,0), MATCH("esc",modePurpose,0))*Index!$B$2</f>
        <v>4530</v>
      </c>
      <c r="K64" s="113">
        <f>INDEX(TourMode_input!$L$36:$T$49,MATCH(TourMode!$A64,modes,0), MATCH("esc",modePurpose,0))*Index!$B$2</f>
        <v>10565</v>
      </c>
      <c r="L64" s="116">
        <f t="shared" si="70"/>
        <v>15095</v>
      </c>
      <c r="N64" s="107" t="s">
        <v>391</v>
      </c>
      <c r="O64" s="117">
        <f t="shared" si="71"/>
        <v>0</v>
      </c>
      <c r="P64" s="117">
        <f t="shared" si="57"/>
        <v>1.0666155653868348E-2</v>
      </c>
      <c r="Q64" s="117">
        <f t="shared" si="58"/>
        <v>1.3914558752177034E-3</v>
      </c>
      <c r="R64" s="118">
        <f t="shared" si="59"/>
        <v>3.2065137582208939E-3</v>
      </c>
      <c r="S64" s="115"/>
      <c r="T64" s="107" t="s">
        <v>391</v>
      </c>
      <c r="U64" s="117">
        <f t="shared" si="72"/>
        <v>0</v>
      </c>
      <c r="V64" s="117">
        <f t="shared" si="60"/>
        <v>9.0126834120865459E-3</v>
      </c>
      <c r="W64" s="117">
        <f t="shared" si="61"/>
        <v>1.0326913020316601E-2</v>
      </c>
      <c r="X64" s="118">
        <f t="shared" si="62"/>
        <v>9.3419191934820071E-3</v>
      </c>
      <c r="Z64" s="107" t="s">
        <v>391</v>
      </c>
      <c r="AA64" s="113">
        <f t="shared" si="73"/>
        <v>0</v>
      </c>
      <c r="AB64" s="113">
        <f t="shared" si="63"/>
        <v>1446.7191400000002</v>
      </c>
      <c r="AC64" s="113">
        <f t="shared" si="64"/>
        <v>9099.1926100000001</v>
      </c>
      <c r="AD64" s="116">
        <f t="shared" si="65"/>
        <v>10545.911749999999</v>
      </c>
      <c r="AE64" s="115"/>
      <c r="AF64" s="107" t="s">
        <v>391</v>
      </c>
      <c r="AG64" s="117">
        <f t="shared" si="74"/>
        <v>0</v>
      </c>
      <c r="AH64" s="117">
        <f t="shared" si="66"/>
        <v>0.46921419283224175</v>
      </c>
      <c r="AI64" s="117">
        <f t="shared" si="67"/>
        <v>6.2076318294452042</v>
      </c>
      <c r="AJ64" s="118">
        <f t="shared" si="68"/>
        <v>2.3182473433000559</v>
      </c>
    </row>
    <row r="65" spans="1:36" x14ac:dyDescent="0.25">
      <c r="A65">
        <v>7</v>
      </c>
      <c r="B65" s="107" t="s">
        <v>392</v>
      </c>
      <c r="C65" s="113">
        <f>INDEX(TourMode_input!$B$4:$J$172,MATCH(TourMode!$A65,modes,0),MATCH("esc",modePurpose,0))</f>
        <v>8816.3824700000005</v>
      </c>
      <c r="D65" s="113">
        <f>INDEX(TourMode_input!$B$20:$J$33,MATCH(TourMode!$A65,modes,0),MATCH("esc",modePurpose,0))</f>
        <v>53347.687879999998</v>
      </c>
      <c r="E65" s="113">
        <f>INDEX(TourMode_input!$B$36:$J$49,MATCH(TourMode!$A65,modes,0),MATCH("esc",modePurpose,0))</f>
        <v>59287.99654</v>
      </c>
      <c r="F65" s="116">
        <f t="shared" si="69"/>
        <v>121452.06688999999</v>
      </c>
      <c r="G65" s="115"/>
      <c r="H65" s="107" t="s">
        <v>392</v>
      </c>
      <c r="I65" s="113">
        <f>INDEX(TourMode_input!$L$4:$T$17,MATCH(TourMode!$A65,modes,0),MATCH("esc",modePurpose,0))*Index!$B$2</f>
        <v>71155</v>
      </c>
      <c r="J65" s="113">
        <f>INDEX(TourMode_input!$L$20:$T$33,MATCH(TourMode!$A65,modes,0), MATCH("esc",modePurpose,0))*Index!$B$2</f>
        <v>91665</v>
      </c>
      <c r="K65" s="113">
        <f>INDEX(TourMode_input!$L$36:$T$49,MATCH(TourMode!$A65,modes,0), MATCH("esc",modePurpose,0))*Index!$B$2</f>
        <v>71550</v>
      </c>
      <c r="L65" s="116">
        <f t="shared" si="70"/>
        <v>234370</v>
      </c>
      <c r="N65" s="107" t="s">
        <v>392</v>
      </c>
      <c r="O65" s="117">
        <f t="shared" si="71"/>
        <v>0.11570590446513333</v>
      </c>
      <c r="P65" s="117">
        <f t="shared" si="57"/>
        <v>0.18454846267299371</v>
      </c>
      <c r="Q65" s="117">
        <f t="shared" si="58"/>
        <v>5.6280676218633252E-2</v>
      </c>
      <c r="R65" s="118">
        <f t="shared" si="59"/>
        <v>8.5607862948613778E-2</v>
      </c>
      <c r="S65" s="115"/>
      <c r="T65" s="107" t="s">
        <v>392</v>
      </c>
      <c r="U65" s="117">
        <f t="shared" si="72"/>
        <v>0.78925184404636461</v>
      </c>
      <c r="V65" s="117">
        <f t="shared" si="60"/>
        <v>0.18237254414324794</v>
      </c>
      <c r="W65" s="117">
        <f t="shared" si="61"/>
        <v>6.9937588888182939E-2</v>
      </c>
      <c r="X65" s="118">
        <f t="shared" si="62"/>
        <v>0.1450457503396077</v>
      </c>
      <c r="Z65" s="107" t="s">
        <v>392</v>
      </c>
      <c r="AA65" s="113">
        <f t="shared" si="73"/>
        <v>62338.617530000003</v>
      </c>
      <c r="AB65" s="113">
        <f t="shared" si="63"/>
        <v>38317.312120000002</v>
      </c>
      <c r="AC65" s="113">
        <f t="shared" si="64"/>
        <v>12262.00346</v>
      </c>
      <c r="AD65" s="116">
        <f t="shared" si="65"/>
        <v>112917.93311000001</v>
      </c>
      <c r="AE65" s="115"/>
      <c r="AF65" s="107" t="s">
        <v>392</v>
      </c>
      <c r="AG65" s="117">
        <f t="shared" si="74"/>
        <v>7.07077055040694</v>
      </c>
      <c r="AH65" s="117">
        <f t="shared" si="66"/>
        <v>0.71825628518691864</v>
      </c>
      <c r="AI65" s="117">
        <f t="shared" si="67"/>
        <v>0.20682101227230978</v>
      </c>
      <c r="AJ65" s="118">
        <f t="shared" si="68"/>
        <v>0.92973249448501027</v>
      </c>
    </row>
    <row r="66" spans="1:36" x14ac:dyDescent="0.25">
      <c r="A66">
        <v>8</v>
      </c>
      <c r="B66" s="107" t="s">
        <v>393</v>
      </c>
      <c r="C66" s="113">
        <f>INDEX(TourMode_input!$B$4:$J$172,MATCH(TourMode!$A66,modes,0),MATCH("esc",modePurpose,0))</f>
        <v>493.64591999999999</v>
      </c>
      <c r="D66" s="113">
        <f>INDEX(TourMode_input!$B$20:$J$33,MATCH(TourMode!$A66,modes,0),MATCH("esc",modePurpose,0))</f>
        <v>406.69186999999999</v>
      </c>
      <c r="E66" s="113">
        <f>INDEX(TourMode_input!$B$36:$J$49,MATCH(TourMode!$A66,modes,0),MATCH("esc",modePurpose,0))</f>
        <v>1845.39482</v>
      </c>
      <c r="F66" s="116">
        <f t="shared" si="69"/>
        <v>2745.73261</v>
      </c>
      <c r="G66" s="115"/>
      <c r="H66" s="107" t="s">
        <v>393</v>
      </c>
      <c r="I66" s="113">
        <f>INDEX(TourMode_input!$L$4:$T$17,MATCH(TourMode!$A66,modes,0),MATCH("esc",modePurpose,0))*Index!$B$2</f>
        <v>4705</v>
      </c>
      <c r="J66" s="113">
        <f>INDEX(TourMode_input!$L$20:$T$33,MATCH(TourMode!$A66,modes,0), MATCH("esc",modePurpose,0))*Index!$B$2</f>
        <v>0</v>
      </c>
      <c r="K66" s="113">
        <f>INDEX(TourMode_input!$L$36:$T$49,MATCH(TourMode!$A66,modes,0), MATCH("esc",modePurpose,0))*Index!$B$2</f>
        <v>0</v>
      </c>
      <c r="L66" s="116">
        <f t="shared" si="70"/>
        <v>4705</v>
      </c>
      <c r="N66" s="107" t="s">
        <v>393</v>
      </c>
      <c r="O66" s="117">
        <f t="shared" si="71"/>
        <v>6.478592308521167E-3</v>
      </c>
      <c r="P66" s="117">
        <f t="shared" si="57"/>
        <v>1.4068905771311381E-3</v>
      </c>
      <c r="Q66" s="117">
        <f t="shared" si="58"/>
        <v>1.7517891381249732E-3</v>
      </c>
      <c r="R66" s="118">
        <f t="shared" si="59"/>
        <v>1.9353832914454374E-3</v>
      </c>
      <c r="S66" s="115"/>
      <c r="T66" s="107" t="s">
        <v>393</v>
      </c>
      <c r="U66" s="117">
        <f t="shared" si="72"/>
        <v>5.2187898619044978E-2</v>
      </c>
      <c r="V66" s="117">
        <f t="shared" si="60"/>
        <v>0</v>
      </c>
      <c r="W66" s="117">
        <f t="shared" si="61"/>
        <v>0</v>
      </c>
      <c r="X66" s="118">
        <f t="shared" si="62"/>
        <v>2.9118072080379495E-3</v>
      </c>
      <c r="Z66" s="107" t="s">
        <v>393</v>
      </c>
      <c r="AA66" s="113">
        <f t="shared" si="73"/>
        <v>4211.3540800000001</v>
      </c>
      <c r="AB66" s="113">
        <f t="shared" si="63"/>
        <v>-406.69186999999999</v>
      </c>
      <c r="AC66" s="113">
        <f t="shared" si="64"/>
        <v>-1845.39482</v>
      </c>
      <c r="AD66" s="116">
        <f t="shared" si="65"/>
        <v>1959.26739</v>
      </c>
      <c r="AE66" s="115"/>
      <c r="AF66" s="107" t="s">
        <v>393</v>
      </c>
      <c r="AG66" s="117">
        <f t="shared" si="74"/>
        <v>8.5311230365278821</v>
      </c>
      <c r="AH66" s="117">
        <f t="shared" si="66"/>
        <v>-1</v>
      </c>
      <c r="AI66" s="117">
        <f t="shared" si="67"/>
        <v>-1</v>
      </c>
      <c r="AJ66" s="118">
        <f t="shared" si="68"/>
        <v>0.7135681686061921</v>
      </c>
    </row>
    <row r="67" spans="1:36" x14ac:dyDescent="0.25">
      <c r="A67">
        <v>9</v>
      </c>
      <c r="B67" s="107" t="s">
        <v>394</v>
      </c>
      <c r="C67" s="113"/>
      <c r="D67" s="113"/>
      <c r="E67" s="113"/>
      <c r="F67" s="116">
        <f t="shared" si="69"/>
        <v>0</v>
      </c>
      <c r="G67" s="115"/>
      <c r="H67" s="107" t="s">
        <v>394</v>
      </c>
      <c r="I67" s="113">
        <f>INDEX(TourMode_input!$L$4:$T$17,MATCH(TourMode!$A67,modes,0),MATCH("esc",modePurpose,0))*Index!$B$2</f>
        <v>0</v>
      </c>
      <c r="J67" s="113">
        <f>INDEX(TourMode_input!$L$20:$T$33,MATCH(TourMode!$A67,modes,0), MATCH("esc",modePurpose,0))*Index!$B$2</f>
        <v>0</v>
      </c>
      <c r="K67" s="113">
        <f>INDEX(TourMode_input!$L$36:$T$49,MATCH(TourMode!$A67,modes,0), MATCH("esc",modePurpose,0))*Index!$B$2</f>
        <v>0</v>
      </c>
      <c r="L67" s="116">
        <f t="shared" si="70"/>
        <v>0</v>
      </c>
      <c r="N67" s="107" t="s">
        <v>394</v>
      </c>
      <c r="O67" s="117">
        <f t="shared" si="71"/>
        <v>0</v>
      </c>
      <c r="P67" s="117">
        <f t="shared" si="57"/>
        <v>0</v>
      </c>
      <c r="Q67" s="117">
        <f t="shared" si="58"/>
        <v>0</v>
      </c>
      <c r="R67" s="118">
        <f t="shared" si="59"/>
        <v>0</v>
      </c>
      <c r="S67" s="115"/>
      <c r="T67" s="107" t="s">
        <v>394</v>
      </c>
      <c r="U67" s="117">
        <f t="shared" si="72"/>
        <v>0</v>
      </c>
      <c r="V67" s="117">
        <f t="shared" si="60"/>
        <v>0</v>
      </c>
      <c r="W67" s="117">
        <f t="shared" si="61"/>
        <v>0</v>
      </c>
      <c r="X67" s="118">
        <f t="shared" si="62"/>
        <v>0</v>
      </c>
      <c r="Z67" s="107" t="s">
        <v>394</v>
      </c>
      <c r="AA67" s="113">
        <f t="shared" si="73"/>
        <v>0</v>
      </c>
      <c r="AB67" s="113">
        <f t="shared" si="63"/>
        <v>0</v>
      </c>
      <c r="AC67" s="113">
        <f t="shared" si="64"/>
        <v>0</v>
      </c>
      <c r="AD67" s="116">
        <f t="shared" si="65"/>
        <v>0</v>
      </c>
      <c r="AE67" s="115"/>
      <c r="AF67" s="107" t="s">
        <v>394</v>
      </c>
      <c r="AG67" s="117">
        <f t="shared" si="74"/>
        <v>0</v>
      </c>
      <c r="AH67" s="117">
        <f t="shared" si="66"/>
        <v>0</v>
      </c>
      <c r="AI67" s="117">
        <f t="shared" si="67"/>
        <v>0</v>
      </c>
      <c r="AJ67" s="118">
        <f t="shared" si="68"/>
        <v>0</v>
      </c>
    </row>
    <row r="68" spans="1:36" x14ac:dyDescent="0.25">
      <c r="A68">
        <v>10</v>
      </c>
      <c r="B68" s="107" t="s">
        <v>395</v>
      </c>
      <c r="C68" s="113">
        <f>INDEX(TourMode_input!$B$4:$J$172,MATCH(TourMode!$A68,modes,0),MATCH("esc",modePurpose,0))+INDEX(TourMode_input!$B$4:$J$172,MATCH(TourMode!$A67,modes,0),MATCH("esc",modePurpose,0))</f>
        <v>2580.1473000000001</v>
      </c>
      <c r="D68" s="113">
        <f>INDEX(TourMode_input!$B$20:$J$33,MATCH(TourMode!$A68,modes,0),MATCH("esc",modePurpose,0))+INDEX(TourMode_input!$B$20:$J$33,MATCH(TourMode!$A67,modes,0),MATCH("esc",modePurpose,0))</f>
        <v>2475.8731699999998</v>
      </c>
      <c r="E68" s="113">
        <f>INDEX(TourMode_input!$B$36:$J$49,MATCH(TourMode!$A68,modes,0),MATCH("esc",modePurpose,0))+INDEX(TourMode_input!$B$36:$J$49,MATCH(TourMode!$A67,modes,0),MATCH("esc",modePurpose,0))</f>
        <v>1268.1217200000001</v>
      </c>
      <c r="F68" s="116">
        <f t="shared" si="69"/>
        <v>6324.1421899999996</v>
      </c>
      <c r="G68" s="115"/>
      <c r="H68" s="107" t="s">
        <v>395</v>
      </c>
      <c r="I68" s="113">
        <f>INDEX(TourMode_input!$L$4:$T$17,MATCH(TourMode!$A68,modes,0),MATCH("esc",modePurpose,0))*Index!$B$2</f>
        <v>1330</v>
      </c>
      <c r="J68" s="113">
        <f>INDEX(TourMode_input!$L$20:$T$33,MATCH(TourMode!$A68,modes,0), MATCH("esc",modePurpose,0))*Index!$B$2</f>
        <v>1355</v>
      </c>
      <c r="K68" s="113">
        <f>INDEX(TourMode_input!$L$36:$T$49,MATCH(TourMode!$A68,modes,0), MATCH("esc",modePurpose,0))*Index!$B$2</f>
        <v>825</v>
      </c>
      <c r="L68" s="116">
        <f t="shared" si="70"/>
        <v>3510</v>
      </c>
      <c r="N68" s="107" t="s">
        <v>395</v>
      </c>
      <c r="O68" s="117">
        <f t="shared" si="71"/>
        <v>3.3861765640910507E-2</v>
      </c>
      <c r="P68" s="117">
        <f t="shared" si="57"/>
        <v>8.5649182833303257E-3</v>
      </c>
      <c r="Q68" s="117">
        <f t="shared" si="58"/>
        <v>1.2037975997550262E-3</v>
      </c>
      <c r="R68" s="118">
        <f t="shared" si="59"/>
        <v>4.4576952186364408E-3</v>
      </c>
      <c r="S68" s="115"/>
      <c r="T68" s="107" t="s">
        <v>395</v>
      </c>
      <c r="U68" s="117">
        <f t="shared" si="72"/>
        <v>1.4752370916754479E-2</v>
      </c>
      <c r="V68" s="117">
        <f t="shared" si="60"/>
        <v>2.695846804277543E-3</v>
      </c>
      <c r="W68" s="117">
        <f t="shared" si="61"/>
        <v>8.0640825762055802E-4</v>
      </c>
      <c r="X68" s="118">
        <f t="shared" si="62"/>
        <v>2.1722514984512651E-3</v>
      </c>
      <c r="Z68" s="107" t="s">
        <v>395</v>
      </c>
      <c r="AA68" s="113">
        <f t="shared" si="73"/>
        <v>-1250.1473000000001</v>
      </c>
      <c r="AB68" s="113">
        <f t="shared" si="63"/>
        <v>-1120.8731699999998</v>
      </c>
      <c r="AC68" s="113">
        <f t="shared" si="64"/>
        <v>-443.1217200000001</v>
      </c>
      <c r="AD68" s="116">
        <f t="shared" si="65"/>
        <v>-2814.1421899999996</v>
      </c>
      <c r="AE68" s="115"/>
      <c r="AF68" s="107" t="s">
        <v>395</v>
      </c>
      <c r="AG68" s="117">
        <f t="shared" si="74"/>
        <v>-0.48452555402553954</v>
      </c>
      <c r="AH68" s="117">
        <f t="shared" si="66"/>
        <v>-0.45271833128673544</v>
      </c>
      <c r="AI68" s="117">
        <f t="shared" si="67"/>
        <v>-0.34943153564154716</v>
      </c>
      <c r="AJ68" s="118">
        <f t="shared" si="68"/>
        <v>-0.44498401608519172</v>
      </c>
    </row>
    <row r="69" spans="1:36" x14ac:dyDescent="0.25">
      <c r="A69">
        <v>11</v>
      </c>
      <c r="B69" s="107" t="s">
        <v>396</v>
      </c>
      <c r="C69" s="113">
        <f>INDEX(TourMode_input!$B$4:$J$172,MATCH(TourMode!$A69,modes,0),MATCH("esc",modePurpose,0))</f>
        <v>0</v>
      </c>
      <c r="D69" s="113">
        <f>INDEX(TourMode_input!$B$20:$J$33,MATCH(TourMode!$A69,modes,0),MATCH("esc",modePurpose,0))</f>
        <v>0</v>
      </c>
      <c r="E69" s="113">
        <f>INDEX(TourMode_input!$B$36:$J$49,MATCH(TourMode!$A69,modes,0),MATCH("esc",modePurpose,0))</f>
        <v>0</v>
      </c>
      <c r="F69" s="116">
        <f t="shared" si="69"/>
        <v>0</v>
      </c>
      <c r="G69" s="115"/>
      <c r="H69" s="107" t="s">
        <v>396</v>
      </c>
      <c r="I69" s="113">
        <f>INDEX(TourMode_input!$L$4:$T$17,MATCH(TourMode!$A69,modes,0),MATCH("esc",modePurpose,0))*Index!$B$2</f>
        <v>0</v>
      </c>
      <c r="J69" s="113">
        <f>INDEX(TourMode_input!$L$20:$T$33,MATCH(TourMode!$A69,modes,0), MATCH("esc",modePurpose,0))*Index!$B$2</f>
        <v>0</v>
      </c>
      <c r="K69" s="113">
        <f>INDEX(TourMode_input!$L$36:$T$49,MATCH(TourMode!$A69,modes,0), MATCH("esc",modePurpose,0))*Index!$B$2</f>
        <v>0</v>
      </c>
      <c r="L69" s="116">
        <f t="shared" si="70"/>
        <v>0</v>
      </c>
      <c r="N69" s="107" t="s">
        <v>396</v>
      </c>
      <c r="O69" s="117">
        <f t="shared" si="71"/>
        <v>0</v>
      </c>
      <c r="P69" s="117">
        <f t="shared" si="57"/>
        <v>0</v>
      </c>
      <c r="Q69" s="117">
        <f t="shared" si="58"/>
        <v>0</v>
      </c>
      <c r="R69" s="118">
        <f t="shared" si="59"/>
        <v>0</v>
      </c>
      <c r="S69" s="115"/>
      <c r="T69" s="107" t="s">
        <v>396</v>
      </c>
      <c r="U69" s="117">
        <f t="shared" si="72"/>
        <v>0</v>
      </c>
      <c r="V69" s="117">
        <f t="shared" si="60"/>
        <v>0</v>
      </c>
      <c r="W69" s="117">
        <f t="shared" si="61"/>
        <v>0</v>
      </c>
      <c r="X69" s="118">
        <f t="shared" si="62"/>
        <v>0</v>
      </c>
      <c r="Z69" s="107" t="s">
        <v>396</v>
      </c>
      <c r="AA69" s="113">
        <f t="shared" si="73"/>
        <v>0</v>
      </c>
      <c r="AB69" s="113">
        <f t="shared" si="63"/>
        <v>0</v>
      </c>
      <c r="AC69" s="113">
        <f t="shared" si="64"/>
        <v>0</v>
      </c>
      <c r="AD69" s="116">
        <f t="shared" si="65"/>
        <v>0</v>
      </c>
      <c r="AE69" s="115"/>
      <c r="AF69" s="107" t="s">
        <v>396</v>
      </c>
      <c r="AG69" s="117">
        <f t="shared" si="74"/>
        <v>0</v>
      </c>
      <c r="AH69" s="117">
        <f t="shared" si="66"/>
        <v>0</v>
      </c>
      <c r="AI69" s="117">
        <f t="shared" si="67"/>
        <v>0</v>
      </c>
      <c r="AJ69" s="118">
        <f t="shared" si="68"/>
        <v>0</v>
      </c>
    </row>
    <row r="70" spans="1:36" x14ac:dyDescent="0.25">
      <c r="A70">
        <v>12</v>
      </c>
      <c r="B70" s="107" t="s">
        <v>397</v>
      </c>
      <c r="C70" s="113">
        <f>INDEX(TourMode_input!$B$4:$J$172,MATCH(TourMode!$A70,modes,0),MATCH("esc",modePurpose,0))</f>
        <v>0</v>
      </c>
      <c r="D70" s="113">
        <f>INDEX(TourMode_input!$B$20:$J$33,MATCH(TourMode!$A70,modes,0),MATCH("esc",modePurpose,0))</f>
        <v>0</v>
      </c>
      <c r="E70" s="113">
        <f>INDEX(TourMode_input!$B$36:$J$49,MATCH(TourMode!$A70,modes,0),MATCH("esc",modePurpose,0))</f>
        <v>682.01460999999995</v>
      </c>
      <c r="F70" s="116">
        <f t="shared" si="69"/>
        <v>682.01460999999995</v>
      </c>
      <c r="G70" s="115"/>
      <c r="H70" s="107" t="s">
        <v>397</v>
      </c>
      <c r="I70" s="113">
        <f>INDEX(TourMode_input!$L$4:$T$17,MATCH(TourMode!$A70,modes,0),MATCH("esc",modePurpose,0))*Index!$B$2</f>
        <v>0</v>
      </c>
      <c r="J70" s="113">
        <f>INDEX(TourMode_input!$L$20:$T$33,MATCH(TourMode!$A70,modes,0), MATCH("esc",modePurpose,0))*Index!$B$2</f>
        <v>0</v>
      </c>
      <c r="K70" s="113">
        <f>INDEX(TourMode_input!$L$36:$T$49,MATCH(TourMode!$A70,modes,0), MATCH("esc",modePurpose,0))*Index!$B$2</f>
        <v>0</v>
      </c>
      <c r="L70" s="116">
        <f t="shared" si="70"/>
        <v>0</v>
      </c>
      <c r="N70" s="107" t="s">
        <v>397</v>
      </c>
      <c r="O70" s="117">
        <f t="shared" si="71"/>
        <v>0</v>
      </c>
      <c r="P70" s="117">
        <f t="shared" si="57"/>
        <v>0</v>
      </c>
      <c r="Q70" s="117">
        <f t="shared" si="58"/>
        <v>6.474201471100583E-4</v>
      </c>
      <c r="R70" s="118">
        <f t="shared" si="59"/>
        <v>4.807313268263497E-4</v>
      </c>
      <c r="S70" s="115"/>
      <c r="T70" s="107" t="s">
        <v>397</v>
      </c>
      <c r="U70" s="117">
        <f t="shared" si="72"/>
        <v>0</v>
      </c>
      <c r="V70" s="117">
        <f t="shared" si="60"/>
        <v>0</v>
      </c>
      <c r="W70" s="117">
        <f t="shared" si="61"/>
        <v>0</v>
      </c>
      <c r="X70" s="118">
        <f t="shared" si="62"/>
        <v>0</v>
      </c>
      <c r="Z70" s="107" t="s">
        <v>397</v>
      </c>
      <c r="AA70" s="113">
        <f t="shared" si="73"/>
        <v>0</v>
      </c>
      <c r="AB70" s="113">
        <f t="shared" si="63"/>
        <v>0</v>
      </c>
      <c r="AC70" s="113">
        <f t="shared" si="64"/>
        <v>-682.01460999999995</v>
      </c>
      <c r="AD70" s="116">
        <f t="shared" si="65"/>
        <v>-682.01460999999995</v>
      </c>
      <c r="AE70" s="115"/>
      <c r="AF70" s="107" t="s">
        <v>397</v>
      </c>
      <c r="AG70" s="117">
        <f t="shared" si="74"/>
        <v>0</v>
      </c>
      <c r="AH70" s="117">
        <f t="shared" si="66"/>
        <v>0</v>
      </c>
      <c r="AI70" s="117">
        <f t="shared" si="67"/>
        <v>-1</v>
      </c>
      <c r="AJ70" s="118">
        <f t="shared" si="68"/>
        <v>-1</v>
      </c>
    </row>
    <row r="71" spans="1:36" x14ac:dyDescent="0.25">
      <c r="A71">
        <v>13</v>
      </c>
      <c r="B71" s="107" t="s">
        <v>398</v>
      </c>
      <c r="C71" s="113">
        <f>INDEX(TourMode_input!$B$4:$J$172,MATCH(TourMode!$A71,modes,0),MATCH("esc",modePurpose,0))</f>
        <v>0</v>
      </c>
      <c r="D71" s="113">
        <f>INDEX(TourMode_input!$B$20:$J$33,MATCH(TourMode!$A71,modes,0),MATCH("esc",modePurpose,0))</f>
        <v>0</v>
      </c>
      <c r="E71" s="113">
        <f>INDEX(TourMode_input!$B$36:$J$49,MATCH(TourMode!$A71,modes,0),MATCH("esc",modePurpose,0))</f>
        <v>0</v>
      </c>
      <c r="F71" s="116">
        <f t="shared" si="69"/>
        <v>0</v>
      </c>
      <c r="G71" s="115"/>
      <c r="H71" s="107" t="s">
        <v>398</v>
      </c>
      <c r="I71" s="113">
        <f>INDEX(TourMode_input!$L$4:$T$17,MATCH(TourMode!$A71,modes,0),MATCH("esc",modePurpose,0))*Index!$B$2</f>
        <v>0</v>
      </c>
      <c r="J71" s="113">
        <f>INDEX(TourMode_input!$L$20:$T$33,MATCH(TourMode!$A71,modes,0), MATCH("esc",modePurpose,0))*Index!$B$2</f>
        <v>0</v>
      </c>
      <c r="K71" s="113">
        <f>INDEX(TourMode_input!$L$36:$T$49,MATCH(TourMode!$A71,modes,0), MATCH("esc",modePurpose,0))*Index!$B$2</f>
        <v>0</v>
      </c>
      <c r="L71" s="116">
        <f t="shared" si="70"/>
        <v>0</v>
      </c>
      <c r="N71" s="107" t="s">
        <v>398</v>
      </c>
      <c r="O71" s="117">
        <f t="shared" si="71"/>
        <v>0</v>
      </c>
      <c r="P71" s="117">
        <f t="shared" si="57"/>
        <v>0</v>
      </c>
      <c r="Q71" s="117">
        <f t="shared" si="58"/>
        <v>0</v>
      </c>
      <c r="R71" s="118">
        <f t="shared" si="59"/>
        <v>0</v>
      </c>
      <c r="S71" s="115"/>
      <c r="T71" s="107" t="s">
        <v>398</v>
      </c>
      <c r="U71" s="117">
        <f t="shared" si="72"/>
        <v>0</v>
      </c>
      <c r="V71" s="117">
        <f t="shared" si="60"/>
        <v>0</v>
      </c>
      <c r="W71" s="117">
        <f t="shared" si="61"/>
        <v>0</v>
      </c>
      <c r="X71" s="118">
        <f t="shared" si="62"/>
        <v>0</v>
      </c>
      <c r="Z71" s="107" t="s">
        <v>398</v>
      </c>
      <c r="AA71" s="113">
        <f t="shared" si="73"/>
        <v>0</v>
      </c>
      <c r="AB71" s="113">
        <f t="shared" si="63"/>
        <v>0</v>
      </c>
      <c r="AC71" s="113">
        <f t="shared" si="64"/>
        <v>0</v>
      </c>
      <c r="AD71" s="116">
        <f t="shared" si="65"/>
        <v>0</v>
      </c>
      <c r="AE71" s="115"/>
      <c r="AF71" s="107" t="s">
        <v>398</v>
      </c>
      <c r="AG71" s="117">
        <f t="shared" si="74"/>
        <v>0</v>
      </c>
      <c r="AH71" s="117">
        <f t="shared" si="66"/>
        <v>0</v>
      </c>
      <c r="AI71" s="117">
        <f t="shared" si="67"/>
        <v>0</v>
      </c>
      <c r="AJ71" s="118">
        <f t="shared" si="68"/>
        <v>0</v>
      </c>
    </row>
    <row r="72" spans="1:36" x14ac:dyDescent="0.25">
      <c r="A72">
        <v>14</v>
      </c>
      <c r="B72" s="107" t="s">
        <v>399</v>
      </c>
      <c r="C72" s="113">
        <f>INDEX(TourMode_input!$B$4:$J$172,MATCH(TourMode!$A72,modes,0),MATCH("esc",modePurpose,0))</f>
        <v>0</v>
      </c>
      <c r="D72" s="113">
        <f>INDEX(TourMode_input!$B$20:$J$33,MATCH(TourMode!$A72,modes,0),MATCH("esc",modePurpose,0))</f>
        <v>0</v>
      </c>
      <c r="E72" s="113">
        <f>INDEX(TourMode_input!$B$36:$J$49,MATCH(TourMode!$A72,modes,0),MATCH("esc",modePurpose,0))</f>
        <v>25.12893</v>
      </c>
      <c r="F72" s="116">
        <f t="shared" si="69"/>
        <v>25.12893</v>
      </c>
      <c r="G72" s="115"/>
      <c r="H72" s="107" t="s">
        <v>399</v>
      </c>
      <c r="I72" s="113">
        <f>INDEX(TourMode_input!$L$4:$T$17,MATCH(TourMode!$A72,modes,0),MATCH("esc",modePurpose,0))*Index!$B$2</f>
        <v>0</v>
      </c>
      <c r="J72" s="113">
        <f>INDEX(TourMode_input!$L$20:$T$33,MATCH(TourMode!$A72,modes,0), MATCH("esc",modePurpose,0))*Index!$B$2</f>
        <v>0</v>
      </c>
      <c r="K72" s="113">
        <f>INDEX(TourMode_input!$L$36:$T$49,MATCH(TourMode!$A72,modes,0), MATCH("esc",modePurpose,0))*Index!$B$2</f>
        <v>0</v>
      </c>
      <c r="L72" s="116">
        <f t="shared" si="70"/>
        <v>0</v>
      </c>
      <c r="N72" s="107" t="s">
        <v>399</v>
      </c>
      <c r="O72" s="117">
        <f t="shared" si="71"/>
        <v>0</v>
      </c>
      <c r="P72" s="117">
        <f t="shared" si="57"/>
        <v>0</v>
      </c>
      <c r="Q72" s="117">
        <f t="shared" si="58"/>
        <v>2.3854291856472633E-5</v>
      </c>
      <c r="R72" s="118">
        <f t="shared" si="59"/>
        <v>1.7712617418307896E-5</v>
      </c>
      <c r="S72" s="115"/>
      <c r="T72" s="107" t="s">
        <v>399</v>
      </c>
      <c r="U72" s="117">
        <f t="shared" si="72"/>
        <v>0</v>
      </c>
      <c r="V72" s="117">
        <f t="shared" si="60"/>
        <v>0</v>
      </c>
      <c r="W72" s="117">
        <f t="shared" si="61"/>
        <v>0</v>
      </c>
      <c r="X72" s="118">
        <f t="shared" si="62"/>
        <v>0</v>
      </c>
      <c r="Z72" s="107" t="s">
        <v>399</v>
      </c>
      <c r="AA72" s="113">
        <f t="shared" si="73"/>
        <v>0</v>
      </c>
      <c r="AB72" s="113">
        <f t="shared" si="63"/>
        <v>0</v>
      </c>
      <c r="AC72" s="113">
        <f t="shared" si="64"/>
        <v>-25.12893</v>
      </c>
      <c r="AD72" s="116">
        <f t="shared" si="65"/>
        <v>-25.12893</v>
      </c>
      <c r="AE72" s="115"/>
      <c r="AF72" s="107" t="s">
        <v>399</v>
      </c>
      <c r="AG72" s="117">
        <f t="shared" si="74"/>
        <v>0</v>
      </c>
      <c r="AH72" s="117">
        <f t="shared" si="66"/>
        <v>0</v>
      </c>
      <c r="AI72" s="117">
        <f t="shared" si="67"/>
        <v>-1</v>
      </c>
      <c r="AJ72" s="118">
        <f t="shared" si="68"/>
        <v>-1</v>
      </c>
    </row>
    <row r="73" spans="1:36" ht="15.75" thickBot="1" x14ac:dyDescent="0.3">
      <c r="B73" s="108" t="s">
        <v>29</v>
      </c>
      <c r="C73" s="109">
        <f>SUM(C59:C72)</f>
        <v>13616.178480000002</v>
      </c>
      <c r="D73" s="110">
        <f>SUM(D59:D72)</f>
        <v>285962.72398999997</v>
      </c>
      <c r="E73" s="111">
        <f>SUM(E59:E72)</f>
        <v>713633.53973000008</v>
      </c>
      <c r="F73" s="112">
        <f>SUM(F59:F72)</f>
        <v>1013212.4422</v>
      </c>
      <c r="H73" s="108" t="s">
        <v>29</v>
      </c>
      <c r="I73" s="109">
        <f>SUM(I59:I72)</f>
        <v>89615</v>
      </c>
      <c r="J73" s="110">
        <f>SUM(J59:J72)</f>
        <v>451950</v>
      </c>
      <c r="K73" s="111">
        <f>SUM(K59:K72)</f>
        <v>788890</v>
      </c>
      <c r="L73" s="112">
        <f>SUM(L59:L72)</f>
        <v>1330455</v>
      </c>
      <c r="N73" s="108" t="s">
        <v>29</v>
      </c>
      <c r="O73" s="120">
        <f>C73/C$56</f>
        <v>0.17869826448070197</v>
      </c>
      <c r="P73" s="121">
        <f t="shared" si="57"/>
        <v>0.98924589220896741</v>
      </c>
      <c r="Q73" s="122">
        <f t="shared" si="58"/>
        <v>0.67743524038974523</v>
      </c>
      <c r="R73" s="123">
        <f t="shared" si="59"/>
        <v>0.7141825916247927</v>
      </c>
      <c r="T73" s="108" t="s">
        <v>29</v>
      </c>
      <c r="U73" s="120">
        <f t="shared" si="72"/>
        <v>0.99401031556763353</v>
      </c>
      <c r="V73" s="121">
        <f t="shared" si="60"/>
        <v>0.89917930862969409</v>
      </c>
      <c r="W73" s="122">
        <f t="shared" si="61"/>
        <v>0.77111201255064488</v>
      </c>
      <c r="X73" s="123">
        <f t="shared" si="62"/>
        <v>0.82338543229970884</v>
      </c>
      <c r="Z73" s="108" t="s">
        <v>29</v>
      </c>
      <c r="AA73" s="109">
        <f t="shared" si="73"/>
        <v>75998.821519999998</v>
      </c>
      <c r="AB73" s="110">
        <f t="shared" si="63"/>
        <v>165987.27601000003</v>
      </c>
      <c r="AC73" s="111">
        <f t="shared" si="64"/>
        <v>75256.460269999923</v>
      </c>
      <c r="AD73" s="112">
        <f t="shared" si="65"/>
        <v>317242.55779999995</v>
      </c>
      <c r="AF73" s="108" t="s">
        <v>29</v>
      </c>
      <c r="AG73" s="117">
        <f t="shared" si="74"/>
        <v>5.5815089110083393</v>
      </c>
      <c r="AH73" s="117">
        <f t="shared" si="66"/>
        <v>0.58045074439773681</v>
      </c>
      <c r="AI73" s="117">
        <f t="shared" si="67"/>
        <v>0.10545532977398014</v>
      </c>
      <c r="AJ73" s="118">
        <f t="shared" si="68"/>
        <v>0.31310566726871952</v>
      </c>
    </row>
    <row r="74" spans="1:36" ht="26.25" x14ac:dyDescent="0.4">
      <c r="A74" s="150" t="s">
        <v>150</v>
      </c>
    </row>
    <row r="75" spans="1:36" ht="26.25" x14ac:dyDescent="0.25">
      <c r="B75" s="102" t="s">
        <v>134</v>
      </c>
      <c r="C75" s="103" t="s">
        <v>135</v>
      </c>
      <c r="D75" s="104" t="s">
        <v>136</v>
      </c>
      <c r="E75" s="105" t="s">
        <v>137</v>
      </c>
      <c r="F75" s="106" t="s">
        <v>29</v>
      </c>
      <c r="H75" s="102" t="s">
        <v>134</v>
      </c>
      <c r="I75" s="103" t="s">
        <v>135</v>
      </c>
      <c r="J75" s="104" t="s">
        <v>136</v>
      </c>
      <c r="K75" s="105" t="s">
        <v>137</v>
      </c>
      <c r="L75" s="106" t="s">
        <v>29</v>
      </c>
      <c r="N75" s="102" t="s">
        <v>134</v>
      </c>
      <c r="O75" s="103" t="s">
        <v>135</v>
      </c>
      <c r="P75" s="104" t="s">
        <v>136</v>
      </c>
      <c r="Q75" s="105" t="s">
        <v>137</v>
      </c>
      <c r="R75" s="106" t="s">
        <v>29</v>
      </c>
      <c r="T75" s="102" t="s">
        <v>134</v>
      </c>
      <c r="U75" s="103" t="s">
        <v>135</v>
      </c>
      <c r="V75" s="104" t="s">
        <v>136</v>
      </c>
      <c r="W75" s="105" t="s">
        <v>137</v>
      </c>
      <c r="X75" s="106" t="s">
        <v>29</v>
      </c>
      <c r="Z75" s="102" t="s">
        <v>134</v>
      </c>
      <c r="AA75" s="103" t="s">
        <v>135</v>
      </c>
      <c r="AB75" s="104" t="s">
        <v>136</v>
      </c>
      <c r="AC75" s="105" t="s">
        <v>137</v>
      </c>
      <c r="AD75" s="106" t="s">
        <v>29</v>
      </c>
      <c r="AF75" s="102" t="s">
        <v>134</v>
      </c>
      <c r="AG75" s="103" t="s">
        <v>135</v>
      </c>
      <c r="AH75" s="104" t="s">
        <v>136</v>
      </c>
      <c r="AI75" s="105" t="s">
        <v>137</v>
      </c>
      <c r="AJ75" s="106" t="s">
        <v>29</v>
      </c>
    </row>
    <row r="76" spans="1:36" x14ac:dyDescent="0.25">
      <c r="A76">
        <v>1</v>
      </c>
      <c r="B76" s="107" t="s">
        <v>386</v>
      </c>
      <c r="C76" s="113">
        <f>INDEX(TourMode_input!$B$4:$J$172,MATCH(TourMode!$A76,modes,0),MATCH("imain",modePurpose,0))</f>
        <v>3902.4560000000001</v>
      </c>
      <c r="D76" s="113">
        <f>INDEX(TourMode_input!$B$20:$J$33,MATCH(TourMode!$A76,modes,0),MATCH("imain",modePurpose,0))</f>
        <v>214493.17788</v>
      </c>
      <c r="E76" s="113">
        <f>INDEX(TourMode_input!$B$36:$J$49,MATCH(TourMode!$A76,modes,0),MATCH("imain",modePurpose,0))</f>
        <v>954374.86794999999</v>
      </c>
      <c r="F76" s="114">
        <f>SUM(C76:E76)</f>
        <v>1172770.50183</v>
      </c>
      <c r="G76" s="115"/>
      <c r="H76" s="107" t="s">
        <v>386</v>
      </c>
      <c r="I76" s="113">
        <f>INDEX(TourMode_input!$L$4:$T$17,MATCH(TourMode!$A76,modes,0),MATCH("imain",modePurpose,0))*Index!$B$2</f>
        <v>0</v>
      </c>
      <c r="J76" s="113">
        <f>INDEX(TourMode_input!$L$20:$T$33,MATCH(TourMode!$A76,modes,0), MATCH("imain",modePurpose,0))*Index!$B$2</f>
        <v>529095</v>
      </c>
      <c r="K76" s="113">
        <f>INDEX(TourMode_input!$L$36:$T$49,MATCH(TourMode!$A76,modes,0), MATCH("imain",modePurpose,0))*Index!$B$2</f>
        <v>1254205</v>
      </c>
      <c r="L76" s="114">
        <f>SUM(I76:K76)</f>
        <v>1783300</v>
      </c>
      <c r="N76" s="107" t="s">
        <v>386</v>
      </c>
      <c r="O76" s="117">
        <f>C76/C$90</f>
        <v>2.4595677129199842E-2</v>
      </c>
      <c r="P76" s="117">
        <f>D76/D$90</f>
        <v>0.49945436109887709</v>
      </c>
      <c r="Q76" s="117">
        <f>E76/E$90</f>
        <v>0.78167702443045872</v>
      </c>
      <c r="R76" s="118">
        <f>F76/F$90</f>
        <v>0.64827911796991067</v>
      </c>
      <c r="S76" s="115"/>
      <c r="T76" s="107" t="s">
        <v>386</v>
      </c>
      <c r="U76" s="117">
        <f>I76/I$90</f>
        <v>0</v>
      </c>
      <c r="V76" s="117">
        <f>J76/J$90</f>
        <v>0.49404036584170202</v>
      </c>
      <c r="W76" s="117">
        <f>K76/K$90</f>
        <v>0.74749608880280116</v>
      </c>
      <c r="X76" s="118">
        <f>L76/L$90</f>
        <v>0.60740859323243346</v>
      </c>
      <c r="Z76" s="107" t="s">
        <v>386</v>
      </c>
      <c r="AA76" s="113">
        <f>I76-C76</f>
        <v>-3902.4560000000001</v>
      </c>
      <c r="AB76" s="113">
        <f t="shared" ref="AB76:AB90" si="75">J76-D76</f>
        <v>314601.82212000003</v>
      </c>
      <c r="AC76" s="113">
        <f t="shared" ref="AC76:AC90" si="76">K76-E76</f>
        <v>299830.13205000001</v>
      </c>
      <c r="AD76" s="114">
        <f t="shared" ref="AD76:AD90" si="77">L76-F76</f>
        <v>610529.49817000004</v>
      </c>
      <c r="AE76" s="115"/>
      <c r="AF76" s="107" t="s">
        <v>386</v>
      </c>
      <c r="AG76" s="117">
        <f>IF(C76=0, 0,AA76/C76)</f>
        <v>-1</v>
      </c>
      <c r="AH76" s="117">
        <f t="shared" ref="AH76:AH90" si="78">IF(D76=0, 0,AB76/D76)</f>
        <v>1.4667218101267847</v>
      </c>
      <c r="AI76" s="117">
        <f t="shared" ref="AI76:AI90" si="79">IF(E76=0, 0,AC76/E76)</f>
        <v>0.31416390154325419</v>
      </c>
      <c r="AJ76" s="118">
        <f t="shared" ref="AJ76:AJ90" si="80">IF(F76=0, 0,AD76/F76)</f>
        <v>0.52058735892258989</v>
      </c>
    </row>
    <row r="77" spans="1:36" x14ac:dyDescent="0.25">
      <c r="A77">
        <v>2</v>
      </c>
      <c r="B77" s="107" t="s">
        <v>387</v>
      </c>
      <c r="C77" s="113">
        <f>INDEX(TourMode_input!$B$4:$J$172,MATCH(TourMode!$A77,modes,0),MATCH("imain",modePurpose,0))</f>
        <v>0</v>
      </c>
      <c r="D77" s="113">
        <f>INDEX(TourMode_input!$B$20:$J$33,MATCH(TourMode!$A77,modes,0),MATCH("imain",modePurpose,0))</f>
        <v>2125.3165100000001</v>
      </c>
      <c r="E77" s="113">
        <f>INDEX(TourMode_input!$B$36:$J$49,MATCH(TourMode!$A77,modes,0),MATCH("imain",modePurpose,0))</f>
        <v>12389.024659999999</v>
      </c>
      <c r="F77" s="116">
        <f t="shared" ref="F77:F89" si="81">SUM(C77:E77)</f>
        <v>14514.34117</v>
      </c>
      <c r="G77" s="115"/>
      <c r="H77" s="107" t="s">
        <v>387</v>
      </c>
      <c r="I77" s="113">
        <f>INDEX(TourMode_input!$L$4:$T$17,MATCH(TourMode!$A77,modes,0),MATCH("imain",modePurpose,0))*Index!$B$2</f>
        <v>0</v>
      </c>
      <c r="J77" s="113">
        <f>INDEX(TourMode_input!$L$20:$T$33,MATCH(TourMode!$A77,modes,0), MATCH("imain",modePurpose,0))*Index!$B$2</f>
        <v>24740</v>
      </c>
      <c r="K77" s="113">
        <f>INDEX(TourMode_input!$L$36:$T$49,MATCH(TourMode!$A77,modes,0), MATCH("imain",modePurpose,0))*Index!$B$2</f>
        <v>56700</v>
      </c>
      <c r="L77" s="116">
        <f t="shared" ref="L77:L89" si="82">SUM(I77:K77)</f>
        <v>81440</v>
      </c>
      <c r="N77" s="107" t="s">
        <v>387</v>
      </c>
      <c r="O77" s="117">
        <f t="shared" ref="O77:O90" si="83">C77/C$90</f>
        <v>0</v>
      </c>
      <c r="P77" s="117">
        <f t="shared" ref="P77:P90" si="84">D77/D$90</f>
        <v>4.9488688177710231E-3</v>
      </c>
      <c r="Q77" s="117">
        <f t="shared" ref="Q77:Q90" si="85">E77/E$90</f>
        <v>1.0147182472046963E-2</v>
      </c>
      <c r="R77" s="118">
        <f t="shared" ref="R77:R90" si="86">F77/F$90</f>
        <v>8.0231761260362092E-3</v>
      </c>
      <c r="S77" s="115"/>
      <c r="T77" s="107" t="s">
        <v>387</v>
      </c>
      <c r="U77" s="117">
        <f t="shared" ref="U77:U90" si="87">I77/I$90</f>
        <v>0</v>
      </c>
      <c r="V77" s="117">
        <f t="shared" ref="V77:V90" si="88">J77/J$90</f>
        <v>2.3100877254413118E-2</v>
      </c>
      <c r="W77" s="117">
        <f t="shared" ref="W77:W90" si="89">K77/K$90</f>
        <v>3.3792743797958727E-2</v>
      </c>
      <c r="X77" s="118">
        <f t="shared" ref="X77:X90" si="90">L77/L$90</f>
        <v>2.7739222695479945E-2</v>
      </c>
      <c r="Z77" s="107" t="s">
        <v>387</v>
      </c>
      <c r="AA77" s="113">
        <f t="shared" ref="AA77:AA90" si="91">I77-C77</f>
        <v>0</v>
      </c>
      <c r="AB77" s="113">
        <f t="shared" si="75"/>
        <v>22614.683489999999</v>
      </c>
      <c r="AC77" s="113">
        <f t="shared" si="76"/>
        <v>44310.975340000005</v>
      </c>
      <c r="AD77" s="116">
        <f t="shared" si="77"/>
        <v>66925.65883</v>
      </c>
      <c r="AE77" s="115"/>
      <c r="AF77" s="107" t="s">
        <v>387</v>
      </c>
      <c r="AG77" s="117">
        <f t="shared" ref="AG77:AG90" si="92">IF(C77=0, 0,AA77/C77)</f>
        <v>0</v>
      </c>
      <c r="AH77" s="117">
        <f t="shared" si="78"/>
        <v>10.640619118890672</v>
      </c>
      <c r="AI77" s="117">
        <f t="shared" si="79"/>
        <v>3.5766314585735928</v>
      </c>
      <c r="AJ77" s="118">
        <f t="shared" si="80"/>
        <v>4.6110021837112436</v>
      </c>
    </row>
    <row r="78" spans="1:36" x14ac:dyDescent="0.25">
      <c r="A78">
        <v>3</v>
      </c>
      <c r="B78" s="107" t="s">
        <v>388</v>
      </c>
      <c r="C78" s="113">
        <f>INDEX(TourMode_input!$B$4:$J$172,MATCH(TourMode!$A78,modes,0),MATCH("imain",modePurpose,0))</f>
        <v>27469.724869999998</v>
      </c>
      <c r="D78" s="113">
        <f>INDEX(TourMode_input!$B$20:$J$33,MATCH(TourMode!$A78,modes,0),MATCH("imain",modePurpose,0))</f>
        <v>70738.324380000005</v>
      </c>
      <c r="E78" s="113">
        <f>INDEX(TourMode_input!$B$36:$J$49,MATCH(TourMode!$A78,modes,0),MATCH("imain",modePurpose,0))</f>
        <v>115229.30100000001</v>
      </c>
      <c r="F78" s="116">
        <f t="shared" si="81"/>
        <v>213437.35025000002</v>
      </c>
      <c r="G78" s="115"/>
      <c r="H78" s="107" t="s">
        <v>388</v>
      </c>
      <c r="I78" s="113">
        <f>INDEX(TourMode_input!$L$4:$T$17,MATCH(TourMode!$A78,modes,0),MATCH("imain",modePurpose,0))*Index!$B$2</f>
        <v>40330</v>
      </c>
      <c r="J78" s="113">
        <f>INDEX(TourMode_input!$L$20:$T$33,MATCH(TourMode!$A78,modes,0), MATCH("imain",modePurpose,0))*Index!$B$2</f>
        <v>177250</v>
      </c>
      <c r="K78" s="113">
        <f>INDEX(TourMode_input!$L$36:$T$49,MATCH(TourMode!$A78,modes,0), MATCH("imain",modePurpose,0))*Index!$B$2</f>
        <v>166765</v>
      </c>
      <c r="L78" s="116">
        <f t="shared" si="82"/>
        <v>384345</v>
      </c>
      <c r="N78" s="107" t="s">
        <v>388</v>
      </c>
      <c r="O78" s="117">
        <f t="shared" si="83"/>
        <v>0.17313109583566633</v>
      </c>
      <c r="P78" s="117">
        <f t="shared" si="84"/>
        <v>0.16471649568353175</v>
      </c>
      <c r="Q78" s="117">
        <f t="shared" si="85"/>
        <v>9.4378110905578252E-2</v>
      </c>
      <c r="R78" s="118">
        <f t="shared" si="86"/>
        <v>0.1179829957745322</v>
      </c>
      <c r="S78" s="115"/>
      <c r="T78" s="107" t="s">
        <v>388</v>
      </c>
      <c r="U78" s="117">
        <f t="shared" si="87"/>
        <v>0.215570462623941</v>
      </c>
      <c r="V78" s="117">
        <f t="shared" si="88"/>
        <v>0.16550648720067604</v>
      </c>
      <c r="W78" s="117">
        <f t="shared" si="89"/>
        <v>9.9390598226923935E-2</v>
      </c>
      <c r="X78" s="118">
        <f t="shared" si="90"/>
        <v>0.13091148756009627</v>
      </c>
      <c r="Z78" s="107" t="s">
        <v>388</v>
      </c>
      <c r="AA78" s="113">
        <f t="shared" si="91"/>
        <v>12860.275130000002</v>
      </c>
      <c r="AB78" s="113">
        <f t="shared" si="75"/>
        <v>106511.67561999999</v>
      </c>
      <c r="AC78" s="113">
        <f t="shared" si="76"/>
        <v>51535.698999999993</v>
      </c>
      <c r="AD78" s="116">
        <f t="shared" si="77"/>
        <v>170907.64974999998</v>
      </c>
      <c r="AE78" s="115"/>
      <c r="AF78" s="107" t="s">
        <v>388</v>
      </c>
      <c r="AG78" s="117">
        <f t="shared" si="92"/>
        <v>0.4681617741299206</v>
      </c>
      <c r="AH78" s="117">
        <f t="shared" si="78"/>
        <v>1.505713862372944</v>
      </c>
      <c r="AI78" s="117">
        <f t="shared" si="79"/>
        <v>0.44724474202963349</v>
      </c>
      <c r="AJ78" s="118">
        <f t="shared" si="80"/>
        <v>0.80073918435463698</v>
      </c>
    </row>
    <row r="79" spans="1:36" x14ac:dyDescent="0.25">
      <c r="A79">
        <v>4</v>
      </c>
      <c r="B79" s="107" t="s">
        <v>389</v>
      </c>
      <c r="C79" s="113">
        <f>INDEX(TourMode_input!$B$4:$J$172,MATCH(TourMode!$A79,modes,0),MATCH("imain",modePurpose,0))</f>
        <v>164.38015999999999</v>
      </c>
      <c r="D79" s="113">
        <f>INDEX(TourMode_input!$B$20:$J$33,MATCH(TourMode!$A79,modes,0),MATCH("imain",modePurpose,0))</f>
        <v>0</v>
      </c>
      <c r="E79" s="113">
        <f>INDEX(TourMode_input!$B$36:$J$49,MATCH(TourMode!$A79,modes,0),MATCH("imain",modePurpose,0))</f>
        <v>1195.6069399999999</v>
      </c>
      <c r="F79" s="116">
        <f t="shared" si="81"/>
        <v>1359.9870999999998</v>
      </c>
      <c r="G79" s="115"/>
      <c r="H79" s="107" t="s">
        <v>389</v>
      </c>
      <c r="I79" s="113">
        <f>INDEX(TourMode_input!$L$4:$T$17,MATCH(TourMode!$A79,modes,0),MATCH("imain",modePurpose,0))*Index!$B$2</f>
        <v>1125</v>
      </c>
      <c r="J79" s="113">
        <f>INDEX(TourMode_input!$L$20:$T$33,MATCH(TourMode!$A79,modes,0), MATCH("imain",modePurpose,0))*Index!$B$2</f>
        <v>5085</v>
      </c>
      <c r="K79" s="113">
        <f>INDEX(TourMode_input!$L$36:$T$49,MATCH(TourMode!$A79,modes,0), MATCH("imain",modePurpose,0))*Index!$B$2</f>
        <v>5035</v>
      </c>
      <c r="L79" s="116">
        <f t="shared" si="82"/>
        <v>11245</v>
      </c>
      <c r="N79" s="107" t="s">
        <v>389</v>
      </c>
      <c r="O79" s="117">
        <f t="shared" si="83"/>
        <v>1.0360248371297999E-3</v>
      </c>
      <c r="P79" s="117">
        <f t="shared" si="84"/>
        <v>0</v>
      </c>
      <c r="Q79" s="117">
        <f t="shared" si="85"/>
        <v>9.7925721499255661E-4</v>
      </c>
      <c r="R79" s="118">
        <f t="shared" si="86"/>
        <v>7.517679173058337E-4</v>
      </c>
      <c r="S79" s="115"/>
      <c r="T79" s="107" t="s">
        <v>389</v>
      </c>
      <c r="U79" s="117">
        <f t="shared" si="87"/>
        <v>6.0133094582676327E-3</v>
      </c>
      <c r="V79" s="117">
        <f t="shared" si="88"/>
        <v>4.7480986596075466E-3</v>
      </c>
      <c r="W79" s="117">
        <f t="shared" si="89"/>
        <v>3.0008194889368993E-3</v>
      </c>
      <c r="X79" s="118">
        <f t="shared" si="90"/>
        <v>3.830151758480746E-3</v>
      </c>
      <c r="Z79" s="107" t="s">
        <v>389</v>
      </c>
      <c r="AA79" s="113">
        <f t="shared" si="91"/>
        <v>960.61984000000007</v>
      </c>
      <c r="AB79" s="113">
        <f t="shared" si="75"/>
        <v>5085</v>
      </c>
      <c r="AC79" s="113">
        <f t="shared" si="76"/>
        <v>3839.3930600000003</v>
      </c>
      <c r="AD79" s="116">
        <f t="shared" si="77"/>
        <v>9885.0128999999997</v>
      </c>
      <c r="AE79" s="115"/>
      <c r="AF79" s="107" t="s">
        <v>389</v>
      </c>
      <c r="AG79" s="117">
        <f t="shared" si="92"/>
        <v>5.8438916229306512</v>
      </c>
      <c r="AH79" s="117">
        <f t="shared" si="78"/>
        <v>0</v>
      </c>
      <c r="AI79" s="117">
        <f t="shared" si="79"/>
        <v>3.2112502291095772</v>
      </c>
      <c r="AJ79" s="118">
        <f t="shared" si="80"/>
        <v>7.2684607817235918</v>
      </c>
    </row>
    <row r="80" spans="1:36" x14ac:dyDescent="0.25">
      <c r="A80">
        <v>5</v>
      </c>
      <c r="B80" s="107" t="s">
        <v>390</v>
      </c>
      <c r="C80" s="113">
        <f>INDEX(TourMode_input!$B$4:$J$172,MATCH(TourMode!$A80,modes,0),MATCH("imain",modePurpose,0))</f>
        <v>121.26331</v>
      </c>
      <c r="D80" s="113">
        <f>INDEX(TourMode_input!$B$20:$J$33,MATCH(TourMode!$A80,modes,0),MATCH("imain",modePurpose,0))</f>
        <v>30475.525290000001</v>
      </c>
      <c r="E80" s="113">
        <f>INDEX(TourMode_input!$B$36:$J$49,MATCH(TourMode!$A80,modes,0),MATCH("imain",modePurpose,0))</f>
        <v>51603.93333</v>
      </c>
      <c r="F80" s="116">
        <f t="shared" si="81"/>
        <v>82200.72193</v>
      </c>
      <c r="G80" s="115"/>
      <c r="H80" s="107" t="s">
        <v>390</v>
      </c>
      <c r="I80" s="113">
        <f>INDEX(TourMode_input!$L$4:$T$17,MATCH(TourMode!$A80,modes,0),MATCH("imain",modePurpose,0))*Index!$B$2</f>
        <v>120</v>
      </c>
      <c r="J80" s="113">
        <f>INDEX(TourMode_input!$L$20:$T$33,MATCH(TourMode!$A80,modes,0), MATCH("imain",modePurpose,0))*Index!$B$2</f>
        <v>81365</v>
      </c>
      <c r="K80" s="113">
        <f>INDEX(TourMode_input!$L$36:$T$49,MATCH(TourMode!$A80,modes,0), MATCH("imain",modePurpose,0))*Index!$B$2</f>
        <v>79190</v>
      </c>
      <c r="L80" s="116">
        <f t="shared" si="82"/>
        <v>160675</v>
      </c>
      <c r="N80" s="107" t="s">
        <v>390</v>
      </c>
      <c r="O80" s="117">
        <f t="shared" si="83"/>
        <v>7.6427593812154976E-4</v>
      </c>
      <c r="P80" s="117">
        <f t="shared" si="84"/>
        <v>7.0963254697942943E-2</v>
      </c>
      <c r="Q80" s="117">
        <f t="shared" si="85"/>
        <v>4.2266000927861272E-2</v>
      </c>
      <c r="R80" s="118">
        <f t="shared" si="86"/>
        <v>4.5438567414611566E-2</v>
      </c>
      <c r="S80" s="115"/>
      <c r="T80" s="107" t="s">
        <v>390</v>
      </c>
      <c r="U80" s="117">
        <f t="shared" si="87"/>
        <v>6.414196755485475E-4</v>
      </c>
      <c r="V80" s="117">
        <f t="shared" si="88"/>
        <v>7.5974247283966179E-2</v>
      </c>
      <c r="W80" s="117">
        <f t="shared" si="89"/>
        <v>4.7196602845861579E-2</v>
      </c>
      <c r="X80" s="118">
        <f t="shared" si="90"/>
        <v>5.4727401849167974E-2</v>
      </c>
      <c r="Z80" s="107" t="s">
        <v>390</v>
      </c>
      <c r="AA80" s="113">
        <f t="shared" si="91"/>
        <v>-1.2633100000000042</v>
      </c>
      <c r="AB80" s="113">
        <f t="shared" si="75"/>
        <v>50889.474709999995</v>
      </c>
      <c r="AC80" s="113">
        <f t="shared" si="76"/>
        <v>27586.06667</v>
      </c>
      <c r="AD80" s="116">
        <f t="shared" si="77"/>
        <v>78474.27807</v>
      </c>
      <c r="AE80" s="115"/>
      <c r="AF80" s="107" t="s">
        <v>390</v>
      </c>
      <c r="AG80" s="117">
        <f t="shared" si="92"/>
        <v>-1.0417907939342939E-2</v>
      </c>
      <c r="AH80" s="117">
        <f t="shared" si="78"/>
        <v>1.6698473357142909</v>
      </c>
      <c r="AI80" s="117">
        <f t="shared" si="79"/>
        <v>0.53457294608903028</v>
      </c>
      <c r="AJ80" s="118">
        <f t="shared" si="80"/>
        <v>0.95466653123590151</v>
      </c>
    </row>
    <row r="81" spans="1:36" x14ac:dyDescent="0.25">
      <c r="A81">
        <v>6</v>
      </c>
      <c r="B81" s="107" t="s">
        <v>391</v>
      </c>
      <c r="C81" s="113">
        <f>INDEX(TourMode_input!$B$4:$J$172,MATCH(TourMode!$A81,modes,0),MATCH("imain",modePurpose,0))</f>
        <v>0</v>
      </c>
      <c r="D81" s="113">
        <f>INDEX(TourMode_input!$B$20:$J$33,MATCH(TourMode!$A81,modes,0),MATCH("imain",modePurpose,0))</f>
        <v>0</v>
      </c>
      <c r="E81" s="113">
        <f>INDEX(TourMode_input!$B$36:$J$49,MATCH(TourMode!$A81,modes,0),MATCH("imain",modePurpose,0))</f>
        <v>320.13724000000002</v>
      </c>
      <c r="F81" s="116">
        <f t="shared" si="81"/>
        <v>320.13724000000002</v>
      </c>
      <c r="G81" s="115"/>
      <c r="H81" s="107" t="s">
        <v>391</v>
      </c>
      <c r="I81" s="113">
        <f>INDEX(TourMode_input!$L$4:$T$17,MATCH(TourMode!$A81,modes,0),MATCH("imain",modePurpose,0))*Index!$B$2</f>
        <v>10</v>
      </c>
      <c r="J81" s="113">
        <f>INDEX(TourMode_input!$L$20:$T$33,MATCH(TourMode!$A81,modes,0), MATCH("imain",modePurpose,0))*Index!$B$2</f>
        <v>2350</v>
      </c>
      <c r="K81" s="113">
        <f>INDEX(TourMode_input!$L$36:$T$49,MATCH(TourMode!$A81,modes,0), MATCH("imain",modePurpose,0))*Index!$B$2</f>
        <v>2315</v>
      </c>
      <c r="L81" s="116">
        <f t="shared" si="82"/>
        <v>4675</v>
      </c>
      <c r="N81" s="107" t="s">
        <v>391</v>
      </c>
      <c r="O81" s="117">
        <f t="shared" si="83"/>
        <v>0</v>
      </c>
      <c r="P81" s="117">
        <f t="shared" si="84"/>
        <v>0</v>
      </c>
      <c r="Q81" s="117">
        <f t="shared" si="85"/>
        <v>2.6220716154240768E-4</v>
      </c>
      <c r="R81" s="118">
        <f t="shared" si="86"/>
        <v>1.7696410956165532E-4</v>
      </c>
      <c r="S81" s="115"/>
      <c r="T81" s="107" t="s">
        <v>391</v>
      </c>
      <c r="U81" s="117">
        <f t="shared" si="87"/>
        <v>5.3451639629045618E-5</v>
      </c>
      <c r="V81" s="117">
        <f t="shared" si="88"/>
        <v>2.1943032153545201E-3</v>
      </c>
      <c r="W81" s="117">
        <f t="shared" si="89"/>
        <v>1.3797213737614543E-3</v>
      </c>
      <c r="X81" s="118">
        <f t="shared" si="90"/>
        <v>1.5923485523252547E-3</v>
      </c>
      <c r="Z81" s="107" t="s">
        <v>391</v>
      </c>
      <c r="AA81" s="113">
        <f t="shared" si="91"/>
        <v>10</v>
      </c>
      <c r="AB81" s="113">
        <f t="shared" si="75"/>
        <v>2350</v>
      </c>
      <c r="AC81" s="113">
        <f t="shared" si="76"/>
        <v>1994.86276</v>
      </c>
      <c r="AD81" s="116">
        <f t="shared" si="77"/>
        <v>4354.86276</v>
      </c>
      <c r="AE81" s="115"/>
      <c r="AF81" s="107" t="s">
        <v>391</v>
      </c>
      <c r="AG81" s="117">
        <f t="shared" si="92"/>
        <v>0</v>
      </c>
      <c r="AH81" s="117">
        <f t="shared" si="78"/>
        <v>0</v>
      </c>
      <c r="AI81" s="117">
        <f t="shared" si="79"/>
        <v>6.2312736874972741</v>
      </c>
      <c r="AJ81" s="118">
        <f t="shared" si="80"/>
        <v>13.60311209030227</v>
      </c>
    </row>
    <row r="82" spans="1:36" x14ac:dyDescent="0.25">
      <c r="A82">
        <v>7</v>
      </c>
      <c r="B82" s="107" t="s">
        <v>392</v>
      </c>
      <c r="C82" s="113">
        <f>INDEX(TourMode_input!$B$4:$J$172,MATCH(TourMode!$A82,modes,0),MATCH("imain",modePurpose,0))</f>
        <v>62616.657249999997</v>
      </c>
      <c r="D82" s="113">
        <f>INDEX(TourMode_input!$B$20:$J$33,MATCH(TourMode!$A82,modes,0),MATCH("imain",modePurpose,0))</f>
        <v>74595.259449999998</v>
      </c>
      <c r="E82" s="113">
        <f>INDEX(TourMode_input!$B$36:$J$49,MATCH(TourMode!$A82,modes,0),MATCH("imain",modePurpose,0))</f>
        <v>54996.175009999999</v>
      </c>
      <c r="F82" s="116">
        <f t="shared" si="81"/>
        <v>192208.09171000001</v>
      </c>
      <c r="G82" s="115"/>
      <c r="H82" s="107" t="s">
        <v>392</v>
      </c>
      <c r="I82" s="113">
        <f>INDEX(TourMode_input!$L$4:$T$17,MATCH(TourMode!$A82,modes,0),MATCH("imain",modePurpose,0))*Index!$B$2</f>
        <v>87110</v>
      </c>
      <c r="J82" s="113">
        <f>INDEX(TourMode_input!$L$20:$T$33,MATCH(TourMode!$A82,modes,0), MATCH("imain",modePurpose,0))*Index!$B$2</f>
        <v>207030</v>
      </c>
      <c r="K82" s="113">
        <f>INDEX(TourMode_input!$L$36:$T$49,MATCH(TourMode!$A82,modes,0), MATCH("imain",modePurpose,0))*Index!$B$2</f>
        <v>85180</v>
      </c>
      <c r="L82" s="116">
        <f t="shared" si="82"/>
        <v>379320</v>
      </c>
      <c r="N82" s="107" t="s">
        <v>392</v>
      </c>
      <c r="O82" s="117">
        <f t="shared" si="83"/>
        <v>0.39464867371490425</v>
      </c>
      <c r="P82" s="117">
        <f t="shared" si="84"/>
        <v>0.17369749480073637</v>
      </c>
      <c r="Q82" s="117">
        <f t="shared" si="85"/>
        <v>4.5044403284858689E-2</v>
      </c>
      <c r="R82" s="118">
        <f t="shared" si="86"/>
        <v>0.10624797602429861</v>
      </c>
      <c r="S82" s="115"/>
      <c r="T82" s="107" t="s">
        <v>392</v>
      </c>
      <c r="U82" s="117">
        <f t="shared" si="87"/>
        <v>0.46561723280861639</v>
      </c>
      <c r="V82" s="117">
        <f t="shared" si="88"/>
        <v>0.19331344454248778</v>
      </c>
      <c r="W82" s="117">
        <f t="shared" si="89"/>
        <v>5.0766594650972212E-2</v>
      </c>
      <c r="X82" s="118">
        <f t="shared" si="90"/>
        <v>0.1291999257471691</v>
      </c>
      <c r="Z82" s="107" t="s">
        <v>392</v>
      </c>
      <c r="AA82" s="113">
        <f t="shared" si="91"/>
        <v>24493.342750000003</v>
      </c>
      <c r="AB82" s="113">
        <f t="shared" si="75"/>
        <v>132434.74054999999</v>
      </c>
      <c r="AC82" s="113">
        <f t="shared" si="76"/>
        <v>30183.824990000001</v>
      </c>
      <c r="AD82" s="116">
        <f t="shared" si="77"/>
        <v>187111.90828999999</v>
      </c>
      <c r="AE82" s="115"/>
      <c r="AF82" s="107" t="s">
        <v>392</v>
      </c>
      <c r="AG82" s="117">
        <f t="shared" si="92"/>
        <v>0.39116337130883821</v>
      </c>
      <c r="AH82" s="117">
        <f t="shared" si="78"/>
        <v>1.7753774372052271</v>
      </c>
      <c r="AI82" s="117">
        <f t="shared" si="79"/>
        <v>0.5488349868788448</v>
      </c>
      <c r="AJ82" s="118">
        <f t="shared" si="80"/>
        <v>0.97348611406178964</v>
      </c>
    </row>
    <row r="83" spans="1:36" x14ac:dyDescent="0.25">
      <c r="A83">
        <v>8</v>
      </c>
      <c r="B83" s="107" t="s">
        <v>393</v>
      </c>
      <c r="C83" s="113">
        <f>INDEX(TourMode_input!$B$4:$J$172,MATCH(TourMode!$A83,modes,0),MATCH("imain",modePurpose,0))</f>
        <v>4627.8921300000002</v>
      </c>
      <c r="D83" s="113">
        <f>INDEX(TourMode_input!$B$20:$J$33,MATCH(TourMode!$A83,modes,0),MATCH("imain",modePurpose,0))</f>
        <v>8213.0964600000007</v>
      </c>
      <c r="E83" s="113">
        <f>INDEX(TourMode_input!$B$36:$J$49,MATCH(TourMode!$A83,modes,0),MATCH("imain",modePurpose,0))</f>
        <v>10038.133239999999</v>
      </c>
      <c r="F83" s="116">
        <f t="shared" si="81"/>
        <v>22879.12183</v>
      </c>
      <c r="G83" s="115"/>
      <c r="H83" s="107" t="s">
        <v>393</v>
      </c>
      <c r="I83" s="113">
        <f>INDEX(TourMode_input!$L$4:$T$17,MATCH(TourMode!$A83,modes,0),MATCH("imain",modePurpose,0))*Index!$B$2</f>
        <v>7650</v>
      </c>
      <c r="J83" s="113">
        <f>INDEX(TourMode_input!$L$20:$T$33,MATCH(TourMode!$A83,modes,0), MATCH("imain",modePurpose,0))*Index!$B$2</f>
        <v>23715</v>
      </c>
      <c r="K83" s="113">
        <f>INDEX(TourMode_input!$L$36:$T$49,MATCH(TourMode!$A83,modes,0), MATCH("imain",modePurpose,0))*Index!$B$2</f>
        <v>15305</v>
      </c>
      <c r="L83" s="116">
        <f t="shared" si="82"/>
        <v>46670</v>
      </c>
      <c r="N83" s="107" t="s">
        <v>393</v>
      </c>
      <c r="O83" s="117">
        <f t="shared" si="83"/>
        <v>2.9167821653401073E-2</v>
      </c>
      <c r="P83" s="117">
        <f t="shared" si="84"/>
        <v>1.912446300444896E-2</v>
      </c>
      <c r="Q83" s="117">
        <f t="shared" si="85"/>
        <v>8.2216939961276981E-3</v>
      </c>
      <c r="R83" s="118">
        <f t="shared" si="86"/>
        <v>1.2647024201865985E-2</v>
      </c>
      <c r="S83" s="115"/>
      <c r="T83" s="107" t="s">
        <v>393</v>
      </c>
      <c r="U83" s="117">
        <f t="shared" si="87"/>
        <v>4.0890504316219899E-2</v>
      </c>
      <c r="V83" s="117">
        <f t="shared" si="88"/>
        <v>2.2143787554098911E-2</v>
      </c>
      <c r="W83" s="117">
        <f t="shared" si="89"/>
        <v>9.1216568576324222E-3</v>
      </c>
      <c r="X83" s="118">
        <f t="shared" si="90"/>
        <v>1.5896236777972115E-2</v>
      </c>
      <c r="Z83" s="107" t="s">
        <v>393</v>
      </c>
      <c r="AA83" s="113">
        <f t="shared" si="91"/>
        <v>3022.1078699999998</v>
      </c>
      <c r="AB83" s="113">
        <f t="shared" si="75"/>
        <v>15501.903539999999</v>
      </c>
      <c r="AC83" s="113">
        <f t="shared" si="76"/>
        <v>5266.8667600000008</v>
      </c>
      <c r="AD83" s="116">
        <f t="shared" si="77"/>
        <v>23790.87817</v>
      </c>
      <c r="AE83" s="115"/>
      <c r="AF83" s="107" t="s">
        <v>393</v>
      </c>
      <c r="AG83" s="117">
        <f t="shared" si="92"/>
        <v>0.65302037841577776</v>
      </c>
      <c r="AH83" s="117">
        <f t="shared" si="78"/>
        <v>1.8874615214247707</v>
      </c>
      <c r="AI83" s="117">
        <f t="shared" si="79"/>
        <v>0.5246858787461165</v>
      </c>
      <c r="AJ83" s="118">
        <f t="shared" si="80"/>
        <v>1.0398510199287663</v>
      </c>
    </row>
    <row r="84" spans="1:36" x14ac:dyDescent="0.25">
      <c r="A84">
        <v>9</v>
      </c>
      <c r="B84" s="107" t="s">
        <v>394</v>
      </c>
      <c r="C84" s="113"/>
      <c r="D84" s="113"/>
      <c r="E84" s="113"/>
      <c r="F84" s="116">
        <f t="shared" si="81"/>
        <v>0</v>
      </c>
      <c r="G84" s="115"/>
      <c r="H84" s="107" t="s">
        <v>394</v>
      </c>
      <c r="I84" s="113">
        <f>INDEX(TourMode_input!$L$4:$T$17,MATCH(TourMode!$A84,modes,0),MATCH("imain",modePurpose,0))*Index!$B$2</f>
        <v>0</v>
      </c>
      <c r="J84" s="113">
        <f>INDEX(TourMode_input!$L$20:$T$33,MATCH(TourMode!$A84,modes,0), MATCH("imain",modePurpose,0))*Index!$B$2</f>
        <v>0</v>
      </c>
      <c r="K84" s="113">
        <f>INDEX(TourMode_input!$L$36:$T$49,MATCH(TourMode!$A84,modes,0), MATCH("imain",modePurpose,0))*Index!$B$2</f>
        <v>0</v>
      </c>
      <c r="L84" s="116">
        <f t="shared" si="82"/>
        <v>0</v>
      </c>
      <c r="N84" s="107" t="s">
        <v>394</v>
      </c>
      <c r="O84" s="117">
        <f t="shared" si="83"/>
        <v>0</v>
      </c>
      <c r="P84" s="117">
        <f t="shared" si="84"/>
        <v>0</v>
      </c>
      <c r="Q84" s="117">
        <f t="shared" si="85"/>
        <v>0</v>
      </c>
      <c r="R84" s="118">
        <f t="shared" si="86"/>
        <v>0</v>
      </c>
      <c r="S84" s="115"/>
      <c r="T84" s="107" t="s">
        <v>394</v>
      </c>
      <c r="U84" s="117">
        <f t="shared" si="87"/>
        <v>0</v>
      </c>
      <c r="V84" s="117">
        <f t="shared" si="88"/>
        <v>0</v>
      </c>
      <c r="W84" s="117">
        <f t="shared" si="89"/>
        <v>0</v>
      </c>
      <c r="X84" s="118">
        <f t="shared" si="90"/>
        <v>0</v>
      </c>
      <c r="Z84" s="107" t="s">
        <v>394</v>
      </c>
      <c r="AA84" s="113">
        <f t="shared" si="91"/>
        <v>0</v>
      </c>
      <c r="AB84" s="113">
        <f t="shared" si="75"/>
        <v>0</v>
      </c>
      <c r="AC84" s="113">
        <f t="shared" si="76"/>
        <v>0</v>
      </c>
      <c r="AD84" s="116">
        <f t="shared" si="77"/>
        <v>0</v>
      </c>
      <c r="AE84" s="115"/>
      <c r="AF84" s="107" t="s">
        <v>394</v>
      </c>
      <c r="AG84" s="117">
        <f t="shared" si="92"/>
        <v>0</v>
      </c>
      <c r="AH84" s="117">
        <f t="shared" si="78"/>
        <v>0</v>
      </c>
      <c r="AI84" s="117">
        <f t="shared" si="79"/>
        <v>0</v>
      </c>
      <c r="AJ84" s="118">
        <f t="shared" si="80"/>
        <v>0</v>
      </c>
    </row>
    <row r="85" spans="1:36" x14ac:dyDescent="0.25">
      <c r="A85">
        <v>10</v>
      </c>
      <c r="B85" s="107" t="s">
        <v>395</v>
      </c>
      <c r="C85" s="113">
        <f>INDEX(TourMode_input!$B$4:$J$172,MATCH(TourMode!$A85,modes,0),MATCH("imain",modePurpose,0))+INDEX(TourMode_input!$B$4:$J$172,MATCH(TourMode!$A84,modes,0),MATCH("imain",modePurpose,0))</f>
        <v>50147.1011</v>
      </c>
      <c r="D85" s="113">
        <f>INDEX(TourMode_input!$B$20:$J$33,MATCH(TourMode!$A85,modes,0),MATCH("imain",modePurpose,0))+INDEX(TourMode_input!$B$20:$J$33,MATCH(TourMode!$A84,modes,0),MATCH("imain",modePurpose,0))</f>
        <v>24377.334989999999</v>
      </c>
      <c r="E85" s="113">
        <f>INDEX(TourMode_input!$B$36:$J$49,MATCH(TourMode!$A85,modes,0),MATCH("imain",modePurpose,0))+INDEX(TourMode_input!$B$36:$J$49,MATCH(TourMode!$A84,modes,0),MATCH("imain",modePurpose,0))</f>
        <v>12987.261069999999</v>
      </c>
      <c r="F85" s="116">
        <f t="shared" si="81"/>
        <v>87511.697159999996</v>
      </c>
      <c r="G85" s="115"/>
      <c r="H85" s="107" t="s">
        <v>395</v>
      </c>
      <c r="I85" s="113">
        <f>INDEX(TourMode_input!$L$4:$T$17,MATCH(TourMode!$A85,modes,0),MATCH("imain",modePurpose,0))*Index!$B$2</f>
        <v>39490</v>
      </c>
      <c r="J85" s="113">
        <f>INDEX(TourMode_input!$L$20:$T$33,MATCH(TourMode!$A85,modes,0), MATCH("imain",modePurpose,0))*Index!$B$2</f>
        <v>15925</v>
      </c>
      <c r="K85" s="113">
        <f>INDEX(TourMode_input!$L$36:$T$49,MATCH(TourMode!$A85,modes,0), MATCH("imain",modePurpose,0))*Index!$B$2</f>
        <v>9165</v>
      </c>
      <c r="L85" s="116">
        <f t="shared" si="82"/>
        <v>64580</v>
      </c>
      <c r="N85" s="107" t="s">
        <v>395</v>
      </c>
      <c r="O85" s="117">
        <f t="shared" si="83"/>
        <v>0.31605786397615815</v>
      </c>
      <c r="P85" s="117">
        <f t="shared" si="84"/>
        <v>5.6763419671721972E-2</v>
      </c>
      <c r="Q85" s="117">
        <f t="shared" si="85"/>
        <v>1.0637165677366719E-2</v>
      </c>
      <c r="R85" s="118">
        <f t="shared" si="86"/>
        <v>4.8374345840392199E-2</v>
      </c>
      <c r="S85" s="115"/>
      <c r="T85" s="107" t="s">
        <v>395</v>
      </c>
      <c r="U85" s="117">
        <f t="shared" si="87"/>
        <v>0.21108052489510115</v>
      </c>
      <c r="V85" s="117">
        <f t="shared" si="88"/>
        <v>1.4869905831710949E-2</v>
      </c>
      <c r="W85" s="117">
        <f t="shared" si="89"/>
        <v>5.4622662594054983E-3</v>
      </c>
      <c r="X85" s="118">
        <f t="shared" si="90"/>
        <v>2.1996549627628866E-2</v>
      </c>
      <c r="Z85" s="107" t="s">
        <v>395</v>
      </c>
      <c r="AA85" s="113">
        <f t="shared" si="91"/>
        <v>-10657.1011</v>
      </c>
      <c r="AB85" s="113">
        <f t="shared" si="75"/>
        <v>-8452.3349899999994</v>
      </c>
      <c r="AC85" s="113">
        <f t="shared" si="76"/>
        <v>-3822.2610699999987</v>
      </c>
      <c r="AD85" s="116">
        <f t="shared" si="77"/>
        <v>-22931.697159999996</v>
      </c>
      <c r="AE85" s="115"/>
      <c r="AF85" s="107" t="s">
        <v>395</v>
      </c>
      <c r="AG85" s="117">
        <f t="shared" si="92"/>
        <v>-0.21251679291986034</v>
      </c>
      <c r="AH85" s="117">
        <f t="shared" si="78"/>
        <v>-0.34672924638674785</v>
      </c>
      <c r="AI85" s="117">
        <f t="shared" si="79"/>
        <v>-0.29430848039462715</v>
      </c>
      <c r="AJ85" s="118">
        <f t="shared" si="80"/>
        <v>-0.26204150878337273</v>
      </c>
    </row>
    <row r="86" spans="1:36" x14ac:dyDescent="0.25">
      <c r="A86">
        <v>11</v>
      </c>
      <c r="B86" s="107" t="s">
        <v>396</v>
      </c>
      <c r="C86" s="113">
        <f>INDEX(TourMode_input!$B$4:$J$172,MATCH(TourMode!$A86,modes,0),MATCH("imain",modePurpose,0))</f>
        <v>2873.6168499999999</v>
      </c>
      <c r="D86" s="113">
        <f>INDEX(TourMode_input!$B$20:$J$33,MATCH(TourMode!$A86,modes,0),MATCH("imain",modePurpose,0))</f>
        <v>1018.85867</v>
      </c>
      <c r="E86" s="113">
        <f>INDEX(TourMode_input!$B$36:$J$49,MATCH(TourMode!$A86,modes,0),MATCH("imain",modePurpose,0))</f>
        <v>2090.3649999999998</v>
      </c>
      <c r="F86" s="116">
        <f t="shared" si="81"/>
        <v>5982.8405199999997</v>
      </c>
      <c r="G86" s="115"/>
      <c r="H86" s="107" t="s">
        <v>396</v>
      </c>
      <c r="I86" s="113">
        <f>INDEX(TourMode_input!$L$4:$T$17,MATCH(TourMode!$A86,modes,0),MATCH("imain",modePurpose,0))*Index!$B$2</f>
        <v>940</v>
      </c>
      <c r="J86" s="113">
        <f>INDEX(TourMode_input!$L$20:$T$33,MATCH(TourMode!$A86,modes,0), MATCH("imain",modePurpose,0))*Index!$B$2</f>
        <v>285</v>
      </c>
      <c r="K86" s="113">
        <f>INDEX(TourMode_input!$L$36:$T$49,MATCH(TourMode!$A86,modes,0), MATCH("imain",modePurpose,0))*Index!$B$2</f>
        <v>575</v>
      </c>
      <c r="L86" s="116">
        <f t="shared" si="82"/>
        <v>1800</v>
      </c>
      <c r="N86" s="107" t="s">
        <v>396</v>
      </c>
      <c r="O86" s="117">
        <f t="shared" si="83"/>
        <v>1.8111300226223766E-2</v>
      </c>
      <c r="P86" s="117">
        <f t="shared" si="84"/>
        <v>2.3724456465445028E-3</v>
      </c>
      <c r="Q86" s="117">
        <f t="shared" si="85"/>
        <v>1.7121053246963551E-3</v>
      </c>
      <c r="R86" s="118">
        <f t="shared" si="86"/>
        <v>3.3071692792478336E-3</v>
      </c>
      <c r="S86" s="115"/>
      <c r="T86" s="107" t="s">
        <v>396</v>
      </c>
      <c r="U86" s="117">
        <f t="shared" si="87"/>
        <v>5.0244541251302883E-3</v>
      </c>
      <c r="V86" s="117">
        <f t="shared" si="88"/>
        <v>2.6611762398980347E-4</v>
      </c>
      <c r="W86" s="117">
        <f t="shared" si="89"/>
        <v>3.4269537361245625E-4</v>
      </c>
      <c r="X86" s="118">
        <f t="shared" si="90"/>
        <v>6.1309676880972371E-4</v>
      </c>
      <c r="Z86" s="107" t="s">
        <v>396</v>
      </c>
      <c r="AA86" s="113">
        <f t="shared" si="91"/>
        <v>-1933.6168499999999</v>
      </c>
      <c r="AB86" s="113">
        <f t="shared" si="75"/>
        <v>-733.85866999999996</v>
      </c>
      <c r="AC86" s="113">
        <f t="shared" si="76"/>
        <v>-1515.3649999999998</v>
      </c>
      <c r="AD86" s="116">
        <f t="shared" si="77"/>
        <v>-4182.8405199999997</v>
      </c>
      <c r="AE86" s="115"/>
      <c r="AF86" s="107" t="s">
        <v>396</v>
      </c>
      <c r="AG86" s="117">
        <f t="shared" si="92"/>
        <v>-0.67288610518830994</v>
      </c>
      <c r="AH86" s="117">
        <f t="shared" si="78"/>
        <v>-0.72027523699631468</v>
      </c>
      <c r="AI86" s="117">
        <f t="shared" si="79"/>
        <v>-0.72492842159144455</v>
      </c>
      <c r="AJ86" s="118">
        <f t="shared" si="80"/>
        <v>-0.69913956523113208</v>
      </c>
    </row>
    <row r="87" spans="1:36" x14ac:dyDescent="0.25">
      <c r="A87">
        <v>12</v>
      </c>
      <c r="B87" s="107" t="s">
        <v>397</v>
      </c>
      <c r="C87" s="113">
        <f>INDEX(TourMode_input!$B$4:$J$172,MATCH(TourMode!$A87,modes,0),MATCH("imain",modePurpose,0))</f>
        <v>0</v>
      </c>
      <c r="D87" s="113">
        <f>INDEX(TourMode_input!$B$20:$J$33,MATCH(TourMode!$A87,modes,0),MATCH("imain",modePurpose,0))</f>
        <v>1673.26422</v>
      </c>
      <c r="E87" s="113">
        <f>INDEX(TourMode_input!$B$36:$J$49,MATCH(TourMode!$A87,modes,0),MATCH("imain",modePurpose,0))</f>
        <v>3430.85968</v>
      </c>
      <c r="F87" s="116">
        <f t="shared" si="81"/>
        <v>5104.1239000000005</v>
      </c>
      <c r="G87" s="115"/>
      <c r="H87" s="107" t="s">
        <v>397</v>
      </c>
      <c r="I87" s="113">
        <f>INDEX(TourMode_input!$L$4:$T$17,MATCH(TourMode!$A87,modes,0),MATCH("imain",modePurpose,0))*Index!$B$2</f>
        <v>0</v>
      </c>
      <c r="J87" s="113">
        <f>INDEX(TourMode_input!$L$20:$T$33,MATCH(TourMode!$A87,modes,0), MATCH("imain",modePurpose,0))*Index!$B$2</f>
        <v>0</v>
      </c>
      <c r="K87" s="113">
        <f>INDEX(TourMode_input!$L$36:$T$49,MATCH(TourMode!$A87,modes,0), MATCH("imain",modePurpose,0))*Index!$B$2</f>
        <v>1020</v>
      </c>
      <c r="L87" s="116">
        <f t="shared" si="82"/>
        <v>1020</v>
      </c>
      <c r="N87" s="107" t="s">
        <v>397</v>
      </c>
      <c r="O87" s="117">
        <f t="shared" si="83"/>
        <v>0</v>
      </c>
      <c r="P87" s="117">
        <f t="shared" si="84"/>
        <v>3.8962503153235997E-3</v>
      </c>
      <c r="Q87" s="117">
        <f t="shared" si="85"/>
        <v>2.8100322797281977E-3</v>
      </c>
      <c r="R87" s="118">
        <f t="shared" si="86"/>
        <v>2.8214360224254557E-3</v>
      </c>
      <c r="S87" s="115"/>
      <c r="T87" s="107" t="s">
        <v>397</v>
      </c>
      <c r="U87" s="117">
        <f t="shared" si="87"/>
        <v>0</v>
      </c>
      <c r="V87" s="117">
        <f t="shared" si="88"/>
        <v>0</v>
      </c>
      <c r="W87" s="117">
        <f t="shared" si="89"/>
        <v>6.0791179319079195E-4</v>
      </c>
      <c r="X87" s="118">
        <f t="shared" si="90"/>
        <v>3.4742150232551012E-4</v>
      </c>
      <c r="Z87" s="107" t="s">
        <v>397</v>
      </c>
      <c r="AA87" s="113">
        <f t="shared" si="91"/>
        <v>0</v>
      </c>
      <c r="AB87" s="113">
        <f t="shared" si="75"/>
        <v>-1673.26422</v>
      </c>
      <c r="AC87" s="113">
        <f t="shared" si="76"/>
        <v>-2410.85968</v>
      </c>
      <c r="AD87" s="116">
        <f t="shared" si="77"/>
        <v>-4084.1239000000005</v>
      </c>
      <c r="AE87" s="115"/>
      <c r="AF87" s="107" t="s">
        <v>397</v>
      </c>
      <c r="AG87" s="117">
        <f t="shared" si="92"/>
        <v>0</v>
      </c>
      <c r="AH87" s="117">
        <f t="shared" si="78"/>
        <v>-1</v>
      </c>
      <c r="AI87" s="117">
        <f t="shared" si="79"/>
        <v>-0.70269842105579794</v>
      </c>
      <c r="AJ87" s="118">
        <f t="shared" si="80"/>
        <v>-0.80016159090495431</v>
      </c>
    </row>
    <row r="88" spans="1:36" x14ac:dyDescent="0.25">
      <c r="A88">
        <v>13</v>
      </c>
      <c r="B88" s="107" t="s">
        <v>398</v>
      </c>
      <c r="C88" s="113">
        <f>INDEX(TourMode_input!$B$4:$J$172,MATCH(TourMode!$A88,modes,0),MATCH("imain",modePurpose,0))</f>
        <v>6646.2762000000002</v>
      </c>
      <c r="D88" s="113">
        <f>INDEX(TourMode_input!$B$20:$J$33,MATCH(TourMode!$A88,modes,0),MATCH("imain",modePurpose,0))</f>
        <v>1698.5717400000001</v>
      </c>
      <c r="E88" s="113">
        <f>INDEX(TourMode_input!$B$36:$J$49,MATCH(TourMode!$A88,modes,0),MATCH("imain",modePurpose,0))</f>
        <v>1742.08295</v>
      </c>
      <c r="F88" s="116">
        <f t="shared" si="81"/>
        <v>10086.93089</v>
      </c>
      <c r="G88" s="115"/>
      <c r="H88" s="107" t="s">
        <v>398</v>
      </c>
      <c r="I88" s="113">
        <f>INDEX(TourMode_input!$L$4:$T$17,MATCH(TourMode!$A88,modes,0),MATCH("imain",modePurpose,0))*Index!$B$2</f>
        <v>10310</v>
      </c>
      <c r="J88" s="113">
        <f>INDEX(TourMode_input!$L$20:$T$33,MATCH(TourMode!$A88,modes,0), MATCH("imain",modePurpose,0))*Index!$B$2</f>
        <v>4115</v>
      </c>
      <c r="K88" s="113">
        <f>INDEX(TourMode_input!$L$36:$T$49,MATCH(TourMode!$A88,modes,0), MATCH("imain",modePurpose,0))*Index!$B$2</f>
        <v>2420</v>
      </c>
      <c r="L88" s="116">
        <f t="shared" si="82"/>
        <v>16845</v>
      </c>
      <c r="N88" s="107" t="s">
        <v>398</v>
      </c>
      <c r="O88" s="117">
        <f t="shared" si="83"/>
        <v>4.1888919061915171E-2</v>
      </c>
      <c r="P88" s="117">
        <f t="shared" si="84"/>
        <v>3.9551797011321711E-3</v>
      </c>
      <c r="Q88" s="117">
        <f t="shared" si="85"/>
        <v>1.4268462659668213E-3</v>
      </c>
      <c r="R88" s="118">
        <f t="shared" si="86"/>
        <v>5.5758109964301724E-3</v>
      </c>
      <c r="S88" s="115"/>
      <c r="T88" s="107" t="s">
        <v>398</v>
      </c>
      <c r="U88" s="117">
        <f t="shared" si="87"/>
        <v>5.5108640457546036E-2</v>
      </c>
      <c r="V88" s="117">
        <f t="shared" si="88"/>
        <v>3.8423649919931274E-3</v>
      </c>
      <c r="W88" s="117">
        <f t="shared" si="89"/>
        <v>1.4423005289428592E-3</v>
      </c>
      <c r="X88" s="118">
        <f t="shared" si="90"/>
        <v>5.737563928110998E-3</v>
      </c>
      <c r="Z88" s="107" t="s">
        <v>398</v>
      </c>
      <c r="AA88" s="113">
        <f t="shared" si="91"/>
        <v>3663.7237999999998</v>
      </c>
      <c r="AB88" s="113">
        <f t="shared" si="75"/>
        <v>2416.4282599999997</v>
      </c>
      <c r="AC88" s="113">
        <f t="shared" si="76"/>
        <v>677.91705000000002</v>
      </c>
      <c r="AD88" s="116">
        <f t="shared" si="77"/>
        <v>6758.0691100000004</v>
      </c>
      <c r="AE88" s="115"/>
      <c r="AF88" s="107" t="s">
        <v>398</v>
      </c>
      <c r="AG88" s="117">
        <f t="shared" si="92"/>
        <v>0.55124459016614435</v>
      </c>
      <c r="AH88" s="117">
        <f t="shared" si="78"/>
        <v>1.4226236096451244</v>
      </c>
      <c r="AI88" s="117">
        <f t="shared" si="79"/>
        <v>0.38914165941409395</v>
      </c>
      <c r="AJ88" s="118">
        <f t="shared" si="80"/>
        <v>0.66998269183144965</v>
      </c>
    </row>
    <row r="89" spans="1:36" x14ac:dyDescent="0.25">
      <c r="A89">
        <v>14</v>
      </c>
      <c r="B89" s="107" t="s">
        <v>399</v>
      </c>
      <c r="C89" s="113">
        <f>INDEX(TourMode_input!$B$4:$J$172,MATCH(TourMode!$A89,modes,0),MATCH("imain",modePurpose,0))</f>
        <v>94.936409999999995</v>
      </c>
      <c r="D89" s="113">
        <f>INDEX(TourMode_input!$B$20:$J$33,MATCH(TourMode!$A89,modes,0),MATCH("imain",modePurpose,0))</f>
        <v>46.280889999999999</v>
      </c>
      <c r="E89" s="113">
        <f>INDEX(TourMode_input!$B$36:$J$49,MATCH(TourMode!$A89,modes,0),MATCH("imain",modePurpose,0))</f>
        <v>534.73186999999996</v>
      </c>
      <c r="F89" s="116">
        <f t="shared" si="81"/>
        <v>675.94916999999998</v>
      </c>
      <c r="G89" s="115"/>
      <c r="H89" s="107" t="s">
        <v>399</v>
      </c>
      <c r="I89" s="113">
        <f>INDEX(TourMode_input!$L$4:$T$17,MATCH(TourMode!$A89,modes,0),MATCH("imain",modePurpose,0))*Index!$B$2</f>
        <v>0</v>
      </c>
      <c r="J89" s="113">
        <f>INDEX(TourMode_input!$L$20:$T$33,MATCH(TourMode!$A89,modes,0), MATCH("imain",modePurpose,0))*Index!$B$2</f>
        <v>0</v>
      </c>
      <c r="K89" s="113">
        <f>INDEX(TourMode_input!$L$36:$T$49,MATCH(TourMode!$A89,modes,0), MATCH("imain",modePurpose,0))*Index!$B$2</f>
        <v>0</v>
      </c>
      <c r="L89" s="116">
        <f t="shared" si="82"/>
        <v>0</v>
      </c>
      <c r="N89" s="107" t="s">
        <v>399</v>
      </c>
      <c r="O89" s="117">
        <f t="shared" si="83"/>
        <v>5.9834762728018943E-4</v>
      </c>
      <c r="P89" s="117">
        <f t="shared" si="84"/>
        <v>1.077665619694879E-4</v>
      </c>
      <c r="Q89" s="117">
        <f t="shared" si="85"/>
        <v>4.3797005877530438E-4</v>
      </c>
      <c r="R89" s="118">
        <f t="shared" si="86"/>
        <v>3.7364832338152839E-4</v>
      </c>
      <c r="S89" s="115"/>
      <c r="T89" s="107" t="s">
        <v>399</v>
      </c>
      <c r="U89" s="117">
        <f t="shared" si="87"/>
        <v>0</v>
      </c>
      <c r="V89" s="117">
        <f t="shared" si="88"/>
        <v>0</v>
      </c>
      <c r="W89" s="117">
        <f t="shared" si="89"/>
        <v>0</v>
      </c>
      <c r="X89" s="118">
        <f t="shared" si="90"/>
        <v>0</v>
      </c>
      <c r="Z89" s="107" t="s">
        <v>399</v>
      </c>
      <c r="AA89" s="113">
        <f t="shared" si="91"/>
        <v>-94.936409999999995</v>
      </c>
      <c r="AB89" s="113">
        <f t="shared" si="75"/>
        <v>-46.280889999999999</v>
      </c>
      <c r="AC89" s="113">
        <f t="shared" si="76"/>
        <v>-534.73186999999996</v>
      </c>
      <c r="AD89" s="116">
        <f t="shared" si="77"/>
        <v>-675.94916999999998</v>
      </c>
      <c r="AE89" s="115"/>
      <c r="AF89" s="107" t="s">
        <v>399</v>
      </c>
      <c r="AG89" s="117">
        <f t="shared" si="92"/>
        <v>-1</v>
      </c>
      <c r="AH89" s="117">
        <f t="shared" si="78"/>
        <v>-1</v>
      </c>
      <c r="AI89" s="117">
        <f t="shared" si="79"/>
        <v>-1</v>
      </c>
      <c r="AJ89" s="118">
        <f t="shared" si="80"/>
        <v>-1</v>
      </c>
    </row>
    <row r="90" spans="1:36" ht="15.75" thickBot="1" x14ac:dyDescent="0.3">
      <c r="B90" s="108" t="s">
        <v>29</v>
      </c>
      <c r="C90" s="109">
        <f>SUM(C76:C89)</f>
        <v>158664.30427999998</v>
      </c>
      <c r="D90" s="110">
        <f>SUM(D76:D89)</f>
        <v>429455.01048000006</v>
      </c>
      <c r="E90" s="111">
        <f>SUM(E76:E89)</f>
        <v>1220932.47994</v>
      </c>
      <c r="F90" s="112">
        <f>SUM(F76:F89)</f>
        <v>1809051.7947000002</v>
      </c>
      <c r="H90" s="108" t="s">
        <v>29</v>
      </c>
      <c r="I90" s="109">
        <f>SUM(I76:I89)</f>
        <v>187085</v>
      </c>
      <c r="J90" s="110">
        <f>SUM(J76:J89)</f>
        <v>1070955</v>
      </c>
      <c r="K90" s="111">
        <f>SUM(K76:K89)</f>
        <v>1677875</v>
      </c>
      <c r="L90" s="112">
        <f>SUM(L76:L89)</f>
        <v>2935915</v>
      </c>
      <c r="N90" s="108" t="s">
        <v>29</v>
      </c>
      <c r="O90" s="120">
        <f t="shared" si="83"/>
        <v>1</v>
      </c>
      <c r="P90" s="121">
        <f t="shared" si="84"/>
        <v>1</v>
      </c>
      <c r="Q90" s="122">
        <f t="shared" si="85"/>
        <v>1</v>
      </c>
      <c r="R90" s="123">
        <f t="shared" si="86"/>
        <v>1</v>
      </c>
      <c r="T90" s="108" t="s">
        <v>29</v>
      </c>
      <c r="U90" s="120">
        <f t="shared" si="87"/>
        <v>1</v>
      </c>
      <c r="V90" s="121">
        <f t="shared" si="88"/>
        <v>1</v>
      </c>
      <c r="W90" s="122">
        <f t="shared" si="89"/>
        <v>1</v>
      </c>
      <c r="X90" s="123">
        <f t="shared" si="90"/>
        <v>1</v>
      </c>
      <c r="Z90" s="108" t="s">
        <v>29</v>
      </c>
      <c r="AA90" s="109">
        <f t="shared" si="91"/>
        <v>28420.695720000018</v>
      </c>
      <c r="AB90" s="110">
        <f t="shared" si="75"/>
        <v>641499.98951999994</v>
      </c>
      <c r="AC90" s="111">
        <f t="shared" si="76"/>
        <v>456942.52006000001</v>
      </c>
      <c r="AD90" s="112">
        <f t="shared" si="77"/>
        <v>1126863.2052999998</v>
      </c>
      <c r="AF90" s="108" t="s">
        <v>29</v>
      </c>
      <c r="AG90" s="117">
        <f t="shared" si="92"/>
        <v>0.17912469883487533</v>
      </c>
      <c r="AH90" s="117">
        <f t="shared" si="78"/>
        <v>1.4937536502438244</v>
      </c>
      <c r="AI90" s="117">
        <f t="shared" si="79"/>
        <v>0.37425699419713648</v>
      </c>
      <c r="AJ90" s="118">
        <f t="shared" si="80"/>
        <v>0.62290267675109345</v>
      </c>
    </row>
    <row r="91" spans="1:36" ht="26.25" x14ac:dyDescent="0.4">
      <c r="A91" s="150" t="s">
        <v>151</v>
      </c>
    </row>
    <row r="92" spans="1:36" ht="26.25" x14ac:dyDescent="0.25">
      <c r="B92" s="102" t="s">
        <v>134</v>
      </c>
      <c r="C92" s="103" t="s">
        <v>135</v>
      </c>
      <c r="D92" s="104" t="s">
        <v>136</v>
      </c>
      <c r="E92" s="105" t="s">
        <v>137</v>
      </c>
      <c r="F92" s="106" t="s">
        <v>29</v>
      </c>
      <c r="H92" s="102" t="s">
        <v>134</v>
      </c>
      <c r="I92" s="103" t="s">
        <v>135</v>
      </c>
      <c r="J92" s="104" t="s">
        <v>136</v>
      </c>
      <c r="K92" s="105" t="s">
        <v>137</v>
      </c>
      <c r="L92" s="106" t="s">
        <v>29</v>
      </c>
      <c r="N92" s="102" t="s">
        <v>134</v>
      </c>
      <c r="O92" s="103" t="s">
        <v>135</v>
      </c>
      <c r="P92" s="104" t="s">
        <v>136</v>
      </c>
      <c r="Q92" s="105" t="s">
        <v>137</v>
      </c>
      <c r="R92" s="106" t="s">
        <v>29</v>
      </c>
      <c r="T92" s="102" t="s">
        <v>134</v>
      </c>
      <c r="U92" s="103" t="s">
        <v>135</v>
      </c>
      <c r="V92" s="104" t="s">
        <v>136</v>
      </c>
      <c r="W92" s="105" t="s">
        <v>137</v>
      </c>
      <c r="X92" s="106" t="s">
        <v>29</v>
      </c>
      <c r="Z92" s="102" t="s">
        <v>134</v>
      </c>
      <c r="AA92" s="103" t="s">
        <v>135</v>
      </c>
      <c r="AB92" s="104" t="s">
        <v>136</v>
      </c>
      <c r="AC92" s="105" t="s">
        <v>137</v>
      </c>
      <c r="AD92" s="106" t="s">
        <v>29</v>
      </c>
      <c r="AF92" s="102" t="s">
        <v>134</v>
      </c>
      <c r="AG92" s="103" t="s">
        <v>135</v>
      </c>
      <c r="AH92" s="104" t="s">
        <v>136</v>
      </c>
      <c r="AI92" s="105" t="s">
        <v>137</v>
      </c>
      <c r="AJ92" s="106" t="s">
        <v>29</v>
      </c>
    </row>
    <row r="93" spans="1:36" x14ac:dyDescent="0.25">
      <c r="A93">
        <v>1</v>
      </c>
      <c r="B93" s="107" t="s">
        <v>386</v>
      </c>
      <c r="C93" s="113">
        <f>INDEX(TourMode_input!$B$4:$J$172,MATCH(TourMode!$A93,modes,0),MATCH("idisc",modePurpose,0))</f>
        <v>3336.3014400000002</v>
      </c>
      <c r="D93" s="113">
        <f>INDEX(TourMode_input!$B$20:$J$33,MATCH(TourMode!$A93,modes,0),MATCH("idisc",modePurpose,0))</f>
        <v>106682.22534</v>
      </c>
      <c r="E93" s="113">
        <f>INDEX(TourMode_input!$B$36:$J$49,MATCH(TourMode!$A93,modes,0),MATCH("idisc",modePurpose,0))</f>
        <v>564511.13792000001</v>
      </c>
      <c r="F93" s="114">
        <f>SUM(C93:E93)</f>
        <v>674529.66469999996</v>
      </c>
      <c r="G93" s="115"/>
      <c r="H93" s="107" t="s">
        <v>386</v>
      </c>
      <c r="I93" s="113">
        <f>INDEX(TourMode_input!$L$4:$T$17,MATCH(TourMode!$A93,modes,0),MATCH("idisc",modePurpose,0))*Index!$B$2</f>
        <v>0</v>
      </c>
      <c r="J93" s="113">
        <f>INDEX(TourMode_input!$L$20:$T$33,MATCH(TourMode!$A93,modes,0), MATCH("idisc",modePurpose,0))*Index!$B$2</f>
        <v>306855</v>
      </c>
      <c r="K93" s="113">
        <f>INDEX(TourMode_input!$L$36:$T$49,MATCH(TourMode!$A93,modes,0), MATCH("idisc",modePurpose,0))*Index!$B$2</f>
        <v>813810</v>
      </c>
      <c r="L93" s="114">
        <f>SUM(I93:K93)</f>
        <v>1120665</v>
      </c>
      <c r="N93" s="107" t="s">
        <v>386</v>
      </c>
      <c r="O93" s="117">
        <f>C93/C$107</f>
        <v>3.3897513759594648E-2</v>
      </c>
      <c r="P93" s="117">
        <f>D93/D$107</f>
        <v>0.33680975853341877</v>
      </c>
      <c r="Q93" s="117">
        <f>E93/E$107</f>
        <v>0.54256339542166376</v>
      </c>
      <c r="R93" s="118">
        <f>F93/F$107</f>
        <v>0.4633973180860172</v>
      </c>
      <c r="S93" s="115"/>
      <c r="T93" s="107" t="s">
        <v>386</v>
      </c>
      <c r="U93" s="117">
        <f>I93/I$107</f>
        <v>0</v>
      </c>
      <c r="V93" s="117">
        <f>J93/J$107</f>
        <v>0.32184492749823007</v>
      </c>
      <c r="W93" s="117">
        <f>K93/K$107</f>
        <v>0.51243447461629277</v>
      </c>
      <c r="X93" s="118">
        <f>L93/L$107</f>
        <v>0.41414079822616406</v>
      </c>
      <c r="Z93" s="107" t="s">
        <v>386</v>
      </c>
      <c r="AA93" s="113">
        <f>I93-C93</f>
        <v>-3336.3014400000002</v>
      </c>
      <c r="AB93" s="113">
        <f t="shared" ref="AB93:AB107" si="93">J93-D93</f>
        <v>200172.77466</v>
      </c>
      <c r="AC93" s="113">
        <f t="shared" ref="AC93:AC107" si="94">K93-E93</f>
        <v>249298.86207999999</v>
      </c>
      <c r="AD93" s="114">
        <f t="shared" ref="AD93:AD107" si="95">L93-F93</f>
        <v>446135.33530000004</v>
      </c>
      <c r="AE93" s="115"/>
      <c r="AF93" s="107" t="s">
        <v>386</v>
      </c>
      <c r="AG93" s="117">
        <f>IF(C93=0, 0,AA93/C93)</f>
        <v>-1</v>
      </c>
      <c r="AH93" s="117">
        <f t="shared" ref="AH93:AH107" si="96">IF(D93=0, 0,AB93/D93)</f>
        <v>1.8763460737910398</v>
      </c>
      <c r="AI93" s="117">
        <f t="shared" ref="AI93:AI107" si="97">IF(E93=0, 0,AC93/E93)</f>
        <v>0.44161903164314448</v>
      </c>
      <c r="AJ93" s="118">
        <f t="shared" ref="AJ93:AJ107" si="98">IF(F93=0, 0,AD93/F93)</f>
        <v>0.66140209785795068</v>
      </c>
    </row>
    <row r="94" spans="1:36" x14ac:dyDescent="0.25">
      <c r="A94">
        <v>2</v>
      </c>
      <c r="B94" s="107" t="s">
        <v>387</v>
      </c>
      <c r="C94" s="113">
        <f>INDEX(TourMode_input!$B$4:$J$172,MATCH(TourMode!$A94,modes,0),MATCH("idisc",modePurpose,0))</f>
        <v>71.544870000000003</v>
      </c>
      <c r="D94" s="113">
        <f>INDEX(TourMode_input!$B$20:$J$33,MATCH(TourMode!$A94,modes,0),MATCH("idisc",modePurpose,0))</f>
        <v>701.86968000000002</v>
      </c>
      <c r="E94" s="113">
        <f>INDEX(TourMode_input!$B$36:$J$49,MATCH(TourMode!$A94,modes,0),MATCH("idisc",modePurpose,0))</f>
        <v>11850.152819999999</v>
      </c>
      <c r="F94" s="116">
        <f t="shared" ref="F94:F106" si="99">SUM(C94:E94)</f>
        <v>12623.567369999999</v>
      </c>
      <c r="G94" s="115"/>
      <c r="H94" s="107" t="s">
        <v>387</v>
      </c>
      <c r="I94" s="113">
        <f>INDEX(TourMode_input!$L$4:$T$17,MATCH(TourMode!$A94,modes,0),MATCH("idisc",modePurpose,0))*Index!$B$2</f>
        <v>0</v>
      </c>
      <c r="J94" s="113">
        <f>INDEX(TourMode_input!$L$20:$T$33,MATCH(TourMode!$A94,modes,0), MATCH("idisc",modePurpose,0))*Index!$B$2</f>
        <v>22860</v>
      </c>
      <c r="K94" s="113">
        <f>INDEX(TourMode_input!$L$36:$T$49,MATCH(TourMode!$A94,modes,0), MATCH("idisc",modePurpose,0))*Index!$B$2</f>
        <v>58175</v>
      </c>
      <c r="L94" s="116">
        <f t="shared" ref="L94:L106" si="100">SUM(I94:K94)</f>
        <v>81035</v>
      </c>
      <c r="N94" s="107" t="s">
        <v>387</v>
      </c>
      <c r="O94" s="117">
        <f t="shared" ref="O94:O107" si="101">C94/C$107</f>
        <v>7.2691070002757615E-4</v>
      </c>
      <c r="P94" s="117">
        <f t="shared" ref="P94:P107" si="102">D94/D$107</f>
        <v>2.2158945099741197E-3</v>
      </c>
      <c r="Q94" s="117">
        <f t="shared" ref="Q94:Q107" si="103">E94/E$107</f>
        <v>1.138942833612604E-2</v>
      </c>
      <c r="R94" s="118">
        <f t="shared" ref="R94:R107" si="104">F94/F$107</f>
        <v>8.6723054152671678E-3</v>
      </c>
      <c r="S94" s="115"/>
      <c r="T94" s="107" t="s">
        <v>387</v>
      </c>
      <c r="U94" s="117">
        <f t="shared" ref="U94:U107" si="105">I94/I$107</f>
        <v>0</v>
      </c>
      <c r="V94" s="117">
        <f t="shared" ref="V94:V107" si="106">J94/J$107</f>
        <v>2.3976715525605055E-2</v>
      </c>
      <c r="W94" s="117">
        <f t="shared" ref="W94:W107" si="107">K94/K$107</f>
        <v>3.6631247540338446E-2</v>
      </c>
      <c r="X94" s="118">
        <f t="shared" ref="X94:X107" si="108">L94/L$107</f>
        <v>2.9946415373244641E-2</v>
      </c>
      <c r="Z94" s="107" t="s">
        <v>387</v>
      </c>
      <c r="AA94" s="113">
        <f t="shared" ref="AA94:AA107" si="109">I94-C94</f>
        <v>-71.544870000000003</v>
      </c>
      <c r="AB94" s="113">
        <f t="shared" si="93"/>
        <v>22158.13032</v>
      </c>
      <c r="AC94" s="113">
        <f t="shared" si="94"/>
        <v>46324.847179999997</v>
      </c>
      <c r="AD94" s="116">
        <f t="shared" si="95"/>
        <v>68411.432629999996</v>
      </c>
      <c r="AE94" s="115"/>
      <c r="AF94" s="107" t="s">
        <v>387</v>
      </c>
      <c r="AG94" s="117">
        <f t="shared" ref="AG94:AG107" si="110">IF(C94=0, 0,AA94/C94)</f>
        <v>-1</v>
      </c>
      <c r="AH94" s="117">
        <f t="shared" si="96"/>
        <v>31.570148919953343</v>
      </c>
      <c r="AI94" s="117">
        <f t="shared" si="97"/>
        <v>3.9092193901344134</v>
      </c>
      <c r="AJ94" s="118">
        <f t="shared" si="98"/>
        <v>5.419342300384935</v>
      </c>
    </row>
    <row r="95" spans="1:36" x14ac:dyDescent="0.25">
      <c r="A95">
        <v>3</v>
      </c>
      <c r="B95" s="107" t="s">
        <v>388</v>
      </c>
      <c r="C95" s="113">
        <f>INDEX(TourMode_input!$B$4:$J$172,MATCH(TourMode!$A95,modes,0),MATCH("idisc",modePurpose,0))</f>
        <v>14236.742630000001</v>
      </c>
      <c r="D95" s="113">
        <f>INDEX(TourMode_input!$B$20:$J$33,MATCH(TourMode!$A95,modes,0),MATCH("idisc",modePurpose,0))</f>
        <v>70750.201889999997</v>
      </c>
      <c r="E95" s="113">
        <f>INDEX(TourMode_input!$B$36:$J$49,MATCH(TourMode!$A95,modes,0),MATCH("idisc",modePurpose,0))</f>
        <v>181553.83566000001</v>
      </c>
      <c r="F95" s="116">
        <f t="shared" si="99"/>
        <v>266540.78018</v>
      </c>
      <c r="G95" s="115"/>
      <c r="H95" s="107" t="s">
        <v>388</v>
      </c>
      <c r="I95" s="113">
        <f>INDEX(TourMode_input!$L$4:$T$17,MATCH(TourMode!$A95,modes,0),MATCH("idisc",modePurpose,0))*Index!$B$2</f>
        <v>33230</v>
      </c>
      <c r="J95" s="113">
        <f>INDEX(TourMode_input!$L$20:$T$33,MATCH(TourMode!$A95,modes,0), MATCH("idisc",modePurpose,0))*Index!$B$2</f>
        <v>223705</v>
      </c>
      <c r="K95" s="113">
        <f>INDEX(TourMode_input!$L$36:$T$49,MATCH(TourMode!$A95,modes,0), MATCH("idisc",modePurpose,0))*Index!$B$2</f>
        <v>283215</v>
      </c>
      <c r="L95" s="116">
        <f t="shared" si="100"/>
        <v>540150</v>
      </c>
      <c r="N95" s="107" t="s">
        <v>388</v>
      </c>
      <c r="O95" s="117">
        <f t="shared" si="101"/>
        <v>0.14464825432327624</v>
      </c>
      <c r="P95" s="117">
        <f t="shared" si="102"/>
        <v>0.22336765415997392</v>
      </c>
      <c r="Q95" s="117">
        <f t="shared" si="103"/>
        <v>0.17449516743011712</v>
      </c>
      <c r="R95" s="118">
        <f t="shared" si="104"/>
        <v>0.18311171347949562</v>
      </c>
      <c r="S95" s="115"/>
      <c r="T95" s="107" t="s">
        <v>388</v>
      </c>
      <c r="U95" s="117">
        <f t="shared" si="105"/>
        <v>0.20206749771967164</v>
      </c>
      <c r="V95" s="117">
        <f t="shared" si="106"/>
        <v>0.23463303353698509</v>
      </c>
      <c r="W95" s="117">
        <f t="shared" si="107"/>
        <v>0.17833293978748524</v>
      </c>
      <c r="X95" s="118">
        <f t="shared" si="108"/>
        <v>0.1996119733924612</v>
      </c>
      <c r="Z95" s="107" t="s">
        <v>388</v>
      </c>
      <c r="AA95" s="113">
        <f t="shared" si="109"/>
        <v>18993.257369999999</v>
      </c>
      <c r="AB95" s="113">
        <f t="shared" si="93"/>
        <v>152954.79811</v>
      </c>
      <c r="AC95" s="113">
        <f t="shared" si="94"/>
        <v>101661.16433999999</v>
      </c>
      <c r="AD95" s="116">
        <f t="shared" si="95"/>
        <v>273609.21982</v>
      </c>
      <c r="AE95" s="115"/>
      <c r="AF95" s="107" t="s">
        <v>388</v>
      </c>
      <c r="AG95" s="117">
        <f t="shared" si="110"/>
        <v>1.3341013364937115</v>
      </c>
      <c r="AH95" s="117">
        <f t="shared" si="96"/>
        <v>2.1618991045115168</v>
      </c>
      <c r="AI95" s="117">
        <f t="shared" si="97"/>
        <v>0.55995051809526708</v>
      </c>
      <c r="AJ95" s="118">
        <f t="shared" si="98"/>
        <v>1.0265191676681764</v>
      </c>
    </row>
    <row r="96" spans="1:36" x14ac:dyDescent="0.25">
      <c r="A96">
        <v>4</v>
      </c>
      <c r="B96" s="107" t="s">
        <v>389</v>
      </c>
      <c r="C96" s="113">
        <f>INDEX(TourMode_input!$B$4:$J$172,MATCH(TourMode!$A96,modes,0),MATCH("idisc",modePurpose,0))</f>
        <v>0</v>
      </c>
      <c r="D96" s="113">
        <f>INDEX(TourMode_input!$B$20:$J$33,MATCH(TourMode!$A96,modes,0),MATCH("idisc",modePurpose,0))</f>
        <v>2012.73119</v>
      </c>
      <c r="E96" s="113">
        <f>INDEX(TourMode_input!$B$36:$J$49,MATCH(TourMode!$A96,modes,0),MATCH("idisc",modePurpose,0))</f>
        <v>2724.9924999999998</v>
      </c>
      <c r="F96" s="116">
        <f t="shared" si="99"/>
        <v>4737.7236899999998</v>
      </c>
      <c r="G96" s="115"/>
      <c r="H96" s="107" t="s">
        <v>389</v>
      </c>
      <c r="I96" s="113">
        <f>INDEX(TourMode_input!$L$4:$T$17,MATCH(TourMode!$A96,modes,0),MATCH("idisc",modePurpose,0))*Index!$B$2</f>
        <v>390</v>
      </c>
      <c r="J96" s="113">
        <f>INDEX(TourMode_input!$L$20:$T$33,MATCH(TourMode!$A96,modes,0), MATCH("idisc",modePurpose,0))*Index!$B$2</f>
        <v>3785</v>
      </c>
      <c r="K96" s="113">
        <f>INDEX(TourMode_input!$L$36:$T$49,MATCH(TourMode!$A96,modes,0), MATCH("idisc",modePurpose,0))*Index!$B$2</f>
        <v>4925</v>
      </c>
      <c r="L96" s="116">
        <f t="shared" si="100"/>
        <v>9100</v>
      </c>
      <c r="N96" s="107" t="s">
        <v>389</v>
      </c>
      <c r="O96" s="117">
        <f t="shared" si="101"/>
        <v>0</v>
      </c>
      <c r="P96" s="117">
        <f t="shared" si="102"/>
        <v>6.3544559924210951E-3</v>
      </c>
      <c r="Q96" s="117">
        <f t="shared" si="103"/>
        <v>2.6190469664534618E-3</v>
      </c>
      <c r="R96" s="118">
        <f t="shared" si="104"/>
        <v>3.2547841357800393E-3</v>
      </c>
      <c r="S96" s="115"/>
      <c r="T96" s="107" t="s">
        <v>389</v>
      </c>
      <c r="U96" s="117">
        <f t="shared" si="105"/>
        <v>2.3715415019762848E-3</v>
      </c>
      <c r="V96" s="117">
        <f t="shared" si="106"/>
        <v>3.9698979993182471E-3</v>
      </c>
      <c r="W96" s="117">
        <f t="shared" si="107"/>
        <v>3.1011412829594649E-3</v>
      </c>
      <c r="X96" s="118">
        <f t="shared" si="108"/>
        <v>3.3628972653362899E-3</v>
      </c>
      <c r="Z96" s="107" t="s">
        <v>389</v>
      </c>
      <c r="AA96" s="113">
        <f t="shared" si="109"/>
        <v>390</v>
      </c>
      <c r="AB96" s="113">
        <f t="shared" si="93"/>
        <v>1772.26881</v>
      </c>
      <c r="AC96" s="113">
        <f t="shared" si="94"/>
        <v>2200.0075000000002</v>
      </c>
      <c r="AD96" s="116">
        <f t="shared" si="95"/>
        <v>4362.2763100000002</v>
      </c>
      <c r="AE96" s="115"/>
      <c r="AF96" s="107" t="s">
        <v>389</v>
      </c>
      <c r="AG96" s="117">
        <f t="shared" si="110"/>
        <v>0</v>
      </c>
      <c r="AH96" s="117">
        <f t="shared" si="96"/>
        <v>0.88052931201408968</v>
      </c>
      <c r="AI96" s="117">
        <f t="shared" si="97"/>
        <v>0.80734442388373562</v>
      </c>
      <c r="AJ96" s="118">
        <f t="shared" si="98"/>
        <v>0.92075363517031117</v>
      </c>
    </row>
    <row r="97" spans="1:36" x14ac:dyDescent="0.25">
      <c r="A97">
        <v>5</v>
      </c>
      <c r="B97" s="107" t="s">
        <v>390</v>
      </c>
      <c r="C97" s="113">
        <f>INDEX(TourMode_input!$B$4:$J$172,MATCH(TourMode!$A97,modes,0),MATCH("idisc",modePurpose,0))</f>
        <v>807.40101000000004</v>
      </c>
      <c r="D97" s="113">
        <f>INDEX(TourMode_input!$B$20:$J$33,MATCH(TourMode!$A97,modes,0),MATCH("idisc",modePurpose,0))</f>
        <v>45895.076869999997</v>
      </c>
      <c r="E97" s="113">
        <f>INDEX(TourMode_input!$B$36:$J$49,MATCH(TourMode!$A97,modes,0),MATCH("idisc",modePurpose,0))</f>
        <v>157856.90031999999</v>
      </c>
      <c r="F97" s="116">
        <f t="shared" si="99"/>
        <v>204559.37819999998</v>
      </c>
      <c r="G97" s="115"/>
      <c r="H97" s="107" t="s">
        <v>390</v>
      </c>
      <c r="I97" s="113">
        <f>INDEX(TourMode_input!$L$4:$T$17,MATCH(TourMode!$A97,modes,0),MATCH("idisc",modePurpose,0))*Index!$B$2</f>
        <v>1955</v>
      </c>
      <c r="J97" s="113">
        <f>INDEX(TourMode_input!$L$20:$T$33,MATCH(TourMode!$A97,modes,0), MATCH("idisc",modePurpose,0))*Index!$B$2</f>
        <v>143105</v>
      </c>
      <c r="K97" s="113">
        <f>INDEX(TourMode_input!$L$36:$T$49,MATCH(TourMode!$A97,modes,0), MATCH("idisc",modePurpose,0))*Index!$B$2</f>
        <v>249670</v>
      </c>
      <c r="L97" s="116">
        <f t="shared" si="100"/>
        <v>394730</v>
      </c>
      <c r="N97" s="107" t="s">
        <v>390</v>
      </c>
      <c r="O97" s="117">
        <f t="shared" si="101"/>
        <v>8.2033615181923182E-3</v>
      </c>
      <c r="P97" s="117">
        <f t="shared" si="102"/>
        <v>0.14489676897151788</v>
      </c>
      <c r="Q97" s="117">
        <f t="shared" si="103"/>
        <v>0.15171955002329091</v>
      </c>
      <c r="R97" s="118">
        <f t="shared" si="104"/>
        <v>0.14053090947361455</v>
      </c>
      <c r="S97" s="115"/>
      <c r="T97" s="107" t="s">
        <v>390</v>
      </c>
      <c r="U97" s="117">
        <f t="shared" si="105"/>
        <v>1.1888111888111888E-2</v>
      </c>
      <c r="V97" s="117">
        <f t="shared" si="106"/>
        <v>0.15009570758056481</v>
      </c>
      <c r="W97" s="117">
        <f t="shared" si="107"/>
        <v>0.15721054702872886</v>
      </c>
      <c r="X97" s="118">
        <f t="shared" si="108"/>
        <v>0.14587213599408722</v>
      </c>
      <c r="Z97" s="107" t="s">
        <v>390</v>
      </c>
      <c r="AA97" s="113">
        <f t="shared" si="109"/>
        <v>1147.59899</v>
      </c>
      <c r="AB97" s="113">
        <f t="shared" si="93"/>
        <v>97209.92313000001</v>
      </c>
      <c r="AC97" s="113">
        <f t="shared" si="94"/>
        <v>91813.099680000014</v>
      </c>
      <c r="AD97" s="116">
        <f t="shared" si="95"/>
        <v>190170.62180000002</v>
      </c>
      <c r="AE97" s="115"/>
      <c r="AF97" s="107" t="s">
        <v>390</v>
      </c>
      <c r="AG97" s="117">
        <f t="shared" si="110"/>
        <v>1.4213494605363448</v>
      </c>
      <c r="AH97" s="117">
        <f t="shared" si="96"/>
        <v>2.1180904306000352</v>
      </c>
      <c r="AI97" s="117">
        <f t="shared" si="97"/>
        <v>0.58162233956121567</v>
      </c>
      <c r="AJ97" s="118">
        <f t="shared" si="98"/>
        <v>0.92965975685587043</v>
      </c>
    </row>
    <row r="98" spans="1:36" x14ac:dyDescent="0.25">
      <c r="A98">
        <v>6</v>
      </c>
      <c r="B98" s="107" t="s">
        <v>391</v>
      </c>
      <c r="C98" s="113">
        <f>INDEX(TourMode_input!$B$4:$J$172,MATCH(TourMode!$A98,modes,0),MATCH("idisc",modePurpose,0))</f>
        <v>0</v>
      </c>
      <c r="D98" s="113">
        <f>INDEX(TourMode_input!$B$20:$J$33,MATCH(TourMode!$A98,modes,0),MATCH("idisc",modePurpose,0))</f>
        <v>227.84692999999999</v>
      </c>
      <c r="E98" s="113">
        <f>INDEX(TourMode_input!$B$36:$J$49,MATCH(TourMode!$A98,modes,0),MATCH("idisc",modePurpose,0))</f>
        <v>2851.70037</v>
      </c>
      <c r="F98" s="116">
        <f t="shared" si="99"/>
        <v>3079.5473000000002</v>
      </c>
      <c r="G98" s="115"/>
      <c r="H98" s="107" t="s">
        <v>391</v>
      </c>
      <c r="I98" s="113">
        <f>INDEX(TourMode_input!$L$4:$T$17,MATCH(TourMode!$A98,modes,0),MATCH("idisc",modePurpose,0))*Index!$B$2</f>
        <v>10</v>
      </c>
      <c r="J98" s="113">
        <f>INDEX(TourMode_input!$L$20:$T$33,MATCH(TourMode!$A98,modes,0), MATCH("idisc",modePurpose,0))*Index!$B$2</f>
        <v>1275</v>
      </c>
      <c r="K98" s="113">
        <f>INDEX(TourMode_input!$L$36:$T$49,MATCH(TourMode!$A98,modes,0), MATCH("idisc",modePurpose,0))*Index!$B$2</f>
        <v>2025</v>
      </c>
      <c r="L98" s="116">
        <f t="shared" si="100"/>
        <v>3310</v>
      </c>
      <c r="N98" s="107" t="s">
        <v>391</v>
      </c>
      <c r="O98" s="117">
        <f t="shared" si="101"/>
        <v>0</v>
      </c>
      <c r="P98" s="117">
        <f t="shared" si="102"/>
        <v>7.1934260118125841E-4</v>
      </c>
      <c r="Q98" s="117">
        <f t="shared" si="103"/>
        <v>2.740828535595131E-3</v>
      </c>
      <c r="R98" s="118">
        <f t="shared" si="104"/>
        <v>2.115628169405602E-3</v>
      </c>
      <c r="S98" s="115"/>
      <c r="T98" s="107" t="s">
        <v>391</v>
      </c>
      <c r="U98" s="117">
        <f t="shared" si="105"/>
        <v>6.0808756460930372E-5</v>
      </c>
      <c r="V98" s="117">
        <f t="shared" si="106"/>
        <v>1.3372840024123555E-3</v>
      </c>
      <c r="W98" s="117">
        <f t="shared" si="107"/>
        <v>1.2750885478158204E-3</v>
      </c>
      <c r="X98" s="118">
        <f t="shared" si="108"/>
        <v>1.2232076866223209E-3</v>
      </c>
      <c r="Z98" s="107" t="s">
        <v>391</v>
      </c>
      <c r="AA98" s="113">
        <f t="shared" si="109"/>
        <v>10</v>
      </c>
      <c r="AB98" s="113">
        <f t="shared" si="93"/>
        <v>1047.1530700000001</v>
      </c>
      <c r="AC98" s="113">
        <f t="shared" si="94"/>
        <v>-826.70037000000002</v>
      </c>
      <c r="AD98" s="116">
        <f t="shared" si="95"/>
        <v>230.45269999999982</v>
      </c>
      <c r="AE98" s="115"/>
      <c r="AF98" s="107" t="s">
        <v>391</v>
      </c>
      <c r="AG98" s="117">
        <f t="shared" si="110"/>
        <v>0</v>
      </c>
      <c r="AH98" s="117">
        <f t="shared" si="96"/>
        <v>4.5958620991733357</v>
      </c>
      <c r="AI98" s="117">
        <f t="shared" si="97"/>
        <v>-0.2898973464031917</v>
      </c>
      <c r="AJ98" s="118">
        <f t="shared" si="98"/>
        <v>7.4833304232735709E-2</v>
      </c>
    </row>
    <row r="99" spans="1:36" x14ac:dyDescent="0.25">
      <c r="A99">
        <v>7</v>
      </c>
      <c r="B99" s="107" t="s">
        <v>392</v>
      </c>
      <c r="C99" s="113">
        <f>INDEX(TourMode_input!$B$4:$J$172,MATCH(TourMode!$A99,modes,0),MATCH("idisc",modePurpose,0))</f>
        <v>36742.162770000003</v>
      </c>
      <c r="D99" s="113">
        <f>INDEX(TourMode_input!$B$20:$J$33,MATCH(TourMode!$A99,modes,0),MATCH("idisc",modePurpose,0))</f>
        <v>66210.473140000002</v>
      </c>
      <c r="E99" s="113">
        <f>INDEX(TourMode_input!$B$36:$J$49,MATCH(TourMode!$A99,modes,0),MATCH("idisc",modePurpose,0))</f>
        <v>83335.96041</v>
      </c>
      <c r="F99" s="116">
        <f t="shared" si="99"/>
        <v>186288.59632000001</v>
      </c>
      <c r="G99" s="115"/>
      <c r="H99" s="107" t="s">
        <v>392</v>
      </c>
      <c r="I99" s="113">
        <f>INDEX(TourMode_input!$L$4:$T$17,MATCH(TourMode!$A99,modes,0),MATCH("idisc",modePurpose,0))*Index!$B$2</f>
        <v>84315</v>
      </c>
      <c r="J99" s="113">
        <f>INDEX(TourMode_input!$L$20:$T$33,MATCH(TourMode!$A99,modes,0), MATCH("idisc",modePurpose,0))*Index!$B$2</f>
        <v>216160</v>
      </c>
      <c r="K99" s="113">
        <f>INDEX(TourMode_input!$L$36:$T$49,MATCH(TourMode!$A99,modes,0), MATCH("idisc",modePurpose,0))*Index!$B$2</f>
        <v>138540</v>
      </c>
      <c r="L99" s="116">
        <f t="shared" si="100"/>
        <v>439015</v>
      </c>
      <c r="N99" s="107" t="s">
        <v>392</v>
      </c>
      <c r="O99" s="117">
        <f t="shared" si="101"/>
        <v>0.37330798504026702</v>
      </c>
      <c r="P99" s="117">
        <f t="shared" si="102"/>
        <v>0.20903513588692832</v>
      </c>
      <c r="Q99" s="117">
        <f t="shared" si="103"/>
        <v>8.0095924780819144E-2</v>
      </c>
      <c r="R99" s="118">
        <f t="shared" si="104"/>
        <v>0.1279790058797346</v>
      </c>
      <c r="S99" s="115"/>
      <c r="T99" s="107" t="s">
        <v>392</v>
      </c>
      <c r="U99" s="117">
        <f t="shared" si="105"/>
        <v>0.51270903010033442</v>
      </c>
      <c r="V99" s="117">
        <f t="shared" si="106"/>
        <v>0.22671945879329786</v>
      </c>
      <c r="W99" s="117">
        <f t="shared" si="107"/>
        <v>8.7234946871310504E-2</v>
      </c>
      <c r="X99" s="118">
        <f t="shared" si="108"/>
        <v>0.16223762010347376</v>
      </c>
      <c r="Z99" s="107" t="s">
        <v>392</v>
      </c>
      <c r="AA99" s="113">
        <f t="shared" si="109"/>
        <v>47572.837229999997</v>
      </c>
      <c r="AB99" s="113">
        <f t="shared" si="93"/>
        <v>149949.52685999998</v>
      </c>
      <c r="AC99" s="113">
        <f t="shared" si="94"/>
        <v>55204.03959</v>
      </c>
      <c r="AD99" s="116">
        <f t="shared" si="95"/>
        <v>252726.40367999999</v>
      </c>
      <c r="AE99" s="115"/>
      <c r="AF99" s="107" t="s">
        <v>392</v>
      </c>
      <c r="AG99" s="117">
        <f t="shared" si="110"/>
        <v>1.2947750933389051</v>
      </c>
      <c r="AH99" s="117">
        <f t="shared" si="96"/>
        <v>2.2647403008725875</v>
      </c>
      <c r="AI99" s="117">
        <f t="shared" si="97"/>
        <v>0.66242759210315316</v>
      </c>
      <c r="AJ99" s="118">
        <f t="shared" si="98"/>
        <v>1.356639153831378</v>
      </c>
    </row>
    <row r="100" spans="1:36" x14ac:dyDescent="0.25">
      <c r="A100">
        <v>8</v>
      </c>
      <c r="B100" s="107" t="s">
        <v>393</v>
      </c>
      <c r="C100" s="113">
        <f>INDEX(TourMode_input!$B$4:$J$172,MATCH(TourMode!$A100,modes,0),MATCH("idisc",modePurpose,0))</f>
        <v>8482.99755</v>
      </c>
      <c r="D100" s="113">
        <f>INDEX(TourMode_input!$B$20:$J$33,MATCH(TourMode!$A100,modes,0),MATCH("idisc",modePurpose,0))</f>
        <v>7874.9451099999997</v>
      </c>
      <c r="E100" s="113">
        <f>INDEX(TourMode_input!$B$36:$J$49,MATCH(TourMode!$A100,modes,0),MATCH("idisc",modePurpose,0))</f>
        <v>18874.382079999999</v>
      </c>
      <c r="F100" s="116">
        <f t="shared" si="99"/>
        <v>35232.324739999996</v>
      </c>
      <c r="G100" s="115"/>
      <c r="H100" s="107" t="s">
        <v>393</v>
      </c>
      <c r="I100" s="113">
        <f>INDEX(TourMode_input!$L$4:$T$17,MATCH(TourMode!$A100,modes,0),MATCH("idisc",modePurpose,0))*Index!$B$2</f>
        <v>21130</v>
      </c>
      <c r="J100" s="113">
        <f>INDEX(TourMode_input!$L$20:$T$33,MATCH(TourMode!$A100,modes,0), MATCH("idisc",modePurpose,0))*Index!$B$2</f>
        <v>26545</v>
      </c>
      <c r="K100" s="113">
        <f>INDEX(TourMode_input!$L$36:$T$49,MATCH(TourMode!$A100,modes,0), MATCH("idisc",modePurpose,0))*Index!$B$2</f>
        <v>30800</v>
      </c>
      <c r="L100" s="116">
        <f t="shared" si="100"/>
        <v>78475</v>
      </c>
      <c r="N100" s="107" t="s">
        <v>393</v>
      </c>
      <c r="O100" s="117">
        <f t="shared" si="101"/>
        <v>8.6189012397432735E-2</v>
      </c>
      <c r="P100" s="117">
        <f t="shared" si="102"/>
        <v>2.4862233164989457E-2</v>
      </c>
      <c r="Q100" s="117">
        <f t="shared" si="103"/>
        <v>1.8140561168629853E-2</v>
      </c>
      <c r="R100" s="118">
        <f t="shared" si="104"/>
        <v>2.4204368834857607E-2</v>
      </c>
      <c r="S100" s="115"/>
      <c r="T100" s="107" t="s">
        <v>393</v>
      </c>
      <c r="U100" s="117">
        <f t="shared" si="105"/>
        <v>0.12848890240194588</v>
      </c>
      <c r="V100" s="117">
        <f t="shared" si="106"/>
        <v>2.7841728505126256E-2</v>
      </c>
      <c r="W100" s="117">
        <f t="shared" si="107"/>
        <v>1.9393939393939394E-2</v>
      </c>
      <c r="X100" s="118">
        <f t="shared" si="108"/>
        <v>2.9000369549150036E-2</v>
      </c>
      <c r="Z100" s="107" t="s">
        <v>393</v>
      </c>
      <c r="AA100" s="113">
        <f t="shared" si="109"/>
        <v>12647.00245</v>
      </c>
      <c r="AB100" s="113">
        <f t="shared" si="93"/>
        <v>18670.054889999999</v>
      </c>
      <c r="AC100" s="113">
        <f t="shared" si="94"/>
        <v>11925.617920000001</v>
      </c>
      <c r="AD100" s="116">
        <f t="shared" si="95"/>
        <v>43242.675260000004</v>
      </c>
      <c r="AE100" s="115"/>
      <c r="AF100" s="107" t="s">
        <v>393</v>
      </c>
      <c r="AG100" s="117">
        <f t="shared" si="110"/>
        <v>1.4908648004973195</v>
      </c>
      <c r="AH100" s="117">
        <f t="shared" si="96"/>
        <v>2.3708171459242084</v>
      </c>
      <c r="AI100" s="117">
        <f t="shared" si="97"/>
        <v>0.6318415018543484</v>
      </c>
      <c r="AJ100" s="118">
        <f t="shared" si="98"/>
        <v>1.227357989548322</v>
      </c>
    </row>
    <row r="101" spans="1:36" x14ac:dyDescent="0.25">
      <c r="A101">
        <v>9</v>
      </c>
      <c r="B101" s="107" t="s">
        <v>394</v>
      </c>
      <c r="C101" s="113"/>
      <c r="D101" s="113"/>
      <c r="E101" s="113"/>
      <c r="F101" s="116">
        <f t="shared" si="99"/>
        <v>0</v>
      </c>
      <c r="G101" s="115"/>
      <c r="H101" s="107" t="s">
        <v>394</v>
      </c>
      <c r="I101" s="113">
        <f>INDEX(TourMode_input!$L$4:$T$17,MATCH(TourMode!$A101,modes,0),MATCH("idisc",modePurpose,0))*Index!$B$2</f>
        <v>0</v>
      </c>
      <c r="J101" s="113">
        <f>INDEX(TourMode_input!$L$20:$T$33,MATCH(TourMode!$A101,modes,0), MATCH("idisc",modePurpose,0))*Index!$B$2</f>
        <v>0</v>
      </c>
      <c r="K101" s="113">
        <f>INDEX(TourMode_input!$L$36:$T$49,MATCH(TourMode!$A101,modes,0), MATCH("idisc",modePurpose,0))*Index!$B$2</f>
        <v>0</v>
      </c>
      <c r="L101" s="116">
        <f t="shared" si="100"/>
        <v>0</v>
      </c>
      <c r="N101" s="107" t="s">
        <v>394</v>
      </c>
      <c r="O101" s="117">
        <f t="shared" si="101"/>
        <v>0</v>
      </c>
      <c r="P101" s="117">
        <f t="shared" si="102"/>
        <v>0</v>
      </c>
      <c r="Q101" s="117">
        <f t="shared" si="103"/>
        <v>0</v>
      </c>
      <c r="R101" s="118">
        <f t="shared" si="104"/>
        <v>0</v>
      </c>
      <c r="S101" s="115"/>
      <c r="T101" s="107" t="s">
        <v>394</v>
      </c>
      <c r="U101" s="117">
        <f t="shared" si="105"/>
        <v>0</v>
      </c>
      <c r="V101" s="117">
        <f t="shared" si="106"/>
        <v>0</v>
      </c>
      <c r="W101" s="117">
        <f t="shared" si="107"/>
        <v>0</v>
      </c>
      <c r="X101" s="118">
        <f t="shared" si="108"/>
        <v>0</v>
      </c>
      <c r="Z101" s="107" t="s">
        <v>394</v>
      </c>
      <c r="AA101" s="113">
        <f t="shared" si="109"/>
        <v>0</v>
      </c>
      <c r="AB101" s="113">
        <f t="shared" si="93"/>
        <v>0</v>
      </c>
      <c r="AC101" s="113">
        <f t="shared" si="94"/>
        <v>0</v>
      </c>
      <c r="AD101" s="116">
        <f t="shared" si="95"/>
        <v>0</v>
      </c>
      <c r="AE101" s="115"/>
      <c r="AF101" s="107" t="s">
        <v>394</v>
      </c>
      <c r="AG101" s="117">
        <f t="shared" si="110"/>
        <v>0</v>
      </c>
      <c r="AH101" s="117">
        <f t="shared" si="96"/>
        <v>0</v>
      </c>
      <c r="AI101" s="117">
        <f t="shared" si="97"/>
        <v>0</v>
      </c>
      <c r="AJ101" s="118">
        <f t="shared" si="98"/>
        <v>0</v>
      </c>
    </row>
    <row r="102" spans="1:36" x14ac:dyDescent="0.25">
      <c r="A102">
        <v>10</v>
      </c>
      <c r="B102" s="107" t="s">
        <v>395</v>
      </c>
      <c r="C102" s="113">
        <f>INDEX(TourMode_input!$B$4:$J$172,MATCH(TourMode!$A102,modes,0),MATCH("idisc",modePurpose,0))+INDEX(TourMode_input!$B$4:$J$172,MATCH(TourMode!$A101,modes,0),MATCH("idisc",modePurpose,0))</f>
        <v>29379.14201</v>
      </c>
      <c r="D102" s="113">
        <f>INDEX(TourMode_input!$B$20:$J$33,MATCH(TourMode!$A102,modes,0),MATCH("idisc",modePurpose,0))+INDEX(TourMode_input!$B$20:$J$33,MATCH(TourMode!$A101,modes,0),MATCH("idisc",modePurpose,0))</f>
        <v>13026.464180000001</v>
      </c>
      <c r="E102" s="113">
        <f>INDEX(TourMode_input!$B$36:$J$49,MATCH(TourMode!$A102,modes,0),MATCH("idisc",modePurpose,0))+INDEX(TourMode_input!$B$36:$J$49,MATCH(TourMode!$A101,modes,0),MATCH("idisc",modePurpose,0))</f>
        <v>6311.6575700000003</v>
      </c>
      <c r="F102" s="116">
        <f t="shared" si="99"/>
        <v>48717.263760000002</v>
      </c>
      <c r="G102" s="115"/>
      <c r="H102" s="107" t="s">
        <v>395</v>
      </c>
      <c r="I102" s="113">
        <f>INDEX(TourMode_input!$L$4:$T$17,MATCH(TourMode!$A102,modes,0),MATCH("idisc",modePurpose,0))*Index!$B$2</f>
        <v>18255</v>
      </c>
      <c r="J102" s="113">
        <f>INDEX(TourMode_input!$L$20:$T$33,MATCH(TourMode!$A102,modes,0), MATCH("idisc",modePurpose,0))*Index!$B$2</f>
        <v>7055</v>
      </c>
      <c r="K102" s="113">
        <f>INDEX(TourMode_input!$L$36:$T$49,MATCH(TourMode!$A102,modes,0), MATCH("idisc",modePurpose,0))*Index!$B$2</f>
        <v>3225</v>
      </c>
      <c r="L102" s="116">
        <f t="shared" si="100"/>
        <v>28535</v>
      </c>
      <c r="N102" s="107" t="s">
        <v>395</v>
      </c>
      <c r="O102" s="117">
        <f t="shared" si="101"/>
        <v>0.29849816883724395</v>
      </c>
      <c r="P102" s="117">
        <f t="shared" si="102"/>
        <v>4.1126253609981442E-2</v>
      </c>
      <c r="Q102" s="117">
        <f t="shared" si="103"/>
        <v>6.0662653610978863E-3</v>
      </c>
      <c r="R102" s="118">
        <f t="shared" si="104"/>
        <v>3.346843074857745E-2</v>
      </c>
      <c r="S102" s="115"/>
      <c r="T102" s="107" t="s">
        <v>395</v>
      </c>
      <c r="U102" s="117">
        <f t="shared" si="105"/>
        <v>0.11100638491942839</v>
      </c>
      <c r="V102" s="117">
        <f t="shared" si="106"/>
        <v>7.3996381466816998E-3</v>
      </c>
      <c r="W102" s="117">
        <f t="shared" si="107"/>
        <v>2.0306965761511214E-3</v>
      </c>
      <c r="X102" s="118">
        <f t="shared" si="108"/>
        <v>1.0545084996304509E-2</v>
      </c>
      <c r="Z102" s="107" t="s">
        <v>395</v>
      </c>
      <c r="AA102" s="113">
        <f t="shared" si="109"/>
        <v>-11124.14201</v>
      </c>
      <c r="AB102" s="113">
        <f t="shared" si="93"/>
        <v>-5971.4641800000009</v>
      </c>
      <c r="AC102" s="113">
        <f t="shared" si="94"/>
        <v>-3086.6575700000003</v>
      </c>
      <c r="AD102" s="116">
        <f t="shared" si="95"/>
        <v>-20182.263760000002</v>
      </c>
      <c r="AE102" s="115"/>
      <c r="AF102" s="107" t="s">
        <v>395</v>
      </c>
      <c r="AG102" s="117">
        <f t="shared" si="110"/>
        <v>-0.3786408059913251</v>
      </c>
      <c r="AH102" s="117">
        <f t="shared" si="96"/>
        <v>-0.45841020997610421</v>
      </c>
      <c r="AI102" s="117">
        <f t="shared" si="97"/>
        <v>-0.48904072119996206</v>
      </c>
      <c r="AJ102" s="118">
        <f t="shared" si="98"/>
        <v>-0.41427334382788006</v>
      </c>
    </row>
    <row r="103" spans="1:36" x14ac:dyDescent="0.25">
      <c r="A103">
        <v>11</v>
      </c>
      <c r="B103" s="107" t="s">
        <v>396</v>
      </c>
      <c r="C103" s="113">
        <f>INDEX(TourMode_input!$B$4:$J$172,MATCH(TourMode!$A103,modes,0),MATCH("idisc",modePurpose,0))</f>
        <v>2610.5966699999999</v>
      </c>
      <c r="D103" s="113">
        <f>INDEX(TourMode_input!$B$20:$J$33,MATCH(TourMode!$A103,modes,0),MATCH("idisc",modePurpose,0))</f>
        <v>283.13387999999998</v>
      </c>
      <c r="E103" s="113">
        <f>INDEX(TourMode_input!$B$36:$J$49,MATCH(TourMode!$A103,modes,0),MATCH("idisc",modePurpose,0))</f>
        <v>3247.2015700000002</v>
      </c>
      <c r="F103" s="116">
        <f t="shared" si="99"/>
        <v>6140.9321199999995</v>
      </c>
      <c r="G103" s="115"/>
      <c r="H103" s="107" t="s">
        <v>396</v>
      </c>
      <c r="I103" s="113">
        <f>INDEX(TourMode_input!$L$4:$T$17,MATCH(TourMode!$A103,modes,0),MATCH("idisc",modePurpose,0))*Index!$B$2</f>
        <v>570</v>
      </c>
      <c r="J103" s="113">
        <f>INDEX(TourMode_input!$L$20:$T$33,MATCH(TourMode!$A103,modes,0), MATCH("idisc",modePurpose,0))*Index!$B$2</f>
        <v>70</v>
      </c>
      <c r="K103" s="113">
        <f>INDEX(TourMode_input!$L$36:$T$49,MATCH(TourMode!$A103,modes,0), MATCH("idisc",modePurpose,0))*Index!$B$2</f>
        <v>555</v>
      </c>
      <c r="L103" s="116">
        <f t="shared" si="100"/>
        <v>1195</v>
      </c>
      <c r="N103" s="107" t="s">
        <v>396</v>
      </c>
      <c r="O103" s="117">
        <f t="shared" si="101"/>
        <v>2.6524202963529867E-2</v>
      </c>
      <c r="P103" s="117">
        <f t="shared" si="102"/>
        <v>8.9389074376267552E-4</v>
      </c>
      <c r="Q103" s="117">
        <f t="shared" si="103"/>
        <v>3.1209529645940016E-3</v>
      </c>
      <c r="R103" s="118">
        <f t="shared" si="104"/>
        <v>4.2187788378764829E-3</v>
      </c>
      <c r="S103" s="115"/>
      <c r="T103" s="107" t="s">
        <v>396</v>
      </c>
      <c r="U103" s="117">
        <f t="shared" si="105"/>
        <v>3.4660991182730314E-3</v>
      </c>
      <c r="V103" s="117">
        <f t="shared" si="106"/>
        <v>7.3419513857933238E-5</v>
      </c>
      <c r="W103" s="117">
        <f t="shared" si="107"/>
        <v>3.4946871310507675E-4</v>
      </c>
      <c r="X103" s="118">
        <f t="shared" si="108"/>
        <v>4.4161123429416112E-4</v>
      </c>
      <c r="Z103" s="107" t="s">
        <v>396</v>
      </c>
      <c r="AA103" s="113">
        <f t="shared" si="109"/>
        <v>-2040.5966699999999</v>
      </c>
      <c r="AB103" s="113">
        <f t="shared" si="93"/>
        <v>-213.13387999999998</v>
      </c>
      <c r="AC103" s="113">
        <f t="shared" si="94"/>
        <v>-2692.2015700000002</v>
      </c>
      <c r="AD103" s="116">
        <f t="shared" si="95"/>
        <v>-4945.9321199999995</v>
      </c>
      <c r="AE103" s="115"/>
      <c r="AF103" s="107" t="s">
        <v>396</v>
      </c>
      <c r="AG103" s="117">
        <f t="shared" si="110"/>
        <v>-0.78165911013745371</v>
      </c>
      <c r="AH103" s="117">
        <f t="shared" si="96"/>
        <v>-0.75276713616893887</v>
      </c>
      <c r="AI103" s="117">
        <f t="shared" si="97"/>
        <v>-0.82908360074487153</v>
      </c>
      <c r="AJ103" s="118">
        <f t="shared" si="98"/>
        <v>-0.80540413464137106</v>
      </c>
    </row>
    <row r="104" spans="1:36" x14ac:dyDescent="0.25">
      <c r="A104">
        <v>12</v>
      </c>
      <c r="B104" s="107" t="s">
        <v>397</v>
      </c>
      <c r="C104" s="113">
        <f>INDEX(TourMode_input!$B$4:$J$172,MATCH(TourMode!$A104,modes,0),MATCH("idisc",modePurpose,0))</f>
        <v>0</v>
      </c>
      <c r="D104" s="113">
        <f>INDEX(TourMode_input!$B$20:$J$33,MATCH(TourMode!$A104,modes,0),MATCH("idisc",modePurpose,0))</f>
        <v>2266.90409</v>
      </c>
      <c r="E104" s="113">
        <f>INDEX(TourMode_input!$B$36:$J$49,MATCH(TourMode!$A104,modes,0),MATCH("idisc",modePurpose,0))</f>
        <v>2810.5017400000002</v>
      </c>
      <c r="F104" s="116">
        <f t="shared" si="99"/>
        <v>5077.4058299999997</v>
      </c>
      <c r="G104" s="115"/>
      <c r="H104" s="107" t="s">
        <v>397</v>
      </c>
      <c r="I104" s="113">
        <f>INDEX(TourMode_input!$L$4:$T$17,MATCH(TourMode!$A104,modes,0),MATCH("idisc",modePurpose,0))*Index!$B$2</f>
        <v>0</v>
      </c>
      <c r="J104" s="113">
        <f>INDEX(TourMode_input!$L$20:$T$33,MATCH(TourMode!$A104,modes,0), MATCH("idisc",modePurpose,0))*Index!$B$2</f>
        <v>445</v>
      </c>
      <c r="K104" s="113">
        <f>INDEX(TourMode_input!$L$36:$T$49,MATCH(TourMode!$A104,modes,0), MATCH("idisc",modePurpose,0))*Index!$B$2</f>
        <v>640</v>
      </c>
      <c r="L104" s="116">
        <f t="shared" si="100"/>
        <v>1085</v>
      </c>
      <c r="N104" s="107" t="s">
        <v>397</v>
      </c>
      <c r="O104" s="117">
        <f t="shared" si="101"/>
        <v>0</v>
      </c>
      <c r="P104" s="117">
        <f t="shared" si="102"/>
        <v>7.1569131290425267E-3</v>
      </c>
      <c r="Q104" s="117">
        <f t="shared" si="103"/>
        <v>2.7012316754483462E-3</v>
      </c>
      <c r="R104" s="118">
        <f t="shared" si="104"/>
        <v>3.4881434688313539E-3</v>
      </c>
      <c r="S104" s="115"/>
      <c r="T104" s="107" t="s">
        <v>397</v>
      </c>
      <c r="U104" s="117">
        <f t="shared" si="105"/>
        <v>0</v>
      </c>
      <c r="V104" s="117">
        <f t="shared" si="106"/>
        <v>4.6673833809686134E-4</v>
      </c>
      <c r="W104" s="117">
        <f t="shared" si="107"/>
        <v>4.029909484454939E-4</v>
      </c>
      <c r="X104" s="118">
        <f t="shared" si="108"/>
        <v>4.0096082779009608E-4</v>
      </c>
      <c r="Z104" s="107" t="s">
        <v>397</v>
      </c>
      <c r="AA104" s="113">
        <f t="shared" si="109"/>
        <v>0</v>
      </c>
      <c r="AB104" s="113">
        <f t="shared" si="93"/>
        <v>-1821.90409</v>
      </c>
      <c r="AC104" s="113">
        <f t="shared" si="94"/>
        <v>-2170.5017400000002</v>
      </c>
      <c r="AD104" s="116">
        <f t="shared" si="95"/>
        <v>-3992.4058299999997</v>
      </c>
      <c r="AE104" s="115"/>
      <c r="AF104" s="107" t="s">
        <v>397</v>
      </c>
      <c r="AG104" s="117">
        <f t="shared" si="110"/>
        <v>0</v>
      </c>
      <c r="AH104" s="117">
        <f t="shared" si="96"/>
        <v>-0.8036970324580428</v>
      </c>
      <c r="AI104" s="117">
        <f t="shared" si="97"/>
        <v>-0.77228265298992482</v>
      </c>
      <c r="AJ104" s="118">
        <f t="shared" si="98"/>
        <v>-0.78630819825564346</v>
      </c>
    </row>
    <row r="105" spans="1:36" x14ac:dyDescent="0.25">
      <c r="A105">
        <v>13</v>
      </c>
      <c r="B105" s="107" t="s">
        <v>398</v>
      </c>
      <c r="C105" s="113">
        <f>INDEX(TourMode_input!$B$4:$J$172,MATCH(TourMode!$A105,modes,0),MATCH("idisc",modePurpose,0))</f>
        <v>2262.0178000000001</v>
      </c>
      <c r="D105" s="113">
        <f>INDEX(TourMode_input!$B$20:$J$33,MATCH(TourMode!$A105,modes,0),MATCH("idisc",modePurpose,0))</f>
        <v>684.05128999999999</v>
      </c>
      <c r="E105" s="113">
        <f>INDEX(TourMode_input!$B$36:$J$49,MATCH(TourMode!$A105,modes,0),MATCH("idisc",modePurpose,0))</f>
        <v>1885.6934699999999</v>
      </c>
      <c r="F105" s="116">
        <f t="shared" si="99"/>
        <v>4831.7625600000001</v>
      </c>
      <c r="G105" s="115"/>
      <c r="H105" s="107" t="s">
        <v>398</v>
      </c>
      <c r="I105" s="113">
        <f>INDEX(TourMode_input!$L$4:$T$17,MATCH(TourMode!$A105,modes,0),MATCH("idisc",modePurpose,0))*Index!$B$2</f>
        <v>4595</v>
      </c>
      <c r="J105" s="113">
        <f>INDEX(TourMode_input!$L$20:$T$33,MATCH(TourMode!$A105,modes,0), MATCH("idisc",modePurpose,0))*Index!$B$2</f>
        <v>1565</v>
      </c>
      <c r="K105" s="113">
        <f>INDEX(TourMode_input!$L$36:$T$49,MATCH(TourMode!$A105,modes,0), MATCH("idisc",modePurpose,0))*Index!$B$2</f>
        <v>2545</v>
      </c>
      <c r="L105" s="116">
        <f t="shared" si="100"/>
        <v>8705</v>
      </c>
      <c r="N105" s="107" t="s">
        <v>398</v>
      </c>
      <c r="O105" s="117">
        <f t="shared" si="101"/>
        <v>2.298256943471751E-2</v>
      </c>
      <c r="P105" s="117">
        <f t="shared" si="102"/>
        <v>2.1596395189085733E-3</v>
      </c>
      <c r="Q105" s="117">
        <f t="shared" si="103"/>
        <v>1.8123792128839262E-3</v>
      </c>
      <c r="R105" s="118">
        <f t="shared" si="104"/>
        <v>3.31938820352437E-3</v>
      </c>
      <c r="S105" s="115"/>
      <c r="T105" s="107" t="s">
        <v>398</v>
      </c>
      <c r="U105" s="117">
        <f t="shared" si="105"/>
        <v>2.7941623593797506E-2</v>
      </c>
      <c r="V105" s="117">
        <f t="shared" si="106"/>
        <v>1.6414505598237933E-3</v>
      </c>
      <c r="W105" s="117">
        <f t="shared" si="107"/>
        <v>1.6025186934277844E-3</v>
      </c>
      <c r="X105" s="118">
        <f t="shared" si="108"/>
        <v>3.2169253510716924E-3</v>
      </c>
      <c r="Z105" s="107" t="s">
        <v>398</v>
      </c>
      <c r="AA105" s="113">
        <f t="shared" si="109"/>
        <v>2332.9821999999999</v>
      </c>
      <c r="AB105" s="113">
        <f t="shared" si="93"/>
        <v>880.94871000000001</v>
      </c>
      <c r="AC105" s="113">
        <f t="shared" si="94"/>
        <v>659.30653000000007</v>
      </c>
      <c r="AD105" s="116">
        <f t="shared" si="95"/>
        <v>3873.2374399999999</v>
      </c>
      <c r="AE105" s="115"/>
      <c r="AF105" s="107" t="s">
        <v>398</v>
      </c>
      <c r="AG105" s="117">
        <f t="shared" si="110"/>
        <v>1.031372166921056</v>
      </c>
      <c r="AH105" s="117">
        <f t="shared" si="96"/>
        <v>1.2878401413437872</v>
      </c>
      <c r="AI105" s="117">
        <f t="shared" si="97"/>
        <v>0.34963611026345659</v>
      </c>
      <c r="AJ105" s="118">
        <f t="shared" si="98"/>
        <v>0.80161998688942193</v>
      </c>
    </row>
    <row r="106" spans="1:36" x14ac:dyDescent="0.25">
      <c r="A106">
        <v>14</v>
      </c>
      <c r="B106" s="107" t="s">
        <v>399</v>
      </c>
      <c r="C106" s="113">
        <f>INDEX(TourMode_input!$B$4:$J$172,MATCH(TourMode!$A106,modes,0),MATCH("idisc",modePurpose,0))</f>
        <v>494.28332999999998</v>
      </c>
      <c r="D106" s="113">
        <f>INDEX(TourMode_input!$B$20:$J$33,MATCH(TourMode!$A106,modes,0),MATCH("idisc",modePurpose,0))</f>
        <v>127.34954</v>
      </c>
      <c r="E106" s="113">
        <f>INDEX(TourMode_input!$B$36:$J$49,MATCH(TourMode!$A106,modes,0),MATCH("idisc",modePurpose,0))</f>
        <v>2637.8246399999998</v>
      </c>
      <c r="F106" s="116">
        <f t="shared" si="99"/>
        <v>3259.4575099999997</v>
      </c>
      <c r="G106" s="115"/>
      <c r="H106" s="107" t="s">
        <v>399</v>
      </c>
      <c r="I106" s="113">
        <f>INDEX(TourMode_input!$L$4:$T$17,MATCH(TourMode!$A106,modes,0),MATCH("idisc",modePurpose,0))*Index!$B$2</f>
        <v>0</v>
      </c>
      <c r="J106" s="113">
        <f>INDEX(TourMode_input!$L$20:$T$33,MATCH(TourMode!$A106,modes,0), MATCH("idisc",modePurpose,0))*Index!$B$2</f>
        <v>0</v>
      </c>
      <c r="K106" s="113">
        <f>INDEX(TourMode_input!$L$36:$T$49,MATCH(TourMode!$A106,modes,0), MATCH("idisc",modePurpose,0))*Index!$B$2</f>
        <v>0</v>
      </c>
      <c r="L106" s="116">
        <f t="shared" si="100"/>
        <v>0</v>
      </c>
      <c r="N106" s="107" t="s">
        <v>399</v>
      </c>
      <c r="O106" s="117">
        <f t="shared" si="101"/>
        <v>5.0220210257180065E-3</v>
      </c>
      <c r="P106" s="117">
        <f t="shared" si="102"/>
        <v>4.0205917789999071E-4</v>
      </c>
      <c r="Q106" s="117">
        <f t="shared" si="103"/>
        <v>2.5352681232804109E-3</v>
      </c>
      <c r="R106" s="118">
        <f t="shared" si="104"/>
        <v>2.2392252670178636E-3</v>
      </c>
      <c r="S106" s="115"/>
      <c r="T106" s="107" t="s">
        <v>399</v>
      </c>
      <c r="U106" s="117">
        <f t="shared" si="105"/>
        <v>0</v>
      </c>
      <c r="V106" s="117">
        <f t="shared" si="106"/>
        <v>0</v>
      </c>
      <c r="W106" s="117">
        <f t="shared" si="107"/>
        <v>0</v>
      </c>
      <c r="X106" s="118">
        <f t="shared" si="108"/>
        <v>0</v>
      </c>
      <c r="Z106" s="107" t="s">
        <v>399</v>
      </c>
      <c r="AA106" s="113">
        <f t="shared" si="109"/>
        <v>-494.28332999999998</v>
      </c>
      <c r="AB106" s="113">
        <f t="shared" si="93"/>
        <v>-127.34954</v>
      </c>
      <c r="AC106" s="113">
        <f t="shared" si="94"/>
        <v>-2637.8246399999998</v>
      </c>
      <c r="AD106" s="116">
        <f t="shared" si="95"/>
        <v>-3259.4575099999997</v>
      </c>
      <c r="AE106" s="115"/>
      <c r="AF106" s="107" t="s">
        <v>399</v>
      </c>
      <c r="AG106" s="117">
        <f t="shared" si="110"/>
        <v>-1</v>
      </c>
      <c r="AH106" s="117">
        <f t="shared" si="96"/>
        <v>-1</v>
      </c>
      <c r="AI106" s="117">
        <f t="shared" si="97"/>
        <v>-1</v>
      </c>
      <c r="AJ106" s="118">
        <f t="shared" si="98"/>
        <v>-1</v>
      </c>
    </row>
    <row r="107" spans="1:36" ht="15.75" thickBot="1" x14ac:dyDescent="0.3">
      <c r="B107" s="108" t="s">
        <v>29</v>
      </c>
      <c r="C107" s="109">
        <f>SUM(C93:C106)</f>
        <v>98423.190080000015</v>
      </c>
      <c r="D107" s="110">
        <f>SUM(D93:D106)</f>
        <v>316743.27312999999</v>
      </c>
      <c r="E107" s="111">
        <f>SUM(E93:E106)</f>
        <v>1040451.9410700001</v>
      </c>
      <c r="F107" s="112">
        <f>SUM(F93:F106)</f>
        <v>1455618.4042800001</v>
      </c>
      <c r="H107" s="108" t="s">
        <v>29</v>
      </c>
      <c r="I107" s="109">
        <f>SUM(I93:I106)</f>
        <v>164450</v>
      </c>
      <c r="J107" s="110">
        <f>SUM(J93:J106)</f>
        <v>953425</v>
      </c>
      <c r="K107" s="111">
        <f>SUM(K93:K106)</f>
        <v>1588125</v>
      </c>
      <c r="L107" s="112">
        <f>SUM(L93:L106)</f>
        <v>2706000</v>
      </c>
      <c r="N107" s="108" t="s">
        <v>29</v>
      </c>
      <c r="O107" s="120">
        <f t="shared" si="101"/>
        <v>1</v>
      </c>
      <c r="P107" s="121">
        <f t="shared" si="102"/>
        <v>1</v>
      </c>
      <c r="Q107" s="122">
        <f t="shared" si="103"/>
        <v>1</v>
      </c>
      <c r="R107" s="123">
        <f t="shared" si="104"/>
        <v>1</v>
      </c>
      <c r="T107" s="108" t="s">
        <v>29</v>
      </c>
      <c r="U107" s="120">
        <f t="shared" si="105"/>
        <v>1</v>
      </c>
      <c r="V107" s="121">
        <f t="shared" si="106"/>
        <v>1</v>
      </c>
      <c r="W107" s="122">
        <f t="shared" si="107"/>
        <v>1</v>
      </c>
      <c r="X107" s="123">
        <f t="shared" si="108"/>
        <v>1</v>
      </c>
      <c r="Z107" s="108" t="s">
        <v>29</v>
      </c>
      <c r="AA107" s="109">
        <f t="shared" si="109"/>
        <v>66026.809919999985</v>
      </c>
      <c r="AB107" s="110">
        <f t="shared" si="93"/>
        <v>636681.72687000001</v>
      </c>
      <c r="AC107" s="111">
        <f t="shared" si="94"/>
        <v>547673.05892999994</v>
      </c>
      <c r="AD107" s="112">
        <f t="shared" si="95"/>
        <v>1250381.5957199999</v>
      </c>
      <c r="AF107" s="108" t="s">
        <v>29</v>
      </c>
      <c r="AG107" s="117">
        <f t="shared" si="110"/>
        <v>0.67084606652489409</v>
      </c>
      <c r="AH107" s="117">
        <f t="shared" si="96"/>
        <v>2.0100876036874462</v>
      </c>
      <c r="AI107" s="117">
        <f t="shared" si="97"/>
        <v>0.52637996750409577</v>
      </c>
      <c r="AJ107" s="118">
        <f t="shared" si="98"/>
        <v>0.85900370045024432</v>
      </c>
    </row>
    <row r="108" spans="1:36" ht="26.25" x14ac:dyDescent="0.4">
      <c r="A108" s="150" t="s">
        <v>152</v>
      </c>
    </row>
    <row r="109" spans="1:36" ht="26.25" x14ac:dyDescent="0.25">
      <c r="B109" s="102" t="s">
        <v>134</v>
      </c>
      <c r="C109" s="103" t="s">
        <v>135</v>
      </c>
      <c r="D109" s="104" t="s">
        <v>136</v>
      </c>
      <c r="E109" s="105" t="s">
        <v>137</v>
      </c>
      <c r="F109" s="106" t="s">
        <v>29</v>
      </c>
      <c r="H109" s="102" t="s">
        <v>134</v>
      </c>
      <c r="I109" s="103" t="s">
        <v>135</v>
      </c>
      <c r="J109" s="104" t="s">
        <v>136</v>
      </c>
      <c r="K109" s="105" t="s">
        <v>137</v>
      </c>
      <c r="L109" s="106" t="s">
        <v>29</v>
      </c>
      <c r="N109" s="102" t="s">
        <v>134</v>
      </c>
      <c r="O109" s="103" t="s">
        <v>135</v>
      </c>
      <c r="P109" s="104" t="s">
        <v>136</v>
      </c>
      <c r="Q109" s="105" t="s">
        <v>137</v>
      </c>
      <c r="R109" s="106" t="s">
        <v>29</v>
      </c>
      <c r="T109" s="102" t="s">
        <v>134</v>
      </c>
      <c r="U109" s="103" t="s">
        <v>135</v>
      </c>
      <c r="V109" s="104" t="s">
        <v>136</v>
      </c>
      <c r="W109" s="105" t="s">
        <v>137</v>
      </c>
      <c r="X109" s="106" t="s">
        <v>29</v>
      </c>
      <c r="Z109" s="102" t="s">
        <v>134</v>
      </c>
      <c r="AA109" s="103" t="s">
        <v>135</v>
      </c>
      <c r="AB109" s="104" t="s">
        <v>136</v>
      </c>
      <c r="AC109" s="105" t="s">
        <v>137</v>
      </c>
      <c r="AD109" s="106" t="s">
        <v>29</v>
      </c>
      <c r="AF109" s="102" t="s">
        <v>134</v>
      </c>
      <c r="AG109" s="103" t="s">
        <v>135</v>
      </c>
      <c r="AH109" s="104" t="s">
        <v>136</v>
      </c>
      <c r="AI109" s="105" t="s">
        <v>137</v>
      </c>
      <c r="AJ109" s="106" t="s">
        <v>29</v>
      </c>
    </row>
    <row r="110" spans="1:36" x14ac:dyDescent="0.25">
      <c r="A110">
        <v>1</v>
      </c>
      <c r="B110" s="107" t="s">
        <v>386</v>
      </c>
      <c r="C110" s="113">
        <f>INDEX(TourMode_input!$B$4:$J$172,MATCH(TourMode!$A110,modes,0),MATCH("jmain",modePurpose,0))</f>
        <v>0</v>
      </c>
      <c r="D110" s="113">
        <f>INDEX(TourMode_input!$B$20:$J$33,MATCH(TourMode!$A110,modes,0),MATCH("jmain",modePurpose,0))</f>
        <v>0</v>
      </c>
      <c r="E110" s="113">
        <f>INDEX(TourMode_input!$B$36:$J$49,MATCH(TourMode!$A110,modes,0),MATCH("jmain",modePurpose,0))</f>
        <v>39.501289999999997</v>
      </c>
      <c r="F110" s="114">
        <f>SUM(C110:E110)</f>
        <v>39.501289999999997</v>
      </c>
      <c r="G110" s="115"/>
      <c r="H110" s="107" t="s">
        <v>386</v>
      </c>
      <c r="I110" s="113">
        <f>INDEX(TourMode_input!$L$4:$T$17,MATCH(TourMode!$A110,modes,0),MATCH("jmain",modePurpose,0))*Index!$B$2</f>
        <v>0</v>
      </c>
      <c r="J110" s="113">
        <f>INDEX(TourMode_input!$L$20:$T$33,MATCH(TourMode!$A110,modes,0), MATCH("jmain",modePurpose,0))*Index!$B$2</f>
        <v>0</v>
      </c>
      <c r="K110" s="113">
        <f>INDEX(TourMode_input!$L$36:$T$49,MATCH(TourMode!$A110,modes,0), MATCH("jmain",modePurpose,0))*Index!$B$2</f>
        <v>0</v>
      </c>
      <c r="L110" s="114">
        <f>SUM(I110:K110)</f>
        <v>0</v>
      </c>
      <c r="N110" s="107" t="s">
        <v>386</v>
      </c>
      <c r="O110" s="117">
        <f>C110/C$124</f>
        <v>0</v>
      </c>
      <c r="P110" s="117">
        <f>D110/D$124</f>
        <v>0</v>
      </c>
      <c r="Q110" s="117">
        <f>E110/E$124</f>
        <v>1.4081305896840131E-4</v>
      </c>
      <c r="R110" s="118">
        <f>F110/F$124</f>
        <v>8.7635548467472824E-5</v>
      </c>
      <c r="S110" s="115"/>
      <c r="T110" s="107" t="s">
        <v>386</v>
      </c>
      <c r="U110" s="117">
        <f>I110/I$124</f>
        <v>0</v>
      </c>
      <c r="V110" s="117">
        <f>J110/J$124</f>
        <v>0</v>
      </c>
      <c r="W110" s="117">
        <f>K110/K$124</f>
        <v>0</v>
      </c>
      <c r="X110" s="118">
        <f>L110/L$124</f>
        <v>0</v>
      </c>
      <c r="Z110" s="107" t="s">
        <v>386</v>
      </c>
      <c r="AA110" s="113">
        <f>I110-C110</f>
        <v>0</v>
      </c>
      <c r="AB110" s="113">
        <f t="shared" ref="AB110:AB124" si="111">J110-D110</f>
        <v>0</v>
      </c>
      <c r="AC110" s="113">
        <f t="shared" ref="AC110:AC124" si="112">K110-E110</f>
        <v>-39.501289999999997</v>
      </c>
      <c r="AD110" s="114">
        <f t="shared" ref="AD110:AD124" si="113">L110-F110</f>
        <v>-39.501289999999997</v>
      </c>
      <c r="AE110" s="115"/>
      <c r="AF110" s="107" t="s">
        <v>386</v>
      </c>
      <c r="AG110" s="117">
        <f>IF(C110=0, 0,AA110/C110)</f>
        <v>0</v>
      </c>
      <c r="AH110" s="117">
        <f t="shared" ref="AH110:AH124" si="114">IF(D110=0, 0,AB110/D110)</f>
        <v>0</v>
      </c>
      <c r="AI110" s="117">
        <f t="shared" ref="AI110:AI124" si="115">IF(E110=0, 0,AC110/E110)</f>
        <v>-1</v>
      </c>
      <c r="AJ110" s="118">
        <f t="shared" ref="AJ110:AJ124" si="116">IF(F110=0, 0,AD110/F110)</f>
        <v>-1</v>
      </c>
    </row>
    <row r="111" spans="1:36" x14ac:dyDescent="0.25">
      <c r="A111">
        <v>2</v>
      </c>
      <c r="B111" s="107" t="s">
        <v>387</v>
      </c>
      <c r="C111" s="113">
        <f>INDEX(TourMode_input!$B$4:$J$172,MATCH(TourMode!$A111,modes,0),MATCH("jmain",modePurpose,0))</f>
        <v>0</v>
      </c>
      <c r="D111" s="113">
        <f>INDEX(TourMode_input!$B$20:$J$33,MATCH(TourMode!$A111,modes,0),MATCH("jmain",modePurpose,0))</f>
        <v>0</v>
      </c>
      <c r="E111" s="113">
        <f>INDEX(TourMode_input!$B$36:$J$49,MATCH(TourMode!$A111,modes,0),MATCH("jmain",modePurpose,0))</f>
        <v>0</v>
      </c>
      <c r="F111" s="116">
        <f t="shared" ref="F111:F123" si="117">SUM(C111:E111)</f>
        <v>0</v>
      </c>
      <c r="G111" s="115"/>
      <c r="H111" s="107" t="s">
        <v>387</v>
      </c>
      <c r="I111" s="113">
        <f>INDEX(TourMode_input!$L$4:$T$17,MATCH(TourMode!$A111,modes,0),MATCH("jmain",modePurpose,0))*Index!$B$2</f>
        <v>0</v>
      </c>
      <c r="J111" s="113">
        <f>INDEX(TourMode_input!$L$20:$T$33,MATCH(TourMode!$A111,modes,0), MATCH("jmain",modePurpose,0))*Index!$B$2</f>
        <v>0</v>
      </c>
      <c r="K111" s="113">
        <f>INDEX(TourMode_input!$L$36:$T$49,MATCH(TourMode!$A111,modes,0), MATCH("jmain",modePurpose,0))*Index!$B$2</f>
        <v>0</v>
      </c>
      <c r="L111" s="116">
        <f t="shared" ref="L111:L123" si="118">SUM(I111:K111)</f>
        <v>0</v>
      </c>
      <c r="N111" s="107" t="s">
        <v>387</v>
      </c>
      <c r="O111" s="117">
        <f t="shared" ref="O111:O124" si="119">C111/C$124</f>
        <v>0</v>
      </c>
      <c r="P111" s="117">
        <f t="shared" ref="P111:P124" si="120">D111/D$124</f>
        <v>0</v>
      </c>
      <c r="Q111" s="117">
        <f t="shared" ref="Q111:Q124" si="121">E111/E$124</f>
        <v>0</v>
      </c>
      <c r="R111" s="118">
        <f t="shared" ref="R111:R124" si="122">F111/F$124</f>
        <v>0</v>
      </c>
      <c r="S111" s="115"/>
      <c r="T111" s="107" t="s">
        <v>387</v>
      </c>
      <c r="U111" s="117">
        <f t="shared" ref="U111:U124" si="123">I111/I$124</f>
        <v>0</v>
      </c>
      <c r="V111" s="117">
        <f t="shared" ref="V111:V124" si="124">J111/J$124</f>
        <v>0</v>
      </c>
      <c r="W111" s="117">
        <f t="shared" ref="W111:W124" si="125">K111/K$124</f>
        <v>0</v>
      </c>
      <c r="X111" s="118">
        <f t="shared" ref="X111:X124" si="126">L111/L$124</f>
        <v>0</v>
      </c>
      <c r="Z111" s="107" t="s">
        <v>387</v>
      </c>
      <c r="AA111" s="113">
        <f t="shared" ref="AA111:AA124" si="127">I111-C111</f>
        <v>0</v>
      </c>
      <c r="AB111" s="113">
        <f t="shared" si="111"/>
        <v>0</v>
      </c>
      <c r="AC111" s="113">
        <f t="shared" si="112"/>
        <v>0</v>
      </c>
      <c r="AD111" s="116">
        <f t="shared" si="113"/>
        <v>0</v>
      </c>
      <c r="AE111" s="115"/>
      <c r="AF111" s="107" t="s">
        <v>387</v>
      </c>
      <c r="AG111" s="117">
        <f t="shared" ref="AG111:AG124" si="128">IF(C111=0, 0,AA111/C111)</f>
        <v>0</v>
      </c>
      <c r="AH111" s="117">
        <f t="shared" si="114"/>
        <v>0</v>
      </c>
      <c r="AI111" s="117">
        <f t="shared" si="115"/>
        <v>0</v>
      </c>
      <c r="AJ111" s="118">
        <f t="shared" si="116"/>
        <v>0</v>
      </c>
    </row>
    <row r="112" spans="1:36" x14ac:dyDescent="0.25">
      <c r="A112">
        <v>3</v>
      </c>
      <c r="B112" s="107" t="s">
        <v>388</v>
      </c>
      <c r="C112" s="113">
        <f>INDEX(TourMode_input!$B$4:$J$172,MATCH(TourMode!$A112,modes,0),MATCH("jmain",modePurpose,0))</f>
        <v>210.98848000000001</v>
      </c>
      <c r="D112" s="113">
        <f>INDEX(TourMode_input!$B$20:$J$33,MATCH(TourMode!$A112,modes,0),MATCH("jmain",modePurpose,0))</f>
        <v>84943.114939999999</v>
      </c>
      <c r="E112" s="113">
        <f>INDEX(TourMode_input!$B$36:$J$49,MATCH(TourMode!$A112,modes,0),MATCH("jmain",modePurpose,0))</f>
        <v>161585.55955999999</v>
      </c>
      <c r="F112" s="116">
        <f t="shared" si="117"/>
        <v>246739.66297999999</v>
      </c>
      <c r="G112" s="115"/>
      <c r="H112" s="107" t="s">
        <v>388</v>
      </c>
      <c r="I112" s="113">
        <f>INDEX(TourMode_input!$L$4:$T$17,MATCH(TourMode!$A112,modes,0),MATCH("jmain",modePurpose,0))*Index!$B$2</f>
        <v>595</v>
      </c>
      <c r="J112" s="113">
        <f>INDEX(TourMode_input!$L$20:$T$33,MATCH(TourMode!$A112,modes,0), MATCH("jmain",modePurpose,0))*Index!$B$2</f>
        <v>123905</v>
      </c>
      <c r="K112" s="113">
        <f>INDEX(TourMode_input!$L$36:$T$49,MATCH(TourMode!$A112,modes,0), MATCH("jmain",modePurpose,0))*Index!$B$2</f>
        <v>149230</v>
      </c>
      <c r="L112" s="116">
        <f t="shared" si="118"/>
        <v>273730</v>
      </c>
      <c r="N112" s="107" t="s">
        <v>388</v>
      </c>
      <c r="O112" s="117">
        <f t="shared" si="119"/>
        <v>1.8127742524395783E-2</v>
      </c>
      <c r="P112" s="117">
        <f t="shared" si="120"/>
        <v>0.53563769256506455</v>
      </c>
      <c r="Q112" s="117">
        <f t="shared" si="121"/>
        <v>0.57601554092953433</v>
      </c>
      <c r="R112" s="118">
        <f t="shared" si="122"/>
        <v>0.54740403905623591</v>
      </c>
      <c r="S112" s="115"/>
      <c r="T112" s="107" t="s">
        <v>388</v>
      </c>
      <c r="U112" s="117">
        <f t="shared" si="123"/>
        <v>2.3337909393998824E-2</v>
      </c>
      <c r="V112" s="117">
        <f t="shared" si="124"/>
        <v>0.50058581124757595</v>
      </c>
      <c r="W112" s="117">
        <f t="shared" si="125"/>
        <v>0.54381138057321943</v>
      </c>
      <c r="X112" s="118">
        <f t="shared" si="126"/>
        <v>0.500027400763568</v>
      </c>
      <c r="Z112" s="107" t="s">
        <v>388</v>
      </c>
      <c r="AA112" s="113">
        <f t="shared" si="127"/>
        <v>384.01152000000002</v>
      </c>
      <c r="AB112" s="113">
        <f t="shared" si="111"/>
        <v>38961.885060000001</v>
      </c>
      <c r="AC112" s="113">
        <f t="shared" si="112"/>
        <v>-12355.559559999994</v>
      </c>
      <c r="AD112" s="116">
        <f t="shared" si="113"/>
        <v>26990.337020000006</v>
      </c>
      <c r="AE112" s="115"/>
      <c r="AF112" s="107" t="s">
        <v>388</v>
      </c>
      <c r="AG112" s="117">
        <f t="shared" si="128"/>
        <v>1.8200591804822708</v>
      </c>
      <c r="AH112" s="117">
        <f t="shared" si="114"/>
        <v>0.45868208491672252</v>
      </c>
      <c r="AI112" s="117">
        <f t="shared" si="115"/>
        <v>-7.6464503348222301E-2</v>
      </c>
      <c r="AJ112" s="118">
        <f t="shared" si="116"/>
        <v>0.10938791394145564</v>
      </c>
    </row>
    <row r="113" spans="1:36" x14ac:dyDescent="0.25">
      <c r="A113">
        <v>4</v>
      </c>
      <c r="B113" s="107" t="s">
        <v>389</v>
      </c>
      <c r="C113" s="113">
        <f>INDEX(TourMode_input!$B$4:$J$172,MATCH(TourMode!$A113,modes,0),MATCH("jmain",modePurpose,0))</f>
        <v>0</v>
      </c>
      <c r="D113" s="113">
        <f>INDEX(TourMode_input!$B$20:$J$33,MATCH(TourMode!$A113,modes,0),MATCH("jmain",modePurpose,0))</f>
        <v>69.026229999999998</v>
      </c>
      <c r="E113" s="113">
        <f>INDEX(TourMode_input!$B$36:$J$49,MATCH(TourMode!$A113,modes,0),MATCH("jmain",modePurpose,0))</f>
        <v>1520.94317</v>
      </c>
      <c r="F113" s="116">
        <f t="shared" si="117"/>
        <v>1589.9694</v>
      </c>
      <c r="G113" s="115"/>
      <c r="H113" s="107" t="s">
        <v>389</v>
      </c>
      <c r="I113" s="113">
        <f>INDEX(TourMode_input!$L$4:$T$17,MATCH(TourMode!$A113,modes,0),MATCH("jmain",modePurpose,0))*Index!$B$2</f>
        <v>20</v>
      </c>
      <c r="J113" s="113">
        <f>INDEX(TourMode_input!$L$20:$T$33,MATCH(TourMode!$A113,modes,0), MATCH("jmain",modePurpose,0))*Index!$B$2</f>
        <v>2925</v>
      </c>
      <c r="K113" s="113">
        <f>INDEX(TourMode_input!$L$36:$T$49,MATCH(TourMode!$A113,modes,0), MATCH("jmain",modePurpose,0))*Index!$B$2</f>
        <v>3705</v>
      </c>
      <c r="L113" s="116">
        <f t="shared" si="118"/>
        <v>6650</v>
      </c>
      <c r="N113" s="107" t="s">
        <v>389</v>
      </c>
      <c r="O113" s="117">
        <f t="shared" si="119"/>
        <v>0</v>
      </c>
      <c r="P113" s="117">
        <f t="shared" si="120"/>
        <v>4.35268362712876E-4</v>
      </c>
      <c r="Q113" s="117">
        <f t="shared" si="121"/>
        <v>5.4218143327672899E-3</v>
      </c>
      <c r="R113" s="118">
        <f t="shared" si="122"/>
        <v>3.5274250642320466E-3</v>
      </c>
      <c r="S113" s="115"/>
      <c r="T113" s="107" t="s">
        <v>389</v>
      </c>
      <c r="U113" s="117">
        <f t="shared" si="123"/>
        <v>7.8446754265542261E-4</v>
      </c>
      <c r="V113" s="117">
        <f t="shared" si="124"/>
        <v>1.1817226890756302E-2</v>
      </c>
      <c r="W113" s="117">
        <f t="shared" si="125"/>
        <v>1.3501448535976531E-2</v>
      </c>
      <c r="X113" s="118">
        <f t="shared" si="126"/>
        <v>1.2147671848455509E-2</v>
      </c>
      <c r="Z113" s="107" t="s">
        <v>389</v>
      </c>
      <c r="AA113" s="113">
        <f t="shared" si="127"/>
        <v>20</v>
      </c>
      <c r="AB113" s="113">
        <f t="shared" si="111"/>
        <v>2855.9737700000001</v>
      </c>
      <c r="AC113" s="113">
        <f t="shared" si="112"/>
        <v>2184.05683</v>
      </c>
      <c r="AD113" s="116">
        <f t="shared" si="113"/>
        <v>5060.0306</v>
      </c>
      <c r="AE113" s="115"/>
      <c r="AF113" s="107" t="s">
        <v>389</v>
      </c>
      <c r="AG113" s="117">
        <f t="shared" si="128"/>
        <v>0</v>
      </c>
      <c r="AH113" s="117">
        <f t="shared" si="114"/>
        <v>41.375195632153172</v>
      </c>
      <c r="AI113" s="117">
        <f t="shared" si="115"/>
        <v>1.4359884531385876</v>
      </c>
      <c r="AJ113" s="118">
        <f t="shared" si="116"/>
        <v>3.1824704299340607</v>
      </c>
    </row>
    <row r="114" spans="1:36" x14ac:dyDescent="0.25">
      <c r="A114">
        <v>5</v>
      </c>
      <c r="B114" s="107" t="s">
        <v>390</v>
      </c>
      <c r="C114" s="113">
        <f>INDEX(TourMode_input!$B$4:$J$172,MATCH(TourMode!$A114,modes,0),MATCH("jmain",modePurpose,0))</f>
        <v>1287.4145699999999</v>
      </c>
      <c r="D114" s="113">
        <f>INDEX(TourMode_input!$B$20:$J$33,MATCH(TourMode!$A114,modes,0),MATCH("jmain",modePurpose,0))</f>
        <v>43786.99798</v>
      </c>
      <c r="E114" s="113">
        <f>INDEX(TourMode_input!$B$36:$J$49,MATCH(TourMode!$A114,modes,0),MATCH("jmain",modePurpose,0))</f>
        <v>102949.63266</v>
      </c>
      <c r="F114" s="116">
        <f t="shared" si="117"/>
        <v>148024.04521000001</v>
      </c>
      <c r="G114" s="115"/>
      <c r="H114" s="107" t="s">
        <v>390</v>
      </c>
      <c r="I114" s="113">
        <f>INDEX(TourMode_input!$L$4:$T$17,MATCH(TourMode!$A114,modes,0),MATCH("jmain",modePurpose,0))*Index!$B$2</f>
        <v>4280</v>
      </c>
      <c r="J114" s="113">
        <f>INDEX(TourMode_input!$L$20:$T$33,MATCH(TourMode!$A114,modes,0), MATCH("jmain",modePurpose,0))*Index!$B$2</f>
        <v>73275</v>
      </c>
      <c r="K114" s="113">
        <f>INDEX(TourMode_input!$L$36:$T$49,MATCH(TourMode!$A114,modes,0), MATCH("jmain",modePurpose,0))*Index!$B$2</f>
        <v>109040</v>
      </c>
      <c r="L114" s="116">
        <f t="shared" si="118"/>
        <v>186595</v>
      </c>
      <c r="N114" s="107" t="s">
        <v>390</v>
      </c>
      <c r="O114" s="117">
        <f t="shared" si="119"/>
        <v>0.11061229431633286</v>
      </c>
      <c r="P114" s="117">
        <f t="shared" si="120"/>
        <v>0.27611380367820482</v>
      </c>
      <c r="Q114" s="117">
        <f t="shared" si="121"/>
        <v>0.36699188037980113</v>
      </c>
      <c r="R114" s="118">
        <f t="shared" si="122"/>
        <v>0.32839860137105259</v>
      </c>
      <c r="S114" s="115"/>
      <c r="T114" s="107" t="s">
        <v>390</v>
      </c>
      <c r="U114" s="117">
        <f t="shared" si="123"/>
        <v>0.16787605412826045</v>
      </c>
      <c r="V114" s="117">
        <f t="shared" si="124"/>
        <v>0.29603668390433097</v>
      </c>
      <c r="W114" s="117">
        <f t="shared" si="125"/>
        <v>0.39735437202776819</v>
      </c>
      <c r="X114" s="118">
        <f t="shared" si="126"/>
        <v>0.34085636519737683</v>
      </c>
      <c r="Z114" s="107" t="s">
        <v>390</v>
      </c>
      <c r="AA114" s="113">
        <f t="shared" si="127"/>
        <v>2992.5854300000001</v>
      </c>
      <c r="AB114" s="113">
        <f t="shared" si="111"/>
        <v>29488.00202</v>
      </c>
      <c r="AC114" s="113">
        <f t="shared" si="112"/>
        <v>6090.3673399999971</v>
      </c>
      <c r="AD114" s="116">
        <f t="shared" si="113"/>
        <v>38570.954789999989</v>
      </c>
      <c r="AE114" s="115"/>
      <c r="AF114" s="107" t="s">
        <v>390</v>
      </c>
      <c r="AG114" s="117">
        <f t="shared" si="128"/>
        <v>2.3244924360301438</v>
      </c>
      <c r="AH114" s="117">
        <f t="shared" si="114"/>
        <v>0.67344196634509723</v>
      </c>
      <c r="AI114" s="117">
        <f t="shared" si="115"/>
        <v>5.9158708803886247E-2</v>
      </c>
      <c r="AJ114" s="118">
        <f t="shared" si="116"/>
        <v>0.26057222483874037</v>
      </c>
    </row>
    <row r="115" spans="1:36" x14ac:dyDescent="0.25">
      <c r="A115">
        <v>6</v>
      </c>
      <c r="B115" s="107" t="s">
        <v>391</v>
      </c>
      <c r="C115" s="113">
        <f>INDEX(TourMode_input!$B$4:$J$172,MATCH(TourMode!$A115,modes,0),MATCH("jmain",modePurpose,0))</f>
        <v>0</v>
      </c>
      <c r="D115" s="113">
        <f>INDEX(TourMode_input!$B$20:$J$33,MATCH(TourMode!$A115,modes,0),MATCH("jmain",modePurpose,0))</f>
        <v>63.674770000000002</v>
      </c>
      <c r="E115" s="113">
        <f>INDEX(TourMode_input!$B$36:$J$49,MATCH(TourMode!$A115,modes,0),MATCH("jmain",modePurpose,0))</f>
        <v>3828.8184500000002</v>
      </c>
      <c r="F115" s="116">
        <f t="shared" si="117"/>
        <v>3892.4932200000003</v>
      </c>
      <c r="G115" s="115"/>
      <c r="H115" s="107" t="s">
        <v>391</v>
      </c>
      <c r="I115" s="113">
        <f>INDEX(TourMode_input!$L$4:$T$17,MATCH(TourMode!$A115,modes,0),MATCH("jmain",modePurpose,0))*Index!$B$2</f>
        <v>135</v>
      </c>
      <c r="J115" s="113">
        <f>INDEX(TourMode_input!$L$20:$T$33,MATCH(TourMode!$A115,modes,0), MATCH("jmain",modePurpose,0))*Index!$B$2</f>
        <v>2405</v>
      </c>
      <c r="K115" s="113">
        <f>INDEX(TourMode_input!$L$36:$T$49,MATCH(TourMode!$A115,modes,0), MATCH("jmain",modePurpose,0))*Index!$B$2</f>
        <v>3015</v>
      </c>
      <c r="L115" s="116">
        <f t="shared" si="118"/>
        <v>5555</v>
      </c>
      <c r="N115" s="107" t="s">
        <v>391</v>
      </c>
      <c r="O115" s="117">
        <f t="shared" si="119"/>
        <v>0</v>
      </c>
      <c r="P115" s="117">
        <f t="shared" si="120"/>
        <v>4.0152291214541136E-4</v>
      </c>
      <c r="Q115" s="117">
        <f t="shared" si="121"/>
        <v>1.3648861548044455E-2</v>
      </c>
      <c r="R115" s="118">
        <f t="shared" si="122"/>
        <v>8.6356870431476898E-3</v>
      </c>
      <c r="S115" s="115"/>
      <c r="T115" s="107" t="s">
        <v>391</v>
      </c>
      <c r="U115" s="117">
        <f t="shared" si="123"/>
        <v>5.2951559129241028E-3</v>
      </c>
      <c r="V115" s="117">
        <f t="shared" si="124"/>
        <v>9.7163865546218489E-3</v>
      </c>
      <c r="W115" s="117">
        <f t="shared" si="125"/>
        <v>1.0987008727657016E-2</v>
      </c>
      <c r="X115" s="118">
        <f t="shared" si="126"/>
        <v>1.0147416107995542E-2</v>
      </c>
      <c r="Z115" s="107" t="s">
        <v>391</v>
      </c>
      <c r="AA115" s="113">
        <f t="shared" si="127"/>
        <v>135</v>
      </c>
      <c r="AB115" s="113">
        <f t="shared" si="111"/>
        <v>2341.3252299999999</v>
      </c>
      <c r="AC115" s="113">
        <f t="shared" si="112"/>
        <v>-813.81845000000021</v>
      </c>
      <c r="AD115" s="116">
        <f t="shared" si="113"/>
        <v>1662.5067799999997</v>
      </c>
      <c r="AE115" s="115"/>
      <c r="AF115" s="107" t="s">
        <v>391</v>
      </c>
      <c r="AG115" s="117">
        <f t="shared" si="128"/>
        <v>0</v>
      </c>
      <c r="AH115" s="117">
        <f t="shared" si="114"/>
        <v>36.770061831397271</v>
      </c>
      <c r="AI115" s="117">
        <f t="shared" si="115"/>
        <v>-0.21255080663331011</v>
      </c>
      <c r="AJ115" s="118">
        <f t="shared" si="116"/>
        <v>0.42710588973100372</v>
      </c>
    </row>
    <row r="116" spans="1:36" x14ac:dyDescent="0.25">
      <c r="A116">
        <v>7</v>
      </c>
      <c r="B116" s="107" t="s">
        <v>392</v>
      </c>
      <c r="C116" s="113">
        <f>INDEX(TourMode_input!$B$4:$J$172,MATCH(TourMode!$A116,modes,0),MATCH("jmain",modePurpose,0))</f>
        <v>4430.6701899999998</v>
      </c>
      <c r="D116" s="113">
        <f>INDEX(TourMode_input!$B$20:$J$33,MATCH(TourMode!$A116,modes,0),MATCH("jmain",modePurpose,0))</f>
        <v>22354.9483</v>
      </c>
      <c r="E116" s="113">
        <f>INDEX(TourMode_input!$B$36:$J$49,MATCH(TourMode!$A116,modes,0),MATCH("jmain",modePurpose,0))</f>
        <v>7996.3614799999996</v>
      </c>
      <c r="F116" s="116">
        <f t="shared" si="117"/>
        <v>34781.97997</v>
      </c>
      <c r="G116" s="115"/>
      <c r="H116" s="107" t="s">
        <v>392</v>
      </c>
      <c r="I116" s="113">
        <f>INDEX(TourMode_input!$L$4:$T$17,MATCH(TourMode!$A116,modes,0),MATCH("jmain",modePurpose,0))*Index!$B$2</f>
        <v>13910</v>
      </c>
      <c r="J116" s="113">
        <f>INDEX(TourMode_input!$L$20:$T$33,MATCH(TourMode!$A116,modes,0), MATCH("jmain",modePurpose,0))*Index!$B$2</f>
        <v>39845</v>
      </c>
      <c r="K116" s="113">
        <f>INDEX(TourMode_input!$L$36:$T$49,MATCH(TourMode!$A116,modes,0), MATCH("jmain",modePurpose,0))*Index!$B$2</f>
        <v>8275</v>
      </c>
      <c r="L116" s="116">
        <f t="shared" si="118"/>
        <v>62030</v>
      </c>
      <c r="N116" s="107" t="s">
        <v>392</v>
      </c>
      <c r="O116" s="117">
        <f t="shared" si="119"/>
        <v>0.38067504166500343</v>
      </c>
      <c r="P116" s="117">
        <f t="shared" si="120"/>
        <v>0.14096672735961374</v>
      </c>
      <c r="Q116" s="117">
        <f t="shared" si="121"/>
        <v>2.8505198706571172E-2</v>
      </c>
      <c r="R116" s="118">
        <f t="shared" si="122"/>
        <v>7.7165527795563238E-2</v>
      </c>
      <c r="S116" s="115"/>
      <c r="T116" s="107" t="s">
        <v>392</v>
      </c>
      <c r="U116" s="117">
        <f t="shared" si="123"/>
        <v>0.54559717591684642</v>
      </c>
      <c r="V116" s="117">
        <f t="shared" si="124"/>
        <v>0.16097689075630253</v>
      </c>
      <c r="W116" s="117">
        <f t="shared" si="125"/>
        <v>3.0155057121513038E-2</v>
      </c>
      <c r="X116" s="118">
        <f t="shared" si="126"/>
        <v>0.11331129094130757</v>
      </c>
      <c r="Z116" s="107" t="s">
        <v>392</v>
      </c>
      <c r="AA116" s="113">
        <f t="shared" si="127"/>
        <v>9479.3298099999993</v>
      </c>
      <c r="AB116" s="113">
        <f t="shared" si="111"/>
        <v>17490.0517</v>
      </c>
      <c r="AC116" s="113">
        <f t="shared" si="112"/>
        <v>278.63852000000043</v>
      </c>
      <c r="AD116" s="116">
        <f t="shared" si="113"/>
        <v>27248.02003</v>
      </c>
      <c r="AE116" s="115"/>
      <c r="AF116" s="107" t="s">
        <v>392</v>
      </c>
      <c r="AG116" s="117">
        <f t="shared" si="128"/>
        <v>2.139479898863788</v>
      </c>
      <c r="AH116" s="117">
        <f t="shared" si="114"/>
        <v>0.78237942961380058</v>
      </c>
      <c r="AI116" s="117">
        <f t="shared" si="115"/>
        <v>3.4845663330367656E-2</v>
      </c>
      <c r="AJ116" s="118">
        <f t="shared" si="116"/>
        <v>0.78339473639803836</v>
      </c>
    </row>
    <row r="117" spans="1:36" x14ac:dyDescent="0.25">
      <c r="A117">
        <v>8</v>
      </c>
      <c r="B117" s="107" t="s">
        <v>393</v>
      </c>
      <c r="C117" s="113">
        <f>INDEX(TourMode_input!$B$4:$J$172,MATCH(TourMode!$A117,modes,0),MATCH("jmain",modePurpose,0))</f>
        <v>0</v>
      </c>
      <c r="D117" s="113">
        <f>INDEX(TourMode_input!$B$20:$J$33,MATCH(TourMode!$A117,modes,0),MATCH("jmain",modePurpose,0))</f>
        <v>84.101759999999999</v>
      </c>
      <c r="E117" s="113">
        <f>INDEX(TourMode_input!$B$36:$J$49,MATCH(TourMode!$A117,modes,0),MATCH("jmain",modePurpose,0))</f>
        <v>819.41144999999995</v>
      </c>
      <c r="F117" s="116">
        <f t="shared" si="117"/>
        <v>903.51320999999996</v>
      </c>
      <c r="G117" s="115"/>
      <c r="H117" s="107" t="s">
        <v>393</v>
      </c>
      <c r="I117" s="113">
        <f>INDEX(TourMode_input!$L$4:$T$17,MATCH(TourMode!$A117,modes,0),MATCH("jmain",modePurpose,0))*Index!$B$2</f>
        <v>80</v>
      </c>
      <c r="J117" s="113">
        <f>INDEX(TourMode_input!$L$20:$T$33,MATCH(TourMode!$A117,modes,0), MATCH("jmain",modePurpose,0))*Index!$B$2</f>
        <v>185</v>
      </c>
      <c r="K117" s="113">
        <f>INDEX(TourMode_input!$L$36:$T$49,MATCH(TourMode!$A117,modes,0), MATCH("jmain",modePurpose,0))*Index!$B$2</f>
        <v>530</v>
      </c>
      <c r="L117" s="116">
        <f t="shared" si="118"/>
        <v>795</v>
      </c>
      <c r="N117" s="107" t="s">
        <v>393</v>
      </c>
      <c r="O117" s="117">
        <f t="shared" si="119"/>
        <v>0</v>
      </c>
      <c r="P117" s="117">
        <f t="shared" si="120"/>
        <v>5.303322429237588E-4</v>
      </c>
      <c r="Q117" s="117">
        <f t="shared" si="121"/>
        <v>2.9210142967035562E-3</v>
      </c>
      <c r="R117" s="118">
        <f t="shared" si="122"/>
        <v>2.004488352303354E-3</v>
      </c>
      <c r="S117" s="115"/>
      <c r="T117" s="107" t="s">
        <v>393</v>
      </c>
      <c r="U117" s="117">
        <f t="shared" si="123"/>
        <v>3.1378701706216905E-3</v>
      </c>
      <c r="V117" s="117">
        <f t="shared" si="124"/>
        <v>7.4741435035552677E-4</v>
      </c>
      <c r="W117" s="117">
        <f t="shared" si="125"/>
        <v>1.9313813020425269E-3</v>
      </c>
      <c r="X117" s="118">
        <f t="shared" si="126"/>
        <v>1.4522404691010723E-3</v>
      </c>
      <c r="Z117" s="107" t="s">
        <v>393</v>
      </c>
      <c r="AA117" s="113">
        <f t="shared" si="127"/>
        <v>80</v>
      </c>
      <c r="AB117" s="113">
        <f t="shared" si="111"/>
        <v>100.89824</v>
      </c>
      <c r="AC117" s="113">
        <f t="shared" si="112"/>
        <v>-289.41144999999995</v>
      </c>
      <c r="AD117" s="116">
        <f t="shared" si="113"/>
        <v>-108.51320999999996</v>
      </c>
      <c r="AE117" s="115"/>
      <c r="AF117" s="107" t="s">
        <v>393</v>
      </c>
      <c r="AG117" s="117">
        <f t="shared" si="128"/>
        <v>0</v>
      </c>
      <c r="AH117" s="117">
        <f t="shared" si="114"/>
        <v>1.1997161533837104</v>
      </c>
      <c r="AI117" s="117">
        <f t="shared" si="115"/>
        <v>-0.35319429573506689</v>
      </c>
      <c r="AJ117" s="118">
        <f t="shared" si="116"/>
        <v>-0.12010140947468821</v>
      </c>
    </row>
    <row r="118" spans="1:36" x14ac:dyDescent="0.25">
      <c r="A118">
        <v>9</v>
      </c>
      <c r="B118" s="107" t="s">
        <v>394</v>
      </c>
      <c r="C118" s="113"/>
      <c r="D118" s="113"/>
      <c r="E118" s="113"/>
      <c r="F118" s="116">
        <f t="shared" si="117"/>
        <v>0</v>
      </c>
      <c r="G118" s="115"/>
      <c r="H118" s="107" t="s">
        <v>394</v>
      </c>
      <c r="I118" s="113">
        <f>INDEX(TourMode_input!$L$4:$T$17,MATCH(TourMode!$A118,modes,0),MATCH("jmain",modePurpose,0))*Index!$B$2</f>
        <v>0</v>
      </c>
      <c r="J118" s="113">
        <f>INDEX(TourMode_input!$L$20:$T$33,MATCH(TourMode!$A118,modes,0), MATCH("jmain",modePurpose,0))*Index!$B$2</f>
        <v>0</v>
      </c>
      <c r="K118" s="113">
        <f>INDEX(TourMode_input!$L$36:$T$49,MATCH(TourMode!$A118,modes,0), MATCH("jmain",modePurpose,0))*Index!$B$2</f>
        <v>0</v>
      </c>
      <c r="L118" s="116">
        <f t="shared" si="118"/>
        <v>0</v>
      </c>
      <c r="N118" s="107" t="s">
        <v>394</v>
      </c>
      <c r="O118" s="117">
        <f t="shared" si="119"/>
        <v>0</v>
      </c>
      <c r="P118" s="117">
        <f t="shared" si="120"/>
        <v>0</v>
      </c>
      <c r="Q118" s="117">
        <f t="shared" si="121"/>
        <v>0</v>
      </c>
      <c r="R118" s="118">
        <f t="shared" si="122"/>
        <v>0</v>
      </c>
      <c r="S118" s="115"/>
      <c r="T118" s="107" t="s">
        <v>394</v>
      </c>
      <c r="U118" s="117">
        <f t="shared" si="123"/>
        <v>0</v>
      </c>
      <c r="V118" s="117">
        <f t="shared" si="124"/>
        <v>0</v>
      </c>
      <c r="W118" s="117">
        <f t="shared" si="125"/>
        <v>0</v>
      </c>
      <c r="X118" s="118">
        <f t="shared" si="126"/>
        <v>0</v>
      </c>
      <c r="Z118" s="107" t="s">
        <v>394</v>
      </c>
      <c r="AA118" s="113">
        <f t="shared" si="127"/>
        <v>0</v>
      </c>
      <c r="AB118" s="113">
        <f t="shared" si="111"/>
        <v>0</v>
      </c>
      <c r="AC118" s="113">
        <f t="shared" si="112"/>
        <v>0</v>
      </c>
      <c r="AD118" s="116">
        <f t="shared" si="113"/>
        <v>0</v>
      </c>
      <c r="AE118" s="115"/>
      <c r="AF118" s="107" t="s">
        <v>394</v>
      </c>
      <c r="AG118" s="117">
        <f t="shared" si="128"/>
        <v>0</v>
      </c>
      <c r="AH118" s="117">
        <f t="shared" si="114"/>
        <v>0</v>
      </c>
      <c r="AI118" s="117">
        <f t="shared" si="115"/>
        <v>0</v>
      </c>
      <c r="AJ118" s="118">
        <f t="shared" si="116"/>
        <v>0</v>
      </c>
    </row>
    <row r="119" spans="1:36" x14ac:dyDescent="0.25">
      <c r="A119">
        <v>10</v>
      </c>
      <c r="B119" s="107" t="s">
        <v>395</v>
      </c>
      <c r="C119" s="113">
        <f>INDEX(TourMode_input!$B$4:$J$172,MATCH(TourMode!$A119,modes,0),MATCH("jmain",modePurpose,0))+INDEX(TourMode_input!$B$4:$J$172,MATCH(TourMode!$A118,modes,0),MATCH("jmain",modePurpose,0))</f>
        <v>5052.8859000000002</v>
      </c>
      <c r="D119" s="113">
        <f>INDEX(TourMode_input!$B$20:$J$33,MATCH(TourMode!$A119,modes,0),MATCH("jmain",modePurpose,0))+INDEX(TourMode_input!$B$20:$J$33,MATCH(TourMode!$A118,modes,0),MATCH("jmain",modePurpose,0))</f>
        <v>6703.7371800000001</v>
      </c>
      <c r="E119" s="113">
        <f>INDEX(TourMode_input!$B$36:$J$49,MATCH(TourMode!$A119,modes,0),MATCH("jmain",modePurpose,0))+INDEX(TourMode_input!$B$36:$J$49,MATCH(TourMode!$A118,modes,0),MATCH("jmain",modePurpose,0))</f>
        <v>481.39607000000001</v>
      </c>
      <c r="F119" s="116">
        <f t="shared" si="117"/>
        <v>12238.019150000002</v>
      </c>
      <c r="G119" s="115"/>
      <c r="H119" s="107" t="s">
        <v>395</v>
      </c>
      <c r="I119" s="113">
        <f>INDEX(TourMode_input!$L$4:$T$17,MATCH(TourMode!$A119,modes,0),MATCH("jmain",modePurpose,0))*Index!$B$2</f>
        <v>4075</v>
      </c>
      <c r="J119" s="113">
        <f>INDEX(TourMode_input!$L$20:$T$33,MATCH(TourMode!$A119,modes,0), MATCH("jmain",modePurpose,0))*Index!$B$2</f>
        <v>4695</v>
      </c>
      <c r="K119" s="113">
        <f>INDEX(TourMode_input!$L$36:$T$49,MATCH(TourMode!$A119,modes,0), MATCH("jmain",modePurpose,0))*Index!$B$2</f>
        <v>390</v>
      </c>
      <c r="L119" s="116">
        <f t="shared" si="118"/>
        <v>9160</v>
      </c>
      <c r="N119" s="107" t="s">
        <v>395</v>
      </c>
      <c r="O119" s="117">
        <f t="shared" si="119"/>
        <v>0.43413467218849988</v>
      </c>
      <c r="P119" s="117">
        <f t="shared" si="120"/>
        <v>4.2272694110572648E-2</v>
      </c>
      <c r="Q119" s="117">
        <f t="shared" si="121"/>
        <v>1.7160668219206676E-3</v>
      </c>
      <c r="R119" s="118">
        <f t="shared" si="122"/>
        <v>2.7150645469190649E-2</v>
      </c>
      <c r="S119" s="115"/>
      <c r="T119" s="107" t="s">
        <v>395</v>
      </c>
      <c r="U119" s="117">
        <f t="shared" si="123"/>
        <v>0.15983526181604235</v>
      </c>
      <c r="V119" s="117">
        <f t="shared" si="124"/>
        <v>1.8968164188752423E-2</v>
      </c>
      <c r="W119" s="117">
        <f t="shared" si="125"/>
        <v>1.4212051090501613E-3</v>
      </c>
      <c r="X119" s="118">
        <f t="shared" si="126"/>
        <v>1.6732732952158266E-2</v>
      </c>
      <c r="Z119" s="107" t="s">
        <v>395</v>
      </c>
      <c r="AA119" s="113">
        <f t="shared" si="127"/>
        <v>-977.88590000000022</v>
      </c>
      <c r="AB119" s="113">
        <f t="shared" si="111"/>
        <v>-2008.7371800000001</v>
      </c>
      <c r="AC119" s="113">
        <f t="shared" si="112"/>
        <v>-91.396070000000009</v>
      </c>
      <c r="AD119" s="116">
        <f t="shared" si="113"/>
        <v>-3078.0191500000019</v>
      </c>
      <c r="AE119" s="115"/>
      <c r="AF119" s="107" t="s">
        <v>395</v>
      </c>
      <c r="AG119" s="117">
        <f t="shared" si="128"/>
        <v>-0.19353017648785623</v>
      </c>
      <c r="AH119" s="117">
        <f t="shared" si="114"/>
        <v>-0.29964438134491422</v>
      </c>
      <c r="AI119" s="117">
        <f t="shared" si="115"/>
        <v>-0.18985628611384386</v>
      </c>
      <c r="AJ119" s="118">
        <f t="shared" si="116"/>
        <v>-0.25151285614714874</v>
      </c>
    </row>
    <row r="120" spans="1:36" x14ac:dyDescent="0.25">
      <c r="A120">
        <v>11</v>
      </c>
      <c r="B120" s="107" t="s">
        <v>396</v>
      </c>
      <c r="C120" s="113">
        <f>INDEX(TourMode_input!$B$4:$J$172,MATCH(TourMode!$A120,modes,0),MATCH("jmain",modePurpose,0))</f>
        <v>0</v>
      </c>
      <c r="D120" s="113">
        <f>INDEX(TourMode_input!$B$20:$J$33,MATCH(TourMode!$A120,modes,0),MATCH("jmain",modePurpose,0))</f>
        <v>270.39208000000002</v>
      </c>
      <c r="E120" s="113">
        <f>INDEX(TourMode_input!$B$36:$J$49,MATCH(TourMode!$A120,modes,0),MATCH("jmain",modePurpose,0))</f>
        <v>1021.57188</v>
      </c>
      <c r="F120" s="116">
        <f t="shared" si="117"/>
        <v>1291.96396</v>
      </c>
      <c r="G120" s="115"/>
      <c r="H120" s="107" t="s">
        <v>396</v>
      </c>
      <c r="I120" s="113">
        <f>INDEX(TourMode_input!$L$4:$T$17,MATCH(TourMode!$A120,modes,0),MATCH("jmain",modePurpose,0))*Index!$B$2</f>
        <v>210</v>
      </c>
      <c r="J120" s="113">
        <f>INDEX(TourMode_input!$L$20:$T$33,MATCH(TourMode!$A120,modes,0), MATCH("jmain",modePurpose,0))*Index!$B$2</f>
        <v>70</v>
      </c>
      <c r="K120" s="113">
        <f>INDEX(TourMode_input!$L$36:$T$49,MATCH(TourMode!$A120,modes,0), MATCH("jmain",modePurpose,0))*Index!$B$2</f>
        <v>210</v>
      </c>
      <c r="L120" s="116">
        <f t="shared" si="118"/>
        <v>490</v>
      </c>
      <c r="N120" s="107" t="s">
        <v>396</v>
      </c>
      <c r="O120" s="117">
        <f t="shared" si="119"/>
        <v>0</v>
      </c>
      <c r="P120" s="117">
        <f t="shared" si="120"/>
        <v>1.7050491958220666E-3</v>
      </c>
      <c r="Q120" s="117">
        <f t="shared" si="121"/>
        <v>3.6416699651808989E-3</v>
      </c>
      <c r="R120" s="118">
        <f t="shared" si="122"/>
        <v>2.8662853854850854E-3</v>
      </c>
      <c r="S120" s="115"/>
      <c r="T120" s="107" t="s">
        <v>396</v>
      </c>
      <c r="U120" s="117">
        <f t="shared" si="123"/>
        <v>8.2369091978819371E-3</v>
      </c>
      <c r="V120" s="117">
        <f t="shared" si="124"/>
        <v>2.8280542986425342E-4</v>
      </c>
      <c r="W120" s="117">
        <f t="shared" si="125"/>
        <v>7.6526428948854835E-4</v>
      </c>
      <c r="X120" s="118">
        <f t="shared" si="126"/>
        <v>8.9509160988619546E-4</v>
      </c>
      <c r="Z120" s="107" t="s">
        <v>396</v>
      </c>
      <c r="AA120" s="113">
        <f t="shared" si="127"/>
        <v>210</v>
      </c>
      <c r="AB120" s="113">
        <f t="shared" si="111"/>
        <v>-200.39208000000002</v>
      </c>
      <c r="AC120" s="113">
        <f t="shared" si="112"/>
        <v>-811.57187999999996</v>
      </c>
      <c r="AD120" s="116">
        <f t="shared" si="113"/>
        <v>-801.96396000000004</v>
      </c>
      <c r="AE120" s="115"/>
      <c r="AF120" s="107" t="s">
        <v>396</v>
      </c>
      <c r="AG120" s="117">
        <f t="shared" si="128"/>
        <v>0</v>
      </c>
      <c r="AH120" s="117">
        <f t="shared" si="114"/>
        <v>-0.74111667767783729</v>
      </c>
      <c r="AI120" s="117">
        <f t="shared" si="115"/>
        <v>-0.79443443568552419</v>
      </c>
      <c r="AJ120" s="118">
        <f t="shared" si="116"/>
        <v>-0.6207324544873527</v>
      </c>
    </row>
    <row r="121" spans="1:36" x14ac:dyDescent="0.25">
      <c r="A121">
        <v>12</v>
      </c>
      <c r="B121" s="107" t="s">
        <v>397</v>
      </c>
      <c r="C121" s="113">
        <f>INDEX(TourMode_input!$B$4:$J$172,MATCH(TourMode!$A121,modes,0),MATCH("jmain",modePurpose,0))</f>
        <v>0</v>
      </c>
      <c r="D121" s="113">
        <f>INDEX(TourMode_input!$B$20:$J$33,MATCH(TourMode!$A121,modes,0),MATCH("jmain",modePurpose,0))</f>
        <v>195.28697</v>
      </c>
      <c r="E121" s="113">
        <f>INDEX(TourMode_input!$B$36:$J$49,MATCH(TourMode!$A121,modes,0),MATCH("jmain",modePurpose,0))</f>
        <v>279.72061000000002</v>
      </c>
      <c r="F121" s="116">
        <f t="shared" si="117"/>
        <v>475.00758000000002</v>
      </c>
      <c r="G121" s="115"/>
      <c r="H121" s="107" t="s">
        <v>397</v>
      </c>
      <c r="I121" s="113">
        <f>INDEX(TourMode_input!$L$4:$T$17,MATCH(TourMode!$A121,modes,0),MATCH("jmain",modePurpose,0))*Index!$B$2</f>
        <v>0</v>
      </c>
      <c r="J121" s="113">
        <f>INDEX(TourMode_input!$L$20:$T$33,MATCH(TourMode!$A121,modes,0), MATCH("jmain",modePurpose,0))*Index!$B$2</f>
        <v>0</v>
      </c>
      <c r="K121" s="113">
        <f>INDEX(TourMode_input!$L$36:$T$49,MATCH(TourMode!$A121,modes,0), MATCH("jmain",modePurpose,0))*Index!$B$2</f>
        <v>0</v>
      </c>
      <c r="L121" s="116">
        <f t="shared" si="118"/>
        <v>0</v>
      </c>
      <c r="N121" s="107" t="s">
        <v>397</v>
      </c>
      <c r="O121" s="117">
        <f t="shared" si="119"/>
        <v>0</v>
      </c>
      <c r="P121" s="117">
        <f t="shared" si="120"/>
        <v>1.2314483884033438E-3</v>
      </c>
      <c r="Q121" s="117">
        <f t="shared" si="121"/>
        <v>9.9713996050780087E-4</v>
      </c>
      <c r="R121" s="118">
        <f t="shared" si="122"/>
        <v>1.0538276040986758E-3</v>
      </c>
      <c r="S121" s="115"/>
      <c r="T121" s="107" t="s">
        <v>397</v>
      </c>
      <c r="U121" s="117">
        <f t="shared" si="123"/>
        <v>0</v>
      </c>
      <c r="V121" s="117">
        <f t="shared" si="124"/>
        <v>0</v>
      </c>
      <c r="W121" s="117">
        <f t="shared" si="125"/>
        <v>0</v>
      </c>
      <c r="X121" s="118">
        <f t="shared" si="126"/>
        <v>0</v>
      </c>
      <c r="Z121" s="107" t="s">
        <v>397</v>
      </c>
      <c r="AA121" s="113">
        <f t="shared" si="127"/>
        <v>0</v>
      </c>
      <c r="AB121" s="113">
        <f t="shared" si="111"/>
        <v>-195.28697</v>
      </c>
      <c r="AC121" s="113">
        <f t="shared" si="112"/>
        <v>-279.72061000000002</v>
      </c>
      <c r="AD121" s="116">
        <f t="shared" si="113"/>
        <v>-475.00758000000002</v>
      </c>
      <c r="AE121" s="115"/>
      <c r="AF121" s="107" t="s">
        <v>397</v>
      </c>
      <c r="AG121" s="117">
        <f t="shared" si="128"/>
        <v>0</v>
      </c>
      <c r="AH121" s="117">
        <f t="shared" si="114"/>
        <v>-1</v>
      </c>
      <c r="AI121" s="117">
        <f t="shared" si="115"/>
        <v>-1</v>
      </c>
      <c r="AJ121" s="118">
        <f t="shared" si="116"/>
        <v>-1</v>
      </c>
    </row>
    <row r="122" spans="1:36" x14ac:dyDescent="0.25">
      <c r="A122">
        <v>13</v>
      </c>
      <c r="B122" s="107" t="s">
        <v>398</v>
      </c>
      <c r="C122" s="113">
        <f>INDEX(TourMode_input!$B$4:$J$172,MATCH(TourMode!$A122,modes,0),MATCH("jmain",modePurpose,0))</f>
        <v>657.02346999999997</v>
      </c>
      <c r="D122" s="113">
        <f>INDEX(TourMode_input!$B$20:$J$33,MATCH(TourMode!$A122,modes,0),MATCH("jmain",modePurpose,0))</f>
        <v>111.87426000000001</v>
      </c>
      <c r="E122" s="113">
        <f>INDEX(TourMode_input!$B$36:$J$49,MATCH(TourMode!$A122,modes,0),MATCH("jmain",modePurpose,0))</f>
        <v>0</v>
      </c>
      <c r="F122" s="116">
        <f t="shared" si="117"/>
        <v>768.89773000000002</v>
      </c>
      <c r="G122" s="115"/>
      <c r="H122" s="107" t="s">
        <v>398</v>
      </c>
      <c r="I122" s="113">
        <f>INDEX(TourMode_input!$L$4:$T$17,MATCH(TourMode!$A122,modes,0),MATCH("jmain",modePurpose,0))*Index!$B$2</f>
        <v>2190</v>
      </c>
      <c r="J122" s="113">
        <f>INDEX(TourMode_input!$L$20:$T$33,MATCH(TourMode!$A122,modes,0), MATCH("jmain",modePurpose,0))*Index!$B$2</f>
        <v>215</v>
      </c>
      <c r="K122" s="113">
        <f>INDEX(TourMode_input!$L$36:$T$49,MATCH(TourMode!$A122,modes,0), MATCH("jmain",modePurpose,0))*Index!$B$2</f>
        <v>20</v>
      </c>
      <c r="L122" s="116">
        <f t="shared" si="118"/>
        <v>2425</v>
      </c>
      <c r="N122" s="107" t="s">
        <v>398</v>
      </c>
      <c r="O122" s="117">
        <f t="shared" si="119"/>
        <v>5.6450249305768148E-2</v>
      </c>
      <c r="P122" s="117">
        <f t="shared" si="120"/>
        <v>7.0546118453687244E-4</v>
      </c>
      <c r="Q122" s="117">
        <f t="shared" si="121"/>
        <v>0</v>
      </c>
      <c r="R122" s="118">
        <f t="shared" si="122"/>
        <v>1.705837310223156E-3</v>
      </c>
      <c r="S122" s="115"/>
      <c r="T122" s="107" t="s">
        <v>398</v>
      </c>
      <c r="U122" s="117">
        <f t="shared" si="123"/>
        <v>8.5899195920768778E-2</v>
      </c>
      <c r="V122" s="117">
        <f t="shared" si="124"/>
        <v>8.686166774402068E-4</v>
      </c>
      <c r="W122" s="117">
        <f t="shared" si="125"/>
        <v>7.288231328462365E-5</v>
      </c>
      <c r="X122" s="118">
        <f t="shared" si="126"/>
        <v>4.4297901101510691E-3</v>
      </c>
      <c r="Z122" s="107" t="s">
        <v>398</v>
      </c>
      <c r="AA122" s="113">
        <f t="shared" si="127"/>
        <v>1532.9765299999999</v>
      </c>
      <c r="AB122" s="113">
        <f t="shared" si="111"/>
        <v>103.12573999999999</v>
      </c>
      <c r="AC122" s="113">
        <f t="shared" si="112"/>
        <v>20</v>
      </c>
      <c r="AD122" s="116">
        <f t="shared" si="113"/>
        <v>1656.1022699999999</v>
      </c>
      <c r="AE122" s="115"/>
      <c r="AF122" s="107" t="s">
        <v>398</v>
      </c>
      <c r="AG122" s="117">
        <f t="shared" si="128"/>
        <v>2.3332142609760957</v>
      </c>
      <c r="AH122" s="117">
        <f t="shared" si="114"/>
        <v>0.92180042129440665</v>
      </c>
      <c r="AI122" s="117">
        <f t="shared" si="115"/>
        <v>0</v>
      </c>
      <c r="AJ122" s="118">
        <f t="shared" si="116"/>
        <v>2.1538654692087591</v>
      </c>
    </row>
    <row r="123" spans="1:36" x14ac:dyDescent="0.25">
      <c r="A123">
        <v>14</v>
      </c>
      <c r="B123" s="107" t="s">
        <v>399</v>
      </c>
      <c r="C123" s="113">
        <f>INDEX(TourMode_input!$B$4:$J$172,MATCH(TourMode!$A123,modes,0),MATCH("jmain",modePurpose,0))</f>
        <v>0</v>
      </c>
      <c r="D123" s="113">
        <f>INDEX(TourMode_input!$B$20:$J$33,MATCH(TourMode!$A123,modes,0),MATCH("jmain",modePurpose,0))</f>
        <v>0</v>
      </c>
      <c r="E123" s="113">
        <f>INDEX(TourMode_input!$B$36:$J$49,MATCH(TourMode!$A123,modes,0),MATCH("jmain",modePurpose,0))</f>
        <v>0</v>
      </c>
      <c r="F123" s="116">
        <f t="shared" si="117"/>
        <v>0</v>
      </c>
      <c r="G123" s="115"/>
      <c r="H123" s="107" t="s">
        <v>399</v>
      </c>
      <c r="I123" s="113">
        <f>INDEX(TourMode_input!$L$4:$T$17,MATCH(TourMode!$A123,modes,0),MATCH("jmain",modePurpose,0))*Index!$B$2</f>
        <v>0</v>
      </c>
      <c r="J123" s="113">
        <f>INDEX(TourMode_input!$L$20:$T$33,MATCH(TourMode!$A123,modes,0), MATCH("jmain",modePurpose,0))*Index!$B$2</f>
        <v>0</v>
      </c>
      <c r="K123" s="113">
        <f>INDEX(TourMode_input!$L$36:$T$49,MATCH(TourMode!$A123,modes,0), MATCH("jmain",modePurpose,0))*Index!$B$2</f>
        <v>0</v>
      </c>
      <c r="L123" s="116">
        <f t="shared" si="118"/>
        <v>0</v>
      </c>
      <c r="N123" s="107" t="s">
        <v>399</v>
      </c>
      <c r="O123" s="117">
        <f t="shared" si="119"/>
        <v>0</v>
      </c>
      <c r="P123" s="117">
        <f t="shared" si="120"/>
        <v>0</v>
      </c>
      <c r="Q123" s="117">
        <f t="shared" si="121"/>
        <v>0</v>
      </c>
      <c r="R123" s="118">
        <f t="shared" si="122"/>
        <v>0</v>
      </c>
      <c r="S123" s="115"/>
      <c r="T123" s="107" t="s">
        <v>399</v>
      </c>
      <c r="U123" s="117">
        <f t="shared" si="123"/>
        <v>0</v>
      </c>
      <c r="V123" s="117">
        <f t="shared" si="124"/>
        <v>0</v>
      </c>
      <c r="W123" s="117">
        <f t="shared" si="125"/>
        <v>0</v>
      </c>
      <c r="X123" s="118">
        <f t="shared" si="126"/>
        <v>0</v>
      </c>
      <c r="Z123" s="107" t="s">
        <v>399</v>
      </c>
      <c r="AA123" s="113">
        <f t="shared" si="127"/>
        <v>0</v>
      </c>
      <c r="AB123" s="113">
        <f t="shared" si="111"/>
        <v>0</v>
      </c>
      <c r="AC123" s="113">
        <f t="shared" si="112"/>
        <v>0</v>
      </c>
      <c r="AD123" s="116">
        <f t="shared" si="113"/>
        <v>0</v>
      </c>
      <c r="AE123" s="115"/>
      <c r="AF123" s="107" t="s">
        <v>399</v>
      </c>
      <c r="AG123" s="117">
        <f t="shared" si="128"/>
        <v>0</v>
      </c>
      <c r="AH123" s="117">
        <f t="shared" si="114"/>
        <v>0</v>
      </c>
      <c r="AI123" s="117">
        <f t="shared" si="115"/>
        <v>0</v>
      </c>
      <c r="AJ123" s="118">
        <f t="shared" si="116"/>
        <v>0</v>
      </c>
    </row>
    <row r="124" spans="1:36" ht="15.75" thickBot="1" x14ac:dyDescent="0.3">
      <c r="B124" s="108" t="s">
        <v>29</v>
      </c>
      <c r="C124" s="109">
        <f>SUM(C110:C123)</f>
        <v>11638.982609999999</v>
      </c>
      <c r="D124" s="110">
        <f>SUM(D110:D123)</f>
        <v>158583.15446999998</v>
      </c>
      <c r="E124" s="111">
        <f>SUM(E110:E123)</f>
        <v>280522.91662000009</v>
      </c>
      <c r="F124" s="112">
        <f>SUM(F110:F123)</f>
        <v>450745.05370000005</v>
      </c>
      <c r="H124" s="108" t="s">
        <v>29</v>
      </c>
      <c r="I124" s="109">
        <f>SUM(I110:I123)</f>
        <v>25495</v>
      </c>
      <c r="J124" s="110">
        <f>SUM(J110:J123)</f>
        <v>247520</v>
      </c>
      <c r="K124" s="111">
        <f>SUM(K110:K123)</f>
        <v>274415</v>
      </c>
      <c r="L124" s="112">
        <f>SUM(L110:L123)</f>
        <v>547430</v>
      </c>
      <c r="N124" s="108" t="s">
        <v>29</v>
      </c>
      <c r="O124" s="120">
        <f t="shared" si="119"/>
        <v>1</v>
      </c>
      <c r="P124" s="121">
        <f t="shared" si="120"/>
        <v>1</v>
      </c>
      <c r="Q124" s="122">
        <f t="shared" si="121"/>
        <v>1</v>
      </c>
      <c r="R124" s="123">
        <f t="shared" si="122"/>
        <v>1</v>
      </c>
      <c r="T124" s="108" t="s">
        <v>29</v>
      </c>
      <c r="U124" s="120">
        <f t="shared" si="123"/>
        <v>1</v>
      </c>
      <c r="V124" s="121">
        <f t="shared" si="124"/>
        <v>1</v>
      </c>
      <c r="W124" s="122">
        <f t="shared" si="125"/>
        <v>1</v>
      </c>
      <c r="X124" s="123">
        <f t="shared" si="126"/>
        <v>1</v>
      </c>
      <c r="Z124" s="108" t="s">
        <v>29</v>
      </c>
      <c r="AA124" s="109">
        <f t="shared" si="127"/>
        <v>13856.017390000001</v>
      </c>
      <c r="AB124" s="110">
        <f t="shared" si="111"/>
        <v>88936.845530000021</v>
      </c>
      <c r="AC124" s="111">
        <f t="shared" si="112"/>
        <v>-6107.9166200000909</v>
      </c>
      <c r="AD124" s="112">
        <f t="shared" si="113"/>
        <v>96684.946299999952</v>
      </c>
      <c r="AF124" s="108" t="s">
        <v>29</v>
      </c>
      <c r="AG124" s="117">
        <f t="shared" si="128"/>
        <v>1.1904835546446444</v>
      </c>
      <c r="AH124" s="117">
        <f t="shared" si="114"/>
        <v>0.56082151869935637</v>
      </c>
      <c r="AI124" s="117">
        <f t="shared" si="115"/>
        <v>-2.1773324951821858E-2</v>
      </c>
      <c r="AJ124" s="118">
        <f t="shared" si="116"/>
        <v>0.21450029347266011</v>
      </c>
    </row>
    <row r="125" spans="1:36" ht="26.25" x14ac:dyDescent="0.4">
      <c r="A125" s="150" t="s">
        <v>153</v>
      </c>
    </row>
    <row r="126" spans="1:36" ht="26.25" x14ac:dyDescent="0.25">
      <c r="B126" s="102" t="s">
        <v>134</v>
      </c>
      <c r="C126" s="103" t="s">
        <v>135</v>
      </c>
      <c r="D126" s="104" t="s">
        <v>136</v>
      </c>
      <c r="E126" s="105" t="s">
        <v>137</v>
      </c>
      <c r="F126" s="106" t="s">
        <v>29</v>
      </c>
      <c r="H126" s="102" t="s">
        <v>134</v>
      </c>
      <c r="I126" s="103" t="s">
        <v>135</v>
      </c>
      <c r="J126" s="104" t="s">
        <v>136</v>
      </c>
      <c r="K126" s="105" t="s">
        <v>137</v>
      </c>
      <c r="L126" s="106" t="s">
        <v>29</v>
      </c>
      <c r="N126" s="102" t="s">
        <v>134</v>
      </c>
      <c r="O126" s="103" t="s">
        <v>135</v>
      </c>
      <c r="P126" s="104" t="s">
        <v>136</v>
      </c>
      <c r="Q126" s="105" t="s">
        <v>137</v>
      </c>
      <c r="R126" s="106" t="s">
        <v>29</v>
      </c>
      <c r="T126" s="102" t="s">
        <v>134</v>
      </c>
      <c r="U126" s="103" t="s">
        <v>135</v>
      </c>
      <c r="V126" s="104" t="s">
        <v>136</v>
      </c>
      <c r="W126" s="105" t="s">
        <v>137</v>
      </c>
      <c r="X126" s="106" t="s">
        <v>29</v>
      </c>
      <c r="Z126" s="102" t="s">
        <v>134</v>
      </c>
      <c r="AA126" s="103" t="s">
        <v>135</v>
      </c>
      <c r="AB126" s="104" t="s">
        <v>136</v>
      </c>
      <c r="AC126" s="105" t="s">
        <v>137</v>
      </c>
      <c r="AD126" s="106" t="s">
        <v>29</v>
      </c>
      <c r="AF126" s="102" t="s">
        <v>134</v>
      </c>
      <c r="AG126" s="103" t="s">
        <v>135</v>
      </c>
      <c r="AH126" s="104" t="s">
        <v>136</v>
      </c>
      <c r="AI126" s="105" t="s">
        <v>137</v>
      </c>
      <c r="AJ126" s="106" t="s">
        <v>29</v>
      </c>
    </row>
    <row r="127" spans="1:36" x14ac:dyDescent="0.25">
      <c r="A127">
        <v>1</v>
      </c>
      <c r="B127" s="107" t="s">
        <v>386</v>
      </c>
      <c r="C127" s="113">
        <f>INDEX(TourMode_input!$B$4:$J$172,MATCH(TourMode!$A127,modes,0),MATCH("jdisc",modePurpose,0))</f>
        <v>0</v>
      </c>
      <c r="D127" s="113">
        <f>INDEX(TourMode_input!$B$20:$J$33,MATCH(TourMode!$A127,modes,0),MATCH("jdisc",modePurpose,0))</f>
        <v>0</v>
      </c>
      <c r="E127" s="113">
        <f>INDEX(TourMode_input!$B$36:$J$49,MATCH(TourMode!$A127,modes,0),MATCH("jdisc",modePurpose,0))</f>
        <v>0</v>
      </c>
      <c r="F127" s="114">
        <f>SUM(C127:E127)</f>
        <v>0</v>
      </c>
      <c r="G127" s="115"/>
      <c r="H127" s="107" t="s">
        <v>386</v>
      </c>
      <c r="I127" s="113">
        <f>INDEX(TourMode_input!$L$4:$T$17,MATCH(TourMode!$A127,modes,0),MATCH("jdisc",modePurpose,0))*Index!$B$2</f>
        <v>0</v>
      </c>
      <c r="J127" s="113">
        <f>INDEX(TourMode_input!$L$20:$T$33,MATCH(TourMode!$A127,modes,0), MATCH("jdisc",modePurpose,0))*Index!$B$2</f>
        <v>0</v>
      </c>
      <c r="K127" s="113">
        <f>INDEX(TourMode_input!$L$36:$T$49,MATCH(TourMode!$A127,modes,0), MATCH("jdisc",modePurpose,0))*Index!$B$2</f>
        <v>0</v>
      </c>
      <c r="L127" s="114">
        <f>SUM(I127:K127)</f>
        <v>0</v>
      </c>
      <c r="N127" s="107" t="s">
        <v>386</v>
      </c>
      <c r="O127" s="117">
        <f>C127/C$141</f>
        <v>0</v>
      </c>
      <c r="P127" s="117">
        <f>D127/D$141</f>
        <v>0</v>
      </c>
      <c r="Q127" s="117">
        <f>E127/E$141</f>
        <v>0</v>
      </c>
      <c r="R127" s="118">
        <f>F127/F$141</f>
        <v>0</v>
      </c>
      <c r="S127" s="115"/>
      <c r="T127" s="107" t="s">
        <v>386</v>
      </c>
      <c r="U127" s="117">
        <f>I127/I$141</f>
        <v>0</v>
      </c>
      <c r="V127" s="117">
        <f>J127/J$141</f>
        <v>0</v>
      </c>
      <c r="W127" s="117">
        <f>K127/K$141</f>
        <v>0</v>
      </c>
      <c r="X127" s="118">
        <f>L127/L$141</f>
        <v>0</v>
      </c>
      <c r="Z127" s="107" t="s">
        <v>386</v>
      </c>
      <c r="AA127" s="113">
        <f>I127-C127</f>
        <v>0</v>
      </c>
      <c r="AB127" s="113">
        <f t="shared" ref="AB127:AB141" si="129">J127-D127</f>
        <v>0</v>
      </c>
      <c r="AC127" s="113">
        <f t="shared" ref="AC127:AC141" si="130">K127-E127</f>
        <v>0</v>
      </c>
      <c r="AD127" s="114">
        <f t="shared" ref="AD127:AD141" si="131">L127-F127</f>
        <v>0</v>
      </c>
      <c r="AE127" s="115"/>
      <c r="AF127" s="107" t="s">
        <v>386</v>
      </c>
      <c r="AG127" s="117">
        <f>IF(C127=0, 0,AA127/C127)</f>
        <v>0</v>
      </c>
      <c r="AH127" s="117">
        <f t="shared" ref="AH127:AH141" si="132">IF(D127=0, 0,AB127/D127)</f>
        <v>0</v>
      </c>
      <c r="AI127" s="117">
        <f t="shared" ref="AI127:AI141" si="133">IF(E127=0, 0,AC127/E127)</f>
        <v>0</v>
      </c>
      <c r="AJ127" s="118">
        <f t="shared" ref="AJ127:AJ141" si="134">IF(F127=0, 0,AD127/F127)</f>
        <v>0</v>
      </c>
    </row>
    <row r="128" spans="1:36" x14ac:dyDescent="0.25">
      <c r="A128">
        <v>2</v>
      </c>
      <c r="B128" s="107" t="s">
        <v>387</v>
      </c>
      <c r="C128" s="113">
        <f>INDEX(TourMode_input!$B$4:$J$172,MATCH(TourMode!$A128,modes,0),MATCH("jdisc",modePurpose,0))</f>
        <v>0</v>
      </c>
      <c r="D128" s="113">
        <f>INDEX(TourMode_input!$B$20:$J$33,MATCH(TourMode!$A128,modes,0),MATCH("jdisc",modePurpose,0))</f>
        <v>0</v>
      </c>
      <c r="E128" s="113">
        <f>INDEX(TourMode_input!$B$36:$J$49,MATCH(TourMode!$A128,modes,0),MATCH("jdisc",modePurpose,0))</f>
        <v>0</v>
      </c>
      <c r="F128" s="116">
        <f t="shared" ref="F128:F140" si="135">SUM(C128:E128)</f>
        <v>0</v>
      </c>
      <c r="G128" s="115"/>
      <c r="H128" s="107" t="s">
        <v>387</v>
      </c>
      <c r="I128" s="113">
        <f>INDEX(TourMode_input!$L$4:$T$17,MATCH(TourMode!$A128,modes,0),MATCH("jdisc",modePurpose,0))*Index!$B$2</f>
        <v>0</v>
      </c>
      <c r="J128" s="113">
        <f>INDEX(TourMode_input!$L$20:$T$33,MATCH(TourMode!$A128,modes,0), MATCH("jdisc",modePurpose,0))*Index!$B$2</f>
        <v>0</v>
      </c>
      <c r="K128" s="113">
        <f>INDEX(TourMode_input!$L$36:$T$49,MATCH(TourMode!$A128,modes,0), MATCH("jdisc",modePurpose,0))*Index!$B$2</f>
        <v>0</v>
      </c>
      <c r="L128" s="116">
        <f t="shared" ref="L128:L140" si="136">SUM(I128:K128)</f>
        <v>0</v>
      </c>
      <c r="N128" s="107" t="s">
        <v>387</v>
      </c>
      <c r="O128" s="117">
        <f t="shared" ref="O128:O141" si="137">C128/C$141</f>
        <v>0</v>
      </c>
      <c r="P128" s="117">
        <f t="shared" ref="P128:P141" si="138">D128/D$141</f>
        <v>0</v>
      </c>
      <c r="Q128" s="117">
        <f t="shared" ref="Q128:Q141" si="139">E128/E$141</f>
        <v>0</v>
      </c>
      <c r="R128" s="118">
        <f t="shared" ref="R128:R141" si="140">F128/F$141</f>
        <v>0</v>
      </c>
      <c r="S128" s="115"/>
      <c r="T128" s="107" t="s">
        <v>387</v>
      </c>
      <c r="U128" s="117">
        <f t="shared" ref="U128:U141" si="141">I128/I$141</f>
        <v>0</v>
      </c>
      <c r="V128" s="117">
        <f t="shared" ref="V128:V141" si="142">J128/J$141</f>
        <v>0</v>
      </c>
      <c r="W128" s="117">
        <f t="shared" ref="W128:W141" si="143">K128/K$141</f>
        <v>0</v>
      </c>
      <c r="X128" s="118">
        <f t="shared" ref="X128:X141" si="144">L128/L$141</f>
        <v>0</v>
      </c>
      <c r="Z128" s="107" t="s">
        <v>387</v>
      </c>
      <c r="AA128" s="113">
        <f t="shared" ref="AA128:AA141" si="145">I128-C128</f>
        <v>0</v>
      </c>
      <c r="AB128" s="113">
        <f t="shared" si="129"/>
        <v>0</v>
      </c>
      <c r="AC128" s="113">
        <f t="shared" si="130"/>
        <v>0</v>
      </c>
      <c r="AD128" s="116">
        <f t="shared" si="131"/>
        <v>0</v>
      </c>
      <c r="AE128" s="115"/>
      <c r="AF128" s="107" t="s">
        <v>387</v>
      </c>
      <c r="AG128" s="117">
        <f t="shared" ref="AG128:AG141" si="146">IF(C128=0, 0,AA128/C128)</f>
        <v>0</v>
      </c>
      <c r="AH128" s="117">
        <f t="shared" si="132"/>
        <v>0</v>
      </c>
      <c r="AI128" s="117">
        <f t="shared" si="133"/>
        <v>0</v>
      </c>
      <c r="AJ128" s="118">
        <f t="shared" si="134"/>
        <v>0</v>
      </c>
    </row>
    <row r="129" spans="1:36" x14ac:dyDescent="0.25">
      <c r="A129">
        <v>3</v>
      </c>
      <c r="B129" s="107" t="s">
        <v>388</v>
      </c>
      <c r="C129" s="113">
        <f>INDEX(TourMode_input!$B$4:$J$172,MATCH(TourMode!$A129,modes,0),MATCH("jdisc",modePurpose,0))</f>
        <v>71.817570000000003</v>
      </c>
      <c r="D129" s="113">
        <f>INDEX(TourMode_input!$B$20:$J$33,MATCH(TourMode!$A129,modes,0),MATCH("jdisc",modePurpose,0))</f>
        <v>47185.219960000002</v>
      </c>
      <c r="E129" s="113">
        <f>INDEX(TourMode_input!$B$36:$J$49,MATCH(TourMode!$A129,modes,0),MATCH("jdisc",modePurpose,0))</f>
        <v>125489.67358</v>
      </c>
      <c r="F129" s="116">
        <f t="shared" si="135"/>
        <v>172746.71111</v>
      </c>
      <c r="G129" s="115"/>
      <c r="H129" s="107" t="s">
        <v>388</v>
      </c>
      <c r="I129" s="113">
        <f>INDEX(TourMode_input!$L$4:$T$17,MATCH(TourMode!$A129,modes,0),MATCH("jdisc",modePurpose,0))*Index!$B$2</f>
        <v>165</v>
      </c>
      <c r="J129" s="113">
        <f>INDEX(TourMode_input!$L$20:$T$33,MATCH(TourMode!$A129,modes,0), MATCH("jdisc",modePurpose,0))*Index!$B$2</f>
        <v>67225</v>
      </c>
      <c r="K129" s="113">
        <f>INDEX(TourMode_input!$L$36:$T$49,MATCH(TourMode!$A129,modes,0), MATCH("jdisc",modePurpose,0))*Index!$B$2</f>
        <v>116390</v>
      </c>
      <c r="L129" s="116">
        <f t="shared" si="136"/>
        <v>183780</v>
      </c>
      <c r="N129" s="107" t="s">
        <v>388</v>
      </c>
      <c r="O129" s="117">
        <f t="shared" si="137"/>
        <v>8.6193740550952521E-3</v>
      </c>
      <c r="P129" s="117">
        <f t="shared" si="138"/>
        <v>0.39621204470214466</v>
      </c>
      <c r="Q129" s="117">
        <f t="shared" si="139"/>
        <v>0.44166376946030173</v>
      </c>
      <c r="R129" s="118">
        <f t="shared" si="140"/>
        <v>0.41974418476952768</v>
      </c>
      <c r="S129" s="115"/>
      <c r="T129" s="107" t="s">
        <v>388</v>
      </c>
      <c r="U129" s="117">
        <f t="shared" si="141"/>
        <v>1.4138817480719794E-2</v>
      </c>
      <c r="V129" s="117">
        <f t="shared" si="142"/>
        <v>0.40281023428605667</v>
      </c>
      <c r="W129" s="117">
        <f t="shared" si="143"/>
        <v>0.44258118488097953</v>
      </c>
      <c r="X129" s="118">
        <f t="shared" si="144"/>
        <v>0.41622503057480637</v>
      </c>
      <c r="Z129" s="107" t="s">
        <v>388</v>
      </c>
      <c r="AA129" s="113">
        <f t="shared" si="145"/>
        <v>93.182429999999997</v>
      </c>
      <c r="AB129" s="113">
        <f t="shared" si="129"/>
        <v>20039.780039999998</v>
      </c>
      <c r="AC129" s="113">
        <f t="shared" si="130"/>
        <v>-9099.6735800000024</v>
      </c>
      <c r="AD129" s="116">
        <f t="shared" si="131"/>
        <v>11033.288889999996</v>
      </c>
      <c r="AE129" s="115"/>
      <c r="AF129" s="107" t="s">
        <v>388</v>
      </c>
      <c r="AG129" s="117">
        <f t="shared" si="146"/>
        <v>1.2974879267009451</v>
      </c>
      <c r="AH129" s="117">
        <f t="shared" si="132"/>
        <v>0.42470460150420369</v>
      </c>
      <c r="AI129" s="117">
        <f t="shared" si="133"/>
        <v>-7.251332576141363E-2</v>
      </c>
      <c r="AJ129" s="118">
        <f t="shared" si="134"/>
        <v>6.3869747904921462E-2</v>
      </c>
    </row>
    <row r="130" spans="1:36" x14ac:dyDescent="0.25">
      <c r="A130">
        <v>4</v>
      </c>
      <c r="B130" s="107" t="s">
        <v>389</v>
      </c>
      <c r="C130" s="113">
        <f>INDEX(TourMode_input!$B$4:$J$172,MATCH(TourMode!$A130,modes,0),MATCH("jdisc",modePurpose,0))</f>
        <v>0</v>
      </c>
      <c r="D130" s="113">
        <f>INDEX(TourMode_input!$B$20:$J$33,MATCH(TourMode!$A130,modes,0),MATCH("jdisc",modePurpose,0))</f>
        <v>1353.3767499999999</v>
      </c>
      <c r="E130" s="113">
        <f>INDEX(TourMode_input!$B$36:$J$49,MATCH(TourMode!$A130,modes,0),MATCH("jdisc",modePurpose,0))</f>
        <v>2905.2024500000002</v>
      </c>
      <c r="F130" s="116">
        <f t="shared" si="135"/>
        <v>4258.5792000000001</v>
      </c>
      <c r="G130" s="115"/>
      <c r="H130" s="107" t="s">
        <v>389</v>
      </c>
      <c r="I130" s="113">
        <f>INDEX(TourMode_input!$L$4:$T$17,MATCH(TourMode!$A130,modes,0),MATCH("jdisc",modePurpose,0))*Index!$B$2</f>
        <v>0</v>
      </c>
      <c r="J130" s="113">
        <f>INDEX(TourMode_input!$L$20:$T$33,MATCH(TourMode!$A130,modes,0), MATCH("jdisc",modePurpose,0))*Index!$B$2</f>
        <v>1565</v>
      </c>
      <c r="K130" s="113">
        <f>INDEX(TourMode_input!$L$36:$T$49,MATCH(TourMode!$A130,modes,0), MATCH("jdisc",modePurpose,0))*Index!$B$2</f>
        <v>3090</v>
      </c>
      <c r="L130" s="116">
        <f t="shared" si="136"/>
        <v>4655</v>
      </c>
      <c r="N130" s="107" t="s">
        <v>389</v>
      </c>
      <c r="O130" s="117">
        <f t="shared" si="137"/>
        <v>0</v>
      </c>
      <c r="P130" s="117">
        <f t="shared" si="138"/>
        <v>1.1364240112145558E-2</v>
      </c>
      <c r="Q130" s="117">
        <f t="shared" si="139"/>
        <v>1.0224926310723963E-2</v>
      </c>
      <c r="R130" s="118">
        <f t="shared" si="140"/>
        <v>1.0347599923000741E-2</v>
      </c>
      <c r="S130" s="115"/>
      <c r="T130" s="107" t="s">
        <v>389</v>
      </c>
      <c r="U130" s="117">
        <f t="shared" si="141"/>
        <v>0</v>
      </c>
      <c r="V130" s="117">
        <f t="shared" si="142"/>
        <v>9.3774342381209175E-3</v>
      </c>
      <c r="W130" s="117">
        <f t="shared" si="143"/>
        <v>1.1749942961441934E-2</v>
      </c>
      <c r="X130" s="118">
        <f t="shared" si="144"/>
        <v>1.0542646192870408E-2</v>
      </c>
      <c r="Z130" s="107" t="s">
        <v>389</v>
      </c>
      <c r="AA130" s="113">
        <f t="shared" si="145"/>
        <v>0</v>
      </c>
      <c r="AB130" s="113">
        <f t="shared" si="129"/>
        <v>211.6232500000001</v>
      </c>
      <c r="AC130" s="113">
        <f t="shared" si="130"/>
        <v>184.79754999999977</v>
      </c>
      <c r="AD130" s="116">
        <f t="shared" si="131"/>
        <v>396.42079999999987</v>
      </c>
      <c r="AE130" s="115"/>
      <c r="AF130" s="107" t="s">
        <v>389</v>
      </c>
      <c r="AG130" s="117">
        <f t="shared" si="146"/>
        <v>0</v>
      </c>
      <c r="AH130" s="117">
        <f t="shared" si="132"/>
        <v>0.15636684315731011</v>
      </c>
      <c r="AI130" s="117">
        <f t="shared" si="133"/>
        <v>6.3609181521927932E-2</v>
      </c>
      <c r="AJ130" s="118">
        <f t="shared" si="134"/>
        <v>9.3087572493661702E-2</v>
      </c>
    </row>
    <row r="131" spans="1:36" x14ac:dyDescent="0.25">
      <c r="A131">
        <v>5</v>
      </c>
      <c r="B131" s="107" t="s">
        <v>390</v>
      </c>
      <c r="C131" s="113">
        <f>INDEX(TourMode_input!$B$4:$J$172,MATCH(TourMode!$A131,modes,0),MATCH("jdisc",modePurpose,0))</f>
        <v>4010.1069600000001</v>
      </c>
      <c r="D131" s="113">
        <f>INDEX(TourMode_input!$B$20:$J$33,MATCH(TourMode!$A131,modes,0),MATCH("jdisc",modePurpose,0))</f>
        <v>43402.300810000001</v>
      </c>
      <c r="E131" s="113">
        <f>INDEX(TourMode_input!$B$36:$J$49,MATCH(TourMode!$A131,modes,0),MATCH("jdisc",modePurpose,0))</f>
        <v>130264.24066</v>
      </c>
      <c r="F131" s="116">
        <f t="shared" si="135"/>
        <v>177676.64843</v>
      </c>
      <c r="G131" s="115"/>
      <c r="H131" s="107" t="s">
        <v>390</v>
      </c>
      <c r="I131" s="113">
        <f>INDEX(TourMode_input!$L$4:$T$17,MATCH(TourMode!$A131,modes,0),MATCH("jdisc",modePurpose,0))*Index!$B$2</f>
        <v>6910</v>
      </c>
      <c r="J131" s="113">
        <f>INDEX(TourMode_input!$L$20:$T$33,MATCH(TourMode!$A131,modes,0), MATCH("jdisc",modePurpose,0))*Index!$B$2</f>
        <v>64785</v>
      </c>
      <c r="K131" s="113">
        <f>INDEX(TourMode_input!$L$36:$T$49,MATCH(TourMode!$A131,modes,0), MATCH("jdisc",modePurpose,0))*Index!$B$2</f>
        <v>123050</v>
      </c>
      <c r="L131" s="116">
        <f t="shared" si="136"/>
        <v>194745</v>
      </c>
      <c r="N131" s="107" t="s">
        <v>390</v>
      </c>
      <c r="O131" s="117">
        <f t="shared" si="137"/>
        <v>0.48128350609998216</v>
      </c>
      <c r="P131" s="117">
        <f t="shared" si="138"/>
        <v>0.36444705276960732</v>
      </c>
      <c r="Q131" s="117">
        <f t="shared" si="139"/>
        <v>0.45846796723956779</v>
      </c>
      <c r="R131" s="118">
        <f t="shared" si="140"/>
        <v>0.43172306707676067</v>
      </c>
      <c r="S131" s="115"/>
      <c r="T131" s="107" t="s">
        <v>390</v>
      </c>
      <c r="U131" s="117">
        <f t="shared" si="141"/>
        <v>0.5921165381319623</v>
      </c>
      <c r="V131" s="117">
        <f t="shared" si="142"/>
        <v>0.3881898256336509</v>
      </c>
      <c r="W131" s="117">
        <f t="shared" si="143"/>
        <v>0.46790630466195149</v>
      </c>
      <c r="X131" s="118">
        <f t="shared" si="144"/>
        <v>0.44105856774018209</v>
      </c>
      <c r="Z131" s="107" t="s">
        <v>390</v>
      </c>
      <c r="AA131" s="113">
        <f t="shared" si="145"/>
        <v>2899.8930399999999</v>
      </c>
      <c r="AB131" s="113">
        <f t="shared" si="129"/>
        <v>21382.699189999999</v>
      </c>
      <c r="AC131" s="113">
        <f t="shared" si="130"/>
        <v>-7214.2406599999958</v>
      </c>
      <c r="AD131" s="116">
        <f t="shared" si="131"/>
        <v>17068.351569999999</v>
      </c>
      <c r="AE131" s="115"/>
      <c r="AF131" s="107" t="s">
        <v>390</v>
      </c>
      <c r="AG131" s="117">
        <f t="shared" si="146"/>
        <v>0.72314605792958697</v>
      </c>
      <c r="AH131" s="117">
        <f t="shared" si="132"/>
        <v>0.49266280337546925</v>
      </c>
      <c r="AI131" s="117">
        <f t="shared" si="133"/>
        <v>-5.5381589171733907E-2</v>
      </c>
      <c r="AJ131" s="118">
        <f t="shared" si="134"/>
        <v>9.6064123906099502E-2</v>
      </c>
    </row>
    <row r="132" spans="1:36" x14ac:dyDescent="0.25">
      <c r="A132">
        <v>6</v>
      </c>
      <c r="B132" s="107" t="s">
        <v>391</v>
      </c>
      <c r="C132" s="113">
        <f>INDEX(TourMode_input!$B$4:$J$172,MATCH(TourMode!$A132,modes,0),MATCH("jdisc",modePurpose,0))</f>
        <v>0</v>
      </c>
      <c r="D132" s="113">
        <f>INDEX(TourMode_input!$B$20:$J$33,MATCH(TourMode!$A132,modes,0),MATCH("jdisc",modePurpose,0))</f>
        <v>3016.4528500000001</v>
      </c>
      <c r="E132" s="113">
        <f>INDEX(TourMode_input!$B$36:$J$49,MATCH(TourMode!$A132,modes,0),MATCH("jdisc",modePurpose,0))</f>
        <v>4420.1718099999998</v>
      </c>
      <c r="F132" s="116">
        <f t="shared" si="135"/>
        <v>7436.6246599999995</v>
      </c>
      <c r="G132" s="115"/>
      <c r="H132" s="107" t="s">
        <v>391</v>
      </c>
      <c r="I132" s="113">
        <f>INDEX(TourMode_input!$L$4:$T$17,MATCH(TourMode!$A132,modes,0),MATCH("jdisc",modePurpose,0))*Index!$B$2</f>
        <v>40</v>
      </c>
      <c r="J132" s="113">
        <f>INDEX(TourMode_input!$L$20:$T$33,MATCH(TourMode!$A132,modes,0), MATCH("jdisc",modePurpose,0))*Index!$B$2</f>
        <v>910</v>
      </c>
      <c r="K132" s="113">
        <f>INDEX(TourMode_input!$L$36:$T$49,MATCH(TourMode!$A132,modes,0), MATCH("jdisc",modePurpose,0))*Index!$B$2</f>
        <v>1710</v>
      </c>
      <c r="L132" s="116">
        <f t="shared" si="136"/>
        <v>2660</v>
      </c>
      <c r="N132" s="107" t="s">
        <v>391</v>
      </c>
      <c r="O132" s="117">
        <f t="shared" si="137"/>
        <v>0</v>
      </c>
      <c r="P132" s="117">
        <f t="shared" si="138"/>
        <v>2.5329010916114666E-2</v>
      </c>
      <c r="Q132" s="117">
        <f t="shared" si="139"/>
        <v>1.5556895540270991E-2</v>
      </c>
      <c r="R132" s="118">
        <f t="shared" si="140"/>
        <v>1.8069692530128689E-2</v>
      </c>
      <c r="S132" s="115"/>
      <c r="T132" s="107" t="s">
        <v>391</v>
      </c>
      <c r="U132" s="117">
        <f t="shared" si="141"/>
        <v>3.4275921165381321E-3</v>
      </c>
      <c r="V132" s="117">
        <f t="shared" si="142"/>
        <v>5.4526933908562525E-3</v>
      </c>
      <c r="W132" s="117">
        <f t="shared" si="143"/>
        <v>6.502395619438741E-3</v>
      </c>
      <c r="X132" s="118">
        <f t="shared" si="144"/>
        <v>6.0243692530688045E-3</v>
      </c>
      <c r="Z132" s="107" t="s">
        <v>391</v>
      </c>
      <c r="AA132" s="113">
        <f t="shared" si="145"/>
        <v>40</v>
      </c>
      <c r="AB132" s="113">
        <f t="shared" si="129"/>
        <v>-2106.4528500000001</v>
      </c>
      <c r="AC132" s="113">
        <f t="shared" si="130"/>
        <v>-2710.1718099999998</v>
      </c>
      <c r="AD132" s="116">
        <f t="shared" si="131"/>
        <v>-4776.6246599999995</v>
      </c>
      <c r="AE132" s="115"/>
      <c r="AF132" s="107" t="s">
        <v>391</v>
      </c>
      <c r="AG132" s="117">
        <f t="shared" si="146"/>
        <v>0</v>
      </c>
      <c r="AH132" s="117">
        <f t="shared" si="132"/>
        <v>-0.69832115890689295</v>
      </c>
      <c r="AI132" s="117">
        <f t="shared" si="133"/>
        <v>-0.61313720970497754</v>
      </c>
      <c r="AJ132" s="118">
        <f t="shared" si="134"/>
        <v>-0.64231084374776015</v>
      </c>
    </row>
    <row r="133" spans="1:36" x14ac:dyDescent="0.25">
      <c r="A133">
        <v>7</v>
      </c>
      <c r="B133" s="107" t="s">
        <v>392</v>
      </c>
      <c r="C133" s="113">
        <f>INDEX(TourMode_input!$B$4:$J$172,MATCH(TourMode!$A133,modes,0),MATCH("jdisc",modePurpose,0))</f>
        <v>1359.12374</v>
      </c>
      <c r="D133" s="113">
        <f>INDEX(TourMode_input!$B$20:$J$33,MATCH(TourMode!$A133,modes,0),MATCH("jdisc",modePurpose,0))</f>
        <v>15771.55019</v>
      </c>
      <c r="E133" s="113">
        <f>INDEX(TourMode_input!$B$36:$J$49,MATCH(TourMode!$A133,modes,0),MATCH("jdisc",modePurpose,0))</f>
        <v>16565.90653</v>
      </c>
      <c r="F133" s="116">
        <f t="shared" si="135"/>
        <v>33696.580459999997</v>
      </c>
      <c r="G133" s="115"/>
      <c r="H133" s="107" t="s">
        <v>392</v>
      </c>
      <c r="I133" s="113">
        <f>INDEX(TourMode_input!$L$4:$T$17,MATCH(TourMode!$A133,modes,0),MATCH("jdisc",modePurpose,0))*Index!$B$2</f>
        <v>2065</v>
      </c>
      <c r="J133" s="113">
        <f>INDEX(TourMode_input!$L$20:$T$33,MATCH(TourMode!$A133,modes,0), MATCH("jdisc",modePurpose,0))*Index!$B$2</f>
        <v>24145</v>
      </c>
      <c r="K133" s="113">
        <f>INDEX(TourMode_input!$L$36:$T$49,MATCH(TourMode!$A133,modes,0), MATCH("jdisc",modePurpose,0))*Index!$B$2</f>
        <v>16610</v>
      </c>
      <c r="L133" s="116">
        <f t="shared" si="136"/>
        <v>42820</v>
      </c>
      <c r="N133" s="107" t="s">
        <v>392</v>
      </c>
      <c r="O133" s="117">
        <f t="shared" si="137"/>
        <v>0.16311880090373462</v>
      </c>
      <c r="P133" s="117">
        <f t="shared" si="138"/>
        <v>0.13243295578996381</v>
      </c>
      <c r="Q133" s="117">
        <f t="shared" si="139"/>
        <v>5.8304086016308744E-2</v>
      </c>
      <c r="R133" s="118">
        <f t="shared" si="140"/>
        <v>8.1876775562442106E-2</v>
      </c>
      <c r="S133" s="115"/>
      <c r="T133" s="107" t="s">
        <v>392</v>
      </c>
      <c r="U133" s="117">
        <f t="shared" si="141"/>
        <v>0.17694944301628107</v>
      </c>
      <c r="V133" s="117">
        <f t="shared" si="142"/>
        <v>0.14467613398046617</v>
      </c>
      <c r="W133" s="117">
        <f t="shared" si="143"/>
        <v>6.3160696630922497E-2</v>
      </c>
      <c r="X133" s="118">
        <f t="shared" si="144"/>
        <v>9.697875617158129E-2</v>
      </c>
      <c r="Z133" s="107" t="s">
        <v>392</v>
      </c>
      <c r="AA133" s="113">
        <f t="shared" si="145"/>
        <v>705.87626</v>
      </c>
      <c r="AB133" s="113">
        <f t="shared" si="129"/>
        <v>8373.4498100000001</v>
      </c>
      <c r="AC133" s="113">
        <f t="shared" si="130"/>
        <v>44.093469999999797</v>
      </c>
      <c r="AD133" s="116">
        <f t="shared" si="131"/>
        <v>9123.4195400000026</v>
      </c>
      <c r="AE133" s="115"/>
      <c r="AF133" s="107" t="s">
        <v>392</v>
      </c>
      <c r="AG133" s="117">
        <f t="shared" si="146"/>
        <v>0.51936129082698534</v>
      </c>
      <c r="AH133" s="117">
        <f t="shared" si="132"/>
        <v>0.53092116558771829</v>
      </c>
      <c r="AI133" s="117">
        <f t="shared" si="133"/>
        <v>2.6616997941011438E-3</v>
      </c>
      <c r="AJ133" s="118">
        <f t="shared" si="134"/>
        <v>0.27075208865273692</v>
      </c>
    </row>
    <row r="134" spans="1:36" x14ac:dyDescent="0.25">
      <c r="A134">
        <v>8</v>
      </c>
      <c r="B134" s="107" t="s">
        <v>393</v>
      </c>
      <c r="C134" s="113">
        <f>INDEX(TourMode_input!$B$4:$J$172,MATCH(TourMode!$A134,modes,0),MATCH("jdisc",modePurpose,0))</f>
        <v>0</v>
      </c>
      <c r="D134" s="113">
        <f>INDEX(TourMode_input!$B$20:$J$33,MATCH(TourMode!$A134,modes,0),MATCH("jdisc",modePurpose,0))</f>
        <v>3851.7720800000002</v>
      </c>
      <c r="E134" s="113">
        <f>INDEX(TourMode_input!$B$36:$J$49,MATCH(TourMode!$A134,modes,0),MATCH("jdisc",modePurpose,0))</f>
        <v>937.53458999999998</v>
      </c>
      <c r="F134" s="116">
        <f t="shared" si="135"/>
        <v>4789.3066699999999</v>
      </c>
      <c r="G134" s="115"/>
      <c r="H134" s="107" t="s">
        <v>393</v>
      </c>
      <c r="I134" s="113">
        <f>INDEX(TourMode_input!$L$4:$T$17,MATCH(TourMode!$A134,modes,0),MATCH("jdisc",modePurpose,0))*Index!$B$2</f>
        <v>510</v>
      </c>
      <c r="J134" s="113">
        <f>INDEX(TourMode_input!$L$20:$T$33,MATCH(TourMode!$A134,modes,0), MATCH("jdisc",modePurpose,0))*Index!$B$2</f>
        <v>6515</v>
      </c>
      <c r="K134" s="113">
        <f>INDEX(TourMode_input!$L$36:$T$49,MATCH(TourMode!$A134,modes,0), MATCH("jdisc",modePurpose,0))*Index!$B$2</f>
        <v>830</v>
      </c>
      <c r="L134" s="116">
        <f t="shared" si="136"/>
        <v>7855</v>
      </c>
      <c r="N134" s="107" t="s">
        <v>393</v>
      </c>
      <c r="O134" s="117">
        <f t="shared" si="137"/>
        <v>0</v>
      </c>
      <c r="P134" s="117">
        <f t="shared" si="138"/>
        <v>3.2343146706472037E-2</v>
      </c>
      <c r="Q134" s="117">
        <f t="shared" si="139"/>
        <v>3.2996743812138815E-3</v>
      </c>
      <c r="R134" s="118">
        <f t="shared" si="140"/>
        <v>1.1637174513443108E-2</v>
      </c>
      <c r="S134" s="115"/>
      <c r="T134" s="107" t="s">
        <v>393</v>
      </c>
      <c r="U134" s="117">
        <f t="shared" si="141"/>
        <v>4.3701799485861184E-2</v>
      </c>
      <c r="V134" s="117">
        <f t="shared" si="142"/>
        <v>3.9037689496075258E-2</v>
      </c>
      <c r="W134" s="117">
        <f t="shared" si="143"/>
        <v>3.1561335462772836E-3</v>
      </c>
      <c r="X134" s="118">
        <f t="shared" si="144"/>
        <v>1.7790007700321603E-2</v>
      </c>
      <c r="Z134" s="107" t="s">
        <v>393</v>
      </c>
      <c r="AA134" s="113">
        <f t="shared" si="145"/>
        <v>510</v>
      </c>
      <c r="AB134" s="113">
        <f t="shared" si="129"/>
        <v>2663.2279199999998</v>
      </c>
      <c r="AC134" s="113">
        <f t="shared" si="130"/>
        <v>-107.53458999999998</v>
      </c>
      <c r="AD134" s="116">
        <f t="shared" si="131"/>
        <v>3065.6933300000001</v>
      </c>
      <c r="AE134" s="115"/>
      <c r="AF134" s="107" t="s">
        <v>393</v>
      </c>
      <c r="AG134" s="117">
        <f t="shared" si="146"/>
        <v>0</v>
      </c>
      <c r="AH134" s="117">
        <f t="shared" si="132"/>
        <v>0.69142926026921081</v>
      </c>
      <c r="AI134" s="117">
        <f t="shared" si="133"/>
        <v>-0.11469933072016039</v>
      </c>
      <c r="AJ134" s="118">
        <f t="shared" si="134"/>
        <v>0.64011213756750307</v>
      </c>
    </row>
    <row r="135" spans="1:36" x14ac:dyDescent="0.25">
      <c r="A135">
        <v>9</v>
      </c>
      <c r="B135" s="107" t="s">
        <v>394</v>
      </c>
      <c r="C135" s="113"/>
      <c r="D135" s="113"/>
      <c r="E135" s="113"/>
      <c r="F135" s="116">
        <f t="shared" si="135"/>
        <v>0</v>
      </c>
      <c r="G135" s="115"/>
      <c r="H135" s="107" t="s">
        <v>394</v>
      </c>
      <c r="I135" s="113">
        <f>INDEX(TourMode_input!$L$4:$T$17,MATCH(TourMode!$A135,modes,0),MATCH("jdisc",modePurpose,0))*Index!$B$2</f>
        <v>0</v>
      </c>
      <c r="J135" s="113">
        <f>INDEX(TourMode_input!$L$20:$T$33,MATCH(TourMode!$A135,modes,0), MATCH("jdisc",modePurpose,0))*Index!$B$2</f>
        <v>0</v>
      </c>
      <c r="K135" s="113">
        <f>INDEX(TourMode_input!$L$36:$T$49,MATCH(TourMode!$A135,modes,0), MATCH("jdisc",modePurpose,0))*Index!$B$2</f>
        <v>0</v>
      </c>
      <c r="L135" s="116">
        <f t="shared" si="136"/>
        <v>0</v>
      </c>
      <c r="N135" s="107" t="s">
        <v>394</v>
      </c>
      <c r="O135" s="117">
        <f t="shared" si="137"/>
        <v>0</v>
      </c>
      <c r="P135" s="117">
        <f t="shared" si="138"/>
        <v>0</v>
      </c>
      <c r="Q135" s="117">
        <f t="shared" si="139"/>
        <v>0</v>
      </c>
      <c r="R135" s="118">
        <f t="shared" si="140"/>
        <v>0</v>
      </c>
      <c r="S135" s="115"/>
      <c r="T135" s="107" t="s">
        <v>394</v>
      </c>
      <c r="U135" s="117">
        <f t="shared" si="141"/>
        <v>0</v>
      </c>
      <c r="V135" s="117">
        <f t="shared" si="142"/>
        <v>0</v>
      </c>
      <c r="W135" s="117">
        <f t="shared" si="143"/>
        <v>0</v>
      </c>
      <c r="X135" s="118">
        <f t="shared" si="144"/>
        <v>0</v>
      </c>
      <c r="Z135" s="107" t="s">
        <v>394</v>
      </c>
      <c r="AA135" s="113">
        <f t="shared" si="145"/>
        <v>0</v>
      </c>
      <c r="AB135" s="113">
        <f t="shared" si="129"/>
        <v>0</v>
      </c>
      <c r="AC135" s="113">
        <f t="shared" si="130"/>
        <v>0</v>
      </c>
      <c r="AD135" s="116">
        <f t="shared" si="131"/>
        <v>0</v>
      </c>
      <c r="AE135" s="115"/>
      <c r="AF135" s="107" t="s">
        <v>394</v>
      </c>
      <c r="AG135" s="117">
        <f t="shared" si="146"/>
        <v>0</v>
      </c>
      <c r="AH135" s="117">
        <f t="shared" si="132"/>
        <v>0</v>
      </c>
      <c r="AI135" s="117">
        <f t="shared" si="133"/>
        <v>0</v>
      </c>
      <c r="AJ135" s="118">
        <f t="shared" si="134"/>
        <v>0</v>
      </c>
    </row>
    <row r="136" spans="1:36" x14ac:dyDescent="0.25">
      <c r="A136">
        <v>10</v>
      </c>
      <c r="B136" s="107" t="s">
        <v>395</v>
      </c>
      <c r="C136" s="113">
        <f>INDEX(TourMode_input!$B$4:$J$172,MATCH(TourMode!$A136,modes,0),MATCH("jdisc",modePurpose,0))+INDEX(TourMode_input!$B$4:$J$172,MATCH(TourMode!$A135,modes,0),MATCH("jdisc",modePurpose,0))</f>
        <v>2891.0614099999998</v>
      </c>
      <c r="D136" s="113">
        <f>INDEX(TourMode_input!$B$20:$J$33,MATCH(TourMode!$A136,modes,0),MATCH("jdisc",modePurpose,0))+INDEX(TourMode_input!$B$20:$J$33,MATCH(TourMode!$A135,modes,0),MATCH("jdisc",modePurpose,0))</f>
        <v>2920.22912</v>
      </c>
      <c r="E136" s="113">
        <f>INDEX(TourMode_input!$B$36:$J$49,MATCH(TourMode!$A136,modes,0),MATCH("jdisc",modePurpose,0))+INDEX(TourMode_input!$B$36:$J$49,MATCH(TourMode!$A135,modes,0),MATCH("jdisc",modePurpose,0))</f>
        <v>1828.94138</v>
      </c>
      <c r="F136" s="116">
        <f t="shared" si="135"/>
        <v>7640.2319100000004</v>
      </c>
      <c r="G136" s="115"/>
      <c r="H136" s="107" t="s">
        <v>395</v>
      </c>
      <c r="I136" s="113">
        <f>INDEX(TourMode_input!$L$4:$T$17,MATCH(TourMode!$A136,modes,0),MATCH("jdisc",modePurpose,0))*Index!$B$2</f>
        <v>1895</v>
      </c>
      <c r="J136" s="113">
        <f>INDEX(TourMode_input!$L$20:$T$33,MATCH(TourMode!$A136,modes,0), MATCH("jdisc",modePurpose,0))*Index!$B$2</f>
        <v>1285</v>
      </c>
      <c r="K136" s="113">
        <f>INDEX(TourMode_input!$L$36:$T$49,MATCH(TourMode!$A136,modes,0), MATCH("jdisc",modePurpose,0))*Index!$B$2</f>
        <v>920</v>
      </c>
      <c r="L136" s="116">
        <f t="shared" si="136"/>
        <v>4100</v>
      </c>
      <c r="N136" s="107" t="s">
        <v>395</v>
      </c>
      <c r="O136" s="117">
        <f t="shared" si="137"/>
        <v>0.34697831894118802</v>
      </c>
      <c r="P136" s="117">
        <f t="shared" si="138"/>
        <v>2.4521024838175715E-2</v>
      </c>
      <c r="Q136" s="117">
        <f t="shared" si="139"/>
        <v>6.4370009178306292E-3</v>
      </c>
      <c r="R136" s="118">
        <f t="shared" si="140"/>
        <v>1.8564422407272314E-2</v>
      </c>
      <c r="S136" s="115"/>
      <c r="T136" s="107" t="s">
        <v>395</v>
      </c>
      <c r="U136" s="117">
        <f t="shared" si="141"/>
        <v>0.16238217652099401</v>
      </c>
      <c r="V136" s="117">
        <f t="shared" si="142"/>
        <v>7.6996824255497632E-3</v>
      </c>
      <c r="W136" s="117">
        <f t="shared" si="143"/>
        <v>3.498364894668796E-3</v>
      </c>
      <c r="X136" s="118">
        <f t="shared" si="144"/>
        <v>9.2856819314218412E-3</v>
      </c>
      <c r="Z136" s="107" t="s">
        <v>395</v>
      </c>
      <c r="AA136" s="113">
        <f t="shared" si="145"/>
        <v>-996.0614099999998</v>
      </c>
      <c r="AB136" s="113">
        <f t="shared" si="129"/>
        <v>-1635.22912</v>
      </c>
      <c r="AC136" s="113">
        <f t="shared" si="130"/>
        <v>-908.94137999999998</v>
      </c>
      <c r="AD136" s="116">
        <f t="shared" si="131"/>
        <v>-3540.2319100000004</v>
      </c>
      <c r="AE136" s="115"/>
      <c r="AF136" s="107" t="s">
        <v>395</v>
      </c>
      <c r="AG136" s="117">
        <f t="shared" si="146"/>
        <v>-0.34453139132731181</v>
      </c>
      <c r="AH136" s="117">
        <f t="shared" si="132"/>
        <v>-0.55996603444595472</v>
      </c>
      <c r="AI136" s="117">
        <f t="shared" si="133"/>
        <v>-0.49697677024509118</v>
      </c>
      <c r="AJ136" s="118">
        <f t="shared" si="134"/>
        <v>-0.46336707467823451</v>
      </c>
    </row>
    <row r="137" spans="1:36" x14ac:dyDescent="0.25">
      <c r="A137">
        <v>11</v>
      </c>
      <c r="B137" s="107" t="s">
        <v>396</v>
      </c>
      <c r="C137" s="113">
        <f>INDEX(TourMode_input!$B$4:$J$172,MATCH(TourMode!$A137,modes,0),MATCH("jdisc",modePurpose,0))</f>
        <v>0</v>
      </c>
      <c r="D137" s="113">
        <f>INDEX(TourMode_input!$B$20:$J$33,MATCH(TourMode!$A137,modes,0),MATCH("jdisc",modePurpose,0))</f>
        <v>1295.2637199999999</v>
      </c>
      <c r="E137" s="113">
        <f>INDEX(TourMode_input!$B$36:$J$49,MATCH(TourMode!$A137,modes,0),MATCH("jdisc",modePurpose,0))</f>
        <v>707.29931999999997</v>
      </c>
      <c r="F137" s="116">
        <f t="shared" si="135"/>
        <v>2002.56304</v>
      </c>
      <c r="G137" s="115"/>
      <c r="H137" s="107" t="s">
        <v>396</v>
      </c>
      <c r="I137" s="113">
        <f>INDEX(TourMode_input!$L$4:$T$17,MATCH(TourMode!$A137,modes,0),MATCH("jdisc",modePurpose,0))*Index!$B$2</f>
        <v>25</v>
      </c>
      <c r="J137" s="113">
        <f>INDEX(TourMode_input!$L$20:$T$33,MATCH(TourMode!$A137,modes,0), MATCH("jdisc",modePurpose,0))*Index!$B$2</f>
        <v>135</v>
      </c>
      <c r="K137" s="113">
        <f>INDEX(TourMode_input!$L$36:$T$49,MATCH(TourMode!$A137,modes,0), MATCH("jdisc",modePurpose,0))*Index!$B$2</f>
        <v>105</v>
      </c>
      <c r="L137" s="116">
        <f t="shared" si="136"/>
        <v>265</v>
      </c>
      <c r="N137" s="107" t="s">
        <v>396</v>
      </c>
      <c r="O137" s="117">
        <f t="shared" si="137"/>
        <v>0</v>
      </c>
      <c r="P137" s="117">
        <f t="shared" si="138"/>
        <v>1.0876267766999006E-2</v>
      </c>
      <c r="Q137" s="117">
        <f t="shared" si="139"/>
        <v>2.4893560951751116E-3</v>
      </c>
      <c r="R137" s="118">
        <f t="shared" si="140"/>
        <v>4.8658766657452635E-3</v>
      </c>
      <c r="S137" s="115"/>
      <c r="T137" s="107" t="s">
        <v>396</v>
      </c>
      <c r="U137" s="117">
        <f t="shared" si="141"/>
        <v>2.1422450728363325E-3</v>
      </c>
      <c r="V137" s="117">
        <f t="shared" si="142"/>
        <v>8.0891605248966389E-4</v>
      </c>
      <c r="W137" s="117">
        <f t="shared" si="143"/>
        <v>3.9926990645676479E-4</v>
      </c>
      <c r="X137" s="118">
        <f t="shared" si="144"/>
        <v>6.0017212483580201E-4</v>
      </c>
      <c r="Z137" s="107" t="s">
        <v>396</v>
      </c>
      <c r="AA137" s="113">
        <f t="shared" si="145"/>
        <v>25</v>
      </c>
      <c r="AB137" s="113">
        <f t="shared" si="129"/>
        <v>-1160.2637199999999</v>
      </c>
      <c r="AC137" s="113">
        <f t="shared" si="130"/>
        <v>-602.29931999999997</v>
      </c>
      <c r="AD137" s="116">
        <f t="shared" si="131"/>
        <v>-1737.56304</v>
      </c>
      <c r="AE137" s="115"/>
      <c r="AF137" s="107" t="s">
        <v>396</v>
      </c>
      <c r="AG137" s="117">
        <f t="shared" si="146"/>
        <v>0</v>
      </c>
      <c r="AH137" s="117">
        <f t="shared" si="132"/>
        <v>-0.89577412080993046</v>
      </c>
      <c r="AI137" s="117">
        <f t="shared" si="133"/>
        <v>-0.85154799809506387</v>
      </c>
      <c r="AJ137" s="118">
        <f t="shared" si="134"/>
        <v>-0.8676695840746167</v>
      </c>
    </row>
    <row r="138" spans="1:36" x14ac:dyDescent="0.25">
      <c r="A138">
        <v>12</v>
      </c>
      <c r="B138" s="107" t="s">
        <v>397</v>
      </c>
      <c r="C138" s="113">
        <f>INDEX(TourMode_input!$B$4:$J$172,MATCH(TourMode!$A138,modes,0),MATCH("jdisc",modePurpose,0))</f>
        <v>0</v>
      </c>
      <c r="D138" s="113">
        <f>INDEX(TourMode_input!$B$20:$J$33,MATCH(TourMode!$A138,modes,0),MATCH("jdisc",modePurpose,0))</f>
        <v>84.663349999999994</v>
      </c>
      <c r="E138" s="113">
        <f>INDEX(TourMode_input!$B$36:$J$49,MATCH(TourMode!$A138,modes,0),MATCH("jdisc",modePurpose,0))</f>
        <v>804.24068</v>
      </c>
      <c r="F138" s="116">
        <f t="shared" si="135"/>
        <v>888.90403000000003</v>
      </c>
      <c r="G138" s="115"/>
      <c r="H138" s="107" t="s">
        <v>397</v>
      </c>
      <c r="I138" s="113">
        <f>INDEX(TourMode_input!$L$4:$T$17,MATCH(TourMode!$A138,modes,0),MATCH("jdisc",modePurpose,0))*Index!$B$2</f>
        <v>0</v>
      </c>
      <c r="J138" s="113">
        <f>INDEX(TourMode_input!$L$20:$T$33,MATCH(TourMode!$A138,modes,0), MATCH("jdisc",modePurpose,0))*Index!$B$2</f>
        <v>0</v>
      </c>
      <c r="K138" s="113">
        <f>INDEX(TourMode_input!$L$36:$T$49,MATCH(TourMode!$A138,modes,0), MATCH("jdisc",modePurpose,0))*Index!$B$2</f>
        <v>105</v>
      </c>
      <c r="L138" s="116">
        <f t="shared" si="136"/>
        <v>105</v>
      </c>
      <c r="N138" s="107" t="s">
        <v>397</v>
      </c>
      <c r="O138" s="117">
        <f t="shared" si="137"/>
        <v>0</v>
      </c>
      <c r="P138" s="117">
        <f t="shared" si="138"/>
        <v>7.1091411766798754E-4</v>
      </c>
      <c r="Q138" s="117">
        <f t="shared" si="139"/>
        <v>2.8305434236042758E-3</v>
      </c>
      <c r="R138" s="118">
        <f t="shared" si="140"/>
        <v>2.1598807584424047E-3</v>
      </c>
      <c r="S138" s="115"/>
      <c r="T138" s="107" t="s">
        <v>397</v>
      </c>
      <c r="U138" s="117">
        <f t="shared" si="141"/>
        <v>0</v>
      </c>
      <c r="V138" s="117">
        <f t="shared" si="142"/>
        <v>0</v>
      </c>
      <c r="W138" s="117">
        <f t="shared" si="143"/>
        <v>3.9926990645676479E-4</v>
      </c>
      <c r="X138" s="118">
        <f t="shared" si="144"/>
        <v>2.378040494632423E-4</v>
      </c>
      <c r="Z138" s="107" t="s">
        <v>397</v>
      </c>
      <c r="AA138" s="113">
        <f t="shared" si="145"/>
        <v>0</v>
      </c>
      <c r="AB138" s="113">
        <f t="shared" si="129"/>
        <v>-84.663349999999994</v>
      </c>
      <c r="AC138" s="113">
        <f t="shared" si="130"/>
        <v>-699.24068</v>
      </c>
      <c r="AD138" s="116">
        <f t="shared" si="131"/>
        <v>-783.90403000000003</v>
      </c>
      <c r="AE138" s="115"/>
      <c r="AF138" s="107" t="s">
        <v>397</v>
      </c>
      <c r="AG138" s="117">
        <f t="shared" si="146"/>
        <v>0</v>
      </c>
      <c r="AH138" s="117">
        <f t="shared" si="132"/>
        <v>-1</v>
      </c>
      <c r="AI138" s="117">
        <f t="shared" si="133"/>
        <v>-0.86944206801376922</v>
      </c>
      <c r="AJ138" s="118">
        <f t="shared" si="134"/>
        <v>-0.88187701207744551</v>
      </c>
    </row>
    <row r="139" spans="1:36" x14ac:dyDescent="0.25">
      <c r="A139">
        <v>13</v>
      </c>
      <c r="B139" s="107" t="s">
        <v>398</v>
      </c>
      <c r="C139" s="113">
        <f>INDEX(TourMode_input!$B$4:$J$172,MATCH(TourMode!$A139,modes,0),MATCH("jdisc",modePurpose,0))</f>
        <v>0</v>
      </c>
      <c r="D139" s="113">
        <f>INDEX(TourMode_input!$B$20:$J$33,MATCH(TourMode!$A139,modes,0),MATCH("jdisc",modePurpose,0))</f>
        <v>209.99789000000001</v>
      </c>
      <c r="E139" s="113">
        <f>INDEX(TourMode_input!$B$36:$J$49,MATCH(TourMode!$A139,modes,0),MATCH("jdisc",modePurpose,0))</f>
        <v>206.21563</v>
      </c>
      <c r="F139" s="116">
        <f t="shared" si="135"/>
        <v>416.21352000000002</v>
      </c>
      <c r="G139" s="115"/>
      <c r="H139" s="107" t="s">
        <v>398</v>
      </c>
      <c r="I139" s="113">
        <f>INDEX(TourMode_input!$L$4:$T$17,MATCH(TourMode!$A139,modes,0),MATCH("jdisc",modePurpose,0))*Index!$B$2</f>
        <v>60</v>
      </c>
      <c r="J139" s="113">
        <f>INDEX(TourMode_input!$L$20:$T$33,MATCH(TourMode!$A139,modes,0), MATCH("jdisc",modePurpose,0))*Index!$B$2</f>
        <v>325</v>
      </c>
      <c r="K139" s="113">
        <f>INDEX(TourMode_input!$L$36:$T$49,MATCH(TourMode!$A139,modes,0), MATCH("jdisc",modePurpose,0))*Index!$B$2</f>
        <v>170</v>
      </c>
      <c r="L139" s="116">
        <f t="shared" si="136"/>
        <v>555</v>
      </c>
      <c r="N139" s="107" t="s">
        <v>398</v>
      </c>
      <c r="O139" s="117">
        <f t="shared" si="137"/>
        <v>0</v>
      </c>
      <c r="P139" s="117">
        <f t="shared" si="138"/>
        <v>1.763342280709293E-3</v>
      </c>
      <c r="Q139" s="117">
        <f t="shared" si="139"/>
        <v>7.2578061500310159E-4</v>
      </c>
      <c r="R139" s="118">
        <f t="shared" si="140"/>
        <v>1.0113257932373003E-3</v>
      </c>
      <c r="S139" s="115"/>
      <c r="T139" s="107" t="s">
        <v>398</v>
      </c>
      <c r="U139" s="117">
        <f t="shared" si="141"/>
        <v>5.1413881748071976E-3</v>
      </c>
      <c r="V139" s="117">
        <f t="shared" si="142"/>
        <v>1.9473904967343759E-3</v>
      </c>
      <c r="W139" s="117">
        <f t="shared" si="143"/>
        <v>6.4643699140619056E-4</v>
      </c>
      <c r="X139" s="118">
        <f t="shared" si="144"/>
        <v>1.2569642614485663E-3</v>
      </c>
      <c r="Z139" s="107" t="s">
        <v>398</v>
      </c>
      <c r="AA139" s="113">
        <f t="shared" si="145"/>
        <v>60</v>
      </c>
      <c r="AB139" s="113">
        <f t="shared" si="129"/>
        <v>115.00210999999999</v>
      </c>
      <c r="AC139" s="113">
        <f t="shared" si="130"/>
        <v>-36.215630000000004</v>
      </c>
      <c r="AD139" s="116">
        <f t="shared" si="131"/>
        <v>138.78647999999998</v>
      </c>
      <c r="AE139" s="115"/>
      <c r="AF139" s="107" t="s">
        <v>398</v>
      </c>
      <c r="AG139" s="117">
        <f t="shared" si="146"/>
        <v>0</v>
      </c>
      <c r="AH139" s="117">
        <f t="shared" si="132"/>
        <v>0.54763459766190969</v>
      </c>
      <c r="AI139" s="117">
        <f t="shared" si="133"/>
        <v>-0.17562019910905882</v>
      </c>
      <c r="AJ139" s="118">
        <f t="shared" si="134"/>
        <v>0.33345019642802565</v>
      </c>
    </row>
    <row r="140" spans="1:36" x14ac:dyDescent="0.25">
      <c r="A140">
        <v>14</v>
      </c>
      <c r="B140" s="107" t="s">
        <v>399</v>
      </c>
      <c r="C140" s="113">
        <f>INDEX(TourMode_input!$B$4:$J$172,MATCH(TourMode!$A140,modes,0),MATCH("jdisc",modePurpose,0))</f>
        <v>0</v>
      </c>
      <c r="D140" s="113">
        <f>INDEX(TourMode_input!$B$20:$J$33,MATCH(TourMode!$A140,modes,0),MATCH("jdisc",modePurpose,0))</f>
        <v>0</v>
      </c>
      <c r="E140" s="113">
        <f>INDEX(TourMode_input!$B$36:$J$49,MATCH(TourMode!$A140,modes,0),MATCH("jdisc",modePurpose,0))</f>
        <v>0</v>
      </c>
      <c r="F140" s="116">
        <f t="shared" si="135"/>
        <v>0</v>
      </c>
      <c r="G140" s="115"/>
      <c r="H140" s="107" t="s">
        <v>399</v>
      </c>
      <c r="I140" s="113">
        <f>INDEX(TourMode_input!$L$4:$T$17,MATCH(TourMode!$A140,modes,0),MATCH("jdisc",modePurpose,0))*Index!$B$2</f>
        <v>0</v>
      </c>
      <c r="J140" s="113">
        <f>INDEX(TourMode_input!$L$20:$T$33,MATCH(TourMode!$A140,modes,0), MATCH("jdisc",modePurpose,0))*Index!$B$2</f>
        <v>0</v>
      </c>
      <c r="K140" s="113">
        <f>INDEX(TourMode_input!$L$36:$T$49,MATCH(TourMode!$A140,modes,0), MATCH("jdisc",modePurpose,0))*Index!$B$2</f>
        <v>0</v>
      </c>
      <c r="L140" s="116">
        <f t="shared" si="136"/>
        <v>0</v>
      </c>
      <c r="N140" s="107" t="s">
        <v>399</v>
      </c>
      <c r="O140" s="117">
        <f t="shared" si="137"/>
        <v>0</v>
      </c>
      <c r="P140" s="117">
        <f t="shared" si="138"/>
        <v>0</v>
      </c>
      <c r="Q140" s="117">
        <f t="shared" si="139"/>
        <v>0</v>
      </c>
      <c r="R140" s="118">
        <f t="shared" si="140"/>
        <v>0</v>
      </c>
      <c r="S140" s="115"/>
      <c r="T140" s="107" t="s">
        <v>399</v>
      </c>
      <c r="U140" s="117">
        <f t="shared" si="141"/>
        <v>0</v>
      </c>
      <c r="V140" s="117">
        <f t="shared" si="142"/>
        <v>0</v>
      </c>
      <c r="W140" s="117">
        <f t="shared" si="143"/>
        <v>0</v>
      </c>
      <c r="X140" s="118">
        <f t="shared" si="144"/>
        <v>0</v>
      </c>
      <c r="Z140" s="107" t="s">
        <v>399</v>
      </c>
      <c r="AA140" s="113">
        <f t="shared" si="145"/>
        <v>0</v>
      </c>
      <c r="AB140" s="113">
        <f t="shared" si="129"/>
        <v>0</v>
      </c>
      <c r="AC140" s="113">
        <f t="shared" si="130"/>
        <v>0</v>
      </c>
      <c r="AD140" s="116">
        <f t="shared" si="131"/>
        <v>0</v>
      </c>
      <c r="AE140" s="115"/>
      <c r="AF140" s="107" t="s">
        <v>399</v>
      </c>
      <c r="AG140" s="117">
        <f t="shared" si="146"/>
        <v>0</v>
      </c>
      <c r="AH140" s="117">
        <f t="shared" si="132"/>
        <v>0</v>
      </c>
      <c r="AI140" s="117">
        <f t="shared" si="133"/>
        <v>0</v>
      </c>
      <c r="AJ140" s="118">
        <f t="shared" si="134"/>
        <v>0</v>
      </c>
    </row>
    <row r="141" spans="1:36" ht="15.75" thickBot="1" x14ac:dyDescent="0.3">
      <c r="B141" s="108" t="s">
        <v>29</v>
      </c>
      <c r="C141" s="109">
        <f>SUM(C127:C140)</f>
        <v>8332.1096799999996</v>
      </c>
      <c r="D141" s="110">
        <f>SUM(D127:D140)</f>
        <v>119090.82672</v>
      </c>
      <c r="E141" s="111">
        <f>SUM(E127:E140)</f>
        <v>284129.42662999994</v>
      </c>
      <c r="F141" s="112">
        <f>SUM(F127:F140)</f>
        <v>411552.36302999989</v>
      </c>
      <c r="H141" s="108" t="s">
        <v>29</v>
      </c>
      <c r="I141" s="109">
        <f>SUM(I127:I140)</f>
        <v>11670</v>
      </c>
      <c r="J141" s="110">
        <f>SUM(J127:J140)</f>
        <v>166890</v>
      </c>
      <c r="K141" s="111">
        <f>SUM(K127:K140)</f>
        <v>262980</v>
      </c>
      <c r="L141" s="112">
        <f>SUM(L127:L140)</f>
        <v>441540</v>
      </c>
      <c r="N141" s="108" t="s">
        <v>29</v>
      </c>
      <c r="O141" s="120">
        <f t="shared" si="137"/>
        <v>1</v>
      </c>
      <c r="P141" s="121">
        <f t="shared" si="138"/>
        <v>1</v>
      </c>
      <c r="Q141" s="122">
        <f t="shared" si="139"/>
        <v>1</v>
      </c>
      <c r="R141" s="123">
        <f t="shared" si="140"/>
        <v>1</v>
      </c>
      <c r="T141" s="108" t="s">
        <v>29</v>
      </c>
      <c r="U141" s="120">
        <f t="shared" si="141"/>
        <v>1</v>
      </c>
      <c r="V141" s="121">
        <f t="shared" si="142"/>
        <v>1</v>
      </c>
      <c r="W141" s="122">
        <f t="shared" si="143"/>
        <v>1</v>
      </c>
      <c r="X141" s="123">
        <f t="shared" si="144"/>
        <v>1</v>
      </c>
      <c r="Z141" s="108" t="s">
        <v>29</v>
      </c>
      <c r="AA141" s="109">
        <f t="shared" si="145"/>
        <v>3337.8903200000004</v>
      </c>
      <c r="AB141" s="110">
        <f t="shared" si="129"/>
        <v>47799.173280000003</v>
      </c>
      <c r="AC141" s="111">
        <f t="shared" si="130"/>
        <v>-21149.426629999944</v>
      </c>
      <c r="AD141" s="112">
        <f t="shared" si="131"/>
        <v>29987.636970000109</v>
      </c>
      <c r="AF141" s="108" t="s">
        <v>29</v>
      </c>
      <c r="AG141" s="117">
        <f t="shared" si="146"/>
        <v>0.40060566269454106</v>
      </c>
      <c r="AH141" s="117">
        <f t="shared" si="132"/>
        <v>0.40136738148928019</v>
      </c>
      <c r="AI141" s="117">
        <f t="shared" si="133"/>
        <v>-7.4435889590349358E-2</v>
      </c>
      <c r="AJ141" s="118">
        <f t="shared" si="134"/>
        <v>7.2864693934011446E-2</v>
      </c>
    </row>
    <row r="142" spans="1:36" ht="26.25" x14ac:dyDescent="0.4">
      <c r="A142" s="150" t="s">
        <v>163</v>
      </c>
    </row>
    <row r="143" spans="1:36" ht="26.25" x14ac:dyDescent="0.25">
      <c r="B143" s="102" t="s">
        <v>134</v>
      </c>
      <c r="C143" s="103" t="s">
        <v>135</v>
      </c>
      <c r="D143" s="104" t="s">
        <v>136</v>
      </c>
      <c r="E143" s="105" t="s">
        <v>137</v>
      </c>
      <c r="F143" s="106" t="s">
        <v>29</v>
      </c>
      <c r="H143" s="102" t="s">
        <v>134</v>
      </c>
      <c r="I143" s="103" t="s">
        <v>135</v>
      </c>
      <c r="J143" s="104" t="s">
        <v>136</v>
      </c>
      <c r="K143" s="105" t="s">
        <v>137</v>
      </c>
      <c r="L143" s="106" t="s">
        <v>29</v>
      </c>
      <c r="N143" s="102" t="s">
        <v>134</v>
      </c>
      <c r="O143" s="103" t="s">
        <v>135</v>
      </c>
      <c r="P143" s="104" t="s">
        <v>136</v>
      </c>
      <c r="Q143" s="105" t="s">
        <v>137</v>
      </c>
      <c r="R143" s="106" t="s">
        <v>29</v>
      </c>
      <c r="T143" s="102" t="s">
        <v>134</v>
      </c>
      <c r="U143" s="103" t="s">
        <v>135</v>
      </c>
      <c r="V143" s="104" t="s">
        <v>136</v>
      </c>
      <c r="W143" s="105" t="s">
        <v>137</v>
      </c>
      <c r="X143" s="106" t="s">
        <v>29</v>
      </c>
      <c r="Z143" s="102" t="s">
        <v>134</v>
      </c>
      <c r="AA143" s="103" t="s">
        <v>135</v>
      </c>
      <c r="AB143" s="104" t="s">
        <v>136</v>
      </c>
      <c r="AC143" s="105" t="s">
        <v>137</v>
      </c>
      <c r="AD143" s="106" t="s">
        <v>29</v>
      </c>
      <c r="AF143" s="102" t="s">
        <v>134</v>
      </c>
      <c r="AG143" s="103" t="s">
        <v>135</v>
      </c>
      <c r="AH143" s="104" t="s">
        <v>136</v>
      </c>
      <c r="AI143" s="105" t="s">
        <v>137</v>
      </c>
      <c r="AJ143" s="106" t="s">
        <v>29</v>
      </c>
    </row>
    <row r="144" spans="1:36" x14ac:dyDescent="0.25">
      <c r="A144">
        <v>1</v>
      </c>
      <c r="B144" s="107" t="s">
        <v>386</v>
      </c>
      <c r="C144" s="113">
        <f>INDEX(TourMode_input!$B$4:$J$172,MATCH(TourMode!$A144,modes,0),MATCH("atwork",modePurpose,0))</f>
        <v>0</v>
      </c>
      <c r="D144" s="113">
        <f>INDEX(TourMode_input!$B$20:$J$33,MATCH(TourMode!$A144,modes,0),MATCH("atwork",modePurpose,0))</f>
        <v>32730.917219999999</v>
      </c>
      <c r="E144" s="113">
        <f>INDEX(TourMode_input!$B$36:$J$49,MATCH(TourMode!$A144,modes,0),MATCH("atwork",modePurpose,0))</f>
        <v>201725.86804</v>
      </c>
      <c r="F144" s="114">
        <f>SUM(C144:E144)</f>
        <v>234456.78526</v>
      </c>
      <c r="G144" s="115"/>
      <c r="H144" s="107" t="s">
        <v>386</v>
      </c>
      <c r="I144" s="113">
        <f>INDEX(TourMode_input!$L$4:$T$17,MATCH(TourMode!$A144,modes,0),MATCH("atwork",modePurpose,0))*Index!$B$2</f>
        <v>0</v>
      </c>
      <c r="J144" s="113">
        <f>INDEX(TourMode_input!$L$20:$T$33,MATCH(TourMode!$A144,modes,0), MATCH("atwork",modePurpose,0))*Index!$B$2</f>
        <v>163180</v>
      </c>
      <c r="K144" s="113">
        <f>INDEX(TourMode_input!$L$36:$T$49,MATCH(TourMode!$A144,modes,0), MATCH("atwork",modePurpose,0))*Index!$B$2</f>
        <v>508765</v>
      </c>
      <c r="L144" s="114">
        <f>SUM(I144:K144)</f>
        <v>671945</v>
      </c>
      <c r="N144" s="107" t="s">
        <v>386</v>
      </c>
      <c r="O144" s="117">
        <f>C144/C$158</f>
        <v>0</v>
      </c>
      <c r="P144" s="117">
        <f>D144/D$158</f>
        <v>0.4173411742578037</v>
      </c>
      <c r="Q144" s="117">
        <f>E144/E$158</f>
        <v>0.63044094419082375</v>
      </c>
      <c r="R144" s="118">
        <f>F144/F$158</f>
        <v>0.56396389576925698</v>
      </c>
      <c r="S144" s="115"/>
      <c r="T144" s="107" t="s">
        <v>386</v>
      </c>
      <c r="U144" s="117">
        <f>I144/I$158</f>
        <v>0</v>
      </c>
      <c r="V144" s="117">
        <f>J144/J$158</f>
        <v>0.39638545436879052</v>
      </c>
      <c r="W144" s="117">
        <f>K144/K$158</f>
        <v>0.61721228443700371</v>
      </c>
      <c r="X144" s="118">
        <f>L144/L$158</f>
        <v>0.52996896430698126</v>
      </c>
      <c r="Z144" s="107" t="s">
        <v>386</v>
      </c>
      <c r="AA144" s="113">
        <f>I144-C144</f>
        <v>0</v>
      </c>
      <c r="AB144" s="113">
        <f t="shared" ref="AB144:AB158" si="147">J144-D144</f>
        <v>130449.08278</v>
      </c>
      <c r="AC144" s="113">
        <f t="shared" ref="AC144:AC158" si="148">K144-E144</f>
        <v>307039.13196000003</v>
      </c>
      <c r="AD144" s="114">
        <f t="shared" ref="AD144:AD158" si="149">L144-F144</f>
        <v>437488.21473999997</v>
      </c>
      <c r="AE144" s="115"/>
      <c r="AF144" s="107" t="s">
        <v>386</v>
      </c>
      <c r="AG144" s="117">
        <f>IF(C144=0, 0,AA144/C144)</f>
        <v>0</v>
      </c>
      <c r="AH144" s="117">
        <f t="shared" ref="AH144:AH158" si="150">IF(D144=0, 0,AB144/D144)</f>
        <v>3.9855003727267988</v>
      </c>
      <c r="AI144" s="117">
        <f t="shared" ref="AI144:AI158" si="151">IF(E144=0, 0,AC144/E144)</f>
        <v>1.5220612752506166</v>
      </c>
      <c r="AJ144" s="118">
        <f t="shared" ref="AJ144:AJ158" si="152">IF(F144=0, 0,AD144/F144)</f>
        <v>1.8659652534894606</v>
      </c>
    </row>
    <row r="145" spans="1:36" x14ac:dyDescent="0.25">
      <c r="A145">
        <v>2</v>
      </c>
      <c r="B145" s="107" t="s">
        <v>387</v>
      </c>
      <c r="C145" s="113">
        <f>INDEX(TourMode_input!$B$4:$J$172,MATCH(TourMode!$A145,modes,0),MATCH("atwork",modePurpose,0))</f>
        <v>0</v>
      </c>
      <c r="D145" s="113">
        <f>INDEX(TourMode_input!$B$20:$J$33,MATCH(TourMode!$A145,modes,0),MATCH("atwork",modePurpose,0))</f>
        <v>36.45082</v>
      </c>
      <c r="E145" s="113">
        <f>INDEX(TourMode_input!$B$36:$J$49,MATCH(TourMode!$A145,modes,0),MATCH("atwork",modePurpose,0))</f>
        <v>4922.7625200000002</v>
      </c>
      <c r="F145" s="116">
        <f t="shared" ref="F145:F157" si="153">SUM(C145:E145)</f>
        <v>4959.2133400000002</v>
      </c>
      <c r="G145" s="115"/>
      <c r="H145" s="107" t="s">
        <v>387</v>
      </c>
      <c r="I145" s="113">
        <f>INDEX(TourMode_input!$L$4:$T$17,MATCH(TourMode!$A145,modes,0),MATCH("atwork",modePurpose,0))*Index!$B$2</f>
        <v>0</v>
      </c>
      <c r="J145" s="113">
        <f>INDEX(TourMode_input!$L$20:$T$33,MATCH(TourMode!$A145,modes,0), MATCH("atwork",modePurpose,0))*Index!$B$2</f>
        <v>12325</v>
      </c>
      <c r="K145" s="113">
        <f>INDEX(TourMode_input!$L$36:$T$49,MATCH(TourMode!$A145,modes,0), MATCH("atwork",modePurpose,0))*Index!$B$2</f>
        <v>27635</v>
      </c>
      <c r="L145" s="116">
        <f t="shared" ref="L145:L157" si="154">SUM(I145:K145)</f>
        <v>39960</v>
      </c>
      <c r="N145" s="107" t="s">
        <v>387</v>
      </c>
      <c r="O145" s="117">
        <f t="shared" ref="O145:O158" si="155">C145/C$158</f>
        <v>0</v>
      </c>
      <c r="P145" s="117">
        <f t="shared" ref="P145:P158" si="156">D145/D$158</f>
        <v>4.6477243271888472E-4</v>
      </c>
      <c r="Q145" s="117">
        <f t="shared" ref="Q145:Q158" si="157">E145/E$158</f>
        <v>1.5384794628919913E-2</v>
      </c>
      <c r="R145" s="118">
        <f t="shared" ref="R145:R158" si="158">F145/F$158</f>
        <v>1.1928924437293415E-2</v>
      </c>
      <c r="S145" s="115"/>
      <c r="T145" s="107" t="s">
        <v>387</v>
      </c>
      <c r="U145" s="117">
        <f t="shared" ref="U145:U158" si="159">I145/I$158</f>
        <v>0</v>
      </c>
      <c r="V145" s="117">
        <f t="shared" ref="V145:V158" si="160">J145/J$158</f>
        <v>2.9939028833774625E-2</v>
      </c>
      <c r="W145" s="117">
        <f t="shared" ref="W145:W158" si="161">K145/K$158</f>
        <v>3.3525618862179196E-2</v>
      </c>
      <c r="X145" s="118">
        <f t="shared" ref="X145:X158" si="162">L145/L$158</f>
        <v>3.1516805413697509E-2</v>
      </c>
      <c r="Z145" s="107" t="s">
        <v>387</v>
      </c>
      <c r="AA145" s="113">
        <f t="shared" ref="AA145:AA158" si="163">I145-C145</f>
        <v>0</v>
      </c>
      <c r="AB145" s="113">
        <f t="shared" si="147"/>
        <v>12288.54918</v>
      </c>
      <c r="AC145" s="113">
        <f t="shared" si="148"/>
        <v>22712.23748</v>
      </c>
      <c r="AD145" s="116">
        <f t="shared" si="149"/>
        <v>35000.786659999998</v>
      </c>
      <c r="AE145" s="115"/>
      <c r="AF145" s="107" t="s">
        <v>387</v>
      </c>
      <c r="AG145" s="117">
        <f t="shared" ref="AG145:AG158" si="164">IF(C145=0, 0,AA145/C145)</f>
        <v>0</v>
      </c>
      <c r="AH145" s="117">
        <f t="shared" si="150"/>
        <v>337.12682403303961</v>
      </c>
      <c r="AI145" s="117">
        <f t="shared" si="151"/>
        <v>4.6137178845669764</v>
      </c>
      <c r="AJ145" s="118">
        <f t="shared" si="152"/>
        <v>7.0577295753120382</v>
      </c>
    </row>
    <row r="146" spans="1:36" x14ac:dyDescent="0.25">
      <c r="A146">
        <v>3</v>
      </c>
      <c r="B146" s="107" t="s">
        <v>388</v>
      </c>
      <c r="C146" s="113">
        <f>INDEX(TourMode_input!$B$4:$J$172,MATCH(TourMode!$A146,modes,0),MATCH("atwork",modePurpose,0))</f>
        <v>127.13596</v>
      </c>
      <c r="D146" s="113">
        <f>INDEX(TourMode_input!$B$20:$J$33,MATCH(TourMode!$A146,modes,0),MATCH("atwork",modePurpose,0))</f>
        <v>2763.90398</v>
      </c>
      <c r="E146" s="113">
        <f>INDEX(TourMode_input!$B$36:$J$49,MATCH(TourMode!$A146,modes,0),MATCH("atwork",modePurpose,0))</f>
        <v>27026.5425</v>
      </c>
      <c r="F146" s="116">
        <f t="shared" si="153"/>
        <v>29917.582439999998</v>
      </c>
      <c r="G146" s="115"/>
      <c r="H146" s="107" t="s">
        <v>388</v>
      </c>
      <c r="I146" s="113">
        <f>INDEX(TourMode_input!$L$4:$T$17,MATCH(TourMode!$A146,modes,0),MATCH("atwork",modePurpose,0))*Index!$B$2</f>
        <v>195</v>
      </c>
      <c r="J146" s="113">
        <f>INDEX(TourMode_input!$L$20:$T$33,MATCH(TourMode!$A146,modes,0), MATCH("atwork",modePurpose,0))*Index!$B$2</f>
        <v>13495</v>
      </c>
      <c r="K146" s="113">
        <f>INDEX(TourMode_input!$L$36:$T$49,MATCH(TourMode!$A146,modes,0), MATCH("atwork",modePurpose,0))*Index!$B$2</f>
        <v>69255</v>
      </c>
      <c r="L146" s="116">
        <f t="shared" si="154"/>
        <v>82945</v>
      </c>
      <c r="N146" s="107" t="s">
        <v>388</v>
      </c>
      <c r="O146" s="117">
        <f t="shared" si="155"/>
        <v>7.3374245890606366E-3</v>
      </c>
      <c r="P146" s="117">
        <f t="shared" si="156"/>
        <v>3.5241631781836674E-2</v>
      </c>
      <c r="Q146" s="117">
        <f t="shared" si="157"/>
        <v>8.4464323477516798E-2</v>
      </c>
      <c r="R146" s="118">
        <f t="shared" si="158"/>
        <v>7.1963949885901934E-2</v>
      </c>
      <c r="S146" s="115"/>
      <c r="T146" s="107" t="s">
        <v>388</v>
      </c>
      <c r="U146" s="117">
        <f t="shared" si="159"/>
        <v>6.107109301597244E-3</v>
      </c>
      <c r="V146" s="117">
        <f t="shared" si="160"/>
        <v>3.2781111084120775E-2</v>
      </c>
      <c r="W146" s="117">
        <f t="shared" si="161"/>
        <v>8.4017251105490146E-2</v>
      </c>
      <c r="X146" s="118">
        <f t="shared" si="162"/>
        <v>6.5419455081059549E-2</v>
      </c>
      <c r="Z146" s="107" t="s">
        <v>388</v>
      </c>
      <c r="AA146" s="113">
        <f t="shared" si="163"/>
        <v>67.864040000000003</v>
      </c>
      <c r="AB146" s="113">
        <f t="shared" si="147"/>
        <v>10731.096020000001</v>
      </c>
      <c r="AC146" s="113">
        <f t="shared" si="148"/>
        <v>42228.457500000004</v>
      </c>
      <c r="AD146" s="116">
        <f t="shared" si="149"/>
        <v>53027.417560000002</v>
      </c>
      <c r="AE146" s="115"/>
      <c r="AF146" s="107" t="s">
        <v>388</v>
      </c>
      <c r="AG146" s="117">
        <f t="shared" si="164"/>
        <v>0.53379106902563211</v>
      </c>
      <c r="AH146" s="117">
        <f t="shared" si="150"/>
        <v>3.8825864059141448</v>
      </c>
      <c r="AI146" s="117">
        <f t="shared" si="151"/>
        <v>1.562480938877032</v>
      </c>
      <c r="AJ146" s="118">
        <f t="shared" si="152"/>
        <v>1.7724499520088899</v>
      </c>
    </row>
    <row r="147" spans="1:36" x14ac:dyDescent="0.25">
      <c r="A147">
        <v>4</v>
      </c>
      <c r="B147" s="107" t="s">
        <v>389</v>
      </c>
      <c r="C147" s="113">
        <f>INDEX(TourMode_input!$B$4:$J$172,MATCH(TourMode!$A147,modes,0),MATCH("atwork",modePurpose,0))</f>
        <v>0</v>
      </c>
      <c r="D147" s="113">
        <f>INDEX(TourMode_input!$B$20:$J$33,MATCH(TourMode!$A147,modes,0),MATCH("atwork",modePurpose,0))</f>
        <v>0</v>
      </c>
      <c r="E147" s="113">
        <f>INDEX(TourMode_input!$B$36:$J$49,MATCH(TourMode!$A147,modes,0),MATCH("atwork",modePurpose,0))</f>
        <v>261.07076999999998</v>
      </c>
      <c r="F147" s="116">
        <f t="shared" si="153"/>
        <v>261.07076999999998</v>
      </c>
      <c r="G147" s="115"/>
      <c r="H147" s="107" t="s">
        <v>389</v>
      </c>
      <c r="I147" s="113">
        <f>INDEX(TourMode_input!$L$4:$T$17,MATCH(TourMode!$A147,modes,0),MATCH("atwork",modePurpose,0))*Index!$B$2</f>
        <v>30</v>
      </c>
      <c r="J147" s="113">
        <f>INDEX(TourMode_input!$L$20:$T$33,MATCH(TourMode!$A147,modes,0), MATCH("atwork",modePurpose,0))*Index!$B$2</f>
        <v>725</v>
      </c>
      <c r="K147" s="113">
        <f>INDEX(TourMode_input!$L$36:$T$49,MATCH(TourMode!$A147,modes,0), MATCH("atwork",modePurpose,0))*Index!$B$2</f>
        <v>2215</v>
      </c>
      <c r="L147" s="116">
        <f t="shared" si="154"/>
        <v>2970</v>
      </c>
      <c r="N147" s="107" t="s">
        <v>389</v>
      </c>
      <c r="O147" s="117">
        <f t="shared" si="155"/>
        <v>0</v>
      </c>
      <c r="P147" s="117">
        <f t="shared" si="156"/>
        <v>0</v>
      </c>
      <c r="Q147" s="117">
        <f t="shared" si="157"/>
        <v>8.15907767995273E-4</v>
      </c>
      <c r="R147" s="118">
        <f t="shared" si="158"/>
        <v>6.2798134998483615E-4</v>
      </c>
      <c r="S147" s="115"/>
      <c r="T147" s="107" t="s">
        <v>389</v>
      </c>
      <c r="U147" s="117">
        <f t="shared" si="159"/>
        <v>9.395552771688068E-4</v>
      </c>
      <c r="V147" s="117">
        <f t="shared" si="160"/>
        <v>1.7611193431632133E-3</v>
      </c>
      <c r="W147" s="117">
        <f t="shared" si="161"/>
        <v>2.6871447721992735E-3</v>
      </c>
      <c r="X147" s="118">
        <f t="shared" si="162"/>
        <v>2.3424652672342739E-3</v>
      </c>
      <c r="Z147" s="107" t="s">
        <v>389</v>
      </c>
      <c r="AA147" s="113">
        <f t="shared" si="163"/>
        <v>30</v>
      </c>
      <c r="AB147" s="113">
        <f t="shared" si="147"/>
        <v>725</v>
      </c>
      <c r="AC147" s="113">
        <f t="shared" si="148"/>
        <v>1953.92923</v>
      </c>
      <c r="AD147" s="116">
        <f t="shared" si="149"/>
        <v>2708.9292300000002</v>
      </c>
      <c r="AE147" s="115"/>
      <c r="AF147" s="107" t="s">
        <v>389</v>
      </c>
      <c r="AG147" s="117">
        <f t="shared" si="164"/>
        <v>0</v>
      </c>
      <c r="AH147" s="117">
        <f t="shared" si="150"/>
        <v>0</v>
      </c>
      <c r="AI147" s="117">
        <f t="shared" si="151"/>
        <v>7.4842895280846653</v>
      </c>
      <c r="AJ147" s="118">
        <f t="shared" si="152"/>
        <v>10.376225687770409</v>
      </c>
    </row>
    <row r="148" spans="1:36" x14ac:dyDescent="0.25">
      <c r="A148">
        <v>5</v>
      </c>
      <c r="B148" s="107" t="s">
        <v>390</v>
      </c>
      <c r="C148" s="113">
        <f>INDEX(TourMode_input!$B$4:$J$172,MATCH(TourMode!$A148,modes,0),MATCH("atwork",modePurpose,0))</f>
        <v>0</v>
      </c>
      <c r="D148" s="113">
        <f>INDEX(TourMode_input!$B$20:$J$33,MATCH(TourMode!$A148,modes,0),MATCH("atwork",modePurpose,0))</f>
        <v>940.36594000000002</v>
      </c>
      <c r="E148" s="113">
        <f>INDEX(TourMode_input!$B$36:$J$49,MATCH(TourMode!$A148,modes,0),MATCH("atwork",modePurpose,0))</f>
        <v>2912.4227599999999</v>
      </c>
      <c r="F148" s="116">
        <f t="shared" si="153"/>
        <v>3852.7887000000001</v>
      </c>
      <c r="G148" s="115"/>
      <c r="H148" s="107" t="s">
        <v>390</v>
      </c>
      <c r="I148" s="113">
        <f>INDEX(TourMode_input!$L$4:$T$17,MATCH(TourMode!$A148,modes,0),MATCH("atwork",modePurpose,0))*Index!$B$2</f>
        <v>3865</v>
      </c>
      <c r="J148" s="113">
        <f>INDEX(TourMode_input!$L$20:$T$33,MATCH(TourMode!$A148,modes,0), MATCH("atwork",modePurpose,0))*Index!$B$2</f>
        <v>4975</v>
      </c>
      <c r="K148" s="113">
        <f>INDEX(TourMode_input!$L$36:$T$49,MATCH(TourMode!$A148,modes,0), MATCH("atwork",modePurpose,0))*Index!$B$2</f>
        <v>7810</v>
      </c>
      <c r="L148" s="116">
        <f t="shared" si="154"/>
        <v>16650</v>
      </c>
      <c r="N148" s="107" t="s">
        <v>390</v>
      </c>
      <c r="O148" s="117">
        <f t="shared" si="155"/>
        <v>0</v>
      </c>
      <c r="P148" s="117">
        <f t="shared" si="156"/>
        <v>1.1990297216352905E-2</v>
      </c>
      <c r="Q148" s="117">
        <f t="shared" si="157"/>
        <v>9.1020084461015411E-3</v>
      </c>
      <c r="R148" s="118">
        <f t="shared" si="158"/>
        <v>9.2675233195670358E-3</v>
      </c>
      <c r="S148" s="115"/>
      <c r="T148" s="107" t="s">
        <v>390</v>
      </c>
      <c r="U148" s="117">
        <f t="shared" si="159"/>
        <v>0.12104603820858127</v>
      </c>
      <c r="V148" s="117">
        <f t="shared" si="160"/>
        <v>1.2084922389292395E-2</v>
      </c>
      <c r="W148" s="117">
        <f t="shared" si="161"/>
        <v>9.4747632825626753E-3</v>
      </c>
      <c r="X148" s="118">
        <f t="shared" si="162"/>
        <v>1.3132002255707294E-2</v>
      </c>
      <c r="Z148" s="107" t="s">
        <v>390</v>
      </c>
      <c r="AA148" s="113">
        <f t="shared" si="163"/>
        <v>3865</v>
      </c>
      <c r="AB148" s="113">
        <f t="shared" si="147"/>
        <v>4034.6340599999999</v>
      </c>
      <c r="AC148" s="113">
        <f t="shared" si="148"/>
        <v>4897.5772400000005</v>
      </c>
      <c r="AD148" s="116">
        <f t="shared" si="149"/>
        <v>12797.211299999999</v>
      </c>
      <c r="AE148" s="115"/>
      <c r="AF148" s="107" t="s">
        <v>390</v>
      </c>
      <c r="AG148" s="117">
        <f t="shared" si="164"/>
        <v>0</v>
      </c>
      <c r="AH148" s="117">
        <f t="shared" si="150"/>
        <v>4.2904936135819636</v>
      </c>
      <c r="AI148" s="117">
        <f t="shared" si="151"/>
        <v>1.6816161812991739</v>
      </c>
      <c r="AJ148" s="118">
        <f t="shared" si="152"/>
        <v>3.3215450668239344</v>
      </c>
    </row>
    <row r="149" spans="1:36" x14ac:dyDescent="0.25">
      <c r="A149">
        <v>6</v>
      </c>
      <c r="B149" s="107" t="s">
        <v>391</v>
      </c>
      <c r="C149" s="113">
        <f>INDEX(TourMode_input!$B$4:$J$172,MATCH(TourMode!$A149,modes,0),MATCH("atwork",modePurpose,0))</f>
        <v>0</v>
      </c>
      <c r="D149" s="113">
        <f>INDEX(TourMode_input!$B$20:$J$33,MATCH(TourMode!$A149,modes,0),MATCH("atwork",modePurpose,0))</f>
        <v>0</v>
      </c>
      <c r="E149" s="113">
        <f>INDEX(TourMode_input!$B$36:$J$49,MATCH(TourMode!$A149,modes,0),MATCH("atwork",modePurpose,0))</f>
        <v>0</v>
      </c>
      <c r="F149" s="116">
        <f t="shared" si="153"/>
        <v>0</v>
      </c>
      <c r="G149" s="115"/>
      <c r="H149" s="107" t="s">
        <v>391</v>
      </c>
      <c r="I149" s="113">
        <f>INDEX(TourMode_input!$L$4:$T$17,MATCH(TourMode!$A149,modes,0),MATCH("atwork",modePurpose,0))*Index!$B$2</f>
        <v>45</v>
      </c>
      <c r="J149" s="113">
        <f>INDEX(TourMode_input!$L$20:$T$33,MATCH(TourMode!$A149,modes,0), MATCH("atwork",modePurpose,0))*Index!$B$2</f>
        <v>30</v>
      </c>
      <c r="K149" s="113">
        <f>INDEX(TourMode_input!$L$36:$T$49,MATCH(TourMode!$A149,modes,0), MATCH("atwork",modePurpose,0))*Index!$B$2</f>
        <v>60</v>
      </c>
      <c r="L149" s="116">
        <f t="shared" si="154"/>
        <v>135</v>
      </c>
      <c r="N149" s="107" t="s">
        <v>391</v>
      </c>
      <c r="O149" s="117">
        <f t="shared" si="155"/>
        <v>0</v>
      </c>
      <c r="P149" s="117">
        <f t="shared" si="156"/>
        <v>0</v>
      </c>
      <c r="Q149" s="117">
        <f t="shared" si="157"/>
        <v>0</v>
      </c>
      <c r="R149" s="118">
        <f t="shared" si="158"/>
        <v>0</v>
      </c>
      <c r="S149" s="115"/>
      <c r="T149" s="107" t="s">
        <v>391</v>
      </c>
      <c r="U149" s="117">
        <f t="shared" si="159"/>
        <v>1.4093329157532101E-3</v>
      </c>
      <c r="V149" s="117">
        <f t="shared" si="160"/>
        <v>7.2873903855029509E-5</v>
      </c>
      <c r="W149" s="117">
        <f t="shared" si="161"/>
        <v>7.2789474641966773E-5</v>
      </c>
      <c r="X149" s="118">
        <f t="shared" si="162"/>
        <v>1.0647569396519428E-4</v>
      </c>
      <c r="Z149" s="107" t="s">
        <v>391</v>
      </c>
      <c r="AA149" s="113">
        <f t="shared" si="163"/>
        <v>45</v>
      </c>
      <c r="AB149" s="113">
        <f t="shared" si="147"/>
        <v>30</v>
      </c>
      <c r="AC149" s="113">
        <f t="shared" si="148"/>
        <v>60</v>
      </c>
      <c r="AD149" s="116">
        <f t="shared" si="149"/>
        <v>135</v>
      </c>
      <c r="AE149" s="115"/>
      <c r="AF149" s="107" t="s">
        <v>391</v>
      </c>
      <c r="AG149" s="117">
        <f t="shared" si="164"/>
        <v>0</v>
      </c>
      <c r="AH149" s="117">
        <f t="shared" si="150"/>
        <v>0</v>
      </c>
      <c r="AI149" s="117">
        <f t="shared" si="151"/>
        <v>0</v>
      </c>
      <c r="AJ149" s="118">
        <f t="shared" si="152"/>
        <v>0</v>
      </c>
    </row>
    <row r="150" spans="1:36" x14ac:dyDescent="0.25">
      <c r="A150">
        <v>7</v>
      </c>
      <c r="B150" s="107" t="s">
        <v>392</v>
      </c>
      <c r="C150" s="113">
        <f>INDEX(TourMode_input!$B$4:$J$172,MATCH(TourMode!$A150,modes,0),MATCH("atwork",modePurpose,0))</f>
        <v>15298.07634</v>
      </c>
      <c r="D150" s="113">
        <f>INDEX(TourMode_input!$B$20:$J$33,MATCH(TourMode!$A150,modes,0),MATCH("atwork",modePurpose,0))</f>
        <v>39827.719980000002</v>
      </c>
      <c r="E150" s="113">
        <f>INDEX(TourMode_input!$B$36:$J$49,MATCH(TourMode!$A150,modes,0),MATCH("atwork",modePurpose,0))</f>
        <v>75827.395780000006</v>
      </c>
      <c r="F150" s="116">
        <f t="shared" si="153"/>
        <v>130953.19210000001</v>
      </c>
      <c r="G150" s="115"/>
      <c r="H150" s="107" t="s">
        <v>392</v>
      </c>
      <c r="I150" s="113">
        <f>INDEX(TourMode_input!$L$4:$T$17,MATCH(TourMode!$A150,modes,0),MATCH("atwork",modePurpose,0))*Index!$B$2</f>
        <v>25020</v>
      </c>
      <c r="J150" s="113">
        <f>INDEX(TourMode_input!$L$20:$T$33,MATCH(TourMode!$A150,modes,0), MATCH("atwork",modePurpose,0))*Index!$B$2</f>
        <v>208380</v>
      </c>
      <c r="K150" s="113">
        <f>INDEX(TourMode_input!$L$36:$T$49,MATCH(TourMode!$A150,modes,0), MATCH("atwork",modePurpose,0))*Index!$B$2</f>
        <v>197090</v>
      </c>
      <c r="L150" s="116">
        <f t="shared" si="154"/>
        <v>430490</v>
      </c>
      <c r="N150" s="107" t="s">
        <v>392</v>
      </c>
      <c r="O150" s="117">
        <f t="shared" si="155"/>
        <v>0.88290112020582334</v>
      </c>
      <c r="P150" s="117">
        <f t="shared" si="156"/>
        <v>0.50783017514423912</v>
      </c>
      <c r="Q150" s="117">
        <f t="shared" si="157"/>
        <v>0.23697850680010632</v>
      </c>
      <c r="R150" s="118">
        <f t="shared" si="158"/>
        <v>0.31499567094309944</v>
      </c>
      <c r="S150" s="115"/>
      <c r="T150" s="107" t="s">
        <v>392</v>
      </c>
      <c r="U150" s="117">
        <f t="shared" si="159"/>
        <v>0.78358910115878488</v>
      </c>
      <c r="V150" s="117">
        <f t="shared" si="160"/>
        <v>0.506182136177035</v>
      </c>
      <c r="W150" s="117">
        <f t="shared" si="161"/>
        <v>0.23910129261975385</v>
      </c>
      <c r="X150" s="118">
        <f t="shared" si="162"/>
        <v>0.3395312703338999</v>
      </c>
      <c r="Z150" s="107" t="s">
        <v>392</v>
      </c>
      <c r="AA150" s="113">
        <f t="shared" si="163"/>
        <v>9721.9236600000004</v>
      </c>
      <c r="AB150" s="113">
        <f t="shared" si="147"/>
        <v>168552.28002000001</v>
      </c>
      <c r="AC150" s="113">
        <f t="shared" si="148"/>
        <v>121262.60421999999</v>
      </c>
      <c r="AD150" s="116">
        <f t="shared" si="149"/>
        <v>299536.80790000001</v>
      </c>
      <c r="AE150" s="115"/>
      <c r="AF150" s="107" t="s">
        <v>392</v>
      </c>
      <c r="AG150" s="117">
        <f t="shared" si="164"/>
        <v>0.63549974806832477</v>
      </c>
      <c r="AH150" s="117">
        <f t="shared" si="150"/>
        <v>4.2320343746677107</v>
      </c>
      <c r="AI150" s="117">
        <f t="shared" si="151"/>
        <v>1.5991925210226439</v>
      </c>
      <c r="AJ150" s="118">
        <f t="shared" si="152"/>
        <v>2.287357819206608</v>
      </c>
    </row>
    <row r="151" spans="1:36" x14ac:dyDescent="0.25">
      <c r="A151">
        <v>8</v>
      </c>
      <c r="B151" s="107" t="s">
        <v>393</v>
      </c>
      <c r="C151" s="113">
        <f>INDEX(TourMode_input!$B$4:$J$172,MATCH(TourMode!$A151,modes,0),MATCH("atwork",modePurpose,0))</f>
        <v>709.41787999999997</v>
      </c>
      <c r="D151" s="113">
        <f>INDEX(TourMode_input!$B$20:$J$33,MATCH(TourMode!$A151,modes,0),MATCH("atwork",modePurpose,0))</f>
        <v>0</v>
      </c>
      <c r="E151" s="113">
        <f>INDEX(TourMode_input!$B$36:$J$49,MATCH(TourMode!$A151,modes,0),MATCH("atwork",modePurpose,0))</f>
        <v>1034.8491300000001</v>
      </c>
      <c r="F151" s="116">
        <f t="shared" si="153"/>
        <v>1744.26701</v>
      </c>
      <c r="G151" s="115"/>
      <c r="H151" s="107" t="s">
        <v>393</v>
      </c>
      <c r="I151" s="113">
        <f>INDEX(TourMode_input!$L$4:$T$17,MATCH(TourMode!$A151,modes,0),MATCH("atwork",modePurpose,0))*Index!$B$2</f>
        <v>1640</v>
      </c>
      <c r="J151" s="113">
        <f>INDEX(TourMode_input!$L$20:$T$33,MATCH(TourMode!$A151,modes,0), MATCH("atwork",modePurpose,0))*Index!$B$2</f>
        <v>1245</v>
      </c>
      <c r="K151" s="113">
        <f>INDEX(TourMode_input!$L$36:$T$49,MATCH(TourMode!$A151,modes,0), MATCH("atwork",modePurpose,0))*Index!$B$2</f>
        <v>2505</v>
      </c>
      <c r="L151" s="116">
        <f t="shared" si="154"/>
        <v>5390</v>
      </c>
      <c r="N151" s="107" t="s">
        <v>393</v>
      </c>
      <c r="O151" s="117">
        <f t="shared" si="155"/>
        <v>4.0942784375335411E-2</v>
      </c>
      <c r="P151" s="117">
        <f t="shared" si="156"/>
        <v>0</v>
      </c>
      <c r="Q151" s="117">
        <f t="shared" si="157"/>
        <v>3.2341477518534542E-3</v>
      </c>
      <c r="R151" s="118">
        <f t="shared" si="158"/>
        <v>4.1956713563675238E-3</v>
      </c>
      <c r="S151" s="115"/>
      <c r="T151" s="107" t="s">
        <v>393</v>
      </c>
      <c r="U151" s="117">
        <f t="shared" si="159"/>
        <v>5.1362355151894773E-2</v>
      </c>
      <c r="V151" s="117">
        <f t="shared" si="160"/>
        <v>3.024267009983725E-3</v>
      </c>
      <c r="W151" s="117">
        <f t="shared" si="161"/>
        <v>3.0389605663021127E-3</v>
      </c>
      <c r="X151" s="118">
        <f t="shared" si="162"/>
        <v>4.251140670165905E-3</v>
      </c>
      <c r="Z151" s="107" t="s">
        <v>393</v>
      </c>
      <c r="AA151" s="113">
        <f t="shared" si="163"/>
        <v>930.58212000000003</v>
      </c>
      <c r="AB151" s="113">
        <f t="shared" si="147"/>
        <v>1245</v>
      </c>
      <c r="AC151" s="113">
        <f t="shared" si="148"/>
        <v>1470.1508699999999</v>
      </c>
      <c r="AD151" s="116">
        <f t="shared" si="149"/>
        <v>3645.73299</v>
      </c>
      <c r="AE151" s="115"/>
      <c r="AF151" s="107" t="s">
        <v>393</v>
      </c>
      <c r="AG151" s="117">
        <f t="shared" si="164"/>
        <v>1.3117545331673908</v>
      </c>
      <c r="AH151" s="117">
        <f t="shared" si="150"/>
        <v>0</v>
      </c>
      <c r="AI151" s="117">
        <f t="shared" si="151"/>
        <v>1.4206427075993191</v>
      </c>
      <c r="AJ151" s="118">
        <f t="shared" si="152"/>
        <v>2.0901232260306295</v>
      </c>
    </row>
    <row r="152" spans="1:36" x14ac:dyDescent="0.25">
      <c r="A152">
        <v>9</v>
      </c>
      <c r="B152" s="107" t="s">
        <v>394</v>
      </c>
      <c r="C152" s="113"/>
      <c r="D152" s="113"/>
      <c r="E152" s="113"/>
      <c r="F152" s="116">
        <f t="shared" si="153"/>
        <v>0</v>
      </c>
      <c r="G152" s="115"/>
      <c r="H152" s="107" t="s">
        <v>394</v>
      </c>
      <c r="I152" s="113">
        <f>INDEX(TourMode_input!$L$4:$T$17,MATCH(TourMode!$A152,modes,0),MATCH("atwork",modePurpose,0))*Index!$B$2</f>
        <v>0</v>
      </c>
      <c r="J152" s="113">
        <f>INDEX(TourMode_input!$L$20:$T$33,MATCH(TourMode!$A152,modes,0), MATCH("atwork",modePurpose,0))*Index!$B$2</f>
        <v>0</v>
      </c>
      <c r="K152" s="113">
        <f>INDEX(TourMode_input!$L$36:$T$49,MATCH(TourMode!$A152,modes,0), MATCH("atwork",modePurpose,0))*Index!$B$2</f>
        <v>0</v>
      </c>
      <c r="L152" s="116">
        <f t="shared" si="154"/>
        <v>0</v>
      </c>
      <c r="N152" s="107" t="s">
        <v>394</v>
      </c>
      <c r="O152" s="117">
        <f t="shared" si="155"/>
        <v>0</v>
      </c>
      <c r="P152" s="117">
        <f t="shared" si="156"/>
        <v>0</v>
      </c>
      <c r="Q152" s="117">
        <f t="shared" si="157"/>
        <v>0</v>
      </c>
      <c r="R152" s="118">
        <f t="shared" si="158"/>
        <v>0</v>
      </c>
      <c r="S152" s="115"/>
      <c r="T152" s="107" t="s">
        <v>394</v>
      </c>
      <c r="U152" s="117">
        <f t="shared" si="159"/>
        <v>0</v>
      </c>
      <c r="V152" s="117">
        <f t="shared" si="160"/>
        <v>0</v>
      </c>
      <c r="W152" s="117">
        <f t="shared" si="161"/>
        <v>0</v>
      </c>
      <c r="X152" s="118">
        <f t="shared" si="162"/>
        <v>0</v>
      </c>
      <c r="Z152" s="107" t="s">
        <v>394</v>
      </c>
      <c r="AA152" s="113">
        <f t="shared" si="163"/>
        <v>0</v>
      </c>
      <c r="AB152" s="113">
        <f t="shared" si="147"/>
        <v>0</v>
      </c>
      <c r="AC152" s="113">
        <f t="shared" si="148"/>
        <v>0</v>
      </c>
      <c r="AD152" s="116">
        <f t="shared" si="149"/>
        <v>0</v>
      </c>
      <c r="AE152" s="115"/>
      <c r="AF152" s="107" t="s">
        <v>394</v>
      </c>
      <c r="AG152" s="117">
        <f t="shared" si="164"/>
        <v>0</v>
      </c>
      <c r="AH152" s="117">
        <f t="shared" si="150"/>
        <v>0</v>
      </c>
      <c r="AI152" s="117">
        <f t="shared" si="151"/>
        <v>0</v>
      </c>
      <c r="AJ152" s="118">
        <f t="shared" si="152"/>
        <v>0</v>
      </c>
    </row>
    <row r="153" spans="1:36" x14ac:dyDescent="0.25">
      <c r="A153">
        <v>10</v>
      </c>
      <c r="B153" s="107" t="s">
        <v>395</v>
      </c>
      <c r="C153" s="113">
        <f>INDEX(TourMode_input!$B$4:$J$172,MATCH(TourMode!$A153,modes,0),MATCH("atwork",modePurpose,0))+INDEX(TourMode_input!$B$4:$J$172,MATCH(TourMode!$A152,modes,0),MATCH("atwork",modePurpose,0))</f>
        <v>688.59136999999998</v>
      </c>
      <c r="D153" s="113">
        <f>INDEX(TourMode_input!$B$20:$J$33,MATCH(TourMode!$A153,modes,0),MATCH("atwork",modePurpose,0))+INDEX(TourMode_input!$B$20:$J$33,MATCH(TourMode!$A152,modes,0),MATCH("atwork",modePurpose,0))</f>
        <v>841.59259999999995</v>
      </c>
      <c r="E153" s="113">
        <f>INDEX(TourMode_input!$B$36:$J$49,MATCH(TourMode!$A153,modes,0),MATCH("atwork",modePurpose,0))+INDEX(TourMode_input!$B$36:$J$49,MATCH(TourMode!$A152,modes,0),MATCH("atwork",modePurpose,0))</f>
        <v>1298.2262900000001</v>
      </c>
      <c r="F153" s="116">
        <f t="shared" si="153"/>
        <v>2828.4102600000001</v>
      </c>
      <c r="G153" s="115"/>
      <c r="H153" s="107" t="s">
        <v>395</v>
      </c>
      <c r="I153" s="113">
        <f>INDEX(TourMode_input!$L$4:$T$17,MATCH(TourMode!$A153,modes,0),MATCH("atwork",modePurpose,0))*Index!$B$2</f>
        <v>380</v>
      </c>
      <c r="J153" s="113">
        <f>INDEX(TourMode_input!$L$20:$T$33,MATCH(TourMode!$A153,modes,0), MATCH("atwork",modePurpose,0))*Index!$B$2</f>
        <v>375</v>
      </c>
      <c r="K153" s="113">
        <f>INDEX(TourMode_input!$L$36:$T$49,MATCH(TourMode!$A153,modes,0), MATCH("atwork",modePurpose,0))*Index!$B$2</f>
        <v>595</v>
      </c>
      <c r="L153" s="116">
        <f t="shared" si="154"/>
        <v>1350</v>
      </c>
      <c r="N153" s="107" t="s">
        <v>395</v>
      </c>
      <c r="O153" s="117">
        <f t="shared" si="155"/>
        <v>3.9740819592292774E-2</v>
      </c>
      <c r="P153" s="117">
        <f t="shared" si="156"/>
        <v>1.0730870802363603E-2</v>
      </c>
      <c r="Q153" s="117">
        <f t="shared" si="157"/>
        <v>4.0572635328983177E-3</v>
      </c>
      <c r="R153" s="118">
        <f t="shared" si="158"/>
        <v>6.8034766718072714E-3</v>
      </c>
      <c r="S153" s="115"/>
      <c r="T153" s="107" t="s">
        <v>395</v>
      </c>
      <c r="U153" s="117">
        <f t="shared" si="159"/>
        <v>1.1901033510804886E-2</v>
      </c>
      <c r="V153" s="117">
        <f t="shared" si="160"/>
        <v>9.1092379818786889E-4</v>
      </c>
      <c r="W153" s="117">
        <f t="shared" si="161"/>
        <v>7.2182895686617049E-4</v>
      </c>
      <c r="X153" s="118">
        <f t="shared" si="162"/>
        <v>1.0647569396519429E-3</v>
      </c>
      <c r="Z153" s="107" t="s">
        <v>395</v>
      </c>
      <c r="AA153" s="113">
        <f t="shared" si="163"/>
        <v>-308.59136999999998</v>
      </c>
      <c r="AB153" s="113">
        <f t="shared" si="147"/>
        <v>-466.59259999999995</v>
      </c>
      <c r="AC153" s="113">
        <f t="shared" si="148"/>
        <v>-703.22629000000006</v>
      </c>
      <c r="AD153" s="116">
        <f t="shared" si="149"/>
        <v>-1478.4102600000001</v>
      </c>
      <c r="AE153" s="115"/>
      <c r="AF153" s="107" t="s">
        <v>395</v>
      </c>
      <c r="AG153" s="117">
        <f t="shared" si="164"/>
        <v>-0.44814876201541703</v>
      </c>
      <c r="AH153" s="117">
        <f t="shared" si="150"/>
        <v>-0.55441623417316166</v>
      </c>
      <c r="AI153" s="117">
        <f t="shared" si="151"/>
        <v>-0.54168236725509544</v>
      </c>
      <c r="AJ153" s="118">
        <f t="shared" si="152"/>
        <v>-0.52270007675619168</v>
      </c>
    </row>
    <row r="154" spans="1:36" x14ac:dyDescent="0.25">
      <c r="A154">
        <v>11</v>
      </c>
      <c r="B154" s="107" t="s">
        <v>396</v>
      </c>
      <c r="C154" s="113">
        <f>INDEX(TourMode_input!$B$4:$J$172,MATCH(TourMode!$A154,modes,0),MATCH("atwork",modePurpose,0))</f>
        <v>0</v>
      </c>
      <c r="D154" s="113">
        <f>INDEX(TourMode_input!$B$20:$J$33,MATCH(TourMode!$A154,modes,0),MATCH("atwork",modePurpose,0))</f>
        <v>0</v>
      </c>
      <c r="E154" s="113">
        <f>INDEX(TourMode_input!$B$36:$J$49,MATCH(TourMode!$A154,modes,0),MATCH("atwork",modePurpose,0))</f>
        <v>816.85163999999997</v>
      </c>
      <c r="F154" s="116">
        <f t="shared" si="153"/>
        <v>816.85163999999997</v>
      </c>
      <c r="G154" s="115"/>
      <c r="H154" s="107" t="s">
        <v>396</v>
      </c>
      <c r="I154" s="113">
        <f>INDEX(TourMode_input!$L$4:$T$17,MATCH(TourMode!$A154,modes,0),MATCH("atwork",modePurpose,0))*Index!$B$2</f>
        <v>0</v>
      </c>
      <c r="J154" s="113">
        <f>INDEX(TourMode_input!$L$20:$T$33,MATCH(TourMode!$A154,modes,0), MATCH("atwork",modePurpose,0))*Index!$B$2</f>
        <v>0</v>
      </c>
      <c r="K154" s="113">
        <f>INDEX(TourMode_input!$L$36:$T$49,MATCH(TourMode!$A154,modes,0), MATCH("atwork",modePurpose,0))*Index!$B$2</f>
        <v>0</v>
      </c>
      <c r="L154" s="116">
        <f t="shared" si="154"/>
        <v>0</v>
      </c>
      <c r="N154" s="107" t="s">
        <v>396</v>
      </c>
      <c r="O154" s="117">
        <f t="shared" si="155"/>
        <v>0</v>
      </c>
      <c r="P154" s="117">
        <f t="shared" si="156"/>
        <v>0</v>
      </c>
      <c r="Q154" s="117">
        <f t="shared" si="157"/>
        <v>2.5528541489944598E-3</v>
      </c>
      <c r="R154" s="118">
        <f t="shared" si="158"/>
        <v>1.9648603159385766E-3</v>
      </c>
      <c r="S154" s="115"/>
      <c r="T154" s="107" t="s">
        <v>396</v>
      </c>
      <c r="U154" s="117">
        <f t="shared" si="159"/>
        <v>0</v>
      </c>
      <c r="V154" s="117">
        <f t="shared" si="160"/>
        <v>0</v>
      </c>
      <c r="W154" s="117">
        <f t="shared" si="161"/>
        <v>0</v>
      </c>
      <c r="X154" s="118">
        <f t="shared" si="162"/>
        <v>0</v>
      </c>
      <c r="Z154" s="107" t="s">
        <v>396</v>
      </c>
      <c r="AA154" s="113">
        <f t="shared" si="163"/>
        <v>0</v>
      </c>
      <c r="AB154" s="113">
        <f t="shared" si="147"/>
        <v>0</v>
      </c>
      <c r="AC154" s="113">
        <f t="shared" si="148"/>
        <v>-816.85163999999997</v>
      </c>
      <c r="AD154" s="116">
        <f t="shared" si="149"/>
        <v>-816.85163999999997</v>
      </c>
      <c r="AE154" s="115"/>
      <c r="AF154" s="107" t="s">
        <v>396</v>
      </c>
      <c r="AG154" s="117">
        <f t="shared" si="164"/>
        <v>0</v>
      </c>
      <c r="AH154" s="117">
        <f t="shared" si="150"/>
        <v>0</v>
      </c>
      <c r="AI154" s="117">
        <f t="shared" si="151"/>
        <v>-1</v>
      </c>
      <c r="AJ154" s="118">
        <f t="shared" si="152"/>
        <v>-1</v>
      </c>
    </row>
    <row r="155" spans="1:36" x14ac:dyDescent="0.25">
      <c r="A155">
        <v>12</v>
      </c>
      <c r="B155" s="107" t="s">
        <v>397</v>
      </c>
      <c r="C155" s="113">
        <f>INDEX(TourMode_input!$B$4:$J$172,MATCH(TourMode!$A155,modes,0),MATCH("atwork",modePurpose,0))</f>
        <v>0</v>
      </c>
      <c r="D155" s="113">
        <f>INDEX(TourMode_input!$B$20:$J$33,MATCH(TourMode!$A155,modes,0),MATCH("atwork",modePurpose,0))</f>
        <v>0</v>
      </c>
      <c r="E155" s="113">
        <f>INDEX(TourMode_input!$B$36:$J$49,MATCH(TourMode!$A155,modes,0),MATCH("atwork",modePurpose,0))</f>
        <v>346.34159</v>
      </c>
      <c r="F155" s="116">
        <f t="shared" si="153"/>
        <v>346.34159</v>
      </c>
      <c r="G155" s="115"/>
      <c r="H155" s="107" t="s">
        <v>397</v>
      </c>
      <c r="I155" s="113">
        <f>INDEX(TourMode_input!$L$4:$T$17,MATCH(TourMode!$A155,modes,0),MATCH("atwork",modePurpose,0))*Index!$B$2</f>
        <v>0</v>
      </c>
      <c r="J155" s="113">
        <f>INDEX(TourMode_input!$L$20:$T$33,MATCH(TourMode!$A155,modes,0), MATCH("atwork",modePurpose,0))*Index!$B$2</f>
        <v>0</v>
      </c>
      <c r="K155" s="113">
        <f>INDEX(TourMode_input!$L$36:$T$49,MATCH(TourMode!$A155,modes,0), MATCH("atwork",modePurpose,0))*Index!$B$2</f>
        <v>0</v>
      </c>
      <c r="L155" s="116">
        <f t="shared" si="154"/>
        <v>0</v>
      </c>
      <c r="N155" s="107" t="s">
        <v>397</v>
      </c>
      <c r="O155" s="117">
        <f t="shared" si="155"/>
        <v>0</v>
      </c>
      <c r="P155" s="117">
        <f t="shared" si="156"/>
        <v>0</v>
      </c>
      <c r="Q155" s="117">
        <f t="shared" si="157"/>
        <v>1.0823992040963988E-3</v>
      </c>
      <c r="R155" s="118">
        <f t="shared" si="158"/>
        <v>8.330923421419206E-4</v>
      </c>
      <c r="S155" s="115"/>
      <c r="T155" s="107" t="s">
        <v>397</v>
      </c>
      <c r="U155" s="117">
        <f t="shared" si="159"/>
        <v>0</v>
      </c>
      <c r="V155" s="117">
        <f t="shared" si="160"/>
        <v>0</v>
      </c>
      <c r="W155" s="117">
        <f t="shared" si="161"/>
        <v>0</v>
      </c>
      <c r="X155" s="118">
        <f t="shared" si="162"/>
        <v>0</v>
      </c>
      <c r="Z155" s="107" t="s">
        <v>397</v>
      </c>
      <c r="AA155" s="113">
        <f t="shared" si="163"/>
        <v>0</v>
      </c>
      <c r="AB155" s="113">
        <f t="shared" si="147"/>
        <v>0</v>
      </c>
      <c r="AC155" s="113">
        <f t="shared" si="148"/>
        <v>-346.34159</v>
      </c>
      <c r="AD155" s="116">
        <f t="shared" si="149"/>
        <v>-346.34159</v>
      </c>
      <c r="AE155" s="115"/>
      <c r="AF155" s="107" t="s">
        <v>397</v>
      </c>
      <c r="AG155" s="117">
        <f t="shared" si="164"/>
        <v>0</v>
      </c>
      <c r="AH155" s="117">
        <f t="shared" si="150"/>
        <v>0</v>
      </c>
      <c r="AI155" s="117">
        <f t="shared" si="151"/>
        <v>-1</v>
      </c>
      <c r="AJ155" s="118">
        <f t="shared" si="152"/>
        <v>-1</v>
      </c>
    </row>
    <row r="156" spans="1:36" x14ac:dyDescent="0.25">
      <c r="A156">
        <v>13</v>
      </c>
      <c r="B156" s="107" t="s">
        <v>398</v>
      </c>
      <c r="C156" s="113">
        <f>INDEX(TourMode_input!$B$4:$J$172,MATCH(TourMode!$A156,modes,0),MATCH("atwork",modePurpose,0))</f>
        <v>503.83353</v>
      </c>
      <c r="D156" s="113">
        <f>INDEX(TourMode_input!$B$20:$J$33,MATCH(TourMode!$A156,modes,0),MATCH("atwork",modePurpose,0))</f>
        <v>1213.3489</v>
      </c>
      <c r="E156" s="113">
        <f>INDEX(TourMode_input!$B$36:$J$49,MATCH(TourMode!$A156,modes,0),MATCH("atwork",modePurpose,0))</f>
        <v>3050.8422799999998</v>
      </c>
      <c r="F156" s="116">
        <f t="shared" si="153"/>
        <v>4768.0247099999997</v>
      </c>
      <c r="G156" s="115"/>
      <c r="H156" s="107" t="s">
        <v>398</v>
      </c>
      <c r="I156" s="113">
        <f>INDEX(TourMode_input!$L$4:$T$17,MATCH(TourMode!$A156,modes,0),MATCH("atwork",modePurpose,0))*Index!$B$2</f>
        <v>755</v>
      </c>
      <c r="J156" s="113">
        <f>INDEX(TourMode_input!$L$20:$T$33,MATCH(TourMode!$A156,modes,0), MATCH("atwork",modePurpose,0))*Index!$B$2</f>
        <v>6940</v>
      </c>
      <c r="K156" s="113">
        <f>INDEX(TourMode_input!$L$36:$T$49,MATCH(TourMode!$A156,modes,0), MATCH("atwork",modePurpose,0))*Index!$B$2</f>
        <v>8365</v>
      </c>
      <c r="L156" s="116">
        <f t="shared" si="154"/>
        <v>16060</v>
      </c>
      <c r="N156" s="107" t="s">
        <v>398</v>
      </c>
      <c r="O156" s="117">
        <f t="shared" si="155"/>
        <v>2.9077851237487962E-2</v>
      </c>
      <c r="P156" s="117">
        <f t="shared" si="156"/>
        <v>1.5471013271849104E-2</v>
      </c>
      <c r="Q156" s="117">
        <f t="shared" si="157"/>
        <v>9.5346021126011538E-3</v>
      </c>
      <c r="R156" s="118">
        <f t="shared" si="158"/>
        <v>1.146903804721937E-2</v>
      </c>
      <c r="S156" s="115"/>
      <c r="T156" s="107" t="s">
        <v>398</v>
      </c>
      <c r="U156" s="117">
        <f t="shared" si="159"/>
        <v>2.3645474475414971E-2</v>
      </c>
      <c r="V156" s="117">
        <f t="shared" si="160"/>
        <v>1.6858163091796826E-2</v>
      </c>
      <c r="W156" s="117">
        <f t="shared" si="161"/>
        <v>1.0148065923000868E-2</v>
      </c>
      <c r="X156" s="118">
        <f t="shared" si="162"/>
        <v>1.2666664037637186E-2</v>
      </c>
      <c r="Z156" s="107" t="s">
        <v>398</v>
      </c>
      <c r="AA156" s="113">
        <f t="shared" si="163"/>
        <v>251.16647</v>
      </c>
      <c r="AB156" s="113">
        <f t="shared" si="147"/>
        <v>5726.6511</v>
      </c>
      <c r="AC156" s="113">
        <f t="shared" si="148"/>
        <v>5314.1577200000002</v>
      </c>
      <c r="AD156" s="116">
        <f t="shared" si="149"/>
        <v>11291.97529</v>
      </c>
      <c r="AE156" s="115"/>
      <c r="AF156" s="107" t="s">
        <v>398</v>
      </c>
      <c r="AG156" s="117">
        <f t="shared" si="164"/>
        <v>0.4985108275743379</v>
      </c>
      <c r="AH156" s="117">
        <f t="shared" si="150"/>
        <v>4.7197068378271085</v>
      </c>
      <c r="AI156" s="117">
        <f t="shared" si="151"/>
        <v>1.7418657643619651</v>
      </c>
      <c r="AJ156" s="118">
        <f t="shared" si="152"/>
        <v>2.3682711346519008</v>
      </c>
    </row>
    <row r="157" spans="1:36" x14ac:dyDescent="0.25">
      <c r="A157">
        <v>14</v>
      </c>
      <c r="B157" s="107" t="s">
        <v>399</v>
      </c>
      <c r="C157" s="113">
        <f>INDEX(TourMode_input!$B$4:$J$172,MATCH(TourMode!$A157,modes,0),MATCH("atwork",modePurpose,0))</f>
        <v>0</v>
      </c>
      <c r="D157" s="113">
        <f>INDEX(TourMode_input!$B$20:$J$33,MATCH(TourMode!$A157,modes,0),MATCH("atwork",modePurpose,0))</f>
        <v>72.942440000000005</v>
      </c>
      <c r="E157" s="113">
        <f>INDEX(TourMode_input!$B$36:$J$49,MATCH(TourMode!$A157,modes,0),MATCH("atwork",modePurpose,0))</f>
        <v>752.66250000000002</v>
      </c>
      <c r="F157" s="116">
        <f t="shared" si="153"/>
        <v>825.60494000000006</v>
      </c>
      <c r="G157" s="115"/>
      <c r="H157" s="107" t="s">
        <v>399</v>
      </c>
      <c r="I157" s="113">
        <f>INDEX(TourMode_input!$L$4:$T$17,MATCH(TourMode!$A157,modes,0),MATCH("atwork",modePurpose,0))*Index!$B$2</f>
        <v>0</v>
      </c>
      <c r="J157" s="113">
        <f>INDEX(TourMode_input!$L$20:$T$33,MATCH(TourMode!$A157,modes,0), MATCH("atwork",modePurpose,0))*Index!$B$2</f>
        <v>0</v>
      </c>
      <c r="K157" s="113">
        <f>INDEX(TourMode_input!$L$36:$T$49,MATCH(TourMode!$A157,modes,0), MATCH("atwork",modePurpose,0))*Index!$B$2</f>
        <v>0</v>
      </c>
      <c r="L157" s="116">
        <f t="shared" si="154"/>
        <v>0</v>
      </c>
      <c r="N157" s="107" t="s">
        <v>399</v>
      </c>
      <c r="O157" s="117">
        <f t="shared" si="155"/>
        <v>0</v>
      </c>
      <c r="P157" s="117">
        <f t="shared" si="156"/>
        <v>9.3006509283608126E-4</v>
      </c>
      <c r="Q157" s="117">
        <f t="shared" si="157"/>
        <v>2.3522479380925802E-3</v>
      </c>
      <c r="R157" s="118">
        <f t="shared" si="158"/>
        <v>1.9859155614217164E-3</v>
      </c>
      <c r="S157" s="115"/>
      <c r="T157" s="107" t="s">
        <v>399</v>
      </c>
      <c r="U157" s="117">
        <f t="shared" si="159"/>
        <v>0</v>
      </c>
      <c r="V157" s="117">
        <f t="shared" si="160"/>
        <v>0</v>
      </c>
      <c r="W157" s="117">
        <f t="shared" si="161"/>
        <v>0</v>
      </c>
      <c r="X157" s="118">
        <f t="shared" si="162"/>
        <v>0</v>
      </c>
      <c r="Z157" s="107" t="s">
        <v>399</v>
      </c>
      <c r="AA157" s="113">
        <f t="shared" si="163"/>
        <v>0</v>
      </c>
      <c r="AB157" s="113">
        <f t="shared" si="147"/>
        <v>-72.942440000000005</v>
      </c>
      <c r="AC157" s="113">
        <f t="shared" si="148"/>
        <v>-752.66250000000002</v>
      </c>
      <c r="AD157" s="116">
        <f t="shared" si="149"/>
        <v>-825.60494000000006</v>
      </c>
      <c r="AE157" s="115"/>
      <c r="AF157" s="107" t="s">
        <v>399</v>
      </c>
      <c r="AG157" s="117">
        <f t="shared" si="164"/>
        <v>0</v>
      </c>
      <c r="AH157" s="117">
        <f t="shared" si="150"/>
        <v>-1</v>
      </c>
      <c r="AI157" s="117">
        <f t="shared" si="151"/>
        <v>-1</v>
      </c>
      <c r="AJ157" s="118">
        <f t="shared" si="152"/>
        <v>-1</v>
      </c>
    </row>
    <row r="158" spans="1:36" ht="15.75" thickBot="1" x14ac:dyDescent="0.3">
      <c r="B158" s="108" t="s">
        <v>29</v>
      </c>
      <c r="C158" s="109">
        <f>SUM(C144:C157)</f>
        <v>17327.055079999998</v>
      </c>
      <c r="D158" s="110">
        <f>SUM(D144:D157)</f>
        <v>78427.241880000001</v>
      </c>
      <c r="E158" s="111">
        <f>SUM(E144:E157)</f>
        <v>319975.8358</v>
      </c>
      <c r="F158" s="112">
        <f>SUM(F144:F157)</f>
        <v>415730.13276000001</v>
      </c>
      <c r="H158" s="108" t="s">
        <v>29</v>
      </c>
      <c r="I158" s="109">
        <f>SUM(I144:I157)</f>
        <v>31930</v>
      </c>
      <c r="J158" s="110">
        <f>SUM(J144:J157)</f>
        <v>411670</v>
      </c>
      <c r="K158" s="111">
        <f>SUM(K144:K157)</f>
        <v>824295</v>
      </c>
      <c r="L158" s="112">
        <f>SUM(L144:L157)</f>
        <v>1267895</v>
      </c>
      <c r="N158" s="108" t="s">
        <v>29</v>
      </c>
      <c r="O158" s="120">
        <f t="shared" si="155"/>
        <v>1</v>
      </c>
      <c r="P158" s="121">
        <f t="shared" si="156"/>
        <v>1</v>
      </c>
      <c r="Q158" s="122">
        <f t="shared" si="157"/>
        <v>1</v>
      </c>
      <c r="R158" s="123">
        <f t="shared" si="158"/>
        <v>1</v>
      </c>
      <c r="T158" s="108" t="s">
        <v>29</v>
      </c>
      <c r="U158" s="120">
        <f t="shared" si="159"/>
        <v>1</v>
      </c>
      <c r="V158" s="121">
        <f t="shared" si="160"/>
        <v>1</v>
      </c>
      <c r="W158" s="122">
        <f t="shared" si="161"/>
        <v>1</v>
      </c>
      <c r="X158" s="123">
        <f t="shared" si="162"/>
        <v>1</v>
      </c>
      <c r="Z158" s="108" t="s">
        <v>29</v>
      </c>
      <c r="AA158" s="109">
        <f t="shared" si="163"/>
        <v>14602.944920000002</v>
      </c>
      <c r="AB158" s="110">
        <f t="shared" si="147"/>
        <v>333242.75812000001</v>
      </c>
      <c r="AC158" s="111">
        <f t="shared" si="148"/>
        <v>504319.1642</v>
      </c>
      <c r="AD158" s="112">
        <f t="shared" si="149"/>
        <v>852164.86724000005</v>
      </c>
      <c r="AF158" s="108" t="s">
        <v>29</v>
      </c>
      <c r="AG158" s="117">
        <f t="shared" si="164"/>
        <v>0.84278285332258573</v>
      </c>
      <c r="AH158" s="117">
        <f t="shared" si="150"/>
        <v>4.2490689476226677</v>
      </c>
      <c r="AI158" s="117">
        <f t="shared" si="151"/>
        <v>1.5761164056001506</v>
      </c>
      <c r="AJ158" s="118">
        <f t="shared" si="152"/>
        <v>2.0498029853706869</v>
      </c>
    </row>
    <row r="160" spans="1:36" ht="26.25" x14ac:dyDescent="0.4">
      <c r="A160" s="150" t="s">
        <v>29</v>
      </c>
    </row>
    <row r="161" spans="1:36" ht="26.25" x14ac:dyDescent="0.25">
      <c r="B161" s="102" t="s">
        <v>134</v>
      </c>
      <c r="C161" s="103" t="s">
        <v>135</v>
      </c>
      <c r="D161" s="104" t="s">
        <v>136</v>
      </c>
      <c r="E161" s="105" t="s">
        <v>137</v>
      </c>
      <c r="F161" s="106" t="s">
        <v>29</v>
      </c>
      <c r="H161" s="102" t="s">
        <v>134</v>
      </c>
      <c r="I161" s="103" t="s">
        <v>135</v>
      </c>
      <c r="J161" s="104" t="s">
        <v>136</v>
      </c>
      <c r="K161" s="105" t="s">
        <v>137</v>
      </c>
      <c r="L161" s="106" t="s">
        <v>29</v>
      </c>
      <c r="N161" s="102" t="s">
        <v>134</v>
      </c>
      <c r="O161" s="103" t="s">
        <v>135</v>
      </c>
      <c r="P161" s="104" t="s">
        <v>136</v>
      </c>
      <c r="Q161" s="105" t="s">
        <v>137</v>
      </c>
      <c r="R161" s="106" t="s">
        <v>29</v>
      </c>
      <c r="T161" s="102" t="s">
        <v>134</v>
      </c>
      <c r="U161" s="103" t="s">
        <v>135</v>
      </c>
      <c r="V161" s="104" t="s">
        <v>136</v>
      </c>
      <c r="W161" s="105" t="s">
        <v>137</v>
      </c>
      <c r="X161" s="106" t="s">
        <v>29</v>
      </c>
      <c r="Z161" s="102" t="s">
        <v>134</v>
      </c>
      <c r="AA161" s="103" t="s">
        <v>135</v>
      </c>
      <c r="AB161" s="104" t="s">
        <v>136</v>
      </c>
      <c r="AC161" s="105" t="s">
        <v>137</v>
      </c>
      <c r="AD161" s="106" t="s">
        <v>29</v>
      </c>
      <c r="AF161" s="102" t="s">
        <v>134</v>
      </c>
      <c r="AG161" s="103" t="s">
        <v>135</v>
      </c>
      <c r="AH161" s="104" t="s">
        <v>136</v>
      </c>
      <c r="AI161" s="105" t="s">
        <v>137</v>
      </c>
      <c r="AJ161" s="106" t="s">
        <v>29</v>
      </c>
    </row>
    <row r="162" spans="1:36" x14ac:dyDescent="0.25">
      <c r="A162">
        <v>1</v>
      </c>
      <c r="B162" s="107" t="s">
        <v>386</v>
      </c>
      <c r="C162" s="113">
        <f t="shared" ref="C162:E175" si="165">C6+C24+C42+C76+C93+C110+C127+C144+C59</f>
        <v>11813.489150000001</v>
      </c>
      <c r="D162" s="113">
        <f t="shared" si="165"/>
        <v>779556.79033999995</v>
      </c>
      <c r="E162" s="113">
        <f t="shared" si="165"/>
        <v>3827577.8150000004</v>
      </c>
      <c r="F162" s="114">
        <f>SUM(C162:E162)</f>
        <v>4618948.09449</v>
      </c>
      <c r="G162" s="115"/>
      <c r="H162" s="107" t="s">
        <v>386</v>
      </c>
      <c r="I162" s="113">
        <f t="shared" ref="I162:K175" si="166">I6+I24+I42+I76+I93+I110+I127+I144+I59</f>
        <v>0</v>
      </c>
      <c r="J162" s="113">
        <f t="shared" si="166"/>
        <v>1578595</v>
      </c>
      <c r="K162" s="113">
        <f t="shared" si="166"/>
        <v>4132315</v>
      </c>
      <c r="L162" s="114">
        <f>SUM(I162:K162)</f>
        <v>5710910</v>
      </c>
      <c r="N162" s="107" t="s">
        <v>386</v>
      </c>
      <c r="O162" s="117">
        <f>C162/C$176</f>
        <v>2.0213684273690791E-2</v>
      </c>
      <c r="P162" s="117">
        <f>D162/D$176</f>
        <v>0.29753167747414738</v>
      </c>
      <c r="Q162" s="117">
        <f>E162/E$176</f>
        <v>0.49240033659600918</v>
      </c>
      <c r="R162" s="118">
        <f>F162/F$176</f>
        <v>0.42075295892691272</v>
      </c>
      <c r="S162" s="115"/>
      <c r="T162" s="107" t="s">
        <v>386</v>
      </c>
      <c r="U162" s="117">
        <f>I162/I$176</f>
        <v>0</v>
      </c>
      <c r="V162" s="117">
        <f>J162/J$176</f>
        <v>0.31183971395835802</v>
      </c>
      <c r="W162" s="117">
        <f>K162/K$176</f>
        <v>0.47854665850620748</v>
      </c>
      <c r="X162" s="118">
        <f>L162/L$176</f>
        <v>0.39372661112627855</v>
      </c>
      <c r="Z162" s="107" t="s">
        <v>386</v>
      </c>
      <c r="AA162" s="113">
        <f>I162-C162</f>
        <v>-11813.489150000001</v>
      </c>
      <c r="AB162" s="113">
        <f t="shared" ref="AB162:AB176" si="167">J162-D162</f>
        <v>799038.20966000005</v>
      </c>
      <c r="AC162" s="113">
        <f t="shared" ref="AC162:AC176" si="168">K162-E162</f>
        <v>304737.18499999959</v>
      </c>
      <c r="AD162" s="114">
        <f t="shared" ref="AD162:AD176" si="169">L162-F162</f>
        <v>1091961.90551</v>
      </c>
      <c r="AE162" s="115"/>
      <c r="AF162" s="107" t="s">
        <v>386</v>
      </c>
      <c r="AG162" s="117">
        <f>IF(C162=0, 0,AA162/C162)</f>
        <v>-1</v>
      </c>
      <c r="AH162" s="117">
        <f t="shared" ref="AH162:AH176" si="170">IF(D162=0, 0,AB162/D162)</f>
        <v>1.0249903785861494</v>
      </c>
      <c r="AI162" s="117">
        <f t="shared" ref="AI162:AI176" si="171">IF(E162=0, 0,AC162/E162)</f>
        <v>7.961619586302246E-2</v>
      </c>
      <c r="AJ162" s="118">
        <f t="shared" ref="AJ162:AJ176" si="172">IF(F162=0, 0,AD162/F162)</f>
        <v>0.23640921767720549</v>
      </c>
    </row>
    <row r="163" spans="1:36" x14ac:dyDescent="0.25">
      <c r="A163">
        <v>2</v>
      </c>
      <c r="B163" s="107" t="s">
        <v>387</v>
      </c>
      <c r="C163" s="113">
        <f t="shared" si="165"/>
        <v>217.90326999999999</v>
      </c>
      <c r="D163" s="113">
        <f t="shared" si="165"/>
        <v>16968.35341</v>
      </c>
      <c r="E163" s="113">
        <f t="shared" si="165"/>
        <v>177164.67748999997</v>
      </c>
      <c r="F163" s="116">
        <f t="shared" ref="F163:F175" si="173">SUM(C163:E163)</f>
        <v>194350.93416999996</v>
      </c>
      <c r="G163" s="115"/>
      <c r="H163" s="107" t="s">
        <v>387</v>
      </c>
      <c r="I163" s="113">
        <f t="shared" si="166"/>
        <v>0</v>
      </c>
      <c r="J163" s="113">
        <f t="shared" si="166"/>
        <v>148120</v>
      </c>
      <c r="K163" s="113">
        <f t="shared" si="166"/>
        <v>370725</v>
      </c>
      <c r="L163" s="116">
        <f t="shared" ref="L163:L175" si="174">SUM(I163:K163)</f>
        <v>518845</v>
      </c>
      <c r="N163" s="107" t="s">
        <v>387</v>
      </c>
      <c r="O163" s="117">
        <f t="shared" ref="O163:O176" si="175">C163/C$176</f>
        <v>3.7284733122092026E-4</v>
      </c>
      <c r="P163" s="117">
        <f t="shared" ref="P163:P176" si="176">D163/D$176</f>
        <v>6.4762730780005603E-3</v>
      </c>
      <c r="Q163" s="117">
        <f t="shared" ref="Q163:Q176" si="177">E163/E$176</f>
        <v>2.2791423465547335E-2</v>
      </c>
      <c r="R163" s="118">
        <f t="shared" ref="R163:R176" si="178">F163/F$176</f>
        <v>1.7703972625236035E-2</v>
      </c>
      <c r="S163" s="115"/>
      <c r="T163" s="107" t="s">
        <v>387</v>
      </c>
      <c r="U163" s="117">
        <f t="shared" ref="U163:U176" si="179">I163/I$176</f>
        <v>0</v>
      </c>
      <c r="V163" s="117">
        <f t="shared" ref="V163:V176" si="180">J163/J$176</f>
        <v>2.9260005531191971E-2</v>
      </c>
      <c r="W163" s="117">
        <f t="shared" ref="W163:W176" si="181">K163/K$176</f>
        <v>4.2932160296277937E-2</v>
      </c>
      <c r="X163" s="118">
        <f t="shared" ref="X163:X176" si="182">L163/L$176</f>
        <v>3.5770671145196477E-2</v>
      </c>
      <c r="Z163" s="107" t="s">
        <v>387</v>
      </c>
      <c r="AA163" s="113">
        <f t="shared" ref="AA163:AA176" si="183">I163-C163</f>
        <v>-217.90326999999999</v>
      </c>
      <c r="AB163" s="113">
        <f t="shared" si="167"/>
        <v>131151.64658999999</v>
      </c>
      <c r="AC163" s="113">
        <f t="shared" si="168"/>
        <v>193560.32251000003</v>
      </c>
      <c r="AD163" s="116">
        <f t="shared" si="169"/>
        <v>324494.06583000004</v>
      </c>
      <c r="AE163" s="115"/>
      <c r="AF163" s="107" t="s">
        <v>387</v>
      </c>
      <c r="AG163" s="117">
        <f t="shared" ref="AG163:AG176" si="184">IF(C163=0, 0,AA163/C163)</f>
        <v>-1</v>
      </c>
      <c r="AH163" s="117">
        <f t="shared" si="170"/>
        <v>7.7291911254458006</v>
      </c>
      <c r="AI163" s="117">
        <f t="shared" si="171"/>
        <v>1.0925446610028995</v>
      </c>
      <c r="AJ163" s="118">
        <f t="shared" si="172"/>
        <v>1.669629565794436</v>
      </c>
    </row>
    <row r="164" spans="1:36" x14ac:dyDescent="0.25">
      <c r="A164">
        <v>3</v>
      </c>
      <c r="B164" s="107" t="s">
        <v>388</v>
      </c>
      <c r="C164" s="113">
        <f t="shared" si="165"/>
        <v>61304.621469999998</v>
      </c>
      <c r="D164" s="113">
        <f t="shared" si="165"/>
        <v>564466.08261000004</v>
      </c>
      <c r="E164" s="113">
        <f t="shared" si="165"/>
        <v>1288651.9312800001</v>
      </c>
      <c r="F164" s="116">
        <f t="shared" si="173"/>
        <v>1914422.6353600002</v>
      </c>
      <c r="G164" s="115"/>
      <c r="H164" s="107" t="s">
        <v>388</v>
      </c>
      <c r="I164" s="113">
        <f t="shared" si="166"/>
        <v>109015</v>
      </c>
      <c r="J164" s="113">
        <f t="shared" si="166"/>
        <v>1035560</v>
      </c>
      <c r="K164" s="113">
        <f t="shared" si="166"/>
        <v>1431770</v>
      </c>
      <c r="L164" s="116">
        <f t="shared" si="174"/>
        <v>2576345</v>
      </c>
      <c r="N164" s="107" t="s">
        <v>388</v>
      </c>
      <c r="O164" s="117">
        <f t="shared" si="175"/>
        <v>0.10489638134663253</v>
      </c>
      <c r="P164" s="117">
        <f t="shared" si="176"/>
        <v>0.21543849340721524</v>
      </c>
      <c r="Q164" s="117">
        <f t="shared" si="177"/>
        <v>0.16577916253738378</v>
      </c>
      <c r="R164" s="118">
        <f t="shared" si="178"/>
        <v>0.17439013645233808</v>
      </c>
      <c r="S164" s="115"/>
      <c r="T164" s="107" t="s">
        <v>388</v>
      </c>
      <c r="U164" s="117">
        <f t="shared" si="179"/>
        <v>0.13501563612719447</v>
      </c>
      <c r="V164" s="117">
        <f t="shared" si="180"/>
        <v>0.20456718422820117</v>
      </c>
      <c r="W164" s="117">
        <f t="shared" si="181"/>
        <v>0.16580748303298096</v>
      </c>
      <c r="X164" s="118">
        <f t="shared" si="182"/>
        <v>0.17762065694296217</v>
      </c>
      <c r="Z164" s="107" t="s">
        <v>388</v>
      </c>
      <c r="AA164" s="113">
        <f t="shared" si="183"/>
        <v>47710.378530000002</v>
      </c>
      <c r="AB164" s="113">
        <f t="shared" si="167"/>
        <v>471093.91738999996</v>
      </c>
      <c r="AC164" s="113">
        <f t="shared" si="168"/>
        <v>143118.06871999986</v>
      </c>
      <c r="AD164" s="116">
        <f t="shared" si="169"/>
        <v>661922.36463999981</v>
      </c>
      <c r="AE164" s="115"/>
      <c r="AF164" s="107" t="s">
        <v>388</v>
      </c>
      <c r="AG164" s="117">
        <f t="shared" si="184"/>
        <v>0.77825092767838933</v>
      </c>
      <c r="AH164" s="117">
        <f t="shared" si="170"/>
        <v>0.83458321394925583</v>
      </c>
      <c r="AI164" s="117">
        <f t="shared" si="171"/>
        <v>0.11106029894188935</v>
      </c>
      <c r="AJ164" s="118">
        <f t="shared" si="172"/>
        <v>0.34575560924431281</v>
      </c>
    </row>
    <row r="165" spans="1:36" x14ac:dyDescent="0.25">
      <c r="A165">
        <v>4</v>
      </c>
      <c r="B165" s="107" t="s">
        <v>389</v>
      </c>
      <c r="C165" s="113">
        <f t="shared" si="165"/>
        <v>164.38015999999999</v>
      </c>
      <c r="D165" s="113">
        <f t="shared" si="165"/>
        <v>8123.5293500000007</v>
      </c>
      <c r="E165" s="113">
        <f t="shared" si="165"/>
        <v>27393.11391</v>
      </c>
      <c r="F165" s="116">
        <f t="shared" si="173"/>
        <v>35681.023419999998</v>
      </c>
      <c r="G165" s="115"/>
      <c r="H165" s="107" t="s">
        <v>389</v>
      </c>
      <c r="I165" s="113">
        <f t="shared" si="166"/>
        <v>2795</v>
      </c>
      <c r="J165" s="113">
        <f t="shared" si="166"/>
        <v>38945</v>
      </c>
      <c r="K165" s="113">
        <f t="shared" si="166"/>
        <v>45070</v>
      </c>
      <c r="L165" s="116">
        <f t="shared" si="174"/>
        <v>86810</v>
      </c>
      <c r="N165" s="107" t="s">
        <v>389</v>
      </c>
      <c r="O165" s="117">
        <f t="shared" si="175"/>
        <v>2.8126564581462161E-4</v>
      </c>
      <c r="P165" s="117">
        <f t="shared" si="176"/>
        <v>3.100489078495236E-3</v>
      </c>
      <c r="Q165" s="117">
        <f t="shared" si="177"/>
        <v>3.5239985081000425E-3</v>
      </c>
      <c r="R165" s="118">
        <f t="shared" si="178"/>
        <v>3.2502846696663549E-3</v>
      </c>
      <c r="S165" s="115"/>
      <c r="T165" s="107" t="s">
        <v>389</v>
      </c>
      <c r="U165" s="117">
        <f t="shared" si="179"/>
        <v>3.4616218224602906E-3</v>
      </c>
      <c r="V165" s="117">
        <f t="shared" si="180"/>
        <v>7.6932954051598121E-3</v>
      </c>
      <c r="W165" s="117">
        <f t="shared" si="181"/>
        <v>5.2193741035895793E-3</v>
      </c>
      <c r="X165" s="118">
        <f t="shared" si="182"/>
        <v>5.9849318430639318E-3</v>
      </c>
      <c r="Z165" s="107" t="s">
        <v>389</v>
      </c>
      <c r="AA165" s="113">
        <f t="shared" si="183"/>
        <v>2630.6198399999998</v>
      </c>
      <c r="AB165" s="113">
        <f t="shared" si="167"/>
        <v>30821.470649999999</v>
      </c>
      <c r="AC165" s="113">
        <f t="shared" si="168"/>
        <v>17676.88609</v>
      </c>
      <c r="AD165" s="116">
        <f t="shared" si="169"/>
        <v>51128.976580000002</v>
      </c>
      <c r="AE165" s="115"/>
      <c r="AF165" s="107" t="s">
        <v>389</v>
      </c>
      <c r="AG165" s="117">
        <f t="shared" si="184"/>
        <v>16.003268520969929</v>
      </c>
      <c r="AH165" s="117">
        <f t="shared" si="170"/>
        <v>3.7940985158132032</v>
      </c>
      <c r="AI165" s="117">
        <f t="shared" si="171"/>
        <v>0.64530400406749522</v>
      </c>
      <c r="AJ165" s="118">
        <f t="shared" si="172"/>
        <v>1.4329459101596589</v>
      </c>
    </row>
    <row r="166" spans="1:36" x14ac:dyDescent="0.25">
      <c r="A166">
        <v>5</v>
      </c>
      <c r="B166" s="107" t="s">
        <v>390</v>
      </c>
      <c r="C166" s="113">
        <f t="shared" si="165"/>
        <v>23016.56637</v>
      </c>
      <c r="D166" s="113">
        <f t="shared" si="165"/>
        <v>402111.02718999994</v>
      </c>
      <c r="E166" s="113">
        <f t="shared" si="165"/>
        <v>1233347.0750500001</v>
      </c>
      <c r="F166" s="116">
        <f t="shared" si="173"/>
        <v>1658474.6686100001</v>
      </c>
      <c r="G166" s="115"/>
      <c r="H166" s="107" t="s">
        <v>390</v>
      </c>
      <c r="I166" s="113">
        <f t="shared" si="166"/>
        <v>42560</v>
      </c>
      <c r="J166" s="113">
        <f t="shared" si="166"/>
        <v>747920</v>
      </c>
      <c r="K166" s="113">
        <f t="shared" si="166"/>
        <v>1347245</v>
      </c>
      <c r="L166" s="116">
        <f t="shared" si="174"/>
        <v>2137725</v>
      </c>
      <c r="N166" s="107" t="s">
        <v>390</v>
      </c>
      <c r="O166" s="117">
        <f t="shared" si="175"/>
        <v>3.9382912174395934E-2</v>
      </c>
      <c r="P166" s="117">
        <f t="shared" si="176"/>
        <v>0.15347280651421485</v>
      </c>
      <c r="Q166" s="117">
        <f t="shared" si="177"/>
        <v>0.15866444635412941</v>
      </c>
      <c r="R166" s="118">
        <f t="shared" si="178"/>
        <v>0.15107511707165802</v>
      </c>
      <c r="S166" s="115"/>
      <c r="T166" s="107" t="s">
        <v>390</v>
      </c>
      <c r="U166" s="117">
        <f t="shared" si="179"/>
        <v>5.2710778090844353E-2</v>
      </c>
      <c r="V166" s="117">
        <f t="shared" si="180"/>
        <v>0.14774603927146299</v>
      </c>
      <c r="W166" s="117">
        <f t="shared" si="181"/>
        <v>0.15601898522721416</v>
      </c>
      <c r="X166" s="118">
        <f t="shared" si="182"/>
        <v>0.14738092874339181</v>
      </c>
      <c r="Z166" s="107" t="s">
        <v>390</v>
      </c>
      <c r="AA166" s="113">
        <f t="shared" si="183"/>
        <v>19543.43363</v>
      </c>
      <c r="AB166" s="113">
        <f t="shared" si="167"/>
        <v>345808.97281000006</v>
      </c>
      <c r="AC166" s="113">
        <f t="shared" si="168"/>
        <v>113897.9249499999</v>
      </c>
      <c r="AD166" s="116">
        <f t="shared" si="169"/>
        <v>479250.33138999995</v>
      </c>
      <c r="AE166" s="115"/>
      <c r="AF166" s="107" t="s">
        <v>390</v>
      </c>
      <c r="AG166" s="117">
        <f t="shared" si="184"/>
        <v>0.84910291638778435</v>
      </c>
      <c r="AH166" s="117">
        <f t="shared" si="170"/>
        <v>0.85998380901552152</v>
      </c>
      <c r="AI166" s="117">
        <f t="shared" si="171"/>
        <v>9.2348639936071897E-2</v>
      </c>
      <c r="AJ166" s="118">
        <f t="shared" si="172"/>
        <v>0.28897054652735155</v>
      </c>
    </row>
    <row r="167" spans="1:36" x14ac:dyDescent="0.25">
      <c r="A167">
        <v>6</v>
      </c>
      <c r="B167" s="107" t="s">
        <v>391</v>
      </c>
      <c r="C167" s="113">
        <f t="shared" si="165"/>
        <v>0</v>
      </c>
      <c r="D167" s="113">
        <f t="shared" si="165"/>
        <v>6717.1272599999993</v>
      </c>
      <c r="E167" s="113">
        <f t="shared" si="165"/>
        <v>22482.914819999998</v>
      </c>
      <c r="F167" s="116">
        <f t="shared" si="173"/>
        <v>29200.042079999999</v>
      </c>
      <c r="G167" s="115"/>
      <c r="H167" s="107" t="s">
        <v>391</v>
      </c>
      <c r="I167" s="113">
        <f t="shared" si="166"/>
        <v>1390</v>
      </c>
      <c r="J167" s="113">
        <f t="shared" si="166"/>
        <v>23465</v>
      </c>
      <c r="K167" s="113">
        <f t="shared" si="166"/>
        <v>42580</v>
      </c>
      <c r="L167" s="116">
        <f t="shared" si="174"/>
        <v>67435</v>
      </c>
      <c r="N167" s="107" t="s">
        <v>391</v>
      </c>
      <c r="O167" s="117">
        <f t="shared" si="175"/>
        <v>0</v>
      </c>
      <c r="P167" s="117">
        <f t="shared" si="176"/>
        <v>2.5637107728911728E-3</v>
      </c>
      <c r="Q167" s="117">
        <f t="shared" si="177"/>
        <v>2.8923239082540774E-3</v>
      </c>
      <c r="R167" s="118">
        <f t="shared" si="178"/>
        <v>2.6599138709972703E-3</v>
      </c>
      <c r="S167" s="115"/>
      <c r="T167" s="107" t="s">
        <v>391</v>
      </c>
      <c r="U167" s="117">
        <f t="shared" si="179"/>
        <v>1.7215221227977831E-3</v>
      </c>
      <c r="V167" s="117">
        <f t="shared" si="180"/>
        <v>4.6353364149974317E-3</v>
      </c>
      <c r="W167" s="117">
        <f t="shared" si="181"/>
        <v>4.9310172915652158E-3</v>
      </c>
      <c r="X167" s="118">
        <f t="shared" si="182"/>
        <v>4.6491634470339389E-3</v>
      </c>
      <c r="Z167" s="107" t="s">
        <v>391</v>
      </c>
      <c r="AA167" s="113">
        <f t="shared" si="183"/>
        <v>1390</v>
      </c>
      <c r="AB167" s="113">
        <f t="shared" si="167"/>
        <v>16747.872739999999</v>
      </c>
      <c r="AC167" s="113">
        <f t="shared" si="168"/>
        <v>20097.085180000002</v>
      </c>
      <c r="AD167" s="116">
        <f t="shared" si="169"/>
        <v>38234.957920000001</v>
      </c>
      <c r="AE167" s="115"/>
      <c r="AF167" s="107" t="s">
        <v>391</v>
      </c>
      <c r="AG167" s="117">
        <f t="shared" si="184"/>
        <v>0</v>
      </c>
      <c r="AH167" s="117">
        <f t="shared" si="170"/>
        <v>2.4933088345269789</v>
      </c>
      <c r="AI167" s="117">
        <f t="shared" si="171"/>
        <v>0.89388254774342479</v>
      </c>
      <c r="AJ167" s="118">
        <f t="shared" si="172"/>
        <v>1.3094144801314616</v>
      </c>
    </row>
    <row r="168" spans="1:36" x14ac:dyDescent="0.25">
      <c r="A168">
        <v>7</v>
      </c>
      <c r="B168" s="107" t="s">
        <v>392</v>
      </c>
      <c r="C168" s="113">
        <f t="shared" si="165"/>
        <v>191755.45868000001</v>
      </c>
      <c r="D168" s="113">
        <f t="shared" si="165"/>
        <v>393917.98089999997</v>
      </c>
      <c r="E168" s="113">
        <f t="shared" si="165"/>
        <v>429041.80814000004</v>
      </c>
      <c r="F168" s="116">
        <f t="shared" si="173"/>
        <v>1014715.2477200001</v>
      </c>
      <c r="G168" s="115"/>
      <c r="H168" s="107" t="s">
        <v>392</v>
      </c>
      <c r="I168" s="113">
        <f t="shared" si="166"/>
        <v>373630</v>
      </c>
      <c r="J168" s="113">
        <f t="shared" si="166"/>
        <v>996540</v>
      </c>
      <c r="K168" s="113">
        <f t="shared" si="166"/>
        <v>650670</v>
      </c>
      <c r="L168" s="116">
        <f t="shared" si="174"/>
        <v>2020840</v>
      </c>
      <c r="N168" s="107" t="s">
        <v>392</v>
      </c>
      <c r="O168" s="117">
        <f t="shared" si="175"/>
        <v>0.3281066457418535</v>
      </c>
      <c r="P168" s="117">
        <f t="shared" si="176"/>
        <v>0.15034578506241808</v>
      </c>
      <c r="Q168" s="117">
        <f t="shared" si="177"/>
        <v>5.519426147627423E-2</v>
      </c>
      <c r="R168" s="118">
        <f t="shared" si="178"/>
        <v>9.2433262771615149E-2</v>
      </c>
      <c r="S168" s="115"/>
      <c r="T168" s="107" t="s">
        <v>392</v>
      </c>
      <c r="U168" s="117">
        <f t="shared" si="179"/>
        <v>0.46274266959779548</v>
      </c>
      <c r="V168" s="117">
        <f t="shared" si="180"/>
        <v>0.19685907313025958</v>
      </c>
      <c r="W168" s="117">
        <f t="shared" si="181"/>
        <v>7.5351456578270054E-2</v>
      </c>
      <c r="X168" s="118">
        <f t="shared" si="182"/>
        <v>0.13932253963526456</v>
      </c>
      <c r="Z168" s="107" t="s">
        <v>392</v>
      </c>
      <c r="AA168" s="113">
        <f t="shared" si="183"/>
        <v>181874.54131999999</v>
      </c>
      <c r="AB168" s="113">
        <f t="shared" si="167"/>
        <v>602622.01910000003</v>
      </c>
      <c r="AC168" s="113">
        <f t="shared" si="168"/>
        <v>221628.19185999996</v>
      </c>
      <c r="AD168" s="116">
        <f t="shared" si="169"/>
        <v>1006124.7522799999</v>
      </c>
      <c r="AE168" s="115"/>
      <c r="AF168" s="107" t="s">
        <v>392</v>
      </c>
      <c r="AG168" s="117">
        <f t="shared" si="184"/>
        <v>0.9484712590295058</v>
      </c>
      <c r="AH168" s="117">
        <f t="shared" si="170"/>
        <v>1.5298159726630547</v>
      </c>
      <c r="AI168" s="117">
        <f t="shared" si="171"/>
        <v>0.51656549001788832</v>
      </c>
      <c r="AJ168" s="118">
        <f t="shared" si="172"/>
        <v>0.99153408263125786</v>
      </c>
    </row>
    <row r="169" spans="1:36" x14ac:dyDescent="0.25">
      <c r="A169">
        <v>8</v>
      </c>
      <c r="B169" s="107" t="s">
        <v>393</v>
      </c>
      <c r="C169" s="113">
        <f t="shared" si="165"/>
        <v>25218.371569999999</v>
      </c>
      <c r="D169" s="113">
        <f t="shared" si="165"/>
        <v>56643.957100000007</v>
      </c>
      <c r="E169" s="113">
        <f t="shared" si="165"/>
        <v>59726.509209999997</v>
      </c>
      <c r="F169" s="116">
        <f t="shared" si="173"/>
        <v>141588.83788000001</v>
      </c>
      <c r="G169" s="115"/>
      <c r="H169" s="107" t="s">
        <v>393</v>
      </c>
      <c r="I169" s="113">
        <f t="shared" si="166"/>
        <v>55260</v>
      </c>
      <c r="J169" s="113">
        <f t="shared" si="166"/>
        <v>121100</v>
      </c>
      <c r="K169" s="113">
        <f t="shared" si="166"/>
        <v>77355</v>
      </c>
      <c r="L169" s="116">
        <f t="shared" si="174"/>
        <v>253715</v>
      </c>
      <c r="N169" s="107" t="s">
        <v>393</v>
      </c>
      <c r="O169" s="117">
        <f t="shared" si="175"/>
        <v>4.3150350784602859E-2</v>
      </c>
      <c r="P169" s="117">
        <f t="shared" si="176"/>
        <v>2.1619171025867308E-2</v>
      </c>
      <c r="Q169" s="117">
        <f t="shared" si="177"/>
        <v>7.6835415660148083E-3</v>
      </c>
      <c r="R169" s="118">
        <f t="shared" si="178"/>
        <v>1.2897725038326239E-2</v>
      </c>
      <c r="S169" s="115"/>
      <c r="T169" s="107" t="s">
        <v>393</v>
      </c>
      <c r="U169" s="117">
        <f t="shared" si="179"/>
        <v>6.8439793169644242E-2</v>
      </c>
      <c r="V169" s="117">
        <f t="shared" si="180"/>
        <v>2.3922405278337482E-2</v>
      </c>
      <c r="W169" s="117">
        <f t="shared" si="181"/>
        <v>8.9581691542749472E-3</v>
      </c>
      <c r="X169" s="118">
        <f t="shared" si="182"/>
        <v>1.7491844056709661E-2</v>
      </c>
      <c r="Z169" s="107" t="s">
        <v>393</v>
      </c>
      <c r="AA169" s="113">
        <f t="shared" si="183"/>
        <v>30041.628430000001</v>
      </c>
      <c r="AB169" s="113">
        <f t="shared" si="167"/>
        <v>64456.042899999993</v>
      </c>
      <c r="AC169" s="113">
        <f t="shared" si="168"/>
        <v>17628.490790000003</v>
      </c>
      <c r="AD169" s="116">
        <f t="shared" si="169"/>
        <v>112126.16211999999</v>
      </c>
      <c r="AE169" s="115"/>
      <c r="AF169" s="107" t="s">
        <v>393</v>
      </c>
      <c r="AG169" s="117">
        <f t="shared" si="184"/>
        <v>1.1912596476188728</v>
      </c>
      <c r="AH169" s="117">
        <f t="shared" si="170"/>
        <v>1.137915608300607</v>
      </c>
      <c r="AI169" s="117">
        <f t="shared" si="171"/>
        <v>0.29515354275967748</v>
      </c>
      <c r="AJ169" s="118">
        <f t="shared" si="172"/>
        <v>0.79191385280688331</v>
      </c>
    </row>
    <row r="170" spans="1:36" x14ac:dyDescent="0.25">
      <c r="A170">
        <v>9</v>
      </c>
      <c r="B170" s="107" t="s">
        <v>394</v>
      </c>
      <c r="C170" s="113">
        <f t="shared" si="165"/>
        <v>0</v>
      </c>
      <c r="D170" s="113">
        <f t="shared" si="165"/>
        <v>0</v>
      </c>
      <c r="E170" s="113">
        <f t="shared" si="165"/>
        <v>0</v>
      </c>
      <c r="F170" s="116">
        <f t="shared" si="173"/>
        <v>0</v>
      </c>
      <c r="G170" s="115"/>
      <c r="H170" s="107" t="s">
        <v>394</v>
      </c>
      <c r="I170" s="113">
        <f t="shared" si="166"/>
        <v>0</v>
      </c>
      <c r="J170" s="113">
        <f t="shared" si="166"/>
        <v>0</v>
      </c>
      <c r="K170" s="113">
        <f t="shared" si="166"/>
        <v>0</v>
      </c>
      <c r="L170" s="116">
        <f t="shared" si="174"/>
        <v>0</v>
      </c>
      <c r="N170" s="107" t="s">
        <v>394</v>
      </c>
      <c r="O170" s="117">
        <f t="shared" si="175"/>
        <v>0</v>
      </c>
      <c r="P170" s="117">
        <f t="shared" si="176"/>
        <v>0</v>
      </c>
      <c r="Q170" s="117">
        <f t="shared" si="177"/>
        <v>0</v>
      </c>
      <c r="R170" s="118">
        <f t="shared" si="178"/>
        <v>0</v>
      </c>
      <c r="S170" s="115"/>
      <c r="T170" s="107" t="s">
        <v>394</v>
      </c>
      <c r="U170" s="117">
        <f t="shared" si="179"/>
        <v>0</v>
      </c>
      <c r="V170" s="117">
        <f t="shared" si="180"/>
        <v>0</v>
      </c>
      <c r="W170" s="117">
        <f t="shared" si="181"/>
        <v>0</v>
      </c>
      <c r="X170" s="118">
        <f t="shared" si="182"/>
        <v>0</v>
      </c>
      <c r="Z170" s="107" t="s">
        <v>394</v>
      </c>
      <c r="AA170" s="113">
        <f t="shared" si="183"/>
        <v>0</v>
      </c>
      <c r="AB170" s="113">
        <f t="shared" si="167"/>
        <v>0</v>
      </c>
      <c r="AC170" s="113">
        <f t="shared" si="168"/>
        <v>0</v>
      </c>
      <c r="AD170" s="116">
        <f t="shared" si="169"/>
        <v>0</v>
      </c>
      <c r="AE170" s="115"/>
      <c r="AF170" s="107" t="s">
        <v>394</v>
      </c>
      <c r="AG170" s="117">
        <f t="shared" si="184"/>
        <v>0</v>
      </c>
      <c r="AH170" s="117">
        <f t="shared" si="170"/>
        <v>0</v>
      </c>
      <c r="AI170" s="117">
        <f t="shared" si="171"/>
        <v>0</v>
      </c>
      <c r="AJ170" s="118">
        <f t="shared" si="172"/>
        <v>0</v>
      </c>
    </row>
    <row r="171" spans="1:36" x14ac:dyDescent="0.25">
      <c r="A171">
        <v>10</v>
      </c>
      <c r="B171" s="107" t="s">
        <v>395</v>
      </c>
      <c r="C171" s="113">
        <f t="shared" si="165"/>
        <v>234634.70817</v>
      </c>
      <c r="D171" s="113">
        <f t="shared" si="165"/>
        <v>222329.37116000001</v>
      </c>
      <c r="E171" s="113">
        <f t="shared" si="165"/>
        <v>132606.83864999999</v>
      </c>
      <c r="F171" s="116">
        <f t="shared" si="173"/>
        <v>589570.91797999991</v>
      </c>
      <c r="G171" s="115"/>
      <c r="H171" s="107" t="s">
        <v>395</v>
      </c>
      <c r="I171" s="113">
        <f t="shared" si="166"/>
        <v>182855</v>
      </c>
      <c r="J171" s="113">
        <f t="shared" si="166"/>
        <v>147050</v>
      </c>
      <c r="K171" s="113">
        <f t="shared" si="166"/>
        <v>88670</v>
      </c>
      <c r="L171" s="116">
        <f t="shared" si="174"/>
        <v>418575</v>
      </c>
      <c r="N171" s="107" t="s">
        <v>395</v>
      </c>
      <c r="O171" s="117">
        <f t="shared" si="175"/>
        <v>0.40147596111331402</v>
      </c>
      <c r="P171" s="117">
        <f t="shared" si="176"/>
        <v>8.485594837055567E-2</v>
      </c>
      <c r="Q171" s="117">
        <f t="shared" si="177"/>
        <v>1.7059261794836345E-2</v>
      </c>
      <c r="R171" s="118">
        <f t="shared" si="178"/>
        <v>5.3705671326607751E-2</v>
      </c>
      <c r="S171" s="115"/>
      <c r="T171" s="107" t="s">
        <v>395</v>
      </c>
      <c r="U171" s="117">
        <f t="shared" si="179"/>
        <v>0.22646685450661053</v>
      </c>
      <c r="V171" s="117">
        <f t="shared" si="180"/>
        <v>2.9048634980838369E-2</v>
      </c>
      <c r="W171" s="117">
        <f t="shared" si="181"/>
        <v>1.0268513462731041E-2</v>
      </c>
      <c r="X171" s="118">
        <f t="shared" si="182"/>
        <v>2.8857768070619575E-2</v>
      </c>
      <c r="Z171" s="107" t="s">
        <v>395</v>
      </c>
      <c r="AA171" s="113">
        <f t="shared" si="183"/>
        <v>-51779.708169999998</v>
      </c>
      <c r="AB171" s="113">
        <f t="shared" si="167"/>
        <v>-75279.37116000001</v>
      </c>
      <c r="AC171" s="113">
        <f t="shared" si="168"/>
        <v>-43936.838649999991</v>
      </c>
      <c r="AD171" s="116">
        <f t="shared" si="169"/>
        <v>-170995.91797999991</v>
      </c>
      <c r="AE171" s="115"/>
      <c r="AF171" s="107" t="s">
        <v>395</v>
      </c>
      <c r="AG171" s="117">
        <f t="shared" si="184"/>
        <v>-0.22068221949705763</v>
      </c>
      <c r="AH171" s="117">
        <f t="shared" si="170"/>
        <v>-0.33859391031977049</v>
      </c>
      <c r="AI171" s="117">
        <f t="shared" si="171"/>
        <v>-0.33133161982668224</v>
      </c>
      <c r="AJ171" s="118">
        <f t="shared" si="172"/>
        <v>-0.29003451962296523</v>
      </c>
    </row>
    <row r="172" spans="1:36" x14ac:dyDescent="0.25">
      <c r="A172">
        <v>11</v>
      </c>
      <c r="B172" s="107" t="s">
        <v>396</v>
      </c>
      <c r="C172" s="113">
        <f t="shared" si="165"/>
        <v>14689.28024</v>
      </c>
      <c r="D172" s="113">
        <f t="shared" si="165"/>
        <v>27278.334020000002</v>
      </c>
      <c r="E172" s="113">
        <f t="shared" si="165"/>
        <v>39765.830569999998</v>
      </c>
      <c r="F172" s="116">
        <f t="shared" si="173"/>
        <v>81733.444829999993</v>
      </c>
      <c r="G172" s="115"/>
      <c r="H172" s="107" t="s">
        <v>396</v>
      </c>
      <c r="I172" s="113">
        <f t="shared" si="166"/>
        <v>4305</v>
      </c>
      <c r="J172" s="113">
        <f t="shared" si="166"/>
        <v>6120</v>
      </c>
      <c r="K172" s="113">
        <f t="shared" si="166"/>
        <v>8850</v>
      </c>
      <c r="L172" s="116">
        <f t="shared" si="174"/>
        <v>19275</v>
      </c>
      <c r="N172" s="107" t="s">
        <v>396</v>
      </c>
      <c r="O172" s="117">
        <f t="shared" si="175"/>
        <v>2.5134358630965931E-2</v>
      </c>
      <c r="P172" s="117">
        <f t="shared" si="176"/>
        <v>1.0411260065005494E-2</v>
      </c>
      <c r="Q172" s="117">
        <f t="shared" si="177"/>
        <v>5.1156917779574575E-3</v>
      </c>
      <c r="R172" s="118">
        <f t="shared" si="178"/>
        <v>7.4453291208307444E-3</v>
      </c>
      <c r="S172" s="115"/>
      <c r="T172" s="107" t="s">
        <v>396</v>
      </c>
      <c r="U172" s="117">
        <f t="shared" si="179"/>
        <v>5.3317645601758676E-3</v>
      </c>
      <c r="V172" s="117">
        <f t="shared" si="180"/>
        <v>1.2089605309944292E-3</v>
      </c>
      <c r="W172" s="117">
        <f t="shared" si="181"/>
        <v>1.0248826451468333E-3</v>
      </c>
      <c r="X172" s="118">
        <f t="shared" si="182"/>
        <v>1.3288741075343543E-3</v>
      </c>
      <c r="Z172" s="107" t="s">
        <v>396</v>
      </c>
      <c r="AA172" s="113">
        <f t="shared" si="183"/>
        <v>-10384.28024</v>
      </c>
      <c r="AB172" s="113">
        <f t="shared" si="167"/>
        <v>-21158.334020000002</v>
      </c>
      <c r="AC172" s="113">
        <f t="shared" si="168"/>
        <v>-30915.830569999998</v>
      </c>
      <c r="AD172" s="116">
        <f t="shared" si="169"/>
        <v>-62458.444829999993</v>
      </c>
      <c r="AE172" s="115"/>
      <c r="AF172" s="107" t="s">
        <v>396</v>
      </c>
      <c r="AG172" s="117">
        <f t="shared" si="184"/>
        <v>-0.70692913950425118</v>
      </c>
      <c r="AH172" s="117">
        <f t="shared" si="170"/>
        <v>-0.77564612283459389</v>
      </c>
      <c r="AI172" s="117">
        <f t="shared" si="171"/>
        <v>-0.77744712299114938</v>
      </c>
      <c r="AJ172" s="118">
        <f t="shared" si="172"/>
        <v>-0.76417242610915659</v>
      </c>
    </row>
    <row r="173" spans="1:36" x14ac:dyDescent="0.25">
      <c r="A173">
        <v>12</v>
      </c>
      <c r="B173" s="107" t="s">
        <v>397</v>
      </c>
      <c r="C173" s="113">
        <f t="shared" si="165"/>
        <v>1836.42749</v>
      </c>
      <c r="D173" s="113">
        <f t="shared" si="165"/>
        <v>27594.818140000003</v>
      </c>
      <c r="E173" s="113">
        <f t="shared" si="165"/>
        <v>124647.13738</v>
      </c>
      <c r="F173" s="116">
        <f t="shared" si="173"/>
        <v>154078.38300999999</v>
      </c>
      <c r="G173" s="115"/>
      <c r="H173" s="107" t="s">
        <v>397</v>
      </c>
      <c r="I173" s="113">
        <f t="shared" si="166"/>
        <v>0</v>
      </c>
      <c r="J173" s="113">
        <f t="shared" si="166"/>
        <v>6950</v>
      </c>
      <c r="K173" s="113">
        <f t="shared" si="166"/>
        <v>29750</v>
      </c>
      <c r="L173" s="116">
        <f t="shared" si="174"/>
        <v>36700</v>
      </c>
      <c r="N173" s="107" t="s">
        <v>397</v>
      </c>
      <c r="O173" s="117">
        <f t="shared" si="175"/>
        <v>3.1422524711411321E-3</v>
      </c>
      <c r="P173" s="117">
        <f t="shared" si="176"/>
        <v>1.0532051843467793E-2</v>
      </c>
      <c r="Q173" s="117">
        <f t="shared" si="177"/>
        <v>1.6035282721388905E-2</v>
      </c>
      <c r="R173" s="118">
        <f t="shared" si="178"/>
        <v>1.4035432793771136E-2</v>
      </c>
      <c r="S173" s="115"/>
      <c r="T173" s="107" t="s">
        <v>397</v>
      </c>
      <c r="U173" s="117">
        <f t="shared" si="179"/>
        <v>0</v>
      </c>
      <c r="V173" s="117">
        <f t="shared" si="180"/>
        <v>1.3729208644462881E-3</v>
      </c>
      <c r="W173" s="117">
        <f t="shared" si="181"/>
        <v>3.4452269709738179E-3</v>
      </c>
      <c r="X173" s="118">
        <f t="shared" si="182"/>
        <v>2.5302038778993929E-3</v>
      </c>
      <c r="Z173" s="107" t="s">
        <v>397</v>
      </c>
      <c r="AA173" s="113">
        <f t="shared" si="183"/>
        <v>-1836.42749</v>
      </c>
      <c r="AB173" s="113">
        <f t="shared" si="167"/>
        <v>-20644.818140000003</v>
      </c>
      <c r="AC173" s="113">
        <f t="shared" si="168"/>
        <v>-94897.13738</v>
      </c>
      <c r="AD173" s="116">
        <f t="shared" si="169"/>
        <v>-117378.38300999999</v>
      </c>
      <c r="AE173" s="115"/>
      <c r="AF173" s="107" t="s">
        <v>397</v>
      </c>
      <c r="AG173" s="117">
        <f t="shared" si="184"/>
        <v>-1</v>
      </c>
      <c r="AH173" s="117">
        <f t="shared" si="170"/>
        <v>-0.74814111965732999</v>
      </c>
      <c r="AI173" s="117">
        <f t="shared" si="171"/>
        <v>-0.76132624763532297</v>
      </c>
      <c r="AJ173" s="118">
        <f t="shared" si="172"/>
        <v>-0.76180954600478834</v>
      </c>
    </row>
    <row r="174" spans="1:36" x14ac:dyDescent="0.25">
      <c r="A174">
        <v>13</v>
      </c>
      <c r="B174" s="107" t="s">
        <v>398</v>
      </c>
      <c r="C174" s="113">
        <f t="shared" si="165"/>
        <v>11134.87768</v>
      </c>
      <c r="D174" s="113">
        <f t="shared" si="165"/>
        <v>8120.4556400000001</v>
      </c>
      <c r="E174" s="113">
        <f t="shared" si="165"/>
        <v>12222.942340000001</v>
      </c>
      <c r="F174" s="116">
        <f t="shared" si="173"/>
        <v>31478.275659999999</v>
      </c>
      <c r="G174" s="115"/>
      <c r="H174" s="107" t="s">
        <v>398</v>
      </c>
      <c r="I174" s="113">
        <f t="shared" si="166"/>
        <v>23390</v>
      </c>
      <c r="J174" s="113">
        <f t="shared" si="166"/>
        <v>26210</v>
      </c>
      <c r="K174" s="113">
        <f t="shared" si="166"/>
        <v>17710</v>
      </c>
      <c r="L174" s="116">
        <f t="shared" si="174"/>
        <v>67310</v>
      </c>
      <c r="N174" s="107" t="s">
        <v>398</v>
      </c>
      <c r="O174" s="117">
        <f t="shared" si="175"/>
        <v>1.905253384430345E-2</v>
      </c>
      <c r="P174" s="117">
        <f t="shared" si="176"/>
        <v>3.0993159425496556E-3</v>
      </c>
      <c r="Q174" s="117">
        <f t="shared" si="177"/>
        <v>1.5724254902991729E-3</v>
      </c>
      <c r="R174" s="118">
        <f t="shared" si="178"/>
        <v>2.8674445685288462E-3</v>
      </c>
      <c r="S174" s="115"/>
      <c r="T174" s="107" t="s">
        <v>398</v>
      </c>
      <c r="U174" s="117">
        <f t="shared" si="179"/>
        <v>2.8968634857726723E-2</v>
      </c>
      <c r="V174" s="117">
        <f t="shared" si="180"/>
        <v>5.1775907708111095E-3</v>
      </c>
      <c r="W174" s="117">
        <f t="shared" si="181"/>
        <v>2.0509233497797083E-3</v>
      </c>
      <c r="X174" s="118">
        <f t="shared" si="182"/>
        <v>4.6405455864143913E-3</v>
      </c>
      <c r="Z174" s="107" t="s">
        <v>398</v>
      </c>
      <c r="AA174" s="113">
        <f t="shared" si="183"/>
        <v>12255.12232</v>
      </c>
      <c r="AB174" s="113">
        <f t="shared" si="167"/>
        <v>18089.54436</v>
      </c>
      <c r="AC174" s="113">
        <f t="shared" si="168"/>
        <v>5487.0576599999986</v>
      </c>
      <c r="AD174" s="116">
        <f t="shared" si="169"/>
        <v>35831.724340000001</v>
      </c>
      <c r="AE174" s="115"/>
      <c r="AF174" s="107" t="s">
        <v>398</v>
      </c>
      <c r="AG174" s="117">
        <f t="shared" si="184"/>
        <v>1.1006068204962984</v>
      </c>
      <c r="AH174" s="117">
        <f t="shared" si="170"/>
        <v>2.2276513981424815</v>
      </c>
      <c r="AI174" s="117">
        <f t="shared" si="171"/>
        <v>0.44891463179396768</v>
      </c>
      <c r="AJ174" s="118">
        <f t="shared" si="172"/>
        <v>1.1383001002666739</v>
      </c>
    </row>
    <row r="175" spans="1:36" x14ac:dyDescent="0.25">
      <c r="A175">
        <v>14</v>
      </c>
      <c r="B175" s="107" t="s">
        <v>399</v>
      </c>
      <c r="C175" s="113">
        <f t="shared" si="165"/>
        <v>8644.1952600000004</v>
      </c>
      <c r="D175" s="113">
        <f t="shared" si="165"/>
        <v>106252.14876</v>
      </c>
      <c r="E175" s="113">
        <f t="shared" si="165"/>
        <v>398676.03356999997</v>
      </c>
      <c r="F175" s="116">
        <f t="shared" si="173"/>
        <v>513572.37758999993</v>
      </c>
      <c r="G175" s="115"/>
      <c r="H175" s="107" t="s">
        <v>399</v>
      </c>
      <c r="I175" s="113">
        <f t="shared" si="166"/>
        <v>12225</v>
      </c>
      <c r="J175" s="113">
        <f t="shared" si="166"/>
        <v>185625</v>
      </c>
      <c r="K175" s="113">
        <f t="shared" si="166"/>
        <v>392425</v>
      </c>
      <c r="L175" s="116">
        <f t="shared" si="174"/>
        <v>590275</v>
      </c>
      <c r="N175" s="107" t="s">
        <v>399</v>
      </c>
      <c r="O175" s="117">
        <f t="shared" si="175"/>
        <v>1.4790806642064294E-2</v>
      </c>
      <c r="P175" s="117">
        <f t="shared" si="176"/>
        <v>4.0553017365171591E-2</v>
      </c>
      <c r="Q175" s="117">
        <f t="shared" si="177"/>
        <v>5.1287843803805154E-2</v>
      </c>
      <c r="R175" s="118">
        <f t="shared" si="178"/>
        <v>4.6782750763511523E-2</v>
      </c>
      <c r="S175" s="115"/>
      <c r="T175" s="107" t="s">
        <v>399</v>
      </c>
      <c r="U175" s="117">
        <f t="shared" si="179"/>
        <v>1.5140725144750287E-2</v>
      </c>
      <c r="V175" s="117">
        <f t="shared" si="180"/>
        <v>3.666883963494133E-2</v>
      </c>
      <c r="W175" s="117">
        <f t="shared" si="181"/>
        <v>4.5445149380988252E-2</v>
      </c>
      <c r="X175" s="118">
        <f t="shared" si="182"/>
        <v>4.0695261417631176E-2</v>
      </c>
      <c r="Z175" s="107" t="s">
        <v>399</v>
      </c>
      <c r="AA175" s="113">
        <f t="shared" si="183"/>
        <v>3580.8047399999996</v>
      </c>
      <c r="AB175" s="113">
        <f t="shared" si="167"/>
        <v>79372.851240000004</v>
      </c>
      <c r="AC175" s="113">
        <f t="shared" si="168"/>
        <v>-6251.0335699999705</v>
      </c>
      <c r="AD175" s="116">
        <f t="shared" si="169"/>
        <v>76702.622410000069</v>
      </c>
      <c r="AE175" s="115"/>
      <c r="AF175" s="107" t="s">
        <v>399</v>
      </c>
      <c r="AG175" s="117">
        <f t="shared" si="184"/>
        <v>0.41424385177527784</v>
      </c>
      <c r="AH175" s="117">
        <f t="shared" si="170"/>
        <v>0.74702349238400478</v>
      </c>
      <c r="AI175" s="117">
        <f t="shared" si="171"/>
        <v>-1.5679481693504929E-2</v>
      </c>
      <c r="AJ175" s="118">
        <f t="shared" si="172"/>
        <v>0.14935114456493229</v>
      </c>
    </row>
    <row r="176" spans="1:36" ht="15.75" thickBot="1" x14ac:dyDescent="0.3">
      <c r="B176" s="108" t="s">
        <v>29</v>
      </c>
      <c r="C176" s="109">
        <f>SUM(C162:C175)</f>
        <v>584430.27951000002</v>
      </c>
      <c r="D176" s="110">
        <f>SUM(D162:D175)</f>
        <v>2620079.9758799998</v>
      </c>
      <c r="E176" s="111">
        <f>SUM(E162:E175)</f>
        <v>7773304.6274100011</v>
      </c>
      <c r="F176" s="112">
        <f>SUM(F162:F175)</f>
        <v>10977814.882800002</v>
      </c>
      <c r="H176" s="108" t="s">
        <v>29</v>
      </c>
      <c r="I176" s="109">
        <f>SUM(I162:I175)</f>
        <v>807425</v>
      </c>
      <c r="J176" s="110">
        <f>SUM(J162:J175)</f>
        <v>5062200</v>
      </c>
      <c r="K176" s="111">
        <f>SUM(K162:K175)</f>
        <v>8635135</v>
      </c>
      <c r="L176" s="112">
        <f>SUM(L162:L175)</f>
        <v>14504760</v>
      </c>
      <c r="N176" s="108" t="s">
        <v>29</v>
      </c>
      <c r="O176" s="120">
        <f t="shared" si="175"/>
        <v>1</v>
      </c>
      <c r="P176" s="121">
        <f t="shared" si="176"/>
        <v>1</v>
      </c>
      <c r="Q176" s="122">
        <f t="shared" si="177"/>
        <v>1</v>
      </c>
      <c r="R176" s="123">
        <f t="shared" si="178"/>
        <v>1</v>
      </c>
      <c r="T176" s="108" t="s">
        <v>29</v>
      </c>
      <c r="U176" s="120">
        <f t="shared" si="179"/>
        <v>1</v>
      </c>
      <c r="V176" s="121">
        <f t="shared" si="180"/>
        <v>1</v>
      </c>
      <c r="W176" s="122">
        <f t="shared" si="181"/>
        <v>1</v>
      </c>
      <c r="X176" s="123">
        <f t="shared" si="182"/>
        <v>1</v>
      </c>
      <c r="Z176" s="108" t="s">
        <v>29</v>
      </c>
      <c r="AA176" s="109">
        <f t="shared" si="183"/>
        <v>222994.72048999998</v>
      </c>
      <c r="AB176" s="110">
        <f t="shared" si="167"/>
        <v>2442120.0241200002</v>
      </c>
      <c r="AC176" s="111">
        <f t="shared" si="168"/>
        <v>861830.37258999888</v>
      </c>
      <c r="AD176" s="112">
        <f t="shared" si="169"/>
        <v>3526945.1171999983</v>
      </c>
      <c r="AF176" s="108" t="s">
        <v>29</v>
      </c>
      <c r="AG176" s="117">
        <f t="shared" si="184"/>
        <v>0.38155914966788501</v>
      </c>
      <c r="AH176" s="117">
        <f t="shared" si="170"/>
        <v>0.93207842760592508</v>
      </c>
      <c r="AI176" s="117">
        <f t="shared" si="171"/>
        <v>0.1108705259730897</v>
      </c>
      <c r="AJ176" s="118">
        <f t="shared" si="172"/>
        <v>0.32127933972779976</v>
      </c>
    </row>
    <row r="178" spans="1:36" ht="26.25" x14ac:dyDescent="0.4">
      <c r="A178" s="150" t="s">
        <v>523</v>
      </c>
    </row>
    <row r="179" spans="1:36" ht="26.25" x14ac:dyDescent="0.25">
      <c r="B179" s="102" t="s">
        <v>134</v>
      </c>
      <c r="C179" s="103" t="s">
        <v>135</v>
      </c>
      <c r="D179" s="104" t="s">
        <v>136</v>
      </c>
      <c r="E179" s="105" t="s">
        <v>137</v>
      </c>
      <c r="F179" s="106" t="s">
        <v>29</v>
      </c>
      <c r="H179" s="102" t="s">
        <v>134</v>
      </c>
      <c r="I179" s="103" t="s">
        <v>135</v>
      </c>
      <c r="J179" s="104" t="s">
        <v>136</v>
      </c>
      <c r="K179" s="105" t="s">
        <v>137</v>
      </c>
      <c r="L179" s="106" t="s">
        <v>29</v>
      </c>
      <c r="N179" s="102" t="s">
        <v>134</v>
      </c>
      <c r="O179" s="103" t="s">
        <v>135</v>
      </c>
      <c r="P179" s="104" t="s">
        <v>136</v>
      </c>
      <c r="Q179" s="105" t="s">
        <v>137</v>
      </c>
      <c r="R179" s="106" t="s">
        <v>29</v>
      </c>
      <c r="T179" s="102" t="s">
        <v>134</v>
      </c>
      <c r="U179" s="103" t="s">
        <v>135</v>
      </c>
      <c r="V179" s="104" t="s">
        <v>136</v>
      </c>
      <c r="W179" s="105" t="s">
        <v>137</v>
      </c>
      <c r="X179" s="106" t="s">
        <v>29</v>
      </c>
      <c r="Z179" s="102" t="s">
        <v>134</v>
      </c>
      <c r="AA179" s="103" t="s">
        <v>135</v>
      </c>
      <c r="AB179" s="104" t="s">
        <v>136</v>
      </c>
      <c r="AC179" s="105" t="s">
        <v>137</v>
      </c>
      <c r="AD179" s="106" t="s">
        <v>29</v>
      </c>
      <c r="AF179" s="102" t="s">
        <v>134</v>
      </c>
      <c r="AG179" s="103" t="s">
        <v>135</v>
      </c>
      <c r="AH179" s="104" t="s">
        <v>136</v>
      </c>
      <c r="AI179" s="105" t="s">
        <v>137</v>
      </c>
      <c r="AJ179" s="106" t="s">
        <v>29</v>
      </c>
    </row>
    <row r="180" spans="1:36" x14ac:dyDescent="0.25">
      <c r="A180">
        <v>1</v>
      </c>
      <c r="B180" s="107" t="s">
        <v>386</v>
      </c>
      <c r="C180" s="113">
        <f t="shared" ref="C180:E193" si="185">C76+C110</f>
        <v>3902.4560000000001</v>
      </c>
      <c r="D180" s="113">
        <f t="shared" si="185"/>
        <v>214493.17788</v>
      </c>
      <c r="E180" s="113">
        <f t="shared" si="185"/>
        <v>954414.36924000003</v>
      </c>
      <c r="F180" s="114">
        <f>SUM(C180:E180)</f>
        <v>1172810.00312</v>
      </c>
      <c r="G180" s="115"/>
      <c r="H180" s="107" t="s">
        <v>386</v>
      </c>
      <c r="I180" s="113">
        <f t="shared" ref="I180:K193" si="186">I76+I110</f>
        <v>0</v>
      </c>
      <c r="J180" s="113">
        <f t="shared" si="186"/>
        <v>529095</v>
      </c>
      <c r="K180" s="113">
        <f t="shared" si="186"/>
        <v>1254205</v>
      </c>
      <c r="L180" s="114">
        <f>SUM(I180:K180)</f>
        <v>1783300</v>
      </c>
      <c r="N180" s="107" t="s">
        <v>386</v>
      </c>
      <c r="O180" s="117">
        <f>C180/C$90</f>
        <v>2.4595677129199842E-2</v>
      </c>
      <c r="P180" s="117">
        <f t="shared" ref="P180:P194" si="187">D180/D$90</f>
        <v>0.49945436109887709</v>
      </c>
      <c r="Q180" s="117">
        <f t="shared" ref="Q180:Q194" si="188">E180/E$90</f>
        <v>0.78170937780842931</v>
      </c>
      <c r="R180" s="118">
        <f t="shared" ref="R180:R194" si="189">F180/F$90</f>
        <v>0.64830095332593296</v>
      </c>
      <c r="S180" s="115"/>
      <c r="T180" s="107" t="s">
        <v>386</v>
      </c>
      <c r="U180" s="117">
        <f>I180/I$90</f>
        <v>0</v>
      </c>
      <c r="V180" s="117">
        <f t="shared" ref="V180:V194" si="190">J180/J$90</f>
        <v>0.49404036584170202</v>
      </c>
      <c r="W180" s="117">
        <f t="shared" ref="W180:W194" si="191">K180/K$90</f>
        <v>0.74749608880280116</v>
      </c>
      <c r="X180" s="118">
        <f t="shared" ref="X180:X194" si="192">L180/L$90</f>
        <v>0.60740859323243346</v>
      </c>
      <c r="Z180" s="107" t="s">
        <v>386</v>
      </c>
      <c r="AA180" s="113">
        <f>I180-C180</f>
        <v>-3902.4560000000001</v>
      </c>
      <c r="AB180" s="113">
        <f t="shared" ref="AB180:AB194" si="193">J180-D180</f>
        <v>314601.82212000003</v>
      </c>
      <c r="AC180" s="113">
        <f t="shared" ref="AC180:AC194" si="194">K180-E180</f>
        <v>299790.63075999997</v>
      </c>
      <c r="AD180" s="114">
        <f t="shared" ref="AD180:AD194" si="195">L180-F180</f>
        <v>610489.99687999999</v>
      </c>
      <c r="AE180" s="115"/>
      <c r="AF180" s="107" t="s">
        <v>386</v>
      </c>
      <c r="AG180" s="117">
        <f>IF(C180=0, 0,AA180/C180)</f>
        <v>-1</v>
      </c>
      <c r="AH180" s="117">
        <f t="shared" ref="AH180:AH194" si="196">IF(D180=0, 0,AB180/D180)</f>
        <v>1.4667218101267847</v>
      </c>
      <c r="AI180" s="117">
        <f t="shared" ref="AI180:AI194" si="197">IF(E180=0, 0,AC180/E180)</f>
        <v>0.314109510944102</v>
      </c>
      <c r="AJ180" s="118">
        <f t="shared" ref="AJ180:AJ194" si="198">IF(F180=0, 0,AD180/F180)</f>
        <v>0.5205361441801547</v>
      </c>
    </row>
    <row r="181" spans="1:36" x14ac:dyDescent="0.25">
      <c r="A181">
        <v>2</v>
      </c>
      <c r="B181" s="107" t="s">
        <v>387</v>
      </c>
      <c r="C181" s="113">
        <f t="shared" si="185"/>
        <v>0</v>
      </c>
      <c r="D181" s="113">
        <f t="shared" si="185"/>
        <v>2125.3165100000001</v>
      </c>
      <c r="E181" s="113">
        <f t="shared" si="185"/>
        <v>12389.024659999999</v>
      </c>
      <c r="F181" s="116">
        <f t="shared" ref="F181:F193" si="199">SUM(C181:E181)</f>
        <v>14514.34117</v>
      </c>
      <c r="G181" s="115"/>
      <c r="H181" s="107" t="s">
        <v>387</v>
      </c>
      <c r="I181" s="113">
        <f t="shared" si="186"/>
        <v>0</v>
      </c>
      <c r="J181" s="113">
        <f t="shared" si="186"/>
        <v>24740</v>
      </c>
      <c r="K181" s="113">
        <f t="shared" si="186"/>
        <v>56700</v>
      </c>
      <c r="L181" s="116">
        <f t="shared" ref="L181:L193" si="200">SUM(I181:K181)</f>
        <v>81440</v>
      </c>
      <c r="N181" s="107" t="s">
        <v>387</v>
      </c>
      <c r="O181" s="117">
        <f t="shared" ref="O181:O194" si="201">C181/C$90</f>
        <v>0</v>
      </c>
      <c r="P181" s="117">
        <f t="shared" si="187"/>
        <v>4.9488688177710231E-3</v>
      </c>
      <c r="Q181" s="117">
        <f t="shared" si="188"/>
        <v>1.0147182472046963E-2</v>
      </c>
      <c r="R181" s="118">
        <f t="shared" si="189"/>
        <v>8.0231761260362092E-3</v>
      </c>
      <c r="S181" s="115"/>
      <c r="T181" s="107" t="s">
        <v>387</v>
      </c>
      <c r="U181" s="117">
        <f t="shared" ref="U181:U194" si="202">I181/I$90</f>
        <v>0</v>
      </c>
      <c r="V181" s="117">
        <f t="shared" si="190"/>
        <v>2.3100877254413118E-2</v>
      </c>
      <c r="W181" s="117">
        <f t="shared" si="191"/>
        <v>3.3792743797958727E-2</v>
      </c>
      <c r="X181" s="118">
        <f t="shared" si="192"/>
        <v>2.7739222695479945E-2</v>
      </c>
      <c r="Z181" s="107" t="s">
        <v>387</v>
      </c>
      <c r="AA181" s="113">
        <f t="shared" ref="AA181:AA194" si="203">I181-C181</f>
        <v>0</v>
      </c>
      <c r="AB181" s="113">
        <f t="shared" si="193"/>
        <v>22614.683489999999</v>
      </c>
      <c r="AC181" s="113">
        <f t="shared" si="194"/>
        <v>44310.975340000005</v>
      </c>
      <c r="AD181" s="116">
        <f t="shared" si="195"/>
        <v>66925.65883</v>
      </c>
      <c r="AE181" s="115"/>
      <c r="AF181" s="107" t="s">
        <v>387</v>
      </c>
      <c r="AG181" s="117">
        <f t="shared" ref="AG181:AG194" si="204">IF(C181=0, 0,AA181/C181)</f>
        <v>0</v>
      </c>
      <c r="AH181" s="117">
        <f t="shared" si="196"/>
        <v>10.640619118890672</v>
      </c>
      <c r="AI181" s="117">
        <f t="shared" si="197"/>
        <v>3.5766314585735928</v>
      </c>
      <c r="AJ181" s="118">
        <f t="shared" si="198"/>
        <v>4.6110021837112436</v>
      </c>
    </row>
    <row r="182" spans="1:36" x14ac:dyDescent="0.25">
      <c r="A182">
        <v>3</v>
      </c>
      <c r="B182" s="107" t="s">
        <v>388</v>
      </c>
      <c r="C182" s="113">
        <f t="shared" si="185"/>
        <v>27680.713349999998</v>
      </c>
      <c r="D182" s="113">
        <f t="shared" si="185"/>
        <v>155681.43932</v>
      </c>
      <c r="E182" s="113">
        <f t="shared" si="185"/>
        <v>276814.86056</v>
      </c>
      <c r="F182" s="116">
        <f t="shared" si="199"/>
        <v>460177.01323000004</v>
      </c>
      <c r="G182" s="115"/>
      <c r="H182" s="107" t="s">
        <v>388</v>
      </c>
      <c r="I182" s="113">
        <f t="shared" si="186"/>
        <v>40925</v>
      </c>
      <c r="J182" s="113">
        <f t="shared" si="186"/>
        <v>301155</v>
      </c>
      <c r="K182" s="113">
        <f t="shared" si="186"/>
        <v>315995</v>
      </c>
      <c r="L182" s="116">
        <f t="shared" si="200"/>
        <v>658075</v>
      </c>
      <c r="N182" s="107" t="s">
        <v>388</v>
      </c>
      <c r="O182" s="117">
        <f t="shared" si="201"/>
        <v>0.17446087496246765</v>
      </c>
      <c r="P182" s="117">
        <f t="shared" si="187"/>
        <v>0.36250930952230714</v>
      </c>
      <c r="Q182" s="117">
        <f t="shared" si="188"/>
        <v>0.22672413512465772</v>
      </c>
      <c r="R182" s="118">
        <f t="shared" si="189"/>
        <v>0.25437470313353433</v>
      </c>
      <c r="S182" s="115"/>
      <c r="T182" s="107" t="s">
        <v>388</v>
      </c>
      <c r="U182" s="117">
        <f t="shared" si="202"/>
        <v>0.21875083518186919</v>
      </c>
      <c r="V182" s="117">
        <f t="shared" si="190"/>
        <v>0.28120229141280445</v>
      </c>
      <c r="W182" s="117">
        <f t="shared" si="191"/>
        <v>0.18833047753855323</v>
      </c>
      <c r="X182" s="118">
        <f t="shared" si="192"/>
        <v>0.22414647563025497</v>
      </c>
      <c r="Z182" s="107" t="s">
        <v>388</v>
      </c>
      <c r="AA182" s="113">
        <f t="shared" si="203"/>
        <v>13244.286650000002</v>
      </c>
      <c r="AB182" s="113">
        <f t="shared" si="193"/>
        <v>145473.56068</v>
      </c>
      <c r="AC182" s="113">
        <f t="shared" si="194"/>
        <v>39180.139439999999</v>
      </c>
      <c r="AD182" s="116">
        <f t="shared" si="195"/>
        <v>197897.98676999996</v>
      </c>
      <c r="AE182" s="115"/>
      <c r="AF182" s="107" t="s">
        <v>388</v>
      </c>
      <c r="AG182" s="117">
        <f t="shared" si="204"/>
        <v>0.47846623324105925</v>
      </c>
      <c r="AH182" s="117">
        <f t="shared" si="196"/>
        <v>0.93443098493573196</v>
      </c>
      <c r="AI182" s="117">
        <f t="shared" si="197"/>
        <v>0.14153914772038639</v>
      </c>
      <c r="AJ182" s="118">
        <f t="shared" si="198"/>
        <v>0.43004752753934061</v>
      </c>
    </row>
    <row r="183" spans="1:36" x14ac:dyDescent="0.25">
      <c r="A183">
        <v>4</v>
      </c>
      <c r="B183" s="107" t="s">
        <v>389</v>
      </c>
      <c r="C183" s="113">
        <f t="shared" si="185"/>
        <v>164.38015999999999</v>
      </c>
      <c r="D183" s="113">
        <f t="shared" si="185"/>
        <v>69.026229999999998</v>
      </c>
      <c r="E183" s="113">
        <f t="shared" si="185"/>
        <v>2716.5501100000001</v>
      </c>
      <c r="F183" s="116">
        <f t="shared" si="199"/>
        <v>2949.9565000000002</v>
      </c>
      <c r="G183" s="115"/>
      <c r="H183" s="107" t="s">
        <v>389</v>
      </c>
      <c r="I183" s="113">
        <f t="shared" si="186"/>
        <v>1145</v>
      </c>
      <c r="J183" s="113">
        <f t="shared" si="186"/>
        <v>8010</v>
      </c>
      <c r="K183" s="113">
        <f t="shared" si="186"/>
        <v>8740</v>
      </c>
      <c r="L183" s="116">
        <f t="shared" si="200"/>
        <v>17895</v>
      </c>
      <c r="N183" s="107" t="s">
        <v>389</v>
      </c>
      <c r="O183" s="117">
        <f t="shared" si="201"/>
        <v>1.0360248371297999E-3</v>
      </c>
      <c r="P183" s="117">
        <f t="shared" si="187"/>
        <v>1.6072982807407386E-4</v>
      </c>
      <c r="Q183" s="117">
        <f t="shared" si="188"/>
        <v>2.2249798040703274E-3</v>
      </c>
      <c r="R183" s="118">
        <f t="shared" si="189"/>
        <v>1.6306644777349779E-3</v>
      </c>
      <c r="S183" s="115"/>
      <c r="T183" s="107" t="s">
        <v>389</v>
      </c>
      <c r="U183" s="117">
        <f t="shared" si="202"/>
        <v>6.1202127375257235E-3</v>
      </c>
      <c r="V183" s="117">
        <f t="shared" si="190"/>
        <v>7.479305853187109E-3</v>
      </c>
      <c r="W183" s="117">
        <f t="shared" si="191"/>
        <v>5.2089696789093349E-3</v>
      </c>
      <c r="X183" s="118">
        <f t="shared" si="192"/>
        <v>6.0952037099166701E-3</v>
      </c>
      <c r="Z183" s="107" t="s">
        <v>389</v>
      </c>
      <c r="AA183" s="113">
        <f t="shared" si="203"/>
        <v>980.61984000000007</v>
      </c>
      <c r="AB183" s="113">
        <f t="shared" si="193"/>
        <v>7940.9737699999996</v>
      </c>
      <c r="AC183" s="113">
        <f t="shared" si="194"/>
        <v>6023.4498899999999</v>
      </c>
      <c r="AD183" s="116">
        <f t="shared" si="195"/>
        <v>14945.0435</v>
      </c>
      <c r="AE183" s="115"/>
      <c r="AF183" s="107" t="s">
        <v>389</v>
      </c>
      <c r="AG183" s="117">
        <f t="shared" si="204"/>
        <v>5.9655608073383073</v>
      </c>
      <c r="AH183" s="117">
        <f t="shared" si="196"/>
        <v>115.04284342343483</v>
      </c>
      <c r="AI183" s="117">
        <f t="shared" si="197"/>
        <v>2.217315950781412</v>
      </c>
      <c r="AJ183" s="118">
        <f t="shared" si="198"/>
        <v>5.0661911455304507</v>
      </c>
    </row>
    <row r="184" spans="1:36" x14ac:dyDescent="0.25">
      <c r="A184">
        <v>5</v>
      </c>
      <c r="B184" s="107" t="s">
        <v>390</v>
      </c>
      <c r="C184" s="113">
        <f t="shared" si="185"/>
        <v>1408.67788</v>
      </c>
      <c r="D184" s="113">
        <f t="shared" si="185"/>
        <v>74262.523270000005</v>
      </c>
      <c r="E184" s="113">
        <f t="shared" si="185"/>
        <v>154553.56599</v>
      </c>
      <c r="F184" s="116">
        <f t="shared" si="199"/>
        <v>230224.76714000001</v>
      </c>
      <c r="G184" s="115"/>
      <c r="H184" s="107" t="s">
        <v>390</v>
      </c>
      <c r="I184" s="113">
        <f t="shared" si="186"/>
        <v>4400</v>
      </c>
      <c r="J184" s="113">
        <f t="shared" si="186"/>
        <v>154640</v>
      </c>
      <c r="K184" s="113">
        <f t="shared" si="186"/>
        <v>188230</v>
      </c>
      <c r="L184" s="116">
        <f t="shared" si="200"/>
        <v>347270</v>
      </c>
      <c r="N184" s="107" t="s">
        <v>390</v>
      </c>
      <c r="O184" s="117">
        <f t="shared" si="201"/>
        <v>8.8783541225130325E-3</v>
      </c>
      <c r="P184" s="117">
        <f t="shared" si="187"/>
        <v>0.17292270775231403</v>
      </c>
      <c r="Q184" s="117">
        <f t="shared" si="188"/>
        <v>0.12658649723004764</v>
      </c>
      <c r="R184" s="118">
        <f t="shared" si="189"/>
        <v>0.12726267308348613</v>
      </c>
      <c r="S184" s="115"/>
      <c r="T184" s="107" t="s">
        <v>390</v>
      </c>
      <c r="U184" s="117">
        <f t="shared" si="202"/>
        <v>2.3518721436780073E-2</v>
      </c>
      <c r="V184" s="117">
        <f t="shared" si="190"/>
        <v>0.14439448903081828</v>
      </c>
      <c r="W184" s="117">
        <f t="shared" si="191"/>
        <v>0.11218356552186545</v>
      </c>
      <c r="X184" s="118">
        <f t="shared" si="192"/>
        <v>0.11828339716919598</v>
      </c>
      <c r="Z184" s="107" t="s">
        <v>390</v>
      </c>
      <c r="AA184" s="113">
        <f t="shared" si="203"/>
        <v>2991.3221199999998</v>
      </c>
      <c r="AB184" s="113">
        <f t="shared" si="193"/>
        <v>80377.476729999995</v>
      </c>
      <c r="AC184" s="113">
        <f t="shared" si="194"/>
        <v>33676.434009999997</v>
      </c>
      <c r="AD184" s="116">
        <f t="shared" si="195"/>
        <v>117045.23285999999</v>
      </c>
      <c r="AE184" s="115"/>
      <c r="AF184" s="107" t="s">
        <v>390</v>
      </c>
      <c r="AG184" s="117">
        <f t="shared" si="204"/>
        <v>2.123496196305716</v>
      </c>
      <c r="AH184" s="117">
        <f t="shared" si="196"/>
        <v>1.0823423873946154</v>
      </c>
      <c r="AI184" s="117">
        <f t="shared" si="197"/>
        <v>0.21789490131970779</v>
      </c>
      <c r="AJ184" s="118">
        <f t="shared" si="198"/>
        <v>0.50839548808762447</v>
      </c>
    </row>
    <row r="185" spans="1:36" x14ac:dyDescent="0.25">
      <c r="A185">
        <v>6</v>
      </c>
      <c r="B185" s="107" t="s">
        <v>391</v>
      </c>
      <c r="C185" s="113">
        <f t="shared" si="185"/>
        <v>0</v>
      </c>
      <c r="D185" s="113">
        <f t="shared" si="185"/>
        <v>63.674770000000002</v>
      </c>
      <c r="E185" s="113">
        <f t="shared" si="185"/>
        <v>4148.9556900000007</v>
      </c>
      <c r="F185" s="116">
        <f t="shared" si="199"/>
        <v>4212.6304600000003</v>
      </c>
      <c r="G185" s="115"/>
      <c r="H185" s="107" t="s">
        <v>391</v>
      </c>
      <c r="I185" s="113">
        <f t="shared" si="186"/>
        <v>145</v>
      </c>
      <c r="J185" s="113">
        <f t="shared" si="186"/>
        <v>4755</v>
      </c>
      <c r="K185" s="113">
        <f t="shared" si="186"/>
        <v>5330</v>
      </c>
      <c r="L185" s="116">
        <f t="shared" si="200"/>
        <v>10230</v>
      </c>
      <c r="N185" s="107" t="s">
        <v>391</v>
      </c>
      <c r="O185" s="117">
        <f t="shared" si="201"/>
        <v>0</v>
      </c>
      <c r="P185" s="117">
        <f t="shared" si="187"/>
        <v>1.4826877890848446E-4</v>
      </c>
      <c r="Q185" s="117">
        <f t="shared" si="188"/>
        <v>3.3981860243441895E-3</v>
      </c>
      <c r="R185" s="118">
        <f t="shared" si="189"/>
        <v>2.3286400490808456E-3</v>
      </c>
      <c r="S185" s="115"/>
      <c r="T185" s="107" t="s">
        <v>391</v>
      </c>
      <c r="U185" s="117">
        <f t="shared" si="202"/>
        <v>7.7504877462116145E-4</v>
      </c>
      <c r="V185" s="117">
        <f t="shared" si="190"/>
        <v>4.4399624634088265E-3</v>
      </c>
      <c r="W185" s="117">
        <f t="shared" si="191"/>
        <v>3.1766371153989421E-3</v>
      </c>
      <c r="X185" s="118">
        <f t="shared" si="192"/>
        <v>3.484433302735263E-3</v>
      </c>
      <c r="Z185" s="107" t="s">
        <v>391</v>
      </c>
      <c r="AA185" s="113">
        <f t="shared" si="203"/>
        <v>145</v>
      </c>
      <c r="AB185" s="113">
        <f t="shared" si="193"/>
        <v>4691.3252300000004</v>
      </c>
      <c r="AC185" s="113">
        <f t="shared" si="194"/>
        <v>1181.0443099999993</v>
      </c>
      <c r="AD185" s="116">
        <f t="shared" si="195"/>
        <v>6017.3695399999997</v>
      </c>
      <c r="AE185" s="115"/>
      <c r="AF185" s="107" t="s">
        <v>391</v>
      </c>
      <c r="AG185" s="117">
        <f t="shared" si="204"/>
        <v>0</v>
      </c>
      <c r="AH185" s="117">
        <f t="shared" si="196"/>
        <v>73.67635925500791</v>
      </c>
      <c r="AI185" s="117">
        <f t="shared" si="197"/>
        <v>0.28466062263489711</v>
      </c>
      <c r="AJ185" s="118">
        <f t="shared" si="198"/>
        <v>1.4284114396305247</v>
      </c>
    </row>
    <row r="186" spans="1:36" x14ac:dyDescent="0.25">
      <c r="A186">
        <v>7</v>
      </c>
      <c r="B186" s="107" t="s">
        <v>392</v>
      </c>
      <c r="C186" s="113">
        <f t="shared" si="185"/>
        <v>67047.327439999994</v>
      </c>
      <c r="D186" s="113">
        <f t="shared" si="185"/>
        <v>96950.207750000001</v>
      </c>
      <c r="E186" s="113">
        <f t="shared" si="185"/>
        <v>62992.536489999999</v>
      </c>
      <c r="F186" s="116">
        <f t="shared" si="199"/>
        <v>226990.07167999999</v>
      </c>
      <c r="G186" s="115"/>
      <c r="H186" s="107" t="s">
        <v>392</v>
      </c>
      <c r="I186" s="113">
        <f t="shared" si="186"/>
        <v>101020</v>
      </c>
      <c r="J186" s="113">
        <f t="shared" si="186"/>
        <v>246875</v>
      </c>
      <c r="K186" s="113">
        <f t="shared" si="186"/>
        <v>93455</v>
      </c>
      <c r="L186" s="116">
        <f t="shared" si="200"/>
        <v>441350</v>
      </c>
      <c r="N186" s="107" t="s">
        <v>392</v>
      </c>
      <c r="O186" s="117">
        <f t="shared" si="201"/>
        <v>0.42257348144091328</v>
      </c>
      <c r="P186" s="117">
        <f t="shared" si="187"/>
        <v>0.22575172109795427</v>
      </c>
      <c r="Q186" s="117">
        <f t="shared" si="188"/>
        <v>5.1593792060553277E-2</v>
      </c>
      <c r="R186" s="118">
        <f t="shared" si="189"/>
        <v>0.12547461180769695</v>
      </c>
      <c r="S186" s="115"/>
      <c r="T186" s="107" t="s">
        <v>392</v>
      </c>
      <c r="U186" s="117">
        <f t="shared" si="202"/>
        <v>0.53996846353261885</v>
      </c>
      <c r="V186" s="117">
        <f t="shared" si="190"/>
        <v>0.23051855586836048</v>
      </c>
      <c r="W186" s="117">
        <f t="shared" si="191"/>
        <v>5.5698428071221037E-2</v>
      </c>
      <c r="X186" s="118">
        <f t="shared" si="192"/>
        <v>0.1503279216189842</v>
      </c>
      <c r="Z186" s="107" t="s">
        <v>392</v>
      </c>
      <c r="AA186" s="113">
        <f t="shared" si="203"/>
        <v>33972.672560000006</v>
      </c>
      <c r="AB186" s="113">
        <f t="shared" si="193"/>
        <v>149924.79225</v>
      </c>
      <c r="AC186" s="113">
        <f t="shared" si="194"/>
        <v>30462.463510000001</v>
      </c>
      <c r="AD186" s="116">
        <f t="shared" si="195"/>
        <v>214359.92832000001</v>
      </c>
      <c r="AE186" s="115"/>
      <c r="AF186" s="107" t="s">
        <v>392</v>
      </c>
      <c r="AG186" s="117">
        <f t="shared" si="204"/>
        <v>0.50669689392767847</v>
      </c>
      <c r="AH186" s="117">
        <f t="shared" si="196"/>
        <v>1.5464102215912992</v>
      </c>
      <c r="AI186" s="117">
        <f t="shared" si="197"/>
        <v>0.48358845678227114</v>
      </c>
      <c r="AJ186" s="118">
        <f t="shared" si="198"/>
        <v>0.94435816832638664</v>
      </c>
    </row>
    <row r="187" spans="1:36" x14ac:dyDescent="0.25">
      <c r="A187">
        <v>8</v>
      </c>
      <c r="B187" s="107" t="s">
        <v>393</v>
      </c>
      <c r="C187" s="113">
        <f t="shared" si="185"/>
        <v>4627.8921300000002</v>
      </c>
      <c r="D187" s="113">
        <f t="shared" si="185"/>
        <v>8297.1982200000002</v>
      </c>
      <c r="E187" s="113">
        <f t="shared" si="185"/>
        <v>10857.544689999999</v>
      </c>
      <c r="F187" s="116">
        <f t="shared" si="199"/>
        <v>23782.635040000001</v>
      </c>
      <c r="G187" s="115"/>
      <c r="H187" s="107" t="s">
        <v>393</v>
      </c>
      <c r="I187" s="113">
        <f t="shared" si="186"/>
        <v>7730</v>
      </c>
      <c r="J187" s="113">
        <f t="shared" si="186"/>
        <v>23900</v>
      </c>
      <c r="K187" s="113">
        <f t="shared" si="186"/>
        <v>15835</v>
      </c>
      <c r="L187" s="116">
        <f t="shared" si="200"/>
        <v>47465</v>
      </c>
      <c r="N187" s="107" t="s">
        <v>393</v>
      </c>
      <c r="O187" s="117">
        <f t="shared" si="201"/>
        <v>2.9167821653401073E-2</v>
      </c>
      <c r="P187" s="117">
        <f t="shared" si="187"/>
        <v>1.9320296695866365E-2</v>
      </c>
      <c r="Q187" s="117">
        <f t="shared" si="188"/>
        <v>8.8928297579023933E-3</v>
      </c>
      <c r="R187" s="118">
        <f t="shared" si="189"/>
        <v>1.3146464412835641E-2</v>
      </c>
      <c r="S187" s="115"/>
      <c r="T187" s="107" t="s">
        <v>393</v>
      </c>
      <c r="U187" s="117">
        <f t="shared" si="202"/>
        <v>4.1318117433252262E-2</v>
      </c>
      <c r="V187" s="117">
        <f t="shared" si="190"/>
        <v>2.2316530573180011E-2</v>
      </c>
      <c r="W187" s="117">
        <f t="shared" si="191"/>
        <v>9.4375325933099899E-3</v>
      </c>
      <c r="X187" s="118">
        <f t="shared" si="192"/>
        <v>1.6167021184196408E-2</v>
      </c>
      <c r="Z187" s="107" t="s">
        <v>393</v>
      </c>
      <c r="AA187" s="113">
        <f t="shared" si="203"/>
        <v>3102.1078699999998</v>
      </c>
      <c r="AB187" s="113">
        <f t="shared" si="193"/>
        <v>15602.80178</v>
      </c>
      <c r="AC187" s="113">
        <f t="shared" si="194"/>
        <v>4977.4553100000012</v>
      </c>
      <c r="AD187" s="116">
        <f t="shared" si="195"/>
        <v>23682.364959999999</v>
      </c>
      <c r="AE187" s="115"/>
      <c r="AF187" s="107" t="s">
        <v>393</v>
      </c>
      <c r="AG187" s="117">
        <f t="shared" si="204"/>
        <v>0.67030686603319767</v>
      </c>
      <c r="AH187" s="117">
        <f t="shared" si="196"/>
        <v>1.8804904217414249</v>
      </c>
      <c r="AI187" s="117">
        <f t="shared" si="197"/>
        <v>0.45843286416166729</v>
      </c>
      <c r="AJ187" s="118">
        <f t="shared" si="198"/>
        <v>0.99578389527353228</v>
      </c>
    </row>
    <row r="188" spans="1:36" x14ac:dyDescent="0.25">
      <c r="A188">
        <v>9</v>
      </c>
      <c r="B188" s="107" t="s">
        <v>394</v>
      </c>
      <c r="C188" s="113">
        <f t="shared" si="185"/>
        <v>0</v>
      </c>
      <c r="D188" s="113">
        <f t="shared" si="185"/>
        <v>0</v>
      </c>
      <c r="E188" s="113">
        <f t="shared" si="185"/>
        <v>0</v>
      </c>
      <c r="F188" s="116">
        <f t="shared" si="199"/>
        <v>0</v>
      </c>
      <c r="G188" s="115"/>
      <c r="H188" s="107" t="s">
        <v>394</v>
      </c>
      <c r="I188" s="113">
        <f t="shared" si="186"/>
        <v>0</v>
      </c>
      <c r="J188" s="113">
        <f t="shared" si="186"/>
        <v>0</v>
      </c>
      <c r="K188" s="113">
        <f t="shared" si="186"/>
        <v>0</v>
      </c>
      <c r="L188" s="116">
        <f t="shared" si="200"/>
        <v>0</v>
      </c>
      <c r="N188" s="107" t="s">
        <v>394</v>
      </c>
      <c r="O188" s="117">
        <f t="shared" si="201"/>
        <v>0</v>
      </c>
      <c r="P188" s="117">
        <f t="shared" si="187"/>
        <v>0</v>
      </c>
      <c r="Q188" s="117">
        <f t="shared" si="188"/>
        <v>0</v>
      </c>
      <c r="R188" s="118">
        <f t="shared" si="189"/>
        <v>0</v>
      </c>
      <c r="S188" s="115"/>
      <c r="T188" s="107" t="s">
        <v>394</v>
      </c>
      <c r="U188" s="117">
        <f t="shared" si="202"/>
        <v>0</v>
      </c>
      <c r="V188" s="117">
        <f t="shared" si="190"/>
        <v>0</v>
      </c>
      <c r="W188" s="117">
        <f t="shared" si="191"/>
        <v>0</v>
      </c>
      <c r="X188" s="118">
        <f t="shared" si="192"/>
        <v>0</v>
      </c>
      <c r="Z188" s="107" t="s">
        <v>394</v>
      </c>
      <c r="AA188" s="113">
        <f t="shared" si="203"/>
        <v>0</v>
      </c>
      <c r="AB188" s="113">
        <f t="shared" si="193"/>
        <v>0</v>
      </c>
      <c r="AC188" s="113">
        <f t="shared" si="194"/>
        <v>0</v>
      </c>
      <c r="AD188" s="116">
        <f t="shared" si="195"/>
        <v>0</v>
      </c>
      <c r="AE188" s="115"/>
      <c r="AF188" s="107" t="s">
        <v>394</v>
      </c>
      <c r="AG188" s="117">
        <f t="shared" si="204"/>
        <v>0</v>
      </c>
      <c r="AH188" s="117">
        <f t="shared" si="196"/>
        <v>0</v>
      </c>
      <c r="AI188" s="117">
        <f t="shared" si="197"/>
        <v>0</v>
      </c>
      <c r="AJ188" s="118">
        <f t="shared" si="198"/>
        <v>0</v>
      </c>
    </row>
    <row r="189" spans="1:36" x14ac:dyDescent="0.25">
      <c r="A189">
        <v>10</v>
      </c>
      <c r="B189" s="107" t="s">
        <v>395</v>
      </c>
      <c r="C189" s="113">
        <f t="shared" si="185"/>
        <v>55199.987000000001</v>
      </c>
      <c r="D189" s="113">
        <f t="shared" si="185"/>
        <v>31081.072169999999</v>
      </c>
      <c r="E189" s="113">
        <f t="shared" si="185"/>
        <v>13468.657139999999</v>
      </c>
      <c r="F189" s="116">
        <f t="shared" si="199"/>
        <v>99749.716309999989</v>
      </c>
      <c r="G189" s="115"/>
      <c r="H189" s="107" t="s">
        <v>395</v>
      </c>
      <c r="I189" s="113">
        <f t="shared" si="186"/>
        <v>43565</v>
      </c>
      <c r="J189" s="113">
        <f t="shared" si="186"/>
        <v>20620</v>
      </c>
      <c r="K189" s="113">
        <f t="shared" si="186"/>
        <v>9555</v>
      </c>
      <c r="L189" s="116">
        <f t="shared" si="200"/>
        <v>73740</v>
      </c>
      <c r="N189" s="107" t="s">
        <v>395</v>
      </c>
      <c r="O189" s="117">
        <f t="shared" si="201"/>
        <v>0.34790425767466143</v>
      </c>
      <c r="P189" s="117">
        <f t="shared" si="187"/>
        <v>7.2373290359939724E-2</v>
      </c>
      <c r="Q189" s="117">
        <f t="shared" si="188"/>
        <v>1.1031451256552603E-2</v>
      </c>
      <c r="R189" s="118">
        <f t="shared" si="189"/>
        <v>5.5139226307526337E-2</v>
      </c>
      <c r="S189" s="115"/>
      <c r="T189" s="107" t="s">
        <v>395</v>
      </c>
      <c r="U189" s="117">
        <f t="shared" si="202"/>
        <v>0.23286206804393725</v>
      </c>
      <c r="V189" s="117">
        <f t="shared" si="190"/>
        <v>1.9253843532174554E-2</v>
      </c>
      <c r="W189" s="117">
        <f t="shared" si="191"/>
        <v>5.6947031215078599E-3</v>
      </c>
      <c r="X189" s="118">
        <f t="shared" si="192"/>
        <v>2.511653096223835E-2</v>
      </c>
      <c r="Z189" s="107" t="s">
        <v>395</v>
      </c>
      <c r="AA189" s="113">
        <f t="shared" si="203"/>
        <v>-11634.987000000001</v>
      </c>
      <c r="AB189" s="113">
        <f t="shared" si="193"/>
        <v>-10461.072169999999</v>
      </c>
      <c r="AC189" s="113">
        <f t="shared" si="194"/>
        <v>-3913.6571399999993</v>
      </c>
      <c r="AD189" s="116">
        <f t="shared" si="195"/>
        <v>-26009.716309999989</v>
      </c>
      <c r="AE189" s="115"/>
      <c r="AF189" s="107" t="s">
        <v>395</v>
      </c>
      <c r="AG189" s="117">
        <f t="shared" si="204"/>
        <v>-0.21077879963993471</v>
      </c>
      <c r="AH189" s="117">
        <f t="shared" si="196"/>
        <v>-0.33657372283628012</v>
      </c>
      <c r="AI189" s="117">
        <f t="shared" si="197"/>
        <v>-0.29057515528975736</v>
      </c>
      <c r="AJ189" s="118">
        <f t="shared" si="198"/>
        <v>-0.26074977726420356</v>
      </c>
    </row>
    <row r="190" spans="1:36" x14ac:dyDescent="0.25">
      <c r="A190">
        <v>11</v>
      </c>
      <c r="B190" s="107" t="s">
        <v>396</v>
      </c>
      <c r="C190" s="113">
        <f t="shared" si="185"/>
        <v>2873.6168499999999</v>
      </c>
      <c r="D190" s="113">
        <f t="shared" si="185"/>
        <v>1289.2507499999999</v>
      </c>
      <c r="E190" s="113">
        <f t="shared" si="185"/>
        <v>3111.9368799999997</v>
      </c>
      <c r="F190" s="116">
        <f t="shared" si="199"/>
        <v>7274.8044799999989</v>
      </c>
      <c r="G190" s="115"/>
      <c r="H190" s="107" t="s">
        <v>396</v>
      </c>
      <c r="I190" s="113">
        <f t="shared" si="186"/>
        <v>1150</v>
      </c>
      <c r="J190" s="113">
        <f t="shared" si="186"/>
        <v>355</v>
      </c>
      <c r="K190" s="113">
        <f t="shared" si="186"/>
        <v>785</v>
      </c>
      <c r="L190" s="116">
        <f t="shared" si="200"/>
        <v>2290</v>
      </c>
      <c r="N190" s="107" t="s">
        <v>396</v>
      </c>
      <c r="O190" s="117">
        <f t="shared" si="201"/>
        <v>1.8111300226223766E-2</v>
      </c>
      <c r="P190" s="117">
        <f t="shared" si="187"/>
        <v>3.0020624245576033E-3</v>
      </c>
      <c r="Q190" s="117">
        <f t="shared" si="188"/>
        <v>2.5488198005453413E-3</v>
      </c>
      <c r="R190" s="118">
        <f t="shared" si="189"/>
        <v>4.0213356529166695E-3</v>
      </c>
      <c r="S190" s="115"/>
      <c r="T190" s="107" t="s">
        <v>396</v>
      </c>
      <c r="U190" s="117">
        <f t="shared" si="202"/>
        <v>6.1469385573402462E-3</v>
      </c>
      <c r="V190" s="117">
        <f t="shared" si="190"/>
        <v>3.314798474258956E-4</v>
      </c>
      <c r="W190" s="117">
        <f t="shared" si="191"/>
        <v>4.6785368397526635E-4</v>
      </c>
      <c r="X190" s="118">
        <f t="shared" si="192"/>
        <v>7.7999533365237072E-4</v>
      </c>
      <c r="Z190" s="107" t="s">
        <v>396</v>
      </c>
      <c r="AA190" s="113">
        <f t="shared" si="203"/>
        <v>-1723.6168499999999</v>
      </c>
      <c r="AB190" s="113">
        <f t="shared" si="193"/>
        <v>-934.25074999999993</v>
      </c>
      <c r="AC190" s="113">
        <f t="shared" si="194"/>
        <v>-2326.9368799999997</v>
      </c>
      <c r="AD190" s="116">
        <f t="shared" si="195"/>
        <v>-4984.8044799999989</v>
      </c>
      <c r="AE190" s="115"/>
      <c r="AF190" s="107" t="s">
        <v>396</v>
      </c>
      <c r="AG190" s="117">
        <f t="shared" si="204"/>
        <v>-0.59980746911335792</v>
      </c>
      <c r="AH190" s="117">
        <f t="shared" si="196"/>
        <v>-0.72464627226317302</v>
      </c>
      <c r="AI190" s="117">
        <f t="shared" si="197"/>
        <v>-0.74774552625244761</v>
      </c>
      <c r="AJ190" s="118">
        <f t="shared" si="198"/>
        <v>-0.685214907658934</v>
      </c>
    </row>
    <row r="191" spans="1:36" x14ac:dyDescent="0.25">
      <c r="A191">
        <v>12</v>
      </c>
      <c r="B191" s="107" t="s">
        <v>397</v>
      </c>
      <c r="C191" s="113">
        <f t="shared" si="185"/>
        <v>0</v>
      </c>
      <c r="D191" s="113">
        <f t="shared" si="185"/>
        <v>1868.5511900000001</v>
      </c>
      <c r="E191" s="113">
        <f t="shared" si="185"/>
        <v>3710.5802899999999</v>
      </c>
      <c r="F191" s="116">
        <f t="shared" si="199"/>
        <v>5579.13148</v>
      </c>
      <c r="G191" s="115"/>
      <c r="H191" s="107" t="s">
        <v>397</v>
      </c>
      <c r="I191" s="113">
        <f t="shared" si="186"/>
        <v>0</v>
      </c>
      <c r="J191" s="113">
        <f t="shared" si="186"/>
        <v>0</v>
      </c>
      <c r="K191" s="113">
        <f t="shared" si="186"/>
        <v>1020</v>
      </c>
      <c r="L191" s="116">
        <f t="shared" si="200"/>
        <v>1020</v>
      </c>
      <c r="N191" s="107" t="s">
        <v>397</v>
      </c>
      <c r="O191" s="117">
        <f t="shared" si="201"/>
        <v>0</v>
      </c>
      <c r="P191" s="117">
        <f t="shared" si="187"/>
        <v>4.3509823948998253E-3</v>
      </c>
      <c r="Q191" s="117">
        <f t="shared" si="188"/>
        <v>3.0391363576324449E-3</v>
      </c>
      <c r="R191" s="118">
        <f t="shared" si="189"/>
        <v>3.0840087035347717E-3</v>
      </c>
      <c r="S191" s="115"/>
      <c r="T191" s="107" t="s">
        <v>397</v>
      </c>
      <c r="U191" s="117">
        <f t="shared" si="202"/>
        <v>0</v>
      </c>
      <c r="V191" s="117">
        <f t="shared" si="190"/>
        <v>0</v>
      </c>
      <c r="W191" s="117">
        <f t="shared" si="191"/>
        <v>6.0791179319079195E-4</v>
      </c>
      <c r="X191" s="118">
        <f t="shared" si="192"/>
        <v>3.4742150232551012E-4</v>
      </c>
      <c r="Z191" s="107" t="s">
        <v>397</v>
      </c>
      <c r="AA191" s="113">
        <f t="shared" si="203"/>
        <v>0</v>
      </c>
      <c r="AB191" s="113">
        <f t="shared" si="193"/>
        <v>-1868.5511900000001</v>
      </c>
      <c r="AC191" s="113">
        <f t="shared" si="194"/>
        <v>-2690.5802899999999</v>
      </c>
      <c r="AD191" s="116">
        <f t="shared" si="195"/>
        <v>-4559.13148</v>
      </c>
      <c r="AE191" s="115"/>
      <c r="AF191" s="107" t="s">
        <v>397</v>
      </c>
      <c r="AG191" s="117">
        <f t="shared" si="204"/>
        <v>0</v>
      </c>
      <c r="AH191" s="117">
        <f t="shared" si="196"/>
        <v>-1</v>
      </c>
      <c r="AI191" s="117">
        <f t="shared" si="197"/>
        <v>-0.72511038158939822</v>
      </c>
      <c r="AJ191" s="118">
        <f t="shared" si="198"/>
        <v>-0.8171758447248495</v>
      </c>
    </row>
    <row r="192" spans="1:36" x14ac:dyDescent="0.25">
      <c r="A192">
        <v>13</v>
      </c>
      <c r="B192" s="107" t="s">
        <v>398</v>
      </c>
      <c r="C192" s="113">
        <f t="shared" si="185"/>
        <v>7303.2996700000003</v>
      </c>
      <c r="D192" s="113">
        <f t="shared" si="185"/>
        <v>1810.4460000000001</v>
      </c>
      <c r="E192" s="113">
        <f t="shared" si="185"/>
        <v>1742.08295</v>
      </c>
      <c r="F192" s="116">
        <f t="shared" si="199"/>
        <v>10855.82862</v>
      </c>
      <c r="G192" s="115"/>
      <c r="H192" s="107" t="s">
        <v>398</v>
      </c>
      <c r="I192" s="113">
        <f t="shared" si="186"/>
        <v>12500</v>
      </c>
      <c r="J192" s="113">
        <f t="shared" si="186"/>
        <v>4330</v>
      </c>
      <c r="K192" s="113">
        <f t="shared" si="186"/>
        <v>2440</v>
      </c>
      <c r="L192" s="116">
        <f t="shared" si="200"/>
        <v>19270</v>
      </c>
      <c r="N192" s="107" t="s">
        <v>398</v>
      </c>
      <c r="O192" s="117">
        <f t="shared" si="201"/>
        <v>4.6029884939410404E-2</v>
      </c>
      <c r="P192" s="117">
        <f t="shared" si="187"/>
        <v>4.2156825646916364E-3</v>
      </c>
      <c r="Q192" s="117">
        <f t="shared" si="188"/>
        <v>1.4268462659668213E-3</v>
      </c>
      <c r="R192" s="118">
        <f t="shared" si="189"/>
        <v>6.0008390316985093E-3</v>
      </c>
      <c r="S192" s="115"/>
      <c r="T192" s="107" t="s">
        <v>398</v>
      </c>
      <c r="U192" s="117">
        <f t="shared" si="202"/>
        <v>6.6814549536307027E-2</v>
      </c>
      <c r="V192" s="117">
        <f t="shared" si="190"/>
        <v>4.0431203925468387E-3</v>
      </c>
      <c r="W192" s="117">
        <f t="shared" si="191"/>
        <v>1.4542203680250317E-3</v>
      </c>
      <c r="X192" s="118">
        <f t="shared" si="192"/>
        <v>6.5635415194240975E-3</v>
      </c>
      <c r="Z192" s="107" t="s">
        <v>398</v>
      </c>
      <c r="AA192" s="113">
        <f t="shared" si="203"/>
        <v>5196.7003299999997</v>
      </c>
      <c r="AB192" s="113">
        <f t="shared" si="193"/>
        <v>2519.5540000000001</v>
      </c>
      <c r="AC192" s="113">
        <f t="shared" si="194"/>
        <v>697.91705000000002</v>
      </c>
      <c r="AD192" s="116">
        <f t="shared" si="195"/>
        <v>8414.1713799999998</v>
      </c>
      <c r="AE192" s="115"/>
      <c r="AF192" s="107" t="s">
        <v>398</v>
      </c>
      <c r="AG192" s="117">
        <f t="shared" si="204"/>
        <v>0.7115551277933525</v>
      </c>
      <c r="AH192" s="117">
        <f t="shared" si="196"/>
        <v>1.3916758632955635</v>
      </c>
      <c r="AI192" s="117">
        <f t="shared" si="197"/>
        <v>0.40062216899602859</v>
      </c>
      <c r="AJ192" s="118">
        <f t="shared" si="198"/>
        <v>0.77508329161519129</v>
      </c>
    </row>
    <row r="193" spans="1:36" x14ac:dyDescent="0.25">
      <c r="A193">
        <v>14</v>
      </c>
      <c r="B193" s="107" t="s">
        <v>399</v>
      </c>
      <c r="C193" s="113">
        <f t="shared" si="185"/>
        <v>94.936409999999995</v>
      </c>
      <c r="D193" s="113">
        <f t="shared" si="185"/>
        <v>46.280889999999999</v>
      </c>
      <c r="E193" s="113">
        <f t="shared" si="185"/>
        <v>534.73186999999996</v>
      </c>
      <c r="F193" s="116">
        <f t="shared" si="199"/>
        <v>675.94916999999998</v>
      </c>
      <c r="G193" s="115"/>
      <c r="H193" s="107" t="s">
        <v>399</v>
      </c>
      <c r="I193" s="113">
        <f t="shared" si="186"/>
        <v>0</v>
      </c>
      <c r="J193" s="113">
        <f t="shared" si="186"/>
        <v>0</v>
      </c>
      <c r="K193" s="113">
        <f t="shared" si="186"/>
        <v>0</v>
      </c>
      <c r="L193" s="116">
        <f t="shared" si="200"/>
        <v>0</v>
      </c>
      <c r="N193" s="107" t="s">
        <v>399</v>
      </c>
      <c r="O193" s="117">
        <f t="shared" si="201"/>
        <v>5.9834762728018943E-4</v>
      </c>
      <c r="P193" s="117">
        <f t="shared" si="187"/>
        <v>1.077665619694879E-4</v>
      </c>
      <c r="Q193" s="117">
        <f t="shared" si="188"/>
        <v>4.3797005877530438E-4</v>
      </c>
      <c r="R193" s="118">
        <f t="shared" si="189"/>
        <v>3.7364832338152839E-4</v>
      </c>
      <c r="S193" s="115"/>
      <c r="T193" s="107" t="s">
        <v>399</v>
      </c>
      <c r="U193" s="117">
        <f t="shared" si="202"/>
        <v>0</v>
      </c>
      <c r="V193" s="117">
        <f t="shared" si="190"/>
        <v>0</v>
      </c>
      <c r="W193" s="117">
        <f t="shared" si="191"/>
        <v>0</v>
      </c>
      <c r="X193" s="118">
        <f t="shared" si="192"/>
        <v>0</v>
      </c>
      <c r="Z193" s="107" t="s">
        <v>399</v>
      </c>
      <c r="AA193" s="113">
        <f t="shared" si="203"/>
        <v>-94.936409999999995</v>
      </c>
      <c r="AB193" s="113">
        <f t="shared" si="193"/>
        <v>-46.280889999999999</v>
      </c>
      <c r="AC193" s="113">
        <f t="shared" si="194"/>
        <v>-534.73186999999996</v>
      </c>
      <c r="AD193" s="116">
        <f t="shared" si="195"/>
        <v>-675.94916999999998</v>
      </c>
      <c r="AE193" s="115"/>
      <c r="AF193" s="107" t="s">
        <v>399</v>
      </c>
      <c r="AG193" s="117">
        <f t="shared" si="204"/>
        <v>-1</v>
      </c>
      <c r="AH193" s="117">
        <f t="shared" si="196"/>
        <v>-1</v>
      </c>
      <c r="AI193" s="117">
        <f t="shared" si="197"/>
        <v>-1</v>
      </c>
      <c r="AJ193" s="118">
        <f t="shared" si="198"/>
        <v>-1</v>
      </c>
    </row>
    <row r="194" spans="1:36" ht="15.75" thickBot="1" x14ac:dyDescent="0.3">
      <c r="B194" s="108" t="s">
        <v>29</v>
      </c>
      <c r="C194" s="109">
        <f>SUM(C180:C193)</f>
        <v>170303.28688999999</v>
      </c>
      <c r="D194" s="110">
        <f>SUM(D180:D193)</f>
        <v>588038.16495000001</v>
      </c>
      <c r="E194" s="111">
        <f>SUM(E180:E193)</f>
        <v>1501455.3965599998</v>
      </c>
      <c r="F194" s="112">
        <f>SUM(F180:F193)</f>
        <v>2259796.8483999996</v>
      </c>
      <c r="H194" s="108" t="s">
        <v>29</v>
      </c>
      <c r="I194" s="109">
        <f>SUM(I180:I193)</f>
        <v>212580</v>
      </c>
      <c r="J194" s="110">
        <f>SUM(J180:J193)</f>
        <v>1318475</v>
      </c>
      <c r="K194" s="111">
        <f>SUM(K180:K193)</f>
        <v>1952290</v>
      </c>
      <c r="L194" s="112">
        <f>SUM(L180:L193)</f>
        <v>3483345</v>
      </c>
      <c r="N194" s="108" t="s">
        <v>29</v>
      </c>
      <c r="O194" s="120">
        <f t="shared" si="201"/>
        <v>1.0733560246132006</v>
      </c>
      <c r="P194" s="121">
        <f t="shared" si="187"/>
        <v>1.3692660478981307</v>
      </c>
      <c r="Q194" s="122">
        <f t="shared" si="188"/>
        <v>1.2297612040215242</v>
      </c>
      <c r="R194" s="123">
        <f t="shared" si="189"/>
        <v>1.2491609444353955</v>
      </c>
      <c r="T194" s="108" t="s">
        <v>29</v>
      </c>
      <c r="U194" s="120">
        <f t="shared" si="202"/>
        <v>1.1362749552342517</v>
      </c>
      <c r="V194" s="121">
        <f t="shared" si="190"/>
        <v>1.2311208220700216</v>
      </c>
      <c r="W194" s="122">
        <f t="shared" si="191"/>
        <v>1.1635491320867168</v>
      </c>
      <c r="X194" s="123">
        <f t="shared" si="192"/>
        <v>1.1864597578608373</v>
      </c>
      <c r="Z194" s="108" t="s">
        <v>29</v>
      </c>
      <c r="AA194" s="109">
        <f t="shared" si="203"/>
        <v>42276.713110000012</v>
      </c>
      <c r="AB194" s="110">
        <f t="shared" si="193"/>
        <v>730436.83504999999</v>
      </c>
      <c r="AC194" s="111">
        <f t="shared" si="194"/>
        <v>450834.60344000021</v>
      </c>
      <c r="AD194" s="112">
        <f t="shared" si="195"/>
        <v>1223548.1516000004</v>
      </c>
      <c r="AF194" s="108" t="s">
        <v>29</v>
      </c>
      <c r="AG194" s="117">
        <f t="shared" si="204"/>
        <v>0.24824367093576308</v>
      </c>
      <c r="AH194" s="117">
        <f t="shared" si="196"/>
        <v>1.2421588913571757</v>
      </c>
      <c r="AI194" s="117">
        <f t="shared" si="197"/>
        <v>0.30026506579743367</v>
      </c>
      <c r="AJ194" s="118">
        <f t="shared" si="198"/>
        <v>0.54144165767215191</v>
      </c>
    </row>
    <row r="196" spans="1:36" ht="26.25" x14ac:dyDescent="0.4">
      <c r="A196" s="150" t="s">
        <v>524</v>
      </c>
    </row>
    <row r="197" spans="1:36" ht="26.25" x14ac:dyDescent="0.25">
      <c r="B197" s="102" t="s">
        <v>134</v>
      </c>
      <c r="C197" s="103" t="s">
        <v>135</v>
      </c>
      <c r="D197" s="104" t="s">
        <v>136</v>
      </c>
      <c r="E197" s="105" t="s">
        <v>137</v>
      </c>
      <c r="F197" s="106" t="s">
        <v>29</v>
      </c>
      <c r="H197" s="102" t="s">
        <v>134</v>
      </c>
      <c r="I197" s="103" t="s">
        <v>135</v>
      </c>
      <c r="J197" s="104" t="s">
        <v>136</v>
      </c>
      <c r="K197" s="105" t="s">
        <v>137</v>
      </c>
      <c r="L197" s="106" t="s">
        <v>29</v>
      </c>
      <c r="N197" s="102" t="s">
        <v>134</v>
      </c>
      <c r="O197" s="103" t="s">
        <v>135</v>
      </c>
      <c r="P197" s="104" t="s">
        <v>136</v>
      </c>
      <c r="Q197" s="105" t="s">
        <v>137</v>
      </c>
      <c r="R197" s="106" t="s">
        <v>29</v>
      </c>
      <c r="T197" s="102" t="s">
        <v>134</v>
      </c>
      <c r="U197" s="103" t="s">
        <v>135</v>
      </c>
      <c r="V197" s="104" t="s">
        <v>136</v>
      </c>
      <c r="W197" s="105" t="s">
        <v>137</v>
      </c>
      <c r="X197" s="106" t="s">
        <v>29</v>
      </c>
      <c r="Z197" s="102" t="s">
        <v>134</v>
      </c>
      <c r="AA197" s="103" t="s">
        <v>135</v>
      </c>
      <c r="AB197" s="104" t="s">
        <v>136</v>
      </c>
      <c r="AC197" s="105" t="s">
        <v>137</v>
      </c>
      <c r="AD197" s="106" t="s">
        <v>29</v>
      </c>
      <c r="AF197" s="102" t="s">
        <v>134</v>
      </c>
      <c r="AG197" s="103" t="s">
        <v>135</v>
      </c>
      <c r="AH197" s="104" t="s">
        <v>136</v>
      </c>
      <c r="AI197" s="105" t="s">
        <v>137</v>
      </c>
      <c r="AJ197" s="106" t="s">
        <v>29</v>
      </c>
    </row>
    <row r="198" spans="1:36" x14ac:dyDescent="0.25">
      <c r="A198">
        <v>1</v>
      </c>
      <c r="B198" s="107" t="s">
        <v>386</v>
      </c>
      <c r="C198" s="113">
        <f t="shared" ref="C198:E211" si="205">C93+C127</f>
        <v>3336.3014400000002</v>
      </c>
      <c r="D198" s="113">
        <f t="shared" si="205"/>
        <v>106682.22534</v>
      </c>
      <c r="E198" s="113">
        <f t="shared" si="205"/>
        <v>564511.13792000001</v>
      </c>
      <c r="F198" s="114">
        <f>SUM(C198:E198)</f>
        <v>674529.66469999996</v>
      </c>
      <c r="G198" s="115"/>
      <c r="H198" s="107" t="s">
        <v>386</v>
      </c>
      <c r="I198" s="113">
        <f t="shared" ref="I198:K211" si="206">I93+I127</f>
        <v>0</v>
      </c>
      <c r="J198" s="113">
        <f t="shared" si="206"/>
        <v>306855</v>
      </c>
      <c r="K198" s="113">
        <f t="shared" si="206"/>
        <v>813810</v>
      </c>
      <c r="L198" s="114">
        <f>SUM(I198:K198)</f>
        <v>1120665</v>
      </c>
      <c r="N198" s="107" t="s">
        <v>386</v>
      </c>
      <c r="O198" s="117">
        <f>C198/C$90</f>
        <v>2.1027422993090635E-2</v>
      </c>
      <c r="P198" s="117">
        <f t="shared" ref="P198:P212" si="207">D198/D$90</f>
        <v>0.24841304149825083</v>
      </c>
      <c r="Q198" s="117">
        <f t="shared" ref="Q198:Q212" si="208">E198/E$90</f>
        <v>0.4623606523660847</v>
      </c>
      <c r="R198" s="118">
        <f t="shared" ref="R198:R212" si="209">F198/F$90</f>
        <v>0.37286365524534859</v>
      </c>
      <c r="S198" s="115"/>
      <c r="T198" s="107" t="s">
        <v>386</v>
      </c>
      <c r="U198" s="117">
        <f>I198/I$90</f>
        <v>0</v>
      </c>
      <c r="V198" s="117">
        <f t="shared" ref="V198:V212" si="210">J198/J$90</f>
        <v>0.28652464389260052</v>
      </c>
      <c r="W198" s="117">
        <f t="shared" ref="W198:W212" si="211">K198/K$90</f>
        <v>0.48502421217313568</v>
      </c>
      <c r="X198" s="118">
        <f t="shared" ref="X198:X212" si="212">L198/L$90</f>
        <v>0.38170893912119391</v>
      </c>
      <c r="Z198" s="107" t="s">
        <v>386</v>
      </c>
      <c r="AA198" s="113">
        <f>I198-C198</f>
        <v>-3336.3014400000002</v>
      </c>
      <c r="AB198" s="113">
        <f t="shared" ref="AB198:AB212" si="213">J198-D198</f>
        <v>200172.77466</v>
      </c>
      <c r="AC198" s="113">
        <f t="shared" ref="AC198:AC212" si="214">K198-E198</f>
        <v>249298.86207999999</v>
      </c>
      <c r="AD198" s="114">
        <f t="shared" ref="AD198:AD212" si="215">L198-F198</f>
        <v>446135.33530000004</v>
      </c>
      <c r="AE198" s="115"/>
      <c r="AF198" s="107" t="s">
        <v>386</v>
      </c>
      <c r="AG198" s="117">
        <f>IF(C198=0, 0,AA198/C198)</f>
        <v>-1</v>
      </c>
      <c r="AH198" s="117">
        <f t="shared" ref="AH198:AH212" si="216">IF(D198=0, 0,AB198/D198)</f>
        <v>1.8763460737910398</v>
      </c>
      <c r="AI198" s="117">
        <f t="shared" ref="AI198:AI212" si="217">IF(E198=0, 0,AC198/E198)</f>
        <v>0.44161903164314448</v>
      </c>
      <c r="AJ198" s="118">
        <f t="shared" ref="AJ198:AJ212" si="218">IF(F198=0, 0,AD198/F198)</f>
        <v>0.66140209785795068</v>
      </c>
    </row>
    <row r="199" spans="1:36" x14ac:dyDescent="0.25">
      <c r="A199">
        <v>2</v>
      </c>
      <c r="B199" s="107" t="s">
        <v>387</v>
      </c>
      <c r="C199" s="113">
        <f t="shared" si="205"/>
        <v>71.544870000000003</v>
      </c>
      <c r="D199" s="113">
        <f t="shared" si="205"/>
        <v>701.86968000000002</v>
      </c>
      <c r="E199" s="113">
        <f t="shared" si="205"/>
        <v>11850.152819999999</v>
      </c>
      <c r="F199" s="116">
        <f t="shared" ref="F199:F211" si="219">SUM(C199:E199)</f>
        <v>12623.567369999999</v>
      </c>
      <c r="G199" s="115"/>
      <c r="H199" s="107" t="s">
        <v>387</v>
      </c>
      <c r="I199" s="113">
        <f t="shared" si="206"/>
        <v>0</v>
      </c>
      <c r="J199" s="113">
        <f t="shared" si="206"/>
        <v>22860</v>
      </c>
      <c r="K199" s="113">
        <f t="shared" si="206"/>
        <v>58175</v>
      </c>
      <c r="L199" s="116">
        <f t="shared" ref="L199:L211" si="220">SUM(I199:K199)</f>
        <v>81035</v>
      </c>
      <c r="N199" s="107" t="s">
        <v>387</v>
      </c>
      <c r="O199" s="117">
        <f t="shared" ref="O199:O212" si="221">C199/C$90</f>
        <v>4.5091975995900424E-4</v>
      </c>
      <c r="P199" s="117">
        <f t="shared" si="207"/>
        <v>1.6343264436838756E-3</v>
      </c>
      <c r="Q199" s="117">
        <f t="shared" si="208"/>
        <v>9.7058215869417677E-3</v>
      </c>
      <c r="R199" s="118">
        <f t="shared" si="209"/>
        <v>6.9780021815756786E-3</v>
      </c>
      <c r="S199" s="115"/>
      <c r="T199" s="107" t="s">
        <v>387</v>
      </c>
      <c r="U199" s="117">
        <f t="shared" ref="U199:U212" si="222">I199/I$90</f>
        <v>0</v>
      </c>
      <c r="V199" s="117">
        <f t="shared" si="210"/>
        <v>2.1345434682129502E-2</v>
      </c>
      <c r="W199" s="117">
        <f t="shared" si="211"/>
        <v>3.4671831930268938E-2</v>
      </c>
      <c r="X199" s="118">
        <f t="shared" si="212"/>
        <v>2.7601275922497757E-2</v>
      </c>
      <c r="Z199" s="107" t="s">
        <v>387</v>
      </c>
      <c r="AA199" s="113">
        <f t="shared" ref="AA199:AA212" si="223">I199-C199</f>
        <v>-71.544870000000003</v>
      </c>
      <c r="AB199" s="113">
        <f t="shared" si="213"/>
        <v>22158.13032</v>
      </c>
      <c r="AC199" s="113">
        <f t="shared" si="214"/>
        <v>46324.847179999997</v>
      </c>
      <c r="AD199" s="116">
        <f t="shared" si="215"/>
        <v>68411.432629999996</v>
      </c>
      <c r="AE199" s="115"/>
      <c r="AF199" s="107" t="s">
        <v>387</v>
      </c>
      <c r="AG199" s="117">
        <f t="shared" ref="AG199:AG212" si="224">IF(C199=0, 0,AA199/C199)</f>
        <v>-1</v>
      </c>
      <c r="AH199" s="117">
        <f t="shared" si="216"/>
        <v>31.570148919953343</v>
      </c>
      <c r="AI199" s="117">
        <f t="shared" si="217"/>
        <v>3.9092193901344134</v>
      </c>
      <c r="AJ199" s="118">
        <f t="shared" si="218"/>
        <v>5.419342300384935</v>
      </c>
    </row>
    <row r="200" spans="1:36" x14ac:dyDescent="0.25">
      <c r="A200">
        <v>3</v>
      </c>
      <c r="B200" s="107" t="s">
        <v>388</v>
      </c>
      <c r="C200" s="113">
        <f t="shared" si="205"/>
        <v>14308.5602</v>
      </c>
      <c r="D200" s="113">
        <f t="shared" si="205"/>
        <v>117935.42185</v>
      </c>
      <c r="E200" s="113">
        <f t="shared" si="205"/>
        <v>307043.50924000004</v>
      </c>
      <c r="F200" s="116">
        <f t="shared" si="219"/>
        <v>439287.49129000003</v>
      </c>
      <c r="G200" s="115"/>
      <c r="H200" s="107" t="s">
        <v>388</v>
      </c>
      <c r="I200" s="113">
        <f t="shared" si="206"/>
        <v>33395</v>
      </c>
      <c r="J200" s="113">
        <f t="shared" si="206"/>
        <v>290930</v>
      </c>
      <c r="K200" s="113">
        <f t="shared" si="206"/>
        <v>399605</v>
      </c>
      <c r="L200" s="116">
        <f t="shared" si="220"/>
        <v>723930</v>
      </c>
      <c r="N200" s="107" t="s">
        <v>388</v>
      </c>
      <c r="O200" s="117">
        <f t="shared" si="221"/>
        <v>9.0181343969776756E-2</v>
      </c>
      <c r="P200" s="117">
        <f t="shared" si="207"/>
        <v>0.2746164766320553</v>
      </c>
      <c r="Q200" s="117">
        <f t="shared" si="208"/>
        <v>0.25148279227946252</v>
      </c>
      <c r="R200" s="118">
        <f t="shared" si="209"/>
        <v>0.24282748154419107</v>
      </c>
      <c r="S200" s="115"/>
      <c r="T200" s="107" t="s">
        <v>388</v>
      </c>
      <c r="U200" s="117">
        <f t="shared" si="222"/>
        <v>0.17850175054119785</v>
      </c>
      <c r="V200" s="117">
        <f t="shared" si="210"/>
        <v>0.27165473806088958</v>
      </c>
      <c r="W200" s="117">
        <f t="shared" si="211"/>
        <v>0.23816136482157491</v>
      </c>
      <c r="X200" s="118">
        <f t="shared" si="212"/>
        <v>0.24657730213579071</v>
      </c>
      <c r="Z200" s="107" t="s">
        <v>388</v>
      </c>
      <c r="AA200" s="113">
        <f t="shared" si="223"/>
        <v>19086.4398</v>
      </c>
      <c r="AB200" s="113">
        <f t="shared" si="213"/>
        <v>172994.57815000002</v>
      </c>
      <c r="AC200" s="113">
        <f t="shared" si="214"/>
        <v>92561.490759999957</v>
      </c>
      <c r="AD200" s="116">
        <f t="shared" si="215"/>
        <v>284642.50870999997</v>
      </c>
      <c r="AE200" s="115"/>
      <c r="AF200" s="107" t="s">
        <v>388</v>
      </c>
      <c r="AG200" s="117">
        <f t="shared" si="224"/>
        <v>1.3339175663530423</v>
      </c>
      <c r="AH200" s="117">
        <f t="shared" si="216"/>
        <v>1.4668585183001999</v>
      </c>
      <c r="AI200" s="117">
        <f t="shared" si="217"/>
        <v>0.30146050307042777</v>
      </c>
      <c r="AJ200" s="118">
        <f t="shared" si="218"/>
        <v>0.64796406534164286</v>
      </c>
    </row>
    <row r="201" spans="1:36" x14ac:dyDescent="0.25">
      <c r="A201">
        <v>4</v>
      </c>
      <c r="B201" s="107" t="s">
        <v>389</v>
      </c>
      <c r="C201" s="113">
        <f t="shared" si="205"/>
        <v>0</v>
      </c>
      <c r="D201" s="113">
        <f t="shared" si="205"/>
        <v>3366.1079399999999</v>
      </c>
      <c r="E201" s="113">
        <f t="shared" si="205"/>
        <v>5630.1949500000001</v>
      </c>
      <c r="F201" s="116">
        <f t="shared" si="219"/>
        <v>8996.302889999999</v>
      </c>
      <c r="G201" s="115"/>
      <c r="H201" s="107" t="s">
        <v>389</v>
      </c>
      <c r="I201" s="113">
        <f t="shared" si="206"/>
        <v>390</v>
      </c>
      <c r="J201" s="113">
        <f t="shared" si="206"/>
        <v>5350</v>
      </c>
      <c r="K201" s="113">
        <f t="shared" si="206"/>
        <v>8015</v>
      </c>
      <c r="L201" s="116">
        <f t="shared" si="220"/>
        <v>13755</v>
      </c>
      <c r="N201" s="107" t="s">
        <v>389</v>
      </c>
      <c r="O201" s="117">
        <f t="shared" si="221"/>
        <v>0</v>
      </c>
      <c r="P201" s="117">
        <f t="shared" si="207"/>
        <v>7.8380921350474295E-3</v>
      </c>
      <c r="Q201" s="117">
        <f t="shared" si="208"/>
        <v>4.6113892803283305E-3</v>
      </c>
      <c r="R201" s="118">
        <f t="shared" si="209"/>
        <v>4.972938263214227E-3</v>
      </c>
      <c r="S201" s="115"/>
      <c r="T201" s="107" t="s">
        <v>389</v>
      </c>
      <c r="U201" s="117">
        <f t="shared" si="222"/>
        <v>2.0846139455327792E-3</v>
      </c>
      <c r="V201" s="117">
        <f t="shared" si="210"/>
        <v>4.9955413626156095E-3</v>
      </c>
      <c r="W201" s="117">
        <f t="shared" si="211"/>
        <v>4.7768755121805851E-3</v>
      </c>
      <c r="X201" s="118">
        <f t="shared" si="212"/>
        <v>4.6850811416543053E-3</v>
      </c>
      <c r="Z201" s="107" t="s">
        <v>389</v>
      </c>
      <c r="AA201" s="113">
        <f t="shared" si="223"/>
        <v>390</v>
      </c>
      <c r="AB201" s="113">
        <f t="shared" si="213"/>
        <v>1983.8920600000001</v>
      </c>
      <c r="AC201" s="113">
        <f t="shared" si="214"/>
        <v>2384.8050499999999</v>
      </c>
      <c r="AD201" s="116">
        <f t="shared" si="215"/>
        <v>4758.697110000001</v>
      </c>
      <c r="AE201" s="115"/>
      <c r="AF201" s="107" t="s">
        <v>389</v>
      </c>
      <c r="AG201" s="117">
        <f t="shared" si="224"/>
        <v>0</v>
      </c>
      <c r="AH201" s="117">
        <f t="shared" si="216"/>
        <v>0.58937268066335391</v>
      </c>
      <c r="AI201" s="117">
        <f t="shared" si="217"/>
        <v>0.42357415172630919</v>
      </c>
      <c r="AJ201" s="118">
        <f t="shared" si="218"/>
        <v>0.52896141539316288</v>
      </c>
    </row>
    <row r="202" spans="1:36" x14ac:dyDescent="0.25">
      <c r="A202">
        <v>5</v>
      </c>
      <c r="B202" s="107" t="s">
        <v>390</v>
      </c>
      <c r="C202" s="113">
        <f t="shared" si="205"/>
        <v>4817.5079700000006</v>
      </c>
      <c r="D202" s="113">
        <f t="shared" si="205"/>
        <v>89297.377680000005</v>
      </c>
      <c r="E202" s="113">
        <f t="shared" si="205"/>
        <v>288121.14097999997</v>
      </c>
      <c r="F202" s="116">
        <f t="shared" si="219"/>
        <v>382236.02662999998</v>
      </c>
      <c r="G202" s="115"/>
      <c r="H202" s="107" t="s">
        <v>390</v>
      </c>
      <c r="I202" s="113">
        <f t="shared" si="206"/>
        <v>8865</v>
      </c>
      <c r="J202" s="113">
        <f t="shared" si="206"/>
        <v>207890</v>
      </c>
      <c r="K202" s="113">
        <f t="shared" si="206"/>
        <v>372720</v>
      </c>
      <c r="L202" s="116">
        <f t="shared" si="220"/>
        <v>589475</v>
      </c>
      <c r="N202" s="107" t="s">
        <v>390</v>
      </c>
      <c r="O202" s="117">
        <f t="shared" si="221"/>
        <v>3.0362897261997819E-2</v>
      </c>
      <c r="P202" s="117">
        <f t="shared" si="207"/>
        <v>0.20793185665756397</v>
      </c>
      <c r="Q202" s="117">
        <f t="shared" si="208"/>
        <v>0.23598450013727135</v>
      </c>
      <c r="R202" s="118">
        <f t="shared" si="209"/>
        <v>0.2112908141988202</v>
      </c>
      <c r="S202" s="115"/>
      <c r="T202" s="107" t="s">
        <v>390</v>
      </c>
      <c r="U202" s="117">
        <f t="shared" si="222"/>
        <v>4.7384878531148943E-2</v>
      </c>
      <c r="V202" s="117">
        <f t="shared" si="210"/>
        <v>0.19411646614470263</v>
      </c>
      <c r="W202" s="117">
        <f t="shared" si="211"/>
        <v>0.22213812113536469</v>
      </c>
      <c r="X202" s="118">
        <f t="shared" si="212"/>
        <v>0.20078067655228438</v>
      </c>
      <c r="Z202" s="107" t="s">
        <v>390</v>
      </c>
      <c r="AA202" s="113">
        <f t="shared" si="223"/>
        <v>4047.4920299999994</v>
      </c>
      <c r="AB202" s="113">
        <f t="shared" si="213"/>
        <v>118592.62231999999</v>
      </c>
      <c r="AC202" s="113">
        <f t="shared" si="214"/>
        <v>84598.859020000033</v>
      </c>
      <c r="AD202" s="116">
        <f t="shared" si="215"/>
        <v>207238.97337000002</v>
      </c>
      <c r="AE202" s="115"/>
      <c r="AF202" s="107" t="s">
        <v>390</v>
      </c>
      <c r="AG202" s="117">
        <f t="shared" si="224"/>
        <v>0.84016301689688722</v>
      </c>
      <c r="AH202" s="117">
        <f t="shared" si="216"/>
        <v>1.3280638849774562</v>
      </c>
      <c r="AI202" s="117">
        <f t="shared" si="217"/>
        <v>0.29362253228711355</v>
      </c>
      <c r="AJ202" s="118">
        <f t="shared" si="218"/>
        <v>0.54217540716172452</v>
      </c>
    </row>
    <row r="203" spans="1:36" x14ac:dyDescent="0.25">
      <c r="A203">
        <v>6</v>
      </c>
      <c r="B203" s="107" t="s">
        <v>391</v>
      </c>
      <c r="C203" s="113">
        <f t="shared" si="205"/>
        <v>0</v>
      </c>
      <c r="D203" s="113">
        <f t="shared" si="205"/>
        <v>3244.2997800000003</v>
      </c>
      <c r="E203" s="113">
        <f t="shared" si="205"/>
        <v>7271.8721800000003</v>
      </c>
      <c r="F203" s="116">
        <f t="shared" si="219"/>
        <v>10516.17196</v>
      </c>
      <c r="G203" s="115"/>
      <c r="H203" s="107" t="s">
        <v>391</v>
      </c>
      <c r="I203" s="113">
        <f t="shared" si="206"/>
        <v>50</v>
      </c>
      <c r="J203" s="113">
        <f t="shared" si="206"/>
        <v>2185</v>
      </c>
      <c r="K203" s="113">
        <f t="shared" si="206"/>
        <v>3735</v>
      </c>
      <c r="L203" s="116">
        <f t="shared" si="220"/>
        <v>5970</v>
      </c>
      <c r="N203" s="107" t="s">
        <v>391</v>
      </c>
      <c r="O203" s="117">
        <f t="shared" si="221"/>
        <v>0</v>
      </c>
      <c r="P203" s="117">
        <f t="shared" si="207"/>
        <v>7.5544578613109207E-3</v>
      </c>
      <c r="Q203" s="117">
        <f t="shared" si="208"/>
        <v>5.9559986317649282E-3</v>
      </c>
      <c r="R203" s="118">
        <f t="shared" si="209"/>
        <v>5.8130850597032926E-3</v>
      </c>
      <c r="S203" s="115"/>
      <c r="T203" s="107" t="s">
        <v>391</v>
      </c>
      <c r="U203" s="117">
        <f t="shared" si="222"/>
        <v>2.6725819814522813E-4</v>
      </c>
      <c r="V203" s="117">
        <f t="shared" si="210"/>
        <v>2.0402351172551601E-3</v>
      </c>
      <c r="W203" s="117">
        <f t="shared" si="211"/>
        <v>2.2260299485956938E-3</v>
      </c>
      <c r="X203" s="118">
        <f t="shared" si="212"/>
        <v>2.0334376165522501E-3</v>
      </c>
      <c r="Z203" s="107" t="s">
        <v>391</v>
      </c>
      <c r="AA203" s="113">
        <f t="shared" si="223"/>
        <v>50</v>
      </c>
      <c r="AB203" s="113">
        <f t="shared" si="213"/>
        <v>-1059.2997800000003</v>
      </c>
      <c r="AC203" s="113">
        <f t="shared" si="214"/>
        <v>-3536.8721800000003</v>
      </c>
      <c r="AD203" s="116">
        <f t="shared" si="215"/>
        <v>-4546.1719599999997</v>
      </c>
      <c r="AE203" s="115"/>
      <c r="AF203" s="107" t="s">
        <v>391</v>
      </c>
      <c r="AG203" s="117">
        <f t="shared" si="224"/>
        <v>0</v>
      </c>
      <c r="AH203" s="117">
        <f t="shared" si="216"/>
        <v>-0.32651106612595465</v>
      </c>
      <c r="AI203" s="117">
        <f t="shared" si="217"/>
        <v>-0.4863771106603802</v>
      </c>
      <c r="AJ203" s="118">
        <f t="shared" si="218"/>
        <v>-0.43230293088512789</v>
      </c>
    </row>
    <row r="204" spans="1:36" x14ac:dyDescent="0.25">
      <c r="A204">
        <v>7</v>
      </c>
      <c r="B204" s="107" t="s">
        <v>392</v>
      </c>
      <c r="C204" s="113">
        <f t="shared" si="205"/>
        <v>38101.286510000005</v>
      </c>
      <c r="D204" s="113">
        <f t="shared" si="205"/>
        <v>81982.023329999996</v>
      </c>
      <c r="E204" s="113">
        <f t="shared" si="205"/>
        <v>99901.866940000007</v>
      </c>
      <c r="F204" s="116">
        <f t="shared" si="219"/>
        <v>219985.17678000001</v>
      </c>
      <c r="G204" s="115"/>
      <c r="H204" s="107" t="s">
        <v>392</v>
      </c>
      <c r="I204" s="113">
        <f t="shared" si="206"/>
        <v>86380</v>
      </c>
      <c r="J204" s="113">
        <f t="shared" si="206"/>
        <v>240305</v>
      </c>
      <c r="K204" s="113">
        <f t="shared" si="206"/>
        <v>155150</v>
      </c>
      <c r="L204" s="116">
        <f t="shared" si="220"/>
        <v>481835</v>
      </c>
      <c r="N204" s="107" t="s">
        <v>392</v>
      </c>
      <c r="O204" s="117">
        <f t="shared" si="221"/>
        <v>0.24013773408517547</v>
      </c>
      <c r="P204" s="117">
        <f t="shared" si="207"/>
        <v>0.19089781543908182</v>
      </c>
      <c r="Q204" s="117">
        <f t="shared" si="208"/>
        <v>8.1824235640704276E-2</v>
      </c>
      <c r="R204" s="118">
        <f t="shared" si="209"/>
        <v>0.12160247563087641</v>
      </c>
      <c r="S204" s="115"/>
      <c r="T204" s="107" t="s">
        <v>392</v>
      </c>
      <c r="U204" s="117">
        <f t="shared" si="222"/>
        <v>0.46171526311569605</v>
      </c>
      <c r="V204" s="117">
        <f t="shared" si="210"/>
        <v>0.2243838443258587</v>
      </c>
      <c r="W204" s="117">
        <f t="shared" si="211"/>
        <v>9.2468151679952315E-2</v>
      </c>
      <c r="X204" s="118">
        <f t="shared" si="212"/>
        <v>0.1641174897774629</v>
      </c>
      <c r="Z204" s="107" t="s">
        <v>392</v>
      </c>
      <c r="AA204" s="113">
        <f t="shared" si="223"/>
        <v>48278.713489999995</v>
      </c>
      <c r="AB204" s="113">
        <f t="shared" si="213"/>
        <v>158322.97667</v>
      </c>
      <c r="AC204" s="113">
        <f t="shared" si="214"/>
        <v>55248.133059999993</v>
      </c>
      <c r="AD204" s="116">
        <f t="shared" si="215"/>
        <v>261849.82321999999</v>
      </c>
      <c r="AE204" s="115"/>
      <c r="AF204" s="107" t="s">
        <v>392</v>
      </c>
      <c r="AG204" s="117">
        <f t="shared" si="224"/>
        <v>1.2671150481317432</v>
      </c>
      <c r="AH204" s="117">
        <f t="shared" si="216"/>
        <v>1.9311913787819905</v>
      </c>
      <c r="AI204" s="117">
        <f t="shared" si="217"/>
        <v>0.55302403000317735</v>
      </c>
      <c r="AJ204" s="118">
        <f t="shared" si="218"/>
        <v>1.1903066699892577</v>
      </c>
    </row>
    <row r="205" spans="1:36" x14ac:dyDescent="0.25">
      <c r="A205">
        <v>8</v>
      </c>
      <c r="B205" s="107" t="s">
        <v>393</v>
      </c>
      <c r="C205" s="113">
        <f t="shared" si="205"/>
        <v>8482.99755</v>
      </c>
      <c r="D205" s="113">
        <f t="shared" si="205"/>
        <v>11726.717189999999</v>
      </c>
      <c r="E205" s="113">
        <f t="shared" si="205"/>
        <v>19811.916669999999</v>
      </c>
      <c r="F205" s="116">
        <f t="shared" si="219"/>
        <v>40021.631410000002</v>
      </c>
      <c r="G205" s="115"/>
      <c r="H205" s="107" t="s">
        <v>393</v>
      </c>
      <c r="I205" s="113">
        <f t="shared" si="206"/>
        <v>21640</v>
      </c>
      <c r="J205" s="113">
        <f t="shared" si="206"/>
        <v>33060</v>
      </c>
      <c r="K205" s="113">
        <f t="shared" si="206"/>
        <v>31630</v>
      </c>
      <c r="L205" s="116">
        <f t="shared" si="220"/>
        <v>86330</v>
      </c>
      <c r="N205" s="107" t="s">
        <v>393</v>
      </c>
      <c r="O205" s="117">
        <f t="shared" si="221"/>
        <v>5.3465066314032313E-2</v>
      </c>
      <c r="P205" s="117">
        <f t="shared" si="207"/>
        <v>2.7306043482629525E-2</v>
      </c>
      <c r="Q205" s="117">
        <f t="shared" si="208"/>
        <v>1.6226873308320549E-2</v>
      </c>
      <c r="R205" s="118">
        <f t="shared" si="209"/>
        <v>2.2122988146194508E-2</v>
      </c>
      <c r="S205" s="115"/>
      <c r="T205" s="107" t="s">
        <v>393</v>
      </c>
      <c r="U205" s="117">
        <f t="shared" si="222"/>
        <v>0.11566934815725473</v>
      </c>
      <c r="V205" s="117">
        <f t="shared" si="210"/>
        <v>3.0869644382817207E-2</v>
      </c>
      <c r="W205" s="117">
        <f t="shared" si="211"/>
        <v>1.8851225508455634E-2</v>
      </c>
      <c r="X205" s="118">
        <f t="shared" si="212"/>
        <v>2.9404802250746362E-2</v>
      </c>
      <c r="Z205" s="107" t="s">
        <v>393</v>
      </c>
      <c r="AA205" s="113">
        <f t="shared" si="223"/>
        <v>13157.00245</v>
      </c>
      <c r="AB205" s="113">
        <f t="shared" si="213"/>
        <v>21333.282810000001</v>
      </c>
      <c r="AC205" s="113">
        <f t="shared" si="214"/>
        <v>11818.083330000001</v>
      </c>
      <c r="AD205" s="116">
        <f t="shared" si="215"/>
        <v>46308.368589999998</v>
      </c>
      <c r="AE205" s="115"/>
      <c r="AF205" s="107" t="s">
        <v>393</v>
      </c>
      <c r="AG205" s="117">
        <f t="shared" si="224"/>
        <v>1.5509850583417886</v>
      </c>
      <c r="AH205" s="117">
        <f t="shared" si="216"/>
        <v>1.8192033170367607</v>
      </c>
      <c r="AI205" s="117">
        <f t="shared" si="217"/>
        <v>0.59651388236936298</v>
      </c>
      <c r="AJ205" s="118">
        <f t="shared" si="218"/>
        <v>1.1570834810704185</v>
      </c>
    </row>
    <row r="206" spans="1:36" x14ac:dyDescent="0.25">
      <c r="A206">
        <v>9</v>
      </c>
      <c r="B206" s="107" t="s">
        <v>394</v>
      </c>
      <c r="C206" s="113">
        <f t="shared" si="205"/>
        <v>0</v>
      </c>
      <c r="D206" s="113">
        <f t="shared" si="205"/>
        <v>0</v>
      </c>
      <c r="E206" s="113">
        <f t="shared" si="205"/>
        <v>0</v>
      </c>
      <c r="F206" s="116">
        <f t="shared" si="219"/>
        <v>0</v>
      </c>
      <c r="G206" s="115"/>
      <c r="H206" s="107" t="s">
        <v>394</v>
      </c>
      <c r="I206" s="113">
        <f t="shared" si="206"/>
        <v>0</v>
      </c>
      <c r="J206" s="113">
        <f t="shared" si="206"/>
        <v>0</v>
      </c>
      <c r="K206" s="113">
        <f t="shared" si="206"/>
        <v>0</v>
      </c>
      <c r="L206" s="116">
        <f t="shared" si="220"/>
        <v>0</v>
      </c>
      <c r="N206" s="107" t="s">
        <v>394</v>
      </c>
      <c r="O206" s="117">
        <f t="shared" si="221"/>
        <v>0</v>
      </c>
      <c r="P206" s="117">
        <f t="shared" si="207"/>
        <v>0</v>
      </c>
      <c r="Q206" s="117">
        <f t="shared" si="208"/>
        <v>0</v>
      </c>
      <c r="R206" s="118">
        <f t="shared" si="209"/>
        <v>0</v>
      </c>
      <c r="S206" s="115"/>
      <c r="T206" s="107" t="s">
        <v>394</v>
      </c>
      <c r="U206" s="117">
        <f t="shared" si="222"/>
        <v>0</v>
      </c>
      <c r="V206" s="117">
        <f t="shared" si="210"/>
        <v>0</v>
      </c>
      <c r="W206" s="117">
        <f t="shared" si="211"/>
        <v>0</v>
      </c>
      <c r="X206" s="118">
        <f t="shared" si="212"/>
        <v>0</v>
      </c>
      <c r="Z206" s="107" t="s">
        <v>394</v>
      </c>
      <c r="AA206" s="113">
        <f t="shared" si="223"/>
        <v>0</v>
      </c>
      <c r="AB206" s="113">
        <f t="shared" si="213"/>
        <v>0</v>
      </c>
      <c r="AC206" s="113">
        <f t="shared" si="214"/>
        <v>0</v>
      </c>
      <c r="AD206" s="116">
        <f t="shared" si="215"/>
        <v>0</v>
      </c>
      <c r="AE206" s="115"/>
      <c r="AF206" s="107" t="s">
        <v>394</v>
      </c>
      <c r="AG206" s="117">
        <f t="shared" si="224"/>
        <v>0</v>
      </c>
      <c r="AH206" s="117">
        <f t="shared" si="216"/>
        <v>0</v>
      </c>
      <c r="AI206" s="117">
        <f t="shared" si="217"/>
        <v>0</v>
      </c>
      <c r="AJ206" s="118">
        <f t="shared" si="218"/>
        <v>0</v>
      </c>
    </row>
    <row r="207" spans="1:36" x14ac:dyDescent="0.25">
      <c r="A207">
        <v>10</v>
      </c>
      <c r="B207" s="107" t="s">
        <v>395</v>
      </c>
      <c r="C207" s="113">
        <f t="shared" si="205"/>
        <v>32270.203419999998</v>
      </c>
      <c r="D207" s="113">
        <f t="shared" si="205"/>
        <v>15946.693300000001</v>
      </c>
      <c r="E207" s="113">
        <f t="shared" si="205"/>
        <v>8140.5989500000005</v>
      </c>
      <c r="F207" s="116">
        <f t="shared" si="219"/>
        <v>56357.495669999997</v>
      </c>
      <c r="G207" s="115"/>
      <c r="H207" s="107" t="s">
        <v>395</v>
      </c>
      <c r="I207" s="113">
        <f t="shared" si="206"/>
        <v>20150</v>
      </c>
      <c r="J207" s="113">
        <f t="shared" si="206"/>
        <v>8340</v>
      </c>
      <c r="K207" s="113">
        <f t="shared" si="206"/>
        <v>4145</v>
      </c>
      <c r="L207" s="116">
        <f t="shared" si="220"/>
        <v>32635</v>
      </c>
      <c r="N207" s="107" t="s">
        <v>395</v>
      </c>
      <c r="O207" s="117">
        <f t="shared" si="221"/>
        <v>0.2033866632223196</v>
      </c>
      <c r="P207" s="117">
        <f t="shared" si="207"/>
        <v>3.7132395503259932E-2</v>
      </c>
      <c r="Q207" s="117">
        <f t="shared" si="208"/>
        <v>6.6675259146190069E-3</v>
      </c>
      <c r="R207" s="118">
        <f t="shared" si="209"/>
        <v>3.1153058102101443E-2</v>
      </c>
      <c r="S207" s="115"/>
      <c r="T207" s="107" t="s">
        <v>395</v>
      </c>
      <c r="U207" s="117">
        <f t="shared" si="222"/>
        <v>0.10770505385252693</v>
      </c>
      <c r="V207" s="117">
        <f t="shared" si="210"/>
        <v>7.7874420493858282E-3</v>
      </c>
      <c r="W207" s="117">
        <f t="shared" si="211"/>
        <v>2.4703866497802281E-3</v>
      </c>
      <c r="X207" s="118">
        <f t="shared" si="212"/>
        <v>1.1115785027836297E-2</v>
      </c>
      <c r="Z207" s="107" t="s">
        <v>395</v>
      </c>
      <c r="AA207" s="113">
        <f t="shared" si="223"/>
        <v>-12120.203419999998</v>
      </c>
      <c r="AB207" s="113">
        <f t="shared" si="213"/>
        <v>-7606.6933000000008</v>
      </c>
      <c r="AC207" s="113">
        <f t="shared" si="214"/>
        <v>-3995.5989500000005</v>
      </c>
      <c r="AD207" s="116">
        <f t="shared" si="215"/>
        <v>-23722.495669999997</v>
      </c>
      <c r="AE207" s="115"/>
      <c r="AF207" s="107" t="s">
        <v>395</v>
      </c>
      <c r="AG207" s="117">
        <f t="shared" si="224"/>
        <v>-0.37558497113434058</v>
      </c>
      <c r="AH207" s="117">
        <f t="shared" si="216"/>
        <v>-0.47700756243929271</v>
      </c>
      <c r="AI207" s="117">
        <f t="shared" si="217"/>
        <v>-0.49082370652837531</v>
      </c>
      <c r="AJ207" s="118">
        <f t="shared" si="218"/>
        <v>-0.42092884696130783</v>
      </c>
    </row>
    <row r="208" spans="1:36" x14ac:dyDescent="0.25">
      <c r="A208">
        <v>11</v>
      </c>
      <c r="B208" s="107" t="s">
        <v>396</v>
      </c>
      <c r="C208" s="113">
        <f t="shared" si="205"/>
        <v>2610.5966699999999</v>
      </c>
      <c r="D208" s="113">
        <f t="shared" si="205"/>
        <v>1578.3975999999998</v>
      </c>
      <c r="E208" s="113">
        <f t="shared" si="205"/>
        <v>3954.5008900000003</v>
      </c>
      <c r="F208" s="116">
        <f t="shared" si="219"/>
        <v>8143.4951599999995</v>
      </c>
      <c r="G208" s="115"/>
      <c r="H208" s="107" t="s">
        <v>396</v>
      </c>
      <c r="I208" s="113">
        <f t="shared" si="206"/>
        <v>595</v>
      </c>
      <c r="J208" s="113">
        <f t="shared" si="206"/>
        <v>205</v>
      </c>
      <c r="K208" s="113">
        <f t="shared" si="206"/>
        <v>660</v>
      </c>
      <c r="L208" s="116">
        <f t="shared" si="220"/>
        <v>1460</v>
      </c>
      <c r="N208" s="107" t="s">
        <v>396</v>
      </c>
      <c r="O208" s="117">
        <f t="shared" si="221"/>
        <v>1.6453585334436638E-2</v>
      </c>
      <c r="P208" s="117">
        <f t="shared" si="207"/>
        <v>3.6753502962646343E-3</v>
      </c>
      <c r="Q208" s="117">
        <f t="shared" si="208"/>
        <v>3.2389185765574319E-3</v>
      </c>
      <c r="R208" s="118">
        <f t="shared" si="209"/>
        <v>4.5015268130288427E-3</v>
      </c>
      <c r="S208" s="115"/>
      <c r="T208" s="107" t="s">
        <v>396</v>
      </c>
      <c r="U208" s="117">
        <f t="shared" si="222"/>
        <v>3.1803725579282144E-3</v>
      </c>
      <c r="V208" s="117">
        <f t="shared" si="210"/>
        <v>1.9141794006284112E-4</v>
      </c>
      <c r="W208" s="117">
        <f t="shared" si="211"/>
        <v>3.9335468971168891E-4</v>
      </c>
      <c r="X208" s="118">
        <f t="shared" si="212"/>
        <v>4.9728960136788706E-4</v>
      </c>
      <c r="Z208" s="107" t="s">
        <v>396</v>
      </c>
      <c r="AA208" s="113">
        <f t="shared" si="223"/>
        <v>-2015.5966699999999</v>
      </c>
      <c r="AB208" s="113">
        <f t="shared" si="213"/>
        <v>-1373.3975999999998</v>
      </c>
      <c r="AC208" s="113">
        <f t="shared" si="214"/>
        <v>-3294.5008900000003</v>
      </c>
      <c r="AD208" s="116">
        <f t="shared" si="215"/>
        <v>-6683.4951599999995</v>
      </c>
      <c r="AE208" s="115"/>
      <c r="AF208" s="107" t="s">
        <v>396</v>
      </c>
      <c r="AG208" s="117">
        <f t="shared" si="224"/>
        <v>-0.77208275531892101</v>
      </c>
      <c r="AH208" s="117">
        <f t="shared" si="216"/>
        <v>-0.87012144468542019</v>
      </c>
      <c r="AI208" s="117">
        <f t="shared" si="217"/>
        <v>-0.83310156746481345</v>
      </c>
      <c r="AJ208" s="118">
        <f t="shared" si="218"/>
        <v>-0.82071580183759818</v>
      </c>
    </row>
    <row r="209" spans="1:36" x14ac:dyDescent="0.25">
      <c r="A209">
        <v>12</v>
      </c>
      <c r="B209" s="107" t="s">
        <v>397</v>
      </c>
      <c r="C209" s="113">
        <f t="shared" si="205"/>
        <v>0</v>
      </c>
      <c r="D209" s="113">
        <f t="shared" si="205"/>
        <v>2351.5674399999998</v>
      </c>
      <c r="E209" s="113">
        <f t="shared" si="205"/>
        <v>3614.74242</v>
      </c>
      <c r="F209" s="116">
        <f t="shared" si="219"/>
        <v>5966.3098599999994</v>
      </c>
      <c r="G209" s="115"/>
      <c r="H209" s="107" t="s">
        <v>397</v>
      </c>
      <c r="I209" s="113">
        <f t="shared" si="206"/>
        <v>0</v>
      </c>
      <c r="J209" s="113">
        <f t="shared" si="206"/>
        <v>445</v>
      </c>
      <c r="K209" s="113">
        <f t="shared" si="206"/>
        <v>745</v>
      </c>
      <c r="L209" s="116">
        <f t="shared" si="220"/>
        <v>1190</v>
      </c>
      <c r="N209" s="107" t="s">
        <v>397</v>
      </c>
      <c r="O209" s="117">
        <f t="shared" si="221"/>
        <v>0</v>
      </c>
      <c r="P209" s="117">
        <f t="shared" si="207"/>
        <v>5.4757014881993407E-3</v>
      </c>
      <c r="Q209" s="117">
        <f t="shared" si="208"/>
        <v>2.9606407228822667E-3</v>
      </c>
      <c r="R209" s="118">
        <f t="shared" si="209"/>
        <v>3.2980315309266246E-3</v>
      </c>
      <c r="S209" s="115"/>
      <c r="T209" s="107" t="s">
        <v>397</v>
      </c>
      <c r="U209" s="117">
        <f t="shared" si="222"/>
        <v>0</v>
      </c>
      <c r="V209" s="117">
        <f t="shared" si="210"/>
        <v>4.1551699184372824E-4</v>
      </c>
      <c r="W209" s="117">
        <f t="shared" si="211"/>
        <v>4.4401400581092158E-4</v>
      </c>
      <c r="X209" s="118">
        <f t="shared" si="212"/>
        <v>4.0532508604642845E-4</v>
      </c>
      <c r="Z209" s="107" t="s">
        <v>397</v>
      </c>
      <c r="AA209" s="113">
        <f t="shared" si="223"/>
        <v>0</v>
      </c>
      <c r="AB209" s="113">
        <f t="shared" si="213"/>
        <v>-1906.5674399999998</v>
      </c>
      <c r="AC209" s="113">
        <f t="shared" si="214"/>
        <v>-2869.74242</v>
      </c>
      <c r="AD209" s="116">
        <f t="shared" si="215"/>
        <v>-4776.3098599999994</v>
      </c>
      <c r="AE209" s="115"/>
      <c r="AF209" s="107" t="s">
        <v>397</v>
      </c>
      <c r="AG209" s="117">
        <f t="shared" si="224"/>
        <v>0</v>
      </c>
      <c r="AH209" s="117">
        <f t="shared" si="216"/>
        <v>-0.81076451713415454</v>
      </c>
      <c r="AI209" s="117">
        <f t="shared" si="217"/>
        <v>-0.79389956089872649</v>
      </c>
      <c r="AJ209" s="118">
        <f t="shared" si="218"/>
        <v>-0.80054673191244541</v>
      </c>
    </row>
    <row r="210" spans="1:36" x14ac:dyDescent="0.25">
      <c r="A210">
        <v>13</v>
      </c>
      <c r="B210" s="107" t="s">
        <v>398</v>
      </c>
      <c r="C210" s="113">
        <f t="shared" si="205"/>
        <v>2262.0178000000001</v>
      </c>
      <c r="D210" s="113">
        <f t="shared" si="205"/>
        <v>894.04917999999998</v>
      </c>
      <c r="E210" s="113">
        <f t="shared" si="205"/>
        <v>2091.9090999999999</v>
      </c>
      <c r="F210" s="116">
        <f t="shared" si="219"/>
        <v>5247.9760800000004</v>
      </c>
      <c r="G210" s="115"/>
      <c r="H210" s="107" t="s">
        <v>398</v>
      </c>
      <c r="I210" s="113">
        <f t="shared" si="206"/>
        <v>4655</v>
      </c>
      <c r="J210" s="113">
        <f t="shared" si="206"/>
        <v>1890</v>
      </c>
      <c r="K210" s="113">
        <f t="shared" si="206"/>
        <v>2715</v>
      </c>
      <c r="L210" s="116">
        <f t="shared" si="220"/>
        <v>9260</v>
      </c>
      <c r="N210" s="107" t="s">
        <v>398</v>
      </c>
      <c r="O210" s="117">
        <f t="shared" si="221"/>
        <v>1.4256626972681548E-2</v>
      </c>
      <c r="P210" s="117">
        <f t="shared" si="207"/>
        <v>2.0818226780046759E-3</v>
      </c>
      <c r="Q210" s="117">
        <f t="shared" si="208"/>
        <v>1.7133700137969973E-3</v>
      </c>
      <c r="R210" s="118">
        <f t="shared" si="209"/>
        <v>2.9009540220877347E-3</v>
      </c>
      <c r="S210" s="115"/>
      <c r="T210" s="107" t="s">
        <v>398</v>
      </c>
      <c r="U210" s="117">
        <f t="shared" si="222"/>
        <v>2.4881738247320737E-2</v>
      </c>
      <c r="V210" s="117">
        <f t="shared" si="210"/>
        <v>1.7647800327744863E-3</v>
      </c>
      <c r="W210" s="117">
        <f t="shared" si="211"/>
        <v>1.618118155404902E-3</v>
      </c>
      <c r="X210" s="118">
        <f t="shared" si="212"/>
        <v>3.1540422662100229E-3</v>
      </c>
      <c r="Z210" s="107" t="s">
        <v>398</v>
      </c>
      <c r="AA210" s="113">
        <f t="shared" si="223"/>
        <v>2392.9821999999999</v>
      </c>
      <c r="AB210" s="113">
        <f t="shared" si="213"/>
        <v>995.95082000000002</v>
      </c>
      <c r="AC210" s="113">
        <f t="shared" si="214"/>
        <v>623.09090000000015</v>
      </c>
      <c r="AD210" s="116">
        <f t="shared" si="215"/>
        <v>4012.0239199999996</v>
      </c>
      <c r="AE210" s="115"/>
      <c r="AF210" s="107" t="s">
        <v>398</v>
      </c>
      <c r="AG210" s="117">
        <f t="shared" si="224"/>
        <v>1.0578971571311242</v>
      </c>
      <c r="AH210" s="117">
        <f t="shared" si="216"/>
        <v>1.1139776673135589</v>
      </c>
      <c r="AI210" s="117">
        <f t="shared" si="217"/>
        <v>0.29785754075069526</v>
      </c>
      <c r="AJ210" s="118">
        <f t="shared" si="218"/>
        <v>0.76448974973224337</v>
      </c>
    </row>
    <row r="211" spans="1:36" x14ac:dyDescent="0.25">
      <c r="A211">
        <v>14</v>
      </c>
      <c r="B211" s="107" t="s">
        <v>399</v>
      </c>
      <c r="C211" s="113">
        <f t="shared" si="205"/>
        <v>494.28332999999998</v>
      </c>
      <c r="D211" s="113">
        <f t="shared" si="205"/>
        <v>127.34954</v>
      </c>
      <c r="E211" s="113">
        <f t="shared" si="205"/>
        <v>2637.8246399999998</v>
      </c>
      <c r="F211" s="116">
        <f t="shared" si="219"/>
        <v>3259.4575099999997</v>
      </c>
      <c r="G211" s="115"/>
      <c r="H211" s="107" t="s">
        <v>399</v>
      </c>
      <c r="I211" s="113">
        <f t="shared" si="206"/>
        <v>0</v>
      </c>
      <c r="J211" s="113">
        <f t="shared" si="206"/>
        <v>0</v>
      </c>
      <c r="K211" s="113">
        <f t="shared" si="206"/>
        <v>0</v>
      </c>
      <c r="L211" s="116">
        <f t="shared" si="220"/>
        <v>0</v>
      </c>
      <c r="N211" s="107" t="s">
        <v>399</v>
      </c>
      <c r="O211" s="117">
        <f t="shared" si="221"/>
        <v>3.115277454768417E-3</v>
      </c>
      <c r="P211" s="117">
        <f t="shared" si="207"/>
        <v>2.9653755781696892E-4</v>
      </c>
      <c r="Q211" s="117">
        <f t="shared" si="208"/>
        <v>2.160500013997195E-3</v>
      </c>
      <c r="R211" s="118">
        <f t="shared" si="209"/>
        <v>1.8017491370613432E-3</v>
      </c>
      <c r="S211" s="115"/>
      <c r="T211" s="107" t="s">
        <v>399</v>
      </c>
      <c r="U211" s="117">
        <f t="shared" si="222"/>
        <v>0</v>
      </c>
      <c r="V211" s="117">
        <f t="shared" si="210"/>
        <v>0</v>
      </c>
      <c r="W211" s="117">
        <f t="shared" si="211"/>
        <v>0</v>
      </c>
      <c r="X211" s="118">
        <f t="shared" si="212"/>
        <v>0</v>
      </c>
      <c r="Z211" s="107" t="s">
        <v>399</v>
      </c>
      <c r="AA211" s="113">
        <f t="shared" si="223"/>
        <v>-494.28332999999998</v>
      </c>
      <c r="AB211" s="113">
        <f t="shared" si="213"/>
        <v>-127.34954</v>
      </c>
      <c r="AC211" s="113">
        <f t="shared" si="214"/>
        <v>-2637.8246399999998</v>
      </c>
      <c r="AD211" s="116">
        <f t="shared" si="215"/>
        <v>-3259.4575099999997</v>
      </c>
      <c r="AE211" s="115"/>
      <c r="AF211" s="107" t="s">
        <v>399</v>
      </c>
      <c r="AG211" s="117">
        <f t="shared" si="224"/>
        <v>-1</v>
      </c>
      <c r="AH211" s="117">
        <f t="shared" si="216"/>
        <v>-1</v>
      </c>
      <c r="AI211" s="117">
        <f t="shared" si="217"/>
        <v>-1</v>
      </c>
      <c r="AJ211" s="118">
        <f t="shared" si="218"/>
        <v>-1</v>
      </c>
    </row>
    <row r="212" spans="1:36" ht="15.75" thickBot="1" x14ac:dyDescent="0.3">
      <c r="B212" s="108" t="s">
        <v>29</v>
      </c>
      <c r="C212" s="109">
        <f>SUM(C198:C211)</f>
        <v>106755.29976000002</v>
      </c>
      <c r="D212" s="110">
        <f>SUM(D198:D211)</f>
        <v>435834.09985</v>
      </c>
      <c r="E212" s="111">
        <f>SUM(E198:E211)</f>
        <v>1324581.3677000001</v>
      </c>
      <c r="F212" s="112">
        <f>SUM(F198:F211)</f>
        <v>1867170.7673099998</v>
      </c>
      <c r="H212" s="108" t="s">
        <v>29</v>
      </c>
      <c r="I212" s="109">
        <f>SUM(I198:I211)</f>
        <v>176120</v>
      </c>
      <c r="J212" s="110">
        <f>SUM(J198:J211)</f>
        <v>1120315</v>
      </c>
      <c r="K212" s="111">
        <f>SUM(K198:K211)</f>
        <v>1851105</v>
      </c>
      <c r="L212" s="112">
        <f>SUM(L198:L211)</f>
        <v>3147540</v>
      </c>
      <c r="N212" s="108" t="s">
        <v>29</v>
      </c>
      <c r="O212" s="120">
        <f t="shared" si="221"/>
        <v>0.67283753736823837</v>
      </c>
      <c r="P212" s="121">
        <f t="shared" si="207"/>
        <v>1.0148539176731692</v>
      </c>
      <c r="Q212" s="122">
        <f t="shared" si="208"/>
        <v>1.0848932184727313</v>
      </c>
      <c r="R212" s="123">
        <f t="shared" si="209"/>
        <v>1.0321267598751298</v>
      </c>
      <c r="T212" s="108" t="s">
        <v>29</v>
      </c>
      <c r="U212" s="120">
        <f t="shared" si="222"/>
        <v>0.9413902771467515</v>
      </c>
      <c r="V212" s="121">
        <f t="shared" si="210"/>
        <v>1.0460897049829359</v>
      </c>
      <c r="W212" s="122">
        <f t="shared" si="211"/>
        <v>1.1032436862102362</v>
      </c>
      <c r="X212" s="123">
        <f t="shared" si="212"/>
        <v>1.0720814464996433</v>
      </c>
      <c r="Z212" s="108" t="s">
        <v>29</v>
      </c>
      <c r="AA212" s="109">
        <f t="shared" si="223"/>
        <v>69364.700239999976</v>
      </c>
      <c r="AB212" s="110">
        <f t="shared" si="213"/>
        <v>684480.90015</v>
      </c>
      <c r="AC212" s="111">
        <f t="shared" si="214"/>
        <v>526523.63229999994</v>
      </c>
      <c r="AD212" s="112">
        <f t="shared" si="215"/>
        <v>1280369.2326900002</v>
      </c>
      <c r="AF212" s="108" t="s">
        <v>29</v>
      </c>
      <c r="AG212" s="117">
        <f t="shared" si="224"/>
        <v>0.6497541611136961</v>
      </c>
      <c r="AH212" s="117">
        <f t="shared" si="216"/>
        <v>1.5705079074482153</v>
      </c>
      <c r="AI212" s="117">
        <f t="shared" si="217"/>
        <v>0.39750191655968581</v>
      </c>
      <c r="AJ212" s="118">
        <f t="shared" si="218"/>
        <v>0.68572690570483052</v>
      </c>
    </row>
  </sheetData>
  <mergeCells count="12">
    <mergeCell ref="N3:R3"/>
    <mergeCell ref="T3:X3"/>
    <mergeCell ref="B3:F3"/>
    <mergeCell ref="H3:L3"/>
    <mergeCell ref="AF4:AJ4"/>
    <mergeCell ref="B4:F4"/>
    <mergeCell ref="H4:L4"/>
    <mergeCell ref="N4:R4"/>
    <mergeCell ref="T4:X4"/>
    <mergeCell ref="Z4:AD4"/>
    <mergeCell ref="Z3:AD3"/>
    <mergeCell ref="AF3:AJ3"/>
  </mergeCells>
  <hyperlinks>
    <hyperlink ref="A1" location="Index!A1" display="Index"/>
  </hyperlinks>
  <pageMargins left="0.7" right="0.7" top="0.75" bottom="0.75" header="0.3" footer="0.3"/>
  <pageSetup paperSize="0" orientation="portrait" horizontalDpi="0" verticalDpi="0" copie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dimension ref="A1:AG53"/>
  <sheetViews>
    <sheetView topLeftCell="E13" workbookViewId="0">
      <selection activeCell="P41" sqref="P41"/>
    </sheetView>
  </sheetViews>
  <sheetFormatPr defaultRowHeight="15" x14ac:dyDescent="0.25"/>
  <sheetData>
    <row r="1" spans="1:33" x14ac:dyDescent="0.25">
      <c r="A1" t="s">
        <v>7</v>
      </c>
      <c r="K1" t="s">
        <v>3</v>
      </c>
    </row>
    <row r="2" spans="1:33" x14ac:dyDescent="0.25">
      <c r="A2" t="s">
        <v>131</v>
      </c>
      <c r="K2" t="s">
        <v>131</v>
      </c>
    </row>
    <row r="3" spans="1:33" x14ac:dyDescent="0.25">
      <c r="B3" t="s">
        <v>55</v>
      </c>
      <c r="C3" t="s">
        <v>56</v>
      </c>
      <c r="D3" t="s">
        <v>115</v>
      </c>
      <c r="E3" t="s">
        <v>116</v>
      </c>
      <c r="F3" t="s">
        <v>117</v>
      </c>
      <c r="G3" t="s">
        <v>118</v>
      </c>
      <c r="H3" t="s">
        <v>119</v>
      </c>
      <c r="I3" t="s">
        <v>120</v>
      </c>
      <c r="J3" t="s">
        <v>121</v>
      </c>
      <c r="L3" t="s">
        <v>55</v>
      </c>
      <c r="M3" t="s">
        <v>56</v>
      </c>
      <c r="N3" t="s">
        <v>115</v>
      </c>
      <c r="O3" t="s">
        <v>116</v>
      </c>
      <c r="P3" t="s">
        <v>117</v>
      </c>
      <c r="Q3" t="s">
        <v>118</v>
      </c>
      <c r="R3" t="s">
        <v>119</v>
      </c>
      <c r="S3" t="s">
        <v>120</v>
      </c>
      <c r="T3" t="s">
        <v>121</v>
      </c>
      <c r="V3" t="s">
        <v>138</v>
      </c>
      <c r="X3" s="157"/>
      <c r="Y3" t="s">
        <v>55</v>
      </c>
      <c r="Z3" t="s">
        <v>56</v>
      </c>
      <c r="AA3" t="s">
        <v>115</v>
      </c>
      <c r="AB3" t="s">
        <v>116</v>
      </c>
      <c r="AC3" t="s">
        <v>117</v>
      </c>
      <c r="AD3" t="s">
        <v>118</v>
      </c>
      <c r="AE3" t="s">
        <v>119</v>
      </c>
      <c r="AF3" t="s">
        <v>120</v>
      </c>
      <c r="AG3" t="s">
        <v>121</v>
      </c>
    </row>
    <row r="4" spans="1:33" x14ac:dyDescent="0.25">
      <c r="A4">
        <v>1</v>
      </c>
      <c r="B4">
        <v>4574.73171</v>
      </c>
      <c r="C4">
        <v>0</v>
      </c>
      <c r="D4">
        <v>0</v>
      </c>
      <c r="E4">
        <v>0</v>
      </c>
      <c r="F4">
        <v>3902.4560000000001</v>
      </c>
      <c r="G4">
        <v>3336.3014400000002</v>
      </c>
      <c r="H4">
        <v>0</v>
      </c>
      <c r="I4">
        <v>0</v>
      </c>
      <c r="J4">
        <v>0</v>
      </c>
      <c r="K4">
        <v>1</v>
      </c>
      <c r="L4">
        <v>0</v>
      </c>
      <c r="M4">
        <v>0</v>
      </c>
      <c r="N4">
        <v>0</v>
      </c>
      <c r="O4">
        <v>0</v>
      </c>
      <c r="P4">
        <v>0</v>
      </c>
      <c r="Q4">
        <v>0</v>
      </c>
      <c r="R4">
        <v>0</v>
      </c>
      <c r="S4">
        <v>0</v>
      </c>
      <c r="T4">
        <v>0</v>
      </c>
      <c r="V4" t="s">
        <v>55</v>
      </c>
      <c r="X4" s="157">
        <v>1</v>
      </c>
      <c r="Y4">
        <v>0</v>
      </c>
      <c r="Z4">
        <v>0</v>
      </c>
      <c r="AA4">
        <v>0</v>
      </c>
      <c r="AB4">
        <v>0</v>
      </c>
      <c r="AC4">
        <v>0</v>
      </c>
      <c r="AD4">
        <v>0</v>
      </c>
      <c r="AE4">
        <v>0</v>
      </c>
      <c r="AF4">
        <v>0</v>
      </c>
      <c r="AG4">
        <v>0</v>
      </c>
    </row>
    <row r="5" spans="1:33" x14ac:dyDescent="0.25">
      <c r="A5">
        <v>2</v>
      </c>
      <c r="B5">
        <v>146.35839999999999</v>
      </c>
      <c r="C5">
        <v>0</v>
      </c>
      <c r="D5">
        <v>0</v>
      </c>
      <c r="E5">
        <v>0</v>
      </c>
      <c r="F5">
        <v>0</v>
      </c>
      <c r="G5">
        <v>71.544870000000003</v>
      </c>
      <c r="H5">
        <v>0</v>
      </c>
      <c r="I5">
        <v>0</v>
      </c>
      <c r="J5">
        <v>0</v>
      </c>
      <c r="K5">
        <v>2</v>
      </c>
      <c r="L5">
        <v>0</v>
      </c>
      <c r="M5">
        <v>0</v>
      </c>
      <c r="N5">
        <v>0</v>
      </c>
      <c r="O5">
        <v>0</v>
      </c>
      <c r="P5">
        <v>0</v>
      </c>
      <c r="Q5">
        <v>0</v>
      </c>
      <c r="R5">
        <v>0</v>
      </c>
      <c r="S5">
        <v>0</v>
      </c>
      <c r="T5">
        <v>0</v>
      </c>
      <c r="V5" t="s">
        <v>56</v>
      </c>
      <c r="X5" s="157">
        <v>2</v>
      </c>
      <c r="Y5">
        <v>0</v>
      </c>
      <c r="Z5">
        <v>0</v>
      </c>
      <c r="AA5">
        <v>0</v>
      </c>
      <c r="AB5">
        <v>0</v>
      </c>
      <c r="AC5">
        <v>0</v>
      </c>
      <c r="AD5">
        <v>0</v>
      </c>
      <c r="AE5">
        <v>0</v>
      </c>
      <c r="AF5">
        <v>0</v>
      </c>
      <c r="AG5">
        <v>0</v>
      </c>
    </row>
    <row r="6" spans="1:33" x14ac:dyDescent="0.25">
      <c r="A6">
        <v>3</v>
      </c>
      <c r="B6">
        <v>12994.649020000001</v>
      </c>
      <c r="C6">
        <v>2409.9859900000001</v>
      </c>
      <c r="D6">
        <v>2057.5741600000001</v>
      </c>
      <c r="E6">
        <v>1726.00279</v>
      </c>
      <c r="F6">
        <v>27469.724869999998</v>
      </c>
      <c r="G6">
        <v>14236.742630000001</v>
      </c>
      <c r="H6">
        <v>210.98848000000001</v>
      </c>
      <c r="I6">
        <v>71.817570000000003</v>
      </c>
      <c r="J6">
        <v>127.13596</v>
      </c>
      <c r="K6">
        <v>3</v>
      </c>
      <c r="L6">
        <v>3874</v>
      </c>
      <c r="M6">
        <v>51</v>
      </c>
      <c r="N6">
        <v>526</v>
      </c>
      <c r="O6">
        <v>2449</v>
      </c>
      <c r="P6">
        <v>8066</v>
      </c>
      <c r="Q6">
        <v>6646</v>
      </c>
      <c r="R6">
        <v>119</v>
      </c>
      <c r="S6">
        <v>33</v>
      </c>
      <c r="T6">
        <v>39</v>
      </c>
      <c r="V6" t="s">
        <v>115</v>
      </c>
      <c r="X6" s="157">
        <v>3</v>
      </c>
      <c r="Y6">
        <v>0</v>
      </c>
      <c r="Z6">
        <v>0</v>
      </c>
      <c r="AA6">
        <v>0</v>
      </c>
      <c r="AB6">
        <v>0</v>
      </c>
      <c r="AC6">
        <v>0</v>
      </c>
      <c r="AD6">
        <v>0</v>
      </c>
      <c r="AE6">
        <v>0</v>
      </c>
      <c r="AF6">
        <v>0</v>
      </c>
      <c r="AG6">
        <v>0</v>
      </c>
    </row>
    <row r="7" spans="1:33" x14ac:dyDescent="0.25">
      <c r="A7">
        <v>4</v>
      </c>
      <c r="B7">
        <v>0</v>
      </c>
      <c r="C7">
        <v>0</v>
      </c>
      <c r="D7">
        <v>0</v>
      </c>
      <c r="E7">
        <v>0</v>
      </c>
      <c r="F7">
        <v>164.38015999999999</v>
      </c>
      <c r="G7">
        <v>0</v>
      </c>
      <c r="H7">
        <v>0</v>
      </c>
      <c r="I7">
        <v>0</v>
      </c>
      <c r="J7">
        <v>0</v>
      </c>
      <c r="K7">
        <v>4</v>
      </c>
      <c r="L7">
        <v>196</v>
      </c>
      <c r="M7">
        <v>2</v>
      </c>
      <c r="N7">
        <v>12</v>
      </c>
      <c r="O7">
        <v>36</v>
      </c>
      <c r="P7">
        <v>225</v>
      </c>
      <c r="Q7">
        <v>78</v>
      </c>
      <c r="R7">
        <v>4</v>
      </c>
      <c r="S7">
        <v>0</v>
      </c>
      <c r="T7">
        <v>6</v>
      </c>
      <c r="V7" t="s">
        <v>116</v>
      </c>
      <c r="X7" s="157">
        <v>4</v>
      </c>
      <c r="Y7">
        <v>3874</v>
      </c>
      <c r="Z7">
        <v>51</v>
      </c>
      <c r="AA7">
        <v>526</v>
      </c>
      <c r="AB7">
        <v>2449</v>
      </c>
      <c r="AC7">
        <v>8066</v>
      </c>
      <c r="AD7">
        <v>6646</v>
      </c>
      <c r="AE7">
        <v>119</v>
      </c>
      <c r="AF7">
        <v>33</v>
      </c>
      <c r="AG7">
        <v>39</v>
      </c>
    </row>
    <row r="8" spans="1:33" x14ac:dyDescent="0.25">
      <c r="A8">
        <v>5</v>
      </c>
      <c r="B8">
        <v>15578.29702</v>
      </c>
      <c r="C8">
        <v>0</v>
      </c>
      <c r="D8">
        <v>1212.0835</v>
      </c>
      <c r="E8">
        <v>0</v>
      </c>
      <c r="F8">
        <v>121.26331</v>
      </c>
      <c r="G8">
        <v>807.40101000000004</v>
      </c>
      <c r="H8">
        <v>1287.4145699999999</v>
      </c>
      <c r="I8">
        <v>4010.1069600000001</v>
      </c>
      <c r="J8">
        <v>0</v>
      </c>
      <c r="K8">
        <v>5</v>
      </c>
      <c r="L8">
        <v>4754</v>
      </c>
      <c r="M8">
        <v>0</v>
      </c>
      <c r="N8">
        <v>332</v>
      </c>
      <c r="O8">
        <v>0</v>
      </c>
      <c r="P8">
        <v>24</v>
      </c>
      <c r="Q8">
        <v>391</v>
      </c>
      <c r="R8">
        <v>856</v>
      </c>
      <c r="S8">
        <v>1382</v>
      </c>
      <c r="T8">
        <v>773</v>
      </c>
      <c r="V8" t="s">
        <v>117</v>
      </c>
      <c r="X8" s="157">
        <v>5</v>
      </c>
      <c r="Y8">
        <v>196</v>
      </c>
      <c r="Z8">
        <v>2</v>
      </c>
      <c r="AA8">
        <v>12</v>
      </c>
      <c r="AB8">
        <v>36</v>
      </c>
      <c r="AC8">
        <v>225</v>
      </c>
      <c r="AD8">
        <v>78</v>
      </c>
      <c r="AE8">
        <v>4</v>
      </c>
      <c r="AF8">
        <v>0</v>
      </c>
      <c r="AG8">
        <v>6</v>
      </c>
    </row>
    <row r="9" spans="1:33" x14ac:dyDescent="0.25">
      <c r="A9">
        <v>6</v>
      </c>
      <c r="B9">
        <v>0</v>
      </c>
      <c r="C9">
        <v>0</v>
      </c>
      <c r="D9">
        <v>0</v>
      </c>
      <c r="E9">
        <v>0</v>
      </c>
      <c r="F9">
        <v>0</v>
      </c>
      <c r="G9">
        <v>0</v>
      </c>
      <c r="H9">
        <v>0</v>
      </c>
      <c r="I9">
        <v>0</v>
      </c>
      <c r="J9">
        <v>0</v>
      </c>
      <c r="K9">
        <v>6</v>
      </c>
      <c r="L9">
        <v>212</v>
      </c>
      <c r="M9">
        <v>0</v>
      </c>
      <c r="N9">
        <v>18</v>
      </c>
      <c r="O9">
        <v>0</v>
      </c>
      <c r="P9">
        <v>2</v>
      </c>
      <c r="Q9">
        <v>2</v>
      </c>
      <c r="R9">
        <v>27</v>
      </c>
      <c r="S9">
        <v>8</v>
      </c>
      <c r="T9">
        <v>9</v>
      </c>
      <c r="V9" t="s">
        <v>118</v>
      </c>
      <c r="X9" s="157">
        <v>6</v>
      </c>
      <c r="Y9">
        <v>4754</v>
      </c>
      <c r="Z9">
        <v>0</v>
      </c>
      <c r="AA9">
        <v>332</v>
      </c>
      <c r="AB9">
        <v>0</v>
      </c>
      <c r="AC9">
        <v>24</v>
      </c>
      <c r="AD9">
        <v>391</v>
      </c>
      <c r="AE9">
        <v>856</v>
      </c>
      <c r="AF9">
        <v>1382</v>
      </c>
      <c r="AG9">
        <v>773</v>
      </c>
    </row>
    <row r="10" spans="1:33" x14ac:dyDescent="0.25">
      <c r="A10">
        <v>7</v>
      </c>
      <c r="B10">
        <v>21025.37055</v>
      </c>
      <c r="C10">
        <v>2517.4375</v>
      </c>
      <c r="D10">
        <v>38949.577870000001</v>
      </c>
      <c r="E10">
        <v>8816.3824700000005</v>
      </c>
      <c r="F10">
        <v>62616.657249999997</v>
      </c>
      <c r="G10">
        <v>36742.162770000003</v>
      </c>
      <c r="H10">
        <v>4430.6701899999998</v>
      </c>
      <c r="I10">
        <v>1359.12374</v>
      </c>
      <c r="J10">
        <v>15298.07634</v>
      </c>
      <c r="K10">
        <v>7</v>
      </c>
      <c r="L10">
        <v>7200</v>
      </c>
      <c r="M10">
        <v>155</v>
      </c>
      <c r="N10">
        <v>10656</v>
      </c>
      <c r="O10">
        <v>14231</v>
      </c>
      <c r="P10">
        <v>17422</v>
      </c>
      <c r="Q10">
        <v>16863</v>
      </c>
      <c r="R10">
        <v>2782</v>
      </c>
      <c r="S10">
        <v>413</v>
      </c>
      <c r="T10">
        <v>5004</v>
      </c>
      <c r="V10" t="s">
        <v>119</v>
      </c>
      <c r="X10" s="157">
        <v>7</v>
      </c>
      <c r="Y10">
        <v>212</v>
      </c>
      <c r="Z10">
        <v>0</v>
      </c>
      <c r="AA10">
        <v>18</v>
      </c>
      <c r="AB10">
        <v>0</v>
      </c>
      <c r="AC10">
        <v>2</v>
      </c>
      <c r="AD10">
        <v>2</v>
      </c>
      <c r="AE10">
        <v>27</v>
      </c>
      <c r="AF10">
        <v>8</v>
      </c>
      <c r="AG10">
        <v>9</v>
      </c>
    </row>
    <row r="11" spans="1:33" x14ac:dyDescent="0.25">
      <c r="A11">
        <v>8</v>
      </c>
      <c r="B11">
        <v>9144.0296899999994</v>
      </c>
      <c r="C11">
        <v>126.24865</v>
      </c>
      <c r="D11">
        <v>1634.13975</v>
      </c>
      <c r="E11">
        <v>493.64591999999999</v>
      </c>
      <c r="F11">
        <v>4627.8921300000002</v>
      </c>
      <c r="G11">
        <v>8482.99755</v>
      </c>
      <c r="H11">
        <v>0</v>
      </c>
      <c r="I11">
        <v>0</v>
      </c>
      <c r="J11">
        <v>709.41787999999997</v>
      </c>
      <c r="K11">
        <v>8</v>
      </c>
      <c r="L11">
        <v>3468</v>
      </c>
      <c r="M11">
        <v>5</v>
      </c>
      <c r="N11">
        <v>436</v>
      </c>
      <c r="O11">
        <v>941</v>
      </c>
      <c r="P11">
        <v>1530</v>
      </c>
      <c r="Q11">
        <v>4226</v>
      </c>
      <c r="R11">
        <v>16</v>
      </c>
      <c r="S11">
        <v>102</v>
      </c>
      <c r="T11">
        <v>328</v>
      </c>
      <c r="V11" t="s">
        <v>120</v>
      </c>
      <c r="X11" s="157">
        <v>8</v>
      </c>
      <c r="Y11">
        <v>7200</v>
      </c>
      <c r="Z11">
        <v>155</v>
      </c>
      <c r="AA11">
        <v>10656</v>
      </c>
      <c r="AB11">
        <v>14231</v>
      </c>
      <c r="AC11">
        <v>17422</v>
      </c>
      <c r="AD11">
        <v>16863</v>
      </c>
      <c r="AE11">
        <v>2782</v>
      </c>
      <c r="AF11">
        <v>413</v>
      </c>
      <c r="AG11">
        <v>5004</v>
      </c>
    </row>
    <row r="12" spans="1:33" x14ac:dyDescent="0.25">
      <c r="A12">
        <v>9</v>
      </c>
      <c r="B12">
        <v>79237.100550000003</v>
      </c>
      <c r="C12">
        <v>15518.45816</v>
      </c>
      <c r="D12">
        <v>23541.219109999998</v>
      </c>
      <c r="E12">
        <v>2580.1473000000001</v>
      </c>
      <c r="F12">
        <v>44533.579519999999</v>
      </c>
      <c r="G12">
        <v>26542.090469999999</v>
      </c>
      <c r="H12">
        <v>4183.2946700000002</v>
      </c>
      <c r="I12">
        <v>2891.0614099999998</v>
      </c>
      <c r="J12">
        <v>688.59136999999998</v>
      </c>
      <c r="K12">
        <v>9</v>
      </c>
      <c r="L12">
        <v>0</v>
      </c>
      <c r="M12">
        <v>0</v>
      </c>
      <c r="N12">
        <v>0</v>
      </c>
      <c r="O12">
        <v>0</v>
      </c>
      <c r="P12">
        <v>0</v>
      </c>
      <c r="Q12">
        <v>0</v>
      </c>
      <c r="R12">
        <v>0</v>
      </c>
      <c r="S12">
        <v>0</v>
      </c>
      <c r="T12">
        <v>0</v>
      </c>
      <c r="V12" t="s">
        <v>121</v>
      </c>
      <c r="X12" s="157">
        <v>9</v>
      </c>
      <c r="Y12">
        <v>3468</v>
      </c>
      <c r="Z12">
        <v>5</v>
      </c>
      <c r="AA12">
        <v>436</v>
      </c>
      <c r="AB12">
        <v>941</v>
      </c>
      <c r="AC12">
        <v>1530</v>
      </c>
      <c r="AD12">
        <v>4226</v>
      </c>
      <c r="AE12">
        <v>16</v>
      </c>
      <c r="AF12">
        <v>102</v>
      </c>
      <c r="AG12">
        <v>328</v>
      </c>
    </row>
    <row r="13" spans="1:33" x14ac:dyDescent="0.25">
      <c r="A13">
        <v>10</v>
      </c>
      <c r="B13">
        <v>23715.847979999999</v>
      </c>
      <c r="C13">
        <v>1309.48991</v>
      </c>
      <c r="D13">
        <v>573.66336999999999</v>
      </c>
      <c r="E13">
        <v>0</v>
      </c>
      <c r="F13">
        <v>5613.5215799999996</v>
      </c>
      <c r="G13">
        <v>2837.0515399999999</v>
      </c>
      <c r="H13">
        <v>869.59123</v>
      </c>
      <c r="I13">
        <v>0</v>
      </c>
      <c r="J13">
        <v>0</v>
      </c>
      <c r="K13">
        <v>10</v>
      </c>
      <c r="L13">
        <v>16916</v>
      </c>
      <c r="M13">
        <v>3057</v>
      </c>
      <c r="N13">
        <v>3513</v>
      </c>
      <c r="O13">
        <v>266</v>
      </c>
      <c r="P13">
        <v>7898</v>
      </c>
      <c r="Q13">
        <v>3651</v>
      </c>
      <c r="R13">
        <v>815</v>
      </c>
      <c r="S13">
        <v>379</v>
      </c>
      <c r="T13">
        <v>76</v>
      </c>
      <c r="X13" s="157">
        <v>10</v>
      </c>
      <c r="Y13">
        <v>0</v>
      </c>
      <c r="Z13">
        <v>0</v>
      </c>
      <c r="AA13">
        <v>0</v>
      </c>
      <c r="AB13">
        <v>0</v>
      </c>
      <c r="AC13">
        <v>0</v>
      </c>
      <c r="AD13">
        <v>0</v>
      </c>
      <c r="AE13">
        <v>0</v>
      </c>
      <c r="AF13">
        <v>0</v>
      </c>
      <c r="AG13">
        <v>0</v>
      </c>
    </row>
    <row r="14" spans="1:33" x14ac:dyDescent="0.25">
      <c r="A14">
        <v>11</v>
      </c>
      <c r="B14">
        <v>8903.7111800000002</v>
      </c>
      <c r="C14">
        <v>128.11025000000001</v>
      </c>
      <c r="D14">
        <v>173.24529000000001</v>
      </c>
      <c r="E14">
        <v>0</v>
      </c>
      <c r="F14">
        <v>2873.6168499999999</v>
      </c>
      <c r="G14">
        <v>2610.5966699999999</v>
      </c>
      <c r="H14">
        <v>0</v>
      </c>
      <c r="I14">
        <v>0</v>
      </c>
      <c r="J14">
        <v>0</v>
      </c>
      <c r="K14">
        <v>11</v>
      </c>
      <c r="L14">
        <v>495</v>
      </c>
      <c r="M14">
        <v>3</v>
      </c>
      <c r="N14">
        <v>14</v>
      </c>
      <c r="O14">
        <v>0</v>
      </c>
      <c r="P14">
        <v>188</v>
      </c>
      <c r="Q14">
        <v>114</v>
      </c>
      <c r="R14">
        <v>42</v>
      </c>
      <c r="S14">
        <v>5</v>
      </c>
      <c r="T14">
        <v>0</v>
      </c>
      <c r="X14" s="157">
        <v>11</v>
      </c>
      <c r="Y14">
        <v>16916</v>
      </c>
      <c r="Z14">
        <v>3057</v>
      </c>
      <c r="AA14">
        <v>3513</v>
      </c>
      <c r="AB14">
        <v>266</v>
      </c>
      <c r="AC14">
        <v>7898</v>
      </c>
      <c r="AD14">
        <v>3651</v>
      </c>
      <c r="AE14">
        <v>815</v>
      </c>
      <c r="AF14">
        <v>379</v>
      </c>
      <c r="AG14">
        <v>76</v>
      </c>
    </row>
    <row r="15" spans="1:33" x14ac:dyDescent="0.25">
      <c r="A15">
        <v>12</v>
      </c>
      <c r="B15">
        <v>1836.42749</v>
      </c>
      <c r="C15">
        <v>0</v>
      </c>
      <c r="D15">
        <v>0</v>
      </c>
      <c r="E15">
        <v>0</v>
      </c>
      <c r="F15">
        <v>0</v>
      </c>
      <c r="G15">
        <v>0</v>
      </c>
      <c r="H15">
        <v>0</v>
      </c>
      <c r="I15">
        <v>0</v>
      </c>
      <c r="J15">
        <v>0</v>
      </c>
      <c r="K15">
        <v>12</v>
      </c>
      <c r="L15">
        <v>0</v>
      </c>
      <c r="M15">
        <v>0</v>
      </c>
      <c r="N15">
        <v>0</v>
      </c>
      <c r="O15">
        <v>0</v>
      </c>
      <c r="P15">
        <v>0</v>
      </c>
      <c r="Q15">
        <v>0</v>
      </c>
      <c r="R15">
        <v>0</v>
      </c>
      <c r="S15">
        <v>0</v>
      </c>
      <c r="T15">
        <v>0</v>
      </c>
      <c r="X15" s="157">
        <v>12</v>
      </c>
      <c r="Y15">
        <v>495</v>
      </c>
      <c r="Z15">
        <v>3</v>
      </c>
      <c r="AA15">
        <v>14</v>
      </c>
      <c r="AB15">
        <v>0</v>
      </c>
      <c r="AC15">
        <v>188</v>
      </c>
      <c r="AD15">
        <v>114</v>
      </c>
      <c r="AE15">
        <v>42</v>
      </c>
      <c r="AF15">
        <v>5</v>
      </c>
      <c r="AG15">
        <v>0</v>
      </c>
    </row>
    <row r="16" spans="1:33" x14ac:dyDescent="0.25">
      <c r="A16">
        <v>13</v>
      </c>
      <c r="B16">
        <v>1065.72668</v>
      </c>
      <c r="C16">
        <v>0</v>
      </c>
      <c r="D16">
        <v>0</v>
      </c>
      <c r="E16">
        <v>0</v>
      </c>
      <c r="F16">
        <v>6646.2762000000002</v>
      </c>
      <c r="G16">
        <v>2262.0178000000001</v>
      </c>
      <c r="H16">
        <v>657.02346999999997</v>
      </c>
      <c r="I16">
        <v>0</v>
      </c>
      <c r="J16">
        <v>503.83353</v>
      </c>
      <c r="K16">
        <v>13</v>
      </c>
      <c r="L16">
        <v>215</v>
      </c>
      <c r="M16">
        <v>802</v>
      </c>
      <c r="N16">
        <v>79</v>
      </c>
      <c r="O16">
        <v>0</v>
      </c>
      <c r="P16">
        <v>2062</v>
      </c>
      <c r="Q16">
        <v>919</v>
      </c>
      <c r="R16">
        <v>438</v>
      </c>
      <c r="S16">
        <v>12</v>
      </c>
      <c r="T16">
        <v>151</v>
      </c>
      <c r="X16" s="157">
        <v>13</v>
      </c>
      <c r="Y16">
        <v>0</v>
      </c>
      <c r="Z16">
        <v>0</v>
      </c>
      <c r="AA16">
        <v>0</v>
      </c>
      <c r="AB16">
        <v>0</v>
      </c>
      <c r="AC16">
        <v>0</v>
      </c>
      <c r="AD16">
        <v>0</v>
      </c>
      <c r="AE16">
        <v>0</v>
      </c>
      <c r="AF16">
        <v>0</v>
      </c>
      <c r="AG16">
        <v>0</v>
      </c>
    </row>
    <row r="17" spans="1:33" x14ac:dyDescent="0.25">
      <c r="A17">
        <v>14</v>
      </c>
      <c r="B17">
        <v>0</v>
      </c>
      <c r="C17">
        <v>0</v>
      </c>
      <c r="D17">
        <v>8054.97552</v>
      </c>
      <c r="E17">
        <v>0</v>
      </c>
      <c r="F17">
        <v>94.936409999999995</v>
      </c>
      <c r="G17">
        <v>494.28332999999998</v>
      </c>
      <c r="H17">
        <v>0</v>
      </c>
      <c r="I17">
        <v>0</v>
      </c>
      <c r="J17">
        <v>0</v>
      </c>
      <c r="K17">
        <v>14</v>
      </c>
      <c r="L17">
        <v>0</v>
      </c>
      <c r="M17">
        <v>0</v>
      </c>
      <c r="N17">
        <v>2445</v>
      </c>
      <c r="O17">
        <v>0</v>
      </c>
      <c r="P17">
        <v>0</v>
      </c>
      <c r="Q17">
        <v>0</v>
      </c>
      <c r="R17">
        <v>0</v>
      </c>
      <c r="S17">
        <v>0</v>
      </c>
      <c r="T17">
        <v>0</v>
      </c>
      <c r="X17" s="157">
        <v>14</v>
      </c>
      <c r="Y17">
        <v>215</v>
      </c>
      <c r="Z17">
        <v>802</v>
      </c>
      <c r="AA17">
        <v>79</v>
      </c>
      <c r="AB17">
        <v>0</v>
      </c>
      <c r="AC17">
        <v>2062</v>
      </c>
      <c r="AD17">
        <v>919</v>
      </c>
      <c r="AE17">
        <v>438</v>
      </c>
      <c r="AF17">
        <v>12</v>
      </c>
      <c r="AG17">
        <v>151</v>
      </c>
    </row>
    <row r="18" spans="1:33" x14ac:dyDescent="0.25">
      <c r="A18" t="s">
        <v>132</v>
      </c>
      <c r="X18" s="157">
        <v>15</v>
      </c>
      <c r="Y18">
        <v>0</v>
      </c>
      <c r="Z18">
        <v>0</v>
      </c>
      <c r="AA18">
        <v>2445</v>
      </c>
      <c r="AB18">
        <v>0</v>
      </c>
      <c r="AC18">
        <v>0</v>
      </c>
      <c r="AD18">
        <v>0</v>
      </c>
      <c r="AE18">
        <v>0</v>
      </c>
      <c r="AF18">
        <v>0</v>
      </c>
      <c r="AG18">
        <v>0</v>
      </c>
    </row>
    <row r="19" spans="1:33" x14ac:dyDescent="0.25">
      <c r="B19" t="s">
        <v>55</v>
      </c>
      <c r="C19" t="s">
        <v>56</v>
      </c>
      <c r="D19" t="s">
        <v>115</v>
      </c>
      <c r="E19" t="s">
        <v>116</v>
      </c>
      <c r="F19" t="s">
        <v>117</v>
      </c>
      <c r="G19" t="s">
        <v>118</v>
      </c>
      <c r="H19" t="s">
        <v>119</v>
      </c>
      <c r="I19" t="s">
        <v>120</v>
      </c>
      <c r="J19" t="s">
        <v>121</v>
      </c>
      <c r="L19" t="s">
        <v>55</v>
      </c>
      <c r="M19" t="s">
        <v>56</v>
      </c>
      <c r="N19" t="s">
        <v>115</v>
      </c>
      <c r="O19" t="s">
        <v>116</v>
      </c>
      <c r="P19" t="s">
        <v>117</v>
      </c>
      <c r="Q19" t="s">
        <v>118</v>
      </c>
      <c r="R19" t="s">
        <v>119</v>
      </c>
      <c r="S19" t="s">
        <v>120</v>
      </c>
      <c r="T19" t="s">
        <v>121</v>
      </c>
    </row>
    <row r="20" spans="1:33" x14ac:dyDescent="0.25">
      <c r="A20">
        <v>1</v>
      </c>
      <c r="B20">
        <v>397916.46717999998</v>
      </c>
      <c r="C20">
        <v>27186.153989999999</v>
      </c>
      <c r="D20">
        <v>547.84873000000005</v>
      </c>
      <c r="E20">
        <v>0</v>
      </c>
      <c r="F20">
        <v>214493.17788</v>
      </c>
      <c r="G20">
        <v>106682.22534</v>
      </c>
      <c r="H20">
        <v>0</v>
      </c>
      <c r="I20">
        <v>0</v>
      </c>
      <c r="J20">
        <v>32730.917219999999</v>
      </c>
      <c r="K20">
        <v>1</v>
      </c>
      <c r="L20">
        <v>111897</v>
      </c>
      <c r="M20">
        <v>3796</v>
      </c>
      <c r="N20">
        <v>200</v>
      </c>
      <c r="O20">
        <v>0</v>
      </c>
      <c r="P20">
        <v>105819</v>
      </c>
      <c r="Q20">
        <v>61371</v>
      </c>
      <c r="R20">
        <v>0</v>
      </c>
      <c r="S20">
        <v>0</v>
      </c>
      <c r="T20">
        <v>32636</v>
      </c>
      <c r="W20" t="s">
        <v>55</v>
      </c>
      <c r="X20" t="s">
        <v>56</v>
      </c>
      <c r="Y20" t="s">
        <v>115</v>
      </c>
      <c r="Z20" t="s">
        <v>116</v>
      </c>
      <c r="AA20" t="s">
        <v>117</v>
      </c>
      <c r="AB20" t="s">
        <v>118</v>
      </c>
      <c r="AC20" t="s">
        <v>119</v>
      </c>
      <c r="AD20" t="s">
        <v>120</v>
      </c>
      <c r="AE20" t="s">
        <v>121</v>
      </c>
    </row>
    <row r="21" spans="1:33" x14ac:dyDescent="0.25">
      <c r="A21">
        <v>2</v>
      </c>
      <c r="B21">
        <v>13673.94627</v>
      </c>
      <c r="C21">
        <v>430.77012999999999</v>
      </c>
      <c r="D21">
        <v>0</v>
      </c>
      <c r="E21">
        <v>0</v>
      </c>
      <c r="F21">
        <v>2125.3165100000001</v>
      </c>
      <c r="G21">
        <v>701.86968000000002</v>
      </c>
      <c r="H21">
        <v>0</v>
      </c>
      <c r="I21">
        <v>0</v>
      </c>
      <c r="J21">
        <v>36.45082</v>
      </c>
      <c r="K21">
        <v>2</v>
      </c>
      <c r="L21">
        <v>16867</v>
      </c>
      <c r="M21">
        <v>735</v>
      </c>
      <c r="N21">
        <v>37</v>
      </c>
      <c r="O21">
        <v>0</v>
      </c>
      <c r="P21">
        <v>4948</v>
      </c>
      <c r="Q21">
        <v>4572</v>
      </c>
      <c r="R21">
        <v>0</v>
      </c>
      <c r="S21">
        <v>0</v>
      </c>
      <c r="T21">
        <v>2465</v>
      </c>
      <c r="V21">
        <v>1</v>
      </c>
      <c r="W21">
        <v>0</v>
      </c>
      <c r="X21">
        <v>0</v>
      </c>
      <c r="Y21">
        <v>0</v>
      </c>
      <c r="Z21">
        <v>0</v>
      </c>
      <c r="AA21">
        <v>0</v>
      </c>
      <c r="AB21">
        <v>0</v>
      </c>
      <c r="AC21">
        <v>16</v>
      </c>
      <c r="AD21">
        <v>44</v>
      </c>
      <c r="AE21">
        <v>0</v>
      </c>
    </row>
    <row r="22" spans="1:33" x14ac:dyDescent="0.25">
      <c r="A22">
        <v>3</v>
      </c>
      <c r="B22">
        <v>137341.0269</v>
      </c>
      <c r="C22">
        <v>18965.470809999999</v>
      </c>
      <c r="D22">
        <v>26759.63423</v>
      </c>
      <c r="E22">
        <v>105019.18552</v>
      </c>
      <c r="F22">
        <v>70738.324380000005</v>
      </c>
      <c r="G22">
        <v>70750.201889999997</v>
      </c>
      <c r="H22">
        <v>84943.114939999999</v>
      </c>
      <c r="I22">
        <v>47185.219960000002</v>
      </c>
      <c r="J22">
        <v>2763.90398</v>
      </c>
      <c r="K22">
        <v>3</v>
      </c>
      <c r="L22">
        <v>42274</v>
      </c>
      <c r="M22">
        <v>2772</v>
      </c>
      <c r="N22">
        <v>9100</v>
      </c>
      <c r="O22">
        <v>31850</v>
      </c>
      <c r="P22">
        <v>35450</v>
      </c>
      <c r="Q22">
        <v>44741</v>
      </c>
      <c r="R22">
        <v>24781</v>
      </c>
      <c r="S22">
        <v>13445</v>
      </c>
      <c r="T22">
        <v>2699</v>
      </c>
      <c r="V22">
        <v>2</v>
      </c>
      <c r="W22">
        <v>111897</v>
      </c>
      <c r="X22">
        <v>3796</v>
      </c>
      <c r="Y22">
        <v>200</v>
      </c>
      <c r="Z22">
        <v>0</v>
      </c>
      <c r="AA22">
        <v>105819</v>
      </c>
      <c r="AB22">
        <v>61371</v>
      </c>
      <c r="AC22">
        <v>0</v>
      </c>
      <c r="AD22">
        <v>0</v>
      </c>
      <c r="AE22">
        <v>32636</v>
      </c>
    </row>
    <row r="23" spans="1:33" x14ac:dyDescent="0.25">
      <c r="A23">
        <v>4</v>
      </c>
      <c r="B23">
        <v>4576.3464899999999</v>
      </c>
      <c r="C23">
        <v>0</v>
      </c>
      <c r="D23">
        <v>112.04868999999999</v>
      </c>
      <c r="E23">
        <v>0</v>
      </c>
      <c r="F23">
        <v>0</v>
      </c>
      <c r="G23">
        <v>2012.73119</v>
      </c>
      <c r="H23">
        <v>69.026229999999998</v>
      </c>
      <c r="I23">
        <v>1353.3767499999999</v>
      </c>
      <c r="J23">
        <v>0</v>
      </c>
      <c r="K23">
        <v>4</v>
      </c>
      <c r="L23">
        <v>3723</v>
      </c>
      <c r="M23">
        <v>311</v>
      </c>
      <c r="N23">
        <v>137</v>
      </c>
      <c r="O23">
        <v>801</v>
      </c>
      <c r="P23">
        <v>1017</v>
      </c>
      <c r="Q23">
        <v>757</v>
      </c>
      <c r="R23">
        <v>585</v>
      </c>
      <c r="S23">
        <v>313</v>
      </c>
      <c r="T23">
        <v>145</v>
      </c>
      <c r="V23">
        <v>3</v>
      </c>
      <c r="W23">
        <v>16867</v>
      </c>
      <c r="X23">
        <v>735</v>
      </c>
      <c r="Y23">
        <v>37</v>
      </c>
      <c r="Z23">
        <v>0</v>
      </c>
      <c r="AA23">
        <v>4948</v>
      </c>
      <c r="AB23">
        <v>4572</v>
      </c>
      <c r="AC23">
        <v>0</v>
      </c>
      <c r="AD23">
        <v>0</v>
      </c>
      <c r="AE23">
        <v>2465</v>
      </c>
    </row>
    <row r="24" spans="1:33" x14ac:dyDescent="0.25">
      <c r="A24">
        <v>5</v>
      </c>
      <c r="B24">
        <v>39484.334300000002</v>
      </c>
      <c r="C24">
        <v>3028.37896</v>
      </c>
      <c r="D24">
        <v>73468.042350000003</v>
      </c>
      <c r="E24">
        <v>121630.00469</v>
      </c>
      <c r="F24">
        <v>30475.525290000001</v>
      </c>
      <c r="G24">
        <v>45895.076869999997</v>
      </c>
      <c r="H24">
        <v>43786.99798</v>
      </c>
      <c r="I24">
        <v>43402.300810000001</v>
      </c>
      <c r="J24">
        <v>940.36594000000002</v>
      </c>
      <c r="K24">
        <v>5</v>
      </c>
      <c r="L24">
        <v>12670</v>
      </c>
      <c r="M24">
        <v>500</v>
      </c>
      <c r="N24">
        <v>24684</v>
      </c>
      <c r="O24">
        <v>38229</v>
      </c>
      <c r="P24">
        <v>16273</v>
      </c>
      <c r="Q24">
        <v>28621</v>
      </c>
      <c r="R24">
        <v>14655</v>
      </c>
      <c r="S24">
        <v>12957</v>
      </c>
      <c r="T24">
        <v>995</v>
      </c>
      <c r="V24">
        <v>4</v>
      </c>
      <c r="W24">
        <v>42274</v>
      </c>
      <c r="X24">
        <v>2772</v>
      </c>
      <c r="Y24">
        <v>9100</v>
      </c>
      <c r="Z24">
        <v>31850</v>
      </c>
      <c r="AA24">
        <v>35450</v>
      </c>
      <c r="AB24">
        <v>44741</v>
      </c>
      <c r="AC24">
        <v>24781</v>
      </c>
      <c r="AD24">
        <v>13445</v>
      </c>
      <c r="AE24">
        <v>2699</v>
      </c>
    </row>
    <row r="25" spans="1:33" x14ac:dyDescent="0.25">
      <c r="A25">
        <v>6</v>
      </c>
      <c r="B25">
        <v>325.87184999999999</v>
      </c>
      <c r="C25">
        <v>0</v>
      </c>
      <c r="D25">
        <v>0</v>
      </c>
      <c r="E25">
        <v>3083.2808599999998</v>
      </c>
      <c r="F25">
        <v>0</v>
      </c>
      <c r="G25">
        <v>227.84692999999999</v>
      </c>
      <c r="H25">
        <v>63.674770000000002</v>
      </c>
      <c r="I25">
        <v>3016.4528500000001</v>
      </c>
      <c r="J25">
        <v>0</v>
      </c>
      <c r="K25">
        <v>6</v>
      </c>
      <c r="L25">
        <v>1305</v>
      </c>
      <c r="M25">
        <v>67</v>
      </c>
      <c r="N25">
        <v>1021</v>
      </c>
      <c r="O25">
        <v>906</v>
      </c>
      <c r="P25">
        <v>470</v>
      </c>
      <c r="Q25">
        <v>255</v>
      </c>
      <c r="R25">
        <v>481</v>
      </c>
      <c r="S25">
        <v>182</v>
      </c>
      <c r="T25">
        <v>6</v>
      </c>
      <c r="V25">
        <v>5</v>
      </c>
      <c r="W25">
        <v>3723</v>
      </c>
      <c r="X25">
        <v>311</v>
      </c>
      <c r="Y25">
        <v>137</v>
      </c>
      <c r="Z25">
        <v>801</v>
      </c>
      <c r="AA25">
        <v>1017</v>
      </c>
      <c r="AB25">
        <v>757</v>
      </c>
      <c r="AC25">
        <v>585</v>
      </c>
      <c r="AD25">
        <v>313</v>
      </c>
      <c r="AE25">
        <v>145</v>
      </c>
    </row>
    <row r="26" spans="1:33" x14ac:dyDescent="0.25">
      <c r="A26">
        <v>7</v>
      </c>
      <c r="B26">
        <v>41561.740180000001</v>
      </c>
      <c r="C26">
        <v>11833.887129999999</v>
      </c>
      <c r="D26">
        <v>68414.714649999994</v>
      </c>
      <c r="E26">
        <v>53347.687879999998</v>
      </c>
      <c r="F26">
        <v>74595.259449999998</v>
      </c>
      <c r="G26">
        <v>66210.473140000002</v>
      </c>
      <c r="H26">
        <v>22354.9483</v>
      </c>
      <c r="I26">
        <v>15771.55019</v>
      </c>
      <c r="J26">
        <v>39827.719980000002</v>
      </c>
      <c r="K26">
        <v>7</v>
      </c>
      <c r="L26">
        <v>14560</v>
      </c>
      <c r="M26">
        <v>1857</v>
      </c>
      <c r="N26">
        <v>25446</v>
      </c>
      <c r="O26">
        <v>18333</v>
      </c>
      <c r="P26">
        <v>41406</v>
      </c>
      <c r="Q26">
        <v>43232</v>
      </c>
      <c r="R26">
        <v>7969</v>
      </c>
      <c r="S26">
        <v>4829</v>
      </c>
      <c r="T26">
        <v>41676</v>
      </c>
      <c r="V26">
        <v>6</v>
      </c>
      <c r="W26">
        <v>12670</v>
      </c>
      <c r="X26">
        <v>500</v>
      </c>
      <c r="Y26">
        <v>24684</v>
      </c>
      <c r="Z26">
        <v>38229</v>
      </c>
      <c r="AA26">
        <v>16273</v>
      </c>
      <c r="AB26">
        <v>28621</v>
      </c>
      <c r="AC26">
        <v>14655</v>
      </c>
      <c r="AD26">
        <v>12957</v>
      </c>
      <c r="AE26">
        <v>995</v>
      </c>
    </row>
    <row r="27" spans="1:33" x14ac:dyDescent="0.25">
      <c r="A27">
        <v>8</v>
      </c>
      <c r="B27">
        <v>27933.991679999999</v>
      </c>
      <c r="C27">
        <v>6041.5281199999999</v>
      </c>
      <c r="D27">
        <v>2237.8300199999999</v>
      </c>
      <c r="E27">
        <v>406.69186999999999</v>
      </c>
      <c r="F27">
        <v>8213.0964600000007</v>
      </c>
      <c r="G27">
        <v>7874.9451099999997</v>
      </c>
      <c r="H27">
        <v>84.101759999999999</v>
      </c>
      <c r="I27">
        <v>3851.7720800000002</v>
      </c>
      <c r="J27">
        <v>0</v>
      </c>
      <c r="K27">
        <v>8</v>
      </c>
      <c r="L27">
        <v>10636</v>
      </c>
      <c r="M27">
        <v>1071</v>
      </c>
      <c r="N27">
        <v>872</v>
      </c>
      <c r="O27">
        <v>0</v>
      </c>
      <c r="P27">
        <v>4743</v>
      </c>
      <c r="Q27">
        <v>5309</v>
      </c>
      <c r="R27">
        <v>37</v>
      </c>
      <c r="S27">
        <v>1303</v>
      </c>
      <c r="T27">
        <v>249</v>
      </c>
      <c r="V27">
        <v>7</v>
      </c>
      <c r="W27">
        <v>1305</v>
      </c>
      <c r="X27">
        <v>67</v>
      </c>
      <c r="Y27">
        <v>1021</v>
      </c>
      <c r="Z27">
        <v>906</v>
      </c>
      <c r="AA27">
        <v>470</v>
      </c>
      <c r="AB27">
        <v>255</v>
      </c>
      <c r="AC27">
        <v>481</v>
      </c>
      <c r="AD27">
        <v>182</v>
      </c>
      <c r="AE27">
        <v>6</v>
      </c>
    </row>
    <row r="28" spans="1:33" x14ac:dyDescent="0.25">
      <c r="A28">
        <v>9</v>
      </c>
      <c r="B28">
        <v>112617.37931999999</v>
      </c>
      <c r="C28">
        <v>9701.8068500000008</v>
      </c>
      <c r="D28">
        <v>13296.354079999999</v>
      </c>
      <c r="E28">
        <v>2475.8731699999998</v>
      </c>
      <c r="F28">
        <v>23129.962589999999</v>
      </c>
      <c r="G28">
        <v>11399.85022</v>
      </c>
      <c r="H28">
        <v>5304.4154699999999</v>
      </c>
      <c r="I28">
        <v>2745.1186200000002</v>
      </c>
      <c r="J28">
        <v>474.63628</v>
      </c>
      <c r="K28">
        <v>9</v>
      </c>
      <c r="L28">
        <v>0</v>
      </c>
      <c r="M28">
        <v>0</v>
      </c>
      <c r="N28">
        <v>0</v>
      </c>
      <c r="O28">
        <v>0</v>
      </c>
      <c r="P28">
        <v>0</v>
      </c>
      <c r="Q28">
        <v>0</v>
      </c>
      <c r="R28">
        <v>0</v>
      </c>
      <c r="S28">
        <v>0</v>
      </c>
      <c r="T28">
        <v>0</v>
      </c>
      <c r="V28">
        <v>8</v>
      </c>
      <c r="W28">
        <v>14560</v>
      </c>
      <c r="X28">
        <v>1857</v>
      </c>
      <c r="Y28">
        <v>25446</v>
      </c>
      <c r="Z28">
        <v>18333</v>
      </c>
      <c r="AA28">
        <v>41406</v>
      </c>
      <c r="AB28">
        <v>43232</v>
      </c>
      <c r="AC28">
        <v>7969</v>
      </c>
      <c r="AD28">
        <v>4829</v>
      </c>
      <c r="AE28">
        <v>41676</v>
      </c>
    </row>
    <row r="29" spans="1:33" x14ac:dyDescent="0.25">
      <c r="A29">
        <v>10</v>
      </c>
      <c r="B29">
        <v>34979.00864</v>
      </c>
      <c r="C29">
        <v>1389.59103</v>
      </c>
      <c r="D29">
        <v>0</v>
      </c>
      <c r="E29">
        <v>0</v>
      </c>
      <c r="F29">
        <v>1247.3724</v>
      </c>
      <c r="G29">
        <v>1626.6139599999999</v>
      </c>
      <c r="H29">
        <v>1399.3217099999999</v>
      </c>
      <c r="I29">
        <v>175.1105</v>
      </c>
      <c r="J29">
        <v>366.95632000000001</v>
      </c>
      <c r="K29">
        <v>10</v>
      </c>
      <c r="L29">
        <v>19537</v>
      </c>
      <c r="M29">
        <v>1983</v>
      </c>
      <c r="N29">
        <v>1752</v>
      </c>
      <c r="O29">
        <v>271</v>
      </c>
      <c r="P29">
        <v>3185</v>
      </c>
      <c r="Q29">
        <v>1411</v>
      </c>
      <c r="R29">
        <v>939</v>
      </c>
      <c r="S29">
        <v>257</v>
      </c>
      <c r="T29">
        <v>75</v>
      </c>
      <c r="V29">
        <v>9</v>
      </c>
      <c r="W29">
        <v>10636</v>
      </c>
      <c r="X29">
        <v>1071</v>
      </c>
      <c r="Y29">
        <v>872</v>
      </c>
      <c r="Z29">
        <v>0</v>
      </c>
      <c r="AA29">
        <v>4743</v>
      </c>
      <c r="AB29">
        <v>5309</v>
      </c>
      <c r="AC29">
        <v>37</v>
      </c>
      <c r="AD29">
        <v>1303</v>
      </c>
      <c r="AE29">
        <v>249</v>
      </c>
    </row>
    <row r="30" spans="1:33" x14ac:dyDescent="0.25">
      <c r="A30">
        <v>11</v>
      </c>
      <c r="B30">
        <v>21062.73905</v>
      </c>
      <c r="C30">
        <v>2253.8181199999999</v>
      </c>
      <c r="D30">
        <v>1094.1285</v>
      </c>
      <c r="E30">
        <v>0</v>
      </c>
      <c r="F30">
        <v>1018.85867</v>
      </c>
      <c r="G30">
        <v>283.13387999999998</v>
      </c>
      <c r="H30">
        <v>270.39208000000002</v>
      </c>
      <c r="I30">
        <v>1295.2637199999999</v>
      </c>
      <c r="J30">
        <v>0</v>
      </c>
      <c r="K30">
        <v>11</v>
      </c>
      <c r="L30">
        <v>942</v>
      </c>
      <c r="M30">
        <v>122</v>
      </c>
      <c r="N30">
        <v>48</v>
      </c>
      <c r="O30">
        <v>0</v>
      </c>
      <c r="P30">
        <v>57</v>
      </c>
      <c r="Q30">
        <v>14</v>
      </c>
      <c r="R30">
        <v>14</v>
      </c>
      <c r="S30">
        <v>27</v>
      </c>
      <c r="T30">
        <v>0</v>
      </c>
      <c r="V30">
        <v>10</v>
      </c>
      <c r="W30">
        <v>0</v>
      </c>
      <c r="X30">
        <v>0</v>
      </c>
      <c r="Y30">
        <v>0</v>
      </c>
      <c r="Z30">
        <v>0</v>
      </c>
      <c r="AA30">
        <v>0</v>
      </c>
      <c r="AB30">
        <v>0</v>
      </c>
      <c r="AC30">
        <v>0</v>
      </c>
      <c r="AD30">
        <v>0</v>
      </c>
      <c r="AE30">
        <v>0</v>
      </c>
    </row>
    <row r="31" spans="1:33" x14ac:dyDescent="0.25">
      <c r="A31">
        <v>12</v>
      </c>
      <c r="B31">
        <v>21169.64604</v>
      </c>
      <c r="C31">
        <v>1691.07383</v>
      </c>
      <c r="D31">
        <v>513.97964000000002</v>
      </c>
      <c r="E31">
        <v>0</v>
      </c>
      <c r="F31">
        <v>1673.26422</v>
      </c>
      <c r="G31">
        <v>2266.90409</v>
      </c>
      <c r="H31">
        <v>195.28697</v>
      </c>
      <c r="I31">
        <v>84.663349999999994</v>
      </c>
      <c r="J31">
        <v>0</v>
      </c>
      <c r="K31">
        <v>12</v>
      </c>
      <c r="L31">
        <v>1191</v>
      </c>
      <c r="M31">
        <v>87</v>
      </c>
      <c r="N31">
        <v>23</v>
      </c>
      <c r="O31">
        <v>0</v>
      </c>
      <c r="P31">
        <v>0</v>
      </c>
      <c r="Q31">
        <v>89</v>
      </c>
      <c r="R31">
        <v>0</v>
      </c>
      <c r="S31">
        <v>0</v>
      </c>
      <c r="T31">
        <v>0</v>
      </c>
      <c r="V31">
        <v>11</v>
      </c>
      <c r="W31">
        <v>19537</v>
      </c>
      <c r="X31">
        <v>1983</v>
      </c>
      <c r="Y31">
        <v>1752</v>
      </c>
      <c r="Z31">
        <v>271</v>
      </c>
      <c r="AA31">
        <v>3185</v>
      </c>
      <c r="AB31">
        <v>1411</v>
      </c>
      <c r="AC31">
        <v>939</v>
      </c>
      <c r="AD31">
        <v>257</v>
      </c>
      <c r="AE31">
        <v>75</v>
      </c>
    </row>
    <row r="32" spans="1:33" x14ac:dyDescent="0.25">
      <c r="A32">
        <v>13</v>
      </c>
      <c r="B32">
        <v>3973.15184</v>
      </c>
      <c r="C32">
        <v>0</v>
      </c>
      <c r="D32">
        <v>229.45972</v>
      </c>
      <c r="E32">
        <v>0</v>
      </c>
      <c r="F32">
        <v>1698.5717400000001</v>
      </c>
      <c r="G32">
        <v>684.05128999999999</v>
      </c>
      <c r="H32">
        <v>111.87426000000001</v>
      </c>
      <c r="I32">
        <v>209.99789000000001</v>
      </c>
      <c r="J32">
        <v>1213.3489</v>
      </c>
      <c r="K32">
        <v>13</v>
      </c>
      <c r="L32">
        <v>1079</v>
      </c>
      <c r="M32">
        <v>1451</v>
      </c>
      <c r="N32">
        <v>80</v>
      </c>
      <c r="O32">
        <v>0</v>
      </c>
      <c r="P32">
        <v>823</v>
      </c>
      <c r="Q32">
        <v>313</v>
      </c>
      <c r="R32">
        <v>43</v>
      </c>
      <c r="S32">
        <v>65</v>
      </c>
      <c r="T32">
        <v>1388</v>
      </c>
      <c r="V32">
        <v>12</v>
      </c>
      <c r="W32">
        <v>942</v>
      </c>
      <c r="X32">
        <v>122</v>
      </c>
      <c r="Y32">
        <v>48</v>
      </c>
      <c r="Z32">
        <v>0</v>
      </c>
      <c r="AA32">
        <v>57</v>
      </c>
      <c r="AB32">
        <v>14</v>
      </c>
      <c r="AC32">
        <v>14</v>
      </c>
      <c r="AD32">
        <v>27</v>
      </c>
      <c r="AE32">
        <v>0</v>
      </c>
    </row>
    <row r="33" spans="1:31" x14ac:dyDescent="0.25">
      <c r="A33">
        <v>14</v>
      </c>
      <c r="B33">
        <v>3016.7466599999998</v>
      </c>
      <c r="C33">
        <v>591.44054000000006</v>
      </c>
      <c r="D33">
        <v>102397.38869000001</v>
      </c>
      <c r="E33">
        <v>0</v>
      </c>
      <c r="F33">
        <v>46.280889999999999</v>
      </c>
      <c r="G33">
        <v>127.34954</v>
      </c>
      <c r="H33">
        <v>0</v>
      </c>
      <c r="I33">
        <v>0</v>
      </c>
      <c r="J33">
        <v>72.942440000000005</v>
      </c>
      <c r="K33">
        <v>14</v>
      </c>
      <c r="L33">
        <v>0</v>
      </c>
      <c r="M33">
        <v>0</v>
      </c>
      <c r="N33">
        <v>37125</v>
      </c>
      <c r="O33">
        <v>0</v>
      </c>
      <c r="P33">
        <v>0</v>
      </c>
      <c r="Q33">
        <v>0</v>
      </c>
      <c r="R33">
        <v>0</v>
      </c>
      <c r="S33">
        <v>0</v>
      </c>
      <c r="T33">
        <v>0</v>
      </c>
      <c r="V33">
        <v>13</v>
      </c>
      <c r="W33">
        <v>1191</v>
      </c>
      <c r="X33">
        <v>87</v>
      </c>
      <c r="Y33">
        <v>23</v>
      </c>
      <c r="Z33">
        <v>0</v>
      </c>
      <c r="AA33">
        <v>0</v>
      </c>
      <c r="AB33">
        <v>89</v>
      </c>
      <c r="AC33">
        <v>0</v>
      </c>
      <c r="AD33">
        <v>0</v>
      </c>
      <c r="AE33">
        <v>0</v>
      </c>
    </row>
    <row r="34" spans="1:31" x14ac:dyDescent="0.25">
      <c r="A34" t="s">
        <v>133</v>
      </c>
      <c r="V34">
        <v>14</v>
      </c>
      <c r="W34">
        <v>1079</v>
      </c>
      <c r="X34">
        <v>1451</v>
      </c>
      <c r="Y34">
        <v>80</v>
      </c>
      <c r="Z34">
        <v>0</v>
      </c>
      <c r="AA34">
        <v>823</v>
      </c>
      <c r="AB34">
        <v>313</v>
      </c>
      <c r="AC34">
        <v>43</v>
      </c>
      <c r="AD34">
        <v>65</v>
      </c>
      <c r="AE34">
        <v>1388</v>
      </c>
    </row>
    <row r="35" spans="1:31" x14ac:dyDescent="0.25">
      <c r="B35" t="s">
        <v>55</v>
      </c>
      <c r="C35" t="s">
        <v>56</v>
      </c>
      <c r="D35" t="s">
        <v>115</v>
      </c>
      <c r="E35" t="s">
        <v>116</v>
      </c>
      <c r="F35" t="s">
        <v>117</v>
      </c>
      <c r="G35" t="s">
        <v>118</v>
      </c>
      <c r="H35" t="s">
        <v>119</v>
      </c>
      <c r="I35" t="s">
        <v>120</v>
      </c>
      <c r="J35" t="s">
        <v>121</v>
      </c>
      <c r="L35" t="s">
        <v>55</v>
      </c>
      <c r="M35" t="s">
        <v>56</v>
      </c>
      <c r="N35" t="s">
        <v>115</v>
      </c>
      <c r="O35" t="s">
        <v>116</v>
      </c>
      <c r="P35" t="s">
        <v>117</v>
      </c>
      <c r="Q35" t="s">
        <v>118</v>
      </c>
      <c r="R35" t="s">
        <v>119</v>
      </c>
      <c r="S35" t="s">
        <v>120</v>
      </c>
      <c r="T35" t="s">
        <v>121</v>
      </c>
      <c r="V35">
        <v>15</v>
      </c>
      <c r="W35">
        <v>0</v>
      </c>
      <c r="X35">
        <v>0</v>
      </c>
      <c r="Y35">
        <v>37125</v>
      </c>
      <c r="Z35">
        <v>0</v>
      </c>
      <c r="AA35">
        <v>0</v>
      </c>
      <c r="AB35">
        <v>0</v>
      </c>
      <c r="AC35">
        <v>0</v>
      </c>
      <c r="AD35">
        <v>0</v>
      </c>
      <c r="AE35">
        <v>0</v>
      </c>
    </row>
    <row r="36" spans="1:31" x14ac:dyDescent="0.25">
      <c r="A36">
        <v>1</v>
      </c>
      <c r="B36">
        <v>2020079.1609700001</v>
      </c>
      <c r="C36">
        <v>47965.815110000003</v>
      </c>
      <c r="D36">
        <v>38881.46372</v>
      </c>
      <c r="E36">
        <v>0</v>
      </c>
      <c r="F36">
        <v>954374.86794999999</v>
      </c>
      <c r="G36">
        <v>564511.13792000001</v>
      </c>
      <c r="H36">
        <v>39.501289999999997</v>
      </c>
      <c r="I36">
        <v>0</v>
      </c>
      <c r="J36">
        <v>201725.86804</v>
      </c>
      <c r="K36">
        <v>1</v>
      </c>
      <c r="L36">
        <v>298730</v>
      </c>
      <c r="M36">
        <v>5620</v>
      </c>
      <c r="N36">
        <v>6757</v>
      </c>
      <c r="O36">
        <v>0</v>
      </c>
      <c r="P36">
        <v>250841</v>
      </c>
      <c r="Q36">
        <v>162762</v>
      </c>
      <c r="R36">
        <v>0</v>
      </c>
      <c r="S36">
        <v>0</v>
      </c>
      <c r="T36">
        <v>101753</v>
      </c>
    </row>
    <row r="37" spans="1:31" x14ac:dyDescent="0.25">
      <c r="A37">
        <v>2</v>
      </c>
      <c r="B37">
        <v>144841.65341</v>
      </c>
      <c r="C37">
        <v>3161.0840800000001</v>
      </c>
      <c r="D37">
        <v>0</v>
      </c>
      <c r="E37">
        <v>0</v>
      </c>
      <c r="F37">
        <v>12389.024659999999</v>
      </c>
      <c r="G37">
        <v>11850.152819999999</v>
      </c>
      <c r="H37">
        <v>0</v>
      </c>
      <c r="I37">
        <v>0</v>
      </c>
      <c r="J37">
        <v>4922.7625200000002</v>
      </c>
      <c r="K37">
        <v>2</v>
      </c>
      <c r="L37">
        <v>43761</v>
      </c>
      <c r="M37">
        <v>998</v>
      </c>
      <c r="N37">
        <v>884</v>
      </c>
      <c r="O37">
        <v>0</v>
      </c>
      <c r="P37">
        <v>11340</v>
      </c>
      <c r="Q37">
        <v>11635</v>
      </c>
      <c r="R37">
        <v>0</v>
      </c>
      <c r="S37">
        <v>0</v>
      </c>
      <c r="T37">
        <v>5527</v>
      </c>
    </row>
    <row r="38" spans="1:31" x14ac:dyDescent="0.25">
      <c r="A38">
        <v>3</v>
      </c>
      <c r="B38">
        <v>213123.38761999999</v>
      </c>
      <c r="C38">
        <v>4944.23675</v>
      </c>
      <c r="D38">
        <v>171405.36989</v>
      </c>
      <c r="E38">
        <v>288294.02471999999</v>
      </c>
      <c r="F38">
        <v>115229.30100000001</v>
      </c>
      <c r="G38">
        <v>181553.83566000001</v>
      </c>
      <c r="H38">
        <v>161585.55955999999</v>
      </c>
      <c r="I38">
        <v>125489.67358</v>
      </c>
      <c r="J38">
        <v>27026.5425</v>
      </c>
      <c r="K38">
        <v>3</v>
      </c>
      <c r="L38">
        <v>34789</v>
      </c>
      <c r="M38">
        <v>749</v>
      </c>
      <c r="N38">
        <v>31602</v>
      </c>
      <c r="O38">
        <v>62243</v>
      </c>
      <c r="P38">
        <v>33353</v>
      </c>
      <c r="Q38">
        <v>56643</v>
      </c>
      <c r="R38">
        <v>29846</v>
      </c>
      <c r="S38">
        <v>23278</v>
      </c>
      <c r="T38">
        <v>13851</v>
      </c>
      <c r="W38" t="s">
        <v>55</v>
      </c>
      <c r="X38" t="s">
        <v>56</v>
      </c>
      <c r="Y38" t="s">
        <v>115</v>
      </c>
      <c r="Z38" t="s">
        <v>116</v>
      </c>
      <c r="AA38" t="s">
        <v>117</v>
      </c>
      <c r="AB38" t="s">
        <v>118</v>
      </c>
      <c r="AC38" t="s">
        <v>119</v>
      </c>
      <c r="AD38" t="s">
        <v>120</v>
      </c>
      <c r="AE38" t="s">
        <v>121</v>
      </c>
    </row>
    <row r="39" spans="1:31" x14ac:dyDescent="0.25">
      <c r="A39">
        <v>4</v>
      </c>
      <c r="B39">
        <v>17432.22724</v>
      </c>
      <c r="C39">
        <v>753.80551000000003</v>
      </c>
      <c r="D39">
        <v>300.27800999999999</v>
      </c>
      <c r="E39">
        <v>298.98732000000001</v>
      </c>
      <c r="F39">
        <v>1195.6069399999999</v>
      </c>
      <c r="G39">
        <v>2724.9924999999998</v>
      </c>
      <c r="H39">
        <v>1520.94317</v>
      </c>
      <c r="I39">
        <v>2905.2024500000002</v>
      </c>
      <c r="J39">
        <v>261.07076999999998</v>
      </c>
      <c r="K39">
        <v>4</v>
      </c>
      <c r="L39">
        <v>3223</v>
      </c>
      <c r="M39">
        <v>64</v>
      </c>
      <c r="N39">
        <v>429</v>
      </c>
      <c r="O39">
        <v>1504</v>
      </c>
      <c r="P39">
        <v>1007</v>
      </c>
      <c r="Q39">
        <v>985</v>
      </c>
      <c r="R39">
        <v>741</v>
      </c>
      <c r="S39">
        <v>618</v>
      </c>
      <c r="T39">
        <v>443</v>
      </c>
      <c r="V39">
        <v>1</v>
      </c>
      <c r="W39">
        <v>0</v>
      </c>
      <c r="X39">
        <v>0</v>
      </c>
      <c r="Y39">
        <v>0</v>
      </c>
      <c r="Z39">
        <v>0</v>
      </c>
      <c r="AA39">
        <v>0</v>
      </c>
      <c r="AB39">
        <v>0</v>
      </c>
      <c r="AC39">
        <v>10</v>
      </c>
      <c r="AD39">
        <v>22</v>
      </c>
      <c r="AE39">
        <v>0</v>
      </c>
    </row>
    <row r="40" spans="1:31" x14ac:dyDescent="0.25">
      <c r="A40">
        <v>5</v>
      </c>
      <c r="B40">
        <v>125892.83252</v>
      </c>
      <c r="C40">
        <v>892.16390000000001</v>
      </c>
      <c r="D40">
        <v>300508.88522</v>
      </c>
      <c r="E40">
        <v>360466.06368000002</v>
      </c>
      <c r="F40">
        <v>51603.93333</v>
      </c>
      <c r="G40">
        <v>157856.90031999999</v>
      </c>
      <c r="H40">
        <v>102949.63266</v>
      </c>
      <c r="I40">
        <v>130264.24066</v>
      </c>
      <c r="J40">
        <v>2912.4227599999999</v>
      </c>
      <c r="K40">
        <v>5</v>
      </c>
      <c r="L40">
        <v>21270</v>
      </c>
      <c r="M40">
        <v>160</v>
      </c>
      <c r="N40">
        <v>56824</v>
      </c>
      <c r="O40">
        <v>77443</v>
      </c>
      <c r="P40">
        <v>15838</v>
      </c>
      <c r="Q40">
        <v>49934</v>
      </c>
      <c r="R40">
        <v>21808</v>
      </c>
      <c r="S40">
        <v>24610</v>
      </c>
      <c r="T40">
        <v>1562</v>
      </c>
      <c r="V40">
        <v>2</v>
      </c>
      <c r="W40">
        <v>298730</v>
      </c>
      <c r="X40">
        <v>5620</v>
      </c>
      <c r="Y40">
        <v>6757</v>
      </c>
      <c r="Z40">
        <v>0</v>
      </c>
      <c r="AA40">
        <v>250841</v>
      </c>
      <c r="AB40">
        <v>162762</v>
      </c>
      <c r="AC40">
        <v>0</v>
      </c>
      <c r="AD40">
        <v>0</v>
      </c>
      <c r="AE40">
        <v>101753</v>
      </c>
    </row>
    <row r="41" spans="1:31" x14ac:dyDescent="0.25">
      <c r="A41">
        <v>6</v>
      </c>
      <c r="B41">
        <v>7082.7475899999999</v>
      </c>
      <c r="C41">
        <v>529.91952000000003</v>
      </c>
      <c r="D41">
        <v>1983.6124500000001</v>
      </c>
      <c r="E41">
        <v>1465.8073899999999</v>
      </c>
      <c r="F41">
        <v>320.13724000000002</v>
      </c>
      <c r="G41">
        <v>2851.70037</v>
      </c>
      <c r="H41">
        <v>3828.8184500000002</v>
      </c>
      <c r="I41">
        <v>4420.1718099999998</v>
      </c>
      <c r="J41">
        <v>0</v>
      </c>
      <c r="K41">
        <v>6</v>
      </c>
      <c r="L41">
        <v>2720</v>
      </c>
      <c r="M41">
        <v>19</v>
      </c>
      <c r="N41">
        <v>1839</v>
      </c>
      <c r="O41">
        <v>2113</v>
      </c>
      <c r="P41">
        <v>463</v>
      </c>
      <c r="Q41">
        <v>405</v>
      </c>
      <c r="R41">
        <v>603</v>
      </c>
      <c r="S41">
        <v>342</v>
      </c>
      <c r="T41">
        <v>12</v>
      </c>
      <c r="V41">
        <v>3</v>
      </c>
      <c r="W41">
        <v>43761</v>
      </c>
      <c r="X41">
        <v>998</v>
      </c>
      <c r="Y41">
        <v>884</v>
      </c>
      <c r="Z41">
        <v>0</v>
      </c>
      <c r="AA41">
        <v>11340</v>
      </c>
      <c r="AB41">
        <v>11635</v>
      </c>
      <c r="AC41">
        <v>0</v>
      </c>
      <c r="AD41">
        <v>0</v>
      </c>
      <c r="AE41">
        <v>5527</v>
      </c>
    </row>
    <row r="42" spans="1:31" x14ac:dyDescent="0.25">
      <c r="A42">
        <v>7</v>
      </c>
      <c r="B42">
        <v>21978.733980000001</v>
      </c>
      <c r="C42">
        <v>3026.57033</v>
      </c>
      <c r="D42">
        <v>106026.70808</v>
      </c>
      <c r="E42">
        <v>59287.99654</v>
      </c>
      <c r="F42">
        <v>54996.175009999999</v>
      </c>
      <c r="G42">
        <v>83335.96041</v>
      </c>
      <c r="H42">
        <v>7996.3614799999996</v>
      </c>
      <c r="I42">
        <v>16565.90653</v>
      </c>
      <c r="J42">
        <v>75827.395780000006</v>
      </c>
      <c r="K42">
        <v>7</v>
      </c>
      <c r="L42">
        <v>4035</v>
      </c>
      <c r="M42">
        <v>437</v>
      </c>
      <c r="N42">
        <v>22213</v>
      </c>
      <c r="O42">
        <v>14310</v>
      </c>
      <c r="P42">
        <v>17036</v>
      </c>
      <c r="Q42">
        <v>27708</v>
      </c>
      <c r="R42">
        <v>1655</v>
      </c>
      <c r="S42">
        <v>3322</v>
      </c>
      <c r="T42">
        <v>39418</v>
      </c>
      <c r="V42">
        <v>4</v>
      </c>
      <c r="W42">
        <v>34789</v>
      </c>
      <c r="X42">
        <v>749</v>
      </c>
      <c r="Y42">
        <v>31602</v>
      </c>
      <c r="Z42">
        <v>62243</v>
      </c>
      <c r="AA42">
        <v>33353</v>
      </c>
      <c r="AB42">
        <v>56643</v>
      </c>
      <c r="AC42">
        <v>29846</v>
      </c>
      <c r="AD42">
        <v>23278</v>
      </c>
      <c r="AE42">
        <v>13851</v>
      </c>
    </row>
    <row r="43" spans="1:31" x14ac:dyDescent="0.25">
      <c r="A43">
        <v>8</v>
      </c>
      <c r="B43">
        <v>14350.58232</v>
      </c>
      <c r="C43">
        <v>31.783899999999999</v>
      </c>
      <c r="D43">
        <v>11794.437679999999</v>
      </c>
      <c r="E43">
        <v>1845.39482</v>
      </c>
      <c r="F43">
        <v>10038.133239999999</v>
      </c>
      <c r="G43">
        <v>18874.382079999999</v>
      </c>
      <c r="H43">
        <v>819.41144999999995</v>
      </c>
      <c r="I43">
        <v>937.53458999999998</v>
      </c>
      <c r="J43">
        <v>1034.8491300000001</v>
      </c>
      <c r="K43">
        <v>8</v>
      </c>
      <c r="L43">
        <v>3158</v>
      </c>
      <c r="M43">
        <v>3</v>
      </c>
      <c r="N43">
        <v>2316</v>
      </c>
      <c r="O43">
        <v>0</v>
      </c>
      <c r="P43">
        <v>3061</v>
      </c>
      <c r="Q43">
        <v>6160</v>
      </c>
      <c r="R43">
        <v>106</v>
      </c>
      <c r="S43">
        <v>166</v>
      </c>
      <c r="T43">
        <v>501</v>
      </c>
      <c r="V43">
        <v>5</v>
      </c>
      <c r="W43">
        <v>3223</v>
      </c>
      <c r="X43">
        <v>64</v>
      </c>
      <c r="Y43">
        <v>429</v>
      </c>
      <c r="Z43">
        <v>1504</v>
      </c>
      <c r="AA43">
        <v>1007</v>
      </c>
      <c r="AB43">
        <v>985</v>
      </c>
      <c r="AC43">
        <v>741</v>
      </c>
      <c r="AD43">
        <v>618</v>
      </c>
      <c r="AE43">
        <v>443</v>
      </c>
    </row>
    <row r="44" spans="1:31" x14ac:dyDescent="0.25">
      <c r="A44">
        <v>9</v>
      </c>
      <c r="B44">
        <v>42314.21675</v>
      </c>
      <c r="C44">
        <v>5877.3215099999998</v>
      </c>
      <c r="D44">
        <v>15660.170109999999</v>
      </c>
      <c r="E44">
        <v>1268.1217200000001</v>
      </c>
      <c r="F44">
        <v>11601.499309999999</v>
      </c>
      <c r="G44">
        <v>5321.9184100000002</v>
      </c>
      <c r="H44">
        <v>481.39607000000001</v>
      </c>
      <c r="I44">
        <v>1188.70398</v>
      </c>
      <c r="J44">
        <v>1113.5816500000001</v>
      </c>
      <c r="K44">
        <v>9</v>
      </c>
      <c r="L44">
        <v>0</v>
      </c>
      <c r="M44">
        <v>0</v>
      </c>
      <c r="N44">
        <v>0</v>
      </c>
      <c r="O44">
        <v>0</v>
      </c>
      <c r="P44">
        <v>0</v>
      </c>
      <c r="Q44">
        <v>0</v>
      </c>
      <c r="R44">
        <v>0</v>
      </c>
      <c r="S44">
        <v>0</v>
      </c>
      <c r="T44">
        <v>0</v>
      </c>
      <c r="V44">
        <v>6</v>
      </c>
      <c r="W44">
        <v>21270</v>
      </c>
      <c r="X44">
        <v>160</v>
      </c>
      <c r="Y44">
        <v>56824</v>
      </c>
      <c r="Z44">
        <v>77443</v>
      </c>
      <c r="AA44">
        <v>15838</v>
      </c>
      <c r="AB44">
        <v>49934</v>
      </c>
      <c r="AC44">
        <v>21808</v>
      </c>
      <c r="AD44">
        <v>24610</v>
      </c>
      <c r="AE44">
        <v>1562</v>
      </c>
    </row>
    <row r="45" spans="1:31" x14ac:dyDescent="0.25">
      <c r="A45">
        <v>10</v>
      </c>
      <c r="B45">
        <v>40768.159119999997</v>
      </c>
      <c r="C45">
        <v>189.17054999999999</v>
      </c>
      <c r="D45">
        <v>3622.1965100000002</v>
      </c>
      <c r="E45">
        <v>0</v>
      </c>
      <c r="F45">
        <v>1385.7617600000001</v>
      </c>
      <c r="G45">
        <v>989.73915999999997</v>
      </c>
      <c r="H45">
        <v>0</v>
      </c>
      <c r="I45">
        <v>640.23739999999998</v>
      </c>
      <c r="J45">
        <v>184.64464000000001</v>
      </c>
      <c r="K45">
        <v>10</v>
      </c>
      <c r="L45">
        <v>11023</v>
      </c>
      <c r="M45">
        <v>1039</v>
      </c>
      <c r="N45">
        <v>2648</v>
      </c>
      <c r="O45">
        <v>165</v>
      </c>
      <c r="P45">
        <v>1833</v>
      </c>
      <c r="Q45">
        <v>645</v>
      </c>
      <c r="R45">
        <v>78</v>
      </c>
      <c r="S45">
        <v>184</v>
      </c>
      <c r="T45">
        <v>119</v>
      </c>
      <c r="V45">
        <v>7</v>
      </c>
      <c r="W45">
        <v>2720</v>
      </c>
      <c r="X45">
        <v>19</v>
      </c>
      <c r="Y45">
        <v>1839</v>
      </c>
      <c r="Z45">
        <v>2113</v>
      </c>
      <c r="AA45">
        <v>463</v>
      </c>
      <c r="AB45">
        <v>405</v>
      </c>
      <c r="AC45">
        <v>603</v>
      </c>
      <c r="AD45">
        <v>342</v>
      </c>
      <c r="AE45">
        <v>12</v>
      </c>
    </row>
    <row r="46" spans="1:31" x14ac:dyDescent="0.25">
      <c r="A46">
        <v>11</v>
      </c>
      <c r="B46">
        <v>21879.500670000001</v>
      </c>
      <c r="C46">
        <v>855.19790999999998</v>
      </c>
      <c r="D46">
        <v>9147.8425800000005</v>
      </c>
      <c r="E46">
        <v>0</v>
      </c>
      <c r="F46">
        <v>2090.3649999999998</v>
      </c>
      <c r="G46">
        <v>3247.2015700000002</v>
      </c>
      <c r="H46">
        <v>1021.57188</v>
      </c>
      <c r="I46">
        <v>707.29931999999997</v>
      </c>
      <c r="J46">
        <v>816.85163999999997</v>
      </c>
      <c r="K46">
        <v>11</v>
      </c>
      <c r="L46">
        <v>909</v>
      </c>
      <c r="M46">
        <v>37</v>
      </c>
      <c r="N46">
        <v>535</v>
      </c>
      <c r="O46">
        <v>0</v>
      </c>
      <c r="P46">
        <v>115</v>
      </c>
      <c r="Q46">
        <v>111</v>
      </c>
      <c r="R46">
        <v>42</v>
      </c>
      <c r="S46">
        <v>21</v>
      </c>
      <c r="T46">
        <v>0</v>
      </c>
      <c r="V46">
        <v>8</v>
      </c>
      <c r="W46">
        <v>4035</v>
      </c>
      <c r="X46">
        <v>437</v>
      </c>
      <c r="Y46">
        <v>22213</v>
      </c>
      <c r="Z46">
        <v>14310</v>
      </c>
      <c r="AA46">
        <v>17036</v>
      </c>
      <c r="AB46">
        <v>27708</v>
      </c>
      <c r="AC46">
        <v>1655</v>
      </c>
      <c r="AD46">
        <v>3322</v>
      </c>
      <c r="AE46">
        <v>39418</v>
      </c>
    </row>
    <row r="47" spans="1:31" x14ac:dyDescent="0.25">
      <c r="A47">
        <v>12</v>
      </c>
      <c r="B47">
        <v>106250.27499999999</v>
      </c>
      <c r="C47">
        <v>9837.5679400000008</v>
      </c>
      <c r="D47">
        <v>205.61553000000001</v>
      </c>
      <c r="E47">
        <v>682.01460999999995</v>
      </c>
      <c r="F47">
        <v>3430.85968</v>
      </c>
      <c r="G47">
        <v>2810.5017400000002</v>
      </c>
      <c r="H47">
        <v>279.72061000000002</v>
      </c>
      <c r="I47">
        <v>804.24068</v>
      </c>
      <c r="J47">
        <v>346.34159</v>
      </c>
      <c r="K47">
        <v>12</v>
      </c>
      <c r="L47">
        <v>4883</v>
      </c>
      <c r="M47">
        <v>700</v>
      </c>
      <c r="N47">
        <v>14</v>
      </c>
      <c r="O47">
        <v>0</v>
      </c>
      <c r="P47">
        <v>204</v>
      </c>
      <c r="Q47">
        <v>128</v>
      </c>
      <c r="R47">
        <v>0</v>
      </c>
      <c r="S47">
        <v>21</v>
      </c>
      <c r="T47">
        <v>0</v>
      </c>
      <c r="V47">
        <v>9</v>
      </c>
      <c r="W47">
        <v>3158</v>
      </c>
      <c r="X47">
        <v>3</v>
      </c>
      <c r="Y47">
        <v>2316</v>
      </c>
      <c r="Z47">
        <v>0</v>
      </c>
      <c r="AA47">
        <v>3061</v>
      </c>
      <c r="AB47">
        <v>6160</v>
      </c>
      <c r="AC47">
        <v>106</v>
      </c>
      <c r="AD47">
        <v>166</v>
      </c>
      <c r="AE47">
        <v>501</v>
      </c>
    </row>
    <row r="48" spans="1:31" x14ac:dyDescent="0.25">
      <c r="A48">
        <v>13</v>
      </c>
      <c r="B48">
        <v>3680.99233</v>
      </c>
      <c r="C48">
        <v>1386.7236</v>
      </c>
      <c r="D48">
        <v>270.39208000000002</v>
      </c>
      <c r="E48">
        <v>0</v>
      </c>
      <c r="F48">
        <v>1742.08295</v>
      </c>
      <c r="G48">
        <v>1885.6934699999999</v>
      </c>
      <c r="H48">
        <v>0</v>
      </c>
      <c r="I48">
        <v>206.21563</v>
      </c>
      <c r="J48">
        <v>3050.8422799999998</v>
      </c>
      <c r="K48">
        <v>13</v>
      </c>
      <c r="L48">
        <v>526</v>
      </c>
      <c r="M48">
        <v>247</v>
      </c>
      <c r="N48">
        <v>65</v>
      </c>
      <c r="O48">
        <v>0</v>
      </c>
      <c r="P48">
        <v>484</v>
      </c>
      <c r="Q48">
        <v>509</v>
      </c>
      <c r="R48">
        <v>4</v>
      </c>
      <c r="S48">
        <v>34</v>
      </c>
      <c r="T48">
        <v>1673</v>
      </c>
      <c r="V48">
        <v>10</v>
      </c>
      <c r="W48">
        <v>0</v>
      </c>
      <c r="X48">
        <v>0</v>
      </c>
      <c r="Y48">
        <v>0</v>
      </c>
      <c r="Z48">
        <v>0</v>
      </c>
      <c r="AA48">
        <v>0</v>
      </c>
      <c r="AB48">
        <v>0</v>
      </c>
      <c r="AC48">
        <v>0</v>
      </c>
      <c r="AD48">
        <v>0</v>
      </c>
      <c r="AE48">
        <v>0</v>
      </c>
    </row>
    <row r="49" spans="1:31" x14ac:dyDescent="0.25">
      <c r="A49">
        <v>14</v>
      </c>
      <c r="B49">
        <v>1087.55423</v>
      </c>
      <c r="C49">
        <v>10.771559999999999</v>
      </c>
      <c r="D49">
        <v>393627.35983999999</v>
      </c>
      <c r="E49">
        <v>25.12893</v>
      </c>
      <c r="F49">
        <v>534.73186999999996</v>
      </c>
      <c r="G49">
        <v>2637.8246399999998</v>
      </c>
      <c r="H49">
        <v>0</v>
      </c>
      <c r="I49">
        <v>0</v>
      </c>
      <c r="J49">
        <v>752.66250000000002</v>
      </c>
      <c r="K49">
        <v>14</v>
      </c>
      <c r="L49">
        <v>0</v>
      </c>
      <c r="M49">
        <v>0</v>
      </c>
      <c r="N49">
        <v>78485</v>
      </c>
      <c r="O49">
        <v>0</v>
      </c>
      <c r="P49">
        <v>0</v>
      </c>
      <c r="Q49">
        <v>0</v>
      </c>
      <c r="R49">
        <v>0</v>
      </c>
      <c r="S49">
        <v>0</v>
      </c>
      <c r="T49">
        <v>0</v>
      </c>
      <c r="V49">
        <v>11</v>
      </c>
      <c r="W49">
        <v>11023</v>
      </c>
      <c r="X49">
        <v>1039</v>
      </c>
      <c r="Y49">
        <v>2648</v>
      </c>
      <c r="Z49">
        <v>165</v>
      </c>
      <c r="AA49">
        <v>1833</v>
      </c>
      <c r="AB49">
        <v>645</v>
      </c>
      <c r="AC49">
        <v>78</v>
      </c>
      <c r="AD49">
        <v>184</v>
      </c>
      <c r="AE49">
        <v>119</v>
      </c>
    </row>
    <row r="50" spans="1:31" x14ac:dyDescent="0.25">
      <c r="V50">
        <v>12</v>
      </c>
      <c r="W50">
        <v>909</v>
      </c>
      <c r="X50">
        <v>37</v>
      </c>
      <c r="Y50">
        <v>535</v>
      </c>
      <c r="Z50">
        <v>0</v>
      </c>
      <c r="AA50">
        <v>115</v>
      </c>
      <c r="AB50">
        <v>111</v>
      </c>
      <c r="AC50">
        <v>42</v>
      </c>
      <c r="AD50">
        <v>21</v>
      </c>
      <c r="AE50">
        <v>0</v>
      </c>
    </row>
    <row r="51" spans="1:31" x14ac:dyDescent="0.25">
      <c r="V51">
        <v>13</v>
      </c>
      <c r="W51">
        <v>4883</v>
      </c>
      <c r="X51">
        <v>700</v>
      </c>
      <c r="Y51">
        <v>14</v>
      </c>
      <c r="Z51">
        <v>0</v>
      </c>
      <c r="AA51">
        <v>204</v>
      </c>
      <c r="AB51">
        <v>128</v>
      </c>
      <c r="AC51">
        <v>0</v>
      </c>
      <c r="AD51">
        <v>21</v>
      </c>
      <c r="AE51">
        <v>0</v>
      </c>
    </row>
    <row r="52" spans="1:31" x14ac:dyDescent="0.25">
      <c r="V52">
        <v>14</v>
      </c>
      <c r="W52">
        <v>526</v>
      </c>
      <c r="X52">
        <v>247</v>
      </c>
      <c r="Y52">
        <v>65</v>
      </c>
      <c r="Z52">
        <v>0</v>
      </c>
      <c r="AA52">
        <v>484</v>
      </c>
      <c r="AB52">
        <v>509</v>
      </c>
      <c r="AC52">
        <v>4</v>
      </c>
      <c r="AD52">
        <v>34</v>
      </c>
      <c r="AE52">
        <v>1673</v>
      </c>
    </row>
    <row r="53" spans="1:31" x14ac:dyDescent="0.25">
      <c r="V53">
        <v>15</v>
      </c>
      <c r="W53">
        <v>0</v>
      </c>
      <c r="X53">
        <v>0</v>
      </c>
      <c r="Y53">
        <v>78485</v>
      </c>
      <c r="Z53">
        <v>0</v>
      </c>
      <c r="AA53">
        <v>0</v>
      </c>
      <c r="AB53">
        <v>0</v>
      </c>
      <c r="AC53">
        <v>0</v>
      </c>
      <c r="AD53">
        <v>0</v>
      </c>
      <c r="AE53">
        <v>0</v>
      </c>
    </row>
  </sheetData>
  <pageMargins left="0.7" right="0.7" top="0.75" bottom="0.75" header="0.3" footer="0.3"/>
  <pageSetup paperSize="0" orientation="portrait" horizontalDpi="0" verticalDpi="0" copie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06"/>
  <sheetViews>
    <sheetView zoomScale="85" zoomScaleNormal="85" workbookViewId="0">
      <pane xSplit="2" ySplit="5" topLeftCell="S6" activePane="bottomRight" state="frozen"/>
      <selection pane="topRight" activeCell="C1" sqref="C1"/>
      <selection pane="bottomLeft" activeCell="A6" sqref="A6"/>
      <selection pane="bottomRight" activeCell="AC6" sqref="AC6"/>
    </sheetView>
  </sheetViews>
  <sheetFormatPr defaultRowHeight="15" x14ac:dyDescent="0.25"/>
  <cols>
    <col min="1" max="1" width="23.5703125" bestFit="1" customWidth="1"/>
    <col min="2" max="2" width="19.42578125" customWidth="1"/>
    <col min="6" max="9" width="10" customWidth="1"/>
    <col min="11" max="11" width="23.5703125" bestFit="1" customWidth="1"/>
    <col min="12" max="12" width="19.42578125" customWidth="1"/>
    <col min="15" max="15" width="12.28515625" bestFit="1" customWidth="1"/>
    <col min="16" max="16" width="10" customWidth="1"/>
    <col min="18" max="18" width="23.5703125" bestFit="1" customWidth="1"/>
    <col min="19" max="19" width="19.42578125" customWidth="1"/>
    <col min="21" max="21" width="11.7109375" bestFit="1" customWidth="1"/>
    <col min="22" max="22" width="12.28515625" bestFit="1" customWidth="1"/>
    <col min="23" max="23" width="10" customWidth="1"/>
    <col min="27" max="27" width="17.85546875" bestFit="1" customWidth="1"/>
    <col min="29" max="29" width="11.7109375" bestFit="1" customWidth="1"/>
    <col min="30" max="30" width="10" customWidth="1"/>
    <col min="31" max="31" width="9.85546875" customWidth="1"/>
    <col min="34" max="34" width="17.85546875" bestFit="1" customWidth="1"/>
    <col min="37" max="37" width="17.85546875" bestFit="1" customWidth="1"/>
    <col min="40" max="40" width="17.85546875" bestFit="1" customWidth="1"/>
  </cols>
  <sheetData>
    <row r="1" spans="1:41" ht="28.5" x14ac:dyDescent="0.45">
      <c r="A1" s="174" t="s">
        <v>371</v>
      </c>
      <c r="B1" s="124"/>
      <c r="K1" s="174" t="s">
        <v>371</v>
      </c>
      <c r="L1" s="124"/>
      <c r="R1" s="174" t="s">
        <v>371</v>
      </c>
      <c r="S1" s="124"/>
      <c r="AM1" s="403" t="s">
        <v>570</v>
      </c>
      <c r="AN1" s="403"/>
      <c r="AO1" s="276">
        <v>-0.25</v>
      </c>
    </row>
    <row r="2" spans="1:41" ht="19.149999999999999" customHeight="1" x14ac:dyDescent="0.25"/>
    <row r="3" spans="1:41" ht="18.75" x14ac:dyDescent="0.3">
      <c r="B3" s="402" t="s">
        <v>7</v>
      </c>
      <c r="C3" s="402"/>
      <c r="D3" s="402"/>
      <c r="E3" s="402"/>
      <c r="F3" s="402"/>
      <c r="G3" s="298"/>
      <c r="H3" s="303" t="s">
        <v>554</v>
      </c>
      <c r="I3" s="303" t="s">
        <v>558</v>
      </c>
      <c r="L3" s="402" t="s">
        <v>561</v>
      </c>
      <c r="M3" s="402"/>
      <c r="N3" s="402"/>
      <c r="O3" s="402"/>
      <c r="P3" s="402"/>
      <c r="S3" s="402" t="s">
        <v>562</v>
      </c>
      <c r="T3" s="402"/>
      <c r="U3" s="402"/>
      <c r="V3" s="402"/>
      <c r="W3" s="402"/>
      <c r="AA3" s="402" t="s">
        <v>3</v>
      </c>
      <c r="AB3" s="402"/>
      <c r="AC3" s="402"/>
      <c r="AD3" s="402"/>
      <c r="AE3" s="402"/>
      <c r="AH3" s="402" t="s">
        <v>572</v>
      </c>
      <c r="AI3" s="402"/>
      <c r="AK3" s="402" t="s">
        <v>567</v>
      </c>
      <c r="AL3" s="402"/>
      <c r="AN3" s="402" t="s">
        <v>568</v>
      </c>
      <c r="AO3" s="402"/>
    </row>
    <row r="4" spans="1:41" ht="26.25" x14ac:dyDescent="0.4">
      <c r="A4" s="150" t="s">
        <v>4</v>
      </c>
      <c r="B4" s="402" t="s">
        <v>7</v>
      </c>
      <c r="C4" s="402"/>
      <c r="D4" s="402"/>
      <c r="E4" s="402"/>
      <c r="F4" s="402"/>
      <c r="G4" s="298"/>
      <c r="H4" s="298"/>
      <c r="I4" s="298"/>
      <c r="K4" s="150" t="s">
        <v>4</v>
      </c>
      <c r="L4" s="402" t="s">
        <v>7</v>
      </c>
      <c r="M4" s="402"/>
      <c r="N4" s="402"/>
      <c r="O4" s="402"/>
      <c r="P4" s="402"/>
      <c r="R4" s="150" t="s">
        <v>4</v>
      </c>
      <c r="S4" s="402" t="s">
        <v>7</v>
      </c>
      <c r="T4" s="402"/>
      <c r="U4" s="402"/>
      <c r="V4" s="402"/>
      <c r="W4" s="402"/>
      <c r="AA4" s="402" t="s">
        <v>3</v>
      </c>
      <c r="AB4" s="402"/>
      <c r="AC4" s="402"/>
      <c r="AD4" s="402"/>
      <c r="AE4" s="402"/>
      <c r="AI4" s="329"/>
      <c r="AK4" s="402"/>
      <c r="AL4" s="402"/>
      <c r="AN4" s="402"/>
      <c r="AO4" s="402"/>
    </row>
    <row r="5" spans="1:41" ht="26.25" x14ac:dyDescent="0.25">
      <c r="B5" s="102" t="s">
        <v>134</v>
      </c>
      <c r="C5" s="103" t="s">
        <v>135</v>
      </c>
      <c r="D5" s="104" t="s">
        <v>136</v>
      </c>
      <c r="E5" s="105" t="s">
        <v>137</v>
      </c>
      <c r="F5" s="106" t="s">
        <v>29</v>
      </c>
      <c r="G5" s="299"/>
      <c r="H5" s="299"/>
      <c r="I5" s="299"/>
      <c r="L5" s="102" t="s">
        <v>134</v>
      </c>
      <c r="M5" s="103" t="s">
        <v>135</v>
      </c>
      <c r="N5" s="104" t="s">
        <v>136</v>
      </c>
      <c r="O5" s="105" t="s">
        <v>137</v>
      </c>
      <c r="P5" s="106" t="s">
        <v>29</v>
      </c>
      <c r="S5" s="102" t="s">
        <v>134</v>
      </c>
      <c r="T5" s="103" t="s">
        <v>135</v>
      </c>
      <c r="U5" s="104" t="s">
        <v>136</v>
      </c>
      <c r="V5" s="105" t="s">
        <v>137</v>
      </c>
      <c r="W5" s="106" t="s">
        <v>29</v>
      </c>
      <c r="AA5" s="102" t="s">
        <v>134</v>
      </c>
      <c r="AB5" s="103" t="s">
        <v>135</v>
      </c>
      <c r="AC5" s="104" t="s">
        <v>136</v>
      </c>
      <c r="AD5" s="105" t="s">
        <v>137</v>
      </c>
      <c r="AE5" s="106" t="s">
        <v>29</v>
      </c>
      <c r="AH5" s="102" t="s">
        <v>134</v>
      </c>
      <c r="AI5" s="106" t="s">
        <v>29</v>
      </c>
      <c r="AK5" s="102" t="s">
        <v>134</v>
      </c>
      <c r="AL5" s="106" t="s">
        <v>29</v>
      </c>
      <c r="AN5" s="102" t="s">
        <v>134</v>
      </c>
      <c r="AO5" s="106" t="s">
        <v>29</v>
      </c>
    </row>
    <row r="6" spans="1:41" x14ac:dyDescent="0.25">
      <c r="A6">
        <v>1</v>
      </c>
      <c r="B6" s="107" t="s">
        <v>386</v>
      </c>
      <c r="C6" s="297">
        <v>0</v>
      </c>
      <c r="D6" s="113">
        <f>INDEX(TourMode_inputCBD!$B$20:$J$33,MATCH(TourMode!$A6,modes,0),MATCH("work",modePurpose,0))</f>
        <v>40212.534930000002</v>
      </c>
      <c r="E6" s="113">
        <f>INDEX(TourMode_inputCBD!$B$36:$J$49,MATCH(TourMode!$A6,modes,0),MATCH("work",modePurpose,0))</f>
        <v>110028.27839000001</v>
      </c>
      <c r="F6" s="114">
        <f>SUM(C6:E6)</f>
        <v>150240.81332000002</v>
      </c>
      <c r="G6" s="300"/>
      <c r="H6" s="300"/>
      <c r="I6" s="300"/>
      <c r="J6" s="115"/>
      <c r="K6">
        <v>1</v>
      </c>
      <c r="L6" s="107" t="s">
        <v>386</v>
      </c>
      <c r="M6" s="113">
        <f>C6</f>
        <v>0</v>
      </c>
      <c r="N6" s="113">
        <f t="shared" ref="N6:O13" si="0">D6</f>
        <v>40212.534930000002</v>
      </c>
      <c r="O6" s="113">
        <f t="shared" si="0"/>
        <v>110028.27839000001</v>
      </c>
      <c r="P6" s="114">
        <f>SUM(M6:O6)</f>
        <v>150240.81332000002</v>
      </c>
      <c r="Q6" s="115"/>
      <c r="R6">
        <v>1</v>
      </c>
      <c r="S6" s="107" t="s">
        <v>386</v>
      </c>
      <c r="T6" s="113">
        <f>IF(M20&gt;0,M6/M20*T20,0)</f>
        <v>0</v>
      </c>
      <c r="U6" s="113">
        <f>IF(N20&gt;0,N6/N20*U20,0)</f>
        <v>-44431.175856000707</v>
      </c>
      <c r="V6" s="113">
        <f>IF(O20&gt;0,O6/O20*V20,0)</f>
        <v>-36670.014159982842</v>
      </c>
      <c r="W6" s="114">
        <f>SUM(T6:V6)</f>
        <v>-81101.19001598355</v>
      </c>
      <c r="X6" s="115"/>
      <c r="Y6" s="115"/>
      <c r="Z6" s="115"/>
      <c r="AA6" s="107" t="s">
        <v>386</v>
      </c>
      <c r="AB6" s="113">
        <f>INDEX(TourMode_inputCBD!$L$4:$T$17,MATCH(TourMode!$A6,modes,0),MATCH("work",modePurpose,0))*Index!$B$2</f>
        <v>0</v>
      </c>
      <c r="AC6" s="113">
        <f>INDEX(TourMode_inputCBD!$L$20:$T$33,MATCH(TourMode!$A6,modes,0), MATCH("work",modePurpose,0))*Index!$B$2</f>
        <v>17795</v>
      </c>
      <c r="AD6" s="113">
        <f>INDEX(TourMode_inputCBD!$L$36:$T$49,MATCH(TourMode!$A6,modes,0), MATCH("work",modePurpose,0))*Index!$B$2</f>
        <v>57175</v>
      </c>
      <c r="AE6" s="114">
        <f>SUM(AB6:AD6)</f>
        <v>74970</v>
      </c>
      <c r="AG6" s="115"/>
      <c r="AH6" s="107" t="s">
        <v>538</v>
      </c>
      <c r="AI6" s="307"/>
      <c r="AK6" s="107" t="s">
        <v>538</v>
      </c>
      <c r="AL6" s="328"/>
      <c r="AN6" s="107" t="s">
        <v>538</v>
      </c>
      <c r="AO6" s="309"/>
    </row>
    <row r="7" spans="1:41" x14ac:dyDescent="0.25">
      <c r="A7">
        <v>2</v>
      </c>
      <c r="B7" s="107" t="s">
        <v>387</v>
      </c>
      <c r="C7" s="297">
        <v>0</v>
      </c>
      <c r="D7" s="113">
        <f>INDEX(TourMode_inputCBD!$B$20:$J$33,MATCH(TourMode!$A7,modes,0),MATCH("work",modePurpose,0))</f>
        <v>1832.78043</v>
      </c>
      <c r="E7" s="113">
        <f>INDEX(TourMode_inputCBD!$B$36:$J$49,MATCH(TourMode!$A7,modes,0),MATCH("work",modePurpose,0))</f>
        <v>9307.3674800000008</v>
      </c>
      <c r="F7" s="116">
        <f t="shared" ref="F7:F18" si="1">SUM(C7:E7)</f>
        <v>11140.147910000002</v>
      </c>
      <c r="G7" s="300"/>
      <c r="H7" s="300"/>
      <c r="I7" s="300"/>
      <c r="J7" s="115"/>
      <c r="K7">
        <v>2</v>
      </c>
      <c r="L7" s="107" t="s">
        <v>387</v>
      </c>
      <c r="M7" s="113">
        <f t="shared" ref="M7:M13" si="2">C7</f>
        <v>0</v>
      </c>
      <c r="N7" s="113">
        <f t="shared" si="0"/>
        <v>1832.78043</v>
      </c>
      <c r="O7" s="113">
        <f t="shared" si="0"/>
        <v>9307.3674800000008</v>
      </c>
      <c r="P7" s="116">
        <f t="shared" ref="P7:P18" si="3">SUM(M7:O7)</f>
        <v>11140.147910000002</v>
      </c>
      <c r="Q7" s="115"/>
      <c r="R7">
        <v>2</v>
      </c>
      <c r="S7" s="107" t="s">
        <v>387</v>
      </c>
      <c r="T7" s="113">
        <f>IF(M20&gt;0,M7/M20*T20,0)</f>
        <v>0</v>
      </c>
      <c r="U7" s="113">
        <f>IF(N20&gt;0,N7/N20*U20,0)</f>
        <v>-2025.054867406903</v>
      </c>
      <c r="V7" s="113">
        <f>IF(O20&gt;0,O7/O20*V20,0)</f>
        <v>-3101.9416306234166</v>
      </c>
      <c r="W7" s="116">
        <f t="shared" ref="W7:W18" si="4">SUM(T7:V7)</f>
        <v>-5126.9964980303193</v>
      </c>
      <c r="X7" s="115"/>
      <c r="Y7" s="115"/>
      <c r="Z7" s="115"/>
      <c r="AA7" s="107" t="s">
        <v>387</v>
      </c>
      <c r="AB7" s="113">
        <f>INDEX(TourMode_inputCBD!$L$4:$T$17,MATCH(TourMode!$A7,modes,0),MATCH("work",modePurpose,0))*Index!$B$2</f>
        <v>0</v>
      </c>
      <c r="AC7" s="113">
        <f>INDEX(TourMode_inputCBD!$L$20:$T$33,MATCH(TourMode!$A7,modes,0), MATCH("work",modePurpose,0))*Index!$B$2</f>
        <v>2835</v>
      </c>
      <c r="AD7" s="113">
        <f>INDEX(TourMode_inputCBD!$L$36:$T$49,MATCH(TourMode!$A7,modes,0), MATCH("work",modePurpose,0))*Index!$B$2</f>
        <v>8910</v>
      </c>
      <c r="AE7" s="116">
        <f t="shared" ref="AE7:AE18" si="5">SUM(AB7:AD7)</f>
        <v>11745</v>
      </c>
      <c r="AG7" s="115"/>
      <c r="AH7" s="107"/>
      <c r="AI7" s="307"/>
      <c r="AK7" s="107"/>
      <c r="AL7" s="328"/>
      <c r="AN7" s="107"/>
      <c r="AO7" s="307"/>
    </row>
    <row r="8" spans="1:41" x14ac:dyDescent="0.25">
      <c r="A8">
        <v>3</v>
      </c>
      <c r="B8" s="107" t="s">
        <v>388</v>
      </c>
      <c r="C8" s="113">
        <f>INDEX(TourMode_inputCBD!$B$4:$J$172,MATCH(TourMode!$A8,modes,0),MATCH("work",modePurpose,0))</f>
        <v>1589.1507899999999</v>
      </c>
      <c r="D8" s="113">
        <f>INDEX(TourMode_inputCBD!$B$20:$J$33,MATCH(TourMode!$A8,modes,0),MATCH("work",modePurpose,0))</f>
        <v>18878.83424</v>
      </c>
      <c r="E8" s="113">
        <f>INDEX(TourMode_inputCBD!$B$36:$J$49,MATCH(TourMode!$A8,modes,0),MATCH("work",modePurpose,0))</f>
        <v>22193.594700000001</v>
      </c>
      <c r="F8" s="116">
        <f t="shared" si="1"/>
        <v>42661.579729999998</v>
      </c>
      <c r="G8" s="300"/>
      <c r="H8" s="300"/>
      <c r="I8" s="300"/>
      <c r="J8" s="115"/>
      <c r="K8">
        <v>3</v>
      </c>
      <c r="L8" s="107" t="s">
        <v>388</v>
      </c>
      <c r="M8" s="113">
        <f t="shared" si="2"/>
        <v>1589.1507899999999</v>
      </c>
      <c r="N8" s="113">
        <f t="shared" si="0"/>
        <v>18878.83424</v>
      </c>
      <c r="O8" s="113">
        <f t="shared" si="0"/>
        <v>22193.594700000001</v>
      </c>
      <c r="P8" s="116">
        <f t="shared" si="3"/>
        <v>42661.579729999998</v>
      </c>
      <c r="Q8" s="115"/>
      <c r="R8">
        <v>3</v>
      </c>
      <c r="S8" s="107" t="s">
        <v>388</v>
      </c>
      <c r="T8" s="113">
        <f>IF(M20&gt;0,M8/M20*T20,0)</f>
        <v>-3180.7555525298576</v>
      </c>
      <c r="U8" s="113">
        <f>IF(N20&gt;0,N8/N20*U20,0)</f>
        <v>-20859.386396154448</v>
      </c>
      <c r="V8" s="113">
        <f>IF(O20&gt;0,O8/O20*V20,0)</f>
        <v>-7396.6387897594013</v>
      </c>
      <c r="W8" s="116">
        <f t="shared" si="4"/>
        <v>-31436.780738443711</v>
      </c>
      <c r="X8" s="115"/>
      <c r="Y8" s="115"/>
      <c r="Z8" s="115"/>
      <c r="AA8" s="107" t="s">
        <v>388</v>
      </c>
      <c r="AB8" s="113">
        <f>INDEX(TourMode_inputCBD!$L$4:$T$17,MATCH(TourMode!$A8,modes,0),MATCH("work",modePurpose,0))*Index!$B$2</f>
        <v>75</v>
      </c>
      <c r="AC8" s="113">
        <f>INDEX(TourMode_inputCBD!$L$20:$T$33,MATCH(TourMode!$A8,modes,0), MATCH("work",modePurpose,0))*Index!$B$2</f>
        <v>2730</v>
      </c>
      <c r="AD8" s="113">
        <f>INDEX(TourMode_inputCBD!$L$36:$T$49,MATCH(TourMode!$A8,modes,0), MATCH("work",modePurpose,0))*Index!$B$2</f>
        <v>2175</v>
      </c>
      <c r="AE8" s="116">
        <f t="shared" si="5"/>
        <v>4980</v>
      </c>
      <c r="AG8" s="115"/>
      <c r="AH8" s="107" t="s">
        <v>576</v>
      </c>
      <c r="AI8" s="307"/>
      <c r="AK8" s="107" t="s">
        <v>576</v>
      </c>
      <c r="AL8" s="328"/>
      <c r="AN8" s="107" t="s">
        <v>576</v>
      </c>
      <c r="AO8" s="307"/>
    </row>
    <row r="9" spans="1:41" x14ac:dyDescent="0.25">
      <c r="A9">
        <v>4</v>
      </c>
      <c r="B9" s="107" t="s">
        <v>389</v>
      </c>
      <c r="C9" s="113">
        <f>INDEX(TourMode_inputCBD!$B$4:$J$172,MATCH(TourMode!$A9,modes,0),MATCH("work",modePurpose,0))</f>
        <v>0</v>
      </c>
      <c r="D9" s="113">
        <f>INDEX(TourMode_inputCBD!$B$20:$J$33,MATCH(TourMode!$A9,modes,0),MATCH("work",modePurpose,0))</f>
        <v>0</v>
      </c>
      <c r="E9" s="113">
        <f>INDEX(TourMode_inputCBD!$B$36:$J$49,MATCH(TourMode!$A9,modes,0),MATCH("work",modePurpose,0))</f>
        <v>649.66333999999995</v>
      </c>
      <c r="F9" s="116">
        <f t="shared" si="1"/>
        <v>649.66333999999995</v>
      </c>
      <c r="G9" s="300"/>
      <c r="H9" s="300"/>
      <c r="I9" s="300"/>
      <c r="J9" s="115"/>
      <c r="K9">
        <v>4</v>
      </c>
      <c r="L9" s="107" t="s">
        <v>389</v>
      </c>
      <c r="M9" s="113">
        <f t="shared" si="2"/>
        <v>0</v>
      </c>
      <c r="N9" s="113">
        <f t="shared" si="0"/>
        <v>0</v>
      </c>
      <c r="O9" s="113">
        <f t="shared" si="0"/>
        <v>649.66333999999995</v>
      </c>
      <c r="P9" s="116">
        <f t="shared" si="3"/>
        <v>649.66333999999995</v>
      </c>
      <c r="Q9" s="115"/>
      <c r="R9">
        <v>4</v>
      </c>
      <c r="S9" s="107" t="s">
        <v>389</v>
      </c>
      <c r="T9" s="113">
        <f>IF(M20&gt;0,M9/M20*T20,0)</f>
        <v>0</v>
      </c>
      <c r="U9" s="113">
        <f>IF(N20&gt;0,N9/N20*U20,0)</f>
        <v>0</v>
      </c>
      <c r="V9" s="113">
        <f>IF(O20&gt;0,O9/O20*V20,0)</f>
        <v>-216.51855528066619</v>
      </c>
      <c r="W9" s="116">
        <f t="shared" si="4"/>
        <v>-216.51855528066619</v>
      </c>
      <c r="X9" s="115"/>
      <c r="Y9" s="115"/>
      <c r="Z9" s="115"/>
      <c r="AA9" s="107" t="s">
        <v>389</v>
      </c>
      <c r="AB9" s="113">
        <f>INDEX(TourMode_inputCBD!$L$4:$T$17,MATCH(TourMode!$A9,modes,0),MATCH("work",modePurpose,0))*Index!$B$2</f>
        <v>10</v>
      </c>
      <c r="AC9" s="113">
        <f>INDEX(TourMode_inputCBD!$L$20:$T$33,MATCH(TourMode!$A9,modes,0), MATCH("work",modePurpose,0))*Index!$B$2</f>
        <v>455</v>
      </c>
      <c r="AD9" s="113">
        <f>INDEX(TourMode_inputCBD!$L$36:$T$49,MATCH(TourMode!$A9,modes,0), MATCH("work",modePurpose,0))*Index!$B$2</f>
        <v>455</v>
      </c>
      <c r="AE9" s="116">
        <f t="shared" si="5"/>
        <v>920</v>
      </c>
      <c r="AG9" s="115"/>
      <c r="AH9" s="107"/>
      <c r="AI9" s="307"/>
      <c r="AK9" s="107"/>
      <c r="AL9" s="328"/>
      <c r="AN9" s="107"/>
      <c r="AO9" s="307"/>
    </row>
    <row r="10" spans="1:41" x14ac:dyDescent="0.25">
      <c r="A10">
        <v>5</v>
      </c>
      <c r="B10" s="107" t="s">
        <v>390</v>
      </c>
      <c r="C10" s="113">
        <f>INDEX(TourMode_inputCBD!$B$4:$J$172,MATCH(TourMode!$A10,modes,0),MATCH("work",modePurpose,0))</f>
        <v>14039.885399999999</v>
      </c>
      <c r="D10" s="113">
        <f>INDEX(TourMode_inputCBD!$B$20:$J$33,MATCH(TourMode!$A10,modes,0),MATCH("work",modePurpose,0))</f>
        <v>3679.54547</v>
      </c>
      <c r="E10" s="113">
        <f>INDEX(TourMode_inputCBD!$B$36:$J$49,MATCH(TourMode!$A10,modes,0),MATCH("work",modePurpose,0))</f>
        <v>8766.3191200000001</v>
      </c>
      <c r="F10" s="116">
        <f t="shared" si="1"/>
        <v>26485.74999</v>
      </c>
      <c r="G10" s="300"/>
      <c r="H10" s="300"/>
      <c r="I10" s="300"/>
      <c r="J10" s="115"/>
      <c r="K10">
        <v>5</v>
      </c>
      <c r="L10" s="107" t="s">
        <v>390</v>
      </c>
      <c r="M10" s="113">
        <f t="shared" si="2"/>
        <v>14039.885399999999</v>
      </c>
      <c r="N10" s="113">
        <f t="shared" si="0"/>
        <v>3679.54547</v>
      </c>
      <c r="O10" s="113">
        <f t="shared" si="0"/>
        <v>8766.3191200000001</v>
      </c>
      <c r="P10" s="116">
        <f t="shared" si="3"/>
        <v>26485.74999</v>
      </c>
      <c r="Q10" s="115"/>
      <c r="R10">
        <v>5</v>
      </c>
      <c r="S10" s="107" t="s">
        <v>390</v>
      </c>
      <c r="T10" s="113">
        <f>IF(M20&gt;0,M10/M20*T20,0)</f>
        <v>-28101.451242982977</v>
      </c>
      <c r="U10" s="113">
        <f>IF(N20&gt;0,N10/N20*U20,0)</f>
        <v>-4065.5614507344558</v>
      </c>
      <c r="V10" s="113">
        <f>IF(O20&gt;0,O10/O20*V20,0)</f>
        <v>-2921.6220681186678</v>
      </c>
      <c r="W10" s="116">
        <f t="shared" si="4"/>
        <v>-35088.634761836103</v>
      </c>
      <c r="X10" s="115"/>
      <c r="Y10" s="115"/>
      <c r="Z10" s="115"/>
      <c r="AA10" s="107" t="s">
        <v>390</v>
      </c>
      <c r="AB10" s="113">
        <f>INDEX(TourMode_inputCBD!$L$4:$T$17,MATCH(TourMode!$A10,modes,0),MATCH("work",modePurpose,0))*Index!$B$2</f>
        <v>1400</v>
      </c>
      <c r="AC10" s="113">
        <f>INDEX(TourMode_inputCBD!$L$20:$T$33,MATCH(TourMode!$A10,modes,0), MATCH("work",modePurpose,0))*Index!$B$2</f>
        <v>9945</v>
      </c>
      <c r="AD10" s="113">
        <f>INDEX(TourMode_inputCBD!$L$36:$T$49,MATCH(TourMode!$A10,modes,0), MATCH("work",modePurpose,0))*Index!$B$2</f>
        <v>17225</v>
      </c>
      <c r="AE10" s="116">
        <f t="shared" si="5"/>
        <v>28570</v>
      </c>
      <c r="AG10" s="115"/>
      <c r="AH10" s="107" t="s">
        <v>577</v>
      </c>
      <c r="AI10" s="307"/>
      <c r="AK10" s="107" t="s">
        <v>577</v>
      </c>
      <c r="AL10" s="328"/>
      <c r="AN10" s="107" t="s">
        <v>577</v>
      </c>
      <c r="AO10" s="307"/>
    </row>
    <row r="11" spans="1:41" x14ac:dyDescent="0.25">
      <c r="A11">
        <v>6</v>
      </c>
      <c r="B11" s="107" t="s">
        <v>391</v>
      </c>
      <c r="C11" s="113">
        <f>INDEX(TourMode_inputCBD!$B$4:$J$172,MATCH(TourMode!$A11,modes,0),MATCH("work",modePurpose,0))</f>
        <v>0</v>
      </c>
      <c r="D11" s="113">
        <f>INDEX(TourMode_inputCBD!$B$20:$J$33,MATCH(TourMode!$A11,modes,0),MATCH("work",modePurpose,0))</f>
        <v>119.42748</v>
      </c>
      <c r="E11" s="113">
        <f>INDEX(TourMode_inputCBD!$B$36:$J$49,MATCH(TourMode!$A11,modes,0),MATCH("work",modePurpose,0))</f>
        <v>163.36591999999999</v>
      </c>
      <c r="F11" s="116">
        <f t="shared" si="1"/>
        <v>282.79340000000002</v>
      </c>
      <c r="G11" s="300"/>
      <c r="H11" s="300"/>
      <c r="I11" s="300"/>
      <c r="J11" s="115"/>
      <c r="K11">
        <v>6</v>
      </c>
      <c r="L11" s="107" t="s">
        <v>391</v>
      </c>
      <c r="M11" s="113">
        <f t="shared" si="2"/>
        <v>0</v>
      </c>
      <c r="N11" s="113">
        <f t="shared" si="0"/>
        <v>119.42748</v>
      </c>
      <c r="O11" s="113">
        <f t="shared" si="0"/>
        <v>163.36591999999999</v>
      </c>
      <c r="P11" s="116">
        <f t="shared" si="3"/>
        <v>282.79340000000002</v>
      </c>
      <c r="Q11" s="115"/>
      <c r="R11">
        <v>6</v>
      </c>
      <c r="S11" s="107" t="s">
        <v>391</v>
      </c>
      <c r="T11" s="113">
        <f>IF(M20&gt;0,M11/M20*T20,0)</f>
        <v>0</v>
      </c>
      <c r="U11" s="113">
        <f>IF(N20&gt;0,N11/N20*U20,0)</f>
        <v>-131.95645027491946</v>
      </c>
      <c r="V11" s="113">
        <f>IF(O20&gt;0,O11/O20*V20,0)</f>
        <v>-54.446281331646155</v>
      </c>
      <c r="W11" s="116">
        <f t="shared" si="4"/>
        <v>-186.40273160656562</v>
      </c>
      <c r="X11" s="115"/>
      <c r="Y11" s="115"/>
      <c r="Z11" s="115"/>
      <c r="AA11" s="107" t="s">
        <v>391</v>
      </c>
      <c r="AB11" s="113">
        <f>INDEX(TourMode_inputCBD!$L$4:$T$17,MATCH(TourMode!$A11,modes,0),MATCH("work",modePurpose,0))*Index!$B$2</f>
        <v>75</v>
      </c>
      <c r="AC11" s="113">
        <f>INDEX(TourMode_inputCBD!$L$20:$T$33,MATCH(TourMode!$A11,modes,0), MATCH("work",modePurpose,0))*Index!$B$2</f>
        <v>1695</v>
      </c>
      <c r="AD11" s="113">
        <f>INDEX(TourMode_inputCBD!$L$36:$T$49,MATCH(TourMode!$A11,modes,0), MATCH("work",modePurpose,0))*Index!$B$2</f>
        <v>3765</v>
      </c>
      <c r="AE11" s="116">
        <f t="shared" si="5"/>
        <v>5535</v>
      </c>
      <c r="AG11" s="115"/>
      <c r="AH11" s="107"/>
      <c r="AI11" s="307"/>
      <c r="AK11" s="107"/>
      <c r="AL11" s="328"/>
      <c r="AN11" s="107"/>
      <c r="AO11" s="307"/>
    </row>
    <row r="12" spans="1:41" x14ac:dyDescent="0.25">
      <c r="A12">
        <v>7</v>
      </c>
      <c r="B12" s="107" t="s">
        <v>392</v>
      </c>
      <c r="C12" s="113">
        <f>INDEX(TourMode_inputCBD!$B$4:$J$172,MATCH(TourMode!$A12,modes,0),MATCH("work",modePurpose,0))</f>
        <v>7172.3581700000004</v>
      </c>
      <c r="D12" s="113">
        <f>INDEX(TourMode_inputCBD!$B$20:$J$33,MATCH(TourMode!$A12,modes,0),MATCH("work",modePurpose,0))</f>
        <v>6912.4884300000003</v>
      </c>
      <c r="E12" s="113">
        <f>INDEX(TourMode_inputCBD!$B$36:$J$49,MATCH(TourMode!$A12,modes,0),MATCH("work",modePurpose,0))</f>
        <v>2779.2653300000002</v>
      </c>
      <c r="F12" s="116">
        <f t="shared" si="1"/>
        <v>16864.111929999999</v>
      </c>
      <c r="G12" s="300"/>
      <c r="H12" s="300"/>
      <c r="I12" s="300"/>
      <c r="J12" s="115"/>
      <c r="K12">
        <v>7</v>
      </c>
      <c r="L12" s="107" t="s">
        <v>392</v>
      </c>
      <c r="M12" s="113">
        <f t="shared" si="2"/>
        <v>7172.3581700000004</v>
      </c>
      <c r="N12" s="113">
        <f t="shared" si="0"/>
        <v>6912.4884300000003</v>
      </c>
      <c r="O12" s="113">
        <f t="shared" si="0"/>
        <v>2779.2653300000002</v>
      </c>
      <c r="P12" s="116">
        <f t="shared" si="3"/>
        <v>16864.111929999999</v>
      </c>
      <c r="Q12" s="115"/>
      <c r="R12">
        <v>7</v>
      </c>
      <c r="S12" s="107" t="s">
        <v>392</v>
      </c>
      <c r="T12" s="113">
        <f>IF(M20&gt;0,M12/M20*T20,0)</f>
        <v>-14355.791922024209</v>
      </c>
      <c r="U12" s="113">
        <f>IF(N20&gt;0,N12/N20*U20,0)</f>
        <v>-7637.6679453443312</v>
      </c>
      <c r="V12" s="113">
        <f>IF(O20&gt;0,O12/O20*V20,0)</f>
        <v>-926.26823301010643</v>
      </c>
      <c r="W12" s="116">
        <f t="shared" si="4"/>
        <v>-22919.728100378645</v>
      </c>
      <c r="X12" s="115"/>
      <c r="Y12" s="115"/>
      <c r="Z12" s="115"/>
      <c r="AA12" s="107" t="s">
        <v>392</v>
      </c>
      <c r="AB12" s="113">
        <f>INDEX(TourMode_inputCBD!$L$4:$T$17,MATCH(TourMode!$A12,modes,0),MATCH("work",modePurpose,0))*Index!$B$2</f>
        <v>6435</v>
      </c>
      <c r="AC12" s="113">
        <f>INDEX(TourMode_inputCBD!$L$20:$T$33,MATCH(TourMode!$A12,modes,0), MATCH("work",modePurpose,0))*Index!$B$2</f>
        <v>9790</v>
      </c>
      <c r="AD12" s="113">
        <f>INDEX(TourMode_inputCBD!$L$36:$T$49,MATCH(TourMode!$A12,modes,0), MATCH("work",modePurpose,0))*Index!$B$2</f>
        <v>9765</v>
      </c>
      <c r="AE12" s="116">
        <f t="shared" si="5"/>
        <v>25990</v>
      </c>
      <c r="AG12" s="115"/>
      <c r="AH12" s="107" t="s">
        <v>392</v>
      </c>
      <c r="AI12" s="307"/>
      <c r="AK12" s="107" t="s">
        <v>392</v>
      </c>
      <c r="AL12" s="328"/>
      <c r="AN12" s="107" t="s">
        <v>392</v>
      </c>
      <c r="AO12" s="307"/>
    </row>
    <row r="13" spans="1:41" x14ac:dyDescent="0.25">
      <c r="A13">
        <v>8</v>
      </c>
      <c r="B13" s="107" t="s">
        <v>393</v>
      </c>
      <c r="C13" s="113">
        <f>INDEX(TourMode_inputCBD!$B$4:$J$172,MATCH(TourMode!$A13,modes,0),MATCH("work",modePurpose,0))</f>
        <v>4798.2022900000002</v>
      </c>
      <c r="D13" s="113">
        <f>INDEX(TourMode_inputCBD!$B$20:$J$33,MATCH(TourMode!$A13,modes,0),MATCH("work",modePurpose,0))</f>
        <v>12891.11427</v>
      </c>
      <c r="E13" s="113">
        <f>INDEX(TourMode_inputCBD!$B$36:$J$49,MATCH(TourMode!$A13,modes,0),MATCH("work",modePurpose,0))</f>
        <v>4259.87572</v>
      </c>
      <c r="F13" s="116">
        <f t="shared" si="1"/>
        <v>21949.192279999999</v>
      </c>
      <c r="G13" s="300"/>
      <c r="H13" s="300"/>
      <c r="I13" s="300"/>
      <c r="J13" s="115"/>
      <c r="K13">
        <v>8</v>
      </c>
      <c r="L13" s="107" t="s">
        <v>393</v>
      </c>
      <c r="M13" s="113">
        <f t="shared" si="2"/>
        <v>4798.2022900000002</v>
      </c>
      <c r="N13" s="113">
        <f t="shared" si="0"/>
        <v>12891.11427</v>
      </c>
      <c r="O13" s="113">
        <f t="shared" si="0"/>
        <v>4259.87572</v>
      </c>
      <c r="P13" s="116">
        <f t="shared" si="3"/>
        <v>21949.192279999999</v>
      </c>
      <c r="Q13" s="115"/>
      <c r="R13">
        <v>8</v>
      </c>
      <c r="S13" s="107" t="s">
        <v>393</v>
      </c>
      <c r="T13" s="113">
        <f>IF(M20&gt;0,M13/M20*T20,0)</f>
        <v>-9603.8139817298143</v>
      </c>
      <c r="U13" s="113">
        <f>IF(N20&gt;0,N13/N20*U20,0)</f>
        <v>-14243.503079505319</v>
      </c>
      <c r="V13" s="113">
        <f>IF(O20&gt;0,O13/O20*V20,0)</f>
        <v>-1419.7232316811778</v>
      </c>
      <c r="W13" s="116">
        <f t="shared" si="4"/>
        <v>-25267.04029291631</v>
      </c>
      <c r="X13" s="115"/>
      <c r="Y13" s="115"/>
      <c r="Z13" s="115"/>
      <c r="AA13" s="107" t="s">
        <v>393</v>
      </c>
      <c r="AB13" s="113">
        <f>INDEX(TourMode_inputCBD!$L$4:$T$17,MATCH(TourMode!$A13,modes,0),MATCH("work",modePurpose,0))*Index!$B$2</f>
        <v>4665</v>
      </c>
      <c r="AC13" s="113">
        <f>INDEX(TourMode_inputCBD!$L$20:$T$33,MATCH(TourMode!$A13,modes,0), MATCH("work",modePurpose,0))*Index!$B$2</f>
        <v>18450</v>
      </c>
      <c r="AD13" s="113">
        <f>INDEX(TourMode_inputCBD!$L$36:$T$49,MATCH(TourMode!$A13,modes,0), MATCH("work",modePurpose,0))*Index!$B$2</f>
        <v>10240</v>
      </c>
      <c r="AE13" s="116">
        <f t="shared" si="5"/>
        <v>33355</v>
      </c>
      <c r="AG13" s="115"/>
      <c r="AH13" s="107" t="s">
        <v>393</v>
      </c>
      <c r="AI13" s="307"/>
      <c r="AK13" s="107" t="s">
        <v>393</v>
      </c>
      <c r="AL13" s="328"/>
      <c r="AN13" s="107" t="s">
        <v>393</v>
      </c>
      <c r="AO13" s="307"/>
    </row>
    <row r="14" spans="1:41" x14ac:dyDescent="0.25">
      <c r="A14">
        <v>10</v>
      </c>
      <c r="B14" s="107" t="s">
        <v>555</v>
      </c>
      <c r="C14" s="113">
        <f>INDEX(TourMode_inputCBD!$B$4:$J$172,MATCH(TourMode!$A15,modes,0),MATCH("work",modePurpose,0))+INDEX(TourMode_inputCBD!$B$4:$J$172,MATCH(TourMode!$A14,modes,0),MATCH("work",modePurpose,0))</f>
        <v>47844.76917</v>
      </c>
      <c r="D14" s="113">
        <f>INDEX(TourMode_inputCBD!$B$20:$J$33,MATCH(TourMode!$A15,modes,0),MATCH("work",modePurpose,0))+INDEX(TourMode_inputCBD!$B$20:$J$33,MATCH(TourMode!$A14,modes,0),MATCH("work",modePurpose,0))</f>
        <v>94528.233259999994</v>
      </c>
      <c r="E14" s="113">
        <f>INDEX(TourMode_inputCBD!$B$36:$J$49,MATCH(TourMode!$A15,modes,0),MATCH("work",modePurpose,0))+INDEX(TourMode_inputCBD!$B$36:$J$49,MATCH(TourMode!$A14,modes,0),MATCH("work",modePurpose,0))</f>
        <v>65995.098709999991</v>
      </c>
      <c r="F14" s="116">
        <f t="shared" si="1"/>
        <v>208368.10113999998</v>
      </c>
      <c r="G14" s="300"/>
      <c r="H14" s="302">
        <f>F14/F$167</f>
        <v>0.70327963361686474</v>
      </c>
      <c r="I14" s="300">
        <f>H14*H$167</f>
        <v>438044.78167898627</v>
      </c>
      <c r="J14" s="115"/>
      <c r="K14">
        <v>10</v>
      </c>
      <c r="L14" s="107" t="s">
        <v>546</v>
      </c>
      <c r="M14" s="113">
        <f>IF($F14&gt;0,C14/$F14*$I14,0)</f>
        <v>100582.34130315665</v>
      </c>
      <c r="N14" s="113">
        <f t="shared" ref="N14:O16" si="6">IF($F14&gt;0,D14/$F14*$I14,0)</f>
        <v>198723.31261038716</v>
      </c>
      <c r="O14" s="113">
        <f t="shared" si="6"/>
        <v>138739.12776544248</v>
      </c>
      <c r="P14" s="116">
        <f t="shared" si="3"/>
        <v>438044.78167898627</v>
      </c>
      <c r="Q14" s="115"/>
      <c r="R14">
        <v>10</v>
      </c>
      <c r="S14" s="107" t="s">
        <v>546</v>
      </c>
      <c r="T14" s="113">
        <f>M14</f>
        <v>100582.34130315665</v>
      </c>
      <c r="U14" s="113">
        <f>N14</f>
        <v>198723.31261038716</v>
      </c>
      <c r="V14" s="113">
        <f>O14</f>
        <v>138739.12776544248</v>
      </c>
      <c r="W14" s="116">
        <f t="shared" si="4"/>
        <v>438044.78167898627</v>
      </c>
      <c r="X14" s="115"/>
      <c r="Y14" s="115"/>
      <c r="Z14" s="115"/>
      <c r="AA14" s="107" t="s">
        <v>546</v>
      </c>
      <c r="AB14" s="113">
        <f>INDEX(TourMode_inputCBD!$L$4:$T$17,MATCH(TourMode!$A15,modes,0),MATCH("work",modePurpose,0))*Index!$B$2</f>
        <v>34170</v>
      </c>
      <c r="AC14" s="113">
        <f>INDEX(TourMode_inputCBD!$L$20:$T$33,MATCH(TourMode!$A15,modes,0), MATCH("work",modePurpose,0))*Index!$B$2</f>
        <v>56910</v>
      </c>
      <c r="AD14" s="113">
        <f>INDEX(TourMode_inputCBD!$L$36:$T$49,MATCH(TourMode!$A15,modes,0), MATCH("work",modePurpose,0))*Index!$B$2</f>
        <v>37630</v>
      </c>
      <c r="AE14" s="116">
        <f t="shared" si="5"/>
        <v>128710</v>
      </c>
      <c r="AG14" s="115"/>
      <c r="AH14" s="107" t="s">
        <v>395</v>
      </c>
      <c r="AI14" s="307">
        <f>IFERROR(IF(AE14&gt;0,LN(W14/AE14),0),0)</f>
        <v>1.2247593347651011</v>
      </c>
      <c r="AK14" s="107" t="s">
        <v>395</v>
      </c>
      <c r="AL14" s="328">
        <v>3.2988827569062673</v>
      </c>
      <c r="AN14" s="107" t="s">
        <v>395</v>
      </c>
      <c r="AO14" s="307">
        <f>AL14+$AO$1*AI14</f>
        <v>2.9926929232149919</v>
      </c>
    </row>
    <row r="15" spans="1:41" x14ac:dyDescent="0.25">
      <c r="A15">
        <v>11</v>
      </c>
      <c r="B15" s="107" t="s">
        <v>556</v>
      </c>
      <c r="C15" s="113">
        <f>INDEX(TourMode_inputCBD!$B$4:$J$172,MATCH(TourMode!$A16,modes,0),MATCH("work",modePurpose,0))</f>
        <v>4780.8598400000001</v>
      </c>
      <c r="D15" s="113">
        <f>INDEX(TourMode_inputCBD!$B$20:$J$33,MATCH(TourMode!$A16,modes,0),MATCH("work",modePurpose,0))</f>
        <v>15568.565430000001</v>
      </c>
      <c r="E15" s="113">
        <f>INDEX(TourMode_inputCBD!$B$36:$J$49,MATCH(TourMode!$A16,modes,0),MATCH("work",modePurpose,0))</f>
        <v>16958.01873</v>
      </c>
      <c r="F15" s="116">
        <f t="shared" si="1"/>
        <v>37307.444000000003</v>
      </c>
      <c r="G15" s="300"/>
      <c r="H15" s="302">
        <f>F15/F$168</f>
        <v>0.78285643484528</v>
      </c>
      <c r="I15" s="300">
        <f>H15*H$168</f>
        <v>31389.074967756227</v>
      </c>
      <c r="J15" s="115"/>
      <c r="K15">
        <v>11</v>
      </c>
      <c r="L15" s="107" t="s">
        <v>559</v>
      </c>
      <c r="M15" s="113">
        <f>IF($F15&gt;0,C15/$F15*$I15,0)</f>
        <v>4022.4349845059082</v>
      </c>
      <c r="N15" s="113">
        <f t="shared" si="6"/>
        <v>13098.80321532314</v>
      </c>
      <c r="O15" s="113">
        <f t="shared" si="6"/>
        <v>14267.836767927178</v>
      </c>
      <c r="P15" s="116">
        <f t="shared" si="3"/>
        <v>31389.074967756227</v>
      </c>
      <c r="Q15" s="115"/>
      <c r="R15">
        <v>11</v>
      </c>
      <c r="S15" s="107" t="s">
        <v>559</v>
      </c>
      <c r="T15" s="113">
        <f t="shared" ref="T15:V16" si="7">M15</f>
        <v>4022.4349845059082</v>
      </c>
      <c r="U15" s="113">
        <f t="shared" si="7"/>
        <v>13098.80321532314</v>
      </c>
      <c r="V15" s="113">
        <f t="shared" si="7"/>
        <v>14267.836767927178</v>
      </c>
      <c r="W15" s="116">
        <f t="shared" si="4"/>
        <v>31389.074967756227</v>
      </c>
      <c r="X15" s="115"/>
      <c r="Y15" s="115"/>
      <c r="Z15" s="115"/>
      <c r="AA15" s="107" t="s">
        <v>559</v>
      </c>
      <c r="AB15" s="113">
        <f>INDEX(TourMode_inputCBD!$L$4:$T$17,MATCH(TourMode!$A16,modes,0),MATCH("work",modePurpose,0))*Index!$B$2</f>
        <v>920</v>
      </c>
      <c r="AC15" s="113">
        <f>INDEX(TourMode_inputCBD!$L$20:$T$33,MATCH(TourMode!$A16,modes,0), MATCH("work",modePurpose,0))*Index!$B$2</f>
        <v>3285</v>
      </c>
      <c r="AD15" s="113">
        <f>INDEX(TourMode_inputCBD!$L$36:$T$49,MATCH(TourMode!$A16,modes,0), MATCH("work",modePurpose,0))*Index!$B$2</f>
        <v>3335</v>
      </c>
      <c r="AE15" s="116">
        <f t="shared" si="5"/>
        <v>7540</v>
      </c>
      <c r="AG15" s="115"/>
      <c r="AH15" s="107" t="s">
        <v>396</v>
      </c>
      <c r="AI15" s="307">
        <f>IFERROR(IF(AE15&gt;0,LN(W15/AE15),0),0)</f>
        <v>1.4262377193891447</v>
      </c>
      <c r="AK15" s="107" t="s">
        <v>396</v>
      </c>
      <c r="AL15" s="328">
        <v>3.3203293530692926</v>
      </c>
      <c r="AN15" s="107" t="s">
        <v>396</v>
      </c>
      <c r="AO15" s="307">
        <f>AL15+$AO$1*AI15</f>
        <v>2.9637699232220065</v>
      </c>
    </row>
    <row r="16" spans="1:41" x14ac:dyDescent="0.25">
      <c r="A16">
        <v>12</v>
      </c>
      <c r="B16" s="107" t="s">
        <v>557</v>
      </c>
      <c r="C16" s="297">
        <v>0</v>
      </c>
      <c r="D16" s="113">
        <f>INDEX(TourMode_inputCBD!$B$20:$J$33,MATCH(TourMode!$A17,modes,0),MATCH("work",modePurpose,0))</f>
        <v>18210.811450000001</v>
      </c>
      <c r="E16" s="113">
        <f>INDEX(TourMode_inputCBD!$B$36:$J$49,MATCH(TourMode!$A17,modes,0),MATCH("work",modePurpose,0))</f>
        <v>96702.485360000006</v>
      </c>
      <c r="F16" s="116">
        <f t="shared" si="1"/>
        <v>114913.29681</v>
      </c>
      <c r="G16" s="300"/>
      <c r="H16" s="302">
        <f>F16/F$169</f>
        <v>0.85794839151043312</v>
      </c>
      <c r="I16" s="300">
        <f>H16*H$169</f>
        <v>85254.156728714719</v>
      </c>
      <c r="J16" s="115"/>
      <c r="K16">
        <v>12</v>
      </c>
      <c r="L16" s="107" t="s">
        <v>560</v>
      </c>
      <c r="M16" s="113">
        <f>IF($F16&gt;0,C16/$F16*$I16,0)</f>
        <v>0</v>
      </c>
      <c r="N16" s="113">
        <f t="shared" si="6"/>
        <v>13510.598134543006</v>
      </c>
      <c r="O16" s="113">
        <f t="shared" si="6"/>
        <v>71743.558594171715</v>
      </c>
      <c r="P16" s="116">
        <f t="shared" si="3"/>
        <v>85254.156728714719</v>
      </c>
      <c r="Q16" s="115"/>
      <c r="R16">
        <v>12</v>
      </c>
      <c r="S16" s="107" t="s">
        <v>560</v>
      </c>
      <c r="T16" s="113">
        <f t="shared" si="7"/>
        <v>0</v>
      </c>
      <c r="U16" s="113">
        <f t="shared" si="7"/>
        <v>13510.598134543006</v>
      </c>
      <c r="V16" s="113">
        <f t="shared" si="7"/>
        <v>71743.558594171715</v>
      </c>
      <c r="W16" s="116">
        <f t="shared" si="4"/>
        <v>85254.156728714719</v>
      </c>
      <c r="X16" s="115"/>
      <c r="Y16" s="115"/>
      <c r="Z16" s="115"/>
      <c r="AA16" s="107" t="s">
        <v>560</v>
      </c>
      <c r="AB16" s="113">
        <f>INDEX(TourMode_inputCBD!$L$4:$T$17,MATCH(TourMode!$A17,modes,0),MATCH("work",modePurpose,0))*Index!$B$2</f>
        <v>0</v>
      </c>
      <c r="AC16" s="113">
        <f>INDEX(TourMode_inputCBD!$L$20:$T$33,MATCH(TourMode!$A17,modes,0), MATCH("work",modePurpose,0))*Index!$B$2</f>
        <v>4780</v>
      </c>
      <c r="AD16" s="113">
        <f>INDEX(TourMode_inputCBD!$L$36:$T$49,MATCH(TourMode!$A17,modes,0), MATCH("work",modePurpose,0))*Index!$B$2</f>
        <v>20270</v>
      </c>
      <c r="AE16" s="116">
        <f t="shared" si="5"/>
        <v>25050</v>
      </c>
      <c r="AG16" s="115"/>
      <c r="AH16" s="107" t="s">
        <v>397</v>
      </c>
      <c r="AI16" s="307">
        <f>IFERROR(IF(AE16&gt;0,LN(W16/AE16),0),0)</f>
        <v>1.2247630467251682</v>
      </c>
      <c r="AK16" s="107" t="s">
        <v>397</v>
      </c>
      <c r="AL16" s="328">
        <v>3.4643829440627218</v>
      </c>
      <c r="AN16" s="107" t="s">
        <v>397</v>
      </c>
      <c r="AO16" s="307">
        <f>AL16+$AO$1*AI16</f>
        <v>3.1581921823814296</v>
      </c>
    </row>
    <row r="17" spans="1:41" x14ac:dyDescent="0.25">
      <c r="A17">
        <v>13</v>
      </c>
      <c r="B17" s="107" t="s">
        <v>398</v>
      </c>
      <c r="C17" s="113">
        <f>INDEX(TourMode_inputCBD!$B$4:$J$172,MATCH(TourMode!$A18,modes,0),MATCH("work",modePurpose,0))</f>
        <v>768.38851999999997</v>
      </c>
      <c r="D17" s="113">
        <f>INDEX(TourMode_inputCBD!$B$20:$J$33,MATCH(TourMode!$A18,modes,0),MATCH("work",modePurpose,0))</f>
        <v>2134.4823500000002</v>
      </c>
      <c r="E17" s="113">
        <f>INDEX(TourMode_inputCBD!$B$36:$J$49,MATCH(TourMode!$A18,modes,0),MATCH("work",modePurpose,0))</f>
        <v>1630.3207399999999</v>
      </c>
      <c r="F17" s="116">
        <f t="shared" si="1"/>
        <v>4533.1916099999999</v>
      </c>
      <c r="G17" s="300"/>
      <c r="H17" s="300"/>
      <c r="I17" s="300"/>
      <c r="J17" s="115"/>
      <c r="K17">
        <v>13</v>
      </c>
      <c r="L17" s="107" t="s">
        <v>398</v>
      </c>
      <c r="M17" s="113">
        <f t="shared" ref="M17:O18" si="8">C17</f>
        <v>768.38851999999997</v>
      </c>
      <c r="N17" s="113">
        <f t="shared" si="8"/>
        <v>2134.4823500000002</v>
      </c>
      <c r="O17" s="113">
        <f t="shared" si="8"/>
        <v>1630.3207399999999</v>
      </c>
      <c r="P17" s="116">
        <f t="shared" si="3"/>
        <v>4533.1916099999999</v>
      </c>
      <c r="Q17" s="115"/>
      <c r="R17">
        <v>13</v>
      </c>
      <c r="S17" s="107" t="s">
        <v>398</v>
      </c>
      <c r="T17" s="113">
        <f>IF(M20&gt;0,M17/M20*T20,0)</f>
        <v>-1537.963588395661</v>
      </c>
      <c r="U17" s="113">
        <f>IF(N20&gt;0,N17/N20*U20,0)</f>
        <v>-2358.4079148322339</v>
      </c>
      <c r="V17" s="113">
        <f>IF(O20&gt;0,O17/O20*V20,0)</f>
        <v>-543.35017775346012</v>
      </c>
      <c r="W17" s="116">
        <f t="shared" si="4"/>
        <v>-4439.7216809813553</v>
      </c>
      <c r="X17" s="115"/>
      <c r="Y17" s="115"/>
      <c r="Z17" s="115"/>
      <c r="AA17" s="107" t="s">
        <v>398</v>
      </c>
      <c r="AB17" s="113">
        <f>INDEX(TourMode_inputCBD!$L$4:$T$17,MATCH(TourMode!$A18,modes,0),MATCH("work",modePurpose,0))*Index!$B$2</f>
        <v>75</v>
      </c>
      <c r="AC17" s="113">
        <f>INDEX(TourMode_inputCBD!$L$20:$T$33,MATCH(TourMode!$A18,modes,0), MATCH("work",modePurpose,0))*Index!$B$2</f>
        <v>910</v>
      </c>
      <c r="AD17" s="113">
        <f>INDEX(TourMode_inputCBD!$L$36:$T$49,MATCH(TourMode!$A18,modes,0), MATCH("work",modePurpose,0))*Index!$B$2</f>
        <v>555</v>
      </c>
      <c r="AE17" s="116">
        <f t="shared" si="5"/>
        <v>1540</v>
      </c>
      <c r="AG17" s="115"/>
      <c r="AH17" s="107" t="s">
        <v>398</v>
      </c>
      <c r="AI17" s="307"/>
      <c r="AK17" s="107" t="s">
        <v>398</v>
      </c>
      <c r="AL17" s="328"/>
      <c r="AN17" s="107" t="s">
        <v>398</v>
      </c>
      <c r="AO17" s="307"/>
    </row>
    <row r="18" spans="1:41" x14ac:dyDescent="0.25">
      <c r="A18">
        <v>14</v>
      </c>
      <c r="B18" s="107" t="s">
        <v>399</v>
      </c>
      <c r="C18" s="297">
        <v>0</v>
      </c>
      <c r="D18" s="297">
        <v>0</v>
      </c>
      <c r="E18" s="297">
        <v>0</v>
      </c>
      <c r="F18" s="116">
        <f t="shared" si="1"/>
        <v>0</v>
      </c>
      <c r="G18" s="300"/>
      <c r="H18" s="300"/>
      <c r="I18" s="300"/>
      <c r="J18" s="115"/>
      <c r="K18">
        <v>14</v>
      </c>
      <c r="L18" s="107" t="s">
        <v>399</v>
      </c>
      <c r="M18" s="113">
        <f t="shared" si="8"/>
        <v>0</v>
      </c>
      <c r="N18" s="113">
        <f t="shared" si="8"/>
        <v>0</v>
      </c>
      <c r="O18" s="113">
        <f t="shared" si="8"/>
        <v>0</v>
      </c>
      <c r="P18" s="116">
        <f t="shared" si="3"/>
        <v>0</v>
      </c>
      <c r="Q18" s="115"/>
      <c r="R18">
        <v>14</v>
      </c>
      <c r="S18" s="107" t="s">
        <v>399</v>
      </c>
      <c r="T18" s="113">
        <f>IF(M20&gt;0,M18/M20*T20,0)</f>
        <v>0</v>
      </c>
      <c r="U18" s="113">
        <f>IF(N20&gt;0,N18/N20*U20,0)</f>
        <v>0</v>
      </c>
      <c r="V18" s="113">
        <f>IF(O20&gt;0,O18/O20*V20,0)</f>
        <v>0</v>
      </c>
      <c r="W18" s="116">
        <f t="shared" si="4"/>
        <v>0</v>
      </c>
      <c r="X18" s="115"/>
      <c r="Y18" s="115"/>
      <c r="Z18" s="115"/>
      <c r="AA18" s="107" t="s">
        <v>399</v>
      </c>
      <c r="AB18" s="113">
        <f>INDEX(TourMode_inputCBD!$L$4:$T$17,MATCH(TourMode!$A19,modes,0),MATCH("work",modePurpose,0))*Index!$B$2</f>
        <v>0</v>
      </c>
      <c r="AC18" s="113">
        <f>INDEX(TourMode_inputCBD!$L$20:$T$33,MATCH(TourMode!$A19,modes,0), MATCH("work",modePurpose,0))*Index!$B$2</f>
        <v>0</v>
      </c>
      <c r="AD18" s="113">
        <f>INDEX(TourMode_inputCBD!$L$36:$T$49,MATCH(TourMode!$A19,modes,0), MATCH("work",modePurpose,0))*Index!$B$2</f>
        <v>0</v>
      </c>
      <c r="AE18" s="116">
        <f t="shared" si="5"/>
        <v>0</v>
      </c>
      <c r="AG18" s="115"/>
      <c r="AH18" s="107" t="s">
        <v>399</v>
      </c>
      <c r="AI18" s="307"/>
      <c r="AK18" s="107" t="s">
        <v>399</v>
      </c>
      <c r="AL18" s="328"/>
      <c r="AN18" s="107" t="s">
        <v>399</v>
      </c>
      <c r="AO18" s="307"/>
    </row>
    <row r="19" spans="1:41" ht="15.75" thickBot="1" x14ac:dyDescent="0.3">
      <c r="B19" s="108" t="s">
        <v>29</v>
      </c>
      <c r="C19" s="109">
        <f>SUM(C6:C18)</f>
        <v>80993.614180000004</v>
      </c>
      <c r="D19" s="110">
        <f>SUM(D6:D18)</f>
        <v>214968.81774</v>
      </c>
      <c r="E19" s="111">
        <f>SUM(E6:E18)</f>
        <v>339433.65354000003</v>
      </c>
      <c r="F19" s="112">
        <f>SUM(F6:F18)</f>
        <v>635396.08545999997</v>
      </c>
      <c r="G19" s="301"/>
      <c r="H19" s="301"/>
      <c r="I19" s="301"/>
      <c r="L19" s="108" t="s">
        <v>29</v>
      </c>
      <c r="M19" s="109">
        <f>SUM(M6:M18)</f>
        <v>132972.76145766256</v>
      </c>
      <c r="N19" s="110">
        <f>SUM(N6:N18)</f>
        <v>311993.92156025331</v>
      </c>
      <c r="O19" s="111">
        <f>SUM(O6:O18)</f>
        <v>384528.57386754139</v>
      </c>
      <c r="P19" s="112">
        <f>SUM(P6:P18)</f>
        <v>829495.2568854572</v>
      </c>
      <c r="S19" s="108" t="s">
        <v>29</v>
      </c>
      <c r="T19" s="109">
        <f>SUM(T6:T18)</f>
        <v>47825.000000000036</v>
      </c>
      <c r="U19" s="110">
        <f>SUM(U6:U18)</f>
        <v>129580</v>
      </c>
      <c r="V19" s="111">
        <f>SUM(V6:V18)</f>
        <v>171499.99999999997</v>
      </c>
      <c r="W19" s="112">
        <f>SUM(W6:W18)</f>
        <v>348905</v>
      </c>
      <c r="AA19" s="108" t="s">
        <v>29</v>
      </c>
      <c r="AB19" s="109">
        <f>SUM(AB6:AB18)</f>
        <v>47825</v>
      </c>
      <c r="AC19" s="110">
        <f>SUM(AC6:AC18)</f>
        <v>129580</v>
      </c>
      <c r="AD19" s="111">
        <f>SUM(AD6:AD18)</f>
        <v>171500</v>
      </c>
      <c r="AE19" s="112">
        <f>SUM(AE6:AE18)</f>
        <v>348905</v>
      </c>
      <c r="AH19" s="108" t="s">
        <v>29</v>
      </c>
      <c r="AI19" s="118"/>
      <c r="AK19" s="108" t="s">
        <v>29</v>
      </c>
      <c r="AL19" s="118"/>
      <c r="AN19" s="108" t="s">
        <v>29</v>
      </c>
      <c r="AO19" s="118"/>
    </row>
    <row r="20" spans="1:41" x14ac:dyDescent="0.25">
      <c r="M20" s="286">
        <f>M19-SUM(M14:M16)</f>
        <v>28367.985170000014</v>
      </c>
      <c r="N20" s="286">
        <f>N19-SUM(N14:N16)</f>
        <v>86661.207599999994</v>
      </c>
      <c r="O20" s="286">
        <f>O19-SUM(O14:O16)</f>
        <v>159778.05074000001</v>
      </c>
      <c r="T20" s="286">
        <f>AB19-SUM(T14:T16)</f>
        <v>-56779.776287662549</v>
      </c>
      <c r="U20" s="286">
        <f>AC19-SUM(U14:U16)</f>
        <v>-95752.713960253313</v>
      </c>
      <c r="V20" s="286">
        <f>AD19-SUM(V14:V16)</f>
        <v>-53250.523127541383</v>
      </c>
    </row>
    <row r="21" spans="1:41" ht="26.25" x14ac:dyDescent="0.4">
      <c r="A21" s="150" t="s">
        <v>149</v>
      </c>
      <c r="K21" s="150" t="s">
        <v>149</v>
      </c>
      <c r="R21" s="150" t="s">
        <v>149</v>
      </c>
    </row>
    <row r="22" spans="1:41" ht="26.25" x14ac:dyDescent="0.25">
      <c r="B22" s="102" t="s">
        <v>134</v>
      </c>
      <c r="C22" s="103" t="s">
        <v>135</v>
      </c>
      <c r="D22" s="104" t="s">
        <v>136</v>
      </c>
      <c r="E22" s="105" t="s">
        <v>137</v>
      </c>
      <c r="F22" s="106" t="s">
        <v>29</v>
      </c>
      <c r="G22" s="299"/>
      <c r="H22" s="299"/>
      <c r="I22" s="299"/>
      <c r="L22" s="102" t="s">
        <v>134</v>
      </c>
      <c r="M22" s="103" t="s">
        <v>135</v>
      </c>
      <c r="N22" s="104" t="s">
        <v>136</v>
      </c>
      <c r="O22" s="105" t="s">
        <v>137</v>
      </c>
      <c r="P22" s="106" t="s">
        <v>29</v>
      </c>
      <c r="S22" s="102" t="s">
        <v>134</v>
      </c>
      <c r="T22" s="103" t="s">
        <v>135</v>
      </c>
      <c r="U22" s="104" t="s">
        <v>136</v>
      </c>
      <c r="V22" s="105" t="s">
        <v>137</v>
      </c>
      <c r="W22" s="106" t="s">
        <v>29</v>
      </c>
      <c r="AA22" s="102" t="s">
        <v>134</v>
      </c>
      <c r="AB22" s="103" t="s">
        <v>135</v>
      </c>
      <c r="AC22" s="104" t="s">
        <v>136</v>
      </c>
      <c r="AD22" s="105" t="s">
        <v>137</v>
      </c>
      <c r="AE22" s="106" t="s">
        <v>29</v>
      </c>
      <c r="AH22" s="102" t="s">
        <v>134</v>
      </c>
      <c r="AI22" s="106" t="s">
        <v>29</v>
      </c>
      <c r="AK22" s="102" t="s">
        <v>134</v>
      </c>
      <c r="AL22" s="106" t="s">
        <v>29</v>
      </c>
      <c r="AN22" s="102" t="s">
        <v>134</v>
      </c>
      <c r="AO22" s="106" t="s">
        <v>29</v>
      </c>
    </row>
    <row r="23" spans="1:41" x14ac:dyDescent="0.25">
      <c r="A23">
        <v>1</v>
      </c>
      <c r="B23" s="107" t="s">
        <v>386</v>
      </c>
      <c r="C23" s="297">
        <v>0</v>
      </c>
      <c r="D23" s="113">
        <f>INDEX(TourMode_inputCBD!$B$20:$J$33,MATCH(TourMode!$A24,modes,0),MATCH("univ",modePurpose,0))</f>
        <v>2086.6021700000001</v>
      </c>
      <c r="E23" s="113">
        <f>INDEX(TourMode_inputCBD!$B$36:$J$49,MATCH(TourMode!$A24,modes,0),MATCH("univ",modePurpose,0))</f>
        <v>5456.03359</v>
      </c>
      <c r="F23" s="114">
        <f>SUM(C23:E23)</f>
        <v>7542.6357600000001</v>
      </c>
      <c r="G23" s="300"/>
      <c r="H23" s="300"/>
      <c r="I23" s="300"/>
      <c r="J23" s="115"/>
      <c r="K23">
        <v>1</v>
      </c>
      <c r="L23" s="107" t="s">
        <v>386</v>
      </c>
      <c r="M23" s="113">
        <f>C23</f>
        <v>0</v>
      </c>
      <c r="N23" s="113">
        <f t="shared" ref="N23:O30" si="9">D23</f>
        <v>2086.6021700000001</v>
      </c>
      <c r="O23" s="113">
        <f t="shared" si="9"/>
        <v>5456.03359</v>
      </c>
      <c r="P23" s="114">
        <f>SUM(M23:O23)</f>
        <v>7542.6357600000001</v>
      </c>
      <c r="Q23" s="115"/>
      <c r="R23">
        <v>1</v>
      </c>
      <c r="S23" s="107" t="s">
        <v>386</v>
      </c>
      <c r="T23" s="113">
        <f>IF(M37&gt;0,M23/M37*T37,0)</f>
        <v>0</v>
      </c>
      <c r="U23" s="113">
        <f>IF(N37&gt;0,N23/N37*U37,0)</f>
        <v>-1528.6905149985487</v>
      </c>
      <c r="V23" s="113">
        <f>IF(O37&gt;0,O23/O37*V37,0)</f>
        <v>-9148.4410424062335</v>
      </c>
      <c r="W23" s="114">
        <f>SUM(T23:V23)</f>
        <v>-10677.131557404782</v>
      </c>
      <c r="X23" s="115"/>
      <c r="Y23" s="115"/>
      <c r="Z23" s="115"/>
      <c r="AA23" s="107" t="s">
        <v>386</v>
      </c>
      <c r="AB23" s="113">
        <f>INDEX(TourMode_inputCBD!$L$4:$T$17,MATCH(TourMode!$A24,modes,0),MATCH("univ",modePurpose,0))*Index!$B$2</f>
        <v>0</v>
      </c>
      <c r="AC23" s="113">
        <f>INDEX(TourMode_inputCBD!$L$20:$T$33,MATCH(TourMode!$A24,modes,0), MATCH("univ",modePurpose,0))*Index!$B$2</f>
        <v>1395</v>
      </c>
      <c r="AD23" s="113">
        <f>INDEX(TourMode_inputCBD!$L$36:$T$49,MATCH(TourMode!$A24,modes,0), MATCH("univ",modePurpose,0))*Index!$B$2</f>
        <v>115</v>
      </c>
      <c r="AE23" s="114">
        <f>SUM(AB23:AD23)</f>
        <v>1510</v>
      </c>
      <c r="AG23" s="115"/>
      <c r="AH23" s="107" t="s">
        <v>538</v>
      </c>
      <c r="AI23" s="307"/>
      <c r="AK23" s="107" t="s">
        <v>538</v>
      </c>
      <c r="AL23" s="328"/>
      <c r="AN23" s="107" t="s">
        <v>538</v>
      </c>
      <c r="AO23" s="309"/>
    </row>
    <row r="24" spans="1:41" x14ac:dyDescent="0.25">
      <c r="A24">
        <v>2</v>
      </c>
      <c r="B24" s="107" t="s">
        <v>387</v>
      </c>
      <c r="C24" s="297">
        <v>0</v>
      </c>
      <c r="D24" s="113">
        <f>INDEX(TourMode_inputCBD!$B$20:$J$33,MATCH(TourMode!$A25,modes,0),MATCH("univ",modePurpose,0))</f>
        <v>430.77012999999999</v>
      </c>
      <c r="E24" s="113">
        <f>INDEX(TourMode_inputCBD!$B$36:$J$49,MATCH(TourMode!$A25,modes,0),MATCH("univ",modePurpose,0))</f>
        <v>329.32002</v>
      </c>
      <c r="F24" s="116">
        <f t="shared" ref="F24:F35" si="10">SUM(C24:E24)</f>
        <v>760.09014999999999</v>
      </c>
      <c r="G24" s="300"/>
      <c r="H24" s="300"/>
      <c r="I24" s="300"/>
      <c r="J24" s="115"/>
      <c r="K24">
        <v>2</v>
      </c>
      <c r="L24" s="107" t="s">
        <v>387</v>
      </c>
      <c r="M24" s="113">
        <f t="shared" ref="M24:M30" si="11">C24</f>
        <v>0</v>
      </c>
      <c r="N24" s="113">
        <f t="shared" si="9"/>
        <v>430.77012999999999</v>
      </c>
      <c r="O24" s="113">
        <f t="shared" si="9"/>
        <v>329.32002</v>
      </c>
      <c r="P24" s="116">
        <f t="shared" ref="P24:P35" si="12">SUM(M24:O24)</f>
        <v>760.09014999999999</v>
      </c>
      <c r="Q24" s="115"/>
      <c r="R24">
        <v>2</v>
      </c>
      <c r="S24" s="107" t="s">
        <v>387</v>
      </c>
      <c r="T24" s="113">
        <f>IF(M37&gt;0,M24/M37*T37,0)</f>
        <v>0</v>
      </c>
      <c r="U24" s="113">
        <f>IF(N37&gt;0,N24/N37*U37,0)</f>
        <v>-315.59164528027486</v>
      </c>
      <c r="V24" s="113">
        <f>IF(O37&gt;0,O24/O37*V37,0)</f>
        <v>-552.18955993524992</v>
      </c>
      <c r="W24" s="116">
        <f t="shared" ref="W24:W35" si="13">SUM(T24:V24)</f>
        <v>-867.78120521552478</v>
      </c>
      <c r="X24" s="115"/>
      <c r="Y24" s="115"/>
      <c r="Z24" s="115"/>
      <c r="AA24" s="107" t="s">
        <v>387</v>
      </c>
      <c r="AB24" s="113">
        <f>INDEX(TourMode_inputCBD!$L$4:$T$17,MATCH(TourMode!$A25,modes,0),MATCH("univ",modePurpose,0))*Index!$B$2</f>
        <v>0</v>
      </c>
      <c r="AC24" s="113">
        <f>INDEX(TourMode_inputCBD!$L$20:$T$33,MATCH(TourMode!$A25,modes,0), MATCH("univ",modePurpose,0))*Index!$B$2</f>
        <v>265</v>
      </c>
      <c r="AD24" s="113">
        <f>INDEX(TourMode_inputCBD!$L$36:$T$49,MATCH(TourMode!$A25,modes,0), MATCH("univ",modePurpose,0))*Index!$B$2</f>
        <v>50</v>
      </c>
      <c r="AE24" s="116">
        <f t="shared" ref="AE24:AE35" si="14">SUM(AB24:AD24)</f>
        <v>315</v>
      </c>
      <c r="AG24" s="115"/>
      <c r="AH24" s="107"/>
      <c r="AI24" s="307"/>
      <c r="AK24" s="107"/>
      <c r="AL24" s="328"/>
      <c r="AN24" s="107"/>
      <c r="AO24" s="307"/>
    </row>
    <row r="25" spans="1:41" x14ac:dyDescent="0.25">
      <c r="A25">
        <v>3</v>
      </c>
      <c r="B25" s="107" t="s">
        <v>388</v>
      </c>
      <c r="C25" s="113">
        <f>INDEX(TourMode_inputCBD!$B$4:$J$172,MATCH(TourMode!$A26,modes,0),MATCH("univ",modePurpose,0))</f>
        <v>493.64591999999999</v>
      </c>
      <c r="D25" s="113">
        <f>INDEX(TourMode_inputCBD!$B$20:$J$33,MATCH(TourMode!$A26,modes,0),MATCH("univ",modePurpose,0))</f>
        <v>1223.5401899999999</v>
      </c>
      <c r="E25" s="113">
        <f>INDEX(TourMode_inputCBD!$B$36:$J$49,MATCH(TourMode!$A26,modes,0),MATCH("univ",modePurpose,0))</f>
        <v>0</v>
      </c>
      <c r="F25" s="116">
        <f t="shared" si="10"/>
        <v>1717.1861099999999</v>
      </c>
      <c r="G25" s="300"/>
      <c r="H25" s="300"/>
      <c r="I25" s="300"/>
      <c r="J25" s="115"/>
      <c r="K25">
        <v>3</v>
      </c>
      <c r="L25" s="107" t="s">
        <v>388</v>
      </c>
      <c r="M25" s="113">
        <f t="shared" si="11"/>
        <v>493.64591999999999</v>
      </c>
      <c r="N25" s="113">
        <f t="shared" si="9"/>
        <v>1223.5401899999999</v>
      </c>
      <c r="O25" s="113">
        <f t="shared" si="9"/>
        <v>0</v>
      </c>
      <c r="P25" s="116">
        <f t="shared" si="12"/>
        <v>1717.1861099999999</v>
      </c>
      <c r="Q25" s="115"/>
      <c r="R25">
        <v>3</v>
      </c>
      <c r="S25" s="107" t="s">
        <v>388</v>
      </c>
      <c r="T25" s="113">
        <f>IF(M37&gt;0,M25/M37*T37,0)</f>
        <v>-6190.6684127663193</v>
      </c>
      <c r="U25" s="113">
        <f>IF(N37&gt;0,N25/N37*U37,0)</f>
        <v>-896.39237899025193</v>
      </c>
      <c r="V25" s="113">
        <f>IF(O37&gt;0,O25/O37*V37,0)</f>
        <v>0</v>
      </c>
      <c r="W25" s="116">
        <f t="shared" si="13"/>
        <v>-7087.0607917565712</v>
      </c>
      <c r="X25" s="115"/>
      <c r="Y25" s="115"/>
      <c r="Z25" s="115"/>
      <c r="AA25" s="107" t="s">
        <v>388</v>
      </c>
      <c r="AB25" s="113">
        <f>INDEX(TourMode_inputCBD!$L$4:$T$17,MATCH(TourMode!$A26,modes,0),MATCH("univ",modePurpose,0))*Index!$B$2</f>
        <v>0</v>
      </c>
      <c r="AC25" s="113">
        <f>INDEX(TourMode_inputCBD!$L$20:$T$33,MATCH(TourMode!$A26,modes,0), MATCH("univ",modePurpose,0))*Index!$B$2</f>
        <v>380</v>
      </c>
      <c r="AD25" s="113">
        <f>INDEX(TourMode_inputCBD!$L$36:$T$49,MATCH(TourMode!$A26,modes,0), MATCH("univ",modePurpose,0))*Index!$B$2</f>
        <v>25</v>
      </c>
      <c r="AE25" s="116">
        <f t="shared" si="14"/>
        <v>405</v>
      </c>
      <c r="AG25" s="115"/>
      <c r="AH25" s="107" t="s">
        <v>576</v>
      </c>
      <c r="AI25" s="307"/>
      <c r="AK25" s="107" t="s">
        <v>576</v>
      </c>
      <c r="AL25" s="328"/>
      <c r="AN25" s="107" t="s">
        <v>576</v>
      </c>
      <c r="AO25" s="307"/>
    </row>
    <row r="26" spans="1:41" x14ac:dyDescent="0.25">
      <c r="A26">
        <v>4</v>
      </c>
      <c r="B26" s="107" t="s">
        <v>389</v>
      </c>
      <c r="C26" s="113">
        <f>INDEX(TourMode_inputCBD!$B$4:$J$172,MATCH(TourMode!$A27,modes,0),MATCH("univ",modePurpose,0))</f>
        <v>0</v>
      </c>
      <c r="D26" s="113">
        <f>INDEX(TourMode_inputCBD!$B$20:$J$33,MATCH(TourMode!$A27,modes,0),MATCH("univ",modePurpose,0))</f>
        <v>0</v>
      </c>
      <c r="E26" s="113">
        <f>INDEX(TourMode_inputCBD!$B$36:$J$49,MATCH(TourMode!$A27,modes,0),MATCH("univ",modePurpose,0))</f>
        <v>0</v>
      </c>
      <c r="F26" s="116">
        <f t="shared" si="10"/>
        <v>0</v>
      </c>
      <c r="G26" s="300"/>
      <c r="H26" s="300"/>
      <c r="I26" s="300"/>
      <c r="J26" s="115"/>
      <c r="K26">
        <v>4</v>
      </c>
      <c r="L26" s="107" t="s">
        <v>389</v>
      </c>
      <c r="M26" s="113">
        <f t="shared" si="11"/>
        <v>0</v>
      </c>
      <c r="N26" s="113">
        <f t="shared" si="9"/>
        <v>0</v>
      </c>
      <c r="O26" s="113">
        <f t="shared" si="9"/>
        <v>0</v>
      </c>
      <c r="P26" s="116">
        <f t="shared" si="12"/>
        <v>0</v>
      </c>
      <c r="Q26" s="115"/>
      <c r="R26">
        <v>4</v>
      </c>
      <c r="S26" s="107" t="s">
        <v>389</v>
      </c>
      <c r="T26" s="113">
        <f>IF(M37&gt;0,M26/M37*T37,0)</f>
        <v>0</v>
      </c>
      <c r="U26" s="113">
        <f>IF(N37&gt;0,N26/N37*U37,0)</f>
        <v>0</v>
      </c>
      <c r="V26" s="113">
        <f>IF(O37&gt;0,O26/O37*V37,0)</f>
        <v>0</v>
      </c>
      <c r="W26" s="116">
        <f t="shared" si="13"/>
        <v>0</v>
      </c>
      <c r="X26" s="115"/>
      <c r="Y26" s="115"/>
      <c r="Z26" s="115"/>
      <c r="AA26" s="107" t="s">
        <v>389</v>
      </c>
      <c r="AB26" s="113">
        <f>INDEX(TourMode_inputCBD!$L$4:$T$17,MATCH(TourMode!$A27,modes,0),MATCH("univ",modePurpose,0))*Index!$B$2</f>
        <v>0</v>
      </c>
      <c r="AC26" s="113">
        <f>INDEX(TourMode_inputCBD!$L$20:$T$33,MATCH(TourMode!$A27,modes,0), MATCH("univ",modePurpose,0))*Index!$B$2</f>
        <v>105</v>
      </c>
      <c r="AD26" s="113">
        <f>INDEX(TourMode_inputCBD!$L$36:$T$49,MATCH(TourMode!$A27,modes,0), MATCH("univ",modePurpose,0))*Index!$B$2</f>
        <v>5</v>
      </c>
      <c r="AE26" s="116">
        <f t="shared" si="14"/>
        <v>110</v>
      </c>
      <c r="AG26" s="115"/>
      <c r="AH26" s="107"/>
      <c r="AI26" s="307"/>
      <c r="AK26" s="107"/>
      <c r="AL26" s="328"/>
      <c r="AN26" s="107"/>
      <c r="AO26" s="307"/>
    </row>
    <row r="27" spans="1:41" x14ac:dyDescent="0.25">
      <c r="A27">
        <v>5</v>
      </c>
      <c r="B27" s="107" t="s">
        <v>390</v>
      </c>
      <c r="C27" s="113">
        <f>INDEX(TourMode_inputCBD!$B$4:$J$172,MATCH(TourMode!$A28,modes,0),MATCH("univ",modePurpose,0))</f>
        <v>0</v>
      </c>
      <c r="D27" s="113">
        <f>INDEX(TourMode_inputCBD!$B$20:$J$33,MATCH(TourMode!$A28,modes,0),MATCH("univ",modePurpose,0))</f>
        <v>0</v>
      </c>
      <c r="E27" s="113">
        <f>INDEX(TourMode_inputCBD!$B$36:$J$49,MATCH(TourMode!$A28,modes,0),MATCH("univ",modePurpose,0))</f>
        <v>133.93227999999999</v>
      </c>
      <c r="F27" s="116">
        <f t="shared" si="10"/>
        <v>133.93227999999999</v>
      </c>
      <c r="G27" s="300"/>
      <c r="H27" s="300"/>
      <c r="I27" s="300"/>
      <c r="J27" s="115"/>
      <c r="K27">
        <v>5</v>
      </c>
      <c r="L27" s="107" t="s">
        <v>390</v>
      </c>
      <c r="M27" s="113">
        <f t="shared" si="11"/>
        <v>0</v>
      </c>
      <c r="N27" s="113">
        <f t="shared" si="9"/>
        <v>0</v>
      </c>
      <c r="O27" s="113">
        <f t="shared" si="9"/>
        <v>133.93227999999999</v>
      </c>
      <c r="P27" s="116">
        <f t="shared" si="12"/>
        <v>133.93227999999999</v>
      </c>
      <c r="Q27" s="115"/>
      <c r="R27">
        <v>5</v>
      </c>
      <c r="S27" s="107" t="s">
        <v>390</v>
      </c>
      <c r="T27" s="113">
        <f>IF(M37&gt;0,M27/M37*T37,0)</f>
        <v>0</v>
      </c>
      <c r="U27" s="113">
        <f>IF(N37&gt;0,N27/N37*U37,0)</f>
        <v>0</v>
      </c>
      <c r="V27" s="113">
        <f>IF(O37&gt;0,O27/O37*V37,0)</f>
        <v>-224.57185188536266</v>
      </c>
      <c r="W27" s="116">
        <f t="shared" si="13"/>
        <v>-224.57185188536266</v>
      </c>
      <c r="X27" s="115"/>
      <c r="Y27" s="115"/>
      <c r="Z27" s="115"/>
      <c r="AA27" s="107" t="s">
        <v>390</v>
      </c>
      <c r="AB27" s="113">
        <f>INDEX(TourMode_inputCBD!$L$4:$T$17,MATCH(TourMode!$A28,modes,0),MATCH("univ",modePurpose,0))*Index!$B$2</f>
        <v>0</v>
      </c>
      <c r="AC27" s="113">
        <f>INDEX(TourMode_inputCBD!$L$20:$T$33,MATCH(TourMode!$A28,modes,0), MATCH("univ",modePurpose,0))*Index!$B$2</f>
        <v>240</v>
      </c>
      <c r="AD27" s="113">
        <f>INDEX(TourMode_inputCBD!$L$36:$T$49,MATCH(TourMode!$A28,modes,0), MATCH("univ",modePurpose,0))*Index!$B$2</f>
        <v>0</v>
      </c>
      <c r="AE27" s="116">
        <f t="shared" si="14"/>
        <v>240</v>
      </c>
      <c r="AG27" s="115"/>
      <c r="AH27" s="107" t="s">
        <v>577</v>
      </c>
      <c r="AI27" s="307"/>
      <c r="AK27" s="107" t="s">
        <v>577</v>
      </c>
      <c r="AL27" s="328"/>
      <c r="AN27" s="107" t="s">
        <v>577</v>
      </c>
      <c r="AO27" s="307"/>
    </row>
    <row r="28" spans="1:41" x14ac:dyDescent="0.25">
      <c r="A28">
        <v>6</v>
      </c>
      <c r="B28" s="107" t="s">
        <v>391</v>
      </c>
      <c r="C28" s="113">
        <f>INDEX(TourMode_inputCBD!$B$4:$J$172,MATCH(TourMode!$A29,modes,0),MATCH("univ",modePurpose,0))</f>
        <v>0</v>
      </c>
      <c r="D28" s="113">
        <f>INDEX(TourMode_inputCBD!$B$20:$J$33,MATCH(TourMode!$A29,modes,0),MATCH("univ",modePurpose,0))</f>
        <v>0</v>
      </c>
      <c r="E28" s="113">
        <f>INDEX(TourMode_inputCBD!$B$36:$J$49,MATCH(TourMode!$A29,modes,0),MATCH("univ",modePurpose,0))</f>
        <v>0</v>
      </c>
      <c r="F28" s="116">
        <f t="shared" si="10"/>
        <v>0</v>
      </c>
      <c r="G28" s="300"/>
      <c r="H28" s="300"/>
      <c r="I28" s="300"/>
      <c r="J28" s="115"/>
      <c r="K28">
        <v>6</v>
      </c>
      <c r="L28" s="107" t="s">
        <v>391</v>
      </c>
      <c r="M28" s="113">
        <f t="shared" si="11"/>
        <v>0</v>
      </c>
      <c r="N28" s="113">
        <f t="shared" si="9"/>
        <v>0</v>
      </c>
      <c r="O28" s="113">
        <f t="shared" si="9"/>
        <v>0</v>
      </c>
      <c r="P28" s="116">
        <f t="shared" si="12"/>
        <v>0</v>
      </c>
      <c r="Q28" s="115"/>
      <c r="R28">
        <v>6</v>
      </c>
      <c r="S28" s="107" t="s">
        <v>391</v>
      </c>
      <c r="T28" s="113">
        <f>IF(M37&gt;0,M28/M37*T37,0)</f>
        <v>0</v>
      </c>
      <c r="U28" s="113">
        <f>IF(N37&gt;0,N28/N37*U37,0)</f>
        <v>0</v>
      </c>
      <c r="V28" s="113">
        <f>IF(O37&gt;0,O28/O37*V37,0)</f>
        <v>0</v>
      </c>
      <c r="W28" s="116">
        <f t="shared" si="13"/>
        <v>0</v>
      </c>
      <c r="X28" s="115"/>
      <c r="Y28" s="115"/>
      <c r="Z28" s="115"/>
      <c r="AA28" s="107" t="s">
        <v>391</v>
      </c>
      <c r="AB28" s="113">
        <f>INDEX(TourMode_inputCBD!$L$4:$T$17,MATCH(TourMode!$A29,modes,0),MATCH("univ",modePurpose,0))*Index!$B$2</f>
        <v>0</v>
      </c>
      <c r="AC28" s="113">
        <f>INDEX(TourMode_inputCBD!$L$20:$T$33,MATCH(TourMode!$A29,modes,0), MATCH("univ",modePurpose,0))*Index!$B$2</f>
        <v>65</v>
      </c>
      <c r="AD28" s="113">
        <f>INDEX(TourMode_inputCBD!$L$36:$T$49,MATCH(TourMode!$A29,modes,0), MATCH("univ",modePurpose,0))*Index!$B$2</f>
        <v>10</v>
      </c>
      <c r="AE28" s="116">
        <f t="shared" si="14"/>
        <v>75</v>
      </c>
      <c r="AG28" s="115"/>
      <c r="AH28" s="107"/>
      <c r="AI28" s="307"/>
      <c r="AK28" s="107"/>
      <c r="AL28" s="328"/>
      <c r="AN28" s="107"/>
      <c r="AO28" s="307"/>
    </row>
    <row r="29" spans="1:41" x14ac:dyDescent="0.25">
      <c r="A29">
        <v>7</v>
      </c>
      <c r="B29" s="107" t="s">
        <v>392</v>
      </c>
      <c r="C29" s="113">
        <f>INDEX(TourMode_inputCBD!$B$4:$J$172,MATCH(TourMode!$A30,modes,0),MATCH("univ",modePurpose,0))</f>
        <v>493.64591999999999</v>
      </c>
      <c r="D29" s="113">
        <f>INDEX(TourMode_inputCBD!$B$20:$J$33,MATCH(TourMode!$A30,modes,0),MATCH("univ",modePurpose,0))</f>
        <v>791.26243999999997</v>
      </c>
      <c r="E29" s="113">
        <f>INDEX(TourMode_inputCBD!$B$36:$J$49,MATCH(TourMode!$A30,modes,0),MATCH("univ",modePurpose,0))</f>
        <v>1457.4991299999999</v>
      </c>
      <c r="F29" s="116">
        <f t="shared" si="10"/>
        <v>2742.4074899999996</v>
      </c>
      <c r="G29" s="300"/>
      <c r="H29" s="300"/>
      <c r="I29" s="300"/>
      <c r="J29" s="115"/>
      <c r="K29">
        <v>7</v>
      </c>
      <c r="L29" s="107" t="s">
        <v>392</v>
      </c>
      <c r="M29" s="113">
        <f t="shared" si="11"/>
        <v>493.64591999999999</v>
      </c>
      <c r="N29" s="113">
        <f t="shared" si="9"/>
        <v>791.26243999999997</v>
      </c>
      <c r="O29" s="113">
        <f t="shared" si="9"/>
        <v>1457.4991299999999</v>
      </c>
      <c r="P29" s="116">
        <f t="shared" si="12"/>
        <v>2742.4074899999996</v>
      </c>
      <c r="Q29" s="115"/>
      <c r="R29">
        <v>7</v>
      </c>
      <c r="S29" s="107" t="s">
        <v>392</v>
      </c>
      <c r="T29" s="113">
        <f>IF(M37&gt;0,M29/M37*T37,0)</f>
        <v>-6190.6684127663193</v>
      </c>
      <c r="U29" s="113">
        <f>IF(N37&gt;0,N29/N37*U37,0)</f>
        <v>-579.69621823148407</v>
      </c>
      <c r="V29" s="113">
        <f>IF(O37&gt;0,O29/O37*V37,0)</f>
        <v>-2443.8714755352848</v>
      </c>
      <c r="W29" s="116">
        <f t="shared" si="13"/>
        <v>-9214.2361065330879</v>
      </c>
      <c r="X29" s="115"/>
      <c r="Y29" s="115"/>
      <c r="Z29" s="115"/>
      <c r="AA29" s="107" t="s">
        <v>392</v>
      </c>
      <c r="AB29" s="113">
        <f>INDEX(TourMode_inputCBD!$L$4:$T$17,MATCH(TourMode!$A30,modes,0),MATCH("univ",modePurpose,0))*Index!$B$2</f>
        <v>0</v>
      </c>
      <c r="AC29" s="113">
        <f>INDEX(TourMode_inputCBD!$L$20:$T$33,MATCH(TourMode!$A30,modes,0), MATCH("univ",modePurpose,0))*Index!$B$2</f>
        <v>490</v>
      </c>
      <c r="AD29" s="113">
        <f>INDEX(TourMode_inputCBD!$L$36:$T$49,MATCH(TourMode!$A30,modes,0), MATCH("univ",modePurpose,0))*Index!$B$2</f>
        <v>0</v>
      </c>
      <c r="AE29" s="116">
        <f t="shared" si="14"/>
        <v>490</v>
      </c>
      <c r="AG29" s="115"/>
      <c r="AH29" s="107" t="s">
        <v>392</v>
      </c>
      <c r="AI29" s="307"/>
      <c r="AK29" s="107" t="s">
        <v>392</v>
      </c>
      <c r="AL29" s="328"/>
      <c r="AN29" s="107" t="s">
        <v>392</v>
      </c>
      <c r="AO29" s="307"/>
    </row>
    <row r="30" spans="1:41" x14ac:dyDescent="0.25">
      <c r="A30">
        <v>8</v>
      </c>
      <c r="B30" s="107" t="s">
        <v>393</v>
      </c>
      <c r="C30" s="113">
        <f>INDEX(TourMode_inputCBD!$B$4:$J$172,MATCH(TourMode!$A31,modes,0),MATCH("univ",modePurpose,0))</f>
        <v>126.24865</v>
      </c>
      <c r="D30" s="113">
        <f>INDEX(TourMode_inputCBD!$B$20:$J$33,MATCH(TourMode!$A31,modes,0),MATCH("univ",modePurpose,0))</f>
        <v>6041.5281199999999</v>
      </c>
      <c r="E30" s="113">
        <f>INDEX(TourMode_inputCBD!$B$36:$J$49,MATCH(TourMode!$A31,modes,0),MATCH("univ",modePurpose,0))</f>
        <v>0</v>
      </c>
      <c r="F30" s="116">
        <f t="shared" si="10"/>
        <v>6167.7767700000004</v>
      </c>
      <c r="G30" s="300"/>
      <c r="H30" s="300"/>
      <c r="I30" s="300"/>
      <c r="J30" s="115"/>
      <c r="K30">
        <v>8</v>
      </c>
      <c r="L30" s="107" t="s">
        <v>393</v>
      </c>
      <c r="M30" s="113">
        <f t="shared" si="11"/>
        <v>126.24865</v>
      </c>
      <c r="N30" s="113">
        <f t="shared" si="9"/>
        <v>6041.5281199999999</v>
      </c>
      <c r="O30" s="113">
        <f t="shared" si="9"/>
        <v>0</v>
      </c>
      <c r="P30" s="116">
        <f t="shared" si="12"/>
        <v>6167.7767700000004</v>
      </c>
      <c r="Q30" s="115"/>
      <c r="R30">
        <v>8</v>
      </c>
      <c r="S30" s="107" t="s">
        <v>393</v>
      </c>
      <c r="T30" s="113">
        <f>IF(M37&gt;0,M30/M37*T37,0)</f>
        <v>-1583.2472183896316</v>
      </c>
      <c r="U30" s="113">
        <f>IF(N37&gt;0,N30/N37*U37,0)</f>
        <v>-4426.1560090014736</v>
      </c>
      <c r="V30" s="113">
        <f>IF(O37&gt;0,O30/O37*V37,0)</f>
        <v>0</v>
      </c>
      <c r="W30" s="116">
        <f t="shared" si="13"/>
        <v>-6009.4032273911052</v>
      </c>
      <c r="X30" s="115"/>
      <c r="Y30" s="115"/>
      <c r="Z30" s="115"/>
      <c r="AA30" s="107" t="s">
        <v>393</v>
      </c>
      <c r="AB30" s="113">
        <f>INDEX(TourMode_inputCBD!$L$4:$T$17,MATCH(TourMode!$A31,modes,0),MATCH("univ",modePurpose,0))*Index!$B$2</f>
        <v>0</v>
      </c>
      <c r="AC30" s="113">
        <f>INDEX(TourMode_inputCBD!$L$20:$T$33,MATCH(TourMode!$A31,modes,0), MATCH("univ",modePurpose,0))*Index!$B$2</f>
        <v>280</v>
      </c>
      <c r="AD30" s="113">
        <f>INDEX(TourMode_inputCBD!$L$36:$T$49,MATCH(TourMode!$A31,modes,0), MATCH("univ",modePurpose,0))*Index!$B$2</f>
        <v>0</v>
      </c>
      <c r="AE30" s="116">
        <f t="shared" si="14"/>
        <v>280</v>
      </c>
      <c r="AG30" s="115"/>
      <c r="AH30" s="107" t="s">
        <v>393</v>
      </c>
      <c r="AI30" s="307"/>
      <c r="AK30" s="107" t="s">
        <v>393</v>
      </c>
      <c r="AL30" s="328"/>
      <c r="AN30" s="107" t="s">
        <v>393</v>
      </c>
      <c r="AO30" s="307"/>
    </row>
    <row r="31" spans="1:41" x14ac:dyDescent="0.25">
      <c r="A31">
        <v>10</v>
      </c>
      <c r="B31" s="107" t="s">
        <v>555</v>
      </c>
      <c r="C31" s="113">
        <f>INDEX(TourMode_inputCBD!$B$4:$J$172,MATCH(TourMode!$A33,modes,0),MATCH("univ",modePurpose,0))+INDEX(TourMode_inputCBD!$B$4:$J$172,MATCH(TourMode!$A32,modes,0),MATCH("univ",modePurpose,0))</f>
        <v>9959.1658200000002</v>
      </c>
      <c r="D31" s="113">
        <f>INDEX(TourMode_inputCBD!$B$20:$J$33,MATCH(TourMode!$A33,modes,0),MATCH("univ",modePurpose,0))+INDEX(TourMode_inputCBD!$B$20:$J$33,MATCH(TourMode!$A32,modes,0),MATCH("univ",modePurpose,0))</f>
        <v>8131.0473299999994</v>
      </c>
      <c r="E31" s="113">
        <f>INDEX(TourMode_inputCBD!$B$36:$J$49,MATCH(TourMode!$A33,modes,0),MATCH("univ",modePurpose,0))+INDEX(TourMode_inputCBD!$B$36:$J$49,MATCH(TourMode!$A32,modes,0),MATCH("univ",modePurpose,0))</f>
        <v>4681.1685200000002</v>
      </c>
      <c r="F31" s="116">
        <f t="shared" si="10"/>
        <v>22771.381669999999</v>
      </c>
      <c r="G31" s="300"/>
      <c r="H31" s="302">
        <f>F31/F$167</f>
        <v>7.6857488599309853E-2</v>
      </c>
      <c r="I31" s="300">
        <f>H31*H$167</f>
        <v>47871.458527435629</v>
      </c>
      <c r="J31" s="115"/>
      <c r="K31">
        <v>10</v>
      </c>
      <c r="L31" s="107" t="s">
        <v>546</v>
      </c>
      <c r="M31" s="113">
        <f>IF($F31&gt;0,C31/$F31*$I31,0)</f>
        <v>20936.796915932791</v>
      </c>
      <c r="N31" s="113">
        <f t="shared" ref="N31:O33" si="15">IF($F31&gt;0,D31/$F31*$I31,0)</f>
        <v>17093.609016949526</v>
      </c>
      <c r="O31" s="113">
        <f t="shared" si="15"/>
        <v>9841.0525945533136</v>
      </c>
      <c r="P31" s="116">
        <f t="shared" si="12"/>
        <v>47871.458527435636</v>
      </c>
      <c r="Q31" s="115"/>
      <c r="R31">
        <v>10</v>
      </c>
      <c r="S31" s="107" t="s">
        <v>546</v>
      </c>
      <c r="T31" s="113">
        <f>M31</f>
        <v>20936.796915932791</v>
      </c>
      <c r="U31" s="113">
        <f>N31</f>
        <v>17093.609016949526</v>
      </c>
      <c r="V31" s="113">
        <f>O31</f>
        <v>9841.0525945533136</v>
      </c>
      <c r="W31" s="116">
        <f t="shared" si="13"/>
        <v>47871.458527435636</v>
      </c>
      <c r="X31" s="115"/>
      <c r="Y31" s="115"/>
      <c r="Z31" s="115"/>
      <c r="AA31" s="107" t="s">
        <v>546</v>
      </c>
      <c r="AB31" s="113">
        <f>INDEX(TourMode_inputCBD!$L$4:$T$17,MATCH(TourMode!$A33,modes,0),MATCH("univ",modePurpose,0))*Index!$B$2</f>
        <v>7025</v>
      </c>
      <c r="AC31" s="113">
        <f>INDEX(TourMode_inputCBD!$L$20:$T$33,MATCH(TourMode!$A33,modes,0), MATCH("univ",modePurpose,0))*Index!$B$2</f>
        <v>7305</v>
      </c>
      <c r="AD31" s="113">
        <f>INDEX(TourMode_inputCBD!$L$36:$T$49,MATCH(TourMode!$A33,modes,0), MATCH("univ",modePurpose,0))*Index!$B$2</f>
        <v>3015</v>
      </c>
      <c r="AE31" s="116">
        <f t="shared" si="14"/>
        <v>17345</v>
      </c>
      <c r="AG31" s="115"/>
      <c r="AH31" s="107" t="s">
        <v>395</v>
      </c>
      <c r="AI31" s="307">
        <f>IFERROR(IF(AE31&gt;0,LN(W31/AE31),0),0)</f>
        <v>1.0152151910256648</v>
      </c>
      <c r="AK31" s="107" t="s">
        <v>395</v>
      </c>
      <c r="AL31" s="328">
        <v>6.1027471867329597</v>
      </c>
      <c r="AN31" s="107" t="s">
        <v>395</v>
      </c>
      <c r="AO31" s="307">
        <f>AL31+$AO$1*AI31</f>
        <v>5.8489433889765436</v>
      </c>
    </row>
    <row r="32" spans="1:41" x14ac:dyDescent="0.25">
      <c r="A32">
        <v>11</v>
      </c>
      <c r="B32" s="107" t="s">
        <v>556</v>
      </c>
      <c r="C32" s="113">
        <f>INDEX(TourMode_inputCBD!$B$4:$J$172,MATCH(TourMode!$A34,modes,0),MATCH("univ",modePurpose,0))</f>
        <v>128.11025000000001</v>
      </c>
      <c r="D32" s="113">
        <f>INDEX(TourMode_inputCBD!$B$20:$J$33,MATCH(TourMode!$A34,modes,0),MATCH("univ",modePurpose,0))</f>
        <v>1406.4219599999999</v>
      </c>
      <c r="E32" s="113">
        <f>INDEX(TourMode_inputCBD!$B$36:$J$49,MATCH(TourMode!$A34,modes,0),MATCH("univ",modePurpose,0))</f>
        <v>855.19790999999998</v>
      </c>
      <c r="F32" s="116">
        <f t="shared" si="10"/>
        <v>2389.7301199999997</v>
      </c>
      <c r="G32" s="300"/>
      <c r="H32" s="302">
        <f>F32/F$168</f>
        <v>5.0145906591338253E-2</v>
      </c>
      <c r="I32" s="300">
        <f>H32*H$168</f>
        <v>2010.6287069514885</v>
      </c>
      <c r="J32" s="115"/>
      <c r="K32">
        <v>11</v>
      </c>
      <c r="L32" s="107" t="s">
        <v>559</v>
      </c>
      <c r="M32" s="113">
        <f>IF($F32&gt;0,C32/$F32*$I32,0)</f>
        <v>107.78712798947021</v>
      </c>
      <c r="N32" s="113">
        <f t="shared" si="15"/>
        <v>1183.3103425348208</v>
      </c>
      <c r="O32" s="113">
        <f t="shared" si="15"/>
        <v>719.53123642719777</v>
      </c>
      <c r="P32" s="116">
        <f t="shared" si="12"/>
        <v>2010.6287069514888</v>
      </c>
      <c r="Q32" s="115"/>
      <c r="R32">
        <v>11</v>
      </c>
      <c r="S32" s="107" t="s">
        <v>559</v>
      </c>
      <c r="T32" s="113">
        <f t="shared" ref="T32:V33" si="16">M32</f>
        <v>107.78712798947021</v>
      </c>
      <c r="U32" s="113">
        <f t="shared" si="16"/>
        <v>1183.3103425348208</v>
      </c>
      <c r="V32" s="113">
        <f t="shared" si="16"/>
        <v>719.53123642719777</v>
      </c>
      <c r="W32" s="116">
        <f t="shared" si="13"/>
        <v>2010.6287069514888</v>
      </c>
      <c r="X32" s="115"/>
      <c r="Y32" s="115"/>
      <c r="Z32" s="115"/>
      <c r="AA32" s="107" t="s">
        <v>559</v>
      </c>
      <c r="AB32" s="113">
        <f>INDEX(TourMode_inputCBD!$L$4:$T$17,MATCH(TourMode!$A34,modes,0),MATCH("univ",modePurpose,0))*Index!$B$2</f>
        <v>10</v>
      </c>
      <c r="AC32" s="113">
        <f>INDEX(TourMode_inputCBD!$L$20:$T$33,MATCH(TourMode!$A34,modes,0), MATCH("univ",modePurpose,0))*Index!$B$2</f>
        <v>460</v>
      </c>
      <c r="AD32" s="113">
        <f>INDEX(TourMode_inputCBD!$L$36:$T$49,MATCH(TourMode!$A34,modes,0), MATCH("univ",modePurpose,0))*Index!$B$2</f>
        <v>60</v>
      </c>
      <c r="AE32" s="116">
        <f t="shared" si="14"/>
        <v>530</v>
      </c>
      <c r="AG32" s="115"/>
      <c r="AH32" s="107" t="s">
        <v>396</v>
      </c>
      <c r="AI32" s="307">
        <f>IFERROR(IF(AE32&gt;0,LN(W32/AE32),0),0)</f>
        <v>1.3333257351266117</v>
      </c>
      <c r="AK32" s="107" t="s">
        <v>396</v>
      </c>
      <c r="AL32" s="328">
        <v>4.5477476229857627</v>
      </c>
      <c r="AN32" s="107" t="s">
        <v>396</v>
      </c>
      <c r="AO32" s="307">
        <f>AL32+$AO$1*AI32</f>
        <v>4.2144161892041101</v>
      </c>
    </row>
    <row r="33" spans="1:41" x14ac:dyDescent="0.25">
      <c r="A33">
        <v>12</v>
      </c>
      <c r="B33" s="107" t="s">
        <v>557</v>
      </c>
      <c r="C33" s="297">
        <v>0</v>
      </c>
      <c r="D33" s="113">
        <f>INDEX(TourMode_inputCBD!$B$20:$J$33,MATCH(TourMode!$A35,modes,0),MATCH("univ",modePurpose,0))</f>
        <v>1691.07383</v>
      </c>
      <c r="E33" s="113">
        <f>INDEX(TourMode_inputCBD!$B$36:$J$49,MATCH(TourMode!$A35,modes,0),MATCH("univ",modePurpose,0))</f>
        <v>9837.5679400000008</v>
      </c>
      <c r="F33" s="116">
        <f t="shared" si="10"/>
        <v>11528.64177</v>
      </c>
      <c r="G33" s="300"/>
      <c r="H33" s="302">
        <f>F33/F$169</f>
        <v>8.6073413063985457E-2</v>
      </c>
      <c r="I33" s="300">
        <f>H33*H$169</f>
        <v>8553.097505799311</v>
      </c>
      <c r="J33" s="115"/>
      <c r="K33">
        <v>12</v>
      </c>
      <c r="L33" s="107" t="s">
        <v>560</v>
      </c>
      <c r="M33" s="113">
        <f>IF($F33&gt;0,C33/$F33*$I33,0)</f>
        <v>0</v>
      </c>
      <c r="N33" s="113">
        <f t="shared" si="15"/>
        <v>1254.6074070176862</v>
      </c>
      <c r="O33" s="113">
        <f t="shared" si="15"/>
        <v>7298.4900987816254</v>
      </c>
      <c r="P33" s="116">
        <f t="shared" si="12"/>
        <v>8553.097505799311</v>
      </c>
      <c r="Q33" s="115"/>
      <c r="R33">
        <v>12</v>
      </c>
      <c r="S33" s="107" t="s">
        <v>560</v>
      </c>
      <c r="T33" s="113">
        <f t="shared" si="16"/>
        <v>0</v>
      </c>
      <c r="U33" s="113">
        <f t="shared" si="16"/>
        <v>1254.6074070176862</v>
      </c>
      <c r="V33" s="113">
        <f t="shared" si="16"/>
        <v>7298.4900987816254</v>
      </c>
      <c r="W33" s="116">
        <f t="shared" si="13"/>
        <v>8553.097505799311</v>
      </c>
      <c r="X33" s="115"/>
      <c r="Y33" s="115"/>
      <c r="Z33" s="115"/>
      <c r="AA33" s="107" t="s">
        <v>560</v>
      </c>
      <c r="AB33" s="113">
        <f>INDEX(TourMode_inputCBD!$L$4:$T$17,MATCH(TourMode!$A35,modes,0),MATCH("univ",modePurpose,0))*Index!$B$2</f>
        <v>0</v>
      </c>
      <c r="AC33" s="113">
        <f>INDEX(TourMode_inputCBD!$L$20:$T$33,MATCH(TourMode!$A35,modes,0), MATCH("univ",modePurpose,0))*Index!$B$2</f>
        <v>370</v>
      </c>
      <c r="AD33" s="113">
        <f>INDEX(TourMode_inputCBD!$L$36:$T$49,MATCH(TourMode!$A35,modes,0), MATCH("univ",modePurpose,0))*Index!$B$2</f>
        <v>2150</v>
      </c>
      <c r="AE33" s="116">
        <f t="shared" si="14"/>
        <v>2520</v>
      </c>
      <c r="AG33" s="115"/>
      <c r="AH33" s="107" t="s">
        <v>397</v>
      </c>
      <c r="AI33" s="307">
        <f>IFERROR(IF(AE33&gt;0,LN(W33/AE33),0),0)</f>
        <v>1.2220345971973192</v>
      </c>
      <c r="AK33" s="107" t="s">
        <v>397</v>
      </c>
      <c r="AL33" s="328">
        <v>6.2796317489448938</v>
      </c>
      <c r="AN33" s="107" t="s">
        <v>397</v>
      </c>
      <c r="AO33" s="307">
        <f>AL33+$AO$1*AI33</f>
        <v>5.9741230996455643</v>
      </c>
    </row>
    <row r="34" spans="1:41" x14ac:dyDescent="0.25">
      <c r="A34">
        <v>13</v>
      </c>
      <c r="B34" s="107" t="s">
        <v>398</v>
      </c>
      <c r="C34" s="113">
        <f>INDEX(TourMode_inputCBD!$B$4:$J$172,MATCH(TourMode!$A36,modes,0),MATCH("univ",modePurpose,0))</f>
        <v>0</v>
      </c>
      <c r="D34" s="113">
        <f>INDEX(TourMode_inputCBD!$B$20:$J$33,MATCH(TourMode!$A36,modes,0),MATCH("univ",modePurpose,0))</f>
        <v>0</v>
      </c>
      <c r="E34" s="113">
        <f>INDEX(TourMode_inputCBD!$B$36:$J$49,MATCH(TourMode!$A36,modes,0),MATCH("univ",modePurpose,0))</f>
        <v>0</v>
      </c>
      <c r="F34" s="116">
        <f t="shared" si="10"/>
        <v>0</v>
      </c>
      <c r="G34" s="300"/>
      <c r="H34" s="300"/>
      <c r="I34" s="300"/>
      <c r="J34" s="115"/>
      <c r="K34">
        <v>13</v>
      </c>
      <c r="L34" s="107" t="s">
        <v>398</v>
      </c>
      <c r="M34" s="113">
        <f t="shared" ref="M34:O35" si="17">C34</f>
        <v>0</v>
      </c>
      <c r="N34" s="113">
        <f t="shared" si="17"/>
        <v>0</v>
      </c>
      <c r="O34" s="113">
        <f t="shared" si="17"/>
        <v>0</v>
      </c>
      <c r="P34" s="116">
        <f t="shared" si="12"/>
        <v>0</v>
      </c>
      <c r="Q34" s="115"/>
      <c r="R34">
        <v>13</v>
      </c>
      <c r="S34" s="107" t="s">
        <v>398</v>
      </c>
      <c r="T34" s="113">
        <f>IF(M37&gt;0,M34/M37*T37,0)</f>
        <v>0</v>
      </c>
      <c r="U34" s="113">
        <f>IF(N37&gt;0,N34/N37*U37,0)</f>
        <v>0</v>
      </c>
      <c r="V34" s="113">
        <f>IF(O37&gt;0,O34/O37*V37,0)</f>
        <v>0</v>
      </c>
      <c r="W34" s="116">
        <f t="shared" si="13"/>
        <v>0</v>
      </c>
      <c r="X34" s="115"/>
      <c r="Y34" s="115"/>
      <c r="Z34" s="115"/>
      <c r="AA34" s="107" t="s">
        <v>398</v>
      </c>
      <c r="AB34" s="113">
        <f>INDEX(TourMode_inputCBD!$L$4:$T$17,MATCH(TourMode!$A36,modes,0),MATCH("univ",modePurpose,0))*Index!$B$2</f>
        <v>45</v>
      </c>
      <c r="AC34" s="113">
        <f>INDEX(TourMode_inputCBD!$L$20:$T$33,MATCH(TourMode!$A36,modes,0), MATCH("univ",modePurpose,0))*Index!$B$2</f>
        <v>430</v>
      </c>
      <c r="AD34" s="113">
        <f>INDEX(TourMode_inputCBD!$L$36:$T$49,MATCH(TourMode!$A36,modes,0), MATCH("univ",modePurpose,0))*Index!$B$2</f>
        <v>60</v>
      </c>
      <c r="AE34" s="116">
        <f t="shared" si="14"/>
        <v>535</v>
      </c>
      <c r="AG34" s="115"/>
      <c r="AH34" s="107" t="s">
        <v>398</v>
      </c>
      <c r="AI34" s="307"/>
      <c r="AK34" s="107" t="s">
        <v>398</v>
      </c>
      <c r="AL34" s="328"/>
      <c r="AN34" s="107" t="s">
        <v>398</v>
      </c>
      <c r="AO34" s="307"/>
    </row>
    <row r="35" spans="1:41" x14ac:dyDescent="0.25">
      <c r="A35">
        <v>14</v>
      </c>
      <c r="B35" s="107" t="s">
        <v>399</v>
      </c>
      <c r="C35" s="297">
        <v>0</v>
      </c>
      <c r="D35" s="297">
        <v>0</v>
      </c>
      <c r="E35" s="297">
        <v>0</v>
      </c>
      <c r="F35" s="116">
        <f t="shared" si="10"/>
        <v>0</v>
      </c>
      <c r="G35" s="300"/>
      <c r="H35" s="300"/>
      <c r="I35" s="300"/>
      <c r="J35" s="115"/>
      <c r="K35">
        <v>14</v>
      </c>
      <c r="L35" s="107" t="s">
        <v>399</v>
      </c>
      <c r="M35" s="113">
        <f t="shared" si="17"/>
        <v>0</v>
      </c>
      <c r="N35" s="113">
        <f t="shared" si="17"/>
        <v>0</v>
      </c>
      <c r="O35" s="113">
        <f t="shared" si="17"/>
        <v>0</v>
      </c>
      <c r="P35" s="116">
        <f t="shared" si="12"/>
        <v>0</v>
      </c>
      <c r="Q35" s="115"/>
      <c r="R35">
        <v>14</v>
      </c>
      <c r="S35" s="107" t="s">
        <v>399</v>
      </c>
      <c r="T35" s="113">
        <f>IF(M37&gt;0,M35/M37*T37,0)</f>
        <v>0</v>
      </c>
      <c r="U35" s="113">
        <f>IF(N37&gt;0,N35/N37*U37,0)</f>
        <v>0</v>
      </c>
      <c r="V35" s="113">
        <f>IF(O37&gt;0,O35/O37*V37,0)</f>
        <v>0</v>
      </c>
      <c r="W35" s="116">
        <f t="shared" si="13"/>
        <v>0</v>
      </c>
      <c r="X35" s="115"/>
      <c r="Y35" s="115"/>
      <c r="Z35" s="115"/>
      <c r="AA35" s="107" t="s">
        <v>399</v>
      </c>
      <c r="AB35" s="113">
        <f>INDEX(TourMode_inputCBD!$L$4:$T$17,MATCH(TourMode!$A37,modes,0),MATCH("univ",modePurpose,0))*Index!$B$2</f>
        <v>0</v>
      </c>
      <c r="AC35" s="113">
        <f>INDEX(TourMode_inputCBD!$L$20:$T$33,MATCH(TourMode!$A37,modes,0), MATCH("univ",modePurpose,0))*Index!$B$2</f>
        <v>0</v>
      </c>
      <c r="AD35" s="113">
        <f>INDEX(TourMode_inputCBD!$L$36:$T$49,MATCH(TourMode!$A37,modes,0), MATCH("univ",modePurpose,0))*Index!$B$2</f>
        <v>0</v>
      </c>
      <c r="AE35" s="116">
        <f t="shared" si="14"/>
        <v>0</v>
      </c>
      <c r="AG35" s="115"/>
      <c r="AH35" s="107" t="s">
        <v>399</v>
      </c>
      <c r="AI35" s="307"/>
      <c r="AK35" s="107" t="s">
        <v>399</v>
      </c>
      <c r="AL35" s="328"/>
      <c r="AN35" s="107" t="s">
        <v>399</v>
      </c>
      <c r="AO35" s="307"/>
    </row>
    <row r="36" spans="1:41" ht="15.75" thickBot="1" x14ac:dyDescent="0.3">
      <c r="B36" s="108" t="s">
        <v>29</v>
      </c>
      <c r="C36" s="109">
        <f>SUM(C23:C35)</f>
        <v>11200.816559999999</v>
      </c>
      <c r="D36" s="110">
        <f>SUM(D23:D35)</f>
        <v>21802.246169999999</v>
      </c>
      <c r="E36" s="111">
        <f>SUM(E23:E35)</f>
        <v>22750.719390000002</v>
      </c>
      <c r="F36" s="112">
        <f>SUM(F23:F35)</f>
        <v>55753.782119999996</v>
      </c>
      <c r="G36" s="301"/>
      <c r="H36" s="301"/>
      <c r="I36" s="301"/>
      <c r="L36" s="108" t="s">
        <v>29</v>
      </c>
      <c r="M36" s="109">
        <f>SUM(M23:M35)</f>
        <v>22158.124533922262</v>
      </c>
      <c r="N36" s="110">
        <f>SUM(N23:N35)</f>
        <v>30105.229816502033</v>
      </c>
      <c r="O36" s="111">
        <f>SUM(O23:O35)</f>
        <v>25235.85894976214</v>
      </c>
      <c r="P36" s="112">
        <f>SUM(P23:P35)</f>
        <v>77499.213300186442</v>
      </c>
      <c r="S36" s="108" t="s">
        <v>29</v>
      </c>
      <c r="T36" s="109">
        <f>SUM(T23:T35)</f>
        <v>7079.9999999999909</v>
      </c>
      <c r="U36" s="110">
        <f>SUM(U23:U35)</f>
        <v>11784.999999999998</v>
      </c>
      <c r="V36" s="111">
        <f>SUM(V23:V35)</f>
        <v>5490.0000000000055</v>
      </c>
      <c r="W36" s="112">
        <f>SUM(W23:W35)</f>
        <v>24355.000000000007</v>
      </c>
      <c r="AA36" s="108" t="s">
        <v>29</v>
      </c>
      <c r="AB36" s="109">
        <f>SUM(AB23:AB35)</f>
        <v>7080</v>
      </c>
      <c r="AC36" s="110">
        <f>SUM(AC23:AC35)</f>
        <v>11785</v>
      </c>
      <c r="AD36" s="111">
        <f>SUM(AD23:AD35)</f>
        <v>5490</v>
      </c>
      <c r="AE36" s="112">
        <f>SUM(AE23:AE35)</f>
        <v>24355</v>
      </c>
      <c r="AH36" s="108" t="s">
        <v>29</v>
      </c>
      <c r="AI36" s="118"/>
      <c r="AK36" s="108" t="s">
        <v>29</v>
      </c>
      <c r="AL36" s="118"/>
      <c r="AN36" s="108" t="s">
        <v>29</v>
      </c>
      <c r="AO36" s="118"/>
    </row>
    <row r="37" spans="1:41" x14ac:dyDescent="0.25">
      <c r="M37" s="286">
        <f>M36-SUM(M31:M33)</f>
        <v>1113.5404899999994</v>
      </c>
      <c r="N37" s="286">
        <f>N36-SUM(N31:N33)</f>
        <v>10573.70305</v>
      </c>
      <c r="O37" s="286">
        <f>O36-SUM(O31:O33)</f>
        <v>7376.785020000003</v>
      </c>
      <c r="T37" s="286">
        <f>AB36-SUM(T31:T33)</f>
        <v>-13964.584043922263</v>
      </c>
      <c r="U37" s="286">
        <f>AC36-SUM(U31:U33)</f>
        <v>-7746.5267665020328</v>
      </c>
      <c r="V37" s="286">
        <f>AD36-SUM(V31:V33)</f>
        <v>-12369.073929762137</v>
      </c>
    </row>
    <row r="38" spans="1:41" ht="26.25" x14ac:dyDescent="0.4">
      <c r="A38" s="150" t="s">
        <v>6</v>
      </c>
      <c r="K38" s="150" t="s">
        <v>6</v>
      </c>
      <c r="R38" s="150" t="s">
        <v>6</v>
      </c>
      <c r="T38">
        <f>LN(M36/T36)</f>
        <v>1.1409303176461398</v>
      </c>
    </row>
    <row r="39" spans="1:41" ht="26.25" x14ac:dyDescent="0.25">
      <c r="B39" s="102" t="s">
        <v>134</v>
      </c>
      <c r="C39" s="103" t="s">
        <v>135</v>
      </c>
      <c r="D39" s="104" t="s">
        <v>136</v>
      </c>
      <c r="E39" s="105" t="s">
        <v>137</v>
      </c>
      <c r="F39" s="106" t="s">
        <v>29</v>
      </c>
      <c r="G39" s="299"/>
      <c r="H39" s="299"/>
      <c r="I39" s="299"/>
      <c r="L39" s="102" t="s">
        <v>134</v>
      </c>
      <c r="M39" s="103" t="s">
        <v>135</v>
      </c>
      <c r="N39" s="104" t="s">
        <v>136</v>
      </c>
      <c r="O39" s="105" t="s">
        <v>137</v>
      </c>
      <c r="P39" s="106" t="s">
        <v>29</v>
      </c>
      <c r="S39" s="102" t="s">
        <v>134</v>
      </c>
      <c r="T39" s="103" t="s">
        <v>135</v>
      </c>
      <c r="U39" s="104" t="s">
        <v>136</v>
      </c>
      <c r="V39" s="105" t="s">
        <v>137</v>
      </c>
      <c r="W39" s="106" t="s">
        <v>29</v>
      </c>
      <c r="AA39" s="102" t="s">
        <v>134</v>
      </c>
      <c r="AB39" s="103" t="s">
        <v>135</v>
      </c>
      <c r="AC39" s="104" t="s">
        <v>136</v>
      </c>
      <c r="AD39" s="105" t="s">
        <v>137</v>
      </c>
      <c r="AE39" s="106" t="s">
        <v>29</v>
      </c>
      <c r="AH39" s="102" t="s">
        <v>134</v>
      </c>
      <c r="AI39" s="106" t="s">
        <v>29</v>
      </c>
      <c r="AK39" s="102" t="s">
        <v>134</v>
      </c>
      <c r="AL39" s="106" t="s">
        <v>29</v>
      </c>
      <c r="AN39" s="102" t="s">
        <v>134</v>
      </c>
      <c r="AO39" s="106" t="s">
        <v>29</v>
      </c>
    </row>
    <row r="40" spans="1:41" x14ac:dyDescent="0.25">
      <c r="A40">
        <v>1</v>
      </c>
      <c r="B40" s="107" t="s">
        <v>386</v>
      </c>
      <c r="C40" s="297">
        <v>0</v>
      </c>
      <c r="D40" s="113">
        <f>INDEX(TourMode_inputCBD!$B$20:$J$33,MATCH(TourMode!$A42,modes,0),MATCH("sch",modePurpose,0))</f>
        <v>0</v>
      </c>
      <c r="E40" s="113">
        <f>INDEX(TourMode_inputCBD!$B$36:$J$49,MATCH(TourMode!$A42,modes,0),MATCH("sch",modePurpose,0))</f>
        <v>503.38868000000002</v>
      </c>
      <c r="F40" s="114">
        <f>SUM(C40:E40)</f>
        <v>503.38868000000002</v>
      </c>
      <c r="G40" s="300"/>
      <c r="H40" s="300"/>
      <c r="I40" s="300"/>
      <c r="J40" s="115"/>
      <c r="K40">
        <v>1</v>
      </c>
      <c r="L40" s="107" t="s">
        <v>386</v>
      </c>
      <c r="M40" s="113">
        <f>C40</f>
        <v>0</v>
      </c>
      <c r="N40" s="113">
        <f t="shared" ref="N40:O47" si="18">D40</f>
        <v>0</v>
      </c>
      <c r="O40" s="113">
        <f t="shared" si="18"/>
        <v>503.38868000000002</v>
      </c>
      <c r="P40" s="114">
        <f>SUM(M40:O40)</f>
        <v>503.38868000000002</v>
      </c>
      <c r="Q40" s="115"/>
      <c r="R40">
        <v>1</v>
      </c>
      <c r="S40" s="107" t="s">
        <v>386</v>
      </c>
      <c r="T40" s="113">
        <f>IF(M54&gt;0,M40/M54*T54,0)</f>
        <v>0</v>
      </c>
      <c r="U40" s="113">
        <f>IF(N54&gt;0,N40/N54*U54,0)</f>
        <v>0</v>
      </c>
      <c r="V40" s="113">
        <f>IF(O54&gt;0,O40/O54*V54,0)</f>
        <v>-108.32935834429804</v>
      </c>
      <c r="W40" s="114">
        <f>SUM(T40:V40)</f>
        <v>-108.32935834429804</v>
      </c>
      <c r="X40" s="115"/>
      <c r="Y40" s="115"/>
      <c r="Z40" s="115"/>
      <c r="AA40" s="107" t="s">
        <v>386</v>
      </c>
      <c r="AB40" s="113">
        <f>INDEX(TourMode_inputCBD!$L$4:$T$17,MATCH(TourMode!$A42,modes,0),MATCH("sch",modePurpose,0))*Index!$B$2</f>
        <v>0</v>
      </c>
      <c r="AC40" s="113">
        <f>INDEX(TourMode_inputCBD!$L$20:$T$33,MATCH(TourMode!$A42,modes,0), MATCH("sch",modePurpose,0))*Index!$B$2</f>
        <v>0</v>
      </c>
      <c r="AD40" s="113">
        <f>INDEX(TourMode_inputCBD!$L$36:$T$49,MATCH(TourMode!$A42,modes,0), MATCH("sch",modePurpose,0))*Index!$B$2</f>
        <v>30</v>
      </c>
      <c r="AE40" s="114">
        <f>SUM(AB40:AD40)</f>
        <v>30</v>
      </c>
      <c r="AG40" s="115"/>
      <c r="AH40" s="107" t="s">
        <v>538</v>
      </c>
      <c r="AI40" s="307"/>
      <c r="AK40" s="107" t="s">
        <v>538</v>
      </c>
      <c r="AL40" s="328"/>
      <c r="AN40" s="107" t="s">
        <v>538</v>
      </c>
      <c r="AO40" s="309"/>
    </row>
    <row r="41" spans="1:41" x14ac:dyDescent="0.25">
      <c r="A41">
        <v>2</v>
      </c>
      <c r="B41" s="107" t="s">
        <v>387</v>
      </c>
      <c r="C41" s="297">
        <v>0</v>
      </c>
      <c r="D41" s="113">
        <f>INDEX(TourMode_inputCBD!$B$20:$J$33,MATCH(TourMode!$A43,modes,0),MATCH("sch",modePurpose,0))</f>
        <v>0</v>
      </c>
      <c r="E41" s="113">
        <f>INDEX(TourMode_inputCBD!$B$36:$J$49,MATCH(TourMode!$A43,modes,0),MATCH("sch",modePurpose,0))</f>
        <v>0</v>
      </c>
      <c r="F41" s="116">
        <f t="shared" ref="F41:F52" si="19">SUM(C41:E41)</f>
        <v>0</v>
      </c>
      <c r="G41" s="300"/>
      <c r="H41" s="300"/>
      <c r="I41" s="300"/>
      <c r="J41" s="115"/>
      <c r="K41">
        <v>2</v>
      </c>
      <c r="L41" s="107" t="s">
        <v>387</v>
      </c>
      <c r="M41" s="113">
        <f t="shared" ref="M41:M47" si="20">C41</f>
        <v>0</v>
      </c>
      <c r="N41" s="113">
        <f t="shared" si="18"/>
        <v>0</v>
      </c>
      <c r="O41" s="113">
        <f t="shared" si="18"/>
        <v>0</v>
      </c>
      <c r="P41" s="116">
        <f t="shared" ref="P41:P52" si="21">SUM(M41:O41)</f>
        <v>0</v>
      </c>
      <c r="Q41" s="115"/>
      <c r="R41">
        <v>2</v>
      </c>
      <c r="S41" s="107" t="s">
        <v>387</v>
      </c>
      <c r="T41" s="113">
        <f>IF(M54&gt;0,M41/M54*T54,0)</f>
        <v>0</v>
      </c>
      <c r="U41" s="113">
        <f>IF(N54&gt;0,N41/N54*U54,0)</f>
        <v>0</v>
      </c>
      <c r="V41" s="113">
        <f>IF(O54&gt;0,O41/O54*V54,0)</f>
        <v>0</v>
      </c>
      <c r="W41" s="116">
        <f t="shared" ref="W41:W52" si="22">SUM(T41:V41)</f>
        <v>0</v>
      </c>
      <c r="X41" s="115"/>
      <c r="Y41" s="115"/>
      <c r="Z41" s="115"/>
      <c r="AA41" s="107" t="s">
        <v>387</v>
      </c>
      <c r="AB41" s="113">
        <f>INDEX(TourMode_inputCBD!$L$4:$T$17,MATCH(TourMode!$A43,modes,0),MATCH("sch",modePurpose,0))*Index!$B$2</f>
        <v>0</v>
      </c>
      <c r="AC41" s="113">
        <f>INDEX(TourMode_inputCBD!$L$20:$T$33,MATCH(TourMode!$A43,modes,0), MATCH("sch",modePurpose,0))*Index!$B$2</f>
        <v>0</v>
      </c>
      <c r="AD41" s="113">
        <f>INDEX(TourMode_inputCBD!$L$36:$T$49,MATCH(TourMode!$A43,modes,0), MATCH("sch",modePurpose,0))*Index!$B$2</f>
        <v>25</v>
      </c>
      <c r="AE41" s="116">
        <f t="shared" ref="AE41:AE52" si="23">SUM(AB41:AD41)</f>
        <v>25</v>
      </c>
      <c r="AG41" s="115"/>
      <c r="AH41" s="107"/>
      <c r="AI41" s="307"/>
      <c r="AK41" s="107"/>
      <c r="AL41" s="328"/>
      <c r="AN41" s="107"/>
      <c r="AO41" s="307"/>
    </row>
    <row r="42" spans="1:41" x14ac:dyDescent="0.25">
      <c r="A42">
        <v>3</v>
      </c>
      <c r="B42" s="107" t="s">
        <v>388</v>
      </c>
      <c r="C42" s="113">
        <f>INDEX(TourMode_inputCBD!$B$4:$J$172,MATCH(TourMode!$A44,modes,0),MATCH("sch",modePurpose,0))</f>
        <v>0</v>
      </c>
      <c r="D42" s="113">
        <f>INDEX(TourMode_inputCBD!$B$20:$J$33,MATCH(TourMode!$A44,modes,0),MATCH("sch",modePurpose,0))</f>
        <v>856.78210000000001</v>
      </c>
      <c r="E42" s="113">
        <f>INDEX(TourMode_inputCBD!$B$36:$J$49,MATCH(TourMode!$A44,modes,0),MATCH("sch",modePurpose,0))</f>
        <v>6857.1011900000003</v>
      </c>
      <c r="F42" s="116">
        <f t="shared" si="19"/>
        <v>7713.8832900000007</v>
      </c>
      <c r="G42" s="300"/>
      <c r="H42" s="300"/>
      <c r="I42" s="300"/>
      <c r="J42" s="115"/>
      <c r="K42">
        <v>3</v>
      </c>
      <c r="L42" s="107" t="s">
        <v>388</v>
      </c>
      <c r="M42" s="113">
        <f t="shared" si="20"/>
        <v>0</v>
      </c>
      <c r="N42" s="113">
        <f t="shared" si="18"/>
        <v>856.78210000000001</v>
      </c>
      <c r="O42" s="113">
        <f t="shared" si="18"/>
        <v>6857.1011900000003</v>
      </c>
      <c r="P42" s="116">
        <f t="shared" si="21"/>
        <v>7713.8832900000007</v>
      </c>
      <c r="Q42" s="115"/>
      <c r="R42">
        <v>3</v>
      </c>
      <c r="S42" s="107" t="s">
        <v>388</v>
      </c>
      <c r="T42" s="113">
        <f>IF(M54&gt;0,M42/M54*T54,0)</f>
        <v>0</v>
      </c>
      <c r="U42" s="113">
        <f>IF(N54&gt;0,N42/N54*U54,0)</f>
        <v>-17.615483117225878</v>
      </c>
      <c r="V42" s="113">
        <f>IF(O54&gt;0,O42/O54*V54,0)</f>
        <v>-1475.6497345443336</v>
      </c>
      <c r="W42" s="116">
        <f t="shared" si="22"/>
        <v>-1493.2652176615595</v>
      </c>
      <c r="X42" s="115"/>
      <c r="Y42" s="115"/>
      <c r="Z42" s="115"/>
      <c r="AA42" s="107" t="s">
        <v>388</v>
      </c>
      <c r="AB42" s="113">
        <f>INDEX(TourMode_inputCBD!$L$4:$T$17,MATCH(TourMode!$A44,modes,0),MATCH("sch",modePurpose,0))*Index!$B$2</f>
        <v>35</v>
      </c>
      <c r="AC42" s="113">
        <f>INDEX(TourMode_inputCBD!$L$20:$T$33,MATCH(TourMode!$A44,modes,0), MATCH("sch",modePurpose,0))*Index!$B$2</f>
        <v>235</v>
      </c>
      <c r="AD42" s="113">
        <f>INDEX(TourMode_inputCBD!$L$36:$T$49,MATCH(TourMode!$A44,modes,0), MATCH("sch",modePurpose,0))*Index!$B$2</f>
        <v>165</v>
      </c>
      <c r="AE42" s="116">
        <f t="shared" si="23"/>
        <v>435</v>
      </c>
      <c r="AG42" s="115"/>
      <c r="AH42" s="107" t="s">
        <v>576</v>
      </c>
      <c r="AI42" s="307"/>
      <c r="AK42" s="107" t="s">
        <v>576</v>
      </c>
      <c r="AL42" s="328"/>
      <c r="AN42" s="107" t="s">
        <v>576</v>
      </c>
      <c r="AO42" s="307"/>
    </row>
    <row r="43" spans="1:41" x14ac:dyDescent="0.25">
      <c r="A43">
        <v>4</v>
      </c>
      <c r="B43" s="107" t="s">
        <v>389</v>
      </c>
      <c r="C43" s="113">
        <f>INDEX(TourMode_inputCBD!$B$4:$J$172,MATCH(TourMode!$A45,modes,0),MATCH("sch",modePurpose,0))</f>
        <v>0</v>
      </c>
      <c r="D43" s="113">
        <f>INDEX(TourMode_inputCBD!$B$20:$J$33,MATCH(TourMode!$A45,modes,0),MATCH("sch",modePurpose,0))</f>
        <v>0</v>
      </c>
      <c r="E43" s="113">
        <f>INDEX(TourMode_inputCBD!$B$36:$J$49,MATCH(TourMode!$A45,modes,0),MATCH("sch",modePurpose,0))</f>
        <v>0</v>
      </c>
      <c r="F43" s="116">
        <f t="shared" si="19"/>
        <v>0</v>
      </c>
      <c r="G43" s="300"/>
      <c r="H43" s="300"/>
      <c r="I43" s="300"/>
      <c r="J43" s="115"/>
      <c r="K43">
        <v>4</v>
      </c>
      <c r="L43" s="107" t="s">
        <v>389</v>
      </c>
      <c r="M43" s="113">
        <f t="shared" si="20"/>
        <v>0</v>
      </c>
      <c r="N43" s="113">
        <f t="shared" si="18"/>
        <v>0</v>
      </c>
      <c r="O43" s="113">
        <f t="shared" si="18"/>
        <v>0</v>
      </c>
      <c r="P43" s="116">
        <f t="shared" si="21"/>
        <v>0</v>
      </c>
      <c r="Q43" s="115"/>
      <c r="R43">
        <v>4</v>
      </c>
      <c r="S43" s="107" t="s">
        <v>389</v>
      </c>
      <c r="T43" s="113">
        <f>IF(M54&gt;0,M43/M54*T54,0)</f>
        <v>0</v>
      </c>
      <c r="U43" s="113">
        <f>IF(N54&gt;0,N43/N54*U54,0)</f>
        <v>0</v>
      </c>
      <c r="V43" s="113">
        <f>IF(O54&gt;0,O43/O54*V54,0)</f>
        <v>0</v>
      </c>
      <c r="W43" s="116">
        <f t="shared" si="22"/>
        <v>0</v>
      </c>
      <c r="X43" s="115"/>
      <c r="Y43" s="115"/>
      <c r="Z43" s="115"/>
      <c r="AA43" s="107" t="s">
        <v>389</v>
      </c>
      <c r="AB43" s="113">
        <f>INDEX(TourMode_inputCBD!$L$4:$T$17,MATCH(TourMode!$A45,modes,0),MATCH("sch",modePurpose,0))*Index!$B$2</f>
        <v>0</v>
      </c>
      <c r="AC43" s="113">
        <f>INDEX(TourMode_inputCBD!$L$20:$T$33,MATCH(TourMode!$A45,modes,0), MATCH("sch",modePurpose,0))*Index!$B$2</f>
        <v>10</v>
      </c>
      <c r="AD43" s="113">
        <f>INDEX(TourMode_inputCBD!$L$36:$T$49,MATCH(TourMode!$A45,modes,0), MATCH("sch",modePurpose,0))*Index!$B$2</f>
        <v>0</v>
      </c>
      <c r="AE43" s="116">
        <f t="shared" si="23"/>
        <v>10</v>
      </c>
      <c r="AG43" s="115"/>
      <c r="AH43" s="107"/>
      <c r="AI43" s="307"/>
      <c r="AK43" s="107"/>
      <c r="AL43" s="328"/>
      <c r="AN43" s="107"/>
      <c r="AO43" s="307"/>
    </row>
    <row r="44" spans="1:41" x14ac:dyDescent="0.25">
      <c r="A44">
        <v>5</v>
      </c>
      <c r="B44" s="107" t="s">
        <v>390</v>
      </c>
      <c r="C44" s="113">
        <f>INDEX(TourMode_inputCBD!$B$4:$J$172,MATCH(TourMode!$A46,modes,0),MATCH("sch",modePurpose,0))</f>
        <v>0</v>
      </c>
      <c r="D44" s="113">
        <f>INDEX(TourMode_inputCBD!$B$20:$J$33,MATCH(TourMode!$A46,modes,0),MATCH("sch",modePurpose,0))</f>
        <v>8979.3321599999999</v>
      </c>
      <c r="E44" s="113">
        <f>INDEX(TourMode_inputCBD!$B$36:$J$49,MATCH(TourMode!$A46,modes,0),MATCH("sch",modePurpose,0))</f>
        <v>21936.991030000001</v>
      </c>
      <c r="F44" s="116">
        <f t="shared" si="19"/>
        <v>30916.323190000003</v>
      </c>
      <c r="G44" s="300"/>
      <c r="H44" s="300"/>
      <c r="I44" s="300"/>
      <c r="J44" s="115"/>
      <c r="K44">
        <v>5</v>
      </c>
      <c r="L44" s="107" t="s">
        <v>390</v>
      </c>
      <c r="M44" s="113">
        <f t="shared" si="20"/>
        <v>0</v>
      </c>
      <c r="N44" s="113">
        <f t="shared" si="18"/>
        <v>8979.3321599999999</v>
      </c>
      <c r="O44" s="113">
        <f t="shared" si="18"/>
        <v>21936.991030000001</v>
      </c>
      <c r="P44" s="116">
        <f t="shared" si="21"/>
        <v>30916.323190000003</v>
      </c>
      <c r="Q44" s="115"/>
      <c r="R44">
        <v>5</v>
      </c>
      <c r="S44" s="107" t="s">
        <v>390</v>
      </c>
      <c r="T44" s="113">
        <f>IF(M54&gt;0,M44/M54*T54,0)</f>
        <v>0</v>
      </c>
      <c r="U44" s="113">
        <f>IF(N54&gt;0,N44/N54*U54,0)</f>
        <v>-184.615521342525</v>
      </c>
      <c r="V44" s="113">
        <f>IF(O54&gt;0,O44/O54*V54,0)</f>
        <v>-4720.8454554133441</v>
      </c>
      <c r="W44" s="116">
        <f t="shared" si="22"/>
        <v>-4905.4609767558695</v>
      </c>
      <c r="X44" s="115"/>
      <c r="Y44" s="115"/>
      <c r="Z44" s="115"/>
      <c r="AA44" s="107" t="s">
        <v>390</v>
      </c>
      <c r="AB44" s="113">
        <f>INDEX(TourMode_inputCBD!$L$4:$T$17,MATCH(TourMode!$A46,modes,0),MATCH("sch",modePurpose,0))*Index!$B$2</f>
        <v>80</v>
      </c>
      <c r="AC44" s="113">
        <f>INDEX(TourMode_inputCBD!$L$20:$T$33,MATCH(TourMode!$A46,modes,0), MATCH("sch",modePurpose,0))*Index!$B$2</f>
        <v>1235</v>
      </c>
      <c r="AD44" s="113">
        <f>INDEX(TourMode_inputCBD!$L$36:$T$49,MATCH(TourMode!$A46,modes,0), MATCH("sch",modePurpose,0))*Index!$B$2</f>
        <v>925</v>
      </c>
      <c r="AE44" s="116">
        <f t="shared" si="23"/>
        <v>2240</v>
      </c>
      <c r="AG44" s="115"/>
      <c r="AH44" s="107" t="s">
        <v>577</v>
      </c>
      <c r="AI44" s="307"/>
      <c r="AK44" s="107" t="s">
        <v>577</v>
      </c>
      <c r="AL44" s="328"/>
      <c r="AN44" s="107" t="s">
        <v>577</v>
      </c>
      <c r="AO44" s="307"/>
    </row>
    <row r="45" spans="1:41" x14ac:dyDescent="0.25">
      <c r="A45">
        <v>6</v>
      </c>
      <c r="B45" s="107" t="s">
        <v>391</v>
      </c>
      <c r="C45" s="113">
        <f>INDEX(TourMode_inputCBD!$B$4:$J$172,MATCH(TourMode!$A47,modes,0),MATCH("sch",modePurpose,0))</f>
        <v>0</v>
      </c>
      <c r="D45" s="113">
        <f>INDEX(TourMode_inputCBD!$B$20:$J$33,MATCH(TourMode!$A47,modes,0),MATCH("sch",modePurpose,0))</f>
        <v>0</v>
      </c>
      <c r="E45" s="113">
        <f>INDEX(TourMode_inputCBD!$B$36:$J$49,MATCH(TourMode!$A47,modes,0),MATCH("sch",modePurpose,0))</f>
        <v>0</v>
      </c>
      <c r="F45" s="116">
        <f t="shared" si="19"/>
        <v>0</v>
      </c>
      <c r="G45" s="300"/>
      <c r="H45" s="300"/>
      <c r="I45" s="300"/>
      <c r="J45" s="115"/>
      <c r="K45">
        <v>6</v>
      </c>
      <c r="L45" s="107" t="s">
        <v>391</v>
      </c>
      <c r="M45" s="113">
        <f t="shared" si="20"/>
        <v>0</v>
      </c>
      <c r="N45" s="113">
        <f t="shared" si="18"/>
        <v>0</v>
      </c>
      <c r="O45" s="113">
        <f t="shared" si="18"/>
        <v>0</v>
      </c>
      <c r="P45" s="116">
        <f t="shared" si="21"/>
        <v>0</v>
      </c>
      <c r="Q45" s="115"/>
      <c r="R45">
        <v>6</v>
      </c>
      <c r="S45" s="107" t="s">
        <v>391</v>
      </c>
      <c r="T45" s="113">
        <f>IF(M54&gt;0,M45/M54*T54,0)</f>
        <v>0</v>
      </c>
      <c r="U45" s="113">
        <f>IF(N54&gt;0,N45/N54*U54,0)</f>
        <v>0</v>
      </c>
      <c r="V45" s="113">
        <f>IF(O54&gt;0,O45/O54*V54,0)</f>
        <v>0</v>
      </c>
      <c r="W45" s="116">
        <f t="shared" si="22"/>
        <v>0</v>
      </c>
      <c r="X45" s="115"/>
      <c r="Y45" s="115"/>
      <c r="Z45" s="115"/>
      <c r="AA45" s="107" t="s">
        <v>391</v>
      </c>
      <c r="AB45" s="113">
        <f>INDEX(TourMode_inputCBD!$L$4:$T$17,MATCH(TourMode!$A47,modes,0),MATCH("sch",modePurpose,0))*Index!$B$2</f>
        <v>0</v>
      </c>
      <c r="AC45" s="113">
        <f>INDEX(TourMode_inputCBD!$L$20:$T$33,MATCH(TourMode!$A47,modes,0), MATCH("sch",modePurpose,0))*Index!$B$2</f>
        <v>125</v>
      </c>
      <c r="AD45" s="113">
        <f>INDEX(TourMode_inputCBD!$L$36:$T$49,MATCH(TourMode!$A47,modes,0), MATCH("sch",modePurpose,0))*Index!$B$2</f>
        <v>245</v>
      </c>
      <c r="AE45" s="116">
        <f t="shared" si="23"/>
        <v>370</v>
      </c>
      <c r="AG45" s="115"/>
      <c r="AH45" s="107"/>
      <c r="AI45" s="307"/>
      <c r="AK45" s="107"/>
      <c r="AL45" s="328"/>
      <c r="AN45" s="107"/>
      <c r="AO45" s="307"/>
    </row>
    <row r="46" spans="1:41" x14ac:dyDescent="0.25">
      <c r="A46">
        <v>7</v>
      </c>
      <c r="B46" s="107" t="s">
        <v>392</v>
      </c>
      <c r="C46" s="113">
        <f>INDEX(TourMode_inputCBD!$B$4:$J$172,MATCH(TourMode!$A48,modes,0),MATCH("sch",modePurpose,0))</f>
        <v>2874.1065800000001</v>
      </c>
      <c r="D46" s="113">
        <f>INDEX(TourMode_inputCBD!$B$20:$J$33,MATCH(TourMode!$A48,modes,0),MATCH("sch",modePurpose,0))</f>
        <v>3416.1143900000002</v>
      </c>
      <c r="E46" s="113">
        <f>INDEX(TourMode_inputCBD!$B$36:$J$49,MATCH(TourMode!$A48,modes,0),MATCH("sch",modePurpose,0))</f>
        <v>9228.3711600000006</v>
      </c>
      <c r="F46" s="116">
        <f t="shared" si="19"/>
        <v>15518.592130000001</v>
      </c>
      <c r="G46" s="300"/>
      <c r="H46" s="300"/>
      <c r="I46" s="300"/>
      <c r="J46" s="115"/>
      <c r="K46">
        <v>7</v>
      </c>
      <c r="L46" s="107" t="s">
        <v>392</v>
      </c>
      <c r="M46" s="113">
        <f t="shared" si="20"/>
        <v>2874.1065800000001</v>
      </c>
      <c r="N46" s="113">
        <f t="shared" si="18"/>
        <v>3416.1143900000002</v>
      </c>
      <c r="O46" s="113">
        <f t="shared" si="18"/>
        <v>9228.3711600000006</v>
      </c>
      <c r="P46" s="116">
        <f t="shared" si="21"/>
        <v>15518.592130000001</v>
      </c>
      <c r="Q46" s="115"/>
      <c r="R46">
        <v>7</v>
      </c>
      <c r="S46" s="107" t="s">
        <v>392</v>
      </c>
      <c r="T46" s="113">
        <f>IF(M54&gt;0,M46/M54*T54,0)</f>
        <v>-11959.89031819545</v>
      </c>
      <c r="U46" s="113">
        <f>IF(N54&gt;0,N46/N54*U54,0)</f>
        <v>-70.235483868719228</v>
      </c>
      <c r="V46" s="113">
        <f>IF(O54&gt;0,O46/O54*V54,0)</f>
        <v>-1985.9475710217112</v>
      </c>
      <c r="W46" s="116">
        <f t="shared" si="22"/>
        <v>-14016.073373085881</v>
      </c>
      <c r="X46" s="115"/>
      <c r="Y46" s="115"/>
      <c r="Z46" s="115"/>
      <c r="AA46" s="107" t="s">
        <v>392</v>
      </c>
      <c r="AB46" s="113">
        <f>INDEX(TourMode_inputCBD!$L$4:$T$17,MATCH(TourMode!$A48,modes,0),MATCH("sch",modePurpose,0))*Index!$B$2</f>
        <v>185</v>
      </c>
      <c r="AC46" s="113">
        <f>INDEX(TourMode_inputCBD!$L$20:$T$33,MATCH(TourMode!$A48,modes,0), MATCH("sch",modePurpose,0))*Index!$B$2</f>
        <v>160</v>
      </c>
      <c r="AD46" s="113">
        <f>INDEX(TourMode_inputCBD!$L$36:$T$49,MATCH(TourMode!$A48,modes,0), MATCH("sch",modePurpose,0))*Index!$B$2</f>
        <v>80</v>
      </c>
      <c r="AE46" s="116">
        <f t="shared" si="23"/>
        <v>425</v>
      </c>
      <c r="AG46" s="115"/>
      <c r="AH46" s="107" t="s">
        <v>392</v>
      </c>
      <c r="AI46" s="307"/>
      <c r="AK46" s="107" t="s">
        <v>392</v>
      </c>
      <c r="AL46" s="328"/>
      <c r="AN46" s="107" t="s">
        <v>392</v>
      </c>
      <c r="AO46" s="307"/>
    </row>
    <row r="47" spans="1:41" x14ac:dyDescent="0.25">
      <c r="A47">
        <v>8</v>
      </c>
      <c r="B47" s="107" t="s">
        <v>393</v>
      </c>
      <c r="C47" s="113">
        <f>INDEX(TourMode_inputCBD!$B$4:$J$172,MATCH(TourMode!$A49,modes,0),MATCH("sch",modePurpose,0))</f>
        <v>0</v>
      </c>
      <c r="D47" s="113">
        <f>INDEX(TourMode_inputCBD!$B$20:$J$33,MATCH(TourMode!$A49,modes,0),MATCH("sch",modePurpose,0))</f>
        <v>0</v>
      </c>
      <c r="E47" s="113">
        <f>INDEX(TourMode_inputCBD!$B$36:$J$49,MATCH(TourMode!$A49,modes,0),MATCH("sch",modePurpose,0))</f>
        <v>0</v>
      </c>
      <c r="F47" s="116">
        <f t="shared" si="19"/>
        <v>0</v>
      </c>
      <c r="G47" s="300"/>
      <c r="H47" s="300"/>
      <c r="I47" s="300"/>
      <c r="J47" s="115"/>
      <c r="K47">
        <v>8</v>
      </c>
      <c r="L47" s="107" t="s">
        <v>393</v>
      </c>
      <c r="M47" s="113">
        <f t="shared" si="20"/>
        <v>0</v>
      </c>
      <c r="N47" s="113">
        <f t="shared" si="18"/>
        <v>0</v>
      </c>
      <c r="O47" s="113">
        <f t="shared" si="18"/>
        <v>0</v>
      </c>
      <c r="P47" s="116">
        <f t="shared" si="21"/>
        <v>0</v>
      </c>
      <c r="Q47" s="115"/>
      <c r="R47">
        <v>8</v>
      </c>
      <c r="S47" s="107" t="s">
        <v>393</v>
      </c>
      <c r="T47" s="113">
        <f>IF(M54&gt;0,M47/M54*T54,0)</f>
        <v>0</v>
      </c>
      <c r="U47" s="113">
        <f>IF(N54&gt;0,N47/N54*U54,0)</f>
        <v>0</v>
      </c>
      <c r="V47" s="113">
        <f>IF(O54&gt;0,O47/O54*V54,0)</f>
        <v>0</v>
      </c>
      <c r="W47" s="116">
        <f t="shared" si="22"/>
        <v>0</v>
      </c>
      <c r="X47" s="115"/>
      <c r="Y47" s="115"/>
      <c r="Z47" s="115"/>
      <c r="AA47" s="107" t="s">
        <v>393</v>
      </c>
      <c r="AB47" s="113">
        <f>INDEX(TourMode_inputCBD!$L$4:$T$17,MATCH(TourMode!$A49,modes,0),MATCH("sch",modePurpose,0))*Index!$B$2</f>
        <v>15</v>
      </c>
      <c r="AC47" s="113">
        <f>INDEX(TourMode_inputCBD!$L$20:$T$33,MATCH(TourMode!$A49,modes,0), MATCH("sch",modePurpose,0))*Index!$B$2</f>
        <v>15</v>
      </c>
      <c r="AD47" s="113">
        <f>INDEX(TourMode_inputCBD!$L$36:$T$49,MATCH(TourMode!$A49,modes,0), MATCH("sch",modePurpose,0))*Index!$B$2</f>
        <v>15</v>
      </c>
      <c r="AE47" s="116">
        <f t="shared" si="23"/>
        <v>45</v>
      </c>
      <c r="AG47" s="115"/>
      <c r="AH47" s="107" t="s">
        <v>393</v>
      </c>
      <c r="AI47" s="307"/>
      <c r="AK47" s="107" t="s">
        <v>393</v>
      </c>
      <c r="AL47" s="328"/>
      <c r="AN47" s="107" t="s">
        <v>393</v>
      </c>
      <c r="AO47" s="307"/>
    </row>
    <row r="48" spans="1:41" x14ac:dyDescent="0.25">
      <c r="A48">
        <v>10</v>
      </c>
      <c r="B48" s="107" t="s">
        <v>555</v>
      </c>
      <c r="C48" s="113">
        <f>INDEX(TourMode_inputCBD!$B$4:$J$172,MATCH(TourMode!$A51,modes,0),MATCH("sch",modePurpose,0))+INDEX(TourMode_inputCBD!$B$4:$J$172,MATCH(TourMode!$A50,modes,0),MATCH("sch",modePurpose,0))</f>
        <v>6138.5675700000002</v>
      </c>
      <c r="D48" s="113">
        <f>INDEX(TourMode_inputCBD!$B$20:$J$33,MATCH(TourMode!$A51,modes,0),MATCH("sch",modePurpose,0))+INDEX(TourMode_inputCBD!$B$20:$J$33,MATCH(TourMode!$A50,modes,0),MATCH("sch",modePurpose,0))</f>
        <v>1172.4464399999999</v>
      </c>
      <c r="E48" s="113">
        <f>INDEX(TourMode_inputCBD!$B$36:$J$49,MATCH(TourMode!$A51,modes,0),MATCH("sch",modePurpose,0))+INDEX(TourMode_inputCBD!$B$36:$J$49,MATCH(TourMode!$A50,modes,0),MATCH("sch",modePurpose,0))</f>
        <v>4368.0475800000004</v>
      </c>
      <c r="F48" s="116">
        <f t="shared" si="19"/>
        <v>11679.061590000001</v>
      </c>
      <c r="G48" s="300"/>
      <c r="H48" s="302">
        <f>F48/F$167</f>
        <v>3.9418923103231383E-2</v>
      </c>
      <c r="I48" s="300">
        <f>H48*H$167</f>
        <v>24552.472074262652</v>
      </c>
      <c r="J48" s="115"/>
      <c r="K48">
        <v>10</v>
      </c>
      <c r="L48" s="107" t="s">
        <v>546</v>
      </c>
      <c r="M48" s="113">
        <f>IF($F48&gt;0,C48/$F48*$I48,0)</f>
        <v>12904.890318195448</v>
      </c>
      <c r="N48" s="113">
        <f t="shared" ref="N48:O50" si="24">IF($F48&gt;0,D48/$F48*$I48,0)</f>
        <v>2464.7920772433104</v>
      </c>
      <c r="O48" s="113">
        <f t="shared" si="24"/>
        <v>9182.7896788238922</v>
      </c>
      <c r="P48" s="116">
        <f t="shared" si="21"/>
        <v>24552.472074262652</v>
      </c>
      <c r="Q48" s="115"/>
      <c r="R48">
        <v>10</v>
      </c>
      <c r="S48" s="107" t="s">
        <v>546</v>
      </c>
      <c r="T48" s="113">
        <f>M48</f>
        <v>12904.890318195448</v>
      </c>
      <c r="U48" s="113">
        <f>N48</f>
        <v>2464.7920772433104</v>
      </c>
      <c r="V48" s="113">
        <f>O48</f>
        <v>9182.7896788238922</v>
      </c>
      <c r="W48" s="116">
        <f t="shared" si="22"/>
        <v>24552.472074262652</v>
      </c>
      <c r="X48" s="115"/>
      <c r="Y48" s="115"/>
      <c r="Z48" s="115"/>
      <c r="AA48" s="107" t="s">
        <v>546</v>
      </c>
      <c r="AB48" s="113">
        <f>INDEX(TourMode_inputCBD!$L$4:$T$17,MATCH(TourMode!$A51,modes,0),MATCH("sch",modePurpose,0))*Index!$B$2</f>
        <v>580</v>
      </c>
      <c r="AC48" s="113">
        <f>INDEX(TourMode_inputCBD!$L$20:$T$33,MATCH(TourMode!$A51,modes,0), MATCH("sch",modePurpose,0))*Index!$B$2</f>
        <v>310</v>
      </c>
      <c r="AD48" s="113">
        <f>INDEX(TourMode_inputCBD!$L$36:$T$49,MATCH(TourMode!$A51,modes,0), MATCH("sch",modePurpose,0))*Index!$B$2</f>
        <v>335</v>
      </c>
      <c r="AE48" s="116">
        <f t="shared" si="23"/>
        <v>1225</v>
      </c>
      <c r="AG48" s="115"/>
      <c r="AH48" s="107" t="s">
        <v>395</v>
      </c>
      <c r="AI48" s="307">
        <f>IFERROR(IF(AE48&gt;0,LN(W48/AE48),0),0)</f>
        <v>2.9978717006637026</v>
      </c>
      <c r="AK48" s="107" t="s">
        <v>395</v>
      </c>
      <c r="AL48" s="328">
        <v>2.2848984069838312</v>
      </c>
      <c r="AN48" s="107" t="s">
        <v>395</v>
      </c>
      <c r="AO48" s="307">
        <f>AL48+$AO$1*AI48</f>
        <v>1.5354304818179054</v>
      </c>
    </row>
    <row r="49" spans="1:41" x14ac:dyDescent="0.25">
      <c r="A49">
        <v>11</v>
      </c>
      <c r="B49" s="107" t="s">
        <v>556</v>
      </c>
      <c r="C49" s="113">
        <f>INDEX(TourMode_inputCBD!$B$4:$J$172,MATCH(TourMode!$A52,modes,0),MATCH("sch",modePurpose,0))</f>
        <v>0</v>
      </c>
      <c r="D49" s="113">
        <f>INDEX(TourMode_inputCBD!$B$20:$J$33,MATCH(TourMode!$A52,modes,0),MATCH("sch",modePurpose,0))</f>
        <v>0</v>
      </c>
      <c r="E49" s="113">
        <f>INDEX(TourMode_inputCBD!$B$36:$J$49,MATCH(TourMode!$A52,modes,0),MATCH("sch",modePurpose,0))</f>
        <v>2203.9250400000001</v>
      </c>
      <c r="F49" s="116">
        <f t="shared" si="19"/>
        <v>2203.9250400000001</v>
      </c>
      <c r="G49" s="300"/>
      <c r="H49" s="302">
        <f>F49/F$168</f>
        <v>4.6246987584586098E-2</v>
      </c>
      <c r="I49" s="300">
        <f>H49*H$168</f>
        <v>1854.2993270692878</v>
      </c>
      <c r="J49" s="115"/>
      <c r="K49">
        <v>11</v>
      </c>
      <c r="L49" s="107" t="s">
        <v>559</v>
      </c>
      <c r="M49" s="113">
        <f>IF($F49&gt;0,C49/$F49*$I49,0)</f>
        <v>0</v>
      </c>
      <c r="N49" s="113">
        <f t="shared" si="24"/>
        <v>0</v>
      </c>
      <c r="O49" s="113">
        <f t="shared" si="24"/>
        <v>1854.2993270692878</v>
      </c>
      <c r="P49" s="116">
        <f t="shared" si="21"/>
        <v>1854.2993270692878</v>
      </c>
      <c r="Q49" s="115"/>
      <c r="R49">
        <v>11</v>
      </c>
      <c r="S49" s="107" t="s">
        <v>559</v>
      </c>
      <c r="T49" s="113">
        <f t="shared" ref="T49:V50" si="25">M49</f>
        <v>0</v>
      </c>
      <c r="U49" s="113">
        <f t="shared" si="25"/>
        <v>0</v>
      </c>
      <c r="V49" s="113">
        <f t="shared" si="25"/>
        <v>1854.2993270692878</v>
      </c>
      <c r="W49" s="116">
        <f t="shared" si="22"/>
        <v>1854.2993270692878</v>
      </c>
      <c r="X49" s="115"/>
      <c r="Y49" s="115"/>
      <c r="Z49" s="115"/>
      <c r="AA49" s="107" t="s">
        <v>559</v>
      </c>
      <c r="AB49" s="113">
        <f>INDEX(TourMode_inputCBD!$L$4:$T$17,MATCH(TourMode!$A52,modes,0),MATCH("sch",modePurpose,0))*Index!$B$2</f>
        <v>0</v>
      </c>
      <c r="AC49" s="113">
        <f>INDEX(TourMode_inputCBD!$L$20:$T$33,MATCH(TourMode!$A52,modes,0), MATCH("sch",modePurpose,0))*Index!$B$2</f>
        <v>0</v>
      </c>
      <c r="AD49" s="113">
        <f>INDEX(TourMode_inputCBD!$L$36:$T$49,MATCH(TourMode!$A52,modes,0), MATCH("sch",modePurpose,0))*Index!$B$2</f>
        <v>30</v>
      </c>
      <c r="AE49" s="116">
        <f t="shared" si="23"/>
        <v>30</v>
      </c>
      <c r="AG49" s="115"/>
      <c r="AH49" s="107" t="s">
        <v>396</v>
      </c>
      <c r="AI49" s="307">
        <f>IFERROR(IF(AE49&gt;0,LN(W49/AE49),0),0)</f>
        <v>4.1240648007682887</v>
      </c>
      <c r="AK49" s="107" t="s">
        <v>396</v>
      </c>
      <c r="AL49" s="328">
        <v>2.4370057913681187</v>
      </c>
      <c r="AN49" s="107" t="s">
        <v>396</v>
      </c>
      <c r="AO49" s="307">
        <f>AL49+$AO$1*AI49</f>
        <v>1.4059895911760465</v>
      </c>
    </row>
    <row r="50" spans="1:41" x14ac:dyDescent="0.25">
      <c r="A50">
        <v>12</v>
      </c>
      <c r="B50" s="107" t="s">
        <v>557</v>
      </c>
      <c r="C50" s="297">
        <v>0</v>
      </c>
      <c r="D50" s="113">
        <f>INDEX(TourMode_inputCBD!$B$20:$J$33,MATCH(TourMode!$A53,modes,0),MATCH("sch",modePurpose,0))</f>
        <v>182.81926000000001</v>
      </c>
      <c r="E50" s="113">
        <f>INDEX(TourMode_inputCBD!$B$36:$J$49,MATCH(TourMode!$A53,modes,0),MATCH("sch",modePurpose,0))</f>
        <v>134.83625000000001</v>
      </c>
      <c r="F50" s="116">
        <f t="shared" si="19"/>
        <v>317.65551000000005</v>
      </c>
      <c r="G50" s="300"/>
      <c r="H50" s="302">
        <f>F50/F$169</f>
        <v>2.371631842653826E-3</v>
      </c>
      <c r="I50" s="300">
        <f>H50*H$169</f>
        <v>235.66857262877798</v>
      </c>
      <c r="J50" s="115"/>
      <c r="K50">
        <v>12</v>
      </c>
      <c r="L50" s="107" t="s">
        <v>560</v>
      </c>
      <c r="M50" s="113">
        <f>IF($F50&gt;0,C50/$F50*$I50,0)</f>
        <v>0</v>
      </c>
      <c r="N50" s="113">
        <f t="shared" si="24"/>
        <v>135.63358007940565</v>
      </c>
      <c r="O50" s="113">
        <f t="shared" si="24"/>
        <v>100.0349925493723</v>
      </c>
      <c r="P50" s="116">
        <f t="shared" si="21"/>
        <v>235.66857262877795</v>
      </c>
      <c r="Q50" s="115"/>
      <c r="R50">
        <v>12</v>
      </c>
      <c r="S50" s="107" t="s">
        <v>560</v>
      </c>
      <c r="T50" s="113">
        <f t="shared" si="25"/>
        <v>0</v>
      </c>
      <c r="U50" s="113">
        <f t="shared" si="25"/>
        <v>135.63358007940565</v>
      </c>
      <c r="V50" s="113">
        <f t="shared" si="25"/>
        <v>100.0349925493723</v>
      </c>
      <c r="W50" s="116">
        <f t="shared" si="22"/>
        <v>235.66857262877795</v>
      </c>
      <c r="X50" s="115"/>
      <c r="Y50" s="115"/>
      <c r="Z50" s="115"/>
      <c r="AA50" s="107" t="s">
        <v>560</v>
      </c>
      <c r="AB50" s="113">
        <f>INDEX(TourMode_inputCBD!$L$4:$T$17,MATCH(TourMode!$A53,modes,0),MATCH("sch",modePurpose,0))*Index!$B$2</f>
        <v>0</v>
      </c>
      <c r="AC50" s="113">
        <f>INDEX(TourMode_inputCBD!$L$20:$T$33,MATCH(TourMode!$A53,modes,0), MATCH("sch",modePurpose,0))*Index!$B$2</f>
        <v>0</v>
      </c>
      <c r="AD50" s="113">
        <f>INDEX(TourMode_inputCBD!$L$36:$T$49,MATCH(TourMode!$A53,modes,0), MATCH("sch",modePurpose,0))*Index!$B$2</f>
        <v>0</v>
      </c>
      <c r="AE50" s="116">
        <f t="shared" si="23"/>
        <v>0</v>
      </c>
      <c r="AG50" s="115"/>
      <c r="AH50" s="107" t="s">
        <v>397</v>
      </c>
      <c r="AI50" s="307">
        <f>IFERROR(IF(AE50&gt;0,LN(W50/AE50),0),0)</f>
        <v>0</v>
      </c>
      <c r="AK50" s="107" t="s">
        <v>397</v>
      </c>
      <c r="AL50" s="328">
        <v>2.4166251972917747</v>
      </c>
      <c r="AN50" s="107" t="s">
        <v>397</v>
      </c>
      <c r="AO50" s="307">
        <f>AL50+$AO$1*AI50</f>
        <v>2.4166251972917747</v>
      </c>
    </row>
    <row r="51" spans="1:41" x14ac:dyDescent="0.25">
      <c r="A51">
        <v>13</v>
      </c>
      <c r="B51" s="107" t="s">
        <v>398</v>
      </c>
      <c r="C51" s="113">
        <f>INDEX(TourMode_inputCBD!$B$4:$J$172,MATCH(TourMode!$A54,modes,0),MATCH("sch",modePurpose,0))</f>
        <v>0</v>
      </c>
      <c r="D51" s="113">
        <f>INDEX(TourMode_inputCBD!$B$20:$J$33,MATCH(TourMode!$A54,modes,0),MATCH("sch",modePurpose,0))</f>
        <v>229.45972</v>
      </c>
      <c r="E51" s="113">
        <f>INDEX(TourMode_inputCBD!$B$36:$J$49,MATCH(TourMode!$A54,modes,0),MATCH("sch",modePurpose,0))</f>
        <v>0</v>
      </c>
      <c r="F51" s="116">
        <f t="shared" si="19"/>
        <v>229.45972</v>
      </c>
      <c r="G51" s="300"/>
      <c r="H51" s="300"/>
      <c r="I51" s="300"/>
      <c r="J51" s="115"/>
      <c r="K51">
        <v>13</v>
      </c>
      <c r="L51" s="107" t="s">
        <v>398</v>
      </c>
      <c r="M51" s="113">
        <f t="shared" ref="M51:O52" si="26">C51</f>
        <v>0</v>
      </c>
      <c r="N51" s="113">
        <f t="shared" si="26"/>
        <v>229.45972</v>
      </c>
      <c r="O51" s="113">
        <f t="shared" si="26"/>
        <v>0</v>
      </c>
      <c r="P51" s="116">
        <f t="shared" si="21"/>
        <v>229.45972</v>
      </c>
      <c r="Q51" s="115"/>
      <c r="R51">
        <v>13</v>
      </c>
      <c r="S51" s="107" t="s">
        <v>398</v>
      </c>
      <c r="T51" s="113">
        <f>IF(M54&gt;0,M51/M54*T54,0)</f>
        <v>0</v>
      </c>
      <c r="U51" s="113">
        <f>IF(N54&gt;0,N51/N54*U54,0)</f>
        <v>-4.7177033970987221</v>
      </c>
      <c r="V51" s="113">
        <f>IF(O54&gt;0,O51/O54*V54,0)</f>
        <v>0</v>
      </c>
      <c r="W51" s="116">
        <f t="shared" si="22"/>
        <v>-4.7177033970987221</v>
      </c>
      <c r="X51" s="115"/>
      <c r="Y51" s="115"/>
      <c r="Z51" s="115"/>
      <c r="AA51" s="107" t="s">
        <v>398</v>
      </c>
      <c r="AB51" s="113">
        <f>INDEX(TourMode_inputCBD!$L$4:$T$17,MATCH(TourMode!$A54,modes,0),MATCH("sch",modePurpose,0))*Index!$B$2</f>
        <v>20</v>
      </c>
      <c r="AC51" s="113">
        <f>INDEX(TourMode_inputCBD!$L$20:$T$33,MATCH(TourMode!$A54,modes,0), MATCH("sch",modePurpose,0))*Index!$B$2</f>
        <v>10</v>
      </c>
      <c r="AD51" s="113">
        <f>INDEX(TourMode_inputCBD!$L$36:$T$49,MATCH(TourMode!$A54,modes,0), MATCH("sch",modePurpose,0))*Index!$B$2</f>
        <v>5</v>
      </c>
      <c r="AE51" s="116">
        <f t="shared" si="23"/>
        <v>35</v>
      </c>
      <c r="AG51" s="115"/>
      <c r="AH51" s="107" t="s">
        <v>398</v>
      </c>
      <c r="AI51" s="307"/>
      <c r="AK51" s="107" t="s">
        <v>398</v>
      </c>
      <c r="AL51" s="328"/>
      <c r="AN51" s="107" t="s">
        <v>398</v>
      </c>
      <c r="AO51" s="307"/>
    </row>
    <row r="52" spans="1:41" x14ac:dyDescent="0.25">
      <c r="A52">
        <v>14</v>
      </c>
      <c r="B52" s="107" t="s">
        <v>399</v>
      </c>
      <c r="C52" s="113">
        <f>INDEX(TourMode_inputCBD!$B$4:$J$172,MATCH(TourMode!$A55,modes,0),MATCH("sch",modePurpose,0))</f>
        <v>0</v>
      </c>
      <c r="D52" s="113">
        <f>INDEX(TourMode_inputCBD!$B$20:$J$33,MATCH(TourMode!$A55,modes,0),MATCH("sch",modePurpose,0))</f>
        <v>1130.4187099999999</v>
      </c>
      <c r="E52" s="113">
        <f>INDEX(TourMode_inputCBD!$B$36:$J$49,MATCH(TourMode!$A55,modes,0),MATCH("sch",modePurpose,0))</f>
        <v>3677.2818000000002</v>
      </c>
      <c r="F52" s="116">
        <f t="shared" si="19"/>
        <v>4807.7005100000006</v>
      </c>
      <c r="G52" s="300"/>
      <c r="H52" s="300"/>
      <c r="I52" s="300"/>
      <c r="J52" s="115"/>
      <c r="K52">
        <v>14</v>
      </c>
      <c r="L52" s="107" t="s">
        <v>399</v>
      </c>
      <c r="M52" s="113">
        <f t="shared" si="26"/>
        <v>0</v>
      </c>
      <c r="N52" s="113">
        <f t="shared" si="26"/>
        <v>1130.4187099999999</v>
      </c>
      <c r="O52" s="113">
        <f t="shared" si="26"/>
        <v>3677.2818000000002</v>
      </c>
      <c r="P52" s="116">
        <f t="shared" si="21"/>
        <v>4807.7005100000006</v>
      </c>
      <c r="Q52" s="115"/>
      <c r="R52">
        <v>14</v>
      </c>
      <c r="S52" s="107" t="s">
        <v>399</v>
      </c>
      <c r="T52" s="113">
        <f>IF(M54&gt;0,M52/M54*T54,0)</f>
        <v>0</v>
      </c>
      <c r="U52" s="113">
        <f>IF(N54&gt;0,N52/N54*U54,0)</f>
        <v>-23.241465597146878</v>
      </c>
      <c r="V52" s="113">
        <f>IF(O54&gt;0,O52/O54*V54,0)</f>
        <v>-791.35187911886555</v>
      </c>
      <c r="W52" s="116">
        <f t="shared" si="22"/>
        <v>-814.59334471601244</v>
      </c>
      <c r="X52" s="115"/>
      <c r="Y52" s="115"/>
      <c r="Z52" s="115"/>
      <c r="AA52" s="107" t="s">
        <v>399</v>
      </c>
      <c r="AB52" s="113">
        <f>INDEX(TourMode_inputCBD!$L$4:$T$17,MATCH(TourMode!$A55,modes,0),MATCH("sch",modePurpose,0))*Index!$B$2</f>
        <v>30</v>
      </c>
      <c r="AC52" s="113">
        <f>INDEX(TourMode_inputCBD!$L$20:$T$33,MATCH(TourMode!$A55,modes,0), MATCH("sch",modePurpose,0))*Index!$B$2</f>
        <v>200</v>
      </c>
      <c r="AD52" s="113">
        <f>INDEX(TourMode_inputCBD!$L$36:$T$49,MATCH(TourMode!$A55,modes,0), MATCH("sch",modePurpose,0))*Index!$B$2</f>
        <v>200</v>
      </c>
      <c r="AE52" s="116">
        <f t="shared" si="23"/>
        <v>430</v>
      </c>
      <c r="AG52" s="115"/>
      <c r="AH52" s="107" t="s">
        <v>399</v>
      </c>
      <c r="AI52" s="307"/>
      <c r="AK52" s="107" t="s">
        <v>399</v>
      </c>
      <c r="AL52" s="328"/>
      <c r="AN52" s="107" t="s">
        <v>399</v>
      </c>
      <c r="AO52" s="307"/>
    </row>
    <row r="53" spans="1:41" ht="15.75" thickBot="1" x14ac:dyDescent="0.3">
      <c r="B53" s="108" t="s">
        <v>29</v>
      </c>
      <c r="C53" s="109">
        <f>SUM(C40:C52)</f>
        <v>9012.6741500000007</v>
      </c>
      <c r="D53" s="110">
        <f>SUM(D40:D52)</f>
        <v>15967.372780000002</v>
      </c>
      <c r="E53" s="111">
        <f>SUM(E40:E52)</f>
        <v>48909.942730000002</v>
      </c>
      <c r="F53" s="112">
        <f>SUM(F40:F52)</f>
        <v>73889.989659999992</v>
      </c>
      <c r="G53" s="301"/>
      <c r="H53" s="301"/>
      <c r="I53" s="301"/>
      <c r="L53" s="108" t="s">
        <v>29</v>
      </c>
      <c r="M53" s="109">
        <f>SUM(M40:M52)</f>
        <v>15778.996898195448</v>
      </c>
      <c r="N53" s="110">
        <f>SUM(N40:N52)</f>
        <v>17212.532737322719</v>
      </c>
      <c r="O53" s="111">
        <f>SUM(O40:O52)</f>
        <v>53340.257858442557</v>
      </c>
      <c r="P53" s="112">
        <f>SUM(P40:P52)</f>
        <v>86331.787493960714</v>
      </c>
      <c r="S53" s="108" t="s">
        <v>29</v>
      </c>
      <c r="T53" s="109">
        <f>SUM(T40:T52)</f>
        <v>944.99999999999818</v>
      </c>
      <c r="U53" s="110">
        <f>SUM(U40:U52)</f>
        <v>2300.0000000000005</v>
      </c>
      <c r="V53" s="111">
        <f>SUM(V40:V52)</f>
        <v>2055</v>
      </c>
      <c r="W53" s="112">
        <f>SUM(W40:W52)</f>
        <v>5299.9999999999973</v>
      </c>
      <c r="AA53" s="108" t="s">
        <v>29</v>
      </c>
      <c r="AB53" s="109">
        <f>SUM(AB40:AB52)</f>
        <v>945</v>
      </c>
      <c r="AC53" s="110">
        <f>SUM(AC40:AC52)</f>
        <v>2300</v>
      </c>
      <c r="AD53" s="111">
        <f>SUM(AD40:AD52)</f>
        <v>2055</v>
      </c>
      <c r="AE53" s="112">
        <f>SUM(AE40:AE52)</f>
        <v>5300</v>
      </c>
      <c r="AH53" s="108" t="s">
        <v>29</v>
      </c>
      <c r="AI53" s="118"/>
      <c r="AK53" s="108" t="s">
        <v>29</v>
      </c>
      <c r="AL53" s="118"/>
      <c r="AN53" s="108" t="s">
        <v>29</v>
      </c>
      <c r="AO53" s="118"/>
    </row>
    <row r="54" spans="1:41" x14ac:dyDescent="0.25">
      <c r="B54" s="304"/>
      <c r="C54" s="301"/>
      <c r="D54" s="301"/>
      <c r="E54" s="301"/>
      <c r="F54" s="301"/>
      <c r="G54" s="301"/>
      <c r="H54" s="301"/>
      <c r="I54" s="301"/>
      <c r="L54" s="304"/>
      <c r="M54" s="286">
        <f>M53-SUM(M48:M50)</f>
        <v>2874.1065799999997</v>
      </c>
      <c r="N54" s="286">
        <f>N53-SUM(N48:N50)</f>
        <v>14612.107080000003</v>
      </c>
      <c r="O54" s="286">
        <f>O53-SUM(O48:O50)</f>
        <v>42203.133860000002</v>
      </c>
      <c r="P54" s="301"/>
      <c r="S54" s="304"/>
      <c r="T54" s="286">
        <f>AB53-SUM(T48:T50)</f>
        <v>-11959.890318195448</v>
      </c>
      <c r="U54" s="286">
        <f>AC53-SUM(U48:U50)</f>
        <v>-300.42565732271578</v>
      </c>
      <c r="V54" s="286">
        <f>AD53-SUM(V48:V50)</f>
        <v>-9082.123998442552</v>
      </c>
      <c r="W54" s="301"/>
      <c r="AA54" s="304"/>
      <c r="AB54" s="301"/>
      <c r="AC54" s="301"/>
      <c r="AD54" s="301"/>
      <c r="AE54" s="301"/>
      <c r="AH54" s="304"/>
      <c r="AI54" s="306"/>
      <c r="AK54" s="304"/>
      <c r="AL54" s="306"/>
      <c r="AN54" s="304"/>
      <c r="AO54" s="306"/>
    </row>
    <row r="55" spans="1:41" ht="26.25" x14ac:dyDescent="0.4">
      <c r="A55" s="150" t="s">
        <v>525</v>
      </c>
      <c r="K55" s="150" t="s">
        <v>525</v>
      </c>
      <c r="R55" s="150" t="s">
        <v>525</v>
      </c>
    </row>
    <row r="56" spans="1:41" ht="26.25" x14ac:dyDescent="0.25">
      <c r="B56" s="102" t="s">
        <v>134</v>
      </c>
      <c r="C56" s="103" t="s">
        <v>135</v>
      </c>
      <c r="D56" s="104" t="s">
        <v>136</v>
      </c>
      <c r="E56" s="105" t="s">
        <v>137</v>
      </c>
      <c r="F56" s="106" t="s">
        <v>29</v>
      </c>
      <c r="G56" s="299"/>
      <c r="H56" s="299"/>
      <c r="I56" s="299"/>
      <c r="L56" s="102" t="s">
        <v>134</v>
      </c>
      <c r="M56" s="103" t="s">
        <v>135</v>
      </c>
      <c r="N56" s="104" t="s">
        <v>136</v>
      </c>
      <c r="O56" s="105" t="s">
        <v>137</v>
      </c>
      <c r="P56" s="106" t="s">
        <v>29</v>
      </c>
      <c r="S56" s="102" t="s">
        <v>134</v>
      </c>
      <c r="T56" s="103" t="s">
        <v>135</v>
      </c>
      <c r="U56" s="104" t="s">
        <v>136</v>
      </c>
      <c r="V56" s="105" t="s">
        <v>137</v>
      </c>
      <c r="W56" s="106" t="s">
        <v>29</v>
      </c>
      <c r="AA56" s="102" t="s">
        <v>134</v>
      </c>
      <c r="AB56" s="103" t="s">
        <v>135</v>
      </c>
      <c r="AC56" s="104" t="s">
        <v>136</v>
      </c>
      <c r="AD56" s="105" t="s">
        <v>137</v>
      </c>
      <c r="AE56" s="106" t="s">
        <v>29</v>
      </c>
      <c r="AH56" s="102" t="s">
        <v>134</v>
      </c>
      <c r="AI56" s="106" t="s">
        <v>29</v>
      </c>
      <c r="AK56" s="102" t="s">
        <v>134</v>
      </c>
      <c r="AL56" s="106" t="s">
        <v>29</v>
      </c>
      <c r="AN56" s="102" t="s">
        <v>134</v>
      </c>
      <c r="AO56" s="106" t="s">
        <v>29</v>
      </c>
    </row>
    <row r="57" spans="1:41" x14ac:dyDescent="0.25">
      <c r="A57">
        <v>1</v>
      </c>
      <c r="B57" s="107" t="s">
        <v>386</v>
      </c>
      <c r="C57" s="297">
        <v>0</v>
      </c>
      <c r="D57" s="113">
        <f>INDEX(TourMode_inputCBD!$B$20:$J$33,MATCH(TourMode!$A59,modes,0),MATCH("esc",modePurpose,0))</f>
        <v>0</v>
      </c>
      <c r="E57" s="113">
        <f>INDEX(TourMode_inputCBD!$B$36:$J$49,MATCH(TourMode!$A59,modes,0),MATCH("esc",modePurpose,0))</f>
        <v>0</v>
      </c>
      <c r="F57" s="114">
        <f>SUM(C57:E57)</f>
        <v>0</v>
      </c>
      <c r="G57" s="300"/>
      <c r="H57" s="300"/>
      <c r="I57" s="300"/>
      <c r="J57" s="115"/>
      <c r="K57">
        <v>1</v>
      </c>
      <c r="L57" s="107" t="s">
        <v>386</v>
      </c>
      <c r="M57" s="113">
        <f>C57</f>
        <v>0</v>
      </c>
      <c r="N57" s="113">
        <f t="shared" ref="N57:O64" si="27">D57</f>
        <v>0</v>
      </c>
      <c r="O57" s="113">
        <f t="shared" si="27"/>
        <v>0</v>
      </c>
      <c r="P57" s="114">
        <f>SUM(M57:O57)</f>
        <v>0</v>
      </c>
      <c r="Q57" s="115"/>
      <c r="R57">
        <v>1</v>
      </c>
      <c r="S57" s="107" t="s">
        <v>386</v>
      </c>
      <c r="T57" s="113">
        <f>IF(M71&gt;0,M57/M71*T71,0)</f>
        <v>0</v>
      </c>
      <c r="U57" s="113">
        <f>IF(N71&gt;0,N57/N71*U71,0)</f>
        <v>0</v>
      </c>
      <c r="V57" s="113">
        <f>IF(O71&gt;0,O57/O71*V71,0)</f>
        <v>0</v>
      </c>
      <c r="W57" s="114">
        <f>SUM(T57:V57)</f>
        <v>0</v>
      </c>
      <c r="X57" s="115"/>
      <c r="Y57" s="115"/>
      <c r="Z57" s="115"/>
      <c r="AA57" s="107" t="s">
        <v>386</v>
      </c>
      <c r="AB57" s="113">
        <f>INDEX(TourMode_inputCBD!$L$4:$T$17,MATCH(TourMode!$A59,modes,0),MATCH("esc",modePurpose,0))*Index!$B$2</f>
        <v>0</v>
      </c>
      <c r="AC57" s="113">
        <f>INDEX(TourMode_inputCBD!$L$20:$T$33,MATCH(TourMode!$A59,modes,0), MATCH("esc",modePurpose,0))*Index!$B$2</f>
        <v>0</v>
      </c>
      <c r="AD57" s="113">
        <f>INDEX(TourMode_inputCBD!$L$36:$T$49,MATCH(TourMode!$A59,modes,0), MATCH("esc",modePurpose,0))*Index!$B$2</f>
        <v>0</v>
      </c>
      <c r="AE57" s="114">
        <f>SUM(AB57:AD57)</f>
        <v>0</v>
      </c>
      <c r="AG57" s="115"/>
      <c r="AH57" s="107" t="s">
        <v>538</v>
      </c>
      <c r="AI57" s="307"/>
      <c r="AK57" s="107" t="s">
        <v>538</v>
      </c>
      <c r="AL57" s="118"/>
      <c r="AN57" s="107" t="s">
        <v>538</v>
      </c>
      <c r="AO57" s="309"/>
    </row>
    <row r="58" spans="1:41" x14ac:dyDescent="0.25">
      <c r="A58">
        <v>2</v>
      </c>
      <c r="B58" s="107" t="s">
        <v>387</v>
      </c>
      <c r="C58" s="297">
        <v>0</v>
      </c>
      <c r="D58" s="113">
        <f>INDEX(TourMode_inputCBD!$B$20:$J$33,MATCH(TourMode!$A60,modes,0),MATCH("esc",modePurpose,0))</f>
        <v>0</v>
      </c>
      <c r="E58" s="113">
        <f>INDEX(TourMode_inputCBD!$B$36:$J$49,MATCH(TourMode!$A60,modes,0),MATCH("esc",modePurpose,0))</f>
        <v>0</v>
      </c>
      <c r="F58" s="116">
        <f t="shared" ref="F58:F69" si="28">SUM(C58:E58)</f>
        <v>0</v>
      </c>
      <c r="G58" s="300"/>
      <c r="H58" s="300"/>
      <c r="I58" s="300"/>
      <c r="J58" s="115"/>
      <c r="K58">
        <v>2</v>
      </c>
      <c r="L58" s="107" t="s">
        <v>387</v>
      </c>
      <c r="M58" s="113">
        <f t="shared" ref="M58:M64" si="29">C58</f>
        <v>0</v>
      </c>
      <c r="N58" s="113">
        <f t="shared" si="27"/>
        <v>0</v>
      </c>
      <c r="O58" s="113">
        <f t="shared" si="27"/>
        <v>0</v>
      </c>
      <c r="P58" s="116">
        <f t="shared" ref="P58:P69" si="30">SUM(M58:O58)</f>
        <v>0</v>
      </c>
      <c r="Q58" s="115"/>
      <c r="R58">
        <v>2</v>
      </c>
      <c r="S58" s="107" t="s">
        <v>387</v>
      </c>
      <c r="T58" s="113">
        <f>IF(M71&gt;0,M58/M71*T71,0)</f>
        <v>0</v>
      </c>
      <c r="U58" s="113">
        <f>IF(N71&gt;0,N58/N71*U71,0)</f>
        <v>0</v>
      </c>
      <c r="V58" s="113">
        <f>IF(O71&gt;0,O58/O71*V71,0)</f>
        <v>0</v>
      </c>
      <c r="W58" s="116">
        <f t="shared" ref="W58:W69" si="31">SUM(T58:V58)</f>
        <v>0</v>
      </c>
      <c r="X58" s="115"/>
      <c r="Y58" s="115"/>
      <c r="Z58" s="115"/>
      <c r="AA58" s="107" t="s">
        <v>387</v>
      </c>
      <c r="AB58" s="113">
        <f>INDEX(TourMode_inputCBD!$L$4:$T$17,MATCH(TourMode!$A60,modes,0),MATCH("esc",modePurpose,0))*Index!$B$2</f>
        <v>0</v>
      </c>
      <c r="AC58" s="113">
        <f>INDEX(TourMode_inputCBD!$L$20:$T$33,MATCH(TourMode!$A60,modes,0), MATCH("esc",modePurpose,0))*Index!$B$2</f>
        <v>0</v>
      </c>
      <c r="AD58" s="113">
        <f>INDEX(TourMode_inputCBD!$L$36:$T$49,MATCH(TourMode!$A60,modes,0), MATCH("esc",modePurpose,0))*Index!$B$2</f>
        <v>0</v>
      </c>
      <c r="AE58" s="116">
        <f t="shared" ref="AE58:AE69" si="32">SUM(AB58:AD58)</f>
        <v>0</v>
      </c>
      <c r="AG58" s="115"/>
      <c r="AH58" s="107"/>
      <c r="AI58" s="307"/>
      <c r="AK58" s="107"/>
      <c r="AL58" s="118"/>
      <c r="AN58" s="107"/>
      <c r="AO58" s="307"/>
    </row>
    <row r="59" spans="1:41" x14ac:dyDescent="0.25">
      <c r="A59">
        <v>3</v>
      </c>
      <c r="B59" s="107" t="s">
        <v>388</v>
      </c>
      <c r="C59" s="113">
        <f>INDEX(TourMode_inputCBD!$B$4:$J$172,MATCH(TourMode!$A61,modes,0),MATCH("esc",modePurpose,0))</f>
        <v>1726.00279</v>
      </c>
      <c r="D59" s="113">
        <f>INDEX(TourMode_inputCBD!$B$20:$J$33,MATCH(TourMode!$A61,modes,0),MATCH("esc",modePurpose,0))</f>
        <v>11401.307870000001</v>
      </c>
      <c r="E59" s="113">
        <f>INDEX(TourMode_inputCBD!$B$36:$J$49,MATCH(TourMode!$A61,modes,0),MATCH("esc",modePurpose,0))</f>
        <v>11006.693880000001</v>
      </c>
      <c r="F59" s="116">
        <f t="shared" si="28"/>
        <v>24134.004540000002</v>
      </c>
      <c r="G59" s="300"/>
      <c r="H59" s="300"/>
      <c r="I59" s="300"/>
      <c r="J59" s="115"/>
      <c r="K59">
        <v>3</v>
      </c>
      <c r="L59" s="107" t="s">
        <v>388</v>
      </c>
      <c r="M59" s="113">
        <f t="shared" si="29"/>
        <v>1726.00279</v>
      </c>
      <c r="N59" s="113">
        <f t="shared" si="27"/>
        <v>11401.307870000001</v>
      </c>
      <c r="O59" s="113">
        <f t="shared" si="27"/>
        <v>11006.693880000001</v>
      </c>
      <c r="P59" s="116">
        <f t="shared" si="30"/>
        <v>24134.004540000002</v>
      </c>
      <c r="Q59" s="115"/>
      <c r="R59">
        <v>3</v>
      </c>
      <c r="S59" s="107" t="s">
        <v>388</v>
      </c>
      <c r="T59" s="113">
        <f>IF(M71&gt;0,M59/M71*T71,0)</f>
        <v>-1277.4600877476112</v>
      </c>
      <c r="U59" s="113">
        <f>IF(N71&gt;0,N59/N71*U71,0)</f>
        <v>2551.6953497049376</v>
      </c>
      <c r="V59" s="113">
        <f>IF(O71&gt;0,O59/O71*V71,0)</f>
        <v>1863.6575383807135</v>
      </c>
      <c r="W59" s="116">
        <f t="shared" si="31"/>
        <v>3137.8928003380397</v>
      </c>
      <c r="X59" s="115"/>
      <c r="Y59" s="115"/>
      <c r="Z59" s="115"/>
      <c r="AA59" s="107" t="s">
        <v>388</v>
      </c>
      <c r="AB59" s="113">
        <f>INDEX(TourMode_inputCBD!$L$4:$T$17,MATCH(TourMode!$A61,modes,0),MATCH("esc",modePurpose,0))*Index!$B$2</f>
        <v>305</v>
      </c>
      <c r="AC59" s="113">
        <f>INDEX(TourMode_inputCBD!$L$20:$T$33,MATCH(TourMode!$A61,modes,0), MATCH("esc",modePurpose,0))*Index!$B$2</f>
        <v>1980</v>
      </c>
      <c r="AD59" s="113">
        <f>INDEX(TourMode_inputCBD!$L$36:$T$49,MATCH(TourMode!$A61,modes,0), MATCH("esc",modePurpose,0))*Index!$B$2</f>
        <v>2060</v>
      </c>
      <c r="AE59" s="116">
        <f t="shared" si="32"/>
        <v>4345</v>
      </c>
      <c r="AG59" s="115"/>
      <c r="AH59" s="107" t="s">
        <v>576</v>
      </c>
      <c r="AI59" s="307"/>
      <c r="AK59" s="107" t="s">
        <v>576</v>
      </c>
      <c r="AL59" s="328"/>
      <c r="AN59" s="107" t="s">
        <v>576</v>
      </c>
      <c r="AO59" s="307"/>
    </row>
    <row r="60" spans="1:41" x14ac:dyDescent="0.25">
      <c r="A60">
        <v>4</v>
      </c>
      <c r="B60" s="107" t="s">
        <v>389</v>
      </c>
      <c r="C60" s="113">
        <f>INDEX(TourMode_inputCBD!$B$4:$J$172,MATCH(TourMode!$A62,modes,0),MATCH("esc",modePurpose,0))</f>
        <v>0</v>
      </c>
      <c r="D60" s="113">
        <f>INDEX(TourMode_inputCBD!$B$20:$J$33,MATCH(TourMode!$A62,modes,0),MATCH("esc",modePurpose,0))</f>
        <v>0</v>
      </c>
      <c r="E60" s="113">
        <f>INDEX(TourMode_inputCBD!$B$36:$J$49,MATCH(TourMode!$A62,modes,0),MATCH("esc",modePurpose,0))</f>
        <v>0</v>
      </c>
      <c r="F60" s="116">
        <f t="shared" si="28"/>
        <v>0</v>
      </c>
      <c r="G60" s="300"/>
      <c r="H60" s="300"/>
      <c r="I60" s="300"/>
      <c r="J60" s="115"/>
      <c r="K60">
        <v>4</v>
      </c>
      <c r="L60" s="107" t="s">
        <v>389</v>
      </c>
      <c r="M60" s="113">
        <f t="shared" si="29"/>
        <v>0</v>
      </c>
      <c r="N60" s="113">
        <f t="shared" si="27"/>
        <v>0</v>
      </c>
      <c r="O60" s="113">
        <f t="shared" si="27"/>
        <v>0</v>
      </c>
      <c r="P60" s="116">
        <f t="shared" si="30"/>
        <v>0</v>
      </c>
      <c r="Q60" s="115"/>
      <c r="R60">
        <v>4</v>
      </c>
      <c r="S60" s="107" t="s">
        <v>389</v>
      </c>
      <c r="T60" s="113">
        <f>IF(M71&gt;0,M60/M71*T71,0)</f>
        <v>0</v>
      </c>
      <c r="U60" s="113">
        <f>IF(N71&gt;0,N60/N71*U71,0)</f>
        <v>0</v>
      </c>
      <c r="V60" s="113">
        <f>IF(O71&gt;0,O60/O71*V71,0)</f>
        <v>0</v>
      </c>
      <c r="W60" s="116">
        <f t="shared" si="31"/>
        <v>0</v>
      </c>
      <c r="X60" s="115"/>
      <c r="Y60" s="115"/>
      <c r="Z60" s="115"/>
      <c r="AA60" s="107" t="s">
        <v>389</v>
      </c>
      <c r="AB60" s="113">
        <f>INDEX(TourMode_inputCBD!$L$4:$T$17,MATCH(TourMode!$A62,modes,0),MATCH("esc",modePurpose,0))*Index!$B$2</f>
        <v>10</v>
      </c>
      <c r="AC60" s="113">
        <f>INDEX(TourMode_inputCBD!$L$20:$T$33,MATCH(TourMode!$A62,modes,0), MATCH("esc",modePurpose,0))*Index!$B$2</f>
        <v>90</v>
      </c>
      <c r="AD60" s="113">
        <f>INDEX(TourMode_inputCBD!$L$36:$T$49,MATCH(TourMode!$A62,modes,0), MATCH("esc",modePurpose,0))*Index!$B$2</f>
        <v>265</v>
      </c>
      <c r="AE60" s="116">
        <f t="shared" si="32"/>
        <v>365</v>
      </c>
      <c r="AG60" s="115"/>
      <c r="AH60" s="107"/>
      <c r="AI60" s="307"/>
      <c r="AK60" s="107"/>
      <c r="AL60" s="328"/>
      <c r="AN60" s="107"/>
      <c r="AO60" s="307"/>
    </row>
    <row r="61" spans="1:41" x14ac:dyDescent="0.25">
      <c r="A61">
        <v>5</v>
      </c>
      <c r="B61" s="107" t="s">
        <v>390</v>
      </c>
      <c r="C61" s="113">
        <f>INDEX(TourMode_inputCBD!$B$4:$J$172,MATCH(TourMode!$A63,modes,0),MATCH("esc",modePurpose,0))</f>
        <v>0</v>
      </c>
      <c r="D61" s="113">
        <f>INDEX(TourMode_inputCBD!$B$20:$J$33,MATCH(TourMode!$A63,modes,0),MATCH("esc",modePurpose,0))</f>
        <v>3707.3564299999998</v>
      </c>
      <c r="E61" s="113">
        <f>INDEX(TourMode_inputCBD!$B$36:$J$49,MATCH(TourMode!$A63,modes,0),MATCH("esc",modePurpose,0))</f>
        <v>12167.79026</v>
      </c>
      <c r="F61" s="116">
        <f t="shared" si="28"/>
        <v>15875.14669</v>
      </c>
      <c r="G61" s="300"/>
      <c r="H61" s="300"/>
      <c r="I61" s="300"/>
      <c r="J61" s="115"/>
      <c r="K61">
        <v>5</v>
      </c>
      <c r="L61" s="107" t="s">
        <v>390</v>
      </c>
      <c r="M61" s="113">
        <f t="shared" si="29"/>
        <v>0</v>
      </c>
      <c r="N61" s="113">
        <f t="shared" si="27"/>
        <v>3707.3564299999998</v>
      </c>
      <c r="O61" s="113">
        <f t="shared" si="27"/>
        <v>12167.79026</v>
      </c>
      <c r="P61" s="116">
        <f t="shared" si="30"/>
        <v>15875.14669</v>
      </c>
      <c r="Q61" s="115"/>
      <c r="R61">
        <v>5</v>
      </c>
      <c r="S61" s="107" t="s">
        <v>390</v>
      </c>
      <c r="T61" s="113">
        <f>IF(M71&gt;0,M61/M71*T71,0)</f>
        <v>0</v>
      </c>
      <c r="U61" s="113">
        <f>IF(N71&gt;0,N61/N71*U71,0)</f>
        <v>829.73324376422602</v>
      </c>
      <c r="V61" s="113">
        <f>IF(O71&gt;0,O61/O71*V71,0)</f>
        <v>2060.2548131814151</v>
      </c>
      <c r="W61" s="116">
        <f t="shared" si="31"/>
        <v>2889.9880569456409</v>
      </c>
      <c r="X61" s="115"/>
      <c r="Y61" s="115"/>
      <c r="Z61" s="115"/>
      <c r="AA61" s="107" t="s">
        <v>390</v>
      </c>
      <c r="AB61" s="113">
        <f>INDEX(TourMode_inputCBD!$L$4:$T$17,MATCH(TourMode!$A63,modes,0),MATCH("esc",modePurpose,0))*Index!$B$2</f>
        <v>0</v>
      </c>
      <c r="AC61" s="113">
        <f>INDEX(TourMode_inputCBD!$L$20:$T$33,MATCH(TourMode!$A63,modes,0), MATCH("esc",modePurpose,0))*Index!$B$2</f>
        <v>1520</v>
      </c>
      <c r="AD61" s="113">
        <f>INDEX(TourMode_inputCBD!$L$36:$T$49,MATCH(TourMode!$A63,modes,0), MATCH("esc",modePurpose,0))*Index!$B$2</f>
        <v>1290</v>
      </c>
      <c r="AE61" s="116">
        <f t="shared" si="32"/>
        <v>2810</v>
      </c>
      <c r="AG61" s="115"/>
      <c r="AH61" s="107" t="s">
        <v>577</v>
      </c>
      <c r="AI61" s="307"/>
      <c r="AK61" s="107" t="s">
        <v>577</v>
      </c>
      <c r="AL61" s="328"/>
      <c r="AN61" s="107" t="s">
        <v>577</v>
      </c>
      <c r="AO61" s="307"/>
    </row>
    <row r="62" spans="1:41" x14ac:dyDescent="0.25">
      <c r="A62">
        <v>6</v>
      </c>
      <c r="B62" s="107" t="s">
        <v>391</v>
      </c>
      <c r="C62" s="113">
        <f>INDEX(TourMode_inputCBD!$B$4:$J$172,MATCH(TourMode!$A64,modes,0),MATCH("esc",modePurpose,0))</f>
        <v>0</v>
      </c>
      <c r="D62" s="113">
        <f>INDEX(TourMode_inputCBD!$B$20:$J$33,MATCH(TourMode!$A64,modes,0),MATCH("esc",modePurpose,0))</f>
        <v>119.42748</v>
      </c>
      <c r="E62" s="113">
        <f>INDEX(TourMode_inputCBD!$B$36:$J$49,MATCH(TourMode!$A64,modes,0),MATCH("esc",modePurpose,0))</f>
        <v>0</v>
      </c>
      <c r="F62" s="116">
        <f t="shared" si="28"/>
        <v>119.42748</v>
      </c>
      <c r="G62" s="300"/>
      <c r="H62" s="300"/>
      <c r="I62" s="300"/>
      <c r="J62" s="115"/>
      <c r="K62">
        <v>6</v>
      </c>
      <c r="L62" s="107" t="s">
        <v>391</v>
      </c>
      <c r="M62" s="113">
        <f t="shared" si="29"/>
        <v>0</v>
      </c>
      <c r="N62" s="113">
        <f t="shared" si="27"/>
        <v>119.42748</v>
      </c>
      <c r="O62" s="113">
        <f t="shared" si="27"/>
        <v>0</v>
      </c>
      <c r="P62" s="116">
        <f t="shared" si="30"/>
        <v>119.42748</v>
      </c>
      <c r="Q62" s="115"/>
      <c r="R62">
        <v>6</v>
      </c>
      <c r="S62" s="107" t="s">
        <v>391</v>
      </c>
      <c r="T62" s="113">
        <f>IF(M71&gt;0,M62/M71*T71,0)</f>
        <v>0</v>
      </c>
      <c r="U62" s="113">
        <f>IF(N71&gt;0,N62/N71*U71,0)</f>
        <v>26.728735757135507</v>
      </c>
      <c r="V62" s="113">
        <f>IF(O71&gt;0,O62/O71*V71,0)</f>
        <v>0</v>
      </c>
      <c r="W62" s="116">
        <f t="shared" si="31"/>
        <v>26.728735757135507</v>
      </c>
      <c r="X62" s="115"/>
      <c r="Y62" s="115"/>
      <c r="Z62" s="115"/>
      <c r="AA62" s="107" t="s">
        <v>391</v>
      </c>
      <c r="AB62" s="113">
        <f>INDEX(TourMode_inputCBD!$L$4:$T$17,MATCH(TourMode!$A64,modes,0),MATCH("esc",modePurpose,0))*Index!$B$2</f>
        <v>0</v>
      </c>
      <c r="AC62" s="113">
        <f>INDEX(TourMode_inputCBD!$L$20:$T$33,MATCH(TourMode!$A64,modes,0), MATCH("esc",modePurpose,0))*Index!$B$2</f>
        <v>100</v>
      </c>
      <c r="AD62" s="113">
        <f>INDEX(TourMode_inputCBD!$L$36:$T$49,MATCH(TourMode!$A64,modes,0), MATCH("esc",modePurpose,0))*Index!$B$2</f>
        <v>230</v>
      </c>
      <c r="AE62" s="116">
        <f t="shared" si="32"/>
        <v>330</v>
      </c>
      <c r="AG62" s="115"/>
      <c r="AH62" s="107"/>
      <c r="AI62" s="307"/>
      <c r="AK62" s="107"/>
      <c r="AL62" s="328"/>
      <c r="AN62" s="107"/>
      <c r="AO62" s="307"/>
    </row>
    <row r="63" spans="1:41" x14ac:dyDescent="0.25">
      <c r="A63">
        <v>7</v>
      </c>
      <c r="B63" s="107" t="s">
        <v>392</v>
      </c>
      <c r="C63" s="113">
        <f>INDEX(TourMode_inputCBD!$B$4:$J$172,MATCH(TourMode!$A65,modes,0),MATCH("esc",modePurpose,0))</f>
        <v>494.28332999999998</v>
      </c>
      <c r="D63" s="113">
        <f>INDEX(TourMode_inputCBD!$B$20:$J$33,MATCH(TourMode!$A65,modes,0),MATCH("esc",modePurpose,0))</f>
        <v>3672.10032</v>
      </c>
      <c r="E63" s="113">
        <f>INDEX(TourMode_inputCBD!$B$36:$J$49,MATCH(TourMode!$A65,modes,0),MATCH("esc",modePurpose,0))</f>
        <v>1039.9672700000001</v>
      </c>
      <c r="F63" s="116">
        <f t="shared" si="28"/>
        <v>5206.3509199999999</v>
      </c>
      <c r="G63" s="300"/>
      <c r="H63" s="300"/>
      <c r="I63" s="300"/>
      <c r="J63" s="115"/>
      <c r="K63">
        <v>7</v>
      </c>
      <c r="L63" s="107" t="s">
        <v>392</v>
      </c>
      <c r="M63" s="113">
        <f t="shared" si="29"/>
        <v>494.28332999999998</v>
      </c>
      <c r="N63" s="113">
        <f t="shared" si="27"/>
        <v>3672.10032</v>
      </c>
      <c r="O63" s="113">
        <f t="shared" si="27"/>
        <v>1039.9672700000001</v>
      </c>
      <c r="P63" s="116">
        <f t="shared" si="30"/>
        <v>5206.3509199999999</v>
      </c>
      <c r="Q63" s="115"/>
      <c r="R63">
        <v>7</v>
      </c>
      <c r="S63" s="107" t="s">
        <v>392</v>
      </c>
      <c r="T63" s="113">
        <f>IF(M71&gt;0,M63/M71*T71,0)</f>
        <v>-365.83210048807706</v>
      </c>
      <c r="U63" s="113">
        <f>IF(N71&gt;0,N63/N71*U71,0)</f>
        <v>821.84267077370077</v>
      </c>
      <c r="V63" s="113">
        <f>IF(O71&gt;0,O63/O71*V71,0)</f>
        <v>176.08764843787142</v>
      </c>
      <c r="W63" s="116">
        <f t="shared" si="31"/>
        <v>632.09821872349517</v>
      </c>
      <c r="X63" s="115"/>
      <c r="Y63" s="115"/>
      <c r="Z63" s="115"/>
      <c r="AA63" s="107" t="s">
        <v>392</v>
      </c>
      <c r="AB63" s="113">
        <f>INDEX(TourMode_inputCBD!$L$4:$T$17,MATCH(TourMode!$A65,modes,0),MATCH("esc",modePurpose,0))*Index!$B$2</f>
        <v>1450</v>
      </c>
      <c r="AC63" s="113">
        <f>INDEX(TourMode_inputCBD!$L$20:$T$33,MATCH(TourMode!$A65,modes,0), MATCH("esc",modePurpose,0))*Index!$B$2</f>
        <v>380</v>
      </c>
      <c r="AD63" s="113">
        <f>INDEX(TourMode_inputCBD!$L$36:$T$49,MATCH(TourMode!$A65,modes,0), MATCH("esc",modePurpose,0))*Index!$B$2</f>
        <v>180</v>
      </c>
      <c r="AE63" s="116">
        <f t="shared" si="32"/>
        <v>2010</v>
      </c>
      <c r="AG63" s="115"/>
      <c r="AH63" s="107" t="s">
        <v>392</v>
      </c>
      <c r="AI63" s="307"/>
      <c r="AK63" s="107" t="s">
        <v>392</v>
      </c>
      <c r="AL63" s="328"/>
      <c r="AN63" s="107" t="s">
        <v>392</v>
      </c>
      <c r="AO63" s="307"/>
    </row>
    <row r="64" spans="1:41" x14ac:dyDescent="0.25">
      <c r="A64">
        <v>8</v>
      </c>
      <c r="B64" s="107" t="s">
        <v>393</v>
      </c>
      <c r="C64" s="113">
        <f>INDEX(TourMode_inputCBD!$B$4:$J$172,MATCH(TourMode!$A66,modes,0),MATCH("esc",modePurpose,0))</f>
        <v>493.64591999999999</v>
      </c>
      <c r="D64" s="113">
        <f>INDEX(TourMode_inputCBD!$B$20:$J$33,MATCH(TourMode!$A66,modes,0),MATCH("esc",modePurpose,0))</f>
        <v>0</v>
      </c>
      <c r="E64" s="113">
        <f>INDEX(TourMode_inputCBD!$B$36:$J$49,MATCH(TourMode!$A66,modes,0),MATCH("esc",modePurpose,0))</f>
        <v>0</v>
      </c>
      <c r="F64" s="116">
        <f t="shared" si="28"/>
        <v>493.64591999999999</v>
      </c>
      <c r="G64" s="300"/>
      <c r="H64" s="300"/>
      <c r="I64" s="300"/>
      <c r="J64" s="115"/>
      <c r="K64">
        <v>8</v>
      </c>
      <c r="L64" s="107" t="s">
        <v>393</v>
      </c>
      <c r="M64" s="113">
        <f t="shared" si="29"/>
        <v>493.64591999999999</v>
      </c>
      <c r="N64" s="113">
        <f t="shared" si="27"/>
        <v>0</v>
      </c>
      <c r="O64" s="113">
        <f t="shared" si="27"/>
        <v>0</v>
      </c>
      <c r="P64" s="116">
        <f t="shared" si="30"/>
        <v>493.64591999999999</v>
      </c>
      <c r="Q64" s="115"/>
      <c r="R64">
        <v>8</v>
      </c>
      <c r="S64" s="107" t="s">
        <v>393</v>
      </c>
      <c r="T64" s="113">
        <f>IF(M71&gt;0,M64/M71*T71,0)</f>
        <v>-365.36033657248623</v>
      </c>
      <c r="U64" s="113">
        <f>IF(N71&gt;0,N64/N71*U71,0)</f>
        <v>0</v>
      </c>
      <c r="V64" s="113">
        <f>IF(O71&gt;0,O64/O71*V71,0)</f>
        <v>0</v>
      </c>
      <c r="W64" s="116">
        <f t="shared" si="31"/>
        <v>-365.36033657248623</v>
      </c>
      <c r="X64" s="115"/>
      <c r="Y64" s="115"/>
      <c r="Z64" s="115"/>
      <c r="AA64" s="107" t="s">
        <v>393</v>
      </c>
      <c r="AB64" s="113">
        <f>INDEX(TourMode_inputCBD!$L$4:$T$17,MATCH(TourMode!$A66,modes,0),MATCH("esc",modePurpose,0))*Index!$B$2</f>
        <v>265</v>
      </c>
      <c r="AC64" s="113">
        <f>INDEX(TourMode_inputCBD!$L$20:$T$33,MATCH(TourMode!$A66,modes,0), MATCH("esc",modePurpose,0))*Index!$B$2</f>
        <v>0</v>
      </c>
      <c r="AD64" s="113">
        <f>INDEX(TourMode_inputCBD!$L$36:$T$49,MATCH(TourMode!$A66,modes,0), MATCH("esc",modePurpose,0))*Index!$B$2</f>
        <v>0</v>
      </c>
      <c r="AE64" s="116">
        <f t="shared" si="32"/>
        <v>265</v>
      </c>
      <c r="AG64" s="115"/>
      <c r="AH64" s="107" t="s">
        <v>393</v>
      </c>
      <c r="AI64" s="307"/>
      <c r="AK64" s="107" t="s">
        <v>393</v>
      </c>
      <c r="AL64" s="328"/>
      <c r="AN64" s="107" t="s">
        <v>393</v>
      </c>
      <c r="AO64" s="307"/>
    </row>
    <row r="65" spans="1:41" x14ac:dyDescent="0.25">
      <c r="A65">
        <v>10</v>
      </c>
      <c r="B65" s="107" t="s">
        <v>555</v>
      </c>
      <c r="C65" s="113">
        <f>INDEX(TourMode_inputCBD!$B$4:$J$172,MATCH(TourMode!$A68,modes,0),MATCH("esc",modePurpose,0))+INDEX(TourMode_inputCBD!$B$4:$J$172,MATCH(TourMode!$A67,modes,0),MATCH("esc",modePurpose,0))</f>
        <v>2020.98894</v>
      </c>
      <c r="D65" s="113">
        <f>INDEX(TourMode_inputCBD!$B$20:$J$33,MATCH(TourMode!$A68,modes,0),MATCH("esc",modePurpose,0))+INDEX(TourMode_inputCBD!$B$20:$J$33,MATCH(TourMode!$A67,modes,0),MATCH("esc",modePurpose,0))</f>
        <v>0</v>
      </c>
      <c r="E65" s="113">
        <f>INDEX(TourMode_inputCBD!$B$36:$J$49,MATCH(TourMode!$A68,modes,0),MATCH("esc",modePurpose,0))+INDEX(TourMode_inputCBD!$B$36:$J$49,MATCH(TourMode!$A67,modes,0),MATCH("esc",modePurpose,0))</f>
        <v>0</v>
      </c>
      <c r="F65" s="116">
        <f t="shared" si="28"/>
        <v>2020.98894</v>
      </c>
      <c r="G65" s="300"/>
      <c r="H65" s="302">
        <f>F65/F$167</f>
        <v>6.8211993750039897E-3</v>
      </c>
      <c r="I65" s="300">
        <f>H65*H$167</f>
        <v>4248.6525248081743</v>
      </c>
      <c r="J65" s="115"/>
      <c r="K65">
        <v>10</v>
      </c>
      <c r="L65" s="107" t="s">
        <v>546</v>
      </c>
      <c r="M65" s="113">
        <f>IF($F65&gt;0,C65/$F65*$I65,0)</f>
        <v>4248.6525248081743</v>
      </c>
      <c r="N65" s="113">
        <f t="shared" ref="N65:O67" si="33">IF($F65&gt;0,D65/$F65*$I65,0)</f>
        <v>0</v>
      </c>
      <c r="O65" s="113">
        <f t="shared" si="33"/>
        <v>0</v>
      </c>
      <c r="P65" s="116">
        <f t="shared" si="30"/>
        <v>4248.6525248081743</v>
      </c>
      <c r="Q65" s="115"/>
      <c r="R65">
        <v>10</v>
      </c>
      <c r="S65" s="107" t="s">
        <v>546</v>
      </c>
      <c r="T65" s="113">
        <f>M65</f>
        <v>4248.6525248081743</v>
      </c>
      <c r="U65" s="113">
        <f>N65</f>
        <v>0</v>
      </c>
      <c r="V65" s="113">
        <f>O65</f>
        <v>0</v>
      </c>
      <c r="W65" s="116">
        <f t="shared" si="31"/>
        <v>4248.6525248081743</v>
      </c>
      <c r="X65" s="115"/>
      <c r="Y65" s="115"/>
      <c r="Z65" s="115"/>
      <c r="AA65" s="107" t="s">
        <v>546</v>
      </c>
      <c r="AB65" s="113">
        <f>INDEX(TourMode_inputCBD!$L$4:$T$17,MATCH(TourMode!$A68,modes,0),MATCH("esc",modePurpose,0))*Index!$B$2</f>
        <v>210</v>
      </c>
      <c r="AC65" s="113">
        <f>INDEX(TourMode_inputCBD!$L$20:$T$33,MATCH(TourMode!$A68,modes,0), MATCH("esc",modePurpose,0))*Index!$B$2</f>
        <v>160</v>
      </c>
      <c r="AD65" s="113">
        <f>INDEX(TourMode_inputCBD!$L$36:$T$49,MATCH(TourMode!$A68,modes,0), MATCH("esc",modePurpose,0))*Index!$B$2</f>
        <v>75</v>
      </c>
      <c r="AE65" s="116">
        <f t="shared" si="32"/>
        <v>445</v>
      </c>
      <c r="AG65" s="115"/>
      <c r="AH65" s="107" t="s">
        <v>395</v>
      </c>
      <c r="AI65" s="307">
        <f>IFERROR(IF(AE65&gt;0,LN(W65/AE65),0),0)</f>
        <v>2.2562828764939864</v>
      </c>
      <c r="AK65" s="107" t="s">
        <v>395</v>
      </c>
      <c r="AL65" s="328">
        <v>1.2193926511610149</v>
      </c>
      <c r="AN65" s="107" t="s">
        <v>395</v>
      </c>
      <c r="AO65" s="307">
        <f>AL65+$AO$1*AI65</f>
        <v>0.65532193203751832</v>
      </c>
    </row>
    <row r="66" spans="1:41" x14ac:dyDescent="0.25">
      <c r="A66">
        <v>11</v>
      </c>
      <c r="B66" s="107" t="s">
        <v>556</v>
      </c>
      <c r="C66" s="113">
        <f>INDEX(TourMode_inputCBD!$B$4:$J$172,MATCH(TourMode!$A69,modes,0),MATCH("esc",modePurpose,0))</f>
        <v>0</v>
      </c>
      <c r="D66" s="297">
        <v>0</v>
      </c>
      <c r="E66" s="297">
        <v>0</v>
      </c>
      <c r="F66" s="116">
        <f t="shared" si="28"/>
        <v>0</v>
      </c>
      <c r="G66" s="300"/>
      <c r="H66" s="302">
        <f>F66/F$168</f>
        <v>0</v>
      </c>
      <c r="I66" s="300">
        <f>H66*H$168</f>
        <v>0</v>
      </c>
      <c r="J66" s="115"/>
      <c r="K66">
        <v>11</v>
      </c>
      <c r="L66" s="107" t="s">
        <v>559</v>
      </c>
      <c r="M66" s="113">
        <f>IF($F66&gt;0,C66/$F66*$I66,0)</f>
        <v>0</v>
      </c>
      <c r="N66" s="113">
        <f t="shared" si="33"/>
        <v>0</v>
      </c>
      <c r="O66" s="113">
        <f t="shared" si="33"/>
        <v>0</v>
      </c>
      <c r="P66" s="116">
        <f t="shared" si="30"/>
        <v>0</v>
      </c>
      <c r="Q66" s="115"/>
      <c r="R66">
        <v>11</v>
      </c>
      <c r="S66" s="107" t="s">
        <v>559</v>
      </c>
      <c r="T66" s="113">
        <f t="shared" ref="T66:V67" si="34">M66</f>
        <v>0</v>
      </c>
      <c r="U66" s="113">
        <f t="shared" si="34"/>
        <v>0</v>
      </c>
      <c r="V66" s="113">
        <f t="shared" si="34"/>
        <v>0</v>
      </c>
      <c r="W66" s="116">
        <f t="shared" si="31"/>
        <v>0</v>
      </c>
      <c r="X66" s="115"/>
      <c r="Y66" s="115"/>
      <c r="Z66" s="115"/>
      <c r="AA66" s="107" t="s">
        <v>559</v>
      </c>
      <c r="AB66" s="113">
        <f>INDEX(TourMode_inputCBD!$L$4:$T$17,MATCH(TourMode!$A69,modes,0),MATCH("esc",modePurpose,0))*Index!$B$2</f>
        <v>0</v>
      </c>
      <c r="AC66" s="113">
        <f>INDEX(TourMode_inputCBD!$L$20:$T$33,MATCH(TourMode!$A69,modes,0), MATCH("esc",modePurpose,0))*Index!$B$2</f>
        <v>0</v>
      </c>
      <c r="AD66" s="113">
        <f>INDEX(TourMode_inputCBD!$L$36:$T$49,MATCH(TourMode!$A69,modes,0), MATCH("esc",modePurpose,0))*Index!$B$2</f>
        <v>0</v>
      </c>
      <c r="AE66" s="116">
        <f t="shared" si="32"/>
        <v>0</v>
      </c>
      <c r="AG66" s="115"/>
      <c r="AH66" s="107" t="s">
        <v>396</v>
      </c>
      <c r="AI66" s="307">
        <f>IFERROR(IF(AE66&gt;0,LN(W66/AE66),0),0)</f>
        <v>0</v>
      </c>
      <c r="AK66" s="107" t="s">
        <v>396</v>
      </c>
      <c r="AL66" s="328">
        <v>1.8699682040764618</v>
      </c>
      <c r="AN66" s="107" t="s">
        <v>396</v>
      </c>
      <c r="AO66" s="307">
        <f>AL66+$AO$1*AI66</f>
        <v>1.8699682040764618</v>
      </c>
    </row>
    <row r="67" spans="1:41" x14ac:dyDescent="0.25">
      <c r="A67">
        <v>12</v>
      </c>
      <c r="B67" s="107" t="s">
        <v>557</v>
      </c>
      <c r="C67" s="297">
        <v>0</v>
      </c>
      <c r="D67" s="297">
        <v>0</v>
      </c>
      <c r="E67" s="297">
        <v>0</v>
      </c>
      <c r="F67" s="116">
        <f t="shared" si="28"/>
        <v>0</v>
      </c>
      <c r="G67" s="300"/>
      <c r="H67" s="302">
        <f>F67/F$169</f>
        <v>0</v>
      </c>
      <c r="I67" s="300">
        <f>H67*H$169</f>
        <v>0</v>
      </c>
      <c r="J67" s="115"/>
      <c r="K67">
        <v>12</v>
      </c>
      <c r="L67" s="107" t="s">
        <v>560</v>
      </c>
      <c r="M67" s="113">
        <f>IF($F67&gt;0,C67/$F67*$I67,0)</f>
        <v>0</v>
      </c>
      <c r="N67" s="113">
        <f t="shared" si="33"/>
        <v>0</v>
      </c>
      <c r="O67" s="113">
        <f t="shared" si="33"/>
        <v>0</v>
      </c>
      <c r="P67" s="116">
        <f t="shared" si="30"/>
        <v>0</v>
      </c>
      <c r="Q67" s="115"/>
      <c r="R67">
        <v>12</v>
      </c>
      <c r="S67" s="107" t="s">
        <v>560</v>
      </c>
      <c r="T67" s="113">
        <f t="shared" si="34"/>
        <v>0</v>
      </c>
      <c r="U67" s="113">
        <f t="shared" si="34"/>
        <v>0</v>
      </c>
      <c r="V67" s="113">
        <f t="shared" si="34"/>
        <v>0</v>
      </c>
      <c r="W67" s="116">
        <f t="shared" si="31"/>
        <v>0</v>
      </c>
      <c r="X67" s="115"/>
      <c r="Y67" s="115"/>
      <c r="Z67" s="115"/>
      <c r="AA67" s="107" t="s">
        <v>560</v>
      </c>
      <c r="AB67" s="113">
        <f>INDEX(TourMode_inputCBD!$L$4:$T$17,MATCH(TourMode!$A70,modes,0),MATCH("esc",modePurpose,0))*Index!$B$2</f>
        <v>0</v>
      </c>
      <c r="AC67" s="113">
        <f>INDEX(TourMode_inputCBD!$L$20:$T$33,MATCH(TourMode!$A70,modes,0), MATCH("esc",modePurpose,0))*Index!$B$2</f>
        <v>0</v>
      </c>
      <c r="AD67" s="113">
        <f>INDEX(TourMode_inputCBD!$L$36:$T$49,MATCH(TourMode!$A70,modes,0), MATCH("esc",modePurpose,0))*Index!$B$2</f>
        <v>0</v>
      </c>
      <c r="AE67" s="116">
        <f t="shared" si="32"/>
        <v>0</v>
      </c>
      <c r="AG67" s="115"/>
      <c r="AH67" s="107" t="s">
        <v>397</v>
      </c>
      <c r="AI67" s="307">
        <f>IFERROR(IF(AE67&gt;0,LN(W67/AE67),0),0)</f>
        <v>0</v>
      </c>
      <c r="AK67" s="107" t="s">
        <v>397</v>
      </c>
      <c r="AL67" s="328">
        <v>1.8699682040764618</v>
      </c>
      <c r="AN67" s="107" t="s">
        <v>397</v>
      </c>
      <c r="AO67" s="307">
        <f>AL67+$AO$1*AI67</f>
        <v>1.8699682040764618</v>
      </c>
    </row>
    <row r="68" spans="1:41" x14ac:dyDescent="0.25">
      <c r="A68">
        <v>13</v>
      </c>
      <c r="B68" s="107" t="s">
        <v>398</v>
      </c>
      <c r="C68" s="113">
        <f>INDEX(TourMode_inputCBD!$B$4:$J$172,MATCH(TourMode!$A71,modes,0),MATCH("esc",modePurpose,0))</f>
        <v>0</v>
      </c>
      <c r="D68" s="113">
        <f>INDEX(TourMode_inputCBD!$B$20:$J$33,MATCH(TourMode!$A71,modes,0),MATCH("esc",modePurpose,0))</f>
        <v>0</v>
      </c>
      <c r="E68" s="113">
        <f>INDEX(TourMode_inputCBD!$B$36:$J$49,MATCH(TourMode!$A71,modes,0),MATCH("esc",modePurpose,0))</f>
        <v>0</v>
      </c>
      <c r="F68" s="116">
        <f t="shared" si="28"/>
        <v>0</v>
      </c>
      <c r="G68" s="300"/>
      <c r="H68" s="300"/>
      <c r="I68" s="300"/>
      <c r="J68" s="115"/>
      <c r="K68">
        <v>13</v>
      </c>
      <c r="L68" s="107" t="s">
        <v>398</v>
      </c>
      <c r="M68" s="113">
        <f t="shared" ref="M68:O69" si="35">C68</f>
        <v>0</v>
      </c>
      <c r="N68" s="113">
        <f t="shared" si="35"/>
        <v>0</v>
      </c>
      <c r="O68" s="113">
        <f t="shared" si="35"/>
        <v>0</v>
      </c>
      <c r="P68" s="116">
        <f t="shared" si="30"/>
        <v>0</v>
      </c>
      <c r="Q68" s="115"/>
      <c r="R68">
        <v>13</v>
      </c>
      <c r="S68" s="107" t="s">
        <v>398</v>
      </c>
      <c r="T68" s="113">
        <f>IF(M71&gt;0,M68/M71*T71,0)</f>
        <v>0</v>
      </c>
      <c r="U68" s="113">
        <f>IF(N71&gt;0,N68/N71*U71,0)</f>
        <v>0</v>
      </c>
      <c r="V68" s="113">
        <f>IF(O71&gt;0,O68/O71*V71,0)</f>
        <v>0</v>
      </c>
      <c r="W68" s="116">
        <f t="shared" si="31"/>
        <v>0</v>
      </c>
      <c r="X68" s="115"/>
      <c r="Y68" s="115"/>
      <c r="Z68" s="115"/>
      <c r="AA68" s="107" t="s">
        <v>398</v>
      </c>
      <c r="AB68" s="113">
        <f>INDEX(TourMode_inputCBD!$L$4:$T$17,MATCH(TourMode!$A71,modes,0),MATCH("esc",modePurpose,0))*Index!$B$2</f>
        <v>0</v>
      </c>
      <c r="AC68" s="113">
        <f>INDEX(TourMode_inputCBD!$L$20:$T$33,MATCH(TourMode!$A71,modes,0), MATCH("esc",modePurpose,0))*Index!$B$2</f>
        <v>0</v>
      </c>
      <c r="AD68" s="113">
        <f>INDEX(TourMode_inputCBD!$L$36:$T$49,MATCH(TourMode!$A71,modes,0), MATCH("esc",modePurpose,0))*Index!$B$2</f>
        <v>0</v>
      </c>
      <c r="AE68" s="116">
        <f t="shared" si="32"/>
        <v>0</v>
      </c>
      <c r="AG68" s="115"/>
      <c r="AH68" s="107" t="s">
        <v>398</v>
      </c>
      <c r="AI68" s="307"/>
      <c r="AK68" s="107" t="s">
        <v>398</v>
      </c>
      <c r="AL68" s="118"/>
      <c r="AN68" s="107" t="s">
        <v>398</v>
      </c>
      <c r="AO68" s="307"/>
    </row>
    <row r="69" spans="1:41" x14ac:dyDescent="0.25">
      <c r="A69">
        <v>14</v>
      </c>
      <c r="B69" s="107" t="s">
        <v>399</v>
      </c>
      <c r="C69" s="297">
        <v>0</v>
      </c>
      <c r="D69" s="297">
        <v>0</v>
      </c>
      <c r="E69" s="297">
        <v>0</v>
      </c>
      <c r="F69" s="116">
        <f t="shared" si="28"/>
        <v>0</v>
      </c>
      <c r="G69" s="300"/>
      <c r="H69" s="300"/>
      <c r="I69" s="300"/>
      <c r="J69" s="115"/>
      <c r="K69">
        <v>14</v>
      </c>
      <c r="L69" s="107" t="s">
        <v>399</v>
      </c>
      <c r="M69" s="113">
        <f t="shared" si="35"/>
        <v>0</v>
      </c>
      <c r="N69" s="113">
        <f t="shared" si="35"/>
        <v>0</v>
      </c>
      <c r="O69" s="113">
        <f t="shared" si="35"/>
        <v>0</v>
      </c>
      <c r="P69" s="116">
        <f t="shared" si="30"/>
        <v>0</v>
      </c>
      <c r="Q69" s="115"/>
      <c r="R69">
        <v>14</v>
      </c>
      <c r="S69" s="107" t="s">
        <v>399</v>
      </c>
      <c r="T69" s="113">
        <f>IF(M71&gt;0,M69/M71*T71,0)</f>
        <v>0</v>
      </c>
      <c r="U69" s="113">
        <f>IF(N71&gt;0,N69/N71*U71,0)</f>
        <v>0</v>
      </c>
      <c r="V69" s="113">
        <f>IF(O71&gt;0,O69/O71*V71,0)</f>
        <v>0</v>
      </c>
      <c r="W69" s="116">
        <f t="shared" si="31"/>
        <v>0</v>
      </c>
      <c r="X69" s="115"/>
      <c r="Y69" s="115"/>
      <c r="Z69" s="115"/>
      <c r="AA69" s="107" t="s">
        <v>399</v>
      </c>
      <c r="AB69" s="113">
        <f>INDEX(TourMode_inputCBD!$L$4:$T$17,MATCH(TourMode!$A72,modes,0),MATCH("esc",modePurpose,0))*Index!$B$2</f>
        <v>0</v>
      </c>
      <c r="AC69" s="113">
        <f>INDEX(TourMode_inputCBD!$L$20:$T$33,MATCH(TourMode!$A72,modes,0), MATCH("esc",modePurpose,0))*Index!$B$2</f>
        <v>0</v>
      </c>
      <c r="AD69" s="113">
        <f>INDEX(TourMode_inputCBD!$L$36:$T$49,MATCH(TourMode!$A72,modes,0), MATCH("esc",modePurpose,0))*Index!$B$2</f>
        <v>0</v>
      </c>
      <c r="AE69" s="116">
        <f t="shared" si="32"/>
        <v>0</v>
      </c>
      <c r="AG69" s="115"/>
      <c r="AH69" s="107" t="s">
        <v>399</v>
      </c>
      <c r="AI69" s="307"/>
      <c r="AK69" s="107" t="s">
        <v>399</v>
      </c>
      <c r="AL69" s="118"/>
      <c r="AN69" s="107" t="s">
        <v>399</v>
      </c>
      <c r="AO69" s="307"/>
    </row>
    <row r="70" spans="1:41" ht="15.75" thickBot="1" x14ac:dyDescent="0.3">
      <c r="B70" s="108" t="s">
        <v>29</v>
      </c>
      <c r="C70" s="109">
        <f>SUM(C57:C69)</f>
        <v>4734.9209799999999</v>
      </c>
      <c r="D70" s="110">
        <f>SUM(D57:D69)</f>
        <v>18900.1921</v>
      </c>
      <c r="E70" s="111">
        <f>SUM(E57:E69)</f>
        <v>24214.451410000001</v>
      </c>
      <c r="F70" s="112">
        <f>SUM(F57:F69)</f>
        <v>47849.564490000004</v>
      </c>
      <c r="G70" s="301"/>
      <c r="H70" s="301"/>
      <c r="I70" s="301"/>
      <c r="L70" s="108" t="s">
        <v>29</v>
      </c>
      <c r="M70" s="109">
        <f>SUM(M57:M69)</f>
        <v>6962.584564808174</v>
      </c>
      <c r="N70" s="110">
        <f>SUM(N57:N69)</f>
        <v>18900.1921</v>
      </c>
      <c r="O70" s="111">
        <f>SUM(O57:O69)</f>
        <v>24214.451410000001</v>
      </c>
      <c r="P70" s="112">
        <f>SUM(P57:P69)</f>
        <v>50077.228074808176</v>
      </c>
      <c r="S70" s="108" t="s">
        <v>29</v>
      </c>
      <c r="T70" s="109">
        <f>SUM(T57:T69)</f>
        <v>2240</v>
      </c>
      <c r="U70" s="110">
        <f>SUM(U57:U69)</f>
        <v>4230</v>
      </c>
      <c r="V70" s="111">
        <f>SUM(V57:V69)</f>
        <v>4100</v>
      </c>
      <c r="W70" s="112">
        <f>SUM(W57:W69)</f>
        <v>10570</v>
      </c>
      <c r="AA70" s="108" t="s">
        <v>29</v>
      </c>
      <c r="AB70" s="109">
        <f>SUM(AB57:AB69)</f>
        <v>2240</v>
      </c>
      <c r="AC70" s="110">
        <f>SUM(AC57:AC69)</f>
        <v>4230</v>
      </c>
      <c r="AD70" s="111">
        <f>SUM(AD57:AD69)</f>
        <v>4100</v>
      </c>
      <c r="AE70" s="112">
        <f>SUM(AE57:AE69)</f>
        <v>10570</v>
      </c>
      <c r="AH70" s="108" t="s">
        <v>29</v>
      </c>
      <c r="AI70" s="118"/>
      <c r="AK70" s="108" t="s">
        <v>29</v>
      </c>
      <c r="AL70" s="118"/>
      <c r="AN70" s="108" t="s">
        <v>29</v>
      </c>
      <c r="AO70" s="118"/>
    </row>
    <row r="71" spans="1:41" x14ac:dyDescent="0.25">
      <c r="B71" s="304"/>
      <c r="C71" s="301"/>
      <c r="D71" s="301"/>
      <c r="E71" s="301"/>
      <c r="F71" s="301"/>
      <c r="G71" s="301"/>
      <c r="H71" s="301"/>
      <c r="I71" s="301"/>
      <c r="L71" s="304"/>
      <c r="M71" s="286">
        <f>M70-SUM(M65:M67)</f>
        <v>2713.9320399999997</v>
      </c>
      <c r="N71" s="286">
        <f>N70-SUM(N65:N67)</f>
        <v>18900.1921</v>
      </c>
      <c r="O71" s="286">
        <f>O70-SUM(O65:O67)</f>
        <v>24214.451410000001</v>
      </c>
      <c r="P71" s="301"/>
      <c r="S71" s="304"/>
      <c r="T71" s="286">
        <f>AB70-SUM(T65:T67)</f>
        <v>-2008.6525248081743</v>
      </c>
      <c r="U71" s="286">
        <f>AC70-SUM(U65:U67)</f>
        <v>4230</v>
      </c>
      <c r="V71" s="286">
        <f>AD70-SUM(V65:V67)</f>
        <v>4100</v>
      </c>
      <c r="W71" s="301"/>
      <c r="AA71" s="304"/>
      <c r="AB71" s="301"/>
      <c r="AC71" s="301"/>
      <c r="AD71" s="301"/>
      <c r="AE71" s="301"/>
      <c r="AH71" s="304"/>
      <c r="AI71" s="306"/>
      <c r="AK71" s="304"/>
      <c r="AL71" s="306"/>
      <c r="AN71" s="304"/>
      <c r="AO71" s="306"/>
    </row>
    <row r="72" spans="1:41" ht="26.25" x14ac:dyDescent="0.4">
      <c r="A72" s="150" t="s">
        <v>150</v>
      </c>
      <c r="K72" s="150" t="s">
        <v>150</v>
      </c>
      <c r="R72" s="150" t="s">
        <v>150</v>
      </c>
    </row>
    <row r="73" spans="1:41" ht="26.25" x14ac:dyDescent="0.25">
      <c r="B73" s="102" t="s">
        <v>134</v>
      </c>
      <c r="C73" s="103" t="s">
        <v>135</v>
      </c>
      <c r="D73" s="104" t="s">
        <v>136</v>
      </c>
      <c r="E73" s="105" t="s">
        <v>137</v>
      </c>
      <c r="F73" s="106" t="s">
        <v>29</v>
      </c>
      <c r="G73" s="299"/>
      <c r="H73" s="299"/>
      <c r="I73" s="299"/>
      <c r="L73" s="102" t="s">
        <v>134</v>
      </c>
      <c r="M73" s="103" t="s">
        <v>135</v>
      </c>
      <c r="N73" s="104" t="s">
        <v>136</v>
      </c>
      <c r="O73" s="105" t="s">
        <v>137</v>
      </c>
      <c r="P73" s="106" t="s">
        <v>29</v>
      </c>
      <c r="S73" s="102" t="s">
        <v>134</v>
      </c>
      <c r="T73" s="103" t="s">
        <v>135</v>
      </c>
      <c r="U73" s="104" t="s">
        <v>136</v>
      </c>
      <c r="V73" s="105" t="s">
        <v>137</v>
      </c>
      <c r="W73" s="106" t="s">
        <v>29</v>
      </c>
      <c r="AA73" s="102" t="s">
        <v>134</v>
      </c>
      <c r="AB73" s="103" t="s">
        <v>135</v>
      </c>
      <c r="AC73" s="104" t="s">
        <v>136</v>
      </c>
      <c r="AD73" s="105" t="s">
        <v>137</v>
      </c>
      <c r="AE73" s="106" t="s">
        <v>29</v>
      </c>
      <c r="AH73" s="102" t="s">
        <v>134</v>
      </c>
      <c r="AI73" s="106" t="s">
        <v>29</v>
      </c>
      <c r="AK73" s="102" t="s">
        <v>134</v>
      </c>
      <c r="AL73" s="106" t="s">
        <v>29</v>
      </c>
      <c r="AN73" s="102" t="s">
        <v>134</v>
      </c>
      <c r="AO73" s="106" t="s">
        <v>29</v>
      </c>
    </row>
    <row r="74" spans="1:41" x14ac:dyDescent="0.25">
      <c r="A74">
        <v>1</v>
      </c>
      <c r="B74" s="107" t="s">
        <v>386</v>
      </c>
      <c r="C74" s="297">
        <v>0</v>
      </c>
      <c r="D74" s="113">
        <f>INDEX(TourMode_inputCBD!$B$20:$J$33,MATCH(TourMode!$A76,modes,0),MATCH("imain",modePurpose,0))</f>
        <v>6669.4582099999998</v>
      </c>
      <c r="E74" s="113">
        <f>INDEX(TourMode_inputCBD!$B$36:$J$49,MATCH(TourMode!$A76,modes,0),MATCH("imain",modePurpose,0))</f>
        <v>21483.78674</v>
      </c>
      <c r="F74" s="114">
        <f>SUM(C74:E74)</f>
        <v>28153.24495</v>
      </c>
      <c r="G74" s="300"/>
      <c r="H74" s="300"/>
      <c r="I74" s="300"/>
      <c r="J74" s="115"/>
      <c r="K74">
        <v>1</v>
      </c>
      <c r="L74" s="107" t="s">
        <v>386</v>
      </c>
      <c r="M74" s="113">
        <f>C74</f>
        <v>0</v>
      </c>
      <c r="N74" s="113">
        <f t="shared" ref="N74:O81" si="36">D74</f>
        <v>6669.4582099999998</v>
      </c>
      <c r="O74" s="113">
        <f t="shared" si="36"/>
        <v>21483.78674</v>
      </c>
      <c r="P74" s="114">
        <f>SUM(M74:O74)</f>
        <v>28153.24495</v>
      </c>
      <c r="Q74" s="115"/>
      <c r="R74">
        <v>1</v>
      </c>
      <c r="S74" s="107" t="s">
        <v>386</v>
      </c>
      <c r="T74" s="113">
        <f>IF(M88&gt;0,M74/M88*T88,0)</f>
        <v>0</v>
      </c>
      <c r="U74" s="113">
        <f>IF(N88&gt;0,N74/N88*U88,0)</f>
        <v>-1358.0357498920418</v>
      </c>
      <c r="V74" s="113">
        <f>IF(O88&gt;0,O74/O88*V88,0)</f>
        <v>455.04068860436143</v>
      </c>
      <c r="W74" s="114">
        <f>SUM(T74:V74)</f>
        <v>-902.99506128768041</v>
      </c>
      <c r="X74" s="115"/>
      <c r="Y74" s="115"/>
      <c r="Z74" s="115"/>
      <c r="AA74" s="107" t="s">
        <v>386</v>
      </c>
      <c r="AB74" s="113">
        <f>INDEX(TourMode_inputCBD!$L$4:$T$17,MATCH(TourMode!$A76,modes,0),MATCH("imain",modePurpose,0))*Index!$B$2</f>
        <v>0</v>
      </c>
      <c r="AC74" s="113">
        <f>INDEX(TourMode_inputCBD!$L$20:$T$33,MATCH(TourMode!$A76,modes,0), MATCH("imain",modePurpose,0))*Index!$B$2</f>
        <v>6535</v>
      </c>
      <c r="AD74" s="113">
        <f>INDEX(TourMode_inputCBD!$L$36:$T$49,MATCH(TourMode!$A76,modes,0), MATCH("imain",modePurpose,0))*Index!$B$2</f>
        <v>9995</v>
      </c>
      <c r="AE74" s="114">
        <f>SUM(AB74:AD74)</f>
        <v>16530</v>
      </c>
      <c r="AG74" s="115"/>
      <c r="AH74" s="107" t="s">
        <v>538</v>
      </c>
      <c r="AI74" s="307"/>
      <c r="AK74" s="107" t="s">
        <v>538</v>
      </c>
      <c r="AL74" s="328"/>
      <c r="AN74" s="107" t="s">
        <v>538</v>
      </c>
      <c r="AO74" s="309"/>
    </row>
    <row r="75" spans="1:41" x14ac:dyDescent="0.25">
      <c r="A75">
        <v>2</v>
      </c>
      <c r="B75" s="107" t="s">
        <v>387</v>
      </c>
      <c r="C75" s="297">
        <v>0</v>
      </c>
      <c r="D75" s="113">
        <f>INDEX(TourMode_inputCBD!$B$20:$J$33,MATCH(TourMode!$A77,modes,0),MATCH("imain",modePurpose,0))</f>
        <v>0</v>
      </c>
      <c r="E75" s="113">
        <f>INDEX(TourMode_inputCBD!$B$36:$J$49,MATCH(TourMode!$A77,modes,0),MATCH("imain",modePurpose,0))</f>
        <v>1270.52792</v>
      </c>
      <c r="F75" s="116">
        <f t="shared" ref="F75:F86" si="37">SUM(C75:E75)</f>
        <v>1270.52792</v>
      </c>
      <c r="G75" s="300"/>
      <c r="H75" s="300"/>
      <c r="I75" s="300"/>
      <c r="J75" s="115"/>
      <c r="K75">
        <v>2</v>
      </c>
      <c r="L75" s="107" t="s">
        <v>387</v>
      </c>
      <c r="M75" s="113">
        <f t="shared" ref="M75:M81" si="38">C75</f>
        <v>0</v>
      </c>
      <c r="N75" s="113">
        <f t="shared" si="36"/>
        <v>0</v>
      </c>
      <c r="O75" s="113">
        <f t="shared" si="36"/>
        <v>1270.52792</v>
      </c>
      <c r="P75" s="116">
        <f t="shared" ref="P75:P86" si="39">SUM(M75:O75)</f>
        <v>1270.52792</v>
      </c>
      <c r="Q75" s="115"/>
      <c r="R75">
        <v>2</v>
      </c>
      <c r="S75" s="107" t="s">
        <v>387</v>
      </c>
      <c r="T75" s="113">
        <f>IF(M88&gt;0,M75/M88*T88,0)</f>
        <v>0</v>
      </c>
      <c r="U75" s="113">
        <f>IF(N88&gt;0,N75/N88*U88,0)</f>
        <v>0</v>
      </c>
      <c r="V75" s="113">
        <f>IF(O88&gt;0,O75/O88*V88,0)</f>
        <v>26.910614343952805</v>
      </c>
      <c r="W75" s="116">
        <f t="shared" ref="W75:W86" si="40">SUM(T75:V75)</f>
        <v>26.910614343952805</v>
      </c>
      <c r="X75" s="115"/>
      <c r="Y75" s="115"/>
      <c r="Z75" s="115"/>
      <c r="AA75" s="107" t="s">
        <v>387</v>
      </c>
      <c r="AB75" s="113">
        <f>INDEX(TourMode_inputCBD!$L$4:$T$17,MATCH(TourMode!$A77,modes,0),MATCH("imain",modePurpose,0))*Index!$B$2</f>
        <v>0</v>
      </c>
      <c r="AC75" s="113">
        <f>INDEX(TourMode_inputCBD!$L$20:$T$33,MATCH(TourMode!$A77,modes,0), MATCH("imain",modePurpose,0))*Index!$B$2</f>
        <v>120</v>
      </c>
      <c r="AD75" s="113">
        <f>INDEX(TourMode_inputCBD!$L$36:$T$49,MATCH(TourMode!$A77,modes,0), MATCH("imain",modePurpose,0))*Index!$B$2</f>
        <v>240</v>
      </c>
      <c r="AE75" s="116">
        <f t="shared" ref="AE75:AE86" si="41">SUM(AB75:AD75)</f>
        <v>360</v>
      </c>
      <c r="AG75" s="115"/>
      <c r="AH75" s="107"/>
      <c r="AI75" s="307"/>
      <c r="AK75" s="107"/>
      <c r="AL75" s="328"/>
      <c r="AN75" s="107"/>
      <c r="AO75" s="307"/>
    </row>
    <row r="76" spans="1:41" x14ac:dyDescent="0.25">
      <c r="A76">
        <v>3</v>
      </c>
      <c r="B76" s="107" t="s">
        <v>388</v>
      </c>
      <c r="C76" s="113">
        <f>INDEX(TourMode_inputCBD!$B$4:$J$172,MATCH(TourMode!$A78,modes,0),MATCH("imain",modePurpose,0))</f>
        <v>3560.3328499999998</v>
      </c>
      <c r="D76" s="113">
        <f>INDEX(TourMode_inputCBD!$B$20:$J$33,MATCH(TourMode!$A78,modes,0),MATCH("imain",modePurpose,0))</f>
        <v>4492.4891699999998</v>
      </c>
      <c r="E76" s="113">
        <f>INDEX(TourMode_inputCBD!$B$36:$J$49,MATCH(TourMode!$A78,modes,0),MATCH("imain",modePurpose,0))</f>
        <v>6844.2382100000004</v>
      </c>
      <c r="F76" s="116">
        <f t="shared" si="37"/>
        <v>14897.060229999999</v>
      </c>
      <c r="G76" s="300"/>
      <c r="H76" s="300"/>
      <c r="I76" s="300"/>
      <c r="J76" s="115"/>
      <c r="K76">
        <v>3</v>
      </c>
      <c r="L76" s="107" t="s">
        <v>388</v>
      </c>
      <c r="M76" s="113">
        <f t="shared" si="38"/>
        <v>3560.3328499999998</v>
      </c>
      <c r="N76" s="113">
        <f t="shared" si="36"/>
        <v>4492.4891699999998</v>
      </c>
      <c r="O76" s="113">
        <f t="shared" si="36"/>
        <v>6844.2382100000004</v>
      </c>
      <c r="P76" s="116">
        <f t="shared" si="39"/>
        <v>14897.060229999999</v>
      </c>
      <c r="Q76" s="115"/>
      <c r="R76">
        <v>3</v>
      </c>
      <c r="S76" s="107" t="s">
        <v>388</v>
      </c>
      <c r="T76" s="113">
        <f>IF(M88&gt;0,M76/M88*T88,0)</f>
        <v>-4003.8755377153516</v>
      </c>
      <c r="U76" s="113">
        <f>IF(N88&gt;0,N76/N88*U88,0)</f>
        <v>-914.76109554374523</v>
      </c>
      <c r="V76" s="113">
        <f>IF(O88&gt;0,O76/O88*V88,0)</f>
        <v>144.96545258718587</v>
      </c>
      <c r="W76" s="116">
        <f t="shared" si="40"/>
        <v>-4773.6711806719113</v>
      </c>
      <c r="X76" s="115"/>
      <c r="Y76" s="115"/>
      <c r="Z76" s="115"/>
      <c r="AA76" s="107" t="s">
        <v>388</v>
      </c>
      <c r="AB76" s="113">
        <f>INDEX(TourMode_inputCBD!$L$4:$T$17,MATCH(TourMode!$A78,modes,0),MATCH("imain",modePurpose,0))*Index!$B$2</f>
        <v>1135</v>
      </c>
      <c r="AC76" s="113">
        <f>INDEX(TourMode_inputCBD!$L$20:$T$33,MATCH(TourMode!$A78,modes,0), MATCH("imain",modePurpose,0))*Index!$B$2</f>
        <v>2770</v>
      </c>
      <c r="AD76" s="113">
        <f>INDEX(TourMode_inputCBD!$L$36:$T$49,MATCH(TourMode!$A78,modes,0), MATCH("imain",modePurpose,0))*Index!$B$2</f>
        <v>845</v>
      </c>
      <c r="AE76" s="116">
        <f t="shared" si="41"/>
        <v>4750</v>
      </c>
      <c r="AG76" s="115"/>
      <c r="AH76" s="107" t="s">
        <v>576</v>
      </c>
      <c r="AI76" s="307"/>
      <c r="AK76" s="107" t="s">
        <v>576</v>
      </c>
      <c r="AL76" s="328"/>
      <c r="AN76" s="107" t="s">
        <v>576</v>
      </c>
      <c r="AO76" s="307"/>
    </row>
    <row r="77" spans="1:41" x14ac:dyDescent="0.25">
      <c r="A77">
        <v>4</v>
      </c>
      <c r="B77" s="107" t="s">
        <v>389</v>
      </c>
      <c r="C77" s="113">
        <f>INDEX(TourMode_inputCBD!$B$4:$J$172,MATCH(TourMode!$A79,modes,0),MATCH("imain",modePurpose,0))</f>
        <v>0</v>
      </c>
      <c r="D77" s="113">
        <f>INDEX(TourMode_inputCBD!$B$20:$J$33,MATCH(TourMode!$A79,modes,0),MATCH("imain",modePurpose,0))</f>
        <v>0</v>
      </c>
      <c r="E77" s="113">
        <f>INDEX(TourMode_inputCBD!$B$36:$J$49,MATCH(TourMode!$A79,modes,0),MATCH("imain",modePurpose,0))</f>
        <v>0</v>
      </c>
      <c r="F77" s="116">
        <f t="shared" si="37"/>
        <v>0</v>
      </c>
      <c r="G77" s="300"/>
      <c r="H77" s="300"/>
      <c r="I77" s="300"/>
      <c r="J77" s="115"/>
      <c r="K77">
        <v>4</v>
      </c>
      <c r="L77" s="107" t="s">
        <v>389</v>
      </c>
      <c r="M77" s="113">
        <f t="shared" si="38"/>
        <v>0</v>
      </c>
      <c r="N77" s="113">
        <f t="shared" si="36"/>
        <v>0</v>
      </c>
      <c r="O77" s="113">
        <f t="shared" si="36"/>
        <v>0</v>
      </c>
      <c r="P77" s="116">
        <f t="shared" si="39"/>
        <v>0</v>
      </c>
      <c r="Q77" s="115"/>
      <c r="R77">
        <v>4</v>
      </c>
      <c r="S77" s="107" t="s">
        <v>389</v>
      </c>
      <c r="T77" s="113">
        <f>IF(M88&gt;0,M77/M88*T88,0)</f>
        <v>0</v>
      </c>
      <c r="U77" s="113">
        <f>IF(N88&gt;0,N77/N88*U88,0)</f>
        <v>0</v>
      </c>
      <c r="V77" s="113">
        <f>IF(O88&gt;0,O77/O88*V88,0)</f>
        <v>0</v>
      </c>
      <c r="W77" s="116">
        <f t="shared" si="40"/>
        <v>0</v>
      </c>
      <c r="X77" s="115"/>
      <c r="Y77" s="115"/>
      <c r="Z77" s="115"/>
      <c r="AA77" s="107" t="s">
        <v>389</v>
      </c>
      <c r="AB77" s="113">
        <f>INDEX(TourMode_inputCBD!$L$4:$T$17,MATCH(TourMode!$A79,modes,0),MATCH("imain",modePurpose,0))*Index!$B$2</f>
        <v>30</v>
      </c>
      <c r="AC77" s="113">
        <f>INDEX(TourMode_inputCBD!$L$20:$T$33,MATCH(TourMode!$A79,modes,0), MATCH("imain",modePurpose,0))*Index!$B$2</f>
        <v>85</v>
      </c>
      <c r="AD77" s="113">
        <f>INDEX(TourMode_inputCBD!$L$36:$T$49,MATCH(TourMode!$A79,modes,0), MATCH("imain",modePurpose,0))*Index!$B$2</f>
        <v>50</v>
      </c>
      <c r="AE77" s="116">
        <f t="shared" si="41"/>
        <v>165</v>
      </c>
      <c r="AG77" s="115"/>
      <c r="AH77" s="107"/>
      <c r="AI77" s="307"/>
      <c r="AK77" s="107"/>
      <c r="AL77" s="328"/>
      <c r="AN77" s="107"/>
      <c r="AO77" s="307"/>
    </row>
    <row r="78" spans="1:41" x14ac:dyDescent="0.25">
      <c r="A78">
        <v>5</v>
      </c>
      <c r="B78" s="107" t="s">
        <v>390</v>
      </c>
      <c r="C78" s="113">
        <f>INDEX(TourMode_inputCBD!$B$4:$J$172,MATCH(TourMode!$A80,modes,0),MATCH("imain",modePurpose,0))</f>
        <v>0</v>
      </c>
      <c r="D78" s="113">
        <f>INDEX(TourMode_inputCBD!$B$20:$J$33,MATCH(TourMode!$A80,modes,0),MATCH("imain",modePurpose,0))</f>
        <v>4372.2511400000003</v>
      </c>
      <c r="E78" s="113">
        <f>INDEX(TourMode_inputCBD!$B$36:$J$49,MATCH(TourMode!$A80,modes,0),MATCH("imain",modePurpose,0))</f>
        <v>2444.8222999999998</v>
      </c>
      <c r="F78" s="116">
        <f t="shared" si="37"/>
        <v>6817.0734400000001</v>
      </c>
      <c r="G78" s="300"/>
      <c r="H78" s="300"/>
      <c r="I78" s="300"/>
      <c r="J78" s="115"/>
      <c r="K78">
        <v>5</v>
      </c>
      <c r="L78" s="107" t="s">
        <v>390</v>
      </c>
      <c r="M78" s="113">
        <f t="shared" si="38"/>
        <v>0</v>
      </c>
      <c r="N78" s="113">
        <f t="shared" si="36"/>
        <v>4372.2511400000003</v>
      </c>
      <c r="O78" s="113">
        <f t="shared" si="36"/>
        <v>2444.8222999999998</v>
      </c>
      <c r="P78" s="116">
        <f t="shared" si="39"/>
        <v>6817.0734400000001</v>
      </c>
      <c r="Q78" s="115"/>
      <c r="R78">
        <v>5</v>
      </c>
      <c r="S78" s="107" t="s">
        <v>390</v>
      </c>
      <c r="T78" s="113">
        <f>IF(M88&gt;0,M78/M88*T88,0)</f>
        <v>0</v>
      </c>
      <c r="U78" s="113">
        <f>IF(N88&gt;0,N78/N88*U88,0)</f>
        <v>-890.27821581121134</v>
      </c>
      <c r="V78" s="113">
        <f>IF(O88&gt;0,O78/O88*V88,0)</f>
        <v>51.782939216948243</v>
      </c>
      <c r="W78" s="116">
        <f t="shared" si="40"/>
        <v>-838.49527659426315</v>
      </c>
      <c r="X78" s="115"/>
      <c r="Y78" s="115"/>
      <c r="Z78" s="115"/>
      <c r="AA78" s="107" t="s">
        <v>390</v>
      </c>
      <c r="AB78" s="113">
        <f>INDEX(TourMode_inputCBD!$L$4:$T$17,MATCH(TourMode!$A80,modes,0),MATCH("imain",modePurpose,0))*Index!$B$2</f>
        <v>0</v>
      </c>
      <c r="AC78" s="113">
        <f>INDEX(TourMode_inputCBD!$L$20:$T$33,MATCH(TourMode!$A80,modes,0), MATCH("imain",modePurpose,0))*Index!$B$2</f>
        <v>1950</v>
      </c>
      <c r="AD78" s="113">
        <f>INDEX(TourMode_inputCBD!$L$36:$T$49,MATCH(TourMode!$A80,modes,0), MATCH("imain",modePurpose,0))*Index!$B$2</f>
        <v>700</v>
      </c>
      <c r="AE78" s="116">
        <f t="shared" si="41"/>
        <v>2650</v>
      </c>
      <c r="AG78" s="115"/>
      <c r="AH78" s="107" t="s">
        <v>577</v>
      </c>
      <c r="AI78" s="307"/>
      <c r="AK78" s="107" t="s">
        <v>577</v>
      </c>
      <c r="AL78" s="328"/>
      <c r="AN78" s="107" t="s">
        <v>577</v>
      </c>
      <c r="AO78" s="307"/>
    </row>
    <row r="79" spans="1:41" x14ac:dyDescent="0.25">
      <c r="A79">
        <v>6</v>
      </c>
      <c r="B79" s="107" t="s">
        <v>391</v>
      </c>
      <c r="C79" s="113">
        <f>INDEX(TourMode_inputCBD!$B$4:$J$172,MATCH(TourMode!$A81,modes,0),MATCH("imain",modePurpose,0))</f>
        <v>0</v>
      </c>
      <c r="D79" s="113">
        <f>INDEX(TourMode_inputCBD!$B$20:$J$33,MATCH(TourMode!$A81,modes,0),MATCH("imain",modePurpose,0))</f>
        <v>0</v>
      </c>
      <c r="E79" s="113">
        <f>INDEX(TourMode_inputCBD!$B$36:$J$49,MATCH(TourMode!$A81,modes,0),MATCH("imain",modePurpose,0))</f>
        <v>0</v>
      </c>
      <c r="F79" s="116">
        <f t="shared" si="37"/>
        <v>0</v>
      </c>
      <c r="G79" s="300"/>
      <c r="H79" s="300"/>
      <c r="I79" s="300"/>
      <c r="J79" s="115"/>
      <c r="K79">
        <v>6</v>
      </c>
      <c r="L79" s="107" t="s">
        <v>391</v>
      </c>
      <c r="M79" s="113">
        <f t="shared" si="38"/>
        <v>0</v>
      </c>
      <c r="N79" s="113">
        <f t="shared" si="36"/>
        <v>0</v>
      </c>
      <c r="O79" s="113">
        <f t="shared" si="36"/>
        <v>0</v>
      </c>
      <c r="P79" s="116">
        <f t="shared" si="39"/>
        <v>0</v>
      </c>
      <c r="Q79" s="115"/>
      <c r="R79">
        <v>6</v>
      </c>
      <c r="S79" s="107" t="s">
        <v>391</v>
      </c>
      <c r="T79" s="113">
        <f>IF(M88&gt;0,M79/M88*T88,0)</f>
        <v>0</v>
      </c>
      <c r="U79" s="113">
        <f>IF(N88&gt;0,N79/N88*U88,0)</f>
        <v>0</v>
      </c>
      <c r="V79" s="113">
        <f>IF(O88&gt;0,O79/O88*V88,0)</f>
        <v>0</v>
      </c>
      <c r="W79" s="116">
        <f t="shared" si="40"/>
        <v>0</v>
      </c>
      <c r="X79" s="115"/>
      <c r="Y79" s="115"/>
      <c r="Z79" s="115"/>
      <c r="AA79" s="107" t="s">
        <v>391</v>
      </c>
      <c r="AB79" s="113">
        <f>INDEX(TourMode_inputCBD!$L$4:$T$17,MATCH(TourMode!$A81,modes,0),MATCH("imain",modePurpose,0))*Index!$B$2</f>
        <v>0</v>
      </c>
      <c r="AC79" s="113">
        <f>INDEX(TourMode_inputCBD!$L$20:$T$33,MATCH(TourMode!$A81,modes,0), MATCH("imain",modePurpose,0))*Index!$B$2</f>
        <v>65</v>
      </c>
      <c r="AD79" s="113">
        <f>INDEX(TourMode_inputCBD!$L$36:$T$49,MATCH(TourMode!$A81,modes,0), MATCH("imain",modePurpose,0))*Index!$B$2</f>
        <v>50</v>
      </c>
      <c r="AE79" s="116">
        <f t="shared" si="41"/>
        <v>115</v>
      </c>
      <c r="AG79" s="115"/>
      <c r="AH79" s="107"/>
      <c r="AI79" s="307"/>
      <c r="AK79" s="107"/>
      <c r="AL79" s="328"/>
      <c r="AN79" s="107"/>
      <c r="AO79" s="307"/>
    </row>
    <row r="80" spans="1:41" x14ac:dyDescent="0.25">
      <c r="A80">
        <v>7</v>
      </c>
      <c r="B80" s="107" t="s">
        <v>392</v>
      </c>
      <c r="C80" s="113">
        <f>INDEX(TourMode_inputCBD!$B$4:$J$172,MATCH(TourMode!$A82,modes,0),MATCH("imain",modePurpose,0))</f>
        <v>9463.6323900000007</v>
      </c>
      <c r="D80" s="113">
        <f>INDEX(TourMode_inputCBD!$B$20:$J$33,MATCH(TourMode!$A82,modes,0),MATCH("imain",modePurpose,0))</f>
        <v>7240.0367299999998</v>
      </c>
      <c r="E80" s="113">
        <f>INDEX(TourMode_inputCBD!$B$36:$J$49,MATCH(TourMode!$A82,modes,0),MATCH("imain",modePurpose,0))</f>
        <v>8710.6524100000006</v>
      </c>
      <c r="F80" s="116">
        <f t="shared" si="37"/>
        <v>25414.321530000001</v>
      </c>
      <c r="G80" s="300"/>
      <c r="H80" s="300"/>
      <c r="I80" s="300"/>
      <c r="J80" s="115"/>
      <c r="K80">
        <v>7</v>
      </c>
      <c r="L80" s="107" t="s">
        <v>392</v>
      </c>
      <c r="M80" s="113">
        <f t="shared" si="38"/>
        <v>9463.6323900000007</v>
      </c>
      <c r="N80" s="113">
        <f t="shared" si="36"/>
        <v>7240.0367299999998</v>
      </c>
      <c r="O80" s="113">
        <f t="shared" si="36"/>
        <v>8710.6524100000006</v>
      </c>
      <c r="P80" s="116">
        <f t="shared" si="39"/>
        <v>25414.321530000001</v>
      </c>
      <c r="Q80" s="115"/>
      <c r="R80">
        <v>7</v>
      </c>
      <c r="S80" s="107" t="s">
        <v>392</v>
      </c>
      <c r="T80" s="113">
        <f>IF(M88&gt;0,M80/M88*T88,0)</f>
        <v>-10642.602200592471</v>
      </c>
      <c r="U80" s="113">
        <f>IF(N88&gt;0,N80/N88*U88,0)</f>
        <v>-1474.2170053827319</v>
      </c>
      <c r="V80" s="113">
        <f>IF(O88&gt;0,O80/O88*V88,0)</f>
        <v>184.49732902346062</v>
      </c>
      <c r="W80" s="116">
        <f t="shared" si="40"/>
        <v>-11932.321876951743</v>
      </c>
      <c r="X80" s="115"/>
      <c r="Y80" s="115"/>
      <c r="Z80" s="115"/>
      <c r="AA80" s="107" t="s">
        <v>392</v>
      </c>
      <c r="AB80" s="113">
        <f>INDEX(TourMode_inputCBD!$L$4:$T$17,MATCH(TourMode!$A82,modes,0),MATCH("imain",modePurpose,0))*Index!$B$2</f>
        <v>2090</v>
      </c>
      <c r="AC80" s="113">
        <f>INDEX(TourMode_inputCBD!$L$20:$T$33,MATCH(TourMode!$A82,modes,0), MATCH("imain",modePurpose,0))*Index!$B$2</f>
        <v>2175</v>
      </c>
      <c r="AD80" s="113">
        <f>INDEX(TourMode_inputCBD!$L$36:$T$49,MATCH(TourMode!$A82,modes,0), MATCH("imain",modePurpose,0))*Index!$B$2</f>
        <v>300</v>
      </c>
      <c r="AE80" s="116">
        <f t="shared" si="41"/>
        <v>4565</v>
      </c>
      <c r="AG80" s="115"/>
      <c r="AH80" s="107" t="s">
        <v>392</v>
      </c>
      <c r="AI80" s="307"/>
      <c r="AK80" s="107" t="s">
        <v>392</v>
      </c>
      <c r="AL80" s="328"/>
      <c r="AN80" s="107" t="s">
        <v>392</v>
      </c>
      <c r="AO80" s="307"/>
    </row>
    <row r="81" spans="1:41" x14ac:dyDescent="0.25">
      <c r="A81">
        <v>8</v>
      </c>
      <c r="B81" s="107" t="s">
        <v>393</v>
      </c>
      <c r="C81" s="113">
        <f>INDEX(TourMode_inputCBD!$B$4:$J$172,MATCH(TourMode!$A83,modes,0),MATCH("imain",modePurpose,0))</f>
        <v>539.75476000000003</v>
      </c>
      <c r="D81" s="113">
        <f>INDEX(TourMode_inputCBD!$B$20:$J$33,MATCH(TourMode!$A83,modes,0),MATCH("imain",modePurpose,0))</f>
        <v>2203.4736800000001</v>
      </c>
      <c r="E81" s="113">
        <f>INDEX(TourMode_inputCBD!$B$36:$J$49,MATCH(TourMode!$A83,modes,0),MATCH("imain",modePurpose,0))</f>
        <v>2189.7800400000001</v>
      </c>
      <c r="F81" s="116">
        <f t="shared" si="37"/>
        <v>4933.0084800000004</v>
      </c>
      <c r="G81" s="300"/>
      <c r="H81" s="300"/>
      <c r="I81" s="300"/>
      <c r="J81" s="115"/>
      <c r="K81">
        <v>8</v>
      </c>
      <c r="L81" s="107" t="s">
        <v>393</v>
      </c>
      <c r="M81" s="113">
        <f t="shared" si="38"/>
        <v>539.75476000000003</v>
      </c>
      <c r="N81" s="113">
        <f t="shared" si="36"/>
        <v>2203.4736800000001</v>
      </c>
      <c r="O81" s="113">
        <f t="shared" si="36"/>
        <v>2189.7800400000001</v>
      </c>
      <c r="P81" s="116">
        <f t="shared" si="39"/>
        <v>4933.0084800000004</v>
      </c>
      <c r="Q81" s="115"/>
      <c r="R81">
        <v>8</v>
      </c>
      <c r="S81" s="107" t="s">
        <v>393</v>
      </c>
      <c r="T81" s="113">
        <f>IF(M88&gt;0,M81/M88*T88,0)</f>
        <v>-606.99686545582972</v>
      </c>
      <c r="U81" s="113">
        <f>IF(N88&gt;0,N81/N88*U88,0)</f>
        <v>-448.67153180440675</v>
      </c>
      <c r="V81" s="113">
        <f>IF(O88&gt;0,O81/O88*V88,0)</f>
        <v>46.380976936363226</v>
      </c>
      <c r="W81" s="116">
        <f t="shared" si="40"/>
        <v>-1009.2874203238731</v>
      </c>
      <c r="X81" s="115"/>
      <c r="Y81" s="115"/>
      <c r="Z81" s="115"/>
      <c r="AA81" s="107" t="s">
        <v>393</v>
      </c>
      <c r="AB81" s="113">
        <f>INDEX(TourMode_inputCBD!$L$4:$T$17,MATCH(TourMode!$A83,modes,0),MATCH("imain",modePurpose,0))*Index!$B$2</f>
        <v>575</v>
      </c>
      <c r="AC81" s="113">
        <f>INDEX(TourMode_inputCBD!$L$20:$T$33,MATCH(TourMode!$A83,modes,0), MATCH("imain",modePurpose,0))*Index!$B$2</f>
        <v>1030</v>
      </c>
      <c r="AD81" s="113">
        <f>INDEX(TourMode_inputCBD!$L$36:$T$49,MATCH(TourMode!$A83,modes,0), MATCH("imain",modePurpose,0))*Index!$B$2</f>
        <v>290</v>
      </c>
      <c r="AE81" s="116">
        <f t="shared" si="41"/>
        <v>1895</v>
      </c>
      <c r="AG81" s="115"/>
      <c r="AH81" s="107" t="s">
        <v>393</v>
      </c>
      <c r="AI81" s="307"/>
      <c r="AK81" s="107" t="s">
        <v>393</v>
      </c>
      <c r="AL81" s="328"/>
      <c r="AN81" s="107" t="s">
        <v>393</v>
      </c>
      <c r="AO81" s="307"/>
    </row>
    <row r="82" spans="1:41" x14ac:dyDescent="0.25">
      <c r="A82">
        <v>10</v>
      </c>
      <c r="B82" s="107" t="s">
        <v>555</v>
      </c>
      <c r="C82" s="113">
        <f>INDEX(TourMode_inputCBD!$B$4:$J$172,MATCH(TourMode!$A85,modes,0),MATCH("imain",modePurpose,0))+INDEX(TourMode_inputCBD!$B$4:$J$172,MATCH(TourMode!$A84,modes,0),MATCH("imain",modePurpose,0))</f>
        <v>12848.08172</v>
      </c>
      <c r="D82" s="113">
        <f>INDEX(TourMode_inputCBD!$B$20:$J$33,MATCH(TourMode!$A85,modes,0),MATCH("imain",modePurpose,0))+INDEX(TourMode_inputCBD!$B$20:$J$33,MATCH(TourMode!$A84,modes,0),MATCH("imain",modePurpose,0))</f>
        <v>10282.28687</v>
      </c>
      <c r="E82" s="113">
        <f>INDEX(TourMode_inputCBD!$B$36:$J$49,MATCH(TourMode!$A85,modes,0),MATCH("imain",modePurpose,0))+INDEX(TourMode_inputCBD!$B$36:$J$49,MATCH(TourMode!$A84,modes,0),MATCH("imain",modePurpose,0))</f>
        <v>5146.6320800000003</v>
      </c>
      <c r="F82" s="116">
        <f t="shared" si="37"/>
        <v>28277.000669999998</v>
      </c>
      <c r="G82" s="300"/>
      <c r="H82" s="302">
        <f>F82/F$167</f>
        <v>9.5439938081596509E-2</v>
      </c>
      <c r="I82" s="300">
        <f>H82*H$167</f>
        <v>59445.723780456676</v>
      </c>
      <c r="J82" s="115"/>
      <c r="K82">
        <v>10</v>
      </c>
      <c r="L82" s="107" t="s">
        <v>546</v>
      </c>
      <c r="M82" s="113">
        <f>IF($F82&gt;0,C82/$F82*$I82,0)</f>
        <v>27010.061142947052</v>
      </c>
      <c r="N82" s="113">
        <f t="shared" ref="N82:O84" si="42">IF($F82&gt;0,D82/$F82*$I82,0)</f>
        <v>21616.082704058459</v>
      </c>
      <c r="O82" s="113">
        <f t="shared" si="42"/>
        <v>10819.579933451168</v>
      </c>
      <c r="P82" s="116">
        <f t="shared" si="39"/>
        <v>59445.723780456683</v>
      </c>
      <c r="Q82" s="115"/>
      <c r="R82">
        <v>10</v>
      </c>
      <c r="S82" s="107" t="s">
        <v>546</v>
      </c>
      <c r="T82" s="113">
        <f>M82</f>
        <v>27010.061142947052</v>
      </c>
      <c r="U82" s="113">
        <f>N82</f>
        <v>21616.082704058459</v>
      </c>
      <c r="V82" s="113">
        <f>O82</f>
        <v>10819.579933451168</v>
      </c>
      <c r="W82" s="116">
        <f t="shared" si="40"/>
        <v>59445.723780456683</v>
      </c>
      <c r="X82" s="115"/>
      <c r="Y82" s="115"/>
      <c r="Z82" s="115"/>
      <c r="AA82" s="107" t="s">
        <v>546</v>
      </c>
      <c r="AB82" s="113">
        <f>INDEX(TourMode_inputCBD!$L$4:$T$17,MATCH(TourMode!$A85,modes,0),MATCH("imain",modePurpose,0))*Index!$B$2</f>
        <v>7825</v>
      </c>
      <c r="AC82" s="113">
        <f>INDEX(TourMode_inputCBD!$L$20:$T$33,MATCH(TourMode!$A85,modes,0), MATCH("imain",modePurpose,0))*Index!$B$2</f>
        <v>3030</v>
      </c>
      <c r="AD82" s="113">
        <f>INDEX(TourMode_inputCBD!$L$36:$T$49,MATCH(TourMode!$A85,modes,0), MATCH("imain",modePurpose,0))*Index!$B$2</f>
        <v>1610</v>
      </c>
      <c r="AE82" s="116">
        <f t="shared" si="41"/>
        <v>12465</v>
      </c>
      <c r="AG82" s="115"/>
      <c r="AH82" s="107" t="s">
        <v>395</v>
      </c>
      <c r="AI82" s="307">
        <f>IFERROR(IF(AE82&gt;0,LN(W82/AE82),0),0)</f>
        <v>1.5621389738930738</v>
      </c>
      <c r="AK82" s="107" t="s">
        <v>395</v>
      </c>
      <c r="AL82" s="328">
        <v>1.5255185503710964</v>
      </c>
      <c r="AN82" s="107" t="s">
        <v>395</v>
      </c>
      <c r="AO82" s="307">
        <f>AL82+$AO$1*AI82</f>
        <v>1.134983806897828</v>
      </c>
    </row>
    <row r="83" spans="1:41" x14ac:dyDescent="0.25">
      <c r="A83">
        <v>11</v>
      </c>
      <c r="B83" s="107" t="s">
        <v>556</v>
      </c>
      <c r="C83" s="113">
        <f>INDEX(TourMode_inputCBD!$B$4:$J$172,MATCH(TourMode!$A86,modes,0),MATCH("imain",modePurpose,0))</f>
        <v>1313.95758</v>
      </c>
      <c r="D83" s="113">
        <f>INDEX(TourMode_inputCBD!$B$20:$J$33,MATCH(TourMode!$A86,modes,0),MATCH("imain",modePurpose,0))</f>
        <v>506.71938999999998</v>
      </c>
      <c r="E83" s="113">
        <f>INDEX(TourMode_inputCBD!$B$36:$J$49,MATCH(TourMode!$A86,modes,0),MATCH("imain",modePurpose,0))</f>
        <v>903.61224000000004</v>
      </c>
      <c r="F83" s="116">
        <f t="shared" si="37"/>
        <v>2724.2892099999999</v>
      </c>
      <c r="G83" s="300"/>
      <c r="H83" s="302">
        <f>F83/F$168</f>
        <v>5.716626790160334E-2</v>
      </c>
      <c r="I83" s="300">
        <f>H83*H$168</f>
        <v>2292.1140951532188</v>
      </c>
      <c r="J83" s="115"/>
      <c r="K83">
        <v>11</v>
      </c>
      <c r="L83" s="107" t="s">
        <v>559</v>
      </c>
      <c r="M83" s="113">
        <f>IF($F83&gt;0,C83/$F83*$I83,0)</f>
        <v>1105.5143038765011</v>
      </c>
      <c r="N83" s="113">
        <f t="shared" si="42"/>
        <v>426.33456530352771</v>
      </c>
      <c r="O83" s="113">
        <f t="shared" si="42"/>
        <v>760.26522597319001</v>
      </c>
      <c r="P83" s="116">
        <f t="shared" si="39"/>
        <v>2292.1140951532188</v>
      </c>
      <c r="Q83" s="115"/>
      <c r="R83">
        <v>11</v>
      </c>
      <c r="S83" s="107" t="s">
        <v>559</v>
      </c>
      <c r="T83" s="113">
        <f t="shared" ref="T83:V84" si="43">M83</f>
        <v>1105.5143038765011</v>
      </c>
      <c r="U83" s="113">
        <f t="shared" si="43"/>
        <v>426.33456530352771</v>
      </c>
      <c r="V83" s="113">
        <f t="shared" si="43"/>
        <v>760.26522597319001</v>
      </c>
      <c r="W83" s="116">
        <f t="shared" si="40"/>
        <v>2292.1140951532188</v>
      </c>
      <c r="X83" s="115"/>
      <c r="Y83" s="115"/>
      <c r="Z83" s="115"/>
      <c r="AA83" s="107" t="s">
        <v>559</v>
      </c>
      <c r="AB83" s="113">
        <f>INDEX(TourMode_inputCBD!$L$4:$T$17,MATCH(TourMode!$A86,modes,0),MATCH("imain",modePurpose,0))*Index!$B$2</f>
        <v>305</v>
      </c>
      <c r="AC83" s="113">
        <f>INDEX(TourMode_inputCBD!$L$20:$T$33,MATCH(TourMode!$A86,modes,0), MATCH("imain",modePurpose,0))*Index!$B$2</f>
        <v>85</v>
      </c>
      <c r="AD83" s="113">
        <f>INDEX(TourMode_inputCBD!$L$36:$T$49,MATCH(TourMode!$A86,modes,0), MATCH("imain",modePurpose,0))*Index!$B$2</f>
        <v>175</v>
      </c>
      <c r="AE83" s="116">
        <f t="shared" si="41"/>
        <v>565</v>
      </c>
      <c r="AG83" s="115"/>
      <c r="AH83" s="107" t="s">
        <v>396</v>
      </c>
      <c r="AI83" s="307">
        <f>IFERROR(IF(AE83&gt;0,LN(W83/AE83),0),0)</f>
        <v>1.4004041251844808</v>
      </c>
      <c r="AK83" s="107" t="s">
        <v>396</v>
      </c>
      <c r="AL83" s="328">
        <v>2.8800080846242473</v>
      </c>
      <c r="AN83" s="107" t="s">
        <v>396</v>
      </c>
      <c r="AO83" s="307">
        <f>AL83+$AO$1*AI83</f>
        <v>2.5299070533281269</v>
      </c>
    </row>
    <row r="84" spans="1:41" x14ac:dyDescent="0.25">
      <c r="A84">
        <v>12</v>
      </c>
      <c r="B84" s="107" t="s">
        <v>557</v>
      </c>
      <c r="C84" s="297">
        <v>0</v>
      </c>
      <c r="D84" s="113">
        <f>INDEX(TourMode_inputCBD!$B$20:$J$33,MATCH(TourMode!$A87,modes,0),MATCH("imain",modePurpose,0))</f>
        <v>1433.98928</v>
      </c>
      <c r="E84" s="113">
        <f>INDEX(TourMode_inputCBD!$B$36:$J$49,MATCH(TourMode!$A87,modes,0),MATCH("imain",modePurpose,0))</f>
        <v>2597.7690600000001</v>
      </c>
      <c r="F84" s="116">
        <f t="shared" si="37"/>
        <v>4031.7583400000003</v>
      </c>
      <c r="G84" s="300"/>
      <c r="H84" s="302">
        <f>F84/F$169</f>
        <v>3.0101308367133723E-2</v>
      </c>
      <c r="I84" s="300">
        <f>H84*H$169</f>
        <v>2991.160874785302</v>
      </c>
      <c r="J84" s="115"/>
      <c r="K84">
        <v>12</v>
      </c>
      <c r="L84" s="107" t="s">
        <v>560</v>
      </c>
      <c r="M84" s="113">
        <f>IF($F84&gt;0,C84/$F84*$I84,0)</f>
        <v>0</v>
      </c>
      <c r="N84" s="113">
        <f t="shared" si="42"/>
        <v>1063.8764200330384</v>
      </c>
      <c r="O84" s="113">
        <f t="shared" si="42"/>
        <v>1927.2844547522636</v>
      </c>
      <c r="P84" s="116">
        <f t="shared" si="39"/>
        <v>2991.160874785302</v>
      </c>
      <c r="Q84" s="115"/>
      <c r="R84">
        <v>12</v>
      </c>
      <c r="S84" s="107" t="s">
        <v>560</v>
      </c>
      <c r="T84" s="113">
        <f t="shared" si="43"/>
        <v>0</v>
      </c>
      <c r="U84" s="113">
        <f t="shared" si="43"/>
        <v>1063.8764200330384</v>
      </c>
      <c r="V84" s="113">
        <f t="shared" si="43"/>
        <v>1927.2844547522636</v>
      </c>
      <c r="W84" s="116">
        <f t="shared" si="40"/>
        <v>2991.160874785302</v>
      </c>
      <c r="X84" s="115"/>
      <c r="Y84" s="115"/>
      <c r="Z84" s="115"/>
      <c r="AA84" s="107" t="s">
        <v>560</v>
      </c>
      <c r="AB84" s="113">
        <f>INDEX(TourMode_inputCBD!$L$4:$T$17,MATCH(TourMode!$A87,modes,0),MATCH("imain",modePurpose,0))*Index!$B$2</f>
        <v>0</v>
      </c>
      <c r="AC84" s="113">
        <f>INDEX(TourMode_inputCBD!$L$20:$T$33,MATCH(TourMode!$A87,modes,0), MATCH("imain",modePurpose,0))*Index!$B$2</f>
        <v>0</v>
      </c>
      <c r="AD84" s="113">
        <f>INDEX(TourMode_inputCBD!$L$36:$T$49,MATCH(TourMode!$A87,modes,0), MATCH("imain",modePurpose,0))*Index!$B$2</f>
        <v>90</v>
      </c>
      <c r="AE84" s="116">
        <f t="shared" si="41"/>
        <v>90</v>
      </c>
      <c r="AG84" s="115"/>
      <c r="AH84" s="107" t="s">
        <v>397</v>
      </c>
      <c r="AI84" s="307">
        <f>IFERROR(IF(AE84&gt;0,LN(W84/AE84),0),0)</f>
        <v>3.5036071731405483</v>
      </c>
      <c r="AK84" s="107" t="s">
        <v>397</v>
      </c>
      <c r="AL84" s="328">
        <v>1.8878139043807038</v>
      </c>
      <c r="AN84" s="107" t="s">
        <v>397</v>
      </c>
      <c r="AO84" s="307">
        <f>AL84+$AO$1*AI84</f>
        <v>1.0119121110955667</v>
      </c>
    </row>
    <row r="85" spans="1:41" x14ac:dyDescent="0.25">
      <c r="A85">
        <v>13</v>
      </c>
      <c r="B85" s="107" t="s">
        <v>398</v>
      </c>
      <c r="C85" s="113">
        <f>INDEX(TourMode_inputCBD!$B$4:$J$172,MATCH(TourMode!$A88,modes,0),MATCH("imain",modePurpose,0))</f>
        <v>433.14062000000001</v>
      </c>
      <c r="D85" s="113">
        <f>INDEX(TourMode_inputCBD!$B$20:$J$33,MATCH(TourMode!$A88,modes,0),MATCH("imain",modePurpose,0))</f>
        <v>369.95409999999998</v>
      </c>
      <c r="E85" s="113">
        <f>INDEX(TourMode_inputCBD!$B$36:$J$49,MATCH(TourMode!$A88,modes,0),MATCH("imain",modePurpose,0))</f>
        <v>391.50747999999999</v>
      </c>
      <c r="F85" s="116">
        <f t="shared" si="37"/>
        <v>1194.6022</v>
      </c>
      <c r="G85" s="300"/>
      <c r="H85" s="300"/>
      <c r="I85" s="300"/>
      <c r="J85" s="115"/>
      <c r="K85">
        <v>13</v>
      </c>
      <c r="L85" s="107" t="s">
        <v>398</v>
      </c>
      <c r="M85" s="113">
        <f t="shared" ref="M85:O86" si="44">C85</f>
        <v>433.14062000000001</v>
      </c>
      <c r="N85" s="113">
        <f t="shared" si="44"/>
        <v>369.95409999999998</v>
      </c>
      <c r="O85" s="113">
        <f t="shared" si="44"/>
        <v>391.50747999999999</v>
      </c>
      <c r="P85" s="116">
        <f t="shared" si="39"/>
        <v>1194.6022</v>
      </c>
      <c r="Q85" s="115"/>
      <c r="R85">
        <v>13</v>
      </c>
      <c r="S85" s="107" t="s">
        <v>398</v>
      </c>
      <c r="T85" s="113">
        <f>IF(M88&gt;0,M85/M88*T88,0)</f>
        <v>-487.10084305990125</v>
      </c>
      <c r="U85" s="113">
        <f>IF(N88&gt;0,N85/N88*U88,0)</f>
        <v>-75.330090960887105</v>
      </c>
      <c r="V85" s="113">
        <f>IF(O88&gt;0,O85/O88*V88,0)</f>
        <v>8.2923851111062667</v>
      </c>
      <c r="W85" s="116">
        <f t="shared" si="40"/>
        <v>-554.13854890968207</v>
      </c>
      <c r="X85" s="115"/>
      <c r="Y85" s="115"/>
      <c r="Z85" s="115"/>
      <c r="AA85" s="107" t="s">
        <v>398</v>
      </c>
      <c r="AB85" s="113">
        <f>INDEX(TourMode_inputCBD!$L$4:$T$17,MATCH(TourMode!$A88,modes,0),MATCH("imain",modePurpose,0))*Index!$B$2</f>
        <v>415</v>
      </c>
      <c r="AC85" s="113">
        <f>INDEX(TourMode_inputCBD!$L$20:$T$33,MATCH(TourMode!$A88,modes,0), MATCH("imain",modePurpose,0))*Index!$B$2</f>
        <v>100</v>
      </c>
      <c r="AD85" s="113">
        <f>INDEX(TourMode_inputCBD!$L$36:$T$49,MATCH(TourMode!$A88,modes,0), MATCH("imain",modePurpose,0))*Index!$B$2</f>
        <v>80</v>
      </c>
      <c r="AE85" s="116">
        <f t="shared" si="41"/>
        <v>595</v>
      </c>
      <c r="AG85" s="115"/>
      <c r="AH85" s="107" t="s">
        <v>398</v>
      </c>
      <c r="AI85" s="307"/>
      <c r="AK85" s="107" t="s">
        <v>398</v>
      </c>
      <c r="AL85" s="328"/>
      <c r="AN85" s="107" t="s">
        <v>398</v>
      </c>
      <c r="AO85" s="307"/>
    </row>
    <row r="86" spans="1:41" x14ac:dyDescent="0.25">
      <c r="A86">
        <v>14</v>
      </c>
      <c r="B86" s="107" t="s">
        <v>399</v>
      </c>
      <c r="C86" s="297">
        <v>0</v>
      </c>
      <c r="D86" s="297">
        <v>0</v>
      </c>
      <c r="E86" s="297">
        <v>0</v>
      </c>
      <c r="F86" s="116">
        <f t="shared" si="37"/>
        <v>0</v>
      </c>
      <c r="G86" s="300"/>
      <c r="H86" s="300"/>
      <c r="I86" s="300"/>
      <c r="J86" s="115"/>
      <c r="K86">
        <v>14</v>
      </c>
      <c r="L86" s="107" t="s">
        <v>399</v>
      </c>
      <c r="M86" s="113">
        <f t="shared" si="44"/>
        <v>0</v>
      </c>
      <c r="N86" s="113">
        <f t="shared" si="44"/>
        <v>0</v>
      </c>
      <c r="O86" s="113">
        <f t="shared" si="44"/>
        <v>0</v>
      </c>
      <c r="P86" s="116">
        <f t="shared" si="39"/>
        <v>0</v>
      </c>
      <c r="Q86" s="115"/>
      <c r="R86">
        <v>14</v>
      </c>
      <c r="S86" s="107" t="s">
        <v>399</v>
      </c>
      <c r="T86" s="113">
        <f>IF(M88&gt;0,M86/M88*T88,0)</f>
        <v>0</v>
      </c>
      <c r="U86" s="113">
        <f>IF(N88&gt;0,N86/N88*U88,0)</f>
        <v>0</v>
      </c>
      <c r="V86" s="113">
        <f>IF(O88&gt;0,O86/O88*V88,0)</f>
        <v>0</v>
      </c>
      <c r="W86" s="116">
        <f t="shared" si="40"/>
        <v>0</v>
      </c>
      <c r="X86" s="115"/>
      <c r="Y86" s="115"/>
      <c r="Z86" s="115"/>
      <c r="AA86" s="107" t="s">
        <v>399</v>
      </c>
      <c r="AB86" s="113">
        <f>INDEX(TourMode_inputCBD!$L$4:$T$17,MATCH(TourMode!$A89,modes,0),MATCH("imain",modePurpose,0))*Index!$B$2</f>
        <v>0</v>
      </c>
      <c r="AC86" s="113">
        <f>INDEX(TourMode_inputCBD!$L$20:$T$33,MATCH(TourMode!$A89,modes,0), MATCH("imain",modePurpose,0))*Index!$B$2</f>
        <v>0</v>
      </c>
      <c r="AD86" s="113">
        <f>INDEX(TourMode_inputCBD!$L$36:$T$49,MATCH(TourMode!$A89,modes,0), MATCH("imain",modePurpose,0))*Index!$B$2</f>
        <v>0</v>
      </c>
      <c r="AE86" s="116">
        <f t="shared" si="41"/>
        <v>0</v>
      </c>
      <c r="AG86" s="115"/>
      <c r="AH86" s="107" t="s">
        <v>399</v>
      </c>
      <c r="AI86" s="307"/>
      <c r="AK86" s="107" t="s">
        <v>399</v>
      </c>
      <c r="AL86" s="328"/>
      <c r="AN86" s="107" t="s">
        <v>399</v>
      </c>
      <c r="AO86" s="307"/>
    </row>
    <row r="87" spans="1:41" ht="15.75" thickBot="1" x14ac:dyDescent="0.3">
      <c r="B87" s="108" t="s">
        <v>29</v>
      </c>
      <c r="C87" s="109">
        <f>SUM(C74:C86)</f>
        <v>28158.89992</v>
      </c>
      <c r="D87" s="110">
        <f>SUM(D74:D86)</f>
        <v>37570.65857</v>
      </c>
      <c r="E87" s="111">
        <f>SUM(E74:E86)</f>
        <v>51983.328480000004</v>
      </c>
      <c r="F87" s="112">
        <f>SUM(F74:F86)</f>
        <v>117712.88697000001</v>
      </c>
      <c r="G87" s="301"/>
      <c r="H87" s="301"/>
      <c r="I87" s="301"/>
      <c r="L87" s="108" t="s">
        <v>29</v>
      </c>
      <c r="M87" s="109">
        <f>SUM(M74:M86)</f>
        <v>42112.436066823553</v>
      </c>
      <c r="N87" s="110">
        <f>SUM(N74:N86)</f>
        <v>48453.956719395028</v>
      </c>
      <c r="O87" s="111">
        <f>SUM(O74:O86)</f>
        <v>56842.444714176621</v>
      </c>
      <c r="P87" s="112">
        <f>SUM(P74:P86)</f>
        <v>147408.83750039522</v>
      </c>
      <c r="S87" s="108" t="s">
        <v>29</v>
      </c>
      <c r="T87" s="109">
        <f>SUM(T74:T86)</f>
        <v>12374.999999999998</v>
      </c>
      <c r="U87" s="110">
        <f>SUM(U74:U86)</f>
        <v>17945</v>
      </c>
      <c r="V87" s="111">
        <f>SUM(V74:V86)</f>
        <v>14425</v>
      </c>
      <c r="W87" s="112">
        <f>SUM(W74:W86)</f>
        <v>44745.000000000015</v>
      </c>
      <c r="AA87" s="108" t="s">
        <v>29</v>
      </c>
      <c r="AB87" s="109">
        <f>SUM(AB74:AB86)</f>
        <v>12375</v>
      </c>
      <c r="AC87" s="110">
        <f>SUM(AC74:AC86)</f>
        <v>17945</v>
      </c>
      <c r="AD87" s="111">
        <f>SUM(AD74:AD86)</f>
        <v>14425</v>
      </c>
      <c r="AE87" s="112">
        <f>SUM(AE74:AE86)</f>
        <v>44745</v>
      </c>
      <c r="AH87" s="108" t="s">
        <v>29</v>
      </c>
      <c r="AI87" s="118"/>
      <c r="AK87" s="108" t="s">
        <v>29</v>
      </c>
      <c r="AL87" s="118"/>
      <c r="AN87" s="108" t="s">
        <v>29</v>
      </c>
      <c r="AO87" s="118"/>
    </row>
    <row r="88" spans="1:41" x14ac:dyDescent="0.25">
      <c r="B88" s="304"/>
      <c r="C88" s="301"/>
      <c r="D88" s="301"/>
      <c r="E88" s="301"/>
      <c r="F88" s="301"/>
      <c r="G88" s="301"/>
      <c r="H88" s="301"/>
      <c r="I88" s="301"/>
      <c r="L88" s="304"/>
      <c r="M88" s="286">
        <f>M87-SUM(M82:M84)</f>
        <v>13996.860619999999</v>
      </c>
      <c r="N88" s="286">
        <f>N87-SUM(N82:N84)</f>
        <v>25347.663030000003</v>
      </c>
      <c r="O88" s="286">
        <f>O87-SUM(O82:O84)</f>
        <v>43335.3151</v>
      </c>
      <c r="P88" s="301"/>
      <c r="S88" s="304"/>
      <c r="T88" s="286">
        <f>AB87-SUM(T82:T84)</f>
        <v>-15740.575446823554</v>
      </c>
      <c r="U88" s="286">
        <f>AC87-SUM(U82:U84)</f>
        <v>-5161.2936893950246</v>
      </c>
      <c r="V88" s="286">
        <f>AD87-SUM(V82:V84)</f>
        <v>917.87038582337846</v>
      </c>
      <c r="W88" s="301"/>
      <c r="AA88" s="304"/>
      <c r="AB88" s="301"/>
      <c r="AC88" s="301"/>
      <c r="AD88" s="301"/>
      <c r="AE88" s="301"/>
      <c r="AH88" s="304"/>
      <c r="AI88" s="306"/>
      <c r="AK88" s="304"/>
      <c r="AL88" s="306"/>
      <c r="AN88" s="304"/>
      <c r="AO88" s="306"/>
    </row>
    <row r="89" spans="1:41" ht="26.25" x14ac:dyDescent="0.4">
      <c r="A89" s="150" t="s">
        <v>151</v>
      </c>
      <c r="K89" s="150" t="s">
        <v>151</v>
      </c>
      <c r="R89" s="150" t="s">
        <v>151</v>
      </c>
    </row>
    <row r="90" spans="1:41" ht="26.25" x14ac:dyDescent="0.25">
      <c r="B90" s="102" t="s">
        <v>134</v>
      </c>
      <c r="C90" s="103" t="s">
        <v>135</v>
      </c>
      <c r="D90" s="104" t="s">
        <v>136</v>
      </c>
      <c r="E90" s="105" t="s">
        <v>137</v>
      </c>
      <c r="F90" s="106" t="s">
        <v>29</v>
      </c>
      <c r="G90" s="299"/>
      <c r="H90" s="299"/>
      <c r="I90" s="299"/>
      <c r="L90" s="102" t="s">
        <v>134</v>
      </c>
      <c r="M90" s="103" t="s">
        <v>135</v>
      </c>
      <c r="N90" s="104" t="s">
        <v>136</v>
      </c>
      <c r="O90" s="105" t="s">
        <v>137</v>
      </c>
      <c r="P90" s="106" t="s">
        <v>29</v>
      </c>
      <c r="S90" s="102" t="s">
        <v>134</v>
      </c>
      <c r="T90" s="103" t="s">
        <v>135</v>
      </c>
      <c r="U90" s="104" t="s">
        <v>136</v>
      </c>
      <c r="V90" s="105" t="s">
        <v>137</v>
      </c>
      <c r="W90" s="106" t="s">
        <v>29</v>
      </c>
      <c r="AA90" s="102" t="s">
        <v>134</v>
      </c>
      <c r="AB90" s="103" t="s">
        <v>135</v>
      </c>
      <c r="AC90" s="104" t="s">
        <v>136</v>
      </c>
      <c r="AD90" s="105" t="s">
        <v>137</v>
      </c>
      <c r="AE90" s="106" t="s">
        <v>29</v>
      </c>
      <c r="AH90" s="102" t="s">
        <v>134</v>
      </c>
      <c r="AI90" s="106" t="s">
        <v>29</v>
      </c>
      <c r="AK90" s="102" t="s">
        <v>134</v>
      </c>
      <c r="AL90" s="106" t="s">
        <v>29</v>
      </c>
      <c r="AN90" s="102" t="s">
        <v>134</v>
      </c>
      <c r="AO90" s="106" t="s">
        <v>29</v>
      </c>
    </row>
    <row r="91" spans="1:41" x14ac:dyDescent="0.25">
      <c r="A91">
        <v>1</v>
      </c>
      <c r="B91" s="107" t="s">
        <v>386</v>
      </c>
      <c r="C91" s="297">
        <v>0</v>
      </c>
      <c r="D91" s="113">
        <f>INDEX(TourMode_inputCBD!$B$20:$J$33,MATCH(TourMode!$A93,modes,0),MATCH("idisc",modePurpose,0))</f>
        <v>4315.2013299999999</v>
      </c>
      <c r="E91" s="113">
        <f>INDEX(TourMode_inputCBD!$B$36:$J$49,MATCH(TourMode!$A93,modes,0),MATCH("idisc",modePurpose,0))</f>
        <v>13201.22724</v>
      </c>
      <c r="F91" s="114">
        <f>SUM(C91:E91)</f>
        <v>17516.42857</v>
      </c>
      <c r="G91" s="300"/>
      <c r="H91" s="300"/>
      <c r="I91" s="300"/>
      <c r="J91" s="115"/>
      <c r="K91">
        <v>1</v>
      </c>
      <c r="L91" s="107" t="s">
        <v>386</v>
      </c>
      <c r="M91" s="113">
        <f>C91</f>
        <v>0</v>
      </c>
      <c r="N91" s="113">
        <f t="shared" ref="N91:O98" si="45">D91</f>
        <v>4315.2013299999999</v>
      </c>
      <c r="O91" s="113">
        <f t="shared" si="45"/>
        <v>13201.22724</v>
      </c>
      <c r="P91" s="114">
        <f>SUM(M91:O91)</f>
        <v>17516.42857</v>
      </c>
      <c r="Q91" s="115"/>
      <c r="R91">
        <v>1</v>
      </c>
      <c r="S91" s="107" t="s">
        <v>386</v>
      </c>
      <c r="T91" s="113">
        <f>IF(M105&gt;0,M91/M105*T105,0)</f>
        <v>0</v>
      </c>
      <c r="U91" s="113">
        <f>IF(N105&gt;0,N91/N105*U105,0)</f>
        <v>479.25541165651401</v>
      </c>
      <c r="V91" s="113">
        <f>IF(O105&gt;0,O91/O105*V105,0)</f>
        <v>2570.0321774223717</v>
      </c>
      <c r="W91" s="114">
        <f>SUM(T91:V91)</f>
        <v>3049.2875890788855</v>
      </c>
      <c r="X91" s="115"/>
      <c r="Y91" s="115"/>
      <c r="Z91" s="115"/>
      <c r="AA91" s="107" t="s">
        <v>386</v>
      </c>
      <c r="AB91" s="113">
        <f>INDEX(TourMode_inputCBD!$L$4:$T$17,MATCH(TourMode!$A93,modes,0),MATCH("idisc",modePurpose,0))*Index!$B$2</f>
        <v>0</v>
      </c>
      <c r="AC91" s="113">
        <f>INDEX(TourMode_inputCBD!$L$20:$T$33,MATCH(TourMode!$A93,modes,0), MATCH("idisc",modePurpose,0))*Index!$B$2</f>
        <v>4955</v>
      </c>
      <c r="AD91" s="113">
        <f>INDEX(TourMode_inputCBD!$L$36:$T$49,MATCH(TourMode!$A93,modes,0), MATCH("idisc",modePurpose,0))*Index!$B$2</f>
        <v>8590</v>
      </c>
      <c r="AE91" s="114">
        <f>SUM(AB91:AD91)</f>
        <v>13545</v>
      </c>
      <c r="AG91" s="115"/>
      <c r="AH91" s="107" t="s">
        <v>538</v>
      </c>
      <c r="AI91" s="307"/>
      <c r="AK91" s="107" t="s">
        <v>538</v>
      </c>
      <c r="AL91" s="328"/>
      <c r="AN91" s="107" t="s">
        <v>538</v>
      </c>
      <c r="AO91" s="309"/>
    </row>
    <row r="92" spans="1:41" x14ac:dyDescent="0.25">
      <c r="A92">
        <v>2</v>
      </c>
      <c r="B92" s="107" t="s">
        <v>387</v>
      </c>
      <c r="C92" s="297">
        <v>0</v>
      </c>
      <c r="D92" s="113">
        <f>INDEX(TourMode_inputCBD!$B$20:$J$33,MATCH(TourMode!$A94,modes,0),MATCH("idisc",modePurpose,0))</f>
        <v>0</v>
      </c>
      <c r="E92" s="113">
        <f>INDEX(TourMode_inputCBD!$B$36:$J$49,MATCH(TourMode!$A94,modes,0),MATCH("idisc",modePurpose,0))</f>
        <v>128.68156999999999</v>
      </c>
      <c r="F92" s="116">
        <f t="shared" ref="F92:F103" si="46">SUM(C92:E92)</f>
        <v>128.68156999999999</v>
      </c>
      <c r="G92" s="300"/>
      <c r="H92" s="300"/>
      <c r="I92" s="300"/>
      <c r="J92" s="115"/>
      <c r="K92">
        <v>2</v>
      </c>
      <c r="L92" s="107" t="s">
        <v>387</v>
      </c>
      <c r="M92" s="113">
        <f t="shared" ref="M92:M98" si="47">C92</f>
        <v>0</v>
      </c>
      <c r="N92" s="113">
        <f t="shared" si="45"/>
        <v>0</v>
      </c>
      <c r="O92" s="113">
        <f t="shared" si="45"/>
        <v>128.68156999999999</v>
      </c>
      <c r="P92" s="116">
        <f t="shared" ref="P92:P103" si="48">SUM(M92:O92)</f>
        <v>128.68156999999999</v>
      </c>
      <c r="Q92" s="115"/>
      <c r="R92">
        <v>2</v>
      </c>
      <c r="S92" s="107" t="s">
        <v>387</v>
      </c>
      <c r="T92" s="113">
        <f>IF(M105&gt;0,M92/M105*T105,0)</f>
        <v>0</v>
      </c>
      <c r="U92" s="113">
        <f>IF(N105&gt;0,N92/N105*U105,0)</f>
        <v>0</v>
      </c>
      <c r="V92" s="113">
        <f>IF(O105&gt;0,O92/O105*V105,0)</f>
        <v>25.051896276669908</v>
      </c>
      <c r="W92" s="116">
        <f t="shared" ref="W92:W103" si="49">SUM(T92:V92)</f>
        <v>25.051896276669908</v>
      </c>
      <c r="X92" s="115"/>
      <c r="Y92" s="115"/>
      <c r="Z92" s="115"/>
      <c r="AA92" s="107" t="s">
        <v>387</v>
      </c>
      <c r="AB92" s="113">
        <f>INDEX(TourMode_inputCBD!$L$4:$T$17,MATCH(TourMode!$A94,modes,0),MATCH("idisc",modePurpose,0))*Index!$B$2</f>
        <v>0</v>
      </c>
      <c r="AC92" s="113">
        <f>INDEX(TourMode_inputCBD!$L$20:$T$33,MATCH(TourMode!$A94,modes,0), MATCH("idisc",modePurpose,0))*Index!$B$2</f>
        <v>185</v>
      </c>
      <c r="AD92" s="113">
        <f>INDEX(TourMode_inputCBD!$L$36:$T$49,MATCH(TourMode!$A94,modes,0), MATCH("idisc",modePurpose,0))*Index!$B$2</f>
        <v>595</v>
      </c>
      <c r="AE92" s="116">
        <f t="shared" ref="AE92:AE103" si="50">SUM(AB92:AD92)</f>
        <v>780</v>
      </c>
      <c r="AG92" s="115"/>
      <c r="AH92" s="107"/>
      <c r="AI92" s="307"/>
      <c r="AK92" s="107"/>
      <c r="AL92" s="328"/>
      <c r="AN92" s="107"/>
      <c r="AO92" s="307"/>
    </row>
    <row r="93" spans="1:41" x14ac:dyDescent="0.25">
      <c r="A93">
        <v>3</v>
      </c>
      <c r="B93" s="107" t="s">
        <v>388</v>
      </c>
      <c r="C93" s="113">
        <f>INDEX(TourMode_inputCBD!$B$4:$J$172,MATCH(TourMode!$A95,modes,0),MATCH("idisc",modePurpose,0))</f>
        <v>1534.0062700000001</v>
      </c>
      <c r="D93" s="113">
        <f>INDEX(TourMode_inputCBD!$B$20:$J$33,MATCH(TourMode!$A95,modes,0),MATCH("idisc",modePurpose,0))</f>
        <v>5667.5456800000002</v>
      </c>
      <c r="E93" s="113">
        <f>INDEX(TourMode_inputCBD!$B$36:$J$49,MATCH(TourMode!$A95,modes,0),MATCH("idisc",modePurpose,0))</f>
        <v>5888.2643099999996</v>
      </c>
      <c r="F93" s="116">
        <f t="shared" si="46"/>
        <v>13089.81626</v>
      </c>
      <c r="G93" s="300"/>
      <c r="H93" s="300"/>
      <c r="I93" s="300"/>
      <c r="J93" s="115"/>
      <c r="K93">
        <v>3</v>
      </c>
      <c r="L93" s="107" t="s">
        <v>388</v>
      </c>
      <c r="M93" s="113">
        <f t="shared" si="47"/>
        <v>1534.0062700000001</v>
      </c>
      <c r="N93" s="113">
        <f t="shared" si="45"/>
        <v>5667.5456800000002</v>
      </c>
      <c r="O93" s="113">
        <f t="shared" si="45"/>
        <v>5888.2643099999996</v>
      </c>
      <c r="P93" s="116">
        <f t="shared" si="48"/>
        <v>13089.81626</v>
      </c>
      <c r="Q93" s="115"/>
      <c r="R93">
        <v>3</v>
      </c>
      <c r="S93" s="107" t="s">
        <v>388</v>
      </c>
      <c r="T93" s="113">
        <f>IF(M105&gt;0,M93/M105*T105,0)</f>
        <v>-763.74832971213277</v>
      </c>
      <c r="U93" s="113">
        <f>IF(N105&gt;0,N93/N105*U105,0)</f>
        <v>629.44964330331663</v>
      </c>
      <c r="V93" s="113">
        <f>IF(O105&gt;0,O93/O105*V105,0)</f>
        <v>1146.3349937659084</v>
      </c>
      <c r="W93" s="116">
        <f t="shared" si="49"/>
        <v>1012.0363073570923</v>
      </c>
      <c r="X93" s="115"/>
      <c r="Y93" s="115"/>
      <c r="Z93" s="115"/>
      <c r="AA93" s="107" t="s">
        <v>388</v>
      </c>
      <c r="AB93" s="113">
        <f>INDEX(TourMode_inputCBD!$L$4:$T$17,MATCH(TourMode!$A95,modes,0),MATCH("idisc",modePurpose,0))*Index!$B$2</f>
        <v>890</v>
      </c>
      <c r="AC93" s="113">
        <f>INDEX(TourMode_inputCBD!$L$20:$T$33,MATCH(TourMode!$A95,modes,0), MATCH("idisc",modePurpose,0))*Index!$B$2</f>
        <v>3435</v>
      </c>
      <c r="AD93" s="113">
        <f>INDEX(TourMode_inputCBD!$L$36:$T$49,MATCH(TourMode!$A95,modes,0), MATCH("idisc",modePurpose,0))*Index!$B$2</f>
        <v>2105</v>
      </c>
      <c r="AE93" s="116">
        <f t="shared" si="50"/>
        <v>6430</v>
      </c>
      <c r="AG93" s="115"/>
      <c r="AH93" s="107" t="s">
        <v>576</v>
      </c>
      <c r="AI93" s="307"/>
      <c r="AK93" s="107" t="s">
        <v>576</v>
      </c>
      <c r="AL93" s="328"/>
      <c r="AN93" s="107" t="s">
        <v>576</v>
      </c>
      <c r="AO93" s="307"/>
    </row>
    <row r="94" spans="1:41" x14ac:dyDescent="0.25">
      <c r="A94">
        <v>4</v>
      </c>
      <c r="B94" s="107" t="s">
        <v>389</v>
      </c>
      <c r="C94" s="113">
        <f>INDEX(TourMode_inputCBD!$B$4:$J$172,MATCH(TourMode!$A96,modes,0),MATCH("idisc",modePurpose,0))</f>
        <v>0</v>
      </c>
      <c r="D94" s="113">
        <f>INDEX(TourMode_inputCBD!$B$20:$J$33,MATCH(TourMode!$A96,modes,0),MATCH("idisc",modePurpose,0))</f>
        <v>0</v>
      </c>
      <c r="E94" s="113">
        <f>INDEX(TourMode_inputCBD!$B$36:$J$49,MATCH(TourMode!$A96,modes,0),MATCH("idisc",modePurpose,0))</f>
        <v>113.27288</v>
      </c>
      <c r="F94" s="116">
        <f t="shared" si="46"/>
        <v>113.27288</v>
      </c>
      <c r="G94" s="300"/>
      <c r="H94" s="300"/>
      <c r="I94" s="300"/>
      <c r="J94" s="115"/>
      <c r="K94">
        <v>4</v>
      </c>
      <c r="L94" s="107" t="s">
        <v>389</v>
      </c>
      <c r="M94" s="113">
        <f t="shared" si="47"/>
        <v>0</v>
      </c>
      <c r="N94" s="113">
        <f t="shared" si="45"/>
        <v>0</v>
      </c>
      <c r="O94" s="113">
        <f t="shared" si="45"/>
        <v>113.27288</v>
      </c>
      <c r="P94" s="116">
        <f t="shared" si="48"/>
        <v>113.27288</v>
      </c>
      <c r="Q94" s="115"/>
      <c r="R94">
        <v>4</v>
      </c>
      <c r="S94" s="107" t="s">
        <v>389</v>
      </c>
      <c r="T94" s="113">
        <f>IF(M105&gt;0,M94/M105*T105,0)</f>
        <v>0</v>
      </c>
      <c r="U94" s="113">
        <f>IF(N105&gt;0,N94/N105*U105,0)</f>
        <v>0</v>
      </c>
      <c r="V94" s="113">
        <f>IF(O105&gt;0,O94/O105*V105,0)</f>
        <v>22.052112363251997</v>
      </c>
      <c r="W94" s="116">
        <f t="shared" si="49"/>
        <v>22.052112363251997</v>
      </c>
      <c r="X94" s="115"/>
      <c r="Y94" s="115"/>
      <c r="Z94" s="115"/>
      <c r="AA94" s="107" t="s">
        <v>389</v>
      </c>
      <c r="AB94" s="113">
        <f>INDEX(TourMode_inputCBD!$L$4:$T$17,MATCH(TourMode!$A96,modes,0),MATCH("idisc",modePurpose,0))*Index!$B$2</f>
        <v>10</v>
      </c>
      <c r="AC94" s="113">
        <f>INDEX(TourMode_inputCBD!$L$20:$T$33,MATCH(TourMode!$A96,modes,0), MATCH("idisc",modePurpose,0))*Index!$B$2</f>
        <v>130</v>
      </c>
      <c r="AD94" s="113">
        <f>INDEX(TourMode_inputCBD!$L$36:$T$49,MATCH(TourMode!$A96,modes,0), MATCH("idisc",modePurpose,0))*Index!$B$2</f>
        <v>215</v>
      </c>
      <c r="AE94" s="116">
        <f t="shared" si="50"/>
        <v>355</v>
      </c>
      <c r="AG94" s="115"/>
      <c r="AH94" s="107"/>
      <c r="AI94" s="307"/>
      <c r="AK94" s="107"/>
      <c r="AL94" s="328"/>
      <c r="AN94" s="107"/>
      <c r="AO94" s="307"/>
    </row>
    <row r="95" spans="1:41" x14ac:dyDescent="0.25">
      <c r="A95">
        <v>5</v>
      </c>
      <c r="B95" s="107" t="s">
        <v>390</v>
      </c>
      <c r="C95" s="113">
        <f>INDEX(TourMode_inputCBD!$B$4:$J$172,MATCH(TourMode!$A97,modes,0),MATCH("idisc",modePurpose,0))</f>
        <v>0</v>
      </c>
      <c r="D95" s="113">
        <f>INDEX(TourMode_inputCBD!$B$20:$J$33,MATCH(TourMode!$A97,modes,0),MATCH("idisc",modePurpose,0))</f>
        <v>4399.7726300000004</v>
      </c>
      <c r="E95" s="113">
        <f>INDEX(TourMode_inputCBD!$B$36:$J$49,MATCH(TourMode!$A97,modes,0),MATCH("idisc",modePurpose,0))</f>
        <v>3293.5081700000001</v>
      </c>
      <c r="F95" s="116">
        <f t="shared" si="46"/>
        <v>7693.2808000000005</v>
      </c>
      <c r="G95" s="300"/>
      <c r="H95" s="300"/>
      <c r="I95" s="300"/>
      <c r="J95" s="115"/>
      <c r="K95">
        <v>5</v>
      </c>
      <c r="L95" s="107" t="s">
        <v>390</v>
      </c>
      <c r="M95" s="113">
        <f t="shared" si="47"/>
        <v>0</v>
      </c>
      <c r="N95" s="113">
        <f t="shared" si="45"/>
        <v>4399.7726300000004</v>
      </c>
      <c r="O95" s="113">
        <f t="shared" si="45"/>
        <v>3293.5081700000001</v>
      </c>
      <c r="P95" s="116">
        <f t="shared" si="48"/>
        <v>7693.2808000000005</v>
      </c>
      <c r="Q95" s="115"/>
      <c r="R95">
        <v>5</v>
      </c>
      <c r="S95" s="107" t="s">
        <v>390</v>
      </c>
      <c r="T95" s="113">
        <f>IF(M105&gt;0,M95/M105*T105,0)</f>
        <v>0</v>
      </c>
      <c r="U95" s="113">
        <f>IF(N105&gt;0,N95/N105*U105,0)</f>
        <v>488.64807959857421</v>
      </c>
      <c r="V95" s="113">
        <f>IF(O105&gt;0,O95/O105*V105,0)</f>
        <v>641.18447623233783</v>
      </c>
      <c r="W95" s="116">
        <f t="shared" si="49"/>
        <v>1129.832555830912</v>
      </c>
      <c r="X95" s="115"/>
      <c r="Y95" s="115"/>
      <c r="Z95" s="115"/>
      <c r="AA95" s="107" t="s">
        <v>390</v>
      </c>
      <c r="AB95" s="113">
        <f>INDEX(TourMode_inputCBD!$L$4:$T$17,MATCH(TourMode!$A97,modes,0),MATCH("idisc",modePurpose,0))*Index!$B$2</f>
        <v>40</v>
      </c>
      <c r="AC95" s="113">
        <f>INDEX(TourMode_inputCBD!$L$20:$T$33,MATCH(TourMode!$A97,modes,0), MATCH("idisc",modePurpose,0))*Index!$B$2</f>
        <v>795</v>
      </c>
      <c r="AD95" s="113">
        <f>INDEX(TourMode_inputCBD!$L$36:$T$49,MATCH(TourMode!$A97,modes,0), MATCH("idisc",modePurpose,0))*Index!$B$2</f>
        <v>605</v>
      </c>
      <c r="AE95" s="116">
        <f t="shared" si="50"/>
        <v>1440</v>
      </c>
      <c r="AG95" s="115"/>
      <c r="AH95" s="107" t="s">
        <v>577</v>
      </c>
      <c r="AI95" s="307"/>
      <c r="AK95" s="107" t="s">
        <v>577</v>
      </c>
      <c r="AL95" s="328"/>
      <c r="AN95" s="107" t="s">
        <v>577</v>
      </c>
      <c r="AO95" s="307"/>
    </row>
    <row r="96" spans="1:41" x14ac:dyDescent="0.25">
      <c r="A96">
        <v>6</v>
      </c>
      <c r="B96" s="107" t="s">
        <v>391</v>
      </c>
      <c r="C96" s="113">
        <f>INDEX(TourMode_inputCBD!$B$4:$J$172,MATCH(TourMode!$A98,modes,0),MATCH("idisc",modePurpose,0))</f>
        <v>0</v>
      </c>
      <c r="D96" s="113">
        <f>INDEX(TourMode_inputCBD!$B$20:$J$33,MATCH(TourMode!$A98,modes,0),MATCH("idisc",modePurpose,0))</f>
        <v>227.84692999999999</v>
      </c>
      <c r="E96" s="113">
        <f>INDEX(TourMode_inputCBD!$B$36:$J$49,MATCH(TourMode!$A98,modes,0),MATCH("idisc",modePurpose,0))</f>
        <v>57.632989999999999</v>
      </c>
      <c r="F96" s="116">
        <f t="shared" si="46"/>
        <v>285.47991999999999</v>
      </c>
      <c r="G96" s="300"/>
      <c r="H96" s="300"/>
      <c r="I96" s="300"/>
      <c r="J96" s="115"/>
      <c r="K96">
        <v>6</v>
      </c>
      <c r="L96" s="107" t="s">
        <v>391</v>
      </c>
      <c r="M96" s="113">
        <f t="shared" si="47"/>
        <v>0</v>
      </c>
      <c r="N96" s="113">
        <f t="shared" si="45"/>
        <v>227.84692999999999</v>
      </c>
      <c r="O96" s="113">
        <f t="shared" si="45"/>
        <v>57.632989999999999</v>
      </c>
      <c r="P96" s="116">
        <f t="shared" si="48"/>
        <v>285.47991999999999</v>
      </c>
      <c r="Q96" s="115"/>
      <c r="R96">
        <v>6</v>
      </c>
      <c r="S96" s="107" t="s">
        <v>391</v>
      </c>
      <c r="T96" s="113">
        <f>IF(M105&gt;0,M96/M105*T105,0)</f>
        <v>0</v>
      </c>
      <c r="U96" s="113">
        <f>IF(N105&gt;0,N96/N105*U105,0)</f>
        <v>25.305163277705731</v>
      </c>
      <c r="V96" s="113">
        <f>IF(O105&gt;0,O96/O105*V105,0)</f>
        <v>11.220065838444107</v>
      </c>
      <c r="W96" s="116">
        <f t="shared" si="49"/>
        <v>36.525229116149838</v>
      </c>
      <c r="X96" s="115"/>
      <c r="Y96" s="115"/>
      <c r="Z96" s="115"/>
      <c r="AA96" s="107" t="s">
        <v>391</v>
      </c>
      <c r="AB96" s="113">
        <f>INDEX(TourMode_inputCBD!$L$4:$T$17,MATCH(TourMode!$A98,modes,0),MATCH("idisc",modePurpose,0))*Index!$B$2</f>
        <v>0</v>
      </c>
      <c r="AC96" s="113">
        <f>INDEX(TourMode_inputCBD!$L$20:$T$33,MATCH(TourMode!$A98,modes,0), MATCH("idisc",modePurpose,0))*Index!$B$2</f>
        <v>25</v>
      </c>
      <c r="AD96" s="113">
        <f>INDEX(TourMode_inputCBD!$L$36:$T$49,MATCH(TourMode!$A98,modes,0), MATCH("idisc",modePurpose,0))*Index!$B$2</f>
        <v>60</v>
      </c>
      <c r="AE96" s="116">
        <f t="shared" si="50"/>
        <v>85</v>
      </c>
      <c r="AG96" s="115"/>
      <c r="AH96" s="107"/>
      <c r="AI96" s="307"/>
      <c r="AK96" s="107"/>
      <c r="AL96" s="328"/>
      <c r="AN96" s="107"/>
      <c r="AO96" s="307"/>
    </row>
    <row r="97" spans="1:41" x14ac:dyDescent="0.25">
      <c r="A97">
        <v>7</v>
      </c>
      <c r="B97" s="107" t="s">
        <v>392</v>
      </c>
      <c r="C97" s="113">
        <f>INDEX(TourMode_inputCBD!$B$4:$J$172,MATCH(TourMode!$A99,modes,0),MATCH("idisc",modePurpose,0))</f>
        <v>9834.6024600000001</v>
      </c>
      <c r="D97" s="113">
        <f>INDEX(TourMode_inputCBD!$B$20:$J$33,MATCH(TourMode!$A99,modes,0),MATCH("idisc",modePurpose,0))</f>
        <v>8642.2134800000003</v>
      </c>
      <c r="E97" s="113">
        <f>INDEX(TourMode_inputCBD!$B$36:$J$49,MATCH(TourMode!$A99,modes,0),MATCH("idisc",modePurpose,0))</f>
        <v>5454.2413399999996</v>
      </c>
      <c r="F97" s="116">
        <f t="shared" si="46"/>
        <v>23931.057280000001</v>
      </c>
      <c r="G97" s="300"/>
      <c r="H97" s="300"/>
      <c r="I97" s="300"/>
      <c r="J97" s="115"/>
      <c r="K97">
        <v>7</v>
      </c>
      <c r="L97" s="107" t="s">
        <v>392</v>
      </c>
      <c r="M97" s="113">
        <f t="shared" si="47"/>
        <v>9834.6024600000001</v>
      </c>
      <c r="N97" s="113">
        <f t="shared" si="45"/>
        <v>8642.2134800000003</v>
      </c>
      <c r="O97" s="113">
        <f t="shared" si="45"/>
        <v>5454.2413399999996</v>
      </c>
      <c r="P97" s="116">
        <f t="shared" si="48"/>
        <v>23931.057280000001</v>
      </c>
      <c r="Q97" s="115"/>
      <c r="R97">
        <v>7</v>
      </c>
      <c r="S97" s="107" t="s">
        <v>392</v>
      </c>
      <c r="T97" s="113">
        <f>IF(M105&gt;0,M97/M105*T105,0)</f>
        <v>-4896.4344860258179</v>
      </c>
      <c r="U97" s="113">
        <f>IF(N105&gt;0,N97/N105*U105,0)</f>
        <v>959.82255803134785</v>
      </c>
      <c r="V97" s="113">
        <f>IF(O105&gt;0,O97/O105*V105,0)</f>
        <v>1061.8388345557571</v>
      </c>
      <c r="W97" s="116">
        <f t="shared" si="49"/>
        <v>-2874.7730934387127</v>
      </c>
      <c r="X97" s="115"/>
      <c r="Y97" s="115"/>
      <c r="Z97" s="115"/>
      <c r="AA97" s="107" t="s">
        <v>392</v>
      </c>
      <c r="AB97" s="113">
        <f>INDEX(TourMode_inputCBD!$L$4:$T$17,MATCH(TourMode!$A99,modes,0),MATCH("idisc",modePurpose,0))*Index!$B$2</f>
        <v>2000</v>
      </c>
      <c r="AC97" s="113">
        <f>INDEX(TourMode_inputCBD!$L$20:$T$33,MATCH(TourMode!$A99,modes,0), MATCH("idisc",modePurpose,0))*Index!$B$2</f>
        <v>2485</v>
      </c>
      <c r="AD97" s="113">
        <f>INDEX(TourMode_inputCBD!$L$36:$T$49,MATCH(TourMode!$A99,modes,0), MATCH("idisc",modePurpose,0))*Index!$B$2</f>
        <v>935</v>
      </c>
      <c r="AE97" s="116">
        <f t="shared" si="50"/>
        <v>5420</v>
      </c>
      <c r="AG97" s="115"/>
      <c r="AH97" s="107" t="s">
        <v>392</v>
      </c>
      <c r="AI97" s="307"/>
      <c r="AK97" s="107" t="s">
        <v>392</v>
      </c>
      <c r="AL97" s="328"/>
      <c r="AN97" s="107" t="s">
        <v>392</v>
      </c>
      <c r="AO97" s="307"/>
    </row>
    <row r="98" spans="1:41" x14ac:dyDescent="0.25">
      <c r="A98">
        <v>8</v>
      </c>
      <c r="B98" s="107" t="s">
        <v>393</v>
      </c>
      <c r="C98" s="113">
        <f>INDEX(TourMode_inputCBD!$B$4:$J$172,MATCH(TourMode!$A100,modes,0),MATCH("idisc",modePurpose,0))</f>
        <v>1978.3338100000001</v>
      </c>
      <c r="D98" s="113">
        <f>INDEX(TourMode_inputCBD!$B$20:$J$33,MATCH(TourMode!$A100,modes,0),MATCH("idisc",modePurpose,0))</f>
        <v>2596.26082</v>
      </c>
      <c r="E98" s="113">
        <f>INDEX(TourMode_inputCBD!$B$36:$J$49,MATCH(TourMode!$A100,modes,0),MATCH("idisc",modePurpose,0))</f>
        <v>1069.3681099999999</v>
      </c>
      <c r="F98" s="116">
        <f t="shared" si="46"/>
        <v>5643.962739999999</v>
      </c>
      <c r="G98" s="300"/>
      <c r="H98" s="300"/>
      <c r="I98" s="300"/>
      <c r="J98" s="115"/>
      <c r="K98">
        <v>8</v>
      </c>
      <c r="L98" s="107" t="s">
        <v>393</v>
      </c>
      <c r="M98" s="113">
        <f t="shared" si="47"/>
        <v>1978.3338100000001</v>
      </c>
      <c r="N98" s="113">
        <f t="shared" si="45"/>
        <v>2596.26082</v>
      </c>
      <c r="O98" s="113">
        <f t="shared" si="45"/>
        <v>1069.3681099999999</v>
      </c>
      <c r="P98" s="116">
        <f t="shared" si="48"/>
        <v>5643.962739999999</v>
      </c>
      <c r="Q98" s="115"/>
      <c r="R98">
        <v>8</v>
      </c>
      <c r="S98" s="107" t="s">
        <v>393</v>
      </c>
      <c r="T98" s="113">
        <f>IF(M105&gt;0,M98/M105*T105,0)</f>
        <v>-984.96933979320693</v>
      </c>
      <c r="U98" s="113">
        <f>IF(N105&gt;0,N98/N105*U105,0)</f>
        <v>288.34623298023007</v>
      </c>
      <c r="V98" s="113">
        <f>IF(O105&gt;0,O98/O105*V105,0)</f>
        <v>208.18598167009102</v>
      </c>
      <c r="W98" s="116">
        <f t="shared" si="49"/>
        <v>-488.43712514288586</v>
      </c>
      <c r="X98" s="115"/>
      <c r="Y98" s="115"/>
      <c r="Z98" s="115"/>
      <c r="AA98" s="107" t="s">
        <v>393</v>
      </c>
      <c r="AB98" s="113">
        <f>INDEX(TourMode_inputCBD!$L$4:$T$17,MATCH(TourMode!$A100,modes,0),MATCH("idisc",modePurpose,0))*Index!$B$2</f>
        <v>1760</v>
      </c>
      <c r="AC98" s="113">
        <f>INDEX(TourMode_inputCBD!$L$20:$T$33,MATCH(TourMode!$A100,modes,0), MATCH("idisc",modePurpose,0))*Index!$B$2</f>
        <v>1140</v>
      </c>
      <c r="AD98" s="113">
        <f>INDEX(TourMode_inputCBD!$L$36:$T$49,MATCH(TourMode!$A100,modes,0), MATCH("idisc",modePurpose,0))*Index!$B$2</f>
        <v>650</v>
      </c>
      <c r="AE98" s="116">
        <f t="shared" si="50"/>
        <v>3550</v>
      </c>
      <c r="AG98" s="115"/>
      <c r="AH98" s="107" t="s">
        <v>393</v>
      </c>
      <c r="AI98" s="307"/>
      <c r="AK98" s="107" t="s">
        <v>393</v>
      </c>
      <c r="AL98" s="328"/>
      <c r="AN98" s="107" t="s">
        <v>393</v>
      </c>
      <c r="AO98" s="307"/>
    </row>
    <row r="99" spans="1:41" x14ac:dyDescent="0.25">
      <c r="A99">
        <v>10</v>
      </c>
      <c r="B99" s="107" t="s">
        <v>555</v>
      </c>
      <c r="C99" s="113">
        <f>INDEX(TourMode_inputCBD!$B$4:$J$172,MATCH(TourMode!$A102,modes,0),MATCH("idisc",modePurpose,0))+INDEX(TourMode_inputCBD!$B$4:$J$172,MATCH(TourMode!$A101,modes,0),MATCH("idisc",modePurpose,0))</f>
        <v>7365.2989799999996</v>
      </c>
      <c r="D99" s="113">
        <f>INDEX(TourMode_inputCBD!$B$20:$J$33,MATCH(TourMode!$A102,modes,0),MATCH("idisc",modePurpose,0))+INDEX(TourMode_inputCBD!$B$20:$J$33,MATCH(TourMode!$A101,modes,0),MATCH("idisc",modePurpose,0))</f>
        <v>5401.9354199999998</v>
      </c>
      <c r="E99" s="113">
        <f>INDEX(TourMode_inputCBD!$B$36:$J$49,MATCH(TourMode!$A102,modes,0),MATCH("idisc",modePurpose,0))+INDEX(TourMode_inputCBD!$B$36:$J$49,MATCH(TourMode!$A101,modes,0),MATCH("idisc",modePurpose,0))</f>
        <v>3137.7434699999999</v>
      </c>
      <c r="F99" s="116">
        <f t="shared" si="46"/>
        <v>15904.977869999999</v>
      </c>
      <c r="G99" s="300"/>
      <c r="H99" s="302">
        <f>F99/F$167</f>
        <v>5.3682146873251207E-2</v>
      </c>
      <c r="I99" s="300">
        <f>H99*H$167</f>
        <v>33436.464221518021</v>
      </c>
      <c r="J99" s="115"/>
      <c r="K99">
        <v>10</v>
      </c>
      <c r="L99" s="107" t="s">
        <v>546</v>
      </c>
      <c r="M99" s="113">
        <f>IF($F99&gt;0,C99/$F99*$I99,0)</f>
        <v>15483.803739838411</v>
      </c>
      <c r="N99" s="113">
        <f t="shared" ref="N99:O101" si="51">IF($F99&gt;0,D99/$F99*$I99,0)</f>
        <v>11356.294983501348</v>
      </c>
      <c r="O99" s="113">
        <f t="shared" si="51"/>
        <v>6596.3654981782638</v>
      </c>
      <c r="P99" s="116">
        <f t="shared" si="48"/>
        <v>33436.464221518021</v>
      </c>
      <c r="Q99" s="115"/>
      <c r="R99">
        <v>10</v>
      </c>
      <c r="S99" s="107" t="s">
        <v>546</v>
      </c>
      <c r="T99" s="113">
        <f>M99</f>
        <v>15483.803739838411</v>
      </c>
      <c r="U99" s="113">
        <f>N99</f>
        <v>11356.294983501348</v>
      </c>
      <c r="V99" s="113">
        <f>O99</f>
        <v>6596.3654981782638</v>
      </c>
      <c r="W99" s="116">
        <f t="shared" si="49"/>
        <v>33436.464221518021</v>
      </c>
      <c r="X99" s="115"/>
      <c r="Y99" s="115"/>
      <c r="Z99" s="115"/>
      <c r="AA99" s="107" t="s">
        <v>546</v>
      </c>
      <c r="AB99" s="113">
        <f>INDEX(TourMode_inputCBD!$L$4:$T$17,MATCH(TourMode!$A102,modes,0),MATCH("idisc",modePurpose,0))*Index!$B$2</f>
        <v>3800</v>
      </c>
      <c r="AC99" s="113">
        <f>INDEX(TourMode_inputCBD!$L$20:$T$33,MATCH(TourMode!$A102,modes,0), MATCH("idisc",modePurpose,0))*Index!$B$2</f>
        <v>1560</v>
      </c>
      <c r="AD99" s="113">
        <f>INDEX(TourMode_inputCBD!$L$36:$T$49,MATCH(TourMode!$A102,modes,0), MATCH("idisc",modePurpose,0))*Index!$B$2</f>
        <v>735</v>
      </c>
      <c r="AE99" s="116">
        <f t="shared" si="50"/>
        <v>6095</v>
      </c>
      <c r="AG99" s="115"/>
      <c r="AH99" s="107" t="s">
        <v>395</v>
      </c>
      <c r="AI99" s="307">
        <f>IFERROR(IF(AE99&gt;0,LN(W99/AE99),0),0)</f>
        <v>1.7021782846904749</v>
      </c>
      <c r="AK99" s="107" t="s">
        <v>395</v>
      </c>
      <c r="AL99" s="328">
        <v>0.93041070862863362</v>
      </c>
      <c r="AN99" s="107" t="s">
        <v>395</v>
      </c>
      <c r="AO99" s="307">
        <f>AL99+$AO$1*AI99</f>
        <v>0.50486613745601483</v>
      </c>
    </row>
    <row r="100" spans="1:41" x14ac:dyDescent="0.25">
      <c r="A100">
        <v>11</v>
      </c>
      <c r="B100" s="107" t="s">
        <v>556</v>
      </c>
      <c r="C100" s="113">
        <f>INDEX(TourMode_inputCBD!$B$4:$J$172,MATCH(TourMode!$A103,modes,0),MATCH("idisc",modePurpose,0))</f>
        <v>71.817570000000003</v>
      </c>
      <c r="D100" s="113">
        <f>INDEX(TourMode_inputCBD!$B$20:$J$33,MATCH(TourMode!$A103,modes,0),MATCH("idisc",modePurpose,0))</f>
        <v>28.618010000000002</v>
      </c>
      <c r="E100" s="113">
        <f>INDEX(TourMode_inputCBD!$B$36:$J$49,MATCH(TourMode!$A103,modes,0),MATCH("idisc",modePurpose,0))</f>
        <v>1405.5533800000001</v>
      </c>
      <c r="F100" s="116">
        <f t="shared" si="46"/>
        <v>1505.9889600000001</v>
      </c>
      <c r="G100" s="300"/>
      <c r="H100" s="302">
        <f>F100/F$168</f>
        <v>3.1601552444652896E-2</v>
      </c>
      <c r="I100" s="300">
        <f>H100*H$168</f>
        <v>1267.0822575262255</v>
      </c>
      <c r="J100" s="115"/>
      <c r="K100">
        <v>11</v>
      </c>
      <c r="L100" s="107" t="s">
        <v>559</v>
      </c>
      <c r="M100" s="113">
        <f>IF($F100&gt;0,C100/$F100*$I100,0)</f>
        <v>60.424592173403269</v>
      </c>
      <c r="N100" s="113">
        <f t="shared" si="51"/>
        <v>24.078113239759805</v>
      </c>
      <c r="O100" s="113">
        <f t="shared" si="51"/>
        <v>1182.5795521130624</v>
      </c>
      <c r="P100" s="116">
        <f t="shared" si="48"/>
        <v>1267.0822575262255</v>
      </c>
      <c r="Q100" s="115"/>
      <c r="R100">
        <v>11</v>
      </c>
      <c r="S100" s="107" t="s">
        <v>559</v>
      </c>
      <c r="T100" s="113">
        <f t="shared" ref="T100:V101" si="52">M100</f>
        <v>60.424592173403269</v>
      </c>
      <c r="U100" s="113">
        <f t="shared" si="52"/>
        <v>24.078113239759805</v>
      </c>
      <c r="V100" s="113">
        <f t="shared" si="52"/>
        <v>1182.5795521130624</v>
      </c>
      <c r="W100" s="116">
        <f t="shared" si="49"/>
        <v>1267.0822575262255</v>
      </c>
      <c r="X100" s="115"/>
      <c r="Y100" s="115"/>
      <c r="Z100" s="115"/>
      <c r="AA100" s="107" t="s">
        <v>559</v>
      </c>
      <c r="AB100" s="113">
        <f>INDEX(TourMode_inputCBD!$L$4:$T$17,MATCH(TourMode!$A103,modes,0),MATCH("idisc",modePurpose,0))*Index!$B$2</f>
        <v>55</v>
      </c>
      <c r="AC100" s="113">
        <f>INDEX(TourMode_inputCBD!$L$20:$T$33,MATCH(TourMode!$A103,modes,0), MATCH("idisc",modePurpose,0))*Index!$B$2</f>
        <v>5</v>
      </c>
      <c r="AD100" s="113">
        <f>INDEX(TourMode_inputCBD!$L$36:$T$49,MATCH(TourMode!$A103,modes,0), MATCH("idisc",modePurpose,0))*Index!$B$2</f>
        <v>35</v>
      </c>
      <c r="AE100" s="116">
        <f t="shared" si="50"/>
        <v>95</v>
      </c>
      <c r="AG100" s="115"/>
      <c r="AH100" s="107" t="s">
        <v>396</v>
      </c>
      <c r="AI100" s="307">
        <f>IFERROR(IF(AE100&gt;0,LN(W100/AE100),0),0)</f>
        <v>2.5905952096804525</v>
      </c>
      <c r="AK100" s="107" t="s">
        <v>396</v>
      </c>
      <c r="AL100" s="328">
        <v>0.54263125444508042</v>
      </c>
      <c r="AN100" s="107" t="s">
        <v>396</v>
      </c>
      <c r="AO100" s="307">
        <f>AL100+$AO$1*AI100</f>
        <v>-0.10501754797503271</v>
      </c>
    </row>
    <row r="101" spans="1:41" x14ac:dyDescent="0.25">
      <c r="A101">
        <v>12</v>
      </c>
      <c r="B101" s="107" t="s">
        <v>557</v>
      </c>
      <c r="C101" s="297">
        <v>0</v>
      </c>
      <c r="D101" s="113">
        <f>INDEX(TourMode_inputCBD!$B$20:$J$33,MATCH(TourMode!$A104,modes,0),MATCH("idisc",modePurpose,0))</f>
        <v>778.91989000000001</v>
      </c>
      <c r="E101" s="113">
        <f>INDEX(TourMode_inputCBD!$B$36:$J$49,MATCH(TourMode!$A104,modes,0),MATCH("idisc",modePurpose,0))</f>
        <v>1288.7741000000001</v>
      </c>
      <c r="F101" s="116">
        <f t="shared" si="46"/>
        <v>2067.6939900000002</v>
      </c>
      <c r="G101" s="300"/>
      <c r="H101" s="302">
        <f>F101/F$169</f>
        <v>1.5437506207740396E-2</v>
      </c>
      <c r="I101" s="300">
        <f>H101*H$169</f>
        <v>1534.0218441556476</v>
      </c>
      <c r="J101" s="115"/>
      <c r="K101">
        <v>12</v>
      </c>
      <c r="L101" s="107" t="s">
        <v>560</v>
      </c>
      <c r="M101" s="113">
        <f>IF($F101&gt;0,C101/$F101*$I101,0)</f>
        <v>0</v>
      </c>
      <c r="N101" s="113">
        <f t="shared" si="51"/>
        <v>577.88054319745549</v>
      </c>
      <c r="O101" s="113">
        <f t="shared" si="51"/>
        <v>956.14130095819201</v>
      </c>
      <c r="P101" s="116">
        <f t="shared" si="48"/>
        <v>1534.0218441556476</v>
      </c>
      <c r="Q101" s="115"/>
      <c r="R101">
        <v>12</v>
      </c>
      <c r="S101" s="107" t="s">
        <v>560</v>
      </c>
      <c r="T101" s="113">
        <f t="shared" si="52"/>
        <v>0</v>
      </c>
      <c r="U101" s="113">
        <f t="shared" si="52"/>
        <v>577.88054319745549</v>
      </c>
      <c r="V101" s="113">
        <f t="shared" si="52"/>
        <v>956.14130095819201</v>
      </c>
      <c r="W101" s="116">
        <f t="shared" si="49"/>
        <v>1534.0218441556476</v>
      </c>
      <c r="X101" s="115"/>
      <c r="Y101" s="115"/>
      <c r="Z101" s="115"/>
      <c r="AA101" s="107" t="s">
        <v>560</v>
      </c>
      <c r="AB101" s="113">
        <f>INDEX(TourMode_inputCBD!$L$4:$T$17,MATCH(TourMode!$A104,modes,0),MATCH("idisc",modePurpose,0))*Index!$B$2</f>
        <v>0</v>
      </c>
      <c r="AC101" s="113">
        <f>INDEX(TourMode_inputCBD!$L$20:$T$33,MATCH(TourMode!$A104,modes,0), MATCH("idisc",modePurpose,0))*Index!$B$2</f>
        <v>0</v>
      </c>
      <c r="AD101" s="113">
        <f>INDEX(TourMode_inputCBD!$L$36:$T$49,MATCH(TourMode!$A104,modes,0), MATCH("idisc",modePurpose,0))*Index!$B$2</f>
        <v>0</v>
      </c>
      <c r="AE101" s="116">
        <f t="shared" si="50"/>
        <v>0</v>
      </c>
      <c r="AG101" s="115"/>
      <c r="AH101" s="107" t="s">
        <v>397</v>
      </c>
      <c r="AI101" s="307">
        <f>IFERROR(IF(AE101&gt;0,LN(W101/AE101),0),0)</f>
        <v>0</v>
      </c>
      <c r="AK101" s="107" t="s">
        <v>397</v>
      </c>
      <c r="AL101" s="328">
        <v>-5.1416222388290906</v>
      </c>
      <c r="AN101" s="107" t="s">
        <v>397</v>
      </c>
      <c r="AO101" s="307">
        <f>AL101+$AO$1*AI101</f>
        <v>-5.1416222388290906</v>
      </c>
    </row>
    <row r="102" spans="1:41" x14ac:dyDescent="0.25">
      <c r="A102">
        <v>13</v>
      </c>
      <c r="B102" s="107" t="s">
        <v>398</v>
      </c>
      <c r="C102" s="113">
        <f>INDEX(TourMode_inputCBD!$B$4:$J$172,MATCH(TourMode!$A105,modes,0),MATCH("idisc",modePurpose,0))</f>
        <v>48.357559999999999</v>
      </c>
      <c r="D102" s="113">
        <f>INDEX(TourMode_inputCBD!$B$20:$J$33,MATCH(TourMode!$A105,modes,0),MATCH("idisc",modePurpose,0))</f>
        <v>98.316789999999997</v>
      </c>
      <c r="E102" s="113">
        <f>INDEX(TourMode_inputCBD!$B$36:$J$49,MATCH(TourMode!$A105,modes,0),MATCH("idisc",modePurpose,0))</f>
        <v>1253.3977400000001</v>
      </c>
      <c r="F102" s="116">
        <f t="shared" si="46"/>
        <v>1400.0720900000001</v>
      </c>
      <c r="G102" s="300"/>
      <c r="H102" s="300"/>
      <c r="I102" s="300"/>
      <c r="J102" s="115"/>
      <c r="K102">
        <v>13</v>
      </c>
      <c r="L102" s="107" t="s">
        <v>398</v>
      </c>
      <c r="M102" s="113">
        <f t="shared" ref="M102:O103" si="53">C102</f>
        <v>48.357559999999999</v>
      </c>
      <c r="N102" s="113">
        <f t="shared" si="53"/>
        <v>98.316789999999997</v>
      </c>
      <c r="O102" s="113">
        <f t="shared" si="53"/>
        <v>1253.3977400000001</v>
      </c>
      <c r="P102" s="116">
        <f t="shared" si="48"/>
        <v>1400.0720900000001</v>
      </c>
      <c r="Q102" s="115"/>
      <c r="R102">
        <v>13</v>
      </c>
      <c r="S102" s="107" t="s">
        <v>398</v>
      </c>
      <c r="T102" s="113">
        <f>IF(M105&gt;0,M102/M105*T105,0)</f>
        <v>-24.076176480656919</v>
      </c>
      <c r="U102" s="113">
        <f>IF(N105&gt;0,N102/N105*U105,0)</f>
        <v>10.919271213748221</v>
      </c>
      <c r="V102" s="113">
        <f>IF(O105&gt;0,O102/O105*V105,0)</f>
        <v>244.01311062565122</v>
      </c>
      <c r="W102" s="116">
        <f t="shared" si="49"/>
        <v>230.85620535874253</v>
      </c>
      <c r="X102" s="115"/>
      <c r="Y102" s="115"/>
      <c r="Z102" s="115"/>
      <c r="AA102" s="107" t="s">
        <v>398</v>
      </c>
      <c r="AB102" s="113">
        <f>INDEX(TourMode_inputCBD!$L$4:$T$17,MATCH(TourMode!$A105,modes,0),MATCH("idisc",modePurpose,0))*Index!$B$2</f>
        <v>320</v>
      </c>
      <c r="AC102" s="113">
        <f>INDEX(TourMode_inputCBD!$L$20:$T$33,MATCH(TourMode!$A105,modes,0), MATCH("idisc",modePurpose,0))*Index!$B$2</f>
        <v>125</v>
      </c>
      <c r="AD102" s="113">
        <f>INDEX(TourMode_inputCBD!$L$36:$T$49,MATCH(TourMode!$A105,modes,0), MATCH("idisc",modePurpose,0))*Index!$B$2</f>
        <v>140</v>
      </c>
      <c r="AE102" s="116">
        <f t="shared" si="50"/>
        <v>585</v>
      </c>
      <c r="AG102" s="115"/>
      <c r="AH102" s="107" t="s">
        <v>398</v>
      </c>
      <c r="AI102" s="307"/>
      <c r="AK102" s="107" t="s">
        <v>398</v>
      </c>
      <c r="AL102" s="328"/>
      <c r="AN102" s="107" t="s">
        <v>398</v>
      </c>
      <c r="AO102" s="307"/>
    </row>
    <row r="103" spans="1:41" x14ac:dyDescent="0.25">
      <c r="A103">
        <v>14</v>
      </c>
      <c r="B103" s="107" t="s">
        <v>399</v>
      </c>
      <c r="C103" s="297">
        <v>0</v>
      </c>
      <c r="D103" s="297">
        <v>0</v>
      </c>
      <c r="E103" s="297">
        <v>0</v>
      </c>
      <c r="F103" s="116">
        <f t="shared" si="46"/>
        <v>0</v>
      </c>
      <c r="G103" s="300"/>
      <c r="H103" s="300"/>
      <c r="I103" s="300"/>
      <c r="J103" s="115"/>
      <c r="K103">
        <v>14</v>
      </c>
      <c r="L103" s="107" t="s">
        <v>399</v>
      </c>
      <c r="M103" s="113">
        <f t="shared" si="53"/>
        <v>0</v>
      </c>
      <c r="N103" s="113">
        <f t="shared" si="53"/>
        <v>0</v>
      </c>
      <c r="O103" s="113">
        <f t="shared" si="53"/>
        <v>0</v>
      </c>
      <c r="P103" s="116">
        <f t="shared" si="48"/>
        <v>0</v>
      </c>
      <c r="Q103" s="115"/>
      <c r="R103">
        <v>14</v>
      </c>
      <c r="S103" s="107" t="s">
        <v>399</v>
      </c>
      <c r="T103" s="113">
        <f>IF(M105&gt;0,M103/M105*T105,0)</f>
        <v>0</v>
      </c>
      <c r="U103" s="113">
        <f>IF(N105&gt;0,N103/N105*U105,0)</f>
        <v>0</v>
      </c>
      <c r="V103" s="113">
        <f>IF(O105&gt;0,O103/O105*V105,0)</f>
        <v>0</v>
      </c>
      <c r="W103" s="116">
        <f t="shared" si="49"/>
        <v>0</v>
      </c>
      <c r="X103" s="115"/>
      <c r="Y103" s="115"/>
      <c r="Z103" s="115"/>
      <c r="AA103" s="107" t="s">
        <v>399</v>
      </c>
      <c r="AB103" s="113">
        <f>INDEX(TourMode_inputCBD!$L$4:$T$17,MATCH(TourMode!$A106,modes,0),MATCH("idisc",modePurpose,0))*Index!$B$2</f>
        <v>0</v>
      </c>
      <c r="AC103" s="113">
        <f>INDEX(TourMode_inputCBD!$L$20:$T$33,MATCH(TourMode!$A106,modes,0), MATCH("idisc",modePurpose,0))*Index!$B$2</f>
        <v>0</v>
      </c>
      <c r="AD103" s="113">
        <f>INDEX(TourMode_inputCBD!$L$36:$T$49,MATCH(TourMode!$A106,modes,0), MATCH("idisc",modePurpose,0))*Index!$B$2</f>
        <v>0</v>
      </c>
      <c r="AE103" s="116">
        <f t="shared" si="50"/>
        <v>0</v>
      </c>
      <c r="AG103" s="115"/>
      <c r="AH103" s="107" t="s">
        <v>399</v>
      </c>
      <c r="AI103" s="307"/>
      <c r="AK103" s="107" t="s">
        <v>399</v>
      </c>
      <c r="AL103" s="328"/>
      <c r="AN103" s="107" t="s">
        <v>399</v>
      </c>
      <c r="AO103" s="307"/>
    </row>
    <row r="104" spans="1:41" ht="15.75" thickBot="1" x14ac:dyDescent="0.3">
      <c r="B104" s="108" t="s">
        <v>29</v>
      </c>
      <c r="C104" s="109">
        <f>SUM(C91:C103)</f>
        <v>20832.416649999999</v>
      </c>
      <c r="D104" s="110">
        <f>SUM(D91:D103)</f>
        <v>32156.630979999994</v>
      </c>
      <c r="E104" s="111">
        <f>SUM(E91:E103)</f>
        <v>36291.665300000001</v>
      </c>
      <c r="F104" s="112">
        <f>SUM(F91:F103)</f>
        <v>89280.712930000009</v>
      </c>
      <c r="G104" s="301"/>
      <c r="H104" s="301"/>
      <c r="I104" s="301"/>
      <c r="L104" s="108" t="s">
        <v>29</v>
      </c>
      <c r="M104" s="109">
        <f>SUM(M91:M103)</f>
        <v>28939.528432011815</v>
      </c>
      <c r="N104" s="110">
        <f>SUM(N91:N103)</f>
        <v>37905.411299938554</v>
      </c>
      <c r="O104" s="111">
        <f>SUM(O91:O103)</f>
        <v>39194.680701249512</v>
      </c>
      <c r="P104" s="112">
        <f>SUM(P91:P103)</f>
        <v>106039.6204331999</v>
      </c>
      <c r="S104" s="108" t="s">
        <v>29</v>
      </c>
      <c r="T104" s="109">
        <f>SUM(T91:T103)</f>
        <v>8875</v>
      </c>
      <c r="U104" s="110">
        <f>SUM(U91:U103)</f>
        <v>14840.000000000002</v>
      </c>
      <c r="V104" s="111">
        <f>SUM(V91:V103)</f>
        <v>14665</v>
      </c>
      <c r="W104" s="112">
        <f>SUM(W91:W103)</f>
        <v>38380.000000000007</v>
      </c>
      <c r="AA104" s="108" t="s">
        <v>29</v>
      </c>
      <c r="AB104" s="109">
        <f>SUM(AB91:AB103)</f>
        <v>8875</v>
      </c>
      <c r="AC104" s="110">
        <f>SUM(AC91:AC103)</f>
        <v>14840</v>
      </c>
      <c r="AD104" s="111">
        <f>SUM(AD91:AD103)</f>
        <v>14665</v>
      </c>
      <c r="AE104" s="112">
        <f>SUM(AE91:AE103)</f>
        <v>38380</v>
      </c>
      <c r="AH104" s="108" t="s">
        <v>29</v>
      </c>
      <c r="AI104" s="118"/>
      <c r="AK104" s="108" t="s">
        <v>29</v>
      </c>
      <c r="AL104" s="118"/>
      <c r="AN104" s="108" t="s">
        <v>29</v>
      </c>
      <c r="AO104" s="118"/>
    </row>
    <row r="105" spans="1:41" x14ac:dyDescent="0.25">
      <c r="B105" s="304"/>
      <c r="C105" s="301"/>
      <c r="D105" s="301"/>
      <c r="E105" s="301"/>
      <c r="F105" s="301"/>
      <c r="G105" s="301"/>
      <c r="H105" s="301"/>
      <c r="I105" s="301"/>
      <c r="L105" s="304"/>
      <c r="M105" s="286">
        <f>M104-SUM(M99:M101)</f>
        <v>13395.3001</v>
      </c>
      <c r="N105" s="286">
        <f>N104-SUM(N99:N101)</f>
        <v>25947.15765999999</v>
      </c>
      <c r="O105" s="286">
        <f>O104-SUM(O99:O101)</f>
        <v>30459.594349999992</v>
      </c>
      <c r="P105" s="301"/>
      <c r="S105" s="304"/>
      <c r="T105" s="286">
        <f>AB104-SUM(T99:T101)</f>
        <v>-6669.2283320118149</v>
      </c>
      <c r="U105" s="286">
        <f>AC104-SUM(U99:U101)</f>
        <v>2881.7463600614356</v>
      </c>
      <c r="V105" s="286">
        <f>AD104-SUM(V99:V101)</f>
        <v>5929.913648750482</v>
      </c>
      <c r="W105" s="301"/>
      <c r="AA105" s="304"/>
      <c r="AB105" s="301"/>
      <c r="AC105" s="301"/>
      <c r="AD105" s="301"/>
      <c r="AE105" s="301"/>
      <c r="AH105" s="304"/>
      <c r="AI105" s="306"/>
      <c r="AK105" s="304"/>
      <c r="AL105" s="306"/>
      <c r="AN105" s="304"/>
      <c r="AO105" s="306"/>
    </row>
    <row r="106" spans="1:41" ht="26.25" x14ac:dyDescent="0.4">
      <c r="A106" s="150" t="s">
        <v>152</v>
      </c>
      <c r="K106" s="150" t="s">
        <v>152</v>
      </c>
      <c r="R106" s="150" t="s">
        <v>152</v>
      </c>
    </row>
    <row r="107" spans="1:41" ht="26.25" x14ac:dyDescent="0.25">
      <c r="B107" s="102" t="s">
        <v>134</v>
      </c>
      <c r="C107" s="103" t="s">
        <v>135</v>
      </c>
      <c r="D107" s="104" t="s">
        <v>136</v>
      </c>
      <c r="E107" s="105" t="s">
        <v>137</v>
      </c>
      <c r="F107" s="106" t="s">
        <v>29</v>
      </c>
      <c r="G107" s="299"/>
      <c r="H107" s="299"/>
      <c r="I107" s="299"/>
      <c r="L107" s="102" t="s">
        <v>134</v>
      </c>
      <c r="M107" s="103" t="s">
        <v>135</v>
      </c>
      <c r="N107" s="104" t="s">
        <v>136</v>
      </c>
      <c r="O107" s="105" t="s">
        <v>137</v>
      </c>
      <c r="P107" s="106" t="s">
        <v>29</v>
      </c>
      <c r="S107" s="102" t="s">
        <v>134</v>
      </c>
      <c r="T107" s="103" t="s">
        <v>135</v>
      </c>
      <c r="U107" s="104" t="s">
        <v>136</v>
      </c>
      <c r="V107" s="105" t="s">
        <v>137</v>
      </c>
      <c r="W107" s="106" t="s">
        <v>29</v>
      </c>
      <c r="AA107" s="102" t="s">
        <v>134</v>
      </c>
      <c r="AB107" s="103" t="s">
        <v>135</v>
      </c>
      <c r="AC107" s="104" t="s">
        <v>136</v>
      </c>
      <c r="AD107" s="105" t="s">
        <v>137</v>
      </c>
      <c r="AE107" s="106" t="s">
        <v>29</v>
      </c>
      <c r="AH107" s="102" t="s">
        <v>134</v>
      </c>
      <c r="AI107" s="106" t="s">
        <v>29</v>
      </c>
      <c r="AK107" s="102" t="s">
        <v>134</v>
      </c>
      <c r="AL107" s="106" t="s">
        <v>29</v>
      </c>
      <c r="AN107" s="102" t="s">
        <v>134</v>
      </c>
      <c r="AO107" s="106" t="s">
        <v>29</v>
      </c>
    </row>
    <row r="108" spans="1:41" x14ac:dyDescent="0.25">
      <c r="A108">
        <v>1</v>
      </c>
      <c r="B108" s="107" t="s">
        <v>386</v>
      </c>
      <c r="C108" s="297">
        <v>0</v>
      </c>
      <c r="D108" s="113">
        <f>INDEX(TourMode_inputCBD!$B$20:$J$33,MATCH(TourMode!$A110,modes,0),MATCH("jmain",modePurpose,0))</f>
        <v>0</v>
      </c>
      <c r="E108" s="113">
        <f>INDEX(TourMode_inputCBD!$B$36:$J$49,MATCH(TourMode!$A110,modes,0),MATCH("jmain",modePurpose,0))</f>
        <v>0</v>
      </c>
      <c r="F108" s="114">
        <f>SUM(C108:E108)</f>
        <v>0</v>
      </c>
      <c r="G108" s="300"/>
      <c r="H108" s="300"/>
      <c r="I108" s="300"/>
      <c r="J108" s="115"/>
      <c r="K108">
        <v>1</v>
      </c>
      <c r="L108" s="107" t="s">
        <v>386</v>
      </c>
      <c r="M108" s="113">
        <f>C108</f>
        <v>0</v>
      </c>
      <c r="N108" s="113">
        <f t="shared" ref="N108:O115" si="54">D108</f>
        <v>0</v>
      </c>
      <c r="O108" s="113">
        <f t="shared" si="54"/>
        <v>0</v>
      </c>
      <c r="P108" s="114">
        <f>SUM(M108:O108)</f>
        <v>0</v>
      </c>
      <c r="Q108" s="115"/>
      <c r="R108">
        <v>1</v>
      </c>
      <c r="S108" s="107" t="s">
        <v>386</v>
      </c>
      <c r="T108" s="113">
        <f>IF(M122&gt;0,M108/M122*T122,0)</f>
        <v>0</v>
      </c>
      <c r="U108" s="113">
        <f>IF(N122&gt;0,N108/N122*U122,0)</f>
        <v>0</v>
      </c>
      <c r="V108" s="113">
        <f>IF(O122&gt;0,O108/O122*V122,0)</f>
        <v>0</v>
      </c>
      <c r="W108" s="114">
        <f>SUM(T108:V108)</f>
        <v>0</v>
      </c>
      <c r="X108" s="115"/>
      <c r="Y108" s="115"/>
      <c r="Z108" s="115"/>
      <c r="AA108" s="107" t="s">
        <v>386</v>
      </c>
      <c r="AB108" s="113">
        <f>INDEX(TourMode_inputCBD!$L$4:$T$17,MATCH(TourMode!$A110,modes,0),MATCH("jmain",modePurpose,0))*Index!$B$2</f>
        <v>0</v>
      </c>
      <c r="AC108" s="113">
        <f>INDEX(TourMode_inputCBD!$L$20:$T$33,MATCH(TourMode!$A110,modes,0), MATCH("jmain",modePurpose,0))*Index!$B$2</f>
        <v>0</v>
      </c>
      <c r="AD108" s="113">
        <f>INDEX(TourMode_inputCBD!$L$36:$T$49,MATCH(TourMode!$A110,modes,0), MATCH("jmain",modePurpose,0))*Index!$B$2</f>
        <v>0</v>
      </c>
      <c r="AE108" s="114">
        <f>SUM(AB108:AD108)</f>
        <v>0</v>
      </c>
      <c r="AG108" s="115"/>
      <c r="AH108" s="107" t="s">
        <v>538</v>
      </c>
      <c r="AI108" s="307"/>
      <c r="AK108" s="107" t="s">
        <v>538</v>
      </c>
      <c r="AL108" s="328"/>
      <c r="AN108" s="107" t="s">
        <v>538</v>
      </c>
      <c r="AO108" s="309"/>
    </row>
    <row r="109" spans="1:41" x14ac:dyDescent="0.25">
      <c r="A109">
        <v>2</v>
      </c>
      <c r="B109" s="107" t="s">
        <v>387</v>
      </c>
      <c r="C109" s="297">
        <v>0</v>
      </c>
      <c r="D109" s="113">
        <f>INDEX(TourMode_inputCBD!$B$20:$J$33,MATCH(TourMode!$A111,modes,0),MATCH("jmain",modePurpose,0))</f>
        <v>0</v>
      </c>
      <c r="E109" s="113">
        <f>INDEX(TourMode_inputCBD!$B$36:$J$49,MATCH(TourMode!$A111,modes,0),MATCH("jmain",modePurpose,0))</f>
        <v>0</v>
      </c>
      <c r="F109" s="116">
        <f t="shared" ref="F109:F120" si="55">SUM(C109:E109)</f>
        <v>0</v>
      </c>
      <c r="G109" s="300"/>
      <c r="H109" s="300"/>
      <c r="I109" s="300"/>
      <c r="J109" s="115"/>
      <c r="K109">
        <v>2</v>
      </c>
      <c r="L109" s="107" t="s">
        <v>387</v>
      </c>
      <c r="M109" s="113">
        <f t="shared" ref="M109:M115" si="56">C109</f>
        <v>0</v>
      </c>
      <c r="N109" s="113">
        <f t="shared" si="54"/>
        <v>0</v>
      </c>
      <c r="O109" s="113">
        <f t="shared" si="54"/>
        <v>0</v>
      </c>
      <c r="P109" s="116">
        <f t="shared" ref="P109:P120" si="57">SUM(M109:O109)</f>
        <v>0</v>
      </c>
      <c r="Q109" s="115"/>
      <c r="R109">
        <v>2</v>
      </c>
      <c r="S109" s="107" t="s">
        <v>387</v>
      </c>
      <c r="T109" s="113">
        <f>IF(M122&gt;0,M109/M122*T122,0)</f>
        <v>0</v>
      </c>
      <c r="U109" s="113">
        <f>IF(N122&gt;0,N109/N122*U122,0)</f>
        <v>0</v>
      </c>
      <c r="V109" s="113">
        <f>IF(O122&gt;0,O109/O122*V122,0)</f>
        <v>0</v>
      </c>
      <c r="W109" s="116">
        <f t="shared" ref="W109:W120" si="58">SUM(T109:V109)</f>
        <v>0</v>
      </c>
      <c r="X109" s="115"/>
      <c r="Y109" s="115"/>
      <c r="Z109" s="115"/>
      <c r="AA109" s="107" t="s">
        <v>387</v>
      </c>
      <c r="AB109" s="113">
        <f>INDEX(TourMode_inputCBD!$L$4:$T$17,MATCH(TourMode!$A111,modes,0),MATCH("jmain",modePurpose,0))*Index!$B$2</f>
        <v>0</v>
      </c>
      <c r="AC109" s="113">
        <f>INDEX(TourMode_inputCBD!$L$20:$T$33,MATCH(TourMode!$A111,modes,0), MATCH("jmain",modePurpose,0))*Index!$B$2</f>
        <v>0</v>
      </c>
      <c r="AD109" s="113">
        <f>INDEX(TourMode_inputCBD!$L$36:$T$49,MATCH(TourMode!$A111,modes,0), MATCH("jmain",modePurpose,0))*Index!$B$2</f>
        <v>0</v>
      </c>
      <c r="AE109" s="116">
        <f t="shared" ref="AE109:AE120" si="59">SUM(AB109:AD109)</f>
        <v>0</v>
      </c>
      <c r="AG109" s="115"/>
      <c r="AH109" s="107"/>
      <c r="AI109" s="307"/>
      <c r="AK109" s="107"/>
      <c r="AL109" s="328"/>
      <c r="AN109" s="107"/>
      <c r="AO109" s="307"/>
    </row>
    <row r="110" spans="1:41" x14ac:dyDescent="0.25">
      <c r="A110">
        <v>3</v>
      </c>
      <c r="B110" s="107" t="s">
        <v>388</v>
      </c>
      <c r="C110" s="113">
        <f>INDEX(TourMode_inputCBD!$B$4:$J$172,MATCH(TourMode!$A112,modes,0),MATCH("jmain",modePurpose,0))</f>
        <v>0</v>
      </c>
      <c r="D110" s="113">
        <f>INDEX(TourMode_inputCBD!$B$20:$J$33,MATCH(TourMode!$A112,modes,0),MATCH("jmain",modePurpose,0))</f>
        <v>2280.5063300000002</v>
      </c>
      <c r="E110" s="113">
        <f>INDEX(TourMode_inputCBD!$B$36:$J$49,MATCH(TourMode!$A112,modes,0),MATCH("jmain",modePurpose,0))</f>
        <v>4236.6318300000003</v>
      </c>
      <c r="F110" s="116">
        <f t="shared" si="55"/>
        <v>6517.1381600000004</v>
      </c>
      <c r="G110" s="300"/>
      <c r="H110" s="300"/>
      <c r="I110" s="300"/>
      <c r="J110" s="115"/>
      <c r="K110">
        <v>3</v>
      </c>
      <c r="L110" s="107" t="s">
        <v>388</v>
      </c>
      <c r="M110" s="113">
        <f t="shared" si="56"/>
        <v>0</v>
      </c>
      <c r="N110" s="113">
        <f t="shared" si="54"/>
        <v>2280.5063300000002</v>
      </c>
      <c r="O110" s="113">
        <f t="shared" si="54"/>
        <v>4236.6318300000003</v>
      </c>
      <c r="P110" s="116">
        <f t="shared" si="57"/>
        <v>6517.1381600000004</v>
      </c>
      <c r="Q110" s="115"/>
      <c r="R110">
        <v>3</v>
      </c>
      <c r="S110" s="107" t="s">
        <v>388</v>
      </c>
      <c r="T110" s="113">
        <f>IF(M122&gt;0,M110/M122*T122,0)</f>
        <v>0</v>
      </c>
      <c r="U110" s="113">
        <f>IF(N122&gt;0,N110/N122*U122,0)</f>
        <v>-81.923928302297085</v>
      </c>
      <c r="V110" s="113">
        <f>IF(O122&gt;0,O110/O122*V122,0)</f>
        <v>811.41691617745266</v>
      </c>
      <c r="W110" s="116">
        <f t="shared" si="58"/>
        <v>729.49298787515556</v>
      </c>
      <c r="X110" s="115"/>
      <c r="Y110" s="115"/>
      <c r="Z110" s="115"/>
      <c r="AA110" s="107" t="s">
        <v>388</v>
      </c>
      <c r="AB110" s="113">
        <f>INDEX(TourMode_inputCBD!$L$4:$T$17,MATCH(TourMode!$A112,modes,0),MATCH("jmain",modePurpose,0))*Index!$B$2</f>
        <v>10</v>
      </c>
      <c r="AC110" s="113">
        <f>INDEX(TourMode_inputCBD!$L$20:$T$33,MATCH(TourMode!$A112,modes,0), MATCH("jmain",modePurpose,0))*Index!$B$2</f>
        <v>1740</v>
      </c>
      <c r="AD110" s="113">
        <f>INDEX(TourMode_inputCBD!$L$36:$T$49,MATCH(TourMode!$A112,modes,0), MATCH("jmain",modePurpose,0))*Index!$B$2</f>
        <v>775</v>
      </c>
      <c r="AE110" s="116">
        <f t="shared" si="59"/>
        <v>2525</v>
      </c>
      <c r="AF110">
        <f>+AE110*2</f>
        <v>5050</v>
      </c>
      <c r="AG110" s="115"/>
      <c r="AH110" s="107" t="s">
        <v>576</v>
      </c>
      <c r="AI110" s="307"/>
      <c r="AK110" s="107" t="s">
        <v>576</v>
      </c>
      <c r="AL110" s="328"/>
      <c r="AN110" s="107" t="s">
        <v>576</v>
      </c>
      <c r="AO110" s="307"/>
    </row>
    <row r="111" spans="1:41" x14ac:dyDescent="0.25">
      <c r="A111">
        <v>4</v>
      </c>
      <c r="B111" s="107" t="s">
        <v>389</v>
      </c>
      <c r="C111" s="113">
        <f>INDEX(TourMode_inputCBD!$B$4:$J$172,MATCH(TourMode!$A113,modes,0),MATCH("jmain",modePurpose,0))</f>
        <v>0</v>
      </c>
      <c r="D111" s="113">
        <f>INDEX(TourMode_inputCBD!$B$20:$J$33,MATCH(TourMode!$A113,modes,0),MATCH("jmain",modePurpose,0))</f>
        <v>0</v>
      </c>
      <c r="E111" s="113">
        <f>INDEX(TourMode_inputCBD!$B$36:$J$49,MATCH(TourMode!$A113,modes,0),MATCH("jmain",modePurpose,0))</f>
        <v>18.848690000000001</v>
      </c>
      <c r="F111" s="116">
        <f t="shared" si="55"/>
        <v>18.848690000000001</v>
      </c>
      <c r="G111" s="300"/>
      <c r="H111" s="300"/>
      <c r="I111" s="300"/>
      <c r="J111" s="115"/>
      <c r="K111">
        <v>4</v>
      </c>
      <c r="L111" s="107" t="s">
        <v>389</v>
      </c>
      <c r="M111" s="113">
        <f t="shared" si="56"/>
        <v>0</v>
      </c>
      <c r="N111" s="113">
        <f t="shared" si="54"/>
        <v>0</v>
      </c>
      <c r="O111" s="113">
        <f t="shared" si="54"/>
        <v>18.848690000000001</v>
      </c>
      <c r="P111" s="116">
        <f t="shared" si="57"/>
        <v>18.848690000000001</v>
      </c>
      <c r="Q111" s="115"/>
      <c r="R111">
        <v>4</v>
      </c>
      <c r="S111" s="107" t="s">
        <v>389</v>
      </c>
      <c r="T111" s="113">
        <f>IF(M122&gt;0,M111/M122*T122,0)</f>
        <v>0</v>
      </c>
      <c r="U111" s="113">
        <f>IF(N122&gt;0,N111/N122*U122,0)</f>
        <v>0</v>
      </c>
      <c r="V111" s="113">
        <f>IF(O122&gt;0,O111/O122*V122,0)</f>
        <v>3.609977578293555</v>
      </c>
      <c r="W111" s="116">
        <f t="shared" si="58"/>
        <v>3.609977578293555</v>
      </c>
      <c r="X111" s="115"/>
      <c r="Y111" s="115"/>
      <c r="Z111" s="115"/>
      <c r="AA111" s="107" t="s">
        <v>389</v>
      </c>
      <c r="AB111" s="113">
        <f>INDEX(TourMode_inputCBD!$L$4:$T$17,MATCH(TourMode!$A113,modes,0),MATCH("jmain",modePurpose,0))*Index!$B$2</f>
        <v>0</v>
      </c>
      <c r="AC111" s="113">
        <f>INDEX(TourMode_inputCBD!$L$20:$T$33,MATCH(TourMode!$A113,modes,0), MATCH("jmain",modePurpose,0))*Index!$B$2</f>
        <v>40</v>
      </c>
      <c r="AD111" s="113">
        <f>INDEX(TourMode_inputCBD!$L$36:$T$49,MATCH(TourMode!$A113,modes,0), MATCH("jmain",modePurpose,0))*Index!$B$2</f>
        <v>25</v>
      </c>
      <c r="AE111" s="116">
        <f t="shared" si="59"/>
        <v>65</v>
      </c>
      <c r="AG111" s="115"/>
      <c r="AH111" s="107"/>
      <c r="AI111" s="307"/>
      <c r="AK111" s="107"/>
      <c r="AL111" s="328"/>
      <c r="AN111" s="107"/>
      <c r="AO111" s="307"/>
    </row>
    <row r="112" spans="1:41" x14ac:dyDescent="0.25">
      <c r="A112">
        <v>5</v>
      </c>
      <c r="B112" s="107" t="s">
        <v>390</v>
      </c>
      <c r="C112" s="113">
        <f>INDEX(TourMode_inputCBD!$B$4:$J$172,MATCH(TourMode!$A114,modes,0),MATCH("jmain",modePurpose,0))</f>
        <v>0</v>
      </c>
      <c r="D112" s="113">
        <f>INDEX(TourMode_inputCBD!$B$20:$J$33,MATCH(TourMode!$A114,modes,0),MATCH("jmain",modePurpose,0))</f>
        <v>4399.5390200000002</v>
      </c>
      <c r="E112" s="113">
        <f>INDEX(TourMode_inputCBD!$B$36:$J$49,MATCH(TourMode!$A114,modes,0),MATCH("jmain",modePurpose,0))</f>
        <v>2155.77099</v>
      </c>
      <c r="F112" s="116">
        <f t="shared" si="55"/>
        <v>6555.3100100000001</v>
      </c>
      <c r="G112" s="300"/>
      <c r="H112" s="300"/>
      <c r="I112" s="300"/>
      <c r="J112" s="115"/>
      <c r="K112">
        <v>5</v>
      </c>
      <c r="L112" s="107" t="s">
        <v>390</v>
      </c>
      <c r="M112" s="113">
        <f t="shared" si="56"/>
        <v>0</v>
      </c>
      <c r="N112" s="113">
        <f t="shared" si="54"/>
        <v>4399.5390200000002</v>
      </c>
      <c r="O112" s="113">
        <f t="shared" si="54"/>
        <v>2155.77099</v>
      </c>
      <c r="P112" s="116">
        <f t="shared" si="57"/>
        <v>6555.3100100000001</v>
      </c>
      <c r="Q112" s="115"/>
      <c r="R112">
        <v>5</v>
      </c>
      <c r="S112" s="107" t="s">
        <v>390</v>
      </c>
      <c r="T112" s="113">
        <f>IF(M122&gt;0,M112/M122*T122,0)</f>
        <v>0</v>
      </c>
      <c r="U112" s="113">
        <f>IF(N122&gt;0,N112/N122*U122,0)</f>
        <v>-158.04714702880844</v>
      </c>
      <c r="V112" s="113">
        <f>IF(O122&gt;0,O112/O122*V122,0)</f>
        <v>412.88200600867748</v>
      </c>
      <c r="W112" s="116">
        <f t="shared" si="58"/>
        <v>254.83485897986904</v>
      </c>
      <c r="X112" s="115"/>
      <c r="Y112" s="115"/>
      <c r="Z112" s="115"/>
      <c r="AA112" s="107" t="s">
        <v>390</v>
      </c>
      <c r="AB112" s="113">
        <f>INDEX(TourMode_inputCBD!$L$4:$T$17,MATCH(TourMode!$A114,modes,0),MATCH("jmain",modePurpose,0))*Index!$B$2</f>
        <v>200</v>
      </c>
      <c r="AC112" s="113">
        <f>INDEX(TourMode_inputCBD!$L$20:$T$33,MATCH(TourMode!$A114,modes,0), MATCH("jmain",modePurpose,0))*Index!$B$2</f>
        <v>1075</v>
      </c>
      <c r="AD112" s="113">
        <f>INDEX(TourMode_inputCBD!$L$36:$T$49,MATCH(TourMode!$A114,modes,0), MATCH("jmain",modePurpose,0))*Index!$B$2</f>
        <v>590</v>
      </c>
      <c r="AE112" s="116">
        <f t="shared" si="59"/>
        <v>1865</v>
      </c>
      <c r="AG112" s="115"/>
      <c r="AH112" s="107" t="s">
        <v>577</v>
      </c>
      <c r="AI112" s="307"/>
      <c r="AK112" s="107" t="s">
        <v>577</v>
      </c>
      <c r="AL112" s="328"/>
      <c r="AN112" s="107" t="s">
        <v>577</v>
      </c>
      <c r="AO112" s="307"/>
    </row>
    <row r="113" spans="1:41" x14ac:dyDescent="0.25">
      <c r="A113">
        <v>6</v>
      </c>
      <c r="B113" s="107" t="s">
        <v>391</v>
      </c>
      <c r="C113" s="113">
        <f>INDEX(TourMode_inputCBD!$B$4:$J$172,MATCH(TourMode!$A115,modes,0),MATCH("jmain",modePurpose,0))</f>
        <v>0</v>
      </c>
      <c r="D113" s="113">
        <f>INDEX(TourMode_inputCBD!$B$20:$J$33,MATCH(TourMode!$A115,modes,0),MATCH("jmain",modePurpose,0))</f>
        <v>0</v>
      </c>
      <c r="E113" s="113">
        <f>INDEX(TourMode_inputCBD!$B$36:$J$49,MATCH(TourMode!$A115,modes,0),MATCH("jmain",modePurpose,0))</f>
        <v>638.83047999999997</v>
      </c>
      <c r="F113" s="116">
        <f t="shared" si="55"/>
        <v>638.83047999999997</v>
      </c>
      <c r="G113" s="300"/>
      <c r="H113" s="300"/>
      <c r="I113" s="300"/>
      <c r="J113" s="115"/>
      <c r="K113">
        <v>6</v>
      </c>
      <c r="L113" s="107" t="s">
        <v>391</v>
      </c>
      <c r="M113" s="113">
        <f t="shared" si="56"/>
        <v>0</v>
      </c>
      <c r="N113" s="113">
        <f t="shared" si="54"/>
        <v>0</v>
      </c>
      <c r="O113" s="113">
        <f t="shared" si="54"/>
        <v>638.83047999999997</v>
      </c>
      <c r="P113" s="116">
        <f t="shared" si="57"/>
        <v>638.83047999999997</v>
      </c>
      <c r="Q113" s="115"/>
      <c r="R113">
        <v>6</v>
      </c>
      <c r="S113" s="107" t="s">
        <v>391</v>
      </c>
      <c r="T113" s="113">
        <f>IF(M122&gt;0,M113/M122*T122,0)</f>
        <v>0</v>
      </c>
      <c r="U113" s="113">
        <f>IF(N122&gt;0,N113/N122*U122,0)</f>
        <v>0</v>
      </c>
      <c r="V113" s="113">
        <f>IF(O122&gt;0,O113/O122*V122,0)</f>
        <v>122.35140527699851</v>
      </c>
      <c r="W113" s="116">
        <f t="shared" si="58"/>
        <v>122.35140527699851</v>
      </c>
      <c r="X113" s="115"/>
      <c r="Y113" s="115"/>
      <c r="Z113" s="115"/>
      <c r="AA113" s="107" t="s">
        <v>391</v>
      </c>
      <c r="AB113" s="113">
        <f>INDEX(TourMode_inputCBD!$L$4:$T$17,MATCH(TourMode!$A115,modes,0),MATCH("jmain",modePurpose,0))*Index!$B$2</f>
        <v>0</v>
      </c>
      <c r="AC113" s="113">
        <f>INDEX(TourMode_inputCBD!$L$20:$T$33,MATCH(TourMode!$A115,modes,0), MATCH("jmain",modePurpose,0))*Index!$B$2</f>
        <v>20</v>
      </c>
      <c r="AD113" s="113">
        <f>INDEX(TourMode_inputCBD!$L$36:$T$49,MATCH(TourMode!$A115,modes,0), MATCH("jmain",modePurpose,0))*Index!$B$2</f>
        <v>45</v>
      </c>
      <c r="AE113" s="116">
        <f t="shared" si="59"/>
        <v>65</v>
      </c>
      <c r="AG113" s="115"/>
      <c r="AH113" s="107"/>
      <c r="AI113" s="307"/>
      <c r="AK113" s="107"/>
      <c r="AL113" s="328"/>
      <c r="AN113" s="107"/>
      <c r="AO113" s="307"/>
    </row>
    <row r="114" spans="1:41" x14ac:dyDescent="0.25">
      <c r="A114">
        <v>7</v>
      </c>
      <c r="B114" s="107" t="s">
        <v>392</v>
      </c>
      <c r="C114" s="113">
        <f>INDEX(TourMode_inputCBD!$B$4:$J$172,MATCH(TourMode!$A116,modes,0),MATCH("jmain",modePurpose,0))</f>
        <v>1608.6530399999999</v>
      </c>
      <c r="D114" s="113">
        <f>INDEX(TourMode_inputCBD!$B$20:$J$33,MATCH(TourMode!$A116,modes,0),MATCH("jmain",modePurpose,0))</f>
        <v>1743.7686000000001</v>
      </c>
      <c r="E114" s="113">
        <f>INDEX(TourMode_inputCBD!$B$36:$J$49,MATCH(TourMode!$A116,modes,0),MATCH("jmain",modePurpose,0))</f>
        <v>168.20350999999999</v>
      </c>
      <c r="F114" s="116">
        <f t="shared" si="55"/>
        <v>3520.6251499999998</v>
      </c>
      <c r="G114" s="300"/>
      <c r="H114" s="300"/>
      <c r="I114" s="300"/>
      <c r="J114" s="115"/>
      <c r="K114">
        <v>7</v>
      </c>
      <c r="L114" s="107" t="s">
        <v>392</v>
      </c>
      <c r="M114" s="113">
        <f t="shared" si="56"/>
        <v>1608.6530399999999</v>
      </c>
      <c r="N114" s="113">
        <f t="shared" si="54"/>
        <v>1743.7686000000001</v>
      </c>
      <c r="O114" s="113">
        <f t="shared" si="54"/>
        <v>168.20350999999999</v>
      </c>
      <c r="P114" s="116">
        <f t="shared" si="57"/>
        <v>3520.6251499999998</v>
      </c>
      <c r="Q114" s="115"/>
      <c r="R114">
        <v>7</v>
      </c>
      <c r="S114" s="107" t="s">
        <v>392</v>
      </c>
      <c r="T114" s="113">
        <f>IF(M122&gt;0,M114/M122*T122,0)</f>
        <v>-1387.6731690993333</v>
      </c>
      <c r="U114" s="113">
        <f>IF(N122&gt;0,N114/N122*U122,0)</f>
        <v>-62.642392999714652</v>
      </c>
      <c r="V114" s="113">
        <f>IF(O122&gt;0,O114/O122*V122,0)</f>
        <v>32.215018640036824</v>
      </c>
      <c r="W114" s="116">
        <f t="shared" si="58"/>
        <v>-1418.1005434590113</v>
      </c>
      <c r="X114" s="115"/>
      <c r="Y114" s="115"/>
      <c r="Z114" s="115"/>
      <c r="AA114" s="107" t="s">
        <v>392</v>
      </c>
      <c r="AB114" s="113">
        <f>INDEX(TourMode_inputCBD!$L$4:$T$17,MATCH(TourMode!$A116,modes,0),MATCH("jmain",modePurpose,0))*Index!$B$2</f>
        <v>230</v>
      </c>
      <c r="AC114" s="113">
        <f>INDEX(TourMode_inputCBD!$L$20:$T$33,MATCH(TourMode!$A116,modes,0), MATCH("jmain",modePurpose,0))*Index!$B$2</f>
        <v>145</v>
      </c>
      <c r="AD114" s="113">
        <f>INDEX(TourMode_inputCBD!$L$36:$T$49,MATCH(TourMode!$A116,modes,0), MATCH("jmain",modePurpose,0))*Index!$B$2</f>
        <v>20</v>
      </c>
      <c r="AE114" s="116">
        <f t="shared" si="59"/>
        <v>395</v>
      </c>
      <c r="AG114" s="115"/>
      <c r="AH114" s="107" t="s">
        <v>392</v>
      </c>
      <c r="AI114" s="307"/>
      <c r="AK114" s="107" t="s">
        <v>392</v>
      </c>
      <c r="AL114" s="328"/>
      <c r="AN114" s="107" t="s">
        <v>392</v>
      </c>
      <c r="AO114" s="307"/>
    </row>
    <row r="115" spans="1:41" x14ac:dyDescent="0.25">
      <c r="A115">
        <v>8</v>
      </c>
      <c r="B115" s="107" t="s">
        <v>393</v>
      </c>
      <c r="C115" s="113">
        <f>INDEX(TourMode_inputCBD!$B$4:$J$172,MATCH(TourMode!$A117,modes,0),MATCH("jmain",modePurpose,0))</f>
        <v>0</v>
      </c>
      <c r="D115" s="113">
        <f>INDEX(TourMode_inputCBD!$B$20:$J$33,MATCH(TourMode!$A117,modes,0),MATCH("jmain",modePurpose,0))</f>
        <v>0</v>
      </c>
      <c r="E115" s="113">
        <f>INDEX(TourMode_inputCBD!$B$36:$J$49,MATCH(TourMode!$A117,modes,0),MATCH("jmain",modePurpose,0))</f>
        <v>0</v>
      </c>
      <c r="F115" s="116">
        <f t="shared" si="55"/>
        <v>0</v>
      </c>
      <c r="G115" s="300"/>
      <c r="H115" s="300"/>
      <c r="I115" s="300"/>
      <c r="J115" s="115"/>
      <c r="K115">
        <v>8</v>
      </c>
      <c r="L115" s="107" t="s">
        <v>393</v>
      </c>
      <c r="M115" s="113">
        <f t="shared" si="56"/>
        <v>0</v>
      </c>
      <c r="N115" s="113">
        <f t="shared" si="54"/>
        <v>0</v>
      </c>
      <c r="O115" s="113">
        <f t="shared" si="54"/>
        <v>0</v>
      </c>
      <c r="P115" s="116">
        <f t="shared" si="57"/>
        <v>0</v>
      </c>
      <c r="Q115" s="115"/>
      <c r="R115">
        <v>8</v>
      </c>
      <c r="S115" s="107" t="s">
        <v>393</v>
      </c>
      <c r="T115" s="113">
        <f>IF(M122&gt;0,M115/M122*T122,0)</f>
        <v>0</v>
      </c>
      <c r="U115" s="113">
        <f>IF(N122&gt;0,N115/N122*U122,0)</f>
        <v>0</v>
      </c>
      <c r="V115" s="113">
        <f>IF(O122&gt;0,O115/O122*V122,0)</f>
        <v>0</v>
      </c>
      <c r="W115" s="116">
        <f t="shared" si="58"/>
        <v>0</v>
      </c>
      <c r="X115" s="115"/>
      <c r="Y115" s="115"/>
      <c r="Z115" s="115"/>
      <c r="AA115" s="107" t="s">
        <v>393</v>
      </c>
      <c r="AB115" s="113">
        <f>INDEX(TourMode_inputCBD!$L$4:$T$17,MATCH(TourMode!$A117,modes,0),MATCH("jmain",modePurpose,0))*Index!$B$2</f>
        <v>0</v>
      </c>
      <c r="AC115" s="113">
        <f>INDEX(TourMode_inputCBD!$L$20:$T$33,MATCH(TourMode!$A117,modes,0), MATCH("jmain",modePurpose,0))*Index!$B$2</f>
        <v>5</v>
      </c>
      <c r="AD115" s="113">
        <f>INDEX(TourMode_inputCBD!$L$36:$T$49,MATCH(TourMode!$A117,modes,0), MATCH("jmain",modePurpose,0))*Index!$B$2</f>
        <v>0</v>
      </c>
      <c r="AE115" s="116">
        <f t="shared" si="59"/>
        <v>5</v>
      </c>
      <c r="AG115" s="115"/>
      <c r="AH115" s="107" t="s">
        <v>393</v>
      </c>
      <c r="AI115" s="307"/>
      <c r="AK115" s="107" t="s">
        <v>393</v>
      </c>
      <c r="AL115" s="328"/>
      <c r="AN115" s="107" t="s">
        <v>393</v>
      </c>
      <c r="AO115" s="307"/>
    </row>
    <row r="116" spans="1:41" x14ac:dyDescent="0.25">
      <c r="A116">
        <v>10</v>
      </c>
      <c r="B116" s="107" t="s">
        <v>555</v>
      </c>
      <c r="C116" s="113">
        <f>INDEX(TourMode_inputCBD!$B$4:$J$172,MATCH(TourMode!$A119,modes,0),MATCH("jmain",modePurpose,0))+INDEX(TourMode_inputCBD!$B$4:$J$172,MATCH(TourMode!$A118,modes,0),MATCH("jmain",modePurpose,0))</f>
        <v>1441.5234700000001</v>
      </c>
      <c r="D116" s="113">
        <f>INDEX(TourMode_inputCBD!$B$20:$J$33,MATCH(TourMode!$A119,modes,0),MATCH("jmain",modePurpose,0))+INDEX(TourMode_inputCBD!$B$20:$J$33,MATCH(TourMode!$A118,modes,0),MATCH("jmain",modePurpose,0))</f>
        <v>1816.7324000000001</v>
      </c>
      <c r="E116" s="113">
        <f>INDEX(TourMode_inputCBD!$B$36:$J$49,MATCH(TourMode!$A119,modes,0),MATCH("jmain",modePurpose,0))+INDEX(TourMode_inputCBD!$B$36:$J$49,MATCH(TourMode!$A118,modes,0),MATCH("jmain",modePurpose,0))</f>
        <v>0</v>
      </c>
      <c r="F116" s="116">
        <f t="shared" si="55"/>
        <v>3258.25587</v>
      </c>
      <c r="G116" s="300"/>
      <c r="H116" s="302">
        <f>F116/F$167</f>
        <v>1.0997196701159126E-2</v>
      </c>
      <c r="I116" s="300">
        <f>H116*H$167</f>
        <v>6849.7143920770568</v>
      </c>
      <c r="J116" s="115"/>
      <c r="K116">
        <v>10</v>
      </c>
      <c r="L116" s="107" t="s">
        <v>546</v>
      </c>
      <c r="M116" s="113">
        <f>IF($F116&gt;0,C116/$F116*$I116,0)</f>
        <v>3030.4630615077695</v>
      </c>
      <c r="N116" s="113">
        <f t="shared" ref="N116:O118" si="60">IF($F116&gt;0,D116/$F116*$I116,0)</f>
        <v>3819.2513305692883</v>
      </c>
      <c r="O116" s="113">
        <f t="shared" si="60"/>
        <v>0</v>
      </c>
      <c r="P116" s="116">
        <f t="shared" si="57"/>
        <v>6849.7143920770577</v>
      </c>
      <c r="Q116" s="115"/>
      <c r="R116">
        <v>10</v>
      </c>
      <c r="S116" s="107" t="s">
        <v>546</v>
      </c>
      <c r="T116" s="113">
        <f>M116</f>
        <v>3030.4630615077695</v>
      </c>
      <c r="U116" s="113">
        <f>N116</f>
        <v>3819.2513305692883</v>
      </c>
      <c r="V116" s="113">
        <f>O116</f>
        <v>0</v>
      </c>
      <c r="W116" s="116">
        <f t="shared" si="58"/>
        <v>6849.7143920770577</v>
      </c>
      <c r="X116" s="115"/>
      <c r="Y116" s="115"/>
      <c r="Z116" s="115"/>
      <c r="AA116" s="107" t="s">
        <v>546</v>
      </c>
      <c r="AB116" s="113">
        <f>INDEX(TourMode_inputCBD!$L$4:$T$17,MATCH(TourMode!$A119,modes,0),MATCH("jmain",modePurpose,0))*Index!$B$2</f>
        <v>870</v>
      </c>
      <c r="AC116" s="113">
        <f>INDEX(TourMode_inputCBD!$L$20:$T$33,MATCH(TourMode!$A119,modes,0), MATCH("jmain",modePurpose,0))*Index!$B$2</f>
        <v>860</v>
      </c>
      <c r="AD116" s="113">
        <f>INDEX(TourMode_inputCBD!$L$36:$T$49,MATCH(TourMode!$A119,modes,0), MATCH("jmain",modePurpose,0))*Index!$B$2</f>
        <v>95</v>
      </c>
      <c r="AE116" s="116">
        <f t="shared" si="59"/>
        <v>1825</v>
      </c>
      <c r="AG116" s="115"/>
      <c r="AH116" s="107" t="s">
        <v>395</v>
      </c>
      <c r="AI116" s="307">
        <f>IFERROR(IF(AE116&gt;0,LN(W116/AE116),0),0)</f>
        <v>1.3226269697831448</v>
      </c>
      <c r="AK116" s="107" t="s">
        <v>395</v>
      </c>
      <c r="AL116" s="328">
        <v>0.46810665805309071</v>
      </c>
      <c r="AN116" s="107" t="s">
        <v>395</v>
      </c>
      <c r="AO116" s="307">
        <f>AL116+$AO$1*AI116</f>
        <v>0.13744991560730452</v>
      </c>
    </row>
    <row r="117" spans="1:41" x14ac:dyDescent="0.25">
      <c r="A117">
        <v>11</v>
      </c>
      <c r="B117" s="107" t="s">
        <v>556</v>
      </c>
      <c r="C117" s="113">
        <f>INDEX(TourMode_inputCBD!$B$4:$J$172,MATCH(TourMode!$A120,modes,0),MATCH("jmain",modePurpose,0))</f>
        <v>0</v>
      </c>
      <c r="D117" s="113">
        <f>INDEX(TourMode_inputCBD!$B$20:$J$33,MATCH(TourMode!$A120,modes,0),MATCH("jmain",modePurpose,0))</f>
        <v>270.39208000000002</v>
      </c>
      <c r="E117" s="113">
        <f>INDEX(TourMode_inputCBD!$B$36:$J$49,MATCH(TourMode!$A120,modes,0),MATCH("jmain",modePurpose,0))</f>
        <v>0</v>
      </c>
      <c r="F117" s="116">
        <f t="shared" si="55"/>
        <v>270.39208000000002</v>
      </c>
      <c r="G117" s="300"/>
      <c r="H117" s="302">
        <f>F117/F$168</f>
        <v>5.6738858807695251E-3</v>
      </c>
      <c r="I117" s="300">
        <f>H117*H$168</f>
        <v>227.49768839182707</v>
      </c>
      <c r="J117" s="115"/>
      <c r="K117">
        <v>11</v>
      </c>
      <c r="L117" s="107" t="s">
        <v>559</v>
      </c>
      <c r="M117" s="113">
        <f>IF($F117&gt;0,C117/$F117*$I117,0)</f>
        <v>0</v>
      </c>
      <c r="N117" s="113">
        <f t="shared" si="60"/>
        <v>227.49768839182707</v>
      </c>
      <c r="O117" s="113">
        <f t="shared" si="60"/>
        <v>0</v>
      </c>
      <c r="P117" s="116">
        <f t="shared" si="57"/>
        <v>227.49768839182707</v>
      </c>
      <c r="Q117" s="115"/>
      <c r="R117">
        <v>11</v>
      </c>
      <c r="S117" s="107" t="s">
        <v>559</v>
      </c>
      <c r="T117" s="113">
        <f t="shared" ref="T117:V118" si="61">M117</f>
        <v>0</v>
      </c>
      <c r="U117" s="113">
        <f t="shared" si="61"/>
        <v>227.49768839182707</v>
      </c>
      <c r="V117" s="113">
        <f t="shared" si="61"/>
        <v>0</v>
      </c>
      <c r="W117" s="116">
        <f t="shared" si="58"/>
        <v>227.49768839182707</v>
      </c>
      <c r="X117" s="115"/>
      <c r="Y117" s="115"/>
      <c r="Z117" s="115"/>
      <c r="AA117" s="107" t="s">
        <v>559</v>
      </c>
      <c r="AB117" s="113">
        <f>INDEX(TourMode_inputCBD!$L$4:$T$17,MATCH(TourMode!$A120,modes,0),MATCH("jmain",modePurpose,0))*Index!$B$2</f>
        <v>60</v>
      </c>
      <c r="AC117" s="113">
        <f>INDEX(TourMode_inputCBD!$L$20:$T$33,MATCH(TourMode!$A120,modes,0), MATCH("jmain",modePurpose,0))*Index!$B$2</f>
        <v>0</v>
      </c>
      <c r="AD117" s="113">
        <f>INDEX(TourMode_inputCBD!$L$36:$T$49,MATCH(TourMode!$A120,modes,0), MATCH("jmain",modePurpose,0))*Index!$B$2</f>
        <v>35</v>
      </c>
      <c r="AE117" s="116">
        <f t="shared" si="59"/>
        <v>95</v>
      </c>
      <c r="AG117" s="115"/>
      <c r="AH117" s="107" t="s">
        <v>396</v>
      </c>
      <c r="AI117" s="307">
        <f>IFERROR(IF(AE117&gt;0,LN(W117/AE117),0),0)</f>
        <v>0.87326318582379603</v>
      </c>
      <c r="AK117" s="107" t="s">
        <v>396</v>
      </c>
      <c r="AL117" s="328">
        <v>-0.53785314948504381</v>
      </c>
      <c r="AN117" s="107" t="s">
        <v>396</v>
      </c>
      <c r="AO117" s="307">
        <f>AL117+$AO$1*AI117</f>
        <v>-0.75616894594099282</v>
      </c>
    </row>
    <row r="118" spans="1:41" x14ac:dyDescent="0.25">
      <c r="A118">
        <v>12</v>
      </c>
      <c r="B118" s="107" t="s">
        <v>557</v>
      </c>
      <c r="C118" s="297">
        <v>0</v>
      </c>
      <c r="D118" s="113">
        <f>INDEX(TourMode_inputCBD!$B$20:$J$33,MATCH(TourMode!$A121,modes,0),MATCH("jmain",modePurpose,0))</f>
        <v>195.28697</v>
      </c>
      <c r="E118" s="113">
        <f>INDEX(TourMode_inputCBD!$B$36:$J$49,MATCH(TourMode!$A121,modes,0),MATCH("jmain",modePurpose,0))</f>
        <v>279.72061000000002</v>
      </c>
      <c r="F118" s="116">
        <f t="shared" si="55"/>
        <v>475.00758000000002</v>
      </c>
      <c r="G118" s="300"/>
      <c r="H118" s="302">
        <f>F118/F$169</f>
        <v>3.5464302263478274E-3</v>
      </c>
      <c r="I118" s="300">
        <f>H118*H$169</f>
        <v>352.40804847506047</v>
      </c>
      <c r="J118" s="115"/>
      <c r="K118">
        <v>12</v>
      </c>
      <c r="L118" s="107" t="s">
        <v>560</v>
      </c>
      <c r="M118" s="113">
        <f>IF($F118&gt;0,C118/$F118*$I118,0)</f>
        <v>0</v>
      </c>
      <c r="N118" s="113">
        <f t="shared" si="60"/>
        <v>144.88337215651944</v>
      </c>
      <c r="O118" s="113">
        <f t="shared" si="60"/>
        <v>207.52467631854105</v>
      </c>
      <c r="P118" s="116">
        <f t="shared" si="57"/>
        <v>352.40804847506047</v>
      </c>
      <c r="Q118" s="115"/>
      <c r="R118">
        <v>12</v>
      </c>
      <c r="S118" s="107" t="s">
        <v>560</v>
      </c>
      <c r="T118" s="113">
        <f t="shared" si="61"/>
        <v>0</v>
      </c>
      <c r="U118" s="113">
        <f t="shared" si="61"/>
        <v>144.88337215651944</v>
      </c>
      <c r="V118" s="113">
        <f t="shared" si="61"/>
        <v>207.52467631854105</v>
      </c>
      <c r="W118" s="116">
        <f t="shared" si="58"/>
        <v>352.40804847506047</v>
      </c>
      <c r="X118" s="115"/>
      <c r="Y118" s="115"/>
      <c r="Z118" s="115"/>
      <c r="AA118" s="107" t="s">
        <v>560</v>
      </c>
      <c r="AB118" s="113">
        <f>INDEX(TourMode_inputCBD!$L$4:$T$17,MATCH(TourMode!$A121,modes,0),MATCH("jmain",modePurpose,0))*Index!$B$2</f>
        <v>0</v>
      </c>
      <c r="AC118" s="113">
        <f>INDEX(TourMode_inputCBD!$L$20:$T$33,MATCH(TourMode!$A121,modes,0), MATCH("jmain",modePurpose,0))*Index!$B$2</f>
        <v>0</v>
      </c>
      <c r="AD118" s="113">
        <f>INDEX(TourMode_inputCBD!$L$36:$T$49,MATCH(TourMode!$A121,modes,0), MATCH("jmain",modePurpose,0))*Index!$B$2</f>
        <v>0</v>
      </c>
      <c r="AE118" s="116">
        <f t="shared" si="59"/>
        <v>0</v>
      </c>
      <c r="AG118" s="115"/>
      <c r="AH118" s="107" t="s">
        <v>397</v>
      </c>
      <c r="AI118" s="307">
        <f>IFERROR(IF(AE118&gt;0,LN(W118/AE118),0),0)</f>
        <v>0</v>
      </c>
      <c r="AK118" s="107" t="s">
        <v>397</v>
      </c>
      <c r="AL118" s="328">
        <v>4.4973404839650666</v>
      </c>
      <c r="AN118" s="107" t="s">
        <v>397</v>
      </c>
      <c r="AO118" s="307">
        <f>AL118+$AO$1*AI118</f>
        <v>4.4973404839650666</v>
      </c>
    </row>
    <row r="119" spans="1:41" x14ac:dyDescent="0.25">
      <c r="A119">
        <v>13</v>
      </c>
      <c r="B119" s="107" t="s">
        <v>398</v>
      </c>
      <c r="C119" s="113">
        <f>INDEX(TourMode_inputCBD!$B$4:$J$172,MATCH(TourMode!$A122,modes,0),MATCH("jmain",modePurpose,0))</f>
        <v>211.89824999999999</v>
      </c>
      <c r="D119" s="113">
        <f>INDEX(TourMode_inputCBD!$B$20:$J$33,MATCH(TourMode!$A122,modes,0),MATCH("jmain",modePurpose,0))</f>
        <v>111.87426000000001</v>
      </c>
      <c r="E119" s="113">
        <f>INDEX(TourMode_inputCBD!$B$36:$J$49,MATCH(TourMode!$A122,modes,0),MATCH("jmain",modePurpose,0))</f>
        <v>0</v>
      </c>
      <c r="F119" s="116">
        <f t="shared" si="55"/>
        <v>323.77251000000001</v>
      </c>
      <c r="G119" s="300"/>
      <c r="H119" s="300"/>
      <c r="I119" s="300"/>
      <c r="J119" s="115"/>
      <c r="K119">
        <v>13</v>
      </c>
      <c r="L119" s="107" t="s">
        <v>398</v>
      </c>
      <c r="M119" s="113">
        <f t="shared" ref="M119:O120" si="62">C119</f>
        <v>211.89824999999999</v>
      </c>
      <c r="N119" s="113">
        <f t="shared" si="62"/>
        <v>111.87426000000001</v>
      </c>
      <c r="O119" s="113">
        <f t="shared" si="62"/>
        <v>0</v>
      </c>
      <c r="P119" s="116">
        <f t="shared" si="57"/>
        <v>323.77251000000001</v>
      </c>
      <c r="Q119" s="115"/>
      <c r="R119">
        <v>13</v>
      </c>
      <c r="S119" s="107" t="s">
        <v>398</v>
      </c>
      <c r="T119" s="113">
        <f>IF(M122&gt;0,M119/M122*T122,0)</f>
        <v>-182.78989240843561</v>
      </c>
      <c r="U119" s="113">
        <f>IF(N122&gt;0,N119/N122*U122,0)</f>
        <v>-4.0189227868148665</v>
      </c>
      <c r="V119" s="113">
        <f>IF(O122&gt;0,O119/O122*V122,0)</f>
        <v>0</v>
      </c>
      <c r="W119" s="116">
        <f t="shared" si="58"/>
        <v>-186.80881519525047</v>
      </c>
      <c r="X119" s="115"/>
      <c r="Y119" s="115"/>
      <c r="Z119" s="115"/>
      <c r="AA119" s="107" t="s">
        <v>398</v>
      </c>
      <c r="AB119" s="113">
        <f>INDEX(TourMode_inputCBD!$L$4:$T$17,MATCH(TourMode!$A122,modes,0),MATCH("jmain",modePurpose,0))*Index!$B$2</f>
        <v>90</v>
      </c>
      <c r="AC119" s="113">
        <f>INDEX(TourMode_inputCBD!$L$20:$T$33,MATCH(TourMode!$A122,modes,0), MATCH("jmain",modePurpose,0))*Index!$B$2</f>
        <v>0</v>
      </c>
      <c r="AD119" s="113">
        <f>INDEX(TourMode_inputCBD!$L$36:$T$49,MATCH(TourMode!$A122,modes,0), MATCH("jmain",modePurpose,0))*Index!$B$2</f>
        <v>5</v>
      </c>
      <c r="AE119" s="116">
        <f t="shared" si="59"/>
        <v>95</v>
      </c>
      <c r="AG119" s="115"/>
      <c r="AH119" s="107" t="s">
        <v>398</v>
      </c>
      <c r="AI119" s="307"/>
      <c r="AK119" s="107" t="s">
        <v>398</v>
      </c>
      <c r="AL119" s="328"/>
      <c r="AN119" s="107" t="s">
        <v>398</v>
      </c>
      <c r="AO119" s="307"/>
    </row>
    <row r="120" spans="1:41" x14ac:dyDescent="0.25">
      <c r="A120">
        <v>14</v>
      </c>
      <c r="B120" s="107" t="s">
        <v>399</v>
      </c>
      <c r="C120" s="297">
        <v>0</v>
      </c>
      <c r="D120" s="297">
        <v>0</v>
      </c>
      <c r="E120" s="297">
        <v>0</v>
      </c>
      <c r="F120" s="116">
        <f t="shared" si="55"/>
        <v>0</v>
      </c>
      <c r="G120" s="300"/>
      <c r="H120" s="300"/>
      <c r="I120" s="300"/>
      <c r="J120" s="115"/>
      <c r="K120">
        <v>14</v>
      </c>
      <c r="L120" s="107" t="s">
        <v>399</v>
      </c>
      <c r="M120" s="113">
        <f t="shared" si="62"/>
        <v>0</v>
      </c>
      <c r="N120" s="113">
        <f t="shared" si="62"/>
        <v>0</v>
      </c>
      <c r="O120" s="113">
        <f t="shared" si="62"/>
        <v>0</v>
      </c>
      <c r="P120" s="116">
        <f t="shared" si="57"/>
        <v>0</v>
      </c>
      <c r="Q120" s="115"/>
      <c r="R120">
        <v>14</v>
      </c>
      <c r="S120" s="107" t="s">
        <v>399</v>
      </c>
      <c r="T120" s="113">
        <f>IF(M122&gt;0,M120/M122*T122,0)</f>
        <v>0</v>
      </c>
      <c r="U120" s="113">
        <f>IF(N122&gt;0,N120/N122*U122,0)</f>
        <v>0</v>
      </c>
      <c r="V120" s="113">
        <f>IF(O122&gt;0,O120/O122*V122,0)</f>
        <v>0</v>
      </c>
      <c r="W120" s="116">
        <f t="shared" si="58"/>
        <v>0</v>
      </c>
      <c r="X120" s="115"/>
      <c r="Y120" s="115"/>
      <c r="Z120" s="115"/>
      <c r="AA120" s="107" t="s">
        <v>399</v>
      </c>
      <c r="AB120" s="113">
        <f>INDEX(TourMode_inputCBD!$L$4:$T$17,MATCH(TourMode!$A123,modes,0),MATCH("jmain",modePurpose,0))*Index!$B$2</f>
        <v>0</v>
      </c>
      <c r="AC120" s="113">
        <f>INDEX(TourMode_inputCBD!$L$20:$T$33,MATCH(TourMode!$A123,modes,0), MATCH("jmain",modePurpose,0))*Index!$B$2</f>
        <v>0</v>
      </c>
      <c r="AD120" s="113">
        <f>INDEX(TourMode_inputCBD!$L$36:$T$49,MATCH(TourMode!$A123,modes,0), MATCH("jmain",modePurpose,0))*Index!$B$2</f>
        <v>0</v>
      </c>
      <c r="AE120" s="116">
        <f t="shared" si="59"/>
        <v>0</v>
      </c>
      <c r="AG120" s="115"/>
      <c r="AH120" s="107" t="s">
        <v>399</v>
      </c>
      <c r="AI120" s="307"/>
      <c r="AK120" s="107" t="s">
        <v>399</v>
      </c>
      <c r="AL120" s="328"/>
      <c r="AN120" s="107" t="s">
        <v>399</v>
      </c>
      <c r="AO120" s="307"/>
    </row>
    <row r="121" spans="1:41" ht="15.75" thickBot="1" x14ac:dyDescent="0.3">
      <c r="B121" s="108" t="s">
        <v>29</v>
      </c>
      <c r="C121" s="109">
        <f>SUM(C108:C120)</f>
        <v>3262.0747600000004</v>
      </c>
      <c r="D121" s="110">
        <f>SUM(D108:D120)</f>
        <v>10818.09966</v>
      </c>
      <c r="E121" s="111">
        <f>SUM(E108:E120)</f>
        <v>7498.0061100000003</v>
      </c>
      <c r="F121" s="112">
        <f>SUM(F108:F120)</f>
        <v>21578.180530000001</v>
      </c>
      <c r="G121" s="301"/>
      <c r="H121" s="301"/>
      <c r="I121" s="301"/>
      <c r="L121" s="108" t="s">
        <v>29</v>
      </c>
      <c r="M121" s="109">
        <f>SUM(M108:M120)</f>
        <v>4851.0143515077698</v>
      </c>
      <c r="N121" s="110">
        <f>SUM(N108:N120)</f>
        <v>12727.320601117635</v>
      </c>
      <c r="O121" s="111">
        <f>SUM(O108:O120)</f>
        <v>7425.8101763185414</v>
      </c>
      <c r="P121" s="112">
        <f>SUM(P108:P120)</f>
        <v>25004.145128943943</v>
      </c>
      <c r="S121" s="108" t="s">
        <v>29</v>
      </c>
      <c r="T121" s="109">
        <f>SUM(T108:T120)</f>
        <v>1460.0000000000005</v>
      </c>
      <c r="U121" s="110">
        <f>SUM(U108:U120)</f>
        <v>3884.9999999999995</v>
      </c>
      <c r="V121" s="111">
        <f>SUM(V108:V120)</f>
        <v>1590</v>
      </c>
      <c r="W121" s="112">
        <f>SUM(W108:W120)</f>
        <v>6935</v>
      </c>
      <c r="AA121" s="108" t="s">
        <v>29</v>
      </c>
      <c r="AB121" s="109">
        <f>SUM(AB108:AB120)</f>
        <v>1460</v>
      </c>
      <c r="AC121" s="110">
        <f>SUM(AC108:AC120)</f>
        <v>3885</v>
      </c>
      <c r="AD121" s="111">
        <f>SUM(AD108:AD120)</f>
        <v>1590</v>
      </c>
      <c r="AE121" s="112">
        <f>SUM(AE108:AE120)</f>
        <v>6935</v>
      </c>
      <c r="AH121" s="108" t="s">
        <v>29</v>
      </c>
      <c r="AI121" s="118"/>
      <c r="AK121" s="108" t="s">
        <v>29</v>
      </c>
      <c r="AL121" s="118"/>
      <c r="AN121" s="108" t="s">
        <v>29</v>
      </c>
      <c r="AO121" s="118"/>
    </row>
    <row r="122" spans="1:41" x14ac:dyDescent="0.25">
      <c r="B122" s="304"/>
      <c r="C122" s="301"/>
      <c r="D122" s="301"/>
      <c r="E122" s="301"/>
      <c r="F122" s="301"/>
      <c r="G122" s="301"/>
      <c r="H122" s="301"/>
      <c r="I122" s="301"/>
      <c r="L122" s="304"/>
      <c r="M122" s="286">
        <f>M121-SUM(M116:M118)</f>
        <v>1820.5512900000003</v>
      </c>
      <c r="N122" s="286">
        <f>N121-SUM(N116:N118)</f>
        <v>8535.6882100000003</v>
      </c>
      <c r="O122" s="286">
        <f>O121-SUM(O116:O118)</f>
        <v>7218.2855</v>
      </c>
      <c r="P122" s="301"/>
      <c r="S122" s="304"/>
      <c r="T122" s="286">
        <f>AB121-SUM(T116:T118)</f>
        <v>-1570.4630615077695</v>
      </c>
      <c r="U122" s="286">
        <f>AC121-SUM(U116:U118)</f>
        <v>-306.63239111763505</v>
      </c>
      <c r="V122" s="286">
        <f>AD121-SUM(V116:V118)</f>
        <v>1382.475323681459</v>
      </c>
      <c r="W122" s="301"/>
      <c r="AA122" s="304"/>
      <c r="AB122" s="301"/>
      <c r="AC122" s="301"/>
      <c r="AD122" s="301"/>
      <c r="AE122" s="301"/>
      <c r="AH122" s="304"/>
      <c r="AI122" s="306"/>
      <c r="AK122" s="304"/>
      <c r="AL122" s="306"/>
      <c r="AN122" s="304"/>
      <c r="AO122" s="306"/>
    </row>
    <row r="123" spans="1:41" ht="26.25" x14ac:dyDescent="0.4">
      <c r="A123" s="150" t="s">
        <v>153</v>
      </c>
      <c r="K123" s="150" t="s">
        <v>153</v>
      </c>
      <c r="R123" s="150" t="s">
        <v>153</v>
      </c>
    </row>
    <row r="124" spans="1:41" ht="26.25" x14ac:dyDescent="0.25">
      <c r="B124" s="102" t="s">
        <v>134</v>
      </c>
      <c r="C124" s="103" t="s">
        <v>135</v>
      </c>
      <c r="D124" s="104" t="s">
        <v>136</v>
      </c>
      <c r="E124" s="105" t="s">
        <v>137</v>
      </c>
      <c r="F124" s="106" t="s">
        <v>29</v>
      </c>
      <c r="G124" s="299"/>
      <c r="H124" s="299"/>
      <c r="I124" s="299"/>
      <c r="L124" s="102" t="s">
        <v>134</v>
      </c>
      <c r="M124" s="103" t="s">
        <v>135</v>
      </c>
      <c r="N124" s="104" t="s">
        <v>136</v>
      </c>
      <c r="O124" s="105" t="s">
        <v>137</v>
      </c>
      <c r="P124" s="106" t="s">
        <v>29</v>
      </c>
      <c r="S124" s="102" t="s">
        <v>134</v>
      </c>
      <c r="T124" s="103" t="s">
        <v>135</v>
      </c>
      <c r="U124" s="104" t="s">
        <v>136</v>
      </c>
      <c r="V124" s="105" t="s">
        <v>137</v>
      </c>
      <c r="W124" s="106" t="s">
        <v>29</v>
      </c>
      <c r="AA124" s="102" t="s">
        <v>134</v>
      </c>
      <c r="AB124" s="103" t="s">
        <v>135</v>
      </c>
      <c r="AC124" s="104" t="s">
        <v>136</v>
      </c>
      <c r="AD124" s="105" t="s">
        <v>137</v>
      </c>
      <c r="AE124" s="106" t="s">
        <v>29</v>
      </c>
      <c r="AH124" s="102" t="s">
        <v>134</v>
      </c>
      <c r="AI124" s="106" t="s">
        <v>29</v>
      </c>
      <c r="AK124" s="102" t="s">
        <v>134</v>
      </c>
      <c r="AL124" s="106" t="s">
        <v>29</v>
      </c>
      <c r="AN124" s="102" t="s">
        <v>134</v>
      </c>
      <c r="AO124" s="106" t="s">
        <v>29</v>
      </c>
    </row>
    <row r="125" spans="1:41" x14ac:dyDescent="0.25">
      <c r="A125">
        <v>1</v>
      </c>
      <c r="B125" s="107" t="s">
        <v>386</v>
      </c>
      <c r="C125" s="297">
        <v>0</v>
      </c>
      <c r="D125" s="113">
        <f>INDEX(TourMode_inputCBD!$B$20:$J$33,MATCH(TourMode!$A127,modes,0),MATCH("jdisc",modePurpose,0))</f>
        <v>0</v>
      </c>
      <c r="E125" s="113">
        <f>INDEX(TourMode_inputCBD!$B$36:$J$49,MATCH(TourMode!$A127,modes,0),MATCH("jdisc",modePurpose,0))</f>
        <v>0</v>
      </c>
      <c r="F125" s="114">
        <f>SUM(C125:E125)</f>
        <v>0</v>
      </c>
      <c r="G125" s="300"/>
      <c r="H125" s="300"/>
      <c r="I125" s="300"/>
      <c r="J125" s="115"/>
      <c r="K125">
        <v>1</v>
      </c>
      <c r="L125" s="107" t="s">
        <v>386</v>
      </c>
      <c r="M125" s="113">
        <f>C125</f>
        <v>0</v>
      </c>
      <c r="N125" s="113">
        <f t="shared" ref="N125:O132" si="63">D125</f>
        <v>0</v>
      </c>
      <c r="O125" s="113">
        <f t="shared" si="63"/>
        <v>0</v>
      </c>
      <c r="P125" s="114">
        <f>SUM(M125:O125)</f>
        <v>0</v>
      </c>
      <c r="Q125" s="115"/>
      <c r="R125">
        <v>1</v>
      </c>
      <c r="S125" s="107" t="s">
        <v>386</v>
      </c>
      <c r="T125" s="113">
        <f>IF(M139&gt;0,M125/M139*T139,0)</f>
        <v>0</v>
      </c>
      <c r="U125" s="113">
        <f>IF(N139&gt;0,N125/N139*U139,0)</f>
        <v>0</v>
      </c>
      <c r="V125" s="113">
        <f>IF(O139&gt;0,O125/O139*V139,0)</f>
        <v>0</v>
      </c>
      <c r="W125" s="114">
        <f>SUM(T125:V125)</f>
        <v>0</v>
      </c>
      <c r="X125" s="115"/>
      <c r="Y125" s="115"/>
      <c r="Z125" s="115"/>
      <c r="AA125" s="107" t="s">
        <v>386</v>
      </c>
      <c r="AB125" s="113">
        <f>INDEX(TourMode_inputCBD!$L$4:$T$17,MATCH(TourMode!$A127,modes,0),MATCH("jdisc",modePurpose,0))*Index!$B$2</f>
        <v>0</v>
      </c>
      <c r="AC125" s="113">
        <f>INDEX(TourMode_inputCBD!$L$20:$T$33,MATCH(TourMode!$A127,modes,0), MATCH("jdisc",modePurpose,0))*Index!$B$2</f>
        <v>0</v>
      </c>
      <c r="AD125" s="113">
        <f>INDEX(TourMode_inputCBD!$L$36:$T$49,MATCH(TourMode!$A127,modes,0), MATCH("jdisc",modePurpose,0))*Index!$B$2</f>
        <v>0</v>
      </c>
      <c r="AE125" s="114">
        <f>SUM(AB125:AD125)</f>
        <v>0</v>
      </c>
      <c r="AG125" s="115"/>
      <c r="AH125" s="107" t="s">
        <v>538</v>
      </c>
      <c r="AI125" s="307"/>
      <c r="AK125" s="107" t="s">
        <v>538</v>
      </c>
      <c r="AL125" s="328"/>
      <c r="AN125" s="107" t="s">
        <v>538</v>
      </c>
      <c r="AO125" s="309"/>
    </row>
    <row r="126" spans="1:41" x14ac:dyDescent="0.25">
      <c r="A126">
        <v>2</v>
      </c>
      <c r="B126" s="107" t="s">
        <v>387</v>
      </c>
      <c r="C126" s="297">
        <v>0</v>
      </c>
      <c r="D126" s="113">
        <f>INDEX(TourMode_inputCBD!$B$20:$J$33,MATCH(TourMode!$A128,modes,0),MATCH("jdisc",modePurpose,0))</f>
        <v>0</v>
      </c>
      <c r="E126" s="113">
        <f>INDEX(TourMode_inputCBD!$B$36:$J$49,MATCH(TourMode!$A128,modes,0),MATCH("jdisc",modePurpose,0))</f>
        <v>0</v>
      </c>
      <c r="F126" s="116">
        <f t="shared" ref="F126:F137" si="64">SUM(C126:E126)</f>
        <v>0</v>
      </c>
      <c r="G126" s="300"/>
      <c r="H126" s="300"/>
      <c r="I126" s="300"/>
      <c r="J126" s="115"/>
      <c r="K126">
        <v>2</v>
      </c>
      <c r="L126" s="107" t="s">
        <v>387</v>
      </c>
      <c r="M126" s="113">
        <f t="shared" ref="M126:M132" si="65">C126</f>
        <v>0</v>
      </c>
      <c r="N126" s="113">
        <f t="shared" si="63"/>
        <v>0</v>
      </c>
      <c r="O126" s="113">
        <f t="shared" si="63"/>
        <v>0</v>
      </c>
      <c r="P126" s="116">
        <f t="shared" ref="P126:P137" si="66">SUM(M126:O126)</f>
        <v>0</v>
      </c>
      <c r="Q126" s="115"/>
      <c r="R126">
        <v>2</v>
      </c>
      <c r="S126" s="107" t="s">
        <v>387</v>
      </c>
      <c r="T126" s="113">
        <f>IF(M139&gt;0,M126/M139*T139,0)</f>
        <v>0</v>
      </c>
      <c r="U126" s="113">
        <f>IF(N139&gt;0,N126/N139*U139,0)</f>
        <v>0</v>
      </c>
      <c r="V126" s="113">
        <f>IF(O139&gt;0,O126/O139*V139,0)</f>
        <v>0</v>
      </c>
      <c r="W126" s="116">
        <f t="shared" ref="W126:W137" si="67">SUM(T126:V126)</f>
        <v>0</v>
      </c>
      <c r="X126" s="115"/>
      <c r="Y126" s="115"/>
      <c r="Z126" s="115"/>
      <c r="AA126" s="107" t="s">
        <v>387</v>
      </c>
      <c r="AB126" s="113">
        <f>INDEX(TourMode_inputCBD!$L$4:$T$17,MATCH(TourMode!$A128,modes,0),MATCH("jdisc",modePurpose,0))*Index!$B$2</f>
        <v>0</v>
      </c>
      <c r="AC126" s="113">
        <f>INDEX(TourMode_inputCBD!$L$20:$T$33,MATCH(TourMode!$A128,modes,0), MATCH("jdisc",modePurpose,0))*Index!$B$2</f>
        <v>0</v>
      </c>
      <c r="AD126" s="113">
        <f>INDEX(TourMode_inputCBD!$L$36:$T$49,MATCH(TourMode!$A128,modes,0), MATCH("jdisc",modePurpose,0))*Index!$B$2</f>
        <v>0</v>
      </c>
      <c r="AE126" s="116">
        <f t="shared" ref="AE126:AE137" si="68">SUM(AB126:AD126)</f>
        <v>0</v>
      </c>
      <c r="AG126" s="115"/>
      <c r="AH126" s="107"/>
      <c r="AI126" s="307"/>
      <c r="AK126" s="107"/>
      <c r="AL126" s="328"/>
      <c r="AN126" s="107"/>
      <c r="AO126" s="307"/>
    </row>
    <row r="127" spans="1:41" x14ac:dyDescent="0.25">
      <c r="A127">
        <v>3</v>
      </c>
      <c r="B127" s="107" t="s">
        <v>388</v>
      </c>
      <c r="C127" s="113">
        <f>INDEX(TourMode_inputCBD!$B$4:$J$172,MATCH(TourMode!$A129,modes,0),MATCH("jdisc",modePurpose,0))</f>
        <v>0</v>
      </c>
      <c r="D127" s="113">
        <f>INDEX(TourMode_inputCBD!$B$20:$J$33,MATCH(TourMode!$A129,modes,0),MATCH("jdisc",modePurpose,0))</f>
        <v>2086.15326</v>
      </c>
      <c r="E127" s="113">
        <f>INDEX(TourMode_inputCBD!$B$36:$J$49,MATCH(TourMode!$A129,modes,0),MATCH("jdisc",modePurpose,0))</f>
        <v>2343.7690400000001</v>
      </c>
      <c r="F127" s="116">
        <f t="shared" si="64"/>
        <v>4429.9223000000002</v>
      </c>
      <c r="G127" s="300"/>
      <c r="H127" s="300"/>
      <c r="I127" s="300"/>
      <c r="J127" s="115"/>
      <c r="K127">
        <v>3</v>
      </c>
      <c r="L127" s="107" t="s">
        <v>388</v>
      </c>
      <c r="M127" s="113">
        <f t="shared" si="65"/>
        <v>0</v>
      </c>
      <c r="N127" s="113">
        <f t="shared" si="63"/>
        <v>2086.15326</v>
      </c>
      <c r="O127" s="113">
        <f t="shared" si="63"/>
        <v>2343.7690400000001</v>
      </c>
      <c r="P127" s="116">
        <f t="shared" si="66"/>
        <v>4429.9223000000002</v>
      </c>
      <c r="Q127" s="115"/>
      <c r="R127">
        <v>3</v>
      </c>
      <c r="S127" s="107" t="s">
        <v>388</v>
      </c>
      <c r="T127" s="113">
        <f>IF(M139&gt;0,M127/M139*T139,0)</f>
        <v>0</v>
      </c>
      <c r="U127" s="113">
        <f>IF(N139&gt;0,N127/N139*U139,0)</f>
        <v>-551.0233721340893</v>
      </c>
      <c r="V127" s="113">
        <f>IF(O139&gt;0,O127/O139*V139,0)</f>
        <v>103.35921729867283</v>
      </c>
      <c r="W127" s="116">
        <f t="shared" si="67"/>
        <v>-447.66415483541647</v>
      </c>
      <c r="X127" s="115"/>
      <c r="Y127" s="115"/>
      <c r="Z127" s="115"/>
      <c r="AA127" s="107" t="s">
        <v>388</v>
      </c>
      <c r="AB127" s="113">
        <f>INDEX(TourMode_inputCBD!$L$4:$T$17,MATCH(TourMode!$A129,modes,0),MATCH("jdisc",modePurpose,0))*Index!$B$2</f>
        <v>0</v>
      </c>
      <c r="AC127" s="113">
        <f>INDEX(TourMode_inputCBD!$L$20:$T$33,MATCH(TourMode!$A129,modes,0), MATCH("jdisc",modePurpose,0))*Index!$B$2</f>
        <v>1205</v>
      </c>
      <c r="AD127" s="113">
        <f>INDEX(TourMode_inputCBD!$L$36:$T$49,MATCH(TourMode!$A129,modes,0), MATCH("jdisc",modePurpose,0))*Index!$B$2</f>
        <v>840</v>
      </c>
      <c r="AE127" s="116">
        <f t="shared" si="68"/>
        <v>2045</v>
      </c>
      <c r="AG127" s="115"/>
      <c r="AH127" s="107" t="s">
        <v>576</v>
      </c>
      <c r="AI127" s="307"/>
      <c r="AK127" s="107" t="s">
        <v>576</v>
      </c>
      <c r="AL127" s="328"/>
      <c r="AN127" s="107" t="s">
        <v>576</v>
      </c>
      <c r="AO127" s="307"/>
    </row>
    <row r="128" spans="1:41" x14ac:dyDescent="0.25">
      <c r="A128">
        <v>4</v>
      </c>
      <c r="B128" s="107" t="s">
        <v>389</v>
      </c>
      <c r="C128" s="113">
        <f>INDEX(TourMode_inputCBD!$B$4:$J$172,MATCH(TourMode!$A130,modes,0),MATCH("jdisc",modePurpose,0))</f>
        <v>0</v>
      </c>
      <c r="D128" s="113">
        <f>INDEX(TourMode_inputCBD!$B$20:$J$33,MATCH(TourMode!$A130,modes,0),MATCH("jdisc",modePurpose,0))</f>
        <v>0</v>
      </c>
      <c r="E128" s="113">
        <f>INDEX(TourMode_inputCBD!$B$36:$J$49,MATCH(TourMode!$A130,modes,0),MATCH("jdisc",modePurpose,0))</f>
        <v>0</v>
      </c>
      <c r="F128" s="116">
        <f t="shared" si="64"/>
        <v>0</v>
      </c>
      <c r="G128" s="300"/>
      <c r="H128" s="300"/>
      <c r="I128" s="300"/>
      <c r="J128" s="115"/>
      <c r="K128">
        <v>4</v>
      </c>
      <c r="L128" s="107" t="s">
        <v>389</v>
      </c>
      <c r="M128" s="113">
        <f t="shared" si="65"/>
        <v>0</v>
      </c>
      <c r="N128" s="113">
        <f t="shared" si="63"/>
        <v>0</v>
      </c>
      <c r="O128" s="113">
        <f t="shared" si="63"/>
        <v>0</v>
      </c>
      <c r="P128" s="116">
        <f t="shared" si="66"/>
        <v>0</v>
      </c>
      <c r="Q128" s="115"/>
      <c r="R128">
        <v>4</v>
      </c>
      <c r="S128" s="107" t="s">
        <v>389</v>
      </c>
      <c r="T128" s="113">
        <f>IF(M139&gt;0,M128/M139*T139,0)</f>
        <v>0</v>
      </c>
      <c r="U128" s="113">
        <f>IF(N139&gt;0,N128/N139*U139,0)</f>
        <v>0</v>
      </c>
      <c r="V128" s="113">
        <f>IF(O139&gt;0,O128/O139*V139,0)</f>
        <v>0</v>
      </c>
      <c r="W128" s="116">
        <f t="shared" si="67"/>
        <v>0</v>
      </c>
      <c r="X128" s="115"/>
      <c r="Y128" s="115"/>
      <c r="Z128" s="115"/>
      <c r="AA128" s="107" t="s">
        <v>389</v>
      </c>
      <c r="AB128" s="113">
        <f>INDEX(TourMode_inputCBD!$L$4:$T$17,MATCH(TourMode!$A130,modes,0),MATCH("jdisc",modePurpose,0))*Index!$B$2</f>
        <v>0</v>
      </c>
      <c r="AC128" s="113">
        <f>INDEX(TourMode_inputCBD!$L$20:$T$33,MATCH(TourMode!$A130,modes,0), MATCH("jdisc",modePurpose,0))*Index!$B$2</f>
        <v>15</v>
      </c>
      <c r="AD128" s="113">
        <f>INDEX(TourMode_inputCBD!$L$36:$T$49,MATCH(TourMode!$A130,modes,0), MATCH("jdisc",modePurpose,0))*Index!$B$2</f>
        <v>60</v>
      </c>
      <c r="AE128" s="116">
        <f t="shared" si="68"/>
        <v>75</v>
      </c>
      <c r="AG128" s="115"/>
      <c r="AH128" s="107"/>
      <c r="AI128" s="307"/>
      <c r="AK128" s="107"/>
      <c r="AL128" s="328"/>
      <c r="AN128" s="107"/>
      <c r="AO128" s="307"/>
    </row>
    <row r="129" spans="1:41" x14ac:dyDescent="0.25">
      <c r="A129">
        <v>5</v>
      </c>
      <c r="B129" s="107" t="s">
        <v>390</v>
      </c>
      <c r="C129" s="113">
        <f>INDEX(TourMode_inputCBD!$B$4:$J$172,MATCH(TourMode!$A131,modes,0),MATCH("jdisc",modePurpose,0))</f>
        <v>0</v>
      </c>
      <c r="D129" s="113">
        <f>INDEX(TourMode_inputCBD!$B$20:$J$33,MATCH(TourMode!$A131,modes,0),MATCH("jdisc",modePurpose,0))</f>
        <v>2536.2083200000002</v>
      </c>
      <c r="E129" s="113">
        <f>INDEX(TourMode_inputCBD!$B$36:$J$49,MATCH(TourMode!$A131,modes,0),MATCH("jdisc",modePurpose,0))</f>
        <v>3238.5760300000002</v>
      </c>
      <c r="F129" s="116">
        <f t="shared" si="64"/>
        <v>5774.7843499999999</v>
      </c>
      <c r="G129" s="300"/>
      <c r="H129" s="300"/>
      <c r="I129" s="300"/>
      <c r="J129" s="115"/>
      <c r="K129">
        <v>5</v>
      </c>
      <c r="L129" s="107" t="s">
        <v>390</v>
      </c>
      <c r="M129" s="113">
        <f t="shared" si="65"/>
        <v>0</v>
      </c>
      <c r="N129" s="113">
        <f t="shared" si="63"/>
        <v>2536.2083200000002</v>
      </c>
      <c r="O129" s="113">
        <f t="shared" si="63"/>
        <v>3238.5760300000002</v>
      </c>
      <c r="P129" s="116">
        <f t="shared" si="66"/>
        <v>5774.7843499999999</v>
      </c>
      <c r="Q129" s="115"/>
      <c r="R129">
        <v>5</v>
      </c>
      <c r="S129" s="107" t="s">
        <v>390</v>
      </c>
      <c r="T129" s="113">
        <f>IF(M139&gt;0,M129/M139*T139,0)</f>
        <v>0</v>
      </c>
      <c r="U129" s="113">
        <f>IF(N139&gt;0,N129/N139*U139,0)</f>
        <v>-669.89807878301974</v>
      </c>
      <c r="V129" s="113">
        <f>IF(O139&gt;0,O129/O139*V139,0)</f>
        <v>142.81982478232717</v>
      </c>
      <c r="W129" s="116">
        <f t="shared" si="67"/>
        <v>-527.0782540006926</v>
      </c>
      <c r="X129" s="115"/>
      <c r="Y129" s="115"/>
      <c r="Z129" s="115"/>
      <c r="AA129" s="107" t="s">
        <v>390</v>
      </c>
      <c r="AB129" s="113">
        <f>INDEX(TourMode_inputCBD!$L$4:$T$17,MATCH(TourMode!$A131,modes,0),MATCH("jdisc",modePurpose,0))*Index!$B$2</f>
        <v>215</v>
      </c>
      <c r="AC129" s="113">
        <f>INDEX(TourMode_inputCBD!$L$20:$T$33,MATCH(TourMode!$A131,modes,0), MATCH("jdisc",modePurpose,0))*Index!$B$2</f>
        <v>355</v>
      </c>
      <c r="AD129" s="113">
        <f>INDEX(TourMode_inputCBD!$L$36:$T$49,MATCH(TourMode!$A131,modes,0), MATCH("jdisc",modePurpose,0))*Index!$B$2</f>
        <v>345</v>
      </c>
      <c r="AE129" s="116">
        <f t="shared" si="68"/>
        <v>915</v>
      </c>
      <c r="AG129" s="115"/>
      <c r="AH129" s="107" t="s">
        <v>577</v>
      </c>
      <c r="AI129" s="307"/>
      <c r="AK129" s="107" t="s">
        <v>577</v>
      </c>
      <c r="AL129" s="328"/>
      <c r="AN129" s="107" t="s">
        <v>577</v>
      </c>
      <c r="AO129" s="307"/>
    </row>
    <row r="130" spans="1:41" x14ac:dyDescent="0.25">
      <c r="A130">
        <v>6</v>
      </c>
      <c r="B130" s="107" t="s">
        <v>391</v>
      </c>
      <c r="C130" s="113">
        <f>INDEX(TourMode_inputCBD!$B$4:$J$172,MATCH(TourMode!$A132,modes,0),MATCH("jdisc",modePurpose,0))</f>
        <v>0</v>
      </c>
      <c r="D130" s="113">
        <f>INDEX(TourMode_inputCBD!$B$20:$J$33,MATCH(TourMode!$A132,modes,0),MATCH("jdisc",modePurpose,0))</f>
        <v>227.84692999999999</v>
      </c>
      <c r="E130" s="113">
        <f>INDEX(TourMode_inputCBD!$B$36:$J$49,MATCH(TourMode!$A132,modes,0),MATCH("jdisc",modePurpose,0))</f>
        <v>13.45144</v>
      </c>
      <c r="F130" s="116">
        <f t="shared" si="64"/>
        <v>241.29836999999998</v>
      </c>
      <c r="G130" s="300"/>
      <c r="H130" s="300"/>
      <c r="I130" s="300"/>
      <c r="J130" s="115"/>
      <c r="K130">
        <v>6</v>
      </c>
      <c r="L130" s="107" t="s">
        <v>391</v>
      </c>
      <c r="M130" s="113">
        <f t="shared" si="65"/>
        <v>0</v>
      </c>
      <c r="N130" s="113">
        <f t="shared" si="63"/>
        <v>227.84692999999999</v>
      </c>
      <c r="O130" s="113">
        <f t="shared" si="63"/>
        <v>13.45144</v>
      </c>
      <c r="P130" s="116">
        <f t="shared" si="66"/>
        <v>241.29836999999998</v>
      </c>
      <c r="Q130" s="115"/>
      <c r="R130">
        <v>6</v>
      </c>
      <c r="S130" s="107" t="s">
        <v>391</v>
      </c>
      <c r="T130" s="113">
        <f>IF(M139&gt;0,M130/M139*T139,0)</f>
        <v>0</v>
      </c>
      <c r="U130" s="113">
        <f>IF(N139&gt;0,N130/N139*U139,0)</f>
        <v>-60.18205186851889</v>
      </c>
      <c r="V130" s="113">
        <f>IF(O139&gt;0,O130/O139*V139,0)</f>
        <v>0.59320277988656234</v>
      </c>
      <c r="W130" s="116">
        <f t="shared" si="67"/>
        <v>-59.58884908863233</v>
      </c>
      <c r="X130" s="115"/>
      <c r="Y130" s="115"/>
      <c r="Z130" s="115"/>
      <c r="AA130" s="107" t="s">
        <v>391</v>
      </c>
      <c r="AB130" s="113">
        <f>INDEX(TourMode_inputCBD!$L$4:$T$17,MATCH(TourMode!$A132,modes,0),MATCH("jdisc",modePurpose,0))*Index!$B$2</f>
        <v>0</v>
      </c>
      <c r="AC130" s="113">
        <f>INDEX(TourMode_inputCBD!$L$20:$T$33,MATCH(TourMode!$A132,modes,0), MATCH("jdisc",modePurpose,0))*Index!$B$2</f>
        <v>25</v>
      </c>
      <c r="AD130" s="113">
        <f>INDEX(TourMode_inputCBD!$L$36:$T$49,MATCH(TourMode!$A132,modes,0), MATCH("jdisc",modePurpose,0))*Index!$B$2</f>
        <v>60</v>
      </c>
      <c r="AE130" s="116">
        <f t="shared" si="68"/>
        <v>85</v>
      </c>
      <c r="AG130" s="115"/>
      <c r="AH130" s="107"/>
      <c r="AI130" s="307"/>
      <c r="AK130" s="107"/>
      <c r="AL130" s="328"/>
      <c r="AN130" s="107"/>
      <c r="AO130" s="307"/>
    </row>
    <row r="131" spans="1:41" x14ac:dyDescent="0.25">
      <c r="A131">
        <v>7</v>
      </c>
      <c r="B131" s="107" t="s">
        <v>392</v>
      </c>
      <c r="C131" s="113">
        <f>INDEX(TourMode_inputCBD!$B$4:$J$172,MATCH(TourMode!$A133,modes,0),MATCH("jdisc",modePurpose,0))</f>
        <v>233.1568</v>
      </c>
      <c r="D131" s="113">
        <f>INDEX(TourMode_inputCBD!$B$20:$J$33,MATCH(TourMode!$A133,modes,0),MATCH("jdisc",modePurpose,0))</f>
        <v>990.08019999999999</v>
      </c>
      <c r="E131" s="113">
        <f>INDEX(TourMode_inputCBD!$B$36:$J$49,MATCH(TourMode!$A133,modes,0),MATCH("jdisc",modePurpose,0))</f>
        <v>1257.5704699999999</v>
      </c>
      <c r="F131" s="116">
        <f t="shared" si="64"/>
        <v>2480.8074699999997</v>
      </c>
      <c r="G131" s="300"/>
      <c r="H131" s="300"/>
      <c r="I131" s="300"/>
      <c r="J131" s="115"/>
      <c r="K131">
        <v>7</v>
      </c>
      <c r="L131" s="107" t="s">
        <v>392</v>
      </c>
      <c r="M131" s="113">
        <f t="shared" si="65"/>
        <v>233.1568</v>
      </c>
      <c r="N131" s="113">
        <f t="shared" si="63"/>
        <v>990.08019999999999</v>
      </c>
      <c r="O131" s="113">
        <f t="shared" si="63"/>
        <v>1257.5704699999999</v>
      </c>
      <c r="P131" s="116">
        <f t="shared" si="66"/>
        <v>2480.8074699999997</v>
      </c>
      <c r="Q131" s="115"/>
      <c r="R131">
        <v>7</v>
      </c>
      <c r="S131" s="107" t="s">
        <v>392</v>
      </c>
      <c r="T131" s="113">
        <f>IF(M139&gt;0,M131/M139*T139,0)</f>
        <v>641.86241917501877</v>
      </c>
      <c r="U131" s="113">
        <f>IF(N139&gt;0,N131/N139*U139,0)</f>
        <v>-261.51354310717971</v>
      </c>
      <c r="V131" s="113">
        <f>IF(O139&gt;0,O131/O139*V139,0)</f>
        <v>55.458322581615853</v>
      </c>
      <c r="W131" s="116">
        <f t="shared" si="67"/>
        <v>435.8071986494549</v>
      </c>
      <c r="X131" s="115"/>
      <c r="Y131" s="115"/>
      <c r="Z131" s="115"/>
      <c r="AA131" s="107" t="s">
        <v>392</v>
      </c>
      <c r="AB131" s="113">
        <f>INDEX(TourMode_inputCBD!$L$4:$T$17,MATCH(TourMode!$A133,modes,0),MATCH("jdisc",modePurpose,0))*Index!$B$2</f>
        <v>45</v>
      </c>
      <c r="AC131" s="113">
        <f>INDEX(TourMode_inputCBD!$L$20:$T$33,MATCH(TourMode!$A133,modes,0), MATCH("jdisc",modePurpose,0))*Index!$B$2</f>
        <v>110</v>
      </c>
      <c r="AD131" s="113">
        <f>INDEX(TourMode_inputCBD!$L$36:$T$49,MATCH(TourMode!$A133,modes,0), MATCH("jdisc",modePurpose,0))*Index!$B$2</f>
        <v>75</v>
      </c>
      <c r="AE131" s="116">
        <f t="shared" si="68"/>
        <v>230</v>
      </c>
      <c r="AG131" s="115"/>
      <c r="AH131" s="107" t="s">
        <v>392</v>
      </c>
      <c r="AI131" s="307"/>
      <c r="AK131" s="107" t="s">
        <v>392</v>
      </c>
      <c r="AL131" s="328"/>
      <c r="AN131" s="107" t="s">
        <v>392</v>
      </c>
      <c r="AO131" s="307"/>
    </row>
    <row r="132" spans="1:41" x14ac:dyDescent="0.25">
      <c r="A132">
        <v>8</v>
      </c>
      <c r="B132" s="107" t="s">
        <v>393</v>
      </c>
      <c r="C132" s="113">
        <f>INDEX(TourMode_inputCBD!$B$4:$J$172,MATCH(TourMode!$A134,modes,0),MATCH("jdisc",modePurpose,0))</f>
        <v>0</v>
      </c>
      <c r="D132" s="113">
        <f>INDEX(TourMode_inputCBD!$B$20:$J$33,MATCH(TourMode!$A134,modes,0),MATCH("jdisc",modePurpose,0))</f>
        <v>1114.5513699999999</v>
      </c>
      <c r="E132" s="113">
        <f>INDEX(TourMode_inputCBD!$B$36:$J$49,MATCH(TourMode!$A134,modes,0),MATCH("jdisc",modePurpose,0))</f>
        <v>0</v>
      </c>
      <c r="F132" s="116">
        <f t="shared" si="64"/>
        <v>1114.5513699999999</v>
      </c>
      <c r="G132" s="300"/>
      <c r="H132" s="300"/>
      <c r="I132" s="300"/>
      <c r="J132" s="115"/>
      <c r="K132">
        <v>8</v>
      </c>
      <c r="L132" s="107" t="s">
        <v>393</v>
      </c>
      <c r="M132" s="113">
        <f t="shared" si="65"/>
        <v>0</v>
      </c>
      <c r="N132" s="113">
        <f t="shared" si="63"/>
        <v>1114.5513699999999</v>
      </c>
      <c r="O132" s="113">
        <f t="shared" si="63"/>
        <v>0</v>
      </c>
      <c r="P132" s="116">
        <f t="shared" si="66"/>
        <v>1114.5513699999999</v>
      </c>
      <c r="Q132" s="115"/>
      <c r="R132">
        <v>8</v>
      </c>
      <c r="S132" s="107" t="s">
        <v>393</v>
      </c>
      <c r="T132" s="113">
        <f>IF(M139&gt;0,M132/M139*T139,0)</f>
        <v>0</v>
      </c>
      <c r="U132" s="113">
        <f>IF(N139&gt;0,N132/N139*U139,0)</f>
        <v>-294.39057335321036</v>
      </c>
      <c r="V132" s="113">
        <f>IF(O139&gt;0,O132/O139*V139,0)</f>
        <v>0</v>
      </c>
      <c r="W132" s="116">
        <f t="shared" si="67"/>
        <v>-294.39057335321036</v>
      </c>
      <c r="X132" s="115"/>
      <c r="Y132" s="115"/>
      <c r="Z132" s="115"/>
      <c r="AA132" s="107" t="s">
        <v>393</v>
      </c>
      <c r="AB132" s="113">
        <f>INDEX(TourMode_inputCBD!$L$4:$T$17,MATCH(TourMode!$A134,modes,0),MATCH("jdisc",modePurpose,0))*Index!$B$2</f>
        <v>90</v>
      </c>
      <c r="AC132" s="113">
        <f>INDEX(TourMode_inputCBD!$L$20:$T$33,MATCH(TourMode!$A134,modes,0), MATCH("jdisc",modePurpose,0))*Index!$B$2</f>
        <v>285</v>
      </c>
      <c r="AD132" s="113">
        <f>INDEX(TourMode_inputCBD!$L$36:$T$49,MATCH(TourMode!$A134,modes,0), MATCH("jdisc",modePurpose,0))*Index!$B$2</f>
        <v>25</v>
      </c>
      <c r="AE132" s="116">
        <f t="shared" si="68"/>
        <v>400</v>
      </c>
      <c r="AG132" s="115"/>
      <c r="AH132" s="107" t="s">
        <v>393</v>
      </c>
      <c r="AI132" s="307"/>
      <c r="AK132" s="107" t="s">
        <v>393</v>
      </c>
      <c r="AL132" s="328"/>
      <c r="AN132" s="107" t="s">
        <v>393</v>
      </c>
      <c r="AO132" s="307"/>
    </row>
    <row r="133" spans="1:41" x14ac:dyDescent="0.25">
      <c r="A133">
        <v>10</v>
      </c>
      <c r="B133" s="107" t="s">
        <v>555</v>
      </c>
      <c r="C133" s="113">
        <f>INDEX(TourMode_inputCBD!$B$4:$J$172,MATCH(TourMode!$A136,modes,0),MATCH("jdisc",modePurpose,0))+INDEX(TourMode_inputCBD!$B$4:$J$172,MATCH(TourMode!$A135,modes,0),MATCH("jdisc",modePurpose,0))</f>
        <v>99.006389999999996</v>
      </c>
      <c r="D133" s="113">
        <f>INDEX(TourMode_inputCBD!$B$20:$J$33,MATCH(TourMode!$A136,modes,0),MATCH("jdisc",modePurpose,0))+INDEX(TourMode_inputCBD!$B$20:$J$33,MATCH(TourMode!$A135,modes,0),MATCH("jdisc",modePurpose,0))</f>
        <v>1545.2642599999999</v>
      </c>
      <c r="E133" s="113">
        <f>INDEX(TourMode_inputCBD!$B$36:$J$49,MATCH(TourMode!$A136,modes,0),MATCH("jdisc",modePurpose,0))+INDEX(TourMode_inputCBD!$B$36:$J$49,MATCH(TourMode!$A135,modes,0),MATCH("jdisc",modePurpose,0))</f>
        <v>257.77411000000001</v>
      </c>
      <c r="F133" s="116">
        <f t="shared" si="64"/>
        <v>1902.04476</v>
      </c>
      <c r="G133" s="300"/>
      <c r="H133" s="302">
        <f>F133/F$167</f>
        <v>6.4197414797042942E-3</v>
      </c>
      <c r="I133" s="300">
        <f>H133*H$167</f>
        <v>3998.6004435393684</v>
      </c>
      <c r="J133" s="115"/>
      <c r="K133">
        <v>10</v>
      </c>
      <c r="L133" s="107" t="s">
        <v>546</v>
      </c>
      <c r="M133" s="113">
        <f>IF($F133&gt;0,C133/$F133*$I133,0)</f>
        <v>208.13758082498106</v>
      </c>
      <c r="N133" s="113">
        <f t="shared" ref="N133:O135" si="69">IF($F133&gt;0,D133/$F133*$I133,0)</f>
        <v>3248.5536015574803</v>
      </c>
      <c r="O133" s="113">
        <f t="shared" si="69"/>
        <v>541.90926115690672</v>
      </c>
      <c r="P133" s="116">
        <f t="shared" si="66"/>
        <v>3998.6004435393679</v>
      </c>
      <c r="Q133" s="115"/>
      <c r="R133">
        <v>10</v>
      </c>
      <c r="S133" s="107" t="s">
        <v>546</v>
      </c>
      <c r="T133" s="113">
        <f>M133</f>
        <v>208.13758082498106</v>
      </c>
      <c r="U133" s="113">
        <f>N133</f>
        <v>3248.5536015574803</v>
      </c>
      <c r="V133" s="113">
        <f>O133</f>
        <v>541.90926115690672</v>
      </c>
      <c r="W133" s="116">
        <f t="shared" si="67"/>
        <v>3998.6004435393679</v>
      </c>
      <c r="X133" s="115"/>
      <c r="Y133" s="115"/>
      <c r="Z133" s="115"/>
      <c r="AA133" s="107" t="s">
        <v>546</v>
      </c>
      <c r="AB133" s="113">
        <f>INDEX(TourMode_inputCBD!$L$4:$T$17,MATCH(TourMode!$A136,modes,0),MATCH("jdisc",modePurpose,0))*Index!$B$2</f>
        <v>475</v>
      </c>
      <c r="AC133" s="113">
        <f>INDEX(TourMode_inputCBD!$L$20:$T$33,MATCH(TourMode!$A136,modes,0), MATCH("jdisc",modePurpose,0))*Index!$B$2</f>
        <v>175</v>
      </c>
      <c r="AD133" s="113">
        <f>INDEX(TourMode_inputCBD!$L$36:$T$49,MATCH(TourMode!$A136,modes,0), MATCH("jdisc",modePurpose,0))*Index!$B$2</f>
        <v>145</v>
      </c>
      <c r="AE133" s="116">
        <f t="shared" si="68"/>
        <v>795</v>
      </c>
      <c r="AG133" s="115"/>
      <c r="AH133" s="107" t="s">
        <v>395</v>
      </c>
      <c r="AI133" s="307">
        <f>IFERROR(IF(AE133&gt;0,LN(W133/AE133),0),0)</f>
        <v>1.6153575751070595</v>
      </c>
      <c r="AK133" s="107" t="s">
        <v>395</v>
      </c>
      <c r="AL133" s="328">
        <v>-0.52860034399482159</v>
      </c>
      <c r="AN133" s="107" t="s">
        <v>395</v>
      </c>
      <c r="AO133" s="307">
        <f>AL133+$AO$1*AI133</f>
        <v>-0.93243973777158651</v>
      </c>
    </row>
    <row r="134" spans="1:41" x14ac:dyDescent="0.25">
      <c r="A134">
        <v>11</v>
      </c>
      <c r="B134" s="107" t="s">
        <v>556</v>
      </c>
      <c r="C134" s="113">
        <f>INDEX(TourMode_inputCBD!$B$4:$J$172,MATCH(TourMode!$A137,modes,0),MATCH("jdisc",modePurpose,0))</f>
        <v>0</v>
      </c>
      <c r="D134" s="113">
        <f>INDEX(TourMode_inputCBD!$B$20:$J$33,MATCH(TourMode!$A137,modes,0),MATCH("jdisc",modePurpose,0))</f>
        <v>942.79116999999997</v>
      </c>
      <c r="E134" s="113">
        <f>INDEX(TourMode_inputCBD!$B$36:$J$49,MATCH(TourMode!$A137,modes,0),MATCH("jdisc",modePurpose,0))</f>
        <v>310.97667999999999</v>
      </c>
      <c r="F134" s="116">
        <f t="shared" si="64"/>
        <v>1253.76785</v>
      </c>
      <c r="G134" s="300"/>
      <c r="H134" s="302">
        <f>F134/F$168</f>
        <v>2.6308964751769959E-2</v>
      </c>
      <c r="I134" s="300">
        <f>H134*H$168</f>
        <v>1054.8729373101125</v>
      </c>
      <c r="J134" s="115"/>
      <c r="K134">
        <v>11</v>
      </c>
      <c r="L134" s="107" t="s">
        <v>559</v>
      </c>
      <c r="M134" s="113">
        <f>IF($F134&gt;0,C134/$F134*$I134,0)</f>
        <v>0</v>
      </c>
      <c r="N134" s="113">
        <f t="shared" si="69"/>
        <v>793.22889860984844</v>
      </c>
      <c r="O134" s="113">
        <f t="shared" si="69"/>
        <v>261.6440387002641</v>
      </c>
      <c r="P134" s="116">
        <f t="shared" si="66"/>
        <v>1054.8729373101125</v>
      </c>
      <c r="Q134" s="115"/>
      <c r="R134">
        <v>11</v>
      </c>
      <c r="S134" s="107" t="s">
        <v>559</v>
      </c>
      <c r="T134" s="113">
        <f t="shared" ref="T134:V135" si="70">M134</f>
        <v>0</v>
      </c>
      <c r="U134" s="113">
        <f t="shared" si="70"/>
        <v>793.22889860984844</v>
      </c>
      <c r="V134" s="113">
        <f t="shared" si="70"/>
        <v>261.6440387002641</v>
      </c>
      <c r="W134" s="116">
        <f t="shared" si="67"/>
        <v>1054.8729373101125</v>
      </c>
      <c r="X134" s="115"/>
      <c r="Y134" s="115"/>
      <c r="Z134" s="115"/>
      <c r="AA134" s="107" t="s">
        <v>559</v>
      </c>
      <c r="AB134" s="113">
        <f>INDEX(TourMode_inputCBD!$L$4:$T$17,MATCH(TourMode!$A137,modes,0),MATCH("jdisc",modePurpose,0))*Index!$B$2</f>
        <v>5</v>
      </c>
      <c r="AC134" s="113">
        <f>INDEX(TourMode_inputCBD!$L$20:$T$33,MATCH(TourMode!$A137,modes,0), MATCH("jdisc",modePurpose,0))*Index!$B$2</f>
        <v>10</v>
      </c>
      <c r="AD134" s="113">
        <f>INDEX(TourMode_inputCBD!$L$36:$T$49,MATCH(TourMode!$A137,modes,0), MATCH("jdisc",modePurpose,0))*Index!$B$2</f>
        <v>10</v>
      </c>
      <c r="AE134" s="116">
        <f t="shared" si="68"/>
        <v>25</v>
      </c>
      <c r="AG134" s="115"/>
      <c r="AH134" s="107" t="s">
        <v>396</v>
      </c>
      <c r="AI134" s="307">
        <f>IFERROR(IF(AE134&gt;0,LN(W134/AE134),0),0)</f>
        <v>3.7422997752200455</v>
      </c>
      <c r="AK134" s="107" t="s">
        <v>396</v>
      </c>
      <c r="AL134" s="328">
        <v>0.71751959071686344</v>
      </c>
      <c r="AN134" s="107" t="s">
        <v>396</v>
      </c>
      <c r="AO134" s="307">
        <f>AL134+$AO$1*AI134</f>
        <v>-0.21805535308814794</v>
      </c>
    </row>
    <row r="135" spans="1:41" x14ac:dyDescent="0.25">
      <c r="A135">
        <v>12</v>
      </c>
      <c r="B135" s="107" t="s">
        <v>557</v>
      </c>
      <c r="C135" s="297">
        <v>0</v>
      </c>
      <c r="D135" s="113">
        <f>INDEX(TourMode_inputCBD!$B$20:$J$33,MATCH(TourMode!$A138,modes,0),MATCH("jdisc",modePurpose,0))</f>
        <v>0</v>
      </c>
      <c r="E135" s="113">
        <f>INDEX(TourMode_inputCBD!$B$36:$J$49,MATCH(TourMode!$A138,modes,0),MATCH("jdisc",modePurpose,0))</f>
        <v>605.5838</v>
      </c>
      <c r="F135" s="116">
        <f t="shared" si="64"/>
        <v>605.5838</v>
      </c>
      <c r="G135" s="300"/>
      <c r="H135" s="302">
        <f>F135/F$169</f>
        <v>4.5213187817057096E-3</v>
      </c>
      <c r="I135" s="300">
        <f>H135*H$169</f>
        <v>449.28252544119681</v>
      </c>
      <c r="J135" s="115"/>
      <c r="K135">
        <v>12</v>
      </c>
      <c r="L135" s="107" t="s">
        <v>560</v>
      </c>
      <c r="M135" s="113">
        <f>IF($F135&gt;0,C135/$F135*$I135,0)</f>
        <v>0</v>
      </c>
      <c r="N135" s="113">
        <f t="shared" si="69"/>
        <v>0</v>
      </c>
      <c r="O135" s="113">
        <f t="shared" si="69"/>
        <v>449.28252544119681</v>
      </c>
      <c r="P135" s="116">
        <f t="shared" si="66"/>
        <v>449.28252544119681</v>
      </c>
      <c r="Q135" s="115"/>
      <c r="R135">
        <v>12</v>
      </c>
      <c r="S135" s="107" t="s">
        <v>560</v>
      </c>
      <c r="T135" s="113">
        <f t="shared" si="70"/>
        <v>0</v>
      </c>
      <c r="U135" s="113">
        <f t="shared" si="70"/>
        <v>0</v>
      </c>
      <c r="V135" s="113">
        <f t="shared" si="70"/>
        <v>449.28252544119681</v>
      </c>
      <c r="W135" s="116">
        <f t="shared" si="67"/>
        <v>449.28252544119681</v>
      </c>
      <c r="X135" s="115"/>
      <c r="Y135" s="115"/>
      <c r="Z135" s="115"/>
      <c r="AA135" s="107" t="s">
        <v>560</v>
      </c>
      <c r="AB135" s="113">
        <f>INDEX(TourMode_inputCBD!$L$4:$T$17,MATCH(TourMode!$A138,modes,0),MATCH("jdisc",modePurpose,0))*Index!$B$2</f>
        <v>0</v>
      </c>
      <c r="AC135" s="113">
        <f>INDEX(TourMode_inputCBD!$L$20:$T$33,MATCH(TourMode!$A138,modes,0), MATCH("jdisc",modePurpose,0))*Index!$B$2</f>
        <v>0</v>
      </c>
      <c r="AD135" s="113">
        <f>INDEX(TourMode_inputCBD!$L$36:$T$49,MATCH(TourMode!$A138,modes,0), MATCH("jdisc",modePurpose,0))*Index!$B$2</f>
        <v>0</v>
      </c>
      <c r="AE135" s="116">
        <f t="shared" si="68"/>
        <v>0</v>
      </c>
      <c r="AG135" s="115"/>
      <c r="AH135" s="107" t="s">
        <v>397</v>
      </c>
      <c r="AI135" s="307">
        <f>IFERROR(IF(AE135&gt;0,LN(W135/AE135),0),0)</f>
        <v>0</v>
      </c>
      <c r="AK135" s="107" t="s">
        <v>397</v>
      </c>
      <c r="AL135" s="328">
        <v>0.73834288069980736</v>
      </c>
      <c r="AN135" s="107" t="s">
        <v>397</v>
      </c>
      <c r="AO135" s="307">
        <f>AL135+$AO$1*AI135</f>
        <v>0.73834288069980736</v>
      </c>
    </row>
    <row r="136" spans="1:41" x14ac:dyDescent="0.25">
      <c r="A136">
        <v>13</v>
      </c>
      <c r="B136" s="107" t="s">
        <v>398</v>
      </c>
      <c r="C136" s="113">
        <f>INDEX(TourMode_inputCBD!$B$4:$J$172,MATCH(TourMode!$A139,modes,0),MATCH("jdisc",modePurpose,0))</f>
        <v>0</v>
      </c>
      <c r="D136" s="113">
        <f>INDEX(TourMode_inputCBD!$B$20:$J$33,MATCH(TourMode!$A139,modes,0),MATCH("jdisc",modePurpose,0))</f>
        <v>55.937130000000003</v>
      </c>
      <c r="E136" s="113">
        <f>INDEX(TourMode_inputCBD!$B$36:$J$49,MATCH(TourMode!$A139,modes,0),MATCH("jdisc",modePurpose,0))</f>
        <v>111.87426000000001</v>
      </c>
      <c r="F136" s="116">
        <f t="shared" si="64"/>
        <v>167.81139000000002</v>
      </c>
      <c r="G136" s="300"/>
      <c r="H136" s="300"/>
      <c r="I136" s="300"/>
      <c r="J136" s="115"/>
      <c r="K136">
        <v>13</v>
      </c>
      <c r="L136" s="107" t="s">
        <v>398</v>
      </c>
      <c r="M136" s="113">
        <f t="shared" ref="M136:O137" si="71">C136</f>
        <v>0</v>
      </c>
      <c r="N136" s="113">
        <f t="shared" si="71"/>
        <v>55.937130000000003</v>
      </c>
      <c r="O136" s="113">
        <f t="shared" si="71"/>
        <v>111.87426000000001</v>
      </c>
      <c r="P136" s="116">
        <f t="shared" si="66"/>
        <v>167.81139000000002</v>
      </c>
      <c r="Q136" s="115"/>
      <c r="R136">
        <v>13</v>
      </c>
      <c r="S136" s="107" t="s">
        <v>398</v>
      </c>
      <c r="T136" s="113">
        <f>IF(M139&gt;0,M136/M139*T139,0)</f>
        <v>0</v>
      </c>
      <c r="U136" s="113">
        <f>IF(N139&gt;0,N136/N139*U139,0)</f>
        <v>-14.77488092131013</v>
      </c>
      <c r="V136" s="113">
        <f>IF(O139&gt;0,O136/O139*V139,0)</f>
        <v>4.9336072591300297</v>
      </c>
      <c r="W136" s="116">
        <f t="shared" si="67"/>
        <v>-9.8412736621801002</v>
      </c>
      <c r="X136" s="115"/>
      <c r="Y136" s="115"/>
      <c r="Z136" s="115"/>
      <c r="AA136" s="107" t="s">
        <v>398</v>
      </c>
      <c r="AB136" s="113">
        <f>INDEX(TourMode_inputCBD!$L$4:$T$17,MATCH(TourMode!$A139,modes,0),MATCH("jdisc",modePurpose,0))*Index!$B$2</f>
        <v>20</v>
      </c>
      <c r="AC136" s="113">
        <f>INDEX(TourMode_inputCBD!$L$20:$T$33,MATCH(TourMode!$A139,modes,0), MATCH("jdisc",modePurpose,0))*Index!$B$2</f>
        <v>10</v>
      </c>
      <c r="AD136" s="113">
        <f>INDEX(TourMode_inputCBD!$L$36:$T$49,MATCH(TourMode!$A139,modes,0), MATCH("jdisc",modePurpose,0))*Index!$B$2</f>
        <v>0</v>
      </c>
      <c r="AE136" s="116">
        <f t="shared" si="68"/>
        <v>30</v>
      </c>
      <c r="AG136" s="115"/>
      <c r="AH136" s="107" t="s">
        <v>398</v>
      </c>
      <c r="AI136" s="307"/>
      <c r="AK136" s="107" t="s">
        <v>398</v>
      </c>
      <c r="AL136" s="328"/>
      <c r="AN136" s="107" t="s">
        <v>398</v>
      </c>
      <c r="AO136" s="307"/>
    </row>
    <row r="137" spans="1:41" x14ac:dyDescent="0.25">
      <c r="A137">
        <v>14</v>
      </c>
      <c r="B137" s="107" t="s">
        <v>399</v>
      </c>
      <c r="C137" s="297">
        <v>0</v>
      </c>
      <c r="D137" s="297">
        <v>0</v>
      </c>
      <c r="E137" s="297">
        <v>0</v>
      </c>
      <c r="F137" s="116">
        <f t="shared" si="64"/>
        <v>0</v>
      </c>
      <c r="G137" s="300"/>
      <c r="H137" s="300"/>
      <c r="I137" s="300"/>
      <c r="J137" s="115"/>
      <c r="K137">
        <v>14</v>
      </c>
      <c r="L137" s="107" t="s">
        <v>399</v>
      </c>
      <c r="M137" s="113">
        <f t="shared" si="71"/>
        <v>0</v>
      </c>
      <c r="N137" s="113">
        <f t="shared" si="71"/>
        <v>0</v>
      </c>
      <c r="O137" s="113">
        <f t="shared" si="71"/>
        <v>0</v>
      </c>
      <c r="P137" s="116">
        <f t="shared" si="66"/>
        <v>0</v>
      </c>
      <c r="Q137" s="115"/>
      <c r="R137">
        <v>14</v>
      </c>
      <c r="S137" s="107" t="s">
        <v>399</v>
      </c>
      <c r="T137" s="113">
        <f>IF(M139&gt;0,M137/M139*T139,0)</f>
        <v>0</v>
      </c>
      <c r="U137" s="113">
        <f>IF(N139&gt;0,N137/N139*U139,0)</f>
        <v>0</v>
      </c>
      <c r="V137" s="113">
        <f>IF(O139&gt;0,O137/O139*V139,0)</f>
        <v>0</v>
      </c>
      <c r="W137" s="116">
        <f t="shared" si="67"/>
        <v>0</v>
      </c>
      <c r="X137" s="115"/>
      <c r="Y137" s="115"/>
      <c r="Z137" s="115"/>
      <c r="AA137" s="107" t="s">
        <v>399</v>
      </c>
      <c r="AB137" s="113">
        <f>INDEX(TourMode_inputCBD!$L$4:$T$17,MATCH(TourMode!$A140,modes,0),MATCH("jdisc",modePurpose,0))*Index!$B$2</f>
        <v>0</v>
      </c>
      <c r="AC137" s="113">
        <f>INDEX(TourMode_inputCBD!$L$20:$T$33,MATCH(TourMode!$A140,modes,0), MATCH("jdisc",modePurpose,0))*Index!$B$2</f>
        <v>0</v>
      </c>
      <c r="AD137" s="113">
        <f>INDEX(TourMode_inputCBD!$L$36:$T$49,MATCH(TourMode!$A140,modes,0), MATCH("jdisc",modePurpose,0))*Index!$B$2</f>
        <v>0</v>
      </c>
      <c r="AE137" s="116">
        <f t="shared" si="68"/>
        <v>0</v>
      </c>
      <c r="AG137" s="115"/>
      <c r="AH137" s="107" t="s">
        <v>399</v>
      </c>
      <c r="AI137" s="307"/>
      <c r="AK137" s="107" t="s">
        <v>399</v>
      </c>
      <c r="AL137" s="328"/>
      <c r="AN137" s="107" t="s">
        <v>399</v>
      </c>
      <c r="AO137" s="307"/>
    </row>
    <row r="138" spans="1:41" ht="15.75" thickBot="1" x14ac:dyDescent="0.3">
      <c r="B138" s="108" t="s">
        <v>29</v>
      </c>
      <c r="C138" s="109">
        <f>SUM(C125:C137)</f>
        <v>332.16318999999999</v>
      </c>
      <c r="D138" s="110">
        <f>SUM(D125:D137)</f>
        <v>9498.8326400000024</v>
      </c>
      <c r="E138" s="111">
        <f>SUM(E125:E137)</f>
        <v>8139.5758299999998</v>
      </c>
      <c r="F138" s="112">
        <f>SUM(F125:F137)</f>
        <v>17970.571659999998</v>
      </c>
      <c r="G138" s="301"/>
      <c r="H138" s="301"/>
      <c r="I138" s="301"/>
      <c r="L138" s="108" t="s">
        <v>29</v>
      </c>
      <c r="M138" s="109">
        <f>SUM(M125:M137)</f>
        <v>441.29438082498109</v>
      </c>
      <c r="N138" s="110">
        <f>SUM(N125:N137)</f>
        <v>11052.55971016733</v>
      </c>
      <c r="O138" s="111">
        <f>SUM(O125:O137)</f>
        <v>8218.0770652983665</v>
      </c>
      <c r="P138" s="112">
        <f>SUM(P125:P137)</f>
        <v>19711.931156290677</v>
      </c>
      <c r="S138" s="108" t="s">
        <v>29</v>
      </c>
      <c r="T138" s="109">
        <f>SUM(T125:T137)</f>
        <v>849.99999999999977</v>
      </c>
      <c r="U138" s="110">
        <f>SUM(U125:U137)</f>
        <v>2190.0000000000005</v>
      </c>
      <c r="V138" s="111">
        <f>SUM(V125:V137)</f>
        <v>1560</v>
      </c>
      <c r="W138" s="112">
        <f>SUM(W125:W137)</f>
        <v>4600</v>
      </c>
      <c r="AA138" s="108" t="s">
        <v>29</v>
      </c>
      <c r="AB138" s="109">
        <f>SUM(AB125:AB137)</f>
        <v>850</v>
      </c>
      <c r="AC138" s="110">
        <f>SUM(AC125:AC137)</f>
        <v>2190</v>
      </c>
      <c r="AD138" s="111">
        <f>SUM(AD125:AD137)</f>
        <v>1560</v>
      </c>
      <c r="AE138" s="112">
        <f>SUM(AE125:AE137)</f>
        <v>4600</v>
      </c>
      <c r="AH138" s="108" t="s">
        <v>29</v>
      </c>
      <c r="AI138" s="118"/>
      <c r="AK138" s="108" t="s">
        <v>29</v>
      </c>
      <c r="AL138" s="118"/>
      <c r="AN138" s="108" t="s">
        <v>29</v>
      </c>
      <c r="AO138" s="118"/>
    </row>
    <row r="139" spans="1:41" x14ac:dyDescent="0.25">
      <c r="B139" s="304"/>
      <c r="C139" s="301"/>
      <c r="D139" s="301"/>
      <c r="E139" s="301"/>
      <c r="F139" s="301"/>
      <c r="G139" s="301"/>
      <c r="H139" s="301"/>
      <c r="I139" s="301"/>
      <c r="L139" s="304"/>
      <c r="M139" s="286">
        <f>M138-SUM(M133:M135)</f>
        <v>233.15680000000003</v>
      </c>
      <c r="N139" s="286">
        <f>N138-SUM(N133:N135)</f>
        <v>7010.777210000002</v>
      </c>
      <c r="O139" s="286">
        <f>O138-SUM(O133:O135)</f>
        <v>6965.2412399999994</v>
      </c>
      <c r="P139" s="301"/>
      <c r="S139" s="304"/>
      <c r="T139" s="286">
        <f>AB138-SUM(T133:T135)</f>
        <v>641.86241917501889</v>
      </c>
      <c r="U139" s="286">
        <f>AC138-SUM(U133:U135)</f>
        <v>-1851.7825001673286</v>
      </c>
      <c r="V139" s="286">
        <f>AD138-SUM(V133:V135)</f>
        <v>307.16417470163242</v>
      </c>
      <c r="W139" s="301"/>
      <c r="AA139" s="304"/>
      <c r="AB139" s="301"/>
      <c r="AC139" s="301"/>
      <c r="AD139" s="301"/>
      <c r="AE139" s="301"/>
      <c r="AH139" s="304"/>
      <c r="AI139" s="306"/>
      <c r="AK139" s="304"/>
      <c r="AL139" s="306"/>
      <c r="AN139" s="304"/>
      <c r="AO139" s="306"/>
    </row>
    <row r="140" spans="1:41" ht="26.25" x14ac:dyDescent="0.4">
      <c r="A140" s="150" t="s">
        <v>163</v>
      </c>
      <c r="K140" s="150" t="s">
        <v>163</v>
      </c>
      <c r="R140" s="150" t="s">
        <v>163</v>
      </c>
    </row>
    <row r="141" spans="1:41" ht="26.25" x14ac:dyDescent="0.25">
      <c r="B141" s="102" t="s">
        <v>134</v>
      </c>
      <c r="C141" s="103" t="s">
        <v>135</v>
      </c>
      <c r="D141" s="104" t="s">
        <v>136</v>
      </c>
      <c r="E141" s="105" t="s">
        <v>137</v>
      </c>
      <c r="F141" s="106" t="s">
        <v>29</v>
      </c>
      <c r="G141" s="299"/>
      <c r="H141" s="299"/>
      <c r="I141" s="299"/>
      <c r="L141" s="102" t="s">
        <v>134</v>
      </c>
      <c r="M141" s="103" t="s">
        <v>135</v>
      </c>
      <c r="N141" s="104" t="s">
        <v>136</v>
      </c>
      <c r="O141" s="105" t="s">
        <v>137</v>
      </c>
      <c r="P141" s="106" t="s">
        <v>29</v>
      </c>
      <c r="S141" s="102" t="s">
        <v>134</v>
      </c>
      <c r="T141" s="103" t="s">
        <v>135</v>
      </c>
      <c r="U141" s="104" t="s">
        <v>136</v>
      </c>
      <c r="V141" s="105" t="s">
        <v>137</v>
      </c>
      <c r="W141" s="106" t="s">
        <v>29</v>
      </c>
      <c r="AA141" s="102" t="s">
        <v>134</v>
      </c>
      <c r="AB141" s="103" t="s">
        <v>135</v>
      </c>
      <c r="AC141" s="104" t="s">
        <v>136</v>
      </c>
      <c r="AD141" s="105" t="s">
        <v>137</v>
      </c>
      <c r="AE141" s="106" t="s">
        <v>29</v>
      </c>
      <c r="AH141" s="102" t="s">
        <v>134</v>
      </c>
      <c r="AI141" s="106" t="s">
        <v>29</v>
      </c>
      <c r="AK141" s="102" t="s">
        <v>134</v>
      </c>
      <c r="AL141" s="106" t="s">
        <v>29</v>
      </c>
      <c r="AN141" s="102" t="s">
        <v>134</v>
      </c>
      <c r="AO141" s="106" t="s">
        <v>29</v>
      </c>
    </row>
    <row r="142" spans="1:41" x14ac:dyDescent="0.25">
      <c r="A142">
        <v>1</v>
      </c>
      <c r="B142" s="107" t="s">
        <v>386</v>
      </c>
      <c r="C142" s="297">
        <v>0</v>
      </c>
      <c r="D142" s="113">
        <f>INDEX(TourMode_inputCBD!$B$20:$J$33,MATCH(TourMode!$A144,modes,0),MATCH("atwork",modePurpose,0))</f>
        <v>6087.66266</v>
      </c>
      <c r="E142" s="113">
        <f>INDEX(TourMode_inputCBD!$B$36:$J$49,MATCH(TourMode!$A144,modes,0),MATCH("atwork",modePurpose,0))</f>
        <v>9655.0487499999999</v>
      </c>
      <c r="F142" s="114">
        <f>SUM(C142:E142)</f>
        <v>15742.71141</v>
      </c>
      <c r="G142" s="300"/>
      <c r="H142" s="300"/>
      <c r="I142" s="300"/>
      <c r="J142" s="115"/>
      <c r="K142">
        <v>1</v>
      </c>
      <c r="L142" s="107" t="s">
        <v>386</v>
      </c>
      <c r="M142" s="113">
        <f>C142</f>
        <v>0</v>
      </c>
      <c r="N142" s="113">
        <f t="shared" ref="N142:O149" si="72">D142</f>
        <v>6087.66266</v>
      </c>
      <c r="O142" s="113">
        <f t="shared" si="72"/>
        <v>9655.0487499999999</v>
      </c>
      <c r="P142" s="114">
        <f>SUM(M142:O142)</f>
        <v>15742.71141</v>
      </c>
      <c r="Q142" s="115"/>
      <c r="R142">
        <v>1</v>
      </c>
      <c r="S142" s="107" t="s">
        <v>386</v>
      </c>
      <c r="T142" s="113">
        <f>IF(M156&gt;0,M142/M156*T156,0)</f>
        <v>0</v>
      </c>
      <c r="U142" s="113">
        <f>IF(N156&gt;0,N142/N156*U156,0)</f>
        <v>7309.2776447308788</v>
      </c>
      <c r="V142" s="113">
        <f>IF(O156&gt;0,O142/O156*V156,0)</f>
        <v>8474.7450442862828</v>
      </c>
      <c r="W142" s="114">
        <f>SUM(T142:V142)</f>
        <v>15784.022689017162</v>
      </c>
      <c r="X142" s="115"/>
      <c r="Y142" s="115"/>
      <c r="Z142" s="115"/>
      <c r="AA142" s="107" t="s">
        <v>386</v>
      </c>
      <c r="AB142" s="113">
        <f>INDEX(TourMode_inputCBD!$L$4:$T$17,MATCH(TourMode!$A144,modes,0),MATCH("atwork",modePurpose,0))*Index!$B$2</f>
        <v>0</v>
      </c>
      <c r="AC142" s="113">
        <f>INDEX(TourMode_inputCBD!$L$20:$T$33,MATCH(TourMode!$A144,modes,0), MATCH("atwork",modePurpose,0))*Index!$B$2</f>
        <v>5390</v>
      </c>
      <c r="AD142" s="113">
        <f>INDEX(TourMode_inputCBD!$L$36:$T$49,MATCH(TourMode!$A144,modes,0), MATCH("atwork",modePurpose,0))*Index!$B$2</f>
        <v>22705</v>
      </c>
      <c r="AE142" s="114">
        <f>SUM(AB142:AD142)</f>
        <v>28095</v>
      </c>
      <c r="AG142" s="115"/>
      <c r="AH142" s="107" t="s">
        <v>538</v>
      </c>
      <c r="AI142" s="307"/>
      <c r="AK142" s="107" t="s">
        <v>538</v>
      </c>
      <c r="AL142" s="328"/>
      <c r="AN142" s="107" t="s">
        <v>538</v>
      </c>
      <c r="AO142" s="309"/>
    </row>
    <row r="143" spans="1:41" x14ac:dyDescent="0.25">
      <c r="A143">
        <v>2</v>
      </c>
      <c r="B143" s="107" t="s">
        <v>387</v>
      </c>
      <c r="C143" s="297">
        <v>0</v>
      </c>
      <c r="D143" s="113">
        <f>INDEX(TourMode_inputCBD!$B$20:$J$33,MATCH(TourMode!$A145,modes,0),MATCH("atwork",modePurpose,0))</f>
        <v>0</v>
      </c>
      <c r="E143" s="113">
        <f>INDEX(TourMode_inputCBD!$B$36:$J$49,MATCH(TourMode!$A145,modes,0),MATCH("atwork",modePurpose,0))</f>
        <v>529.62334999999996</v>
      </c>
      <c r="F143" s="116">
        <f t="shared" ref="F143:F154" si="73">SUM(C143:E143)</f>
        <v>529.62334999999996</v>
      </c>
      <c r="G143" s="300"/>
      <c r="H143" s="300"/>
      <c r="I143" s="300"/>
      <c r="J143" s="115"/>
      <c r="K143">
        <v>2</v>
      </c>
      <c r="L143" s="107" t="s">
        <v>387</v>
      </c>
      <c r="M143" s="113">
        <f t="shared" ref="M143:M149" si="74">C143</f>
        <v>0</v>
      </c>
      <c r="N143" s="113">
        <f t="shared" si="72"/>
        <v>0</v>
      </c>
      <c r="O143" s="113">
        <f t="shared" si="72"/>
        <v>529.62334999999996</v>
      </c>
      <c r="P143" s="116">
        <f t="shared" ref="P143:P154" si="75">SUM(M143:O143)</f>
        <v>529.62334999999996</v>
      </c>
      <c r="Q143" s="115"/>
      <c r="R143">
        <v>2</v>
      </c>
      <c r="S143" s="107" t="s">
        <v>387</v>
      </c>
      <c r="T143" s="113">
        <f>IF(M156&gt;0,M143/M156*T156,0)</f>
        <v>0</v>
      </c>
      <c r="U143" s="113">
        <f>IF(N156&gt;0,N143/N156*U156,0)</f>
        <v>0</v>
      </c>
      <c r="V143" s="113">
        <f>IF(O156&gt;0,O143/O156*V156,0)</f>
        <v>464.87832189876815</v>
      </c>
      <c r="W143" s="116">
        <f t="shared" ref="W143:W154" si="76">SUM(T143:V143)</f>
        <v>464.87832189876815</v>
      </c>
      <c r="X143" s="115"/>
      <c r="Y143" s="115"/>
      <c r="Z143" s="115"/>
      <c r="AA143" s="107" t="s">
        <v>387</v>
      </c>
      <c r="AB143" s="113">
        <f>INDEX(TourMode_inputCBD!$L$4:$T$17,MATCH(TourMode!$A145,modes,0),MATCH("atwork",modePurpose,0))*Index!$B$2</f>
        <v>0</v>
      </c>
      <c r="AC143" s="113">
        <f>INDEX(TourMode_inputCBD!$L$20:$T$33,MATCH(TourMode!$A145,modes,0), MATCH("atwork",modePurpose,0))*Index!$B$2</f>
        <v>40</v>
      </c>
      <c r="AD143" s="113">
        <f>INDEX(TourMode_inputCBD!$L$36:$T$49,MATCH(TourMode!$A145,modes,0), MATCH("atwork",modePurpose,0))*Index!$B$2</f>
        <v>220</v>
      </c>
      <c r="AE143" s="116">
        <f t="shared" ref="AE143:AE154" si="77">SUM(AB143:AD143)</f>
        <v>260</v>
      </c>
      <c r="AG143" s="115"/>
      <c r="AH143" s="107"/>
      <c r="AI143" s="307"/>
      <c r="AK143" s="107"/>
      <c r="AL143" s="328"/>
      <c r="AN143" s="107"/>
      <c r="AO143" s="307"/>
    </row>
    <row r="144" spans="1:41" x14ac:dyDescent="0.25">
      <c r="A144">
        <v>3</v>
      </c>
      <c r="B144" s="107" t="s">
        <v>388</v>
      </c>
      <c r="C144" s="113">
        <f>INDEX(TourMode_inputCBD!$B$4:$J$172,MATCH(TourMode!$A146,modes,0),MATCH("atwork",modePurpose,0))</f>
        <v>0</v>
      </c>
      <c r="D144" s="113">
        <f>INDEX(TourMode_inputCBD!$B$20:$J$33,MATCH(TourMode!$A146,modes,0),MATCH("atwork",modePurpose,0))</f>
        <v>47.17069</v>
      </c>
      <c r="E144" s="113">
        <f>INDEX(TourMode_inputCBD!$B$36:$J$49,MATCH(TourMode!$A146,modes,0),MATCH("atwork",modePurpose,0))</f>
        <v>1778.02459</v>
      </c>
      <c r="F144" s="116">
        <f t="shared" si="73"/>
        <v>1825.1952799999999</v>
      </c>
      <c r="G144" s="300"/>
      <c r="H144" s="300"/>
      <c r="I144" s="300"/>
      <c r="J144" s="115"/>
      <c r="K144">
        <v>3</v>
      </c>
      <c r="L144" s="107" t="s">
        <v>388</v>
      </c>
      <c r="M144" s="113">
        <f t="shared" si="74"/>
        <v>0</v>
      </c>
      <c r="N144" s="113">
        <f t="shared" si="72"/>
        <v>47.17069</v>
      </c>
      <c r="O144" s="113">
        <f t="shared" si="72"/>
        <v>1778.02459</v>
      </c>
      <c r="P144" s="116">
        <f t="shared" si="75"/>
        <v>1825.1952799999999</v>
      </c>
      <c r="Q144" s="115"/>
      <c r="R144">
        <v>3</v>
      </c>
      <c r="S144" s="107" t="s">
        <v>388</v>
      </c>
      <c r="T144" s="113">
        <f>IF(M156&gt;0,M144/M156*T156,0)</f>
        <v>0</v>
      </c>
      <c r="U144" s="113">
        <f>IF(N156&gt;0,N144/N156*U156,0)</f>
        <v>56.636461177290414</v>
      </c>
      <c r="V144" s="113">
        <f>IF(O156&gt;0,O144/O156*V156,0)</f>
        <v>1560.6658726318342</v>
      </c>
      <c r="W144" s="116">
        <f t="shared" si="76"/>
        <v>1617.3023338091245</v>
      </c>
      <c r="X144" s="115"/>
      <c r="Y144" s="115"/>
      <c r="Z144" s="115"/>
      <c r="AA144" s="107" t="s">
        <v>388</v>
      </c>
      <c r="AB144" s="113">
        <f>INDEX(TourMode_inputCBD!$L$4:$T$17,MATCH(TourMode!$A146,modes,0),MATCH("atwork",modePurpose,0))*Index!$B$2</f>
        <v>5</v>
      </c>
      <c r="AC144" s="113">
        <f>INDEX(TourMode_inputCBD!$L$20:$T$33,MATCH(TourMode!$A146,modes,0), MATCH("atwork",modePurpose,0))*Index!$B$2</f>
        <v>290</v>
      </c>
      <c r="AD144" s="113">
        <f>INDEX(TourMode_inputCBD!$L$36:$T$49,MATCH(TourMode!$A146,modes,0), MATCH("atwork",modePurpose,0))*Index!$B$2</f>
        <v>2790</v>
      </c>
      <c r="AE144" s="116">
        <f t="shared" si="77"/>
        <v>3085</v>
      </c>
      <c r="AG144" s="115"/>
      <c r="AH144" s="107" t="s">
        <v>576</v>
      </c>
      <c r="AI144" s="307"/>
      <c r="AK144" s="107" t="s">
        <v>576</v>
      </c>
      <c r="AL144" s="328"/>
      <c r="AN144" s="107" t="s">
        <v>576</v>
      </c>
      <c r="AO144" s="307"/>
    </row>
    <row r="145" spans="1:41" x14ac:dyDescent="0.25">
      <c r="A145">
        <v>4</v>
      </c>
      <c r="B145" s="107" t="s">
        <v>389</v>
      </c>
      <c r="C145" s="113">
        <f>INDEX(TourMode_inputCBD!$B$4:$J$172,MATCH(TourMode!$A147,modes,0),MATCH("atwork",modePurpose,0))</f>
        <v>0</v>
      </c>
      <c r="D145" s="113">
        <f>INDEX(TourMode_inputCBD!$B$20:$J$33,MATCH(TourMode!$A147,modes,0),MATCH("atwork",modePurpose,0))</f>
        <v>0</v>
      </c>
      <c r="E145" s="113">
        <f>INDEX(TourMode_inputCBD!$B$36:$J$49,MATCH(TourMode!$A147,modes,0),MATCH("atwork",modePurpose,0))</f>
        <v>0</v>
      </c>
      <c r="F145" s="116">
        <f t="shared" si="73"/>
        <v>0</v>
      </c>
      <c r="G145" s="300"/>
      <c r="H145" s="300"/>
      <c r="I145" s="300"/>
      <c r="J145" s="115"/>
      <c r="K145">
        <v>4</v>
      </c>
      <c r="L145" s="107" t="s">
        <v>389</v>
      </c>
      <c r="M145" s="113">
        <f t="shared" si="74"/>
        <v>0</v>
      </c>
      <c r="N145" s="113">
        <f t="shared" si="72"/>
        <v>0</v>
      </c>
      <c r="O145" s="113">
        <f t="shared" si="72"/>
        <v>0</v>
      </c>
      <c r="P145" s="116">
        <f t="shared" si="75"/>
        <v>0</v>
      </c>
      <c r="Q145" s="115"/>
      <c r="R145">
        <v>4</v>
      </c>
      <c r="S145" s="107" t="s">
        <v>389</v>
      </c>
      <c r="T145" s="113">
        <f>IF(M156&gt;0,M145/M156*T156,0)</f>
        <v>0</v>
      </c>
      <c r="U145" s="113">
        <f>IF(N156&gt;0,N145/N156*U156,0)</f>
        <v>0</v>
      </c>
      <c r="V145" s="113">
        <f>IF(O156&gt;0,O145/O156*V156,0)</f>
        <v>0</v>
      </c>
      <c r="W145" s="116">
        <f t="shared" si="76"/>
        <v>0</v>
      </c>
      <c r="X145" s="115"/>
      <c r="Y145" s="115"/>
      <c r="Z145" s="115"/>
      <c r="AA145" s="107" t="s">
        <v>389</v>
      </c>
      <c r="AB145" s="113">
        <f>INDEX(TourMode_inputCBD!$L$4:$T$17,MATCH(TourMode!$A147,modes,0),MATCH("atwork",modePurpose,0))*Index!$B$2</f>
        <v>0</v>
      </c>
      <c r="AC145" s="113">
        <f>INDEX(TourMode_inputCBD!$L$20:$T$33,MATCH(TourMode!$A147,modes,0), MATCH("atwork",modePurpose,0))*Index!$B$2</f>
        <v>5</v>
      </c>
      <c r="AD145" s="113">
        <f>INDEX(TourMode_inputCBD!$L$36:$T$49,MATCH(TourMode!$A147,modes,0), MATCH("atwork",modePurpose,0))*Index!$B$2</f>
        <v>25</v>
      </c>
      <c r="AE145" s="116">
        <f t="shared" si="77"/>
        <v>30</v>
      </c>
      <c r="AG145" s="115"/>
      <c r="AH145" s="107"/>
      <c r="AI145" s="307"/>
      <c r="AK145" s="107"/>
      <c r="AL145" s="328"/>
      <c r="AN145" s="107"/>
      <c r="AO145" s="307"/>
    </row>
    <row r="146" spans="1:41" x14ac:dyDescent="0.25">
      <c r="A146">
        <v>5</v>
      </c>
      <c r="B146" s="107" t="s">
        <v>390</v>
      </c>
      <c r="C146" s="113">
        <f>INDEX(TourMode_inputCBD!$B$4:$J$172,MATCH(TourMode!$A148,modes,0),MATCH("atwork",modePurpose,0))</f>
        <v>0</v>
      </c>
      <c r="D146" s="113">
        <f>INDEX(TourMode_inputCBD!$B$20:$J$33,MATCH(TourMode!$A148,modes,0),MATCH("atwork",modePurpose,0))</f>
        <v>0</v>
      </c>
      <c r="E146" s="113">
        <f>INDEX(TourMode_inputCBD!$B$36:$J$49,MATCH(TourMode!$A148,modes,0),MATCH("atwork",modePurpose,0))</f>
        <v>497.00704999999999</v>
      </c>
      <c r="F146" s="116">
        <f t="shared" si="73"/>
        <v>497.00704999999999</v>
      </c>
      <c r="G146" s="300"/>
      <c r="H146" s="300"/>
      <c r="I146" s="300"/>
      <c r="J146" s="115"/>
      <c r="K146">
        <v>5</v>
      </c>
      <c r="L146" s="107" t="s">
        <v>390</v>
      </c>
      <c r="M146" s="113">
        <f t="shared" si="74"/>
        <v>0</v>
      </c>
      <c r="N146" s="113">
        <f t="shared" si="72"/>
        <v>0</v>
      </c>
      <c r="O146" s="113">
        <f t="shared" si="72"/>
        <v>497.00704999999999</v>
      </c>
      <c r="P146" s="116">
        <f t="shared" si="75"/>
        <v>497.00704999999999</v>
      </c>
      <c r="Q146" s="115"/>
      <c r="R146">
        <v>5</v>
      </c>
      <c r="S146" s="107" t="s">
        <v>390</v>
      </c>
      <c r="T146" s="113">
        <f>IF(M156&gt;0,M146/M156*T156,0)</f>
        <v>0</v>
      </c>
      <c r="U146" s="113">
        <f>IF(N156&gt;0,N146/N156*U156,0)</f>
        <v>0</v>
      </c>
      <c r="V146" s="113">
        <f>IF(O156&gt;0,O146/O156*V156,0)</f>
        <v>436.24927672818274</v>
      </c>
      <c r="W146" s="116">
        <f t="shared" si="76"/>
        <v>436.24927672818274</v>
      </c>
      <c r="X146" s="115"/>
      <c r="Y146" s="115"/>
      <c r="Z146" s="115"/>
      <c r="AA146" s="107" t="s">
        <v>390</v>
      </c>
      <c r="AB146" s="113">
        <f>INDEX(TourMode_inputCBD!$L$4:$T$17,MATCH(TourMode!$A148,modes,0),MATCH("atwork",modePurpose,0))*Index!$B$2</f>
        <v>90</v>
      </c>
      <c r="AC146" s="113">
        <f>INDEX(TourMode_inputCBD!$L$20:$T$33,MATCH(TourMode!$A148,modes,0), MATCH("atwork",modePurpose,0))*Index!$B$2</f>
        <v>180</v>
      </c>
      <c r="AD146" s="113">
        <f>INDEX(TourMode_inputCBD!$L$36:$T$49,MATCH(TourMode!$A148,modes,0), MATCH("atwork",modePurpose,0))*Index!$B$2</f>
        <v>280</v>
      </c>
      <c r="AE146" s="116">
        <f t="shared" si="77"/>
        <v>550</v>
      </c>
      <c r="AG146" s="115"/>
      <c r="AH146" s="107" t="s">
        <v>577</v>
      </c>
      <c r="AI146" s="307"/>
      <c r="AK146" s="107" t="s">
        <v>577</v>
      </c>
      <c r="AL146" s="328"/>
      <c r="AN146" s="107" t="s">
        <v>577</v>
      </c>
      <c r="AO146" s="307"/>
    </row>
    <row r="147" spans="1:41" x14ac:dyDescent="0.25">
      <c r="A147">
        <v>6</v>
      </c>
      <c r="B147" s="107" t="s">
        <v>391</v>
      </c>
      <c r="C147" s="113">
        <f>INDEX(TourMode_inputCBD!$B$4:$J$172,MATCH(TourMode!$A149,modes,0),MATCH("atwork",modePurpose,0))</f>
        <v>0</v>
      </c>
      <c r="D147" s="113">
        <f>INDEX(TourMode_inputCBD!$B$20:$J$33,MATCH(TourMode!$A149,modes,0),MATCH("atwork",modePurpose,0))</f>
        <v>0</v>
      </c>
      <c r="E147" s="113">
        <f>INDEX(TourMode_inputCBD!$B$36:$J$49,MATCH(TourMode!$A149,modes,0),MATCH("atwork",modePurpose,0))</f>
        <v>0</v>
      </c>
      <c r="F147" s="116">
        <f t="shared" si="73"/>
        <v>0</v>
      </c>
      <c r="G147" s="300"/>
      <c r="H147" s="300"/>
      <c r="I147" s="300"/>
      <c r="J147" s="115"/>
      <c r="K147">
        <v>6</v>
      </c>
      <c r="L147" s="107" t="s">
        <v>391</v>
      </c>
      <c r="M147" s="113">
        <f t="shared" si="74"/>
        <v>0</v>
      </c>
      <c r="N147" s="113">
        <f t="shared" si="72"/>
        <v>0</v>
      </c>
      <c r="O147" s="113">
        <f t="shared" si="72"/>
        <v>0</v>
      </c>
      <c r="P147" s="116">
        <f t="shared" si="75"/>
        <v>0</v>
      </c>
      <c r="Q147" s="115"/>
      <c r="R147">
        <v>6</v>
      </c>
      <c r="S147" s="107" t="s">
        <v>391</v>
      </c>
      <c r="T147" s="113">
        <f>IF(M156&gt;0,M147/M156*T156,0)</f>
        <v>0</v>
      </c>
      <c r="U147" s="113">
        <f>IF(N156&gt;0,N147/N156*U156,0)</f>
        <v>0</v>
      </c>
      <c r="V147" s="113">
        <f>IF(O156&gt;0,O147/O156*V156,0)</f>
        <v>0</v>
      </c>
      <c r="W147" s="116">
        <f t="shared" si="76"/>
        <v>0</v>
      </c>
      <c r="X147" s="115"/>
      <c r="Y147" s="115"/>
      <c r="Z147" s="115"/>
      <c r="AA147" s="107" t="s">
        <v>391</v>
      </c>
      <c r="AB147" s="113">
        <f>INDEX(TourMode_inputCBD!$L$4:$T$17,MATCH(TourMode!$A149,modes,0),MATCH("atwork",modePurpose,0))*Index!$B$2</f>
        <v>0</v>
      </c>
      <c r="AC147" s="113">
        <f>INDEX(TourMode_inputCBD!$L$20:$T$33,MATCH(TourMode!$A149,modes,0), MATCH("atwork",modePurpose,0))*Index!$B$2</f>
        <v>0</v>
      </c>
      <c r="AD147" s="113">
        <f>INDEX(TourMode_inputCBD!$L$36:$T$49,MATCH(TourMode!$A149,modes,0), MATCH("atwork",modePurpose,0))*Index!$B$2</f>
        <v>5</v>
      </c>
      <c r="AE147" s="116">
        <f t="shared" si="77"/>
        <v>5</v>
      </c>
      <c r="AG147" s="115"/>
      <c r="AH147" s="107"/>
      <c r="AI147" s="307"/>
      <c r="AK147" s="107"/>
      <c r="AL147" s="328"/>
      <c r="AN147" s="107"/>
      <c r="AO147" s="307"/>
    </row>
    <row r="148" spans="1:41" x14ac:dyDescent="0.25">
      <c r="A148">
        <v>7</v>
      </c>
      <c r="B148" s="107" t="s">
        <v>392</v>
      </c>
      <c r="C148" s="113">
        <f>INDEX(TourMode_inputCBD!$B$4:$J$172,MATCH(TourMode!$A150,modes,0),MATCH("atwork",modePurpose,0))</f>
        <v>12494.84916</v>
      </c>
      <c r="D148" s="113">
        <f>INDEX(TourMode_inputCBD!$B$20:$J$33,MATCH(TourMode!$A150,modes,0),MATCH("atwork",modePurpose,0))</f>
        <v>29216.592270000001</v>
      </c>
      <c r="E148" s="113">
        <f>INDEX(TourMode_inputCBD!$B$36:$J$49,MATCH(TourMode!$A150,modes,0),MATCH("atwork",modePurpose,0))</f>
        <v>56217.194020000003</v>
      </c>
      <c r="F148" s="116">
        <f t="shared" si="73"/>
        <v>97928.635450000002</v>
      </c>
      <c r="G148" s="300"/>
      <c r="H148" s="300"/>
      <c r="I148" s="300"/>
      <c r="J148" s="115"/>
      <c r="K148">
        <v>7</v>
      </c>
      <c r="L148" s="107" t="s">
        <v>392</v>
      </c>
      <c r="M148" s="113">
        <f t="shared" si="74"/>
        <v>12494.84916</v>
      </c>
      <c r="N148" s="113">
        <f t="shared" si="72"/>
        <v>29216.592270000001</v>
      </c>
      <c r="O148" s="113">
        <f t="shared" si="72"/>
        <v>56217.194020000003</v>
      </c>
      <c r="P148" s="116">
        <f t="shared" si="75"/>
        <v>97928.635450000002</v>
      </c>
      <c r="Q148" s="115"/>
      <c r="R148">
        <v>7</v>
      </c>
      <c r="S148" s="107" t="s">
        <v>392</v>
      </c>
      <c r="T148" s="113">
        <f>IF(M156&gt;0,M148/M156*T156,0)</f>
        <v>9507.9462387090934</v>
      </c>
      <c r="U148" s="113">
        <f>IF(N156&gt;0,N148/N156*U156,0)</f>
        <v>35079.503688255951</v>
      </c>
      <c r="V148" s="113">
        <f>IF(O156&gt;0,O148/O156*V156,0)</f>
        <v>49344.793461004068</v>
      </c>
      <c r="W148" s="116">
        <f t="shared" si="76"/>
        <v>93932.243387969109</v>
      </c>
      <c r="X148" s="115"/>
      <c r="Y148" s="115"/>
      <c r="Z148" s="115"/>
      <c r="AA148" s="107" t="s">
        <v>392</v>
      </c>
      <c r="AB148" s="113">
        <f>INDEX(TourMode_inputCBD!$L$4:$T$17,MATCH(TourMode!$A150,modes,0),MATCH("atwork",modePurpose,0))*Index!$B$2</f>
        <v>10430</v>
      </c>
      <c r="AC148" s="113">
        <f>INDEX(TourMode_inputCBD!$L$20:$T$33,MATCH(TourMode!$A150,modes,0), MATCH("atwork",modePurpose,0))*Index!$B$2</f>
        <v>39075</v>
      </c>
      <c r="AD148" s="113">
        <f>INDEX(TourMode_inputCBD!$L$36:$T$49,MATCH(TourMode!$A150,modes,0), MATCH("atwork",modePurpose,0))*Index!$B$2</f>
        <v>38725</v>
      </c>
      <c r="AE148" s="116">
        <f t="shared" si="77"/>
        <v>88230</v>
      </c>
      <c r="AG148" s="115"/>
      <c r="AH148" s="107" t="s">
        <v>392</v>
      </c>
      <c r="AI148" s="307"/>
      <c r="AK148" s="107" t="s">
        <v>392</v>
      </c>
      <c r="AL148" s="328"/>
      <c r="AN148" s="107" t="s">
        <v>392</v>
      </c>
      <c r="AO148" s="307"/>
    </row>
    <row r="149" spans="1:41" x14ac:dyDescent="0.25">
      <c r="A149">
        <v>8</v>
      </c>
      <c r="B149" s="107" t="s">
        <v>393</v>
      </c>
      <c r="C149" s="113">
        <f>INDEX(TourMode_inputCBD!$B$4:$J$172,MATCH(TourMode!$A151,modes,0),MATCH("atwork",modePurpose,0))</f>
        <v>709.41787999999997</v>
      </c>
      <c r="D149" s="113">
        <f>INDEX(TourMode_inputCBD!$B$20:$J$33,MATCH(TourMode!$A151,modes,0),MATCH("atwork",modePurpose,0))</f>
        <v>0</v>
      </c>
      <c r="E149" s="113">
        <f>INDEX(TourMode_inputCBD!$B$36:$J$49,MATCH(TourMode!$A151,modes,0),MATCH("atwork",modePurpose,0))</f>
        <v>74.598259999999996</v>
      </c>
      <c r="F149" s="116">
        <f t="shared" si="73"/>
        <v>784.01613999999995</v>
      </c>
      <c r="G149" s="300"/>
      <c r="H149" s="300"/>
      <c r="I149" s="300"/>
      <c r="J149" s="115"/>
      <c r="K149">
        <v>8</v>
      </c>
      <c r="L149" s="107" t="s">
        <v>393</v>
      </c>
      <c r="M149" s="113">
        <f t="shared" si="74"/>
        <v>709.41787999999997</v>
      </c>
      <c r="N149" s="113">
        <f t="shared" si="72"/>
        <v>0</v>
      </c>
      <c r="O149" s="113">
        <f t="shared" si="72"/>
        <v>74.598259999999996</v>
      </c>
      <c r="P149" s="116">
        <f t="shared" si="75"/>
        <v>784.01613999999995</v>
      </c>
      <c r="Q149" s="115"/>
      <c r="R149">
        <v>8</v>
      </c>
      <c r="S149" s="107" t="s">
        <v>393</v>
      </c>
      <c r="T149" s="113">
        <f>IF(M156&gt;0,M149/M156*T156,0)</f>
        <v>539.83101175900697</v>
      </c>
      <c r="U149" s="113">
        <f>IF(N156&gt;0,N149/N156*U156,0)</f>
        <v>0</v>
      </c>
      <c r="V149" s="113">
        <f>IF(O156&gt;0,O149/O156*V156,0)</f>
        <v>65.478823630733061</v>
      </c>
      <c r="W149" s="116">
        <f t="shared" si="76"/>
        <v>605.30983538973999</v>
      </c>
      <c r="X149" s="115"/>
      <c r="Y149" s="115"/>
      <c r="Z149" s="115"/>
      <c r="AA149" s="107" t="s">
        <v>393</v>
      </c>
      <c r="AB149" s="113">
        <f>INDEX(TourMode_inputCBD!$L$4:$T$17,MATCH(TourMode!$A151,modes,0),MATCH("atwork",modePurpose,0))*Index!$B$2</f>
        <v>165</v>
      </c>
      <c r="AC149" s="113">
        <f>INDEX(TourMode_inputCBD!$L$20:$T$33,MATCH(TourMode!$A151,modes,0), MATCH("atwork",modePurpose,0))*Index!$B$2</f>
        <v>70</v>
      </c>
      <c r="AD149" s="113">
        <f>INDEX(TourMode_inputCBD!$L$36:$T$49,MATCH(TourMode!$A151,modes,0), MATCH("atwork",modePurpose,0))*Index!$B$2</f>
        <v>220</v>
      </c>
      <c r="AE149" s="116">
        <f t="shared" si="77"/>
        <v>455</v>
      </c>
      <c r="AG149" s="115"/>
      <c r="AH149" s="107" t="s">
        <v>393</v>
      </c>
      <c r="AI149" s="307"/>
      <c r="AK149" s="107" t="s">
        <v>393</v>
      </c>
      <c r="AL149" s="328"/>
      <c r="AN149" s="107" t="s">
        <v>393</v>
      </c>
      <c r="AO149" s="307"/>
    </row>
    <row r="150" spans="1:41" x14ac:dyDescent="0.25">
      <c r="A150">
        <v>10</v>
      </c>
      <c r="B150" s="107" t="s">
        <v>555</v>
      </c>
      <c r="C150" s="113">
        <f>INDEX(TourMode_inputCBD!$B$4:$J$172,MATCH(TourMode!$A153,modes,0),MATCH("atwork",modePurpose,0))+INDEX(TourMode_inputCBD!$B$4:$J$172,MATCH(TourMode!$A152,modes,0),MATCH("atwork",modePurpose,0))</f>
        <v>165.93109999999999</v>
      </c>
      <c r="D150" s="113">
        <f>INDEX(TourMode_inputCBD!$B$20:$J$33,MATCH(TourMode!$A153,modes,0),MATCH("atwork",modePurpose,0))+INDEX(TourMode_inputCBD!$B$20:$J$33,MATCH(TourMode!$A152,modes,0),MATCH("atwork",modePurpose,0))</f>
        <v>757.77278999999999</v>
      </c>
      <c r="E150" s="113">
        <f>INDEX(TourMode_inputCBD!$B$36:$J$49,MATCH(TourMode!$A153,modes,0),MATCH("atwork",modePurpose,0))+INDEX(TourMode_inputCBD!$B$36:$J$49,MATCH(TourMode!$A152,modes,0),MATCH("atwork",modePurpose,0))</f>
        <v>1175.0684200000001</v>
      </c>
      <c r="F150" s="116">
        <f t="shared" si="73"/>
        <v>2098.7723100000003</v>
      </c>
      <c r="G150" s="300"/>
      <c r="H150" s="302">
        <f>F150/F$167</f>
        <v>7.0837321698790107E-3</v>
      </c>
      <c r="I150" s="300">
        <f>H150*H$167</f>
        <v>4412.1737122811701</v>
      </c>
      <c r="J150" s="115"/>
      <c r="K150">
        <v>10</v>
      </c>
      <c r="L150" s="107" t="s">
        <v>546</v>
      </c>
      <c r="M150" s="113">
        <f>IF($F150&gt;0,C150/$F150*$I150,0)</f>
        <v>348.83099704602921</v>
      </c>
      <c r="N150" s="113">
        <f t="shared" ref="N150:O152" si="78">IF($F150&gt;0,D150/$F150*$I150,0)</f>
        <v>1593.0385435283158</v>
      </c>
      <c r="O150" s="113">
        <f t="shared" si="78"/>
        <v>2470.3041717068245</v>
      </c>
      <c r="P150" s="116">
        <f t="shared" si="75"/>
        <v>4412.1737122811701</v>
      </c>
      <c r="Q150" s="115"/>
      <c r="R150">
        <v>10</v>
      </c>
      <c r="S150" s="107" t="s">
        <v>546</v>
      </c>
      <c r="T150" s="113">
        <f>M150</f>
        <v>348.83099704602921</v>
      </c>
      <c r="U150" s="113">
        <f>N150</f>
        <v>1593.0385435283158</v>
      </c>
      <c r="V150" s="113">
        <f>O150</f>
        <v>2470.3041717068245</v>
      </c>
      <c r="W150" s="116">
        <f t="shared" si="76"/>
        <v>4412.1737122811701</v>
      </c>
      <c r="X150" s="115"/>
      <c r="Y150" s="115"/>
      <c r="Z150" s="115"/>
      <c r="AA150" s="107" t="s">
        <v>546</v>
      </c>
      <c r="AB150" s="113">
        <f>INDEX(TourMode_inputCBD!$L$4:$T$17,MATCH(TourMode!$A153,modes,0),MATCH("atwork",modePurpose,0))*Index!$B$2</f>
        <v>70</v>
      </c>
      <c r="AC150" s="113">
        <f>INDEX(TourMode_inputCBD!$L$20:$T$33,MATCH(TourMode!$A153,modes,0), MATCH("atwork",modePurpose,0))*Index!$B$2</f>
        <v>140</v>
      </c>
      <c r="AD150" s="113">
        <f>INDEX(TourMode_inputCBD!$L$36:$T$49,MATCH(TourMode!$A153,modes,0), MATCH("atwork",modePurpose,0))*Index!$B$2</f>
        <v>380</v>
      </c>
      <c r="AE150" s="116">
        <f t="shared" si="77"/>
        <v>590</v>
      </c>
      <c r="AG150" s="115"/>
      <c r="AH150" s="107" t="s">
        <v>395</v>
      </c>
      <c r="AI150" s="307">
        <f>IFERROR(IF(AE150&gt;0,LN(W150/AE150),0),0)</f>
        <v>2.0120002153823995</v>
      </c>
      <c r="AK150" s="107" t="s">
        <v>395</v>
      </c>
      <c r="AL150" s="328">
        <v>0.28347459499443134</v>
      </c>
      <c r="AN150" s="107" t="s">
        <v>395</v>
      </c>
      <c r="AO150" s="307">
        <f>AL150+$AO$1*AI150</f>
        <v>-0.21952545885116853</v>
      </c>
    </row>
    <row r="151" spans="1:41" x14ac:dyDescent="0.25">
      <c r="A151">
        <v>11</v>
      </c>
      <c r="B151" s="107" t="s">
        <v>556</v>
      </c>
      <c r="C151" s="113">
        <f>INDEX(TourMode_inputCBD!$B$4:$J$172,MATCH(TourMode!$A154,modes,0),MATCH("atwork",modePurpose,0))</f>
        <v>0</v>
      </c>
      <c r="D151" s="297">
        <v>0</v>
      </c>
      <c r="E151" s="297">
        <v>0</v>
      </c>
      <c r="F151" s="116">
        <f t="shared" si="73"/>
        <v>0</v>
      </c>
      <c r="G151" s="300"/>
      <c r="H151" s="302">
        <f>F151/F$168</f>
        <v>0</v>
      </c>
      <c r="I151" s="300">
        <f>H151*H$168</f>
        <v>0</v>
      </c>
      <c r="J151" s="115"/>
      <c r="K151">
        <v>11</v>
      </c>
      <c r="L151" s="107" t="s">
        <v>559</v>
      </c>
      <c r="M151" s="113">
        <f>IF($F151&gt;0,C151/$F151*$I151,0)</f>
        <v>0</v>
      </c>
      <c r="N151" s="113">
        <f t="shared" si="78"/>
        <v>0</v>
      </c>
      <c r="O151" s="113">
        <f t="shared" si="78"/>
        <v>0</v>
      </c>
      <c r="P151" s="116">
        <f t="shared" si="75"/>
        <v>0</v>
      </c>
      <c r="Q151" s="115"/>
      <c r="R151">
        <v>11</v>
      </c>
      <c r="S151" s="107" t="s">
        <v>559</v>
      </c>
      <c r="T151" s="113">
        <f t="shared" ref="T151:V152" si="79">M151</f>
        <v>0</v>
      </c>
      <c r="U151" s="113">
        <f t="shared" si="79"/>
        <v>0</v>
      </c>
      <c r="V151" s="113">
        <f t="shared" si="79"/>
        <v>0</v>
      </c>
      <c r="W151" s="116">
        <f t="shared" si="76"/>
        <v>0</v>
      </c>
      <c r="X151" s="115"/>
      <c r="Y151" s="115"/>
      <c r="Z151" s="115"/>
      <c r="AA151" s="107" t="s">
        <v>559</v>
      </c>
      <c r="AB151" s="113">
        <f>INDEX(TourMode_inputCBD!$L$4:$T$17,MATCH(TourMode!$A154,modes,0),MATCH("atwork",modePurpose,0))*Index!$B$2</f>
        <v>0</v>
      </c>
      <c r="AC151" s="113">
        <f>INDEX(TourMode_inputCBD!$L$20:$T$33,MATCH(TourMode!$A154,modes,0), MATCH("atwork",modePurpose,0))*Index!$B$2</f>
        <v>0</v>
      </c>
      <c r="AD151" s="113">
        <f>INDEX(TourMode_inputCBD!$L$36:$T$49,MATCH(TourMode!$A154,modes,0), MATCH("atwork",modePurpose,0))*Index!$B$2</f>
        <v>0</v>
      </c>
      <c r="AE151" s="116">
        <f t="shared" si="77"/>
        <v>0</v>
      </c>
      <c r="AG151" s="115"/>
      <c r="AH151" s="107" t="s">
        <v>396</v>
      </c>
      <c r="AI151" s="307">
        <f>IFERROR(IF(AE151&gt;0,LN(W151/AE151),0),0)</f>
        <v>0</v>
      </c>
      <c r="AK151" s="107" t="s">
        <v>396</v>
      </c>
      <c r="AL151" s="328">
        <v>3.188568204076462</v>
      </c>
      <c r="AN151" s="107" t="s">
        <v>396</v>
      </c>
      <c r="AO151" s="307">
        <f>AL151+$AO$1*AI151</f>
        <v>3.188568204076462</v>
      </c>
    </row>
    <row r="152" spans="1:41" x14ac:dyDescent="0.25">
      <c r="A152">
        <v>12</v>
      </c>
      <c r="B152" s="107" t="s">
        <v>557</v>
      </c>
      <c r="C152" s="297">
        <v>0</v>
      </c>
      <c r="D152" s="297">
        <v>0</v>
      </c>
      <c r="E152" s="297">
        <v>0</v>
      </c>
      <c r="F152" s="116">
        <f t="shared" si="73"/>
        <v>0</v>
      </c>
      <c r="G152" s="300"/>
      <c r="H152" s="302">
        <f>F152/F$169</f>
        <v>0</v>
      </c>
      <c r="I152" s="300">
        <f>H152*H$169</f>
        <v>0</v>
      </c>
      <c r="J152" s="115"/>
      <c r="K152">
        <v>12</v>
      </c>
      <c r="L152" s="107" t="s">
        <v>560</v>
      </c>
      <c r="M152" s="113">
        <f>IF($F152&gt;0,C152/$F152*$I152,0)</f>
        <v>0</v>
      </c>
      <c r="N152" s="113">
        <f t="shared" si="78"/>
        <v>0</v>
      </c>
      <c r="O152" s="113">
        <f t="shared" si="78"/>
        <v>0</v>
      </c>
      <c r="P152" s="116">
        <f t="shared" si="75"/>
        <v>0</v>
      </c>
      <c r="Q152" s="115"/>
      <c r="R152">
        <v>12</v>
      </c>
      <c r="S152" s="107" t="s">
        <v>560</v>
      </c>
      <c r="T152" s="113">
        <f t="shared" si="79"/>
        <v>0</v>
      </c>
      <c r="U152" s="113">
        <f t="shared" si="79"/>
        <v>0</v>
      </c>
      <c r="V152" s="113">
        <f t="shared" si="79"/>
        <v>0</v>
      </c>
      <c r="W152" s="116">
        <f t="shared" si="76"/>
        <v>0</v>
      </c>
      <c r="X152" s="115"/>
      <c r="Y152" s="115"/>
      <c r="Z152" s="115"/>
      <c r="AA152" s="107" t="s">
        <v>560</v>
      </c>
      <c r="AB152" s="113">
        <f>INDEX(TourMode_inputCBD!$L$4:$T$17,MATCH(TourMode!$A155,modes,0),MATCH("atwork",modePurpose,0))*Index!$B$2</f>
        <v>0</v>
      </c>
      <c r="AC152" s="113">
        <f>INDEX(TourMode_inputCBD!$L$20:$T$33,MATCH(TourMode!$A155,modes,0), MATCH("atwork",modePurpose,0))*Index!$B$2</f>
        <v>0</v>
      </c>
      <c r="AD152" s="113">
        <f>INDEX(TourMode_inputCBD!$L$36:$T$49,MATCH(TourMode!$A155,modes,0), MATCH("atwork",modePurpose,0))*Index!$B$2</f>
        <v>0</v>
      </c>
      <c r="AE152" s="116">
        <f t="shared" si="77"/>
        <v>0</v>
      </c>
      <c r="AG152" s="115"/>
      <c r="AH152" s="107" t="s">
        <v>397</v>
      </c>
      <c r="AI152" s="307">
        <f>IFERROR(IF(AE152&gt;0,LN(W152/AE152),0),0)</f>
        <v>0</v>
      </c>
      <c r="AK152" s="107" t="s">
        <v>397</v>
      </c>
      <c r="AL152" s="328">
        <v>3.188568204076462</v>
      </c>
      <c r="AN152" s="107" t="s">
        <v>397</v>
      </c>
      <c r="AO152" s="307">
        <f>AL152+$AO$1*AI152</f>
        <v>3.188568204076462</v>
      </c>
    </row>
    <row r="153" spans="1:41" x14ac:dyDescent="0.25">
      <c r="A153">
        <v>13</v>
      </c>
      <c r="B153" s="107" t="s">
        <v>398</v>
      </c>
      <c r="C153" s="113">
        <f>INDEX(TourMode_inputCBD!$B$4:$J$172,MATCH(TourMode!$A156,modes,0),MATCH("atwork",modePurpose,0))</f>
        <v>503.83353</v>
      </c>
      <c r="D153" s="113">
        <f>INDEX(TourMode_inputCBD!$B$20:$J$33,MATCH(TourMode!$A156,modes,0),MATCH("atwork",modePurpose,0))</f>
        <v>1050.69921</v>
      </c>
      <c r="E153" s="113">
        <f>INDEX(TourMode_inputCBD!$B$36:$J$49,MATCH(TourMode!$A156,modes,0),MATCH("atwork",modePurpose,0))</f>
        <v>3050.8422799999998</v>
      </c>
      <c r="F153" s="116">
        <f t="shared" si="73"/>
        <v>4605.3750199999995</v>
      </c>
      <c r="G153" s="300"/>
      <c r="H153" s="300"/>
      <c r="I153" s="300"/>
      <c r="J153" s="115"/>
      <c r="K153">
        <v>13</v>
      </c>
      <c r="L153" s="107" t="s">
        <v>398</v>
      </c>
      <c r="M153" s="113">
        <f t="shared" ref="M153:O154" si="80">C153</f>
        <v>503.83353</v>
      </c>
      <c r="N153" s="113">
        <f t="shared" si="80"/>
        <v>1050.69921</v>
      </c>
      <c r="O153" s="113">
        <f t="shared" si="80"/>
        <v>3050.8422799999998</v>
      </c>
      <c r="P153" s="116">
        <f t="shared" si="75"/>
        <v>4605.3750199999995</v>
      </c>
      <c r="Q153" s="115"/>
      <c r="R153">
        <v>13</v>
      </c>
      <c r="S153" s="107" t="s">
        <v>398</v>
      </c>
      <c r="T153" s="113">
        <f>IF(M156&gt;0,M153/M156*T156,0)</f>
        <v>383.39175248587196</v>
      </c>
      <c r="U153" s="113">
        <f>IF(N156&gt;0,N153/N156*U156,0)</f>
        <v>1261.5436623075623</v>
      </c>
      <c r="V153" s="113">
        <f>IF(O156&gt;0,O153/O156*V156,0)</f>
        <v>2677.8850281133032</v>
      </c>
      <c r="W153" s="116">
        <f t="shared" si="76"/>
        <v>4322.8204429067373</v>
      </c>
      <c r="X153" s="115"/>
      <c r="Y153" s="115"/>
      <c r="Z153" s="115"/>
      <c r="AA153" s="107" t="s">
        <v>398</v>
      </c>
      <c r="AB153" s="113">
        <f>INDEX(TourMode_inputCBD!$L$4:$T$17,MATCH(TourMode!$A156,modes,0),MATCH("atwork",modePurpose,0))*Index!$B$2</f>
        <v>20</v>
      </c>
      <c r="AC153" s="113">
        <f>INDEX(TourMode_inputCBD!$L$20:$T$33,MATCH(TourMode!$A156,modes,0), MATCH("atwork",modePurpose,0))*Index!$B$2</f>
        <v>110</v>
      </c>
      <c r="AD153" s="113">
        <f>INDEX(TourMode_inputCBD!$L$36:$T$49,MATCH(TourMode!$A156,modes,0), MATCH("atwork",modePurpose,0))*Index!$B$2</f>
        <v>145</v>
      </c>
      <c r="AE153" s="116">
        <f t="shared" si="77"/>
        <v>275</v>
      </c>
      <c r="AG153" s="115"/>
      <c r="AH153" s="107" t="s">
        <v>398</v>
      </c>
      <c r="AI153" s="307"/>
      <c r="AK153" s="107" t="s">
        <v>398</v>
      </c>
      <c r="AL153" s="328"/>
      <c r="AN153" s="107" t="s">
        <v>398</v>
      </c>
      <c r="AO153" s="307"/>
    </row>
    <row r="154" spans="1:41" x14ac:dyDescent="0.25">
      <c r="A154">
        <v>14</v>
      </c>
      <c r="B154" s="107" t="s">
        <v>399</v>
      </c>
      <c r="C154" s="297">
        <v>0</v>
      </c>
      <c r="D154" s="297">
        <v>0</v>
      </c>
      <c r="E154" s="297">
        <v>0</v>
      </c>
      <c r="F154" s="116">
        <f t="shared" si="73"/>
        <v>0</v>
      </c>
      <c r="G154" s="300"/>
      <c r="H154" s="300"/>
      <c r="I154" s="300"/>
      <c r="J154" s="115"/>
      <c r="K154">
        <v>14</v>
      </c>
      <c r="L154" s="107" t="s">
        <v>399</v>
      </c>
      <c r="M154" s="113">
        <f t="shared" si="80"/>
        <v>0</v>
      </c>
      <c r="N154" s="113">
        <f t="shared" si="80"/>
        <v>0</v>
      </c>
      <c r="O154" s="113">
        <f t="shared" si="80"/>
        <v>0</v>
      </c>
      <c r="P154" s="116">
        <f t="shared" si="75"/>
        <v>0</v>
      </c>
      <c r="Q154" s="115"/>
      <c r="R154">
        <v>14</v>
      </c>
      <c r="S154" s="107" t="s">
        <v>399</v>
      </c>
      <c r="T154" s="113">
        <f>IF(M156&gt;0,M154/M156*T156,0)</f>
        <v>0</v>
      </c>
      <c r="U154" s="113">
        <f>IF(N156&gt;0,N154/N156*U156,0)</f>
        <v>0</v>
      </c>
      <c r="V154" s="113">
        <f>IF(O156&gt;0,O154/O156*V156,0)</f>
        <v>0</v>
      </c>
      <c r="W154" s="116">
        <f t="shared" si="76"/>
        <v>0</v>
      </c>
      <c r="X154" s="115"/>
      <c r="Y154" s="115"/>
      <c r="Z154" s="115"/>
      <c r="AA154" s="107" t="s">
        <v>399</v>
      </c>
      <c r="AB154" s="113">
        <f>INDEX(TourMode_inputCBD!$L$4:$T$17,MATCH(TourMode!$A157,modes,0),MATCH("atwork",modePurpose,0))*Index!$B$2</f>
        <v>0</v>
      </c>
      <c r="AC154" s="113">
        <f>INDEX(TourMode_inputCBD!$L$20:$T$33,MATCH(TourMode!$A157,modes,0), MATCH("atwork",modePurpose,0))*Index!$B$2</f>
        <v>0</v>
      </c>
      <c r="AD154" s="113">
        <f>INDEX(TourMode_inputCBD!$L$36:$T$49,MATCH(TourMode!$A157,modes,0), MATCH("atwork",modePurpose,0))*Index!$B$2</f>
        <v>0</v>
      </c>
      <c r="AE154" s="116">
        <f t="shared" si="77"/>
        <v>0</v>
      </c>
      <c r="AG154" s="115"/>
      <c r="AH154" s="107" t="s">
        <v>399</v>
      </c>
      <c r="AI154" s="307"/>
      <c r="AK154" s="107" t="s">
        <v>399</v>
      </c>
      <c r="AL154" s="328"/>
      <c r="AN154" s="107" t="s">
        <v>399</v>
      </c>
      <c r="AO154" s="307"/>
    </row>
    <row r="155" spans="1:41" ht="15.75" thickBot="1" x14ac:dyDescent="0.3">
      <c r="B155" s="108" t="s">
        <v>29</v>
      </c>
      <c r="C155" s="109">
        <f>SUM(C142:C154)</f>
        <v>13874.031669999998</v>
      </c>
      <c r="D155" s="110">
        <f>SUM(D142:D154)</f>
        <v>37159.897620000003</v>
      </c>
      <c r="E155" s="111">
        <f>SUM(E142:E154)</f>
        <v>72977.406719999999</v>
      </c>
      <c r="F155" s="112">
        <f>SUM(F142:F154)</f>
        <v>124011.33601</v>
      </c>
      <c r="G155" s="301"/>
      <c r="H155" s="301"/>
      <c r="I155" s="301"/>
      <c r="L155" s="108" t="s">
        <v>29</v>
      </c>
      <c r="M155" s="109">
        <f>SUM(M142:M154)</f>
        <v>14056.931567046027</v>
      </c>
      <c r="N155" s="110">
        <f>SUM(N142:N154)</f>
        <v>37995.163373528318</v>
      </c>
      <c r="O155" s="111">
        <f>SUM(O142:O154)</f>
        <v>74272.642471706829</v>
      </c>
      <c r="P155" s="112">
        <f>SUM(P142:P154)</f>
        <v>126324.73741228119</v>
      </c>
      <c r="S155" s="108" t="s">
        <v>29</v>
      </c>
      <c r="T155" s="109">
        <f>SUM(T142:T154)</f>
        <v>10780</v>
      </c>
      <c r="U155" s="110">
        <f>SUM(U142:U154)</f>
        <v>45300</v>
      </c>
      <c r="V155" s="111">
        <f>SUM(V142:V154)</f>
        <v>65495</v>
      </c>
      <c r="W155" s="112">
        <f>SUM(W142:W154)</f>
        <v>121575</v>
      </c>
      <c r="AA155" s="108" t="s">
        <v>29</v>
      </c>
      <c r="AB155" s="109">
        <f>SUM(AB142:AB154)</f>
        <v>10780</v>
      </c>
      <c r="AC155" s="110">
        <f>SUM(AC142:AC154)</f>
        <v>45300</v>
      </c>
      <c r="AD155" s="111">
        <f>SUM(AD142:AD154)</f>
        <v>65495</v>
      </c>
      <c r="AE155" s="112">
        <f>SUM(AE142:AE154)</f>
        <v>121575</v>
      </c>
      <c r="AH155" s="108" t="s">
        <v>29</v>
      </c>
      <c r="AI155" s="118"/>
      <c r="AK155" s="108" t="s">
        <v>29</v>
      </c>
      <c r="AL155" s="118"/>
      <c r="AN155" s="108" t="s">
        <v>29</v>
      </c>
      <c r="AO155" s="118"/>
    </row>
    <row r="156" spans="1:41" x14ac:dyDescent="0.25">
      <c r="M156" s="286">
        <f>M155-SUM(M150:M152)</f>
        <v>13708.100569999999</v>
      </c>
      <c r="N156" s="286">
        <f>N155-SUM(N150:N152)</f>
        <v>36402.124830000001</v>
      </c>
      <c r="O156" s="286">
        <f>O155-SUM(O150:O152)</f>
        <v>71802.338300000003</v>
      </c>
      <c r="T156" s="286">
        <f>AB155-SUM(T150:T152)</f>
        <v>10431.169002953971</v>
      </c>
      <c r="U156" s="286">
        <f>AC155-SUM(U150:U152)</f>
        <v>43706.961456471683</v>
      </c>
      <c r="V156" s="286">
        <f>AD155-SUM(V150:V152)</f>
        <v>63024.695828293174</v>
      </c>
    </row>
    <row r="157" spans="1:41" ht="26.25" x14ac:dyDescent="0.4">
      <c r="A157" s="150" t="s">
        <v>29</v>
      </c>
      <c r="K157" s="150" t="s">
        <v>29</v>
      </c>
      <c r="R157" s="150" t="s">
        <v>29</v>
      </c>
    </row>
    <row r="158" spans="1:41" ht="26.25" x14ac:dyDescent="0.25">
      <c r="B158" s="102" t="s">
        <v>134</v>
      </c>
      <c r="C158" s="103" t="s">
        <v>135</v>
      </c>
      <c r="D158" s="104" t="s">
        <v>136</v>
      </c>
      <c r="E158" s="105" t="s">
        <v>137</v>
      </c>
      <c r="F158" s="106" t="s">
        <v>29</v>
      </c>
      <c r="G158" s="299"/>
      <c r="H158" s="299"/>
      <c r="I158" s="299"/>
      <c r="L158" s="102" t="s">
        <v>134</v>
      </c>
      <c r="M158" s="103" t="s">
        <v>135</v>
      </c>
      <c r="N158" s="104" t="s">
        <v>136</v>
      </c>
      <c r="O158" s="105" t="s">
        <v>137</v>
      </c>
      <c r="P158" s="106" t="s">
        <v>29</v>
      </c>
      <c r="S158" s="102" t="s">
        <v>134</v>
      </c>
      <c r="T158" s="103" t="s">
        <v>135</v>
      </c>
      <c r="U158" s="104" t="s">
        <v>136</v>
      </c>
      <c r="V158" s="105" t="s">
        <v>137</v>
      </c>
      <c r="W158" s="106" t="s">
        <v>29</v>
      </c>
      <c r="AA158" s="102" t="s">
        <v>134</v>
      </c>
      <c r="AB158" s="103" t="s">
        <v>135</v>
      </c>
      <c r="AC158" s="104" t="s">
        <v>136</v>
      </c>
      <c r="AD158" s="105" t="s">
        <v>137</v>
      </c>
      <c r="AE158" s="106" t="s">
        <v>29</v>
      </c>
      <c r="AH158" s="102" t="s">
        <v>134</v>
      </c>
      <c r="AI158" s="106" t="s">
        <v>29</v>
      </c>
      <c r="AK158" s="102" t="s">
        <v>134</v>
      </c>
      <c r="AL158" s="106" t="s">
        <v>29</v>
      </c>
      <c r="AN158" s="102" t="s">
        <v>134</v>
      </c>
      <c r="AO158" s="106" t="s">
        <v>29</v>
      </c>
    </row>
    <row r="159" spans="1:41" x14ac:dyDescent="0.25">
      <c r="A159">
        <v>1</v>
      </c>
      <c r="B159" s="107" t="s">
        <v>386</v>
      </c>
      <c r="C159" s="113">
        <f t="shared" ref="C159:E171" si="81">C6+C23+C40+C74+C91+C108+C125+C142+C57</f>
        <v>0</v>
      </c>
      <c r="D159" s="113">
        <f t="shared" si="81"/>
        <v>59371.459300000002</v>
      </c>
      <c r="E159" s="113">
        <f t="shared" si="81"/>
        <v>160327.76339000001</v>
      </c>
      <c r="F159" s="114">
        <f>SUM(C159:E159)</f>
        <v>219699.22269000002</v>
      </c>
      <c r="G159" s="300"/>
      <c r="H159" s="300"/>
      <c r="I159" s="300"/>
      <c r="J159" s="115"/>
      <c r="K159">
        <v>1</v>
      </c>
      <c r="L159" s="107" t="s">
        <v>386</v>
      </c>
      <c r="M159" s="113">
        <f t="shared" ref="M159:O171" si="82">M6+M23+M40+M74+M91+M108+M125+M142+M57</f>
        <v>0</v>
      </c>
      <c r="N159" s="113">
        <f t="shared" si="82"/>
        <v>59371.459300000002</v>
      </c>
      <c r="O159" s="113">
        <f t="shared" si="82"/>
        <v>160327.76339000001</v>
      </c>
      <c r="P159" s="114">
        <f>SUM(M159:O159)</f>
        <v>219699.22269000002</v>
      </c>
      <c r="Q159" s="115"/>
      <c r="R159">
        <v>1</v>
      </c>
      <c r="S159" s="107" t="s">
        <v>386</v>
      </c>
      <c r="T159" s="113">
        <f t="shared" ref="T159:V171" si="83">T6+T23+T40+T74+T91+T108+T125+T142+T57</f>
        <v>0</v>
      </c>
      <c r="U159" s="113">
        <f t="shared" si="83"/>
        <v>-39529.369064503902</v>
      </c>
      <c r="V159" s="113">
        <f t="shared" si="83"/>
        <v>-34426.966650420356</v>
      </c>
      <c r="W159" s="114">
        <f>SUM(T159:V159)</f>
        <v>-73956.335714924266</v>
      </c>
      <c r="X159" s="115"/>
      <c r="Y159" s="115"/>
      <c r="Z159" s="115"/>
      <c r="AA159" s="107" t="s">
        <v>386</v>
      </c>
      <c r="AB159" s="113">
        <f t="shared" ref="AB159:AD171" si="84">AB6+AB23+AB40+AB74+AB91+AB108+AB125+AB142+AB57</f>
        <v>0</v>
      </c>
      <c r="AC159" s="113">
        <f t="shared" si="84"/>
        <v>36070</v>
      </c>
      <c r="AD159" s="113">
        <f t="shared" si="84"/>
        <v>98610</v>
      </c>
      <c r="AE159" s="114">
        <f>SUM(AB159:AD159)</f>
        <v>134680</v>
      </c>
      <c r="AG159" s="115"/>
      <c r="AH159" s="107" t="s">
        <v>538</v>
      </c>
      <c r="AI159" s="307"/>
      <c r="AK159" s="107" t="s">
        <v>538</v>
      </c>
      <c r="AL159" s="118"/>
      <c r="AN159" s="107" t="s">
        <v>538</v>
      </c>
      <c r="AO159" s="309"/>
    </row>
    <row r="160" spans="1:41" x14ac:dyDescent="0.25">
      <c r="A160">
        <v>2</v>
      </c>
      <c r="B160" s="107" t="s">
        <v>387</v>
      </c>
      <c r="C160" s="113">
        <f t="shared" si="81"/>
        <v>0</v>
      </c>
      <c r="D160" s="113">
        <f t="shared" si="81"/>
        <v>2263.5505600000001</v>
      </c>
      <c r="E160" s="113">
        <f t="shared" si="81"/>
        <v>11565.520340000001</v>
      </c>
      <c r="F160" s="116">
        <f t="shared" ref="F160:F171" si="85">SUM(C160:E160)</f>
        <v>13829.070900000001</v>
      </c>
      <c r="G160" s="300"/>
      <c r="H160" s="300"/>
      <c r="I160" s="300"/>
      <c r="J160" s="115"/>
      <c r="K160">
        <v>2</v>
      </c>
      <c r="L160" s="107" t="s">
        <v>387</v>
      </c>
      <c r="M160" s="113">
        <f t="shared" si="82"/>
        <v>0</v>
      </c>
      <c r="N160" s="113">
        <f t="shared" si="82"/>
        <v>2263.5505600000001</v>
      </c>
      <c r="O160" s="113">
        <f t="shared" si="82"/>
        <v>11565.520340000001</v>
      </c>
      <c r="P160" s="116">
        <f t="shared" ref="P160:P171" si="86">SUM(M160:O160)</f>
        <v>13829.070900000001</v>
      </c>
      <c r="Q160" s="115"/>
      <c r="R160">
        <v>2</v>
      </c>
      <c r="S160" s="107" t="s">
        <v>387</v>
      </c>
      <c r="T160" s="113">
        <f t="shared" si="83"/>
        <v>0</v>
      </c>
      <c r="U160" s="113">
        <f t="shared" si="83"/>
        <v>-2340.6465126871781</v>
      </c>
      <c r="V160" s="113">
        <f t="shared" si="83"/>
        <v>-3137.2903580392754</v>
      </c>
      <c r="W160" s="116">
        <f t="shared" ref="W160:W171" si="87">SUM(T160:V160)</f>
        <v>-5477.936870726453</v>
      </c>
      <c r="X160" s="115"/>
      <c r="Y160" s="115"/>
      <c r="Z160" s="115"/>
      <c r="AA160" s="107" t="s">
        <v>387</v>
      </c>
      <c r="AB160" s="113">
        <f t="shared" si="84"/>
        <v>0</v>
      </c>
      <c r="AC160" s="113">
        <f t="shared" si="84"/>
        <v>3445</v>
      </c>
      <c r="AD160" s="113">
        <f t="shared" si="84"/>
        <v>10040</v>
      </c>
      <c r="AE160" s="116">
        <f t="shared" ref="AE160:AE171" si="88">SUM(AB160:AD160)</f>
        <v>13485</v>
      </c>
      <c r="AG160" s="115"/>
      <c r="AH160" s="107"/>
      <c r="AI160" s="307"/>
      <c r="AK160" s="107"/>
      <c r="AL160" s="118"/>
      <c r="AN160" s="107"/>
      <c r="AO160" s="307"/>
    </row>
    <row r="161" spans="1:41" x14ac:dyDescent="0.25">
      <c r="A161">
        <v>3</v>
      </c>
      <c r="B161" s="107" t="s">
        <v>388</v>
      </c>
      <c r="C161" s="113">
        <f t="shared" si="81"/>
        <v>8903.1386199999997</v>
      </c>
      <c r="D161" s="113">
        <f t="shared" si="81"/>
        <v>46934.329530000003</v>
      </c>
      <c r="E161" s="113">
        <f t="shared" si="81"/>
        <v>61148.317750000002</v>
      </c>
      <c r="F161" s="116">
        <f t="shared" si="85"/>
        <v>116985.7859</v>
      </c>
      <c r="G161" s="300"/>
      <c r="H161" s="300"/>
      <c r="I161" s="300"/>
      <c r="J161" s="115"/>
      <c r="K161">
        <v>3</v>
      </c>
      <c r="L161" s="107" t="s">
        <v>388</v>
      </c>
      <c r="M161" s="113">
        <f t="shared" si="82"/>
        <v>8903.1386199999997</v>
      </c>
      <c r="N161" s="113">
        <f t="shared" si="82"/>
        <v>46934.329530000003</v>
      </c>
      <c r="O161" s="113">
        <f t="shared" si="82"/>
        <v>61148.317750000002</v>
      </c>
      <c r="P161" s="116">
        <f t="shared" si="86"/>
        <v>116985.7859</v>
      </c>
      <c r="Q161" s="115"/>
      <c r="R161">
        <v>3</v>
      </c>
      <c r="S161" s="107" t="s">
        <v>388</v>
      </c>
      <c r="T161" s="113">
        <f t="shared" si="83"/>
        <v>-15416.507920471273</v>
      </c>
      <c r="U161" s="113">
        <f t="shared" si="83"/>
        <v>-20083.321200056511</v>
      </c>
      <c r="V161" s="113">
        <f t="shared" si="83"/>
        <v>-3241.8885334619667</v>
      </c>
      <c r="W161" s="116">
        <f t="shared" si="87"/>
        <v>-38741.717653989755</v>
      </c>
      <c r="X161" s="115"/>
      <c r="Y161" s="115"/>
      <c r="Z161" s="115"/>
      <c r="AA161" s="107" t="s">
        <v>388</v>
      </c>
      <c r="AB161" s="113">
        <f t="shared" si="84"/>
        <v>2455</v>
      </c>
      <c r="AC161" s="113">
        <f t="shared" si="84"/>
        <v>14765</v>
      </c>
      <c r="AD161" s="113">
        <f t="shared" si="84"/>
        <v>11780</v>
      </c>
      <c r="AE161" s="116">
        <f t="shared" si="88"/>
        <v>29000</v>
      </c>
      <c r="AG161" s="115"/>
      <c r="AH161" s="107" t="s">
        <v>576</v>
      </c>
      <c r="AI161" s="307"/>
      <c r="AK161" s="107" t="s">
        <v>576</v>
      </c>
      <c r="AL161" s="118"/>
      <c r="AN161" s="107" t="s">
        <v>576</v>
      </c>
      <c r="AO161" s="307"/>
    </row>
    <row r="162" spans="1:41" x14ac:dyDescent="0.25">
      <c r="A162">
        <v>4</v>
      </c>
      <c r="B162" s="107" t="s">
        <v>389</v>
      </c>
      <c r="C162" s="113">
        <f t="shared" si="81"/>
        <v>0</v>
      </c>
      <c r="D162" s="113">
        <f t="shared" si="81"/>
        <v>0</v>
      </c>
      <c r="E162" s="113">
        <f t="shared" si="81"/>
        <v>781.78490999999997</v>
      </c>
      <c r="F162" s="116">
        <f t="shared" si="85"/>
        <v>781.78490999999997</v>
      </c>
      <c r="G162" s="300"/>
      <c r="H162" s="300"/>
      <c r="I162" s="300"/>
      <c r="J162" s="115"/>
      <c r="K162">
        <v>4</v>
      </c>
      <c r="L162" s="107" t="s">
        <v>389</v>
      </c>
      <c r="M162" s="113">
        <f t="shared" si="82"/>
        <v>0</v>
      </c>
      <c r="N162" s="113">
        <f t="shared" si="82"/>
        <v>0</v>
      </c>
      <c r="O162" s="113">
        <f t="shared" si="82"/>
        <v>781.78490999999997</v>
      </c>
      <c r="P162" s="116">
        <f t="shared" si="86"/>
        <v>781.78490999999997</v>
      </c>
      <c r="Q162" s="115"/>
      <c r="R162">
        <v>4</v>
      </c>
      <c r="S162" s="107" t="s">
        <v>389</v>
      </c>
      <c r="T162" s="113">
        <f t="shared" si="83"/>
        <v>0</v>
      </c>
      <c r="U162" s="113">
        <f t="shared" si="83"/>
        <v>0</v>
      </c>
      <c r="V162" s="113">
        <f t="shared" si="83"/>
        <v>-190.85646533912063</v>
      </c>
      <c r="W162" s="116">
        <f t="shared" si="87"/>
        <v>-190.85646533912063</v>
      </c>
      <c r="X162" s="115"/>
      <c r="Y162" s="115"/>
      <c r="Z162" s="115"/>
      <c r="AA162" s="107" t="s">
        <v>389</v>
      </c>
      <c r="AB162" s="113">
        <f t="shared" si="84"/>
        <v>60</v>
      </c>
      <c r="AC162" s="113">
        <f t="shared" si="84"/>
        <v>935</v>
      </c>
      <c r="AD162" s="113">
        <f t="shared" si="84"/>
        <v>1100</v>
      </c>
      <c r="AE162" s="116">
        <f t="shared" si="88"/>
        <v>2095</v>
      </c>
      <c r="AG162" s="115"/>
      <c r="AH162" s="107"/>
      <c r="AI162" s="307"/>
      <c r="AK162" s="107"/>
      <c r="AL162" s="118"/>
      <c r="AN162" s="107"/>
      <c r="AO162" s="307"/>
    </row>
    <row r="163" spans="1:41" x14ac:dyDescent="0.25">
      <c r="A163">
        <v>5</v>
      </c>
      <c r="B163" s="107" t="s">
        <v>390</v>
      </c>
      <c r="C163" s="113">
        <f t="shared" si="81"/>
        <v>14039.885399999999</v>
      </c>
      <c r="D163" s="113">
        <f t="shared" si="81"/>
        <v>32074.00517</v>
      </c>
      <c r="E163" s="113">
        <f t="shared" si="81"/>
        <v>54634.717230000002</v>
      </c>
      <c r="F163" s="116">
        <f t="shared" si="85"/>
        <v>100748.6078</v>
      </c>
      <c r="G163" s="300"/>
      <c r="H163" s="300"/>
      <c r="I163" s="300"/>
      <c r="J163" s="115"/>
      <c r="K163">
        <v>5</v>
      </c>
      <c r="L163" s="107" t="s">
        <v>390</v>
      </c>
      <c r="M163" s="113">
        <f t="shared" si="82"/>
        <v>14039.885399999999</v>
      </c>
      <c r="N163" s="113">
        <f t="shared" si="82"/>
        <v>32074.00517</v>
      </c>
      <c r="O163" s="113">
        <f t="shared" si="82"/>
        <v>54634.717230000002</v>
      </c>
      <c r="P163" s="116">
        <f t="shared" si="86"/>
        <v>100748.6078</v>
      </c>
      <c r="Q163" s="115"/>
      <c r="R163">
        <v>5</v>
      </c>
      <c r="S163" s="107" t="s">
        <v>390</v>
      </c>
      <c r="T163" s="113">
        <f t="shared" si="83"/>
        <v>-28101.451242982977</v>
      </c>
      <c r="U163" s="113">
        <f t="shared" si="83"/>
        <v>-4650.0190903372195</v>
      </c>
      <c r="V163" s="113">
        <f t="shared" si="83"/>
        <v>-4121.8660392674865</v>
      </c>
      <c r="W163" s="116">
        <f t="shared" si="87"/>
        <v>-36873.336372587684</v>
      </c>
      <c r="X163" s="115"/>
      <c r="Y163" s="115"/>
      <c r="Z163" s="115"/>
      <c r="AA163" s="107" t="s">
        <v>390</v>
      </c>
      <c r="AB163" s="113">
        <f t="shared" si="84"/>
        <v>2025</v>
      </c>
      <c r="AC163" s="113">
        <f t="shared" si="84"/>
        <v>17295</v>
      </c>
      <c r="AD163" s="113">
        <f t="shared" si="84"/>
        <v>21960</v>
      </c>
      <c r="AE163" s="116">
        <f t="shared" si="88"/>
        <v>41280</v>
      </c>
      <c r="AG163" s="115"/>
      <c r="AH163" s="107" t="s">
        <v>577</v>
      </c>
      <c r="AI163" s="307"/>
      <c r="AK163" s="107" t="s">
        <v>577</v>
      </c>
      <c r="AL163" s="118"/>
      <c r="AN163" s="107" t="s">
        <v>577</v>
      </c>
      <c r="AO163" s="307"/>
    </row>
    <row r="164" spans="1:41" x14ac:dyDescent="0.25">
      <c r="A164">
        <v>6</v>
      </c>
      <c r="B164" s="107" t="s">
        <v>391</v>
      </c>
      <c r="C164" s="113">
        <f t="shared" si="81"/>
        <v>0</v>
      </c>
      <c r="D164" s="113">
        <f t="shared" si="81"/>
        <v>694.54881999999998</v>
      </c>
      <c r="E164" s="113">
        <f t="shared" si="81"/>
        <v>873.28083000000004</v>
      </c>
      <c r="F164" s="116">
        <f t="shared" si="85"/>
        <v>1567.8296500000001</v>
      </c>
      <c r="G164" s="300"/>
      <c r="H164" s="300"/>
      <c r="I164" s="300"/>
      <c r="J164" s="115"/>
      <c r="K164">
        <v>6</v>
      </c>
      <c r="L164" s="107" t="s">
        <v>391</v>
      </c>
      <c r="M164" s="113">
        <f t="shared" si="82"/>
        <v>0</v>
      </c>
      <c r="N164" s="113">
        <f t="shared" si="82"/>
        <v>694.54881999999998</v>
      </c>
      <c r="O164" s="113">
        <f t="shared" si="82"/>
        <v>873.28083000000004</v>
      </c>
      <c r="P164" s="116">
        <f t="shared" si="86"/>
        <v>1567.8296500000001</v>
      </c>
      <c r="Q164" s="115"/>
      <c r="R164">
        <v>6</v>
      </c>
      <c r="S164" s="107" t="s">
        <v>391</v>
      </c>
      <c r="T164" s="113">
        <f t="shared" si="83"/>
        <v>0</v>
      </c>
      <c r="U164" s="113">
        <f t="shared" si="83"/>
        <v>-140.10460310859713</v>
      </c>
      <c r="V164" s="113">
        <f t="shared" si="83"/>
        <v>79.718392563683025</v>
      </c>
      <c r="W164" s="116">
        <f t="shared" si="87"/>
        <v>-60.386210544914107</v>
      </c>
      <c r="X164" s="115"/>
      <c r="Y164" s="115"/>
      <c r="Z164" s="115"/>
      <c r="AA164" s="107" t="s">
        <v>391</v>
      </c>
      <c r="AB164" s="113">
        <f t="shared" si="84"/>
        <v>75</v>
      </c>
      <c r="AC164" s="113">
        <f t="shared" si="84"/>
        <v>2120</v>
      </c>
      <c r="AD164" s="113">
        <f t="shared" si="84"/>
        <v>4470</v>
      </c>
      <c r="AE164" s="116">
        <f t="shared" si="88"/>
        <v>6665</v>
      </c>
      <c r="AG164" s="115"/>
      <c r="AH164" s="107"/>
      <c r="AI164" s="307"/>
      <c r="AK164" s="107"/>
      <c r="AL164" s="118"/>
      <c r="AN164" s="107"/>
      <c r="AO164" s="307"/>
    </row>
    <row r="165" spans="1:41" x14ac:dyDescent="0.25">
      <c r="A165">
        <v>7</v>
      </c>
      <c r="B165" s="107" t="s">
        <v>392</v>
      </c>
      <c r="C165" s="113">
        <f t="shared" si="81"/>
        <v>44669.287850000001</v>
      </c>
      <c r="D165" s="113">
        <f t="shared" si="81"/>
        <v>62624.656859999996</v>
      </c>
      <c r="E165" s="113">
        <f t="shared" si="81"/>
        <v>86312.964639999991</v>
      </c>
      <c r="F165" s="116">
        <f t="shared" si="85"/>
        <v>193606.90934999997</v>
      </c>
      <c r="G165" s="300"/>
      <c r="H165" s="300"/>
      <c r="I165" s="300"/>
      <c r="J165" s="115"/>
      <c r="K165">
        <v>7</v>
      </c>
      <c r="L165" s="107" t="s">
        <v>392</v>
      </c>
      <c r="M165" s="113">
        <f t="shared" si="82"/>
        <v>44669.287850000001</v>
      </c>
      <c r="N165" s="113">
        <f t="shared" si="82"/>
        <v>62624.656859999996</v>
      </c>
      <c r="O165" s="113">
        <f t="shared" si="82"/>
        <v>86312.964639999991</v>
      </c>
      <c r="P165" s="116">
        <f t="shared" si="86"/>
        <v>193606.90934999997</v>
      </c>
      <c r="Q165" s="115"/>
      <c r="R165">
        <v>7</v>
      </c>
      <c r="S165" s="107" t="s">
        <v>392</v>
      </c>
      <c r="T165" s="113">
        <f t="shared" si="83"/>
        <v>-39649.08395130757</v>
      </c>
      <c r="U165" s="113">
        <f t="shared" si="83"/>
        <v>26775.19632812684</v>
      </c>
      <c r="V165" s="113">
        <f t="shared" si="83"/>
        <v>45498.803334675707</v>
      </c>
      <c r="W165" s="116">
        <f t="shared" si="87"/>
        <v>32624.915711494978</v>
      </c>
      <c r="X165" s="115"/>
      <c r="Y165" s="115"/>
      <c r="Z165" s="115"/>
      <c r="AA165" s="107" t="s">
        <v>392</v>
      </c>
      <c r="AB165" s="113">
        <f t="shared" si="84"/>
        <v>22865</v>
      </c>
      <c r="AC165" s="113">
        <f t="shared" si="84"/>
        <v>54810</v>
      </c>
      <c r="AD165" s="113">
        <f t="shared" si="84"/>
        <v>50080</v>
      </c>
      <c r="AE165" s="116">
        <f t="shared" si="88"/>
        <v>127755</v>
      </c>
      <c r="AG165" s="115"/>
      <c r="AH165" s="107" t="s">
        <v>392</v>
      </c>
      <c r="AI165" s="307"/>
      <c r="AK165" s="107" t="s">
        <v>392</v>
      </c>
      <c r="AL165" s="118"/>
      <c r="AN165" s="107" t="s">
        <v>392</v>
      </c>
      <c r="AO165" s="307"/>
    </row>
    <row r="166" spans="1:41" x14ac:dyDescent="0.25">
      <c r="A166">
        <v>8</v>
      </c>
      <c r="B166" s="107" t="s">
        <v>393</v>
      </c>
      <c r="C166" s="113">
        <f t="shared" si="81"/>
        <v>8645.6033100000004</v>
      </c>
      <c r="D166" s="113">
        <f t="shared" si="81"/>
        <v>24846.928260000001</v>
      </c>
      <c r="E166" s="113">
        <f t="shared" si="81"/>
        <v>7593.6221299999988</v>
      </c>
      <c r="F166" s="116">
        <f t="shared" si="85"/>
        <v>41086.153699999995</v>
      </c>
      <c r="G166" s="300"/>
      <c r="H166" s="300"/>
      <c r="I166" s="300"/>
      <c r="J166" s="115"/>
      <c r="K166">
        <v>8</v>
      </c>
      <c r="L166" s="107" t="s">
        <v>393</v>
      </c>
      <c r="M166" s="113">
        <f t="shared" si="82"/>
        <v>8645.6033100000004</v>
      </c>
      <c r="N166" s="113">
        <f t="shared" si="82"/>
        <v>24846.928260000001</v>
      </c>
      <c r="O166" s="113">
        <f t="shared" si="82"/>
        <v>7593.6221299999988</v>
      </c>
      <c r="P166" s="116">
        <f t="shared" si="86"/>
        <v>41086.153699999995</v>
      </c>
      <c r="Q166" s="115"/>
      <c r="R166">
        <v>8</v>
      </c>
      <c r="S166" s="107" t="s">
        <v>393</v>
      </c>
      <c r="T166" s="113">
        <f t="shared" si="83"/>
        <v>-12604.556730181961</v>
      </c>
      <c r="U166" s="113">
        <f t="shared" si="83"/>
        <v>-19124.374960684181</v>
      </c>
      <c r="V166" s="113">
        <f t="shared" si="83"/>
        <v>-1099.6774494439906</v>
      </c>
      <c r="W166" s="116">
        <f t="shared" si="87"/>
        <v>-32828.609140310131</v>
      </c>
      <c r="X166" s="115"/>
      <c r="Y166" s="115"/>
      <c r="Z166" s="115"/>
      <c r="AA166" s="107" t="s">
        <v>393</v>
      </c>
      <c r="AB166" s="113">
        <f t="shared" si="84"/>
        <v>7535</v>
      </c>
      <c r="AC166" s="113">
        <f t="shared" si="84"/>
        <v>21275</v>
      </c>
      <c r="AD166" s="113">
        <f t="shared" si="84"/>
        <v>11440</v>
      </c>
      <c r="AE166" s="116">
        <f t="shared" si="88"/>
        <v>40250</v>
      </c>
      <c r="AG166" s="115"/>
      <c r="AH166" s="107" t="s">
        <v>393</v>
      </c>
      <c r="AI166" s="307"/>
      <c r="AK166" s="107" t="s">
        <v>393</v>
      </c>
      <c r="AL166" s="118"/>
      <c r="AN166" s="107" t="s">
        <v>393</v>
      </c>
      <c r="AO166" s="307"/>
    </row>
    <row r="167" spans="1:41" x14ac:dyDescent="0.25">
      <c r="A167">
        <v>10</v>
      </c>
      <c r="B167" s="107" t="s">
        <v>555</v>
      </c>
      <c r="C167" s="113">
        <f t="shared" si="81"/>
        <v>87883.333159999995</v>
      </c>
      <c r="D167" s="113">
        <f t="shared" si="81"/>
        <v>123635.71876999998</v>
      </c>
      <c r="E167" s="113">
        <f t="shared" si="81"/>
        <v>84761.532889999988</v>
      </c>
      <c r="F167" s="116">
        <f t="shared" si="85"/>
        <v>296280.58481999993</v>
      </c>
      <c r="G167" s="300"/>
      <c r="H167" s="300">
        <f>TripMode2CBD!AH169</f>
        <v>622860.04135536496</v>
      </c>
      <c r="I167" s="286">
        <f>I14+I31+I48+I65+I82+I99+I116+I133+I150</f>
        <v>622860.04135536496</v>
      </c>
      <c r="K167">
        <v>10</v>
      </c>
      <c r="L167" s="107" t="s">
        <v>546</v>
      </c>
      <c r="M167" s="113">
        <f t="shared" si="82"/>
        <v>184753.97758425731</v>
      </c>
      <c r="N167" s="113">
        <f t="shared" si="82"/>
        <v>259914.93486779489</v>
      </c>
      <c r="O167" s="113">
        <f t="shared" si="82"/>
        <v>178191.12890331281</v>
      </c>
      <c r="P167" s="116">
        <f t="shared" si="86"/>
        <v>622860.04135536507</v>
      </c>
      <c r="Q167" s="115"/>
      <c r="R167">
        <v>10</v>
      </c>
      <c r="S167" s="107" t="s">
        <v>546</v>
      </c>
      <c r="T167" s="113">
        <f t="shared" si="83"/>
        <v>184753.97758425731</v>
      </c>
      <c r="U167" s="113">
        <f t="shared" si="83"/>
        <v>259914.93486779489</v>
      </c>
      <c r="V167" s="113">
        <f t="shared" si="83"/>
        <v>178191.12890331281</v>
      </c>
      <c r="W167" s="116">
        <f t="shared" si="87"/>
        <v>622860.04135536507</v>
      </c>
      <c r="X167" s="115"/>
      <c r="Y167" s="115"/>
      <c r="Z167" s="115"/>
      <c r="AA167" s="107" t="s">
        <v>546</v>
      </c>
      <c r="AB167" s="113">
        <f t="shared" si="84"/>
        <v>55025</v>
      </c>
      <c r="AC167" s="113">
        <f t="shared" si="84"/>
        <v>70450</v>
      </c>
      <c r="AD167" s="113">
        <f t="shared" si="84"/>
        <v>44020</v>
      </c>
      <c r="AE167" s="116">
        <f t="shared" si="88"/>
        <v>169495</v>
      </c>
      <c r="AG167" s="115"/>
      <c r="AH167" s="107" t="s">
        <v>395</v>
      </c>
      <c r="AI167" s="307">
        <f>IFERROR(IF(AE167&gt;0,LN(W167/AE167),0),0)</f>
        <v>1.3014984129687894</v>
      </c>
      <c r="AK167" s="107" t="s">
        <v>395</v>
      </c>
      <c r="AL167" s="118"/>
      <c r="AN167" s="107" t="s">
        <v>395</v>
      </c>
      <c r="AO167" s="307">
        <f>AL167+$AO$1*AI167</f>
        <v>-0.32537460324219736</v>
      </c>
    </row>
    <row r="168" spans="1:41" x14ac:dyDescent="0.25">
      <c r="A168">
        <v>11</v>
      </c>
      <c r="B168" s="107" t="s">
        <v>556</v>
      </c>
      <c r="C168" s="113">
        <f t="shared" si="81"/>
        <v>6294.7452400000002</v>
      </c>
      <c r="D168" s="113">
        <f t="shared" si="81"/>
        <v>18723.508040000001</v>
      </c>
      <c r="E168" s="113">
        <f t="shared" si="81"/>
        <v>22637.28398</v>
      </c>
      <c r="F168" s="116">
        <f t="shared" si="85"/>
        <v>47655.537259999997</v>
      </c>
      <c r="G168" s="300"/>
      <c r="H168" s="300">
        <f>TripMode2CBD!AI169</f>
        <v>40095.569980158383</v>
      </c>
      <c r="I168" s="286">
        <f>I15+I32+I49+I66+I83+I100+I117+I134+I151</f>
        <v>40095.569980158398</v>
      </c>
      <c r="J168" s="115"/>
      <c r="K168">
        <v>11</v>
      </c>
      <c r="L168" s="107" t="s">
        <v>559</v>
      </c>
      <c r="M168" s="113">
        <f t="shared" si="82"/>
        <v>5296.161008545283</v>
      </c>
      <c r="N168" s="113">
        <f t="shared" si="82"/>
        <v>15753.252823402925</v>
      </c>
      <c r="O168" s="113">
        <f t="shared" si="82"/>
        <v>19046.156148210182</v>
      </c>
      <c r="P168" s="116">
        <f t="shared" si="86"/>
        <v>40095.569980158391</v>
      </c>
      <c r="Q168" s="115"/>
      <c r="R168">
        <v>11</v>
      </c>
      <c r="S168" s="107" t="s">
        <v>559</v>
      </c>
      <c r="T168" s="113">
        <f t="shared" si="83"/>
        <v>5296.161008545283</v>
      </c>
      <c r="U168" s="113">
        <f t="shared" si="83"/>
        <v>15753.252823402925</v>
      </c>
      <c r="V168" s="113">
        <f t="shared" si="83"/>
        <v>19046.156148210182</v>
      </c>
      <c r="W168" s="116">
        <f t="shared" si="87"/>
        <v>40095.569980158391</v>
      </c>
      <c r="X168" s="115"/>
      <c r="Y168" s="115"/>
      <c r="Z168" s="115"/>
      <c r="AA168" s="107" t="s">
        <v>559</v>
      </c>
      <c r="AB168" s="113">
        <f t="shared" si="84"/>
        <v>1355</v>
      </c>
      <c r="AC168" s="113">
        <f t="shared" si="84"/>
        <v>3845</v>
      </c>
      <c r="AD168" s="113">
        <f t="shared" si="84"/>
        <v>3680</v>
      </c>
      <c r="AE168" s="116">
        <f t="shared" si="88"/>
        <v>8880</v>
      </c>
      <c r="AG168" s="115"/>
      <c r="AH168" s="107" t="s">
        <v>396</v>
      </c>
      <c r="AI168" s="307">
        <f>IFERROR(IF(AE168&gt;0,LN(W168/AE168),0),0)</f>
        <v>1.5074642968954441</v>
      </c>
      <c r="AK168" s="107" t="s">
        <v>396</v>
      </c>
      <c r="AL168" s="118"/>
      <c r="AN168" s="107" t="s">
        <v>396</v>
      </c>
      <c r="AO168" s="307">
        <f>AL168+$AO$1*AI168</f>
        <v>-0.37686607422386104</v>
      </c>
    </row>
    <row r="169" spans="1:41" x14ac:dyDescent="0.25">
      <c r="A169">
        <v>12</v>
      </c>
      <c r="B169" s="107" t="s">
        <v>557</v>
      </c>
      <c r="C169" s="113">
        <f t="shared" si="81"/>
        <v>0</v>
      </c>
      <c r="D169" s="113">
        <f t="shared" si="81"/>
        <v>22492.900680000006</v>
      </c>
      <c r="E169" s="113">
        <f t="shared" si="81"/>
        <v>111446.73711999999</v>
      </c>
      <c r="F169" s="116">
        <f t="shared" si="85"/>
        <v>133939.6378</v>
      </c>
      <c r="G169" s="300"/>
      <c r="H169" s="300">
        <f>TripMode2!AJ169</f>
        <v>99369.796100000007</v>
      </c>
      <c r="I169" s="286">
        <f>I16+I33+I50+I67+I84+I101+I118+I135+I152</f>
        <v>99369.796100000021</v>
      </c>
      <c r="J169" s="115"/>
      <c r="K169">
        <v>12</v>
      </c>
      <c r="L169" s="107" t="s">
        <v>560</v>
      </c>
      <c r="M169" s="113">
        <f t="shared" si="82"/>
        <v>0</v>
      </c>
      <c r="N169" s="113">
        <f t="shared" si="82"/>
        <v>16687.479457027111</v>
      </c>
      <c r="O169" s="113">
        <f t="shared" si="82"/>
        <v>82682.316642972917</v>
      </c>
      <c r="P169" s="116">
        <f t="shared" si="86"/>
        <v>99369.796100000036</v>
      </c>
      <c r="Q169" s="115"/>
      <c r="R169">
        <v>12</v>
      </c>
      <c r="S169" s="107" t="s">
        <v>560</v>
      </c>
      <c r="T169" s="113">
        <f t="shared" si="83"/>
        <v>0</v>
      </c>
      <c r="U169" s="113">
        <f t="shared" si="83"/>
        <v>16687.479457027111</v>
      </c>
      <c r="V169" s="113">
        <f t="shared" si="83"/>
        <v>82682.316642972917</v>
      </c>
      <c r="W169" s="116">
        <f t="shared" si="87"/>
        <v>99369.796100000036</v>
      </c>
      <c r="X169" s="115"/>
      <c r="Y169" s="115"/>
      <c r="Z169" s="115"/>
      <c r="AA169" s="107" t="s">
        <v>560</v>
      </c>
      <c r="AB169" s="113">
        <f t="shared" si="84"/>
        <v>0</v>
      </c>
      <c r="AC169" s="113">
        <f t="shared" si="84"/>
        <v>5150</v>
      </c>
      <c r="AD169" s="113">
        <f t="shared" si="84"/>
        <v>22510</v>
      </c>
      <c r="AE169" s="116">
        <f t="shared" si="88"/>
        <v>27660</v>
      </c>
      <c r="AG169" s="115"/>
      <c r="AH169" s="107" t="s">
        <v>397</v>
      </c>
      <c r="AI169" s="307">
        <f>IFERROR(IF(AE169&gt;0,LN(W169/AE169),0),0)</f>
        <v>1.2788608790774139</v>
      </c>
      <c r="AK169" s="107" t="s">
        <v>397</v>
      </c>
      <c r="AL169" s="118"/>
      <c r="AN169" s="107" t="s">
        <v>397</v>
      </c>
      <c r="AO169" s="307">
        <f>AL169+$AO$1*AI169</f>
        <v>-0.31971521976935346</v>
      </c>
    </row>
    <row r="170" spans="1:41" x14ac:dyDescent="0.25">
      <c r="A170">
        <v>13</v>
      </c>
      <c r="B170" s="107" t="s">
        <v>398</v>
      </c>
      <c r="C170" s="113">
        <f t="shared" si="81"/>
        <v>1965.6184800000001</v>
      </c>
      <c r="D170" s="113">
        <f t="shared" si="81"/>
        <v>4050.7235599999995</v>
      </c>
      <c r="E170" s="113">
        <f t="shared" si="81"/>
        <v>6437.9424999999992</v>
      </c>
      <c r="F170" s="116">
        <f t="shared" si="85"/>
        <v>12454.284539999999</v>
      </c>
      <c r="G170" s="300"/>
      <c r="H170" s="300"/>
      <c r="I170" s="300"/>
      <c r="J170" s="115"/>
      <c r="K170">
        <v>13</v>
      </c>
      <c r="L170" s="107" t="s">
        <v>398</v>
      </c>
      <c r="M170" s="113">
        <f t="shared" si="82"/>
        <v>1965.6184800000001</v>
      </c>
      <c r="N170" s="113">
        <f t="shared" si="82"/>
        <v>4050.7235599999995</v>
      </c>
      <c r="O170" s="113">
        <f t="shared" si="82"/>
        <v>6437.9424999999992</v>
      </c>
      <c r="P170" s="116">
        <f t="shared" si="86"/>
        <v>12454.284539999999</v>
      </c>
      <c r="Q170" s="115"/>
      <c r="R170">
        <v>13</v>
      </c>
      <c r="S170" s="107" t="s">
        <v>398</v>
      </c>
      <c r="T170" s="113">
        <f t="shared" si="83"/>
        <v>-1848.5387478587827</v>
      </c>
      <c r="U170" s="113">
        <f t="shared" si="83"/>
        <v>-1184.7865793770345</v>
      </c>
      <c r="V170" s="113">
        <f t="shared" si="83"/>
        <v>2391.7739533557306</v>
      </c>
      <c r="W170" s="116">
        <f t="shared" si="87"/>
        <v>-641.55137388008643</v>
      </c>
      <c r="X170" s="115"/>
      <c r="Y170" s="115"/>
      <c r="Z170" s="115"/>
      <c r="AA170" s="107" t="s">
        <v>398</v>
      </c>
      <c r="AB170" s="113">
        <f t="shared" si="84"/>
        <v>1005</v>
      </c>
      <c r="AC170" s="113">
        <f t="shared" si="84"/>
        <v>1695</v>
      </c>
      <c r="AD170" s="113">
        <f t="shared" si="84"/>
        <v>990</v>
      </c>
      <c r="AE170" s="116">
        <f t="shared" si="88"/>
        <v>3690</v>
      </c>
      <c r="AG170" s="115"/>
      <c r="AH170" s="107" t="s">
        <v>398</v>
      </c>
      <c r="AI170" s="307"/>
      <c r="AK170" s="107" t="s">
        <v>398</v>
      </c>
      <c r="AL170" s="118"/>
      <c r="AN170" s="107" t="s">
        <v>398</v>
      </c>
      <c r="AO170" s="307"/>
    </row>
    <row r="171" spans="1:41" x14ac:dyDescent="0.25">
      <c r="A171">
        <v>14</v>
      </c>
      <c r="B171" s="107" t="s">
        <v>399</v>
      </c>
      <c r="C171" s="113">
        <f t="shared" si="81"/>
        <v>0</v>
      </c>
      <c r="D171" s="113">
        <f t="shared" si="81"/>
        <v>1130.4187099999999</v>
      </c>
      <c r="E171" s="113">
        <f t="shared" si="81"/>
        <v>3677.2818000000002</v>
      </c>
      <c r="F171" s="116">
        <f t="shared" si="85"/>
        <v>4807.7005100000006</v>
      </c>
      <c r="G171" s="300"/>
      <c r="H171" s="300"/>
      <c r="I171" s="300"/>
      <c r="J171" s="115"/>
      <c r="K171">
        <v>14</v>
      </c>
      <c r="L171" s="107" t="s">
        <v>399</v>
      </c>
      <c r="M171" s="113">
        <f t="shared" si="82"/>
        <v>0</v>
      </c>
      <c r="N171" s="113">
        <f t="shared" si="82"/>
        <v>1130.4187099999999</v>
      </c>
      <c r="O171" s="113">
        <f t="shared" si="82"/>
        <v>3677.2818000000002</v>
      </c>
      <c r="P171" s="116">
        <f t="shared" si="86"/>
        <v>4807.7005100000006</v>
      </c>
      <c r="Q171" s="115"/>
      <c r="R171">
        <v>14</v>
      </c>
      <c r="S171" s="107" t="s">
        <v>399</v>
      </c>
      <c r="T171" s="113">
        <f t="shared" si="83"/>
        <v>0</v>
      </c>
      <c r="U171" s="113">
        <f t="shared" si="83"/>
        <v>-23.241465597146878</v>
      </c>
      <c r="V171" s="113">
        <f t="shared" si="83"/>
        <v>-791.35187911886555</v>
      </c>
      <c r="W171" s="116">
        <f t="shared" si="87"/>
        <v>-814.59334471601244</v>
      </c>
      <c r="X171" s="115"/>
      <c r="Y171" s="115"/>
      <c r="Z171" s="115"/>
      <c r="AA171" s="107" t="s">
        <v>399</v>
      </c>
      <c r="AB171" s="113">
        <f t="shared" si="84"/>
        <v>30</v>
      </c>
      <c r="AC171" s="113">
        <f t="shared" si="84"/>
        <v>200</v>
      </c>
      <c r="AD171" s="113">
        <f t="shared" si="84"/>
        <v>200</v>
      </c>
      <c r="AE171" s="116">
        <f t="shared" si="88"/>
        <v>430</v>
      </c>
      <c r="AG171" s="115"/>
      <c r="AH171" s="107" t="s">
        <v>399</v>
      </c>
      <c r="AI171" s="307"/>
      <c r="AK171" s="107" t="s">
        <v>399</v>
      </c>
      <c r="AL171" s="118"/>
      <c r="AN171" s="107" t="s">
        <v>399</v>
      </c>
      <c r="AO171" s="307"/>
    </row>
    <row r="172" spans="1:41" ht="15.75" thickBot="1" x14ac:dyDescent="0.3">
      <c r="B172" s="108" t="s">
        <v>29</v>
      </c>
      <c r="C172" s="109">
        <f>SUM(C159:C171)</f>
        <v>172401.61205999998</v>
      </c>
      <c r="D172" s="110">
        <f>SUM(D159:D171)</f>
        <v>398842.74825999996</v>
      </c>
      <c r="E172" s="111">
        <f>SUM(E159:E171)</f>
        <v>612198.74950999999</v>
      </c>
      <c r="F172" s="112">
        <f>SUM(F159:F171)</f>
        <v>1183443.10983</v>
      </c>
      <c r="G172" s="301"/>
      <c r="H172" s="301"/>
      <c r="I172" s="301"/>
      <c r="L172" s="108" t="s">
        <v>29</v>
      </c>
      <c r="M172" s="109">
        <f>SUM(M159:M171)</f>
        <v>268273.67225280259</v>
      </c>
      <c r="N172" s="110">
        <f>SUM(N159:N171)</f>
        <v>526346.28791822481</v>
      </c>
      <c r="O172" s="111">
        <f>SUM(O159:O171)</f>
        <v>673272.79721449583</v>
      </c>
      <c r="P172" s="112">
        <f>SUM(P159:P171)</f>
        <v>1467892.7573855238</v>
      </c>
      <c r="S172" s="108" t="s">
        <v>29</v>
      </c>
      <c r="T172" s="109">
        <f>SUM(T159:T171)</f>
        <v>92430.000000000029</v>
      </c>
      <c r="U172" s="110">
        <f>SUM(U159:U171)</f>
        <v>232054.99999999997</v>
      </c>
      <c r="V172" s="111">
        <f>SUM(V159:V171)</f>
        <v>280879.99999999994</v>
      </c>
      <c r="W172" s="112">
        <f>SUM(W159:W171)</f>
        <v>605365.00000000012</v>
      </c>
      <c r="AA172" s="108" t="s">
        <v>29</v>
      </c>
      <c r="AB172" s="109">
        <f>SUM(AB159:AB171)</f>
        <v>92430</v>
      </c>
      <c r="AC172" s="110">
        <f>SUM(AC159:AC171)</f>
        <v>232055</v>
      </c>
      <c r="AD172" s="111">
        <f>SUM(AD159:AD171)</f>
        <v>280880</v>
      </c>
      <c r="AE172" s="112">
        <f>SUM(AE159:AE171)</f>
        <v>605365</v>
      </c>
      <c r="AH172" s="108" t="s">
        <v>29</v>
      </c>
      <c r="AI172" s="118"/>
      <c r="AK172" s="108" t="s">
        <v>29</v>
      </c>
      <c r="AL172" s="118"/>
      <c r="AN172" s="108" t="s">
        <v>29</v>
      </c>
      <c r="AO172" s="118"/>
    </row>
    <row r="174" spans="1:41" ht="26.25" x14ac:dyDescent="0.4">
      <c r="A174" s="150" t="s">
        <v>523</v>
      </c>
      <c r="K174" s="150" t="s">
        <v>523</v>
      </c>
      <c r="R174" s="150" t="s">
        <v>523</v>
      </c>
    </row>
    <row r="175" spans="1:41" ht="26.25" x14ac:dyDescent="0.25">
      <c r="B175" s="102" t="s">
        <v>134</v>
      </c>
      <c r="C175" s="103" t="s">
        <v>135</v>
      </c>
      <c r="D175" s="104" t="s">
        <v>136</v>
      </c>
      <c r="E175" s="105" t="s">
        <v>137</v>
      </c>
      <c r="F175" s="106" t="s">
        <v>29</v>
      </c>
      <c r="G175" s="299"/>
      <c r="H175" s="299"/>
      <c r="I175" s="299"/>
      <c r="L175" s="102" t="s">
        <v>134</v>
      </c>
      <c r="M175" s="103" t="s">
        <v>135</v>
      </c>
      <c r="N175" s="104" t="s">
        <v>136</v>
      </c>
      <c r="O175" s="105" t="s">
        <v>137</v>
      </c>
      <c r="P175" s="106" t="s">
        <v>29</v>
      </c>
      <c r="S175" s="102" t="s">
        <v>134</v>
      </c>
      <c r="T175" s="103" t="s">
        <v>135</v>
      </c>
      <c r="U175" s="104" t="s">
        <v>136</v>
      </c>
      <c r="V175" s="105" t="s">
        <v>137</v>
      </c>
      <c r="W175" s="106" t="s">
        <v>29</v>
      </c>
      <c r="AA175" s="102" t="s">
        <v>134</v>
      </c>
      <c r="AB175" s="103" t="s">
        <v>135</v>
      </c>
      <c r="AC175" s="104" t="s">
        <v>136</v>
      </c>
      <c r="AD175" s="105" t="s">
        <v>137</v>
      </c>
      <c r="AE175" s="106" t="s">
        <v>29</v>
      </c>
      <c r="AH175" s="102" t="s">
        <v>134</v>
      </c>
      <c r="AI175" s="106" t="s">
        <v>29</v>
      </c>
      <c r="AK175" s="102" t="s">
        <v>134</v>
      </c>
      <c r="AL175" s="106" t="s">
        <v>29</v>
      </c>
      <c r="AN175" s="102" t="s">
        <v>134</v>
      </c>
      <c r="AO175" s="106" t="s">
        <v>29</v>
      </c>
    </row>
    <row r="176" spans="1:41" x14ac:dyDescent="0.25">
      <c r="A176">
        <v>1</v>
      </c>
      <c r="B176" s="107" t="s">
        <v>386</v>
      </c>
      <c r="C176" s="113">
        <f t="shared" ref="C176:E188" si="89">C74+C108</f>
        <v>0</v>
      </c>
      <c r="D176" s="113">
        <f t="shared" si="89"/>
        <v>6669.4582099999998</v>
      </c>
      <c r="E176" s="113">
        <f t="shared" si="89"/>
        <v>21483.78674</v>
      </c>
      <c r="F176" s="114">
        <f>SUM(C176:E176)</f>
        <v>28153.24495</v>
      </c>
      <c r="G176" s="300"/>
      <c r="H176" s="300"/>
      <c r="I176" s="300"/>
      <c r="J176" s="115"/>
      <c r="K176">
        <v>1</v>
      </c>
      <c r="L176" s="107" t="s">
        <v>386</v>
      </c>
      <c r="M176" s="113">
        <f t="shared" ref="M176:O188" si="90">M74+M108</f>
        <v>0</v>
      </c>
      <c r="N176" s="113">
        <f t="shared" si="90"/>
        <v>6669.4582099999998</v>
      </c>
      <c r="O176" s="113">
        <f t="shared" si="90"/>
        <v>21483.78674</v>
      </c>
      <c r="P176" s="114">
        <f>SUM(M176:O176)</f>
        <v>28153.24495</v>
      </c>
      <c r="Q176" s="115"/>
      <c r="R176">
        <v>1</v>
      </c>
      <c r="S176" s="107" t="s">
        <v>386</v>
      </c>
      <c r="T176" s="113">
        <f t="shared" ref="T176:V188" si="91">T74+T108</f>
        <v>0</v>
      </c>
      <c r="U176" s="113">
        <f t="shared" si="91"/>
        <v>-1358.0357498920418</v>
      </c>
      <c r="V176" s="113">
        <f t="shared" si="91"/>
        <v>455.04068860436143</v>
      </c>
      <c r="W176" s="114">
        <f>SUM(T176:V176)</f>
        <v>-902.99506128768041</v>
      </c>
      <c r="X176" s="115"/>
      <c r="Y176" s="115"/>
      <c r="Z176" s="115"/>
      <c r="AA176" s="107" t="s">
        <v>386</v>
      </c>
      <c r="AB176" s="113">
        <f t="shared" ref="AB176:AD188" si="92">AB74+AB108</f>
        <v>0</v>
      </c>
      <c r="AC176" s="113">
        <f t="shared" si="92"/>
        <v>6535</v>
      </c>
      <c r="AD176" s="113">
        <f t="shared" si="92"/>
        <v>9995</v>
      </c>
      <c r="AE176" s="114">
        <f>SUM(AB176:AD176)</f>
        <v>16530</v>
      </c>
      <c r="AG176" s="115"/>
      <c r="AH176" s="107" t="s">
        <v>386</v>
      </c>
      <c r="AI176" s="307">
        <f>IFERROR(IF(#REF!&gt;0,LN(#REF!/#REF!),0),0)</f>
        <v>0</v>
      </c>
      <c r="AK176" s="107" t="s">
        <v>386</v>
      </c>
      <c r="AL176" s="118"/>
      <c r="AN176" s="107" t="s">
        <v>538</v>
      </c>
      <c r="AO176" s="309"/>
    </row>
    <row r="177" spans="1:41" x14ac:dyDescent="0.25">
      <c r="A177">
        <v>2</v>
      </c>
      <c r="B177" s="107" t="s">
        <v>387</v>
      </c>
      <c r="C177" s="113">
        <f t="shared" si="89"/>
        <v>0</v>
      </c>
      <c r="D177" s="113">
        <f t="shared" si="89"/>
        <v>0</v>
      </c>
      <c r="E177" s="113">
        <f t="shared" si="89"/>
        <v>1270.52792</v>
      </c>
      <c r="F177" s="116">
        <f t="shared" ref="F177:F188" si="93">SUM(C177:E177)</f>
        <v>1270.52792</v>
      </c>
      <c r="G177" s="300"/>
      <c r="H177" s="300"/>
      <c r="I177" s="300"/>
      <c r="J177" s="115"/>
      <c r="K177">
        <v>2</v>
      </c>
      <c r="L177" s="107" t="s">
        <v>387</v>
      </c>
      <c r="M177" s="113">
        <f t="shared" si="90"/>
        <v>0</v>
      </c>
      <c r="N177" s="113">
        <f t="shared" si="90"/>
        <v>0</v>
      </c>
      <c r="O177" s="113">
        <f t="shared" si="90"/>
        <v>1270.52792</v>
      </c>
      <c r="P177" s="116">
        <f t="shared" ref="P177:P188" si="94">SUM(M177:O177)</f>
        <v>1270.52792</v>
      </c>
      <c r="Q177" s="115"/>
      <c r="R177">
        <v>2</v>
      </c>
      <c r="S177" s="107" t="s">
        <v>387</v>
      </c>
      <c r="T177" s="113">
        <f t="shared" si="91"/>
        <v>0</v>
      </c>
      <c r="U177" s="113">
        <f t="shared" si="91"/>
        <v>0</v>
      </c>
      <c r="V177" s="113">
        <f t="shared" si="91"/>
        <v>26.910614343952805</v>
      </c>
      <c r="W177" s="116">
        <f t="shared" ref="W177:W188" si="95">SUM(T177:V177)</f>
        <v>26.910614343952805</v>
      </c>
      <c r="X177" s="115"/>
      <c r="Y177" s="115"/>
      <c r="Z177" s="115"/>
      <c r="AA177" s="107" t="s">
        <v>387</v>
      </c>
      <c r="AB177" s="113">
        <f t="shared" si="92"/>
        <v>0</v>
      </c>
      <c r="AC177" s="113">
        <f t="shared" si="92"/>
        <v>120</v>
      </c>
      <c r="AD177" s="113">
        <f t="shared" si="92"/>
        <v>240</v>
      </c>
      <c r="AE177" s="116">
        <f t="shared" ref="AE177:AE188" si="96">SUM(AB177:AD177)</f>
        <v>360</v>
      </c>
      <c r="AG177" s="115"/>
      <c r="AH177" s="107" t="s">
        <v>387</v>
      </c>
      <c r="AI177" s="307">
        <f>IFERROR(IF(#REF!&gt;0,LN(#REF!/#REF!),0),0)</f>
        <v>0</v>
      </c>
      <c r="AK177" s="107" t="s">
        <v>387</v>
      </c>
      <c r="AL177" s="118"/>
      <c r="AN177" s="107"/>
      <c r="AO177" s="307"/>
    </row>
    <row r="178" spans="1:41" x14ac:dyDescent="0.25">
      <c r="A178">
        <v>3</v>
      </c>
      <c r="B178" s="107" t="s">
        <v>388</v>
      </c>
      <c r="C178" s="113">
        <f t="shared" si="89"/>
        <v>3560.3328499999998</v>
      </c>
      <c r="D178" s="113">
        <f t="shared" si="89"/>
        <v>6772.9955</v>
      </c>
      <c r="E178" s="113">
        <f t="shared" si="89"/>
        <v>11080.870040000002</v>
      </c>
      <c r="F178" s="116">
        <f t="shared" si="93"/>
        <v>21414.198390000001</v>
      </c>
      <c r="G178" s="300"/>
      <c r="H178" s="300"/>
      <c r="I178" s="300"/>
      <c r="J178" s="115"/>
      <c r="K178">
        <v>3</v>
      </c>
      <c r="L178" s="107" t="s">
        <v>388</v>
      </c>
      <c r="M178" s="113">
        <f t="shared" si="90"/>
        <v>3560.3328499999998</v>
      </c>
      <c r="N178" s="113">
        <f t="shared" si="90"/>
        <v>6772.9955</v>
      </c>
      <c r="O178" s="113">
        <f t="shared" si="90"/>
        <v>11080.870040000002</v>
      </c>
      <c r="P178" s="116">
        <f t="shared" si="94"/>
        <v>21414.198390000001</v>
      </c>
      <c r="Q178" s="115"/>
      <c r="R178">
        <v>3</v>
      </c>
      <c r="S178" s="107" t="s">
        <v>388</v>
      </c>
      <c r="T178" s="113">
        <f t="shared" si="91"/>
        <v>-4003.8755377153516</v>
      </c>
      <c r="U178" s="113">
        <f t="shared" si="91"/>
        <v>-996.68502384604233</v>
      </c>
      <c r="V178" s="113">
        <f t="shared" si="91"/>
        <v>956.3823687646385</v>
      </c>
      <c r="W178" s="116">
        <f t="shared" si="95"/>
        <v>-4044.1781927967554</v>
      </c>
      <c r="X178" s="115"/>
      <c r="Y178" s="115"/>
      <c r="Z178" s="115"/>
      <c r="AA178" s="107" t="s">
        <v>388</v>
      </c>
      <c r="AB178" s="113">
        <f t="shared" si="92"/>
        <v>1145</v>
      </c>
      <c r="AC178" s="113">
        <f t="shared" si="92"/>
        <v>4510</v>
      </c>
      <c r="AD178" s="113">
        <f t="shared" si="92"/>
        <v>1620</v>
      </c>
      <c r="AE178" s="116">
        <f t="shared" si="96"/>
        <v>7275</v>
      </c>
      <c r="AG178" s="115"/>
      <c r="AH178" s="107" t="s">
        <v>388</v>
      </c>
      <c r="AI178" s="307">
        <f>IFERROR(IF(#REF!&gt;0,LN(#REF!/#REF!),0),0)</f>
        <v>0</v>
      </c>
      <c r="AK178" s="107" t="s">
        <v>388</v>
      </c>
      <c r="AL178" s="118"/>
      <c r="AN178" s="107" t="s">
        <v>576</v>
      </c>
      <c r="AO178" s="307"/>
    </row>
    <row r="179" spans="1:41" x14ac:dyDescent="0.25">
      <c r="A179">
        <v>4</v>
      </c>
      <c r="B179" s="107" t="s">
        <v>389</v>
      </c>
      <c r="C179" s="113">
        <f t="shared" si="89"/>
        <v>0</v>
      </c>
      <c r="D179" s="113">
        <f t="shared" si="89"/>
        <v>0</v>
      </c>
      <c r="E179" s="113">
        <f t="shared" si="89"/>
        <v>18.848690000000001</v>
      </c>
      <c r="F179" s="116">
        <f t="shared" si="93"/>
        <v>18.848690000000001</v>
      </c>
      <c r="G179" s="300"/>
      <c r="H179" s="300"/>
      <c r="I179" s="300"/>
      <c r="J179" s="115"/>
      <c r="K179">
        <v>4</v>
      </c>
      <c r="L179" s="107" t="s">
        <v>389</v>
      </c>
      <c r="M179" s="113">
        <f t="shared" si="90"/>
        <v>0</v>
      </c>
      <c r="N179" s="113">
        <f t="shared" si="90"/>
        <v>0</v>
      </c>
      <c r="O179" s="113">
        <f t="shared" si="90"/>
        <v>18.848690000000001</v>
      </c>
      <c r="P179" s="116">
        <f t="shared" si="94"/>
        <v>18.848690000000001</v>
      </c>
      <c r="Q179" s="115"/>
      <c r="R179">
        <v>4</v>
      </c>
      <c r="S179" s="107" t="s">
        <v>389</v>
      </c>
      <c r="T179" s="113">
        <f t="shared" si="91"/>
        <v>0</v>
      </c>
      <c r="U179" s="113">
        <f t="shared" si="91"/>
        <v>0</v>
      </c>
      <c r="V179" s="113">
        <f t="shared" si="91"/>
        <v>3.609977578293555</v>
      </c>
      <c r="W179" s="116">
        <f t="shared" si="95"/>
        <v>3.609977578293555</v>
      </c>
      <c r="X179" s="115"/>
      <c r="Y179" s="115"/>
      <c r="Z179" s="115"/>
      <c r="AA179" s="107" t="s">
        <v>389</v>
      </c>
      <c r="AB179" s="113">
        <f t="shared" si="92"/>
        <v>30</v>
      </c>
      <c r="AC179" s="113">
        <f t="shared" si="92"/>
        <v>125</v>
      </c>
      <c r="AD179" s="113">
        <f t="shared" si="92"/>
        <v>75</v>
      </c>
      <c r="AE179" s="116">
        <f t="shared" si="96"/>
        <v>230</v>
      </c>
      <c r="AG179" s="115"/>
      <c r="AH179" s="107" t="s">
        <v>389</v>
      </c>
      <c r="AI179" s="307">
        <f>IFERROR(IF(#REF!&gt;0,LN(#REF!/#REF!),0),0)</f>
        <v>0</v>
      </c>
      <c r="AK179" s="107" t="s">
        <v>389</v>
      </c>
      <c r="AL179" s="118"/>
      <c r="AN179" s="107"/>
      <c r="AO179" s="307"/>
    </row>
    <row r="180" spans="1:41" x14ac:dyDescent="0.25">
      <c r="A180">
        <v>5</v>
      </c>
      <c r="B180" s="107" t="s">
        <v>390</v>
      </c>
      <c r="C180" s="113">
        <f t="shared" si="89"/>
        <v>0</v>
      </c>
      <c r="D180" s="113">
        <f t="shared" si="89"/>
        <v>8771.7901600000005</v>
      </c>
      <c r="E180" s="113">
        <f t="shared" si="89"/>
        <v>4600.5932899999998</v>
      </c>
      <c r="F180" s="116">
        <f t="shared" si="93"/>
        <v>13372.383450000001</v>
      </c>
      <c r="G180" s="300"/>
      <c r="H180" s="300"/>
      <c r="I180" s="300"/>
      <c r="J180" s="115"/>
      <c r="K180">
        <v>5</v>
      </c>
      <c r="L180" s="107" t="s">
        <v>390</v>
      </c>
      <c r="M180" s="113">
        <f t="shared" si="90"/>
        <v>0</v>
      </c>
      <c r="N180" s="113">
        <f t="shared" si="90"/>
        <v>8771.7901600000005</v>
      </c>
      <c r="O180" s="113">
        <f t="shared" si="90"/>
        <v>4600.5932899999998</v>
      </c>
      <c r="P180" s="116">
        <f t="shared" si="94"/>
        <v>13372.383450000001</v>
      </c>
      <c r="Q180" s="115"/>
      <c r="R180">
        <v>5</v>
      </c>
      <c r="S180" s="107" t="s">
        <v>390</v>
      </c>
      <c r="T180" s="113">
        <f t="shared" si="91"/>
        <v>0</v>
      </c>
      <c r="U180" s="113">
        <f t="shared" si="91"/>
        <v>-1048.3253628400198</v>
      </c>
      <c r="V180" s="113">
        <f t="shared" si="91"/>
        <v>464.66494522562573</v>
      </c>
      <c r="W180" s="116">
        <f t="shared" si="95"/>
        <v>-583.66041761439408</v>
      </c>
      <c r="X180" s="115"/>
      <c r="Y180" s="115"/>
      <c r="Z180" s="115"/>
      <c r="AA180" s="107" t="s">
        <v>390</v>
      </c>
      <c r="AB180" s="113">
        <f t="shared" si="92"/>
        <v>200</v>
      </c>
      <c r="AC180" s="113">
        <f t="shared" si="92"/>
        <v>3025</v>
      </c>
      <c r="AD180" s="113">
        <f t="shared" si="92"/>
        <v>1290</v>
      </c>
      <c r="AE180" s="116">
        <f t="shared" si="96"/>
        <v>4515</v>
      </c>
      <c r="AG180" s="115"/>
      <c r="AH180" s="107" t="s">
        <v>390</v>
      </c>
      <c r="AI180" s="307">
        <f>IFERROR(IF(#REF!&gt;0,LN(#REF!/#REF!),0),0)</f>
        <v>0</v>
      </c>
      <c r="AK180" s="107" t="s">
        <v>390</v>
      </c>
      <c r="AL180" s="118"/>
      <c r="AN180" s="107" t="s">
        <v>577</v>
      </c>
      <c r="AO180" s="307"/>
    </row>
    <row r="181" spans="1:41" x14ac:dyDescent="0.25">
      <c r="A181">
        <v>6</v>
      </c>
      <c r="B181" s="107" t="s">
        <v>391</v>
      </c>
      <c r="C181" s="113">
        <f t="shared" si="89"/>
        <v>0</v>
      </c>
      <c r="D181" s="113">
        <f t="shared" si="89"/>
        <v>0</v>
      </c>
      <c r="E181" s="113">
        <f t="shared" si="89"/>
        <v>638.83047999999997</v>
      </c>
      <c r="F181" s="116">
        <f t="shared" si="93"/>
        <v>638.83047999999997</v>
      </c>
      <c r="G181" s="300"/>
      <c r="H181" s="300"/>
      <c r="I181" s="300"/>
      <c r="J181" s="115"/>
      <c r="K181">
        <v>6</v>
      </c>
      <c r="L181" s="107" t="s">
        <v>391</v>
      </c>
      <c r="M181" s="113">
        <f t="shared" si="90"/>
        <v>0</v>
      </c>
      <c r="N181" s="113">
        <f t="shared" si="90"/>
        <v>0</v>
      </c>
      <c r="O181" s="113">
        <f t="shared" si="90"/>
        <v>638.83047999999997</v>
      </c>
      <c r="P181" s="116">
        <f t="shared" si="94"/>
        <v>638.83047999999997</v>
      </c>
      <c r="Q181" s="115"/>
      <c r="R181">
        <v>6</v>
      </c>
      <c r="S181" s="107" t="s">
        <v>391</v>
      </c>
      <c r="T181" s="113">
        <f t="shared" si="91"/>
        <v>0</v>
      </c>
      <c r="U181" s="113">
        <f t="shared" si="91"/>
        <v>0</v>
      </c>
      <c r="V181" s="113">
        <f t="shared" si="91"/>
        <v>122.35140527699851</v>
      </c>
      <c r="W181" s="116">
        <f t="shared" si="95"/>
        <v>122.35140527699851</v>
      </c>
      <c r="X181" s="115"/>
      <c r="Y181" s="115"/>
      <c r="Z181" s="115"/>
      <c r="AA181" s="107" t="s">
        <v>391</v>
      </c>
      <c r="AB181" s="113">
        <f t="shared" si="92"/>
        <v>0</v>
      </c>
      <c r="AC181" s="113">
        <f t="shared" si="92"/>
        <v>85</v>
      </c>
      <c r="AD181" s="113">
        <f t="shared" si="92"/>
        <v>95</v>
      </c>
      <c r="AE181" s="116">
        <f t="shared" si="96"/>
        <v>180</v>
      </c>
      <c r="AG181" s="115"/>
      <c r="AH181" s="107" t="s">
        <v>391</v>
      </c>
      <c r="AI181" s="307">
        <f>IFERROR(IF(#REF!&gt;0,LN(#REF!/#REF!),0),0)</f>
        <v>0</v>
      </c>
      <c r="AK181" s="107" t="s">
        <v>391</v>
      </c>
      <c r="AL181" s="118"/>
      <c r="AN181" s="107"/>
      <c r="AO181" s="307"/>
    </row>
    <row r="182" spans="1:41" x14ac:dyDescent="0.25">
      <c r="A182">
        <v>7</v>
      </c>
      <c r="B182" s="107" t="s">
        <v>392</v>
      </c>
      <c r="C182" s="113">
        <f t="shared" si="89"/>
        <v>11072.28543</v>
      </c>
      <c r="D182" s="113">
        <f t="shared" si="89"/>
        <v>8983.8053299999992</v>
      </c>
      <c r="E182" s="113">
        <f t="shared" si="89"/>
        <v>8878.85592</v>
      </c>
      <c r="F182" s="116">
        <f t="shared" si="93"/>
        <v>28934.946680000001</v>
      </c>
      <c r="G182" s="300"/>
      <c r="H182" s="300"/>
      <c r="I182" s="300"/>
      <c r="J182" s="115"/>
      <c r="K182">
        <v>7</v>
      </c>
      <c r="L182" s="107" t="s">
        <v>392</v>
      </c>
      <c r="M182" s="113">
        <f t="shared" si="90"/>
        <v>11072.28543</v>
      </c>
      <c r="N182" s="113">
        <f t="shared" si="90"/>
        <v>8983.8053299999992</v>
      </c>
      <c r="O182" s="113">
        <f t="shared" si="90"/>
        <v>8878.85592</v>
      </c>
      <c r="P182" s="116">
        <f t="shared" si="94"/>
        <v>28934.946680000001</v>
      </c>
      <c r="Q182" s="115"/>
      <c r="R182">
        <v>7</v>
      </c>
      <c r="S182" s="107" t="s">
        <v>392</v>
      </c>
      <c r="T182" s="113">
        <f t="shared" si="91"/>
        <v>-12030.275369691804</v>
      </c>
      <c r="U182" s="113">
        <f t="shared" si="91"/>
        <v>-1536.8593983824467</v>
      </c>
      <c r="V182" s="113">
        <f t="shared" si="91"/>
        <v>216.71234766349744</v>
      </c>
      <c r="W182" s="116">
        <f t="shared" si="95"/>
        <v>-13350.422420410754</v>
      </c>
      <c r="X182" s="115"/>
      <c r="Y182" s="115"/>
      <c r="Z182" s="115"/>
      <c r="AA182" s="107" t="s">
        <v>392</v>
      </c>
      <c r="AB182" s="113">
        <f t="shared" si="92"/>
        <v>2320</v>
      </c>
      <c r="AC182" s="113">
        <f t="shared" si="92"/>
        <v>2320</v>
      </c>
      <c r="AD182" s="113">
        <f t="shared" si="92"/>
        <v>320</v>
      </c>
      <c r="AE182" s="116">
        <f t="shared" si="96"/>
        <v>4960</v>
      </c>
      <c r="AG182" s="115"/>
      <c r="AH182" s="107" t="s">
        <v>392</v>
      </c>
      <c r="AI182" s="307">
        <f>IFERROR(IF(#REF!&gt;0,LN(#REF!/#REF!),0),0)</f>
        <v>0</v>
      </c>
      <c r="AK182" s="107" t="s">
        <v>392</v>
      </c>
      <c r="AL182" s="118"/>
      <c r="AN182" s="107" t="s">
        <v>392</v>
      </c>
      <c r="AO182" s="307"/>
    </row>
    <row r="183" spans="1:41" x14ac:dyDescent="0.25">
      <c r="A183">
        <v>8</v>
      </c>
      <c r="B183" s="107" t="s">
        <v>393</v>
      </c>
      <c r="C183" s="113">
        <f t="shared" si="89"/>
        <v>539.75476000000003</v>
      </c>
      <c r="D183" s="113">
        <f t="shared" si="89"/>
        <v>2203.4736800000001</v>
      </c>
      <c r="E183" s="113">
        <f t="shared" si="89"/>
        <v>2189.7800400000001</v>
      </c>
      <c r="F183" s="116">
        <f t="shared" si="93"/>
        <v>4933.0084800000004</v>
      </c>
      <c r="G183" s="300"/>
      <c r="H183" s="300"/>
      <c r="I183" s="300"/>
      <c r="J183" s="115"/>
      <c r="K183">
        <v>8</v>
      </c>
      <c r="L183" s="107" t="s">
        <v>393</v>
      </c>
      <c r="M183" s="113">
        <f t="shared" si="90"/>
        <v>539.75476000000003</v>
      </c>
      <c r="N183" s="113">
        <f t="shared" si="90"/>
        <v>2203.4736800000001</v>
      </c>
      <c r="O183" s="113">
        <f t="shared" si="90"/>
        <v>2189.7800400000001</v>
      </c>
      <c r="P183" s="116">
        <f t="shared" si="94"/>
        <v>4933.0084800000004</v>
      </c>
      <c r="Q183" s="115"/>
      <c r="R183">
        <v>8</v>
      </c>
      <c r="S183" s="107" t="s">
        <v>393</v>
      </c>
      <c r="T183" s="113">
        <f t="shared" si="91"/>
        <v>-606.99686545582972</v>
      </c>
      <c r="U183" s="113">
        <f t="shared" si="91"/>
        <v>-448.67153180440675</v>
      </c>
      <c r="V183" s="113">
        <f t="shared" si="91"/>
        <v>46.380976936363226</v>
      </c>
      <c r="W183" s="116">
        <f t="shared" si="95"/>
        <v>-1009.2874203238731</v>
      </c>
      <c r="X183" s="115"/>
      <c r="Y183" s="115"/>
      <c r="Z183" s="115"/>
      <c r="AA183" s="107" t="s">
        <v>393</v>
      </c>
      <c r="AB183" s="113">
        <f t="shared" si="92"/>
        <v>575</v>
      </c>
      <c r="AC183" s="113">
        <f t="shared" si="92"/>
        <v>1035</v>
      </c>
      <c r="AD183" s="113">
        <f t="shared" si="92"/>
        <v>290</v>
      </c>
      <c r="AE183" s="116">
        <f t="shared" si="96"/>
        <v>1900</v>
      </c>
      <c r="AG183" s="115"/>
      <c r="AH183" s="107" t="s">
        <v>393</v>
      </c>
      <c r="AI183" s="307">
        <f>IFERROR(IF(#REF!&gt;0,LN(#REF!/#REF!),0),0)</f>
        <v>0</v>
      </c>
      <c r="AK183" s="107" t="s">
        <v>393</v>
      </c>
      <c r="AL183" s="118"/>
      <c r="AN183" s="107" t="s">
        <v>393</v>
      </c>
      <c r="AO183" s="307"/>
    </row>
    <row r="184" spans="1:41" x14ac:dyDescent="0.25">
      <c r="A184">
        <v>10</v>
      </c>
      <c r="B184" s="107" t="s">
        <v>395</v>
      </c>
      <c r="C184" s="113">
        <f t="shared" si="89"/>
        <v>14289.60519</v>
      </c>
      <c r="D184" s="113">
        <f t="shared" si="89"/>
        <v>12099.019270000001</v>
      </c>
      <c r="E184" s="113">
        <f t="shared" si="89"/>
        <v>5146.6320800000003</v>
      </c>
      <c r="F184" s="116">
        <f t="shared" si="93"/>
        <v>31535.256539999998</v>
      </c>
      <c r="G184" s="300"/>
      <c r="H184" s="300"/>
      <c r="I184" s="300"/>
      <c r="J184" s="115"/>
      <c r="K184">
        <v>10</v>
      </c>
      <c r="L184" s="107" t="s">
        <v>395</v>
      </c>
      <c r="M184" s="113">
        <f t="shared" si="90"/>
        <v>30040.524204454821</v>
      </c>
      <c r="N184" s="113">
        <f t="shared" si="90"/>
        <v>25435.334034627747</v>
      </c>
      <c r="O184" s="113">
        <f t="shared" si="90"/>
        <v>10819.579933451168</v>
      </c>
      <c r="P184" s="116">
        <f t="shared" si="94"/>
        <v>66295.43817253373</v>
      </c>
      <c r="Q184" s="115"/>
      <c r="R184">
        <v>10</v>
      </c>
      <c r="S184" s="107" t="s">
        <v>395</v>
      </c>
      <c r="T184" s="113">
        <f t="shared" si="91"/>
        <v>30040.524204454821</v>
      </c>
      <c r="U184" s="113">
        <f t="shared" si="91"/>
        <v>25435.334034627747</v>
      </c>
      <c r="V184" s="113">
        <f t="shared" si="91"/>
        <v>10819.579933451168</v>
      </c>
      <c r="W184" s="116">
        <f t="shared" si="95"/>
        <v>66295.43817253373</v>
      </c>
      <c r="X184" s="115"/>
      <c r="Y184" s="115"/>
      <c r="Z184" s="115"/>
      <c r="AA184" s="107" t="s">
        <v>546</v>
      </c>
      <c r="AB184" s="113">
        <f t="shared" si="92"/>
        <v>8695</v>
      </c>
      <c r="AC184" s="113">
        <f t="shared" si="92"/>
        <v>3890</v>
      </c>
      <c r="AD184" s="113">
        <f t="shared" si="92"/>
        <v>1705</v>
      </c>
      <c r="AE184" s="116">
        <f t="shared" si="96"/>
        <v>14290</v>
      </c>
      <c r="AG184" s="115"/>
      <c r="AH184" s="107" t="s">
        <v>395</v>
      </c>
      <c r="AI184" s="307">
        <f>IFERROR(IF(#REF!&gt;0,LN(#REF!/#REF!),0),0)</f>
        <v>0</v>
      </c>
      <c r="AK184" s="107" t="s">
        <v>395</v>
      </c>
      <c r="AL184" s="118"/>
      <c r="AN184" s="107" t="s">
        <v>395</v>
      </c>
      <c r="AO184" s="307">
        <f>AL184+$AO$1*AI184</f>
        <v>0</v>
      </c>
    </row>
    <row r="185" spans="1:41" x14ac:dyDescent="0.25">
      <c r="A185">
        <v>11</v>
      </c>
      <c r="B185" s="107" t="s">
        <v>396</v>
      </c>
      <c r="C185" s="113">
        <f t="shared" si="89"/>
        <v>1313.95758</v>
      </c>
      <c r="D185" s="113">
        <f t="shared" si="89"/>
        <v>777.11147000000005</v>
      </c>
      <c r="E185" s="113">
        <f t="shared" si="89"/>
        <v>903.61224000000004</v>
      </c>
      <c r="F185" s="116">
        <f t="shared" si="93"/>
        <v>2994.68129</v>
      </c>
      <c r="G185" s="300"/>
      <c r="H185" s="300"/>
      <c r="I185" s="300"/>
      <c r="J185" s="115"/>
      <c r="K185">
        <v>11</v>
      </c>
      <c r="L185" s="107" t="s">
        <v>396</v>
      </c>
      <c r="M185" s="113">
        <f t="shared" si="90"/>
        <v>1105.5143038765011</v>
      </c>
      <c r="N185" s="113">
        <f t="shared" si="90"/>
        <v>653.83225369535478</v>
      </c>
      <c r="O185" s="113">
        <f t="shared" si="90"/>
        <v>760.26522597319001</v>
      </c>
      <c r="P185" s="116">
        <f t="shared" si="94"/>
        <v>2519.6117835450459</v>
      </c>
      <c r="Q185" s="115"/>
      <c r="R185">
        <v>11</v>
      </c>
      <c r="S185" s="107" t="s">
        <v>396</v>
      </c>
      <c r="T185" s="113">
        <f t="shared" si="91"/>
        <v>1105.5143038765011</v>
      </c>
      <c r="U185" s="113">
        <f t="shared" si="91"/>
        <v>653.83225369535478</v>
      </c>
      <c r="V185" s="113">
        <f t="shared" si="91"/>
        <v>760.26522597319001</v>
      </c>
      <c r="W185" s="116">
        <f t="shared" si="95"/>
        <v>2519.6117835450459</v>
      </c>
      <c r="X185" s="115"/>
      <c r="Y185" s="115"/>
      <c r="Z185" s="115"/>
      <c r="AA185" s="107" t="s">
        <v>559</v>
      </c>
      <c r="AB185" s="113">
        <f t="shared" si="92"/>
        <v>365</v>
      </c>
      <c r="AC185" s="113">
        <f t="shared" si="92"/>
        <v>85</v>
      </c>
      <c r="AD185" s="113">
        <f t="shared" si="92"/>
        <v>210</v>
      </c>
      <c r="AE185" s="116">
        <f t="shared" si="96"/>
        <v>660</v>
      </c>
      <c r="AG185" s="115"/>
      <c r="AH185" s="107" t="s">
        <v>396</v>
      </c>
      <c r="AI185" s="307">
        <f>IFERROR(IF(#REF!&gt;0,LN(#REF!/#REF!),0),0)</f>
        <v>0</v>
      </c>
      <c r="AK185" s="107" t="s">
        <v>396</v>
      </c>
      <c r="AL185" s="118"/>
      <c r="AN185" s="107" t="s">
        <v>396</v>
      </c>
      <c r="AO185" s="307">
        <f>AL185+$AO$1*AI185</f>
        <v>0</v>
      </c>
    </row>
    <row r="186" spans="1:41" x14ac:dyDescent="0.25">
      <c r="A186">
        <v>12</v>
      </c>
      <c r="B186" s="107" t="s">
        <v>397</v>
      </c>
      <c r="C186" s="113">
        <f t="shared" si="89"/>
        <v>0</v>
      </c>
      <c r="D186" s="113">
        <f t="shared" si="89"/>
        <v>1629.2762499999999</v>
      </c>
      <c r="E186" s="113">
        <f t="shared" si="89"/>
        <v>2877.4896699999999</v>
      </c>
      <c r="F186" s="116">
        <f t="shared" si="93"/>
        <v>4506.7659199999998</v>
      </c>
      <c r="G186" s="300"/>
      <c r="H186" s="300"/>
      <c r="I186" s="300"/>
      <c r="J186" s="115"/>
      <c r="K186">
        <v>12</v>
      </c>
      <c r="L186" s="107" t="s">
        <v>397</v>
      </c>
      <c r="M186" s="113">
        <f t="shared" si="90"/>
        <v>0</v>
      </c>
      <c r="N186" s="113">
        <f t="shared" si="90"/>
        <v>1208.7597921895579</v>
      </c>
      <c r="O186" s="113">
        <f t="shared" si="90"/>
        <v>2134.8091310708046</v>
      </c>
      <c r="P186" s="116">
        <f t="shared" si="94"/>
        <v>3343.5689232603627</v>
      </c>
      <c r="Q186" s="115"/>
      <c r="R186">
        <v>12</v>
      </c>
      <c r="S186" s="107" t="s">
        <v>397</v>
      </c>
      <c r="T186" s="113">
        <f t="shared" si="91"/>
        <v>0</v>
      </c>
      <c r="U186" s="113">
        <f t="shared" si="91"/>
        <v>1208.7597921895579</v>
      </c>
      <c r="V186" s="113">
        <f t="shared" si="91"/>
        <v>2134.8091310708046</v>
      </c>
      <c r="W186" s="116">
        <f t="shared" si="95"/>
        <v>3343.5689232603627</v>
      </c>
      <c r="X186" s="115"/>
      <c r="Y186" s="115"/>
      <c r="Z186" s="115"/>
      <c r="AA186" s="107" t="s">
        <v>560</v>
      </c>
      <c r="AB186" s="113">
        <f t="shared" si="92"/>
        <v>0</v>
      </c>
      <c r="AC186" s="113">
        <f t="shared" si="92"/>
        <v>0</v>
      </c>
      <c r="AD186" s="113">
        <f t="shared" si="92"/>
        <v>90</v>
      </c>
      <c r="AE186" s="116">
        <f t="shared" si="96"/>
        <v>90</v>
      </c>
      <c r="AG186" s="115"/>
      <c r="AH186" s="107" t="s">
        <v>397</v>
      </c>
      <c r="AI186" s="307">
        <f>IFERROR(IF(#REF!&gt;0,LN(#REF!/#REF!),0),0)</f>
        <v>0</v>
      </c>
      <c r="AK186" s="107" t="s">
        <v>397</v>
      </c>
      <c r="AL186" s="118"/>
      <c r="AN186" s="107" t="s">
        <v>397</v>
      </c>
      <c r="AO186" s="307">
        <f>AL186+$AO$1*AI186</f>
        <v>0</v>
      </c>
    </row>
    <row r="187" spans="1:41" x14ac:dyDescent="0.25">
      <c r="A187">
        <v>13</v>
      </c>
      <c r="B187" s="107" t="s">
        <v>398</v>
      </c>
      <c r="C187" s="113">
        <f t="shared" si="89"/>
        <v>645.03886999999997</v>
      </c>
      <c r="D187" s="113">
        <f t="shared" si="89"/>
        <v>481.82835999999998</v>
      </c>
      <c r="E187" s="113">
        <f t="shared" si="89"/>
        <v>391.50747999999999</v>
      </c>
      <c r="F187" s="116">
        <f t="shared" si="93"/>
        <v>1518.3747099999998</v>
      </c>
      <c r="G187" s="300"/>
      <c r="H187" s="300"/>
      <c r="I187" s="300"/>
      <c r="J187" s="115"/>
      <c r="K187">
        <v>13</v>
      </c>
      <c r="L187" s="107" t="s">
        <v>398</v>
      </c>
      <c r="M187" s="113">
        <f t="shared" si="90"/>
        <v>645.03886999999997</v>
      </c>
      <c r="N187" s="113">
        <f t="shared" si="90"/>
        <v>481.82835999999998</v>
      </c>
      <c r="O187" s="113">
        <f t="shared" si="90"/>
        <v>391.50747999999999</v>
      </c>
      <c r="P187" s="116">
        <f t="shared" si="94"/>
        <v>1518.3747099999998</v>
      </c>
      <c r="Q187" s="115"/>
      <c r="R187">
        <v>13</v>
      </c>
      <c r="S187" s="107" t="s">
        <v>398</v>
      </c>
      <c r="T187" s="113">
        <f t="shared" si="91"/>
        <v>-669.89073546833686</v>
      </c>
      <c r="U187" s="113">
        <f t="shared" si="91"/>
        <v>-79.349013747701974</v>
      </c>
      <c r="V187" s="113">
        <f t="shared" si="91"/>
        <v>8.2923851111062667</v>
      </c>
      <c r="W187" s="116">
        <f t="shared" si="95"/>
        <v>-740.9473641049326</v>
      </c>
      <c r="X187" s="115"/>
      <c r="Y187" s="115"/>
      <c r="Z187" s="115"/>
      <c r="AA187" s="107" t="s">
        <v>398</v>
      </c>
      <c r="AB187" s="113">
        <f t="shared" si="92"/>
        <v>505</v>
      </c>
      <c r="AC187" s="113">
        <f t="shared" si="92"/>
        <v>100</v>
      </c>
      <c r="AD187" s="113">
        <f t="shared" si="92"/>
        <v>85</v>
      </c>
      <c r="AE187" s="116">
        <f t="shared" si="96"/>
        <v>690</v>
      </c>
      <c r="AG187" s="115"/>
      <c r="AH187" s="107" t="s">
        <v>398</v>
      </c>
      <c r="AI187" s="307">
        <f>IFERROR(IF(#REF!&gt;0,LN(#REF!/#REF!),0),0)</f>
        <v>0</v>
      </c>
      <c r="AK187" s="107" t="s">
        <v>398</v>
      </c>
      <c r="AL187" s="118"/>
      <c r="AN187" s="107" t="s">
        <v>398</v>
      </c>
      <c r="AO187" s="307"/>
    </row>
    <row r="188" spans="1:41" x14ac:dyDescent="0.25">
      <c r="A188">
        <v>14</v>
      </c>
      <c r="B188" s="107" t="s">
        <v>399</v>
      </c>
      <c r="C188" s="113">
        <f t="shared" si="89"/>
        <v>0</v>
      </c>
      <c r="D188" s="113">
        <f t="shared" si="89"/>
        <v>0</v>
      </c>
      <c r="E188" s="113">
        <f t="shared" si="89"/>
        <v>0</v>
      </c>
      <c r="F188" s="116">
        <f t="shared" si="93"/>
        <v>0</v>
      </c>
      <c r="G188" s="300"/>
      <c r="H188" s="300"/>
      <c r="I188" s="300"/>
      <c r="J188" s="115"/>
      <c r="K188">
        <v>14</v>
      </c>
      <c r="L188" s="107" t="s">
        <v>399</v>
      </c>
      <c r="M188" s="113">
        <f t="shared" si="90"/>
        <v>0</v>
      </c>
      <c r="N188" s="113">
        <f t="shared" si="90"/>
        <v>0</v>
      </c>
      <c r="O188" s="113">
        <f t="shared" si="90"/>
        <v>0</v>
      </c>
      <c r="P188" s="116">
        <f t="shared" si="94"/>
        <v>0</v>
      </c>
      <c r="Q188" s="115"/>
      <c r="R188">
        <v>14</v>
      </c>
      <c r="S188" s="107" t="s">
        <v>399</v>
      </c>
      <c r="T188" s="113">
        <f t="shared" si="91"/>
        <v>0</v>
      </c>
      <c r="U188" s="113">
        <f t="shared" si="91"/>
        <v>0</v>
      </c>
      <c r="V188" s="113">
        <f t="shared" si="91"/>
        <v>0</v>
      </c>
      <c r="W188" s="116">
        <f t="shared" si="95"/>
        <v>0</v>
      </c>
      <c r="X188" s="115"/>
      <c r="Y188" s="115"/>
      <c r="Z188" s="115"/>
      <c r="AA188" s="107" t="s">
        <v>399</v>
      </c>
      <c r="AB188" s="113">
        <f t="shared" si="92"/>
        <v>0</v>
      </c>
      <c r="AC188" s="113">
        <f t="shared" si="92"/>
        <v>0</v>
      </c>
      <c r="AD188" s="113">
        <f t="shared" si="92"/>
        <v>0</v>
      </c>
      <c r="AE188" s="116">
        <f t="shared" si="96"/>
        <v>0</v>
      </c>
      <c r="AG188" s="115"/>
      <c r="AH188" s="107" t="s">
        <v>399</v>
      </c>
      <c r="AI188" s="307">
        <f>IFERROR(IF(#REF!&gt;0,LN(#REF!/#REF!),0),0)</f>
        <v>0</v>
      </c>
      <c r="AK188" s="107" t="s">
        <v>399</v>
      </c>
      <c r="AL188" s="118"/>
      <c r="AN188" s="107" t="s">
        <v>399</v>
      </c>
      <c r="AO188" s="307"/>
    </row>
    <row r="189" spans="1:41" ht="15.75" thickBot="1" x14ac:dyDescent="0.3">
      <c r="B189" s="108" t="s">
        <v>29</v>
      </c>
      <c r="C189" s="109">
        <f>SUM(C176:C188)</f>
        <v>31420.974679999999</v>
      </c>
      <c r="D189" s="110">
        <f>SUM(D176:D188)</f>
        <v>48388.758229999999</v>
      </c>
      <c r="E189" s="111">
        <f>SUM(E176:E188)</f>
        <v>59481.334589999999</v>
      </c>
      <c r="F189" s="112">
        <f>SUM(F176:F188)</f>
        <v>139291.0675</v>
      </c>
      <c r="G189" s="301"/>
      <c r="H189" s="301"/>
      <c r="I189" s="301"/>
      <c r="L189" s="108" t="s">
        <v>29</v>
      </c>
      <c r="M189" s="109">
        <f>SUM(M176:M188)</f>
        <v>46963.450418331318</v>
      </c>
      <c r="N189" s="110">
        <f>SUM(N176:N188)</f>
        <v>61181.277320512658</v>
      </c>
      <c r="O189" s="111">
        <f>SUM(O176:O188)</f>
        <v>64268.254890495155</v>
      </c>
      <c r="P189" s="112">
        <f>SUM(P176:P188)</f>
        <v>172412.98262933915</v>
      </c>
      <c r="S189" s="108" t="s">
        <v>29</v>
      </c>
      <c r="T189" s="109">
        <f>SUM(T176:T188)</f>
        <v>13835</v>
      </c>
      <c r="U189" s="110">
        <f>SUM(U176:U188)</f>
        <v>21830.000000000004</v>
      </c>
      <c r="V189" s="111">
        <f>SUM(V176:V188)</f>
        <v>16015</v>
      </c>
      <c r="W189" s="112">
        <f>SUM(W176:W188)</f>
        <v>51679.999999999993</v>
      </c>
      <c r="AA189" s="108" t="s">
        <v>29</v>
      </c>
      <c r="AB189" s="109">
        <f>SUM(AB176:AB188)</f>
        <v>13835</v>
      </c>
      <c r="AC189" s="110">
        <f>SUM(AC176:AC188)</f>
        <v>21830</v>
      </c>
      <c r="AD189" s="111">
        <f>SUM(AD176:AD188)</f>
        <v>16015</v>
      </c>
      <c r="AE189" s="112">
        <f>SUM(AE176:AE188)</f>
        <v>51680</v>
      </c>
      <c r="AH189" s="108" t="s">
        <v>29</v>
      </c>
      <c r="AI189" s="118"/>
      <c r="AK189" s="108" t="s">
        <v>29</v>
      </c>
      <c r="AL189" s="118"/>
      <c r="AN189" s="108" t="s">
        <v>29</v>
      </c>
      <c r="AO189" s="118"/>
    </row>
    <row r="191" spans="1:41" ht="26.25" x14ac:dyDescent="0.4">
      <c r="A191" s="150" t="s">
        <v>524</v>
      </c>
      <c r="K191" s="150" t="s">
        <v>524</v>
      </c>
      <c r="R191" s="150" t="s">
        <v>524</v>
      </c>
    </row>
    <row r="192" spans="1:41" ht="26.25" x14ac:dyDescent="0.25">
      <c r="B192" s="102" t="s">
        <v>134</v>
      </c>
      <c r="C192" s="103" t="s">
        <v>135</v>
      </c>
      <c r="D192" s="104" t="s">
        <v>136</v>
      </c>
      <c r="E192" s="105" t="s">
        <v>137</v>
      </c>
      <c r="F192" s="106" t="s">
        <v>29</v>
      </c>
      <c r="G192" s="299"/>
      <c r="H192" s="299"/>
      <c r="I192" s="299"/>
      <c r="L192" s="102" t="s">
        <v>134</v>
      </c>
      <c r="M192" s="103" t="s">
        <v>135</v>
      </c>
      <c r="N192" s="104" t="s">
        <v>136</v>
      </c>
      <c r="O192" s="105" t="s">
        <v>137</v>
      </c>
      <c r="P192" s="106" t="s">
        <v>29</v>
      </c>
      <c r="S192" s="102" t="s">
        <v>134</v>
      </c>
      <c r="T192" s="103" t="s">
        <v>135</v>
      </c>
      <c r="U192" s="104" t="s">
        <v>136</v>
      </c>
      <c r="V192" s="105" t="s">
        <v>137</v>
      </c>
      <c r="W192" s="106" t="s">
        <v>29</v>
      </c>
      <c r="AA192" s="102" t="s">
        <v>134</v>
      </c>
      <c r="AB192" s="103" t="s">
        <v>135</v>
      </c>
      <c r="AC192" s="104" t="s">
        <v>136</v>
      </c>
      <c r="AD192" s="105" t="s">
        <v>137</v>
      </c>
      <c r="AE192" s="106" t="s">
        <v>29</v>
      </c>
      <c r="AH192" s="102" t="s">
        <v>134</v>
      </c>
      <c r="AI192" s="106" t="s">
        <v>29</v>
      </c>
      <c r="AK192" s="102" t="s">
        <v>134</v>
      </c>
      <c r="AL192" s="106" t="s">
        <v>29</v>
      </c>
      <c r="AN192" s="102" t="s">
        <v>134</v>
      </c>
      <c r="AO192" s="106" t="s">
        <v>29</v>
      </c>
    </row>
    <row r="193" spans="1:41" x14ac:dyDescent="0.25">
      <c r="A193">
        <v>1</v>
      </c>
      <c r="B193" s="107" t="s">
        <v>386</v>
      </c>
      <c r="C193" s="113">
        <f t="shared" ref="C193:E205" si="97">C91+C125</f>
        <v>0</v>
      </c>
      <c r="D193" s="113">
        <f t="shared" si="97"/>
        <v>4315.2013299999999</v>
      </c>
      <c r="E193" s="113">
        <f t="shared" si="97"/>
        <v>13201.22724</v>
      </c>
      <c r="F193" s="114">
        <f>SUM(C193:E193)</f>
        <v>17516.42857</v>
      </c>
      <c r="G193" s="300"/>
      <c r="H193" s="300"/>
      <c r="I193" s="300"/>
      <c r="J193" s="115"/>
      <c r="K193">
        <v>1</v>
      </c>
      <c r="L193" s="107" t="s">
        <v>386</v>
      </c>
      <c r="M193" s="113">
        <f t="shared" ref="M193:O205" si="98">M91+M125</f>
        <v>0</v>
      </c>
      <c r="N193" s="113">
        <f t="shared" si="98"/>
        <v>4315.2013299999999</v>
      </c>
      <c r="O193" s="113">
        <f t="shared" si="98"/>
        <v>13201.22724</v>
      </c>
      <c r="P193" s="114">
        <f>SUM(M193:O193)</f>
        <v>17516.42857</v>
      </c>
      <c r="Q193" s="115"/>
      <c r="R193">
        <v>1</v>
      </c>
      <c r="S193" s="107" t="s">
        <v>386</v>
      </c>
      <c r="T193" s="113">
        <f t="shared" ref="T193:V205" si="99">T91+T125</f>
        <v>0</v>
      </c>
      <c r="U193" s="113">
        <f t="shared" si="99"/>
        <v>479.25541165651401</v>
      </c>
      <c r="V193" s="113">
        <f t="shared" si="99"/>
        <v>2570.0321774223717</v>
      </c>
      <c r="W193" s="114">
        <f>SUM(T193:V193)</f>
        <v>3049.2875890788855</v>
      </c>
      <c r="X193" s="115"/>
      <c r="Y193" s="115"/>
      <c r="Z193" s="115"/>
      <c r="AA193" s="107" t="s">
        <v>386</v>
      </c>
      <c r="AB193" s="113">
        <f t="shared" ref="AB193:AD205" si="100">AB91+AB125</f>
        <v>0</v>
      </c>
      <c r="AC193" s="113">
        <f t="shared" si="100"/>
        <v>4955</v>
      </c>
      <c r="AD193" s="113">
        <f t="shared" si="100"/>
        <v>8590</v>
      </c>
      <c r="AE193" s="114">
        <f>SUM(AB193:AD193)</f>
        <v>13545</v>
      </c>
      <c r="AG193" s="115"/>
      <c r="AH193" s="107" t="s">
        <v>386</v>
      </c>
      <c r="AI193" s="307">
        <f>IFERROR(IF(#REF!&gt;0,LN(#REF!/#REF!),0),0)</f>
        <v>0</v>
      </c>
      <c r="AK193" s="107" t="s">
        <v>386</v>
      </c>
      <c r="AL193" s="118"/>
      <c r="AN193" s="107" t="s">
        <v>538</v>
      </c>
      <c r="AO193" s="309"/>
    </row>
    <row r="194" spans="1:41" x14ac:dyDescent="0.25">
      <c r="A194">
        <v>2</v>
      </c>
      <c r="B194" s="107" t="s">
        <v>387</v>
      </c>
      <c r="C194" s="113">
        <f t="shared" si="97"/>
        <v>0</v>
      </c>
      <c r="D194" s="113">
        <f t="shared" si="97"/>
        <v>0</v>
      </c>
      <c r="E194" s="113">
        <f t="shared" si="97"/>
        <v>128.68156999999999</v>
      </c>
      <c r="F194" s="116">
        <f t="shared" ref="F194:F205" si="101">SUM(C194:E194)</f>
        <v>128.68156999999999</v>
      </c>
      <c r="G194" s="300"/>
      <c r="H194" s="300"/>
      <c r="I194" s="300"/>
      <c r="J194" s="115"/>
      <c r="K194">
        <v>2</v>
      </c>
      <c r="L194" s="107" t="s">
        <v>387</v>
      </c>
      <c r="M194" s="113">
        <f t="shared" si="98"/>
        <v>0</v>
      </c>
      <c r="N194" s="113">
        <f t="shared" si="98"/>
        <v>0</v>
      </c>
      <c r="O194" s="113">
        <f t="shared" si="98"/>
        <v>128.68156999999999</v>
      </c>
      <c r="P194" s="116">
        <f t="shared" ref="P194:P205" si="102">SUM(M194:O194)</f>
        <v>128.68156999999999</v>
      </c>
      <c r="Q194" s="115"/>
      <c r="R194">
        <v>2</v>
      </c>
      <c r="S194" s="107" t="s">
        <v>387</v>
      </c>
      <c r="T194" s="113">
        <f t="shared" si="99"/>
        <v>0</v>
      </c>
      <c r="U194" s="113">
        <f t="shared" si="99"/>
        <v>0</v>
      </c>
      <c r="V194" s="113">
        <f t="shared" si="99"/>
        <v>25.051896276669908</v>
      </c>
      <c r="W194" s="116">
        <f t="shared" ref="W194:W205" si="103">SUM(T194:V194)</f>
        <v>25.051896276669908</v>
      </c>
      <c r="X194" s="115"/>
      <c r="Y194" s="115"/>
      <c r="Z194" s="115"/>
      <c r="AA194" s="107" t="s">
        <v>387</v>
      </c>
      <c r="AB194" s="113">
        <f t="shared" si="100"/>
        <v>0</v>
      </c>
      <c r="AC194" s="113">
        <f t="shared" si="100"/>
        <v>185</v>
      </c>
      <c r="AD194" s="113">
        <f t="shared" si="100"/>
        <v>595</v>
      </c>
      <c r="AE194" s="116">
        <f t="shared" ref="AE194:AE205" si="104">SUM(AB194:AD194)</f>
        <v>780</v>
      </c>
      <c r="AG194" s="115"/>
      <c r="AH194" s="107" t="s">
        <v>387</v>
      </c>
      <c r="AI194" s="307">
        <f>IFERROR(IF(#REF!&gt;0,LN(#REF!/#REF!),0),0)</f>
        <v>0</v>
      </c>
      <c r="AK194" s="107" t="s">
        <v>387</v>
      </c>
      <c r="AL194" s="118"/>
      <c r="AN194" s="107"/>
      <c r="AO194" s="307"/>
    </row>
    <row r="195" spans="1:41" x14ac:dyDescent="0.25">
      <c r="A195">
        <v>3</v>
      </c>
      <c r="B195" s="107" t="s">
        <v>388</v>
      </c>
      <c r="C195" s="113">
        <f t="shared" si="97"/>
        <v>1534.0062700000001</v>
      </c>
      <c r="D195" s="113">
        <f t="shared" si="97"/>
        <v>7753.6989400000002</v>
      </c>
      <c r="E195" s="113">
        <f t="shared" si="97"/>
        <v>8232.0333499999997</v>
      </c>
      <c r="F195" s="116">
        <f t="shared" si="101"/>
        <v>17519.738559999998</v>
      </c>
      <c r="G195" s="300"/>
      <c r="H195" s="300"/>
      <c r="I195" s="300"/>
      <c r="J195" s="115"/>
      <c r="K195">
        <v>3</v>
      </c>
      <c r="L195" s="107" t="s">
        <v>388</v>
      </c>
      <c r="M195" s="113">
        <f t="shared" si="98"/>
        <v>1534.0062700000001</v>
      </c>
      <c r="N195" s="113">
        <f t="shared" si="98"/>
        <v>7753.6989400000002</v>
      </c>
      <c r="O195" s="113">
        <f t="shared" si="98"/>
        <v>8232.0333499999997</v>
      </c>
      <c r="P195" s="116">
        <f t="shared" si="102"/>
        <v>17519.738559999998</v>
      </c>
      <c r="Q195" s="115"/>
      <c r="R195">
        <v>3</v>
      </c>
      <c r="S195" s="107" t="s">
        <v>388</v>
      </c>
      <c r="T195" s="113">
        <f t="shared" si="99"/>
        <v>-763.74832971213277</v>
      </c>
      <c r="U195" s="113">
        <f t="shared" si="99"/>
        <v>78.426271169227334</v>
      </c>
      <c r="V195" s="113">
        <f t="shared" si="99"/>
        <v>1249.6942110645812</v>
      </c>
      <c r="W195" s="116">
        <f t="shared" si="103"/>
        <v>564.37215252167573</v>
      </c>
      <c r="X195" s="115"/>
      <c r="Y195" s="115"/>
      <c r="Z195" s="115"/>
      <c r="AA195" s="107" t="s">
        <v>388</v>
      </c>
      <c r="AB195" s="113">
        <f t="shared" si="100"/>
        <v>890</v>
      </c>
      <c r="AC195" s="113">
        <f t="shared" si="100"/>
        <v>4640</v>
      </c>
      <c r="AD195" s="113">
        <f t="shared" si="100"/>
        <v>2945</v>
      </c>
      <c r="AE195" s="116">
        <f t="shared" si="104"/>
        <v>8475</v>
      </c>
      <c r="AG195" s="115"/>
      <c r="AH195" s="107" t="s">
        <v>388</v>
      </c>
      <c r="AI195" s="307">
        <f>IFERROR(IF(#REF!&gt;0,LN(#REF!/#REF!),0),0)</f>
        <v>0</v>
      </c>
      <c r="AK195" s="107" t="s">
        <v>388</v>
      </c>
      <c r="AL195" s="118"/>
      <c r="AN195" s="107" t="s">
        <v>576</v>
      </c>
      <c r="AO195" s="307"/>
    </row>
    <row r="196" spans="1:41" x14ac:dyDescent="0.25">
      <c r="A196">
        <v>4</v>
      </c>
      <c r="B196" s="107" t="s">
        <v>389</v>
      </c>
      <c r="C196" s="113">
        <f t="shared" si="97"/>
        <v>0</v>
      </c>
      <c r="D196" s="113">
        <f t="shared" si="97"/>
        <v>0</v>
      </c>
      <c r="E196" s="113">
        <f t="shared" si="97"/>
        <v>113.27288</v>
      </c>
      <c r="F196" s="116">
        <f t="shared" si="101"/>
        <v>113.27288</v>
      </c>
      <c r="G196" s="300"/>
      <c r="H196" s="300"/>
      <c r="I196" s="300"/>
      <c r="J196" s="115"/>
      <c r="K196">
        <v>4</v>
      </c>
      <c r="L196" s="107" t="s">
        <v>389</v>
      </c>
      <c r="M196" s="113">
        <f t="shared" si="98"/>
        <v>0</v>
      </c>
      <c r="N196" s="113">
        <f t="shared" si="98"/>
        <v>0</v>
      </c>
      <c r="O196" s="113">
        <f t="shared" si="98"/>
        <v>113.27288</v>
      </c>
      <c r="P196" s="116">
        <f t="shared" si="102"/>
        <v>113.27288</v>
      </c>
      <c r="Q196" s="115"/>
      <c r="R196">
        <v>4</v>
      </c>
      <c r="S196" s="107" t="s">
        <v>389</v>
      </c>
      <c r="T196" s="113">
        <f t="shared" si="99"/>
        <v>0</v>
      </c>
      <c r="U196" s="113">
        <f t="shared" si="99"/>
        <v>0</v>
      </c>
      <c r="V196" s="113">
        <f t="shared" si="99"/>
        <v>22.052112363251997</v>
      </c>
      <c r="W196" s="116">
        <f t="shared" si="103"/>
        <v>22.052112363251997</v>
      </c>
      <c r="X196" s="115"/>
      <c r="Y196" s="115"/>
      <c r="Z196" s="115"/>
      <c r="AA196" s="107" t="s">
        <v>389</v>
      </c>
      <c r="AB196" s="113">
        <f t="shared" si="100"/>
        <v>10</v>
      </c>
      <c r="AC196" s="113">
        <f t="shared" si="100"/>
        <v>145</v>
      </c>
      <c r="AD196" s="113">
        <f t="shared" si="100"/>
        <v>275</v>
      </c>
      <c r="AE196" s="116">
        <f t="shared" si="104"/>
        <v>430</v>
      </c>
      <c r="AG196" s="115"/>
      <c r="AH196" s="107" t="s">
        <v>389</v>
      </c>
      <c r="AI196" s="307">
        <f>IFERROR(IF(#REF!&gt;0,LN(#REF!/#REF!),0),0)</f>
        <v>0</v>
      </c>
      <c r="AK196" s="107" t="s">
        <v>389</v>
      </c>
      <c r="AL196" s="118"/>
      <c r="AN196" s="107"/>
      <c r="AO196" s="307"/>
    </row>
    <row r="197" spans="1:41" x14ac:dyDescent="0.25">
      <c r="A197">
        <v>5</v>
      </c>
      <c r="B197" s="107" t="s">
        <v>390</v>
      </c>
      <c r="C197" s="113">
        <f t="shared" si="97"/>
        <v>0</v>
      </c>
      <c r="D197" s="113">
        <f t="shared" si="97"/>
        <v>6935.980950000001</v>
      </c>
      <c r="E197" s="113">
        <f t="shared" si="97"/>
        <v>6532.0842000000002</v>
      </c>
      <c r="F197" s="116">
        <f t="shared" si="101"/>
        <v>13468.065150000002</v>
      </c>
      <c r="G197" s="300"/>
      <c r="H197" s="300"/>
      <c r="I197" s="300"/>
      <c r="J197" s="115"/>
      <c r="K197">
        <v>5</v>
      </c>
      <c r="L197" s="107" t="s">
        <v>390</v>
      </c>
      <c r="M197" s="113">
        <f t="shared" si="98"/>
        <v>0</v>
      </c>
      <c r="N197" s="113">
        <f t="shared" si="98"/>
        <v>6935.980950000001</v>
      </c>
      <c r="O197" s="113">
        <f t="shared" si="98"/>
        <v>6532.0842000000002</v>
      </c>
      <c r="P197" s="116">
        <f t="shared" si="102"/>
        <v>13468.065150000002</v>
      </c>
      <c r="Q197" s="115"/>
      <c r="R197">
        <v>5</v>
      </c>
      <c r="S197" s="107" t="s">
        <v>390</v>
      </c>
      <c r="T197" s="113">
        <f t="shared" si="99"/>
        <v>0</v>
      </c>
      <c r="U197" s="113">
        <f t="shared" si="99"/>
        <v>-181.24999918444553</v>
      </c>
      <c r="V197" s="113">
        <f t="shared" si="99"/>
        <v>784.00430101466497</v>
      </c>
      <c r="W197" s="116">
        <f t="shared" si="103"/>
        <v>602.75430183021945</v>
      </c>
      <c r="X197" s="115"/>
      <c r="Y197" s="115"/>
      <c r="Z197" s="115"/>
      <c r="AA197" s="107" t="s">
        <v>390</v>
      </c>
      <c r="AB197" s="113">
        <f t="shared" si="100"/>
        <v>255</v>
      </c>
      <c r="AC197" s="113">
        <f t="shared" si="100"/>
        <v>1150</v>
      </c>
      <c r="AD197" s="113">
        <f t="shared" si="100"/>
        <v>950</v>
      </c>
      <c r="AE197" s="116">
        <f t="shared" si="104"/>
        <v>2355</v>
      </c>
      <c r="AG197" s="115"/>
      <c r="AH197" s="107" t="s">
        <v>390</v>
      </c>
      <c r="AI197" s="307">
        <f>IFERROR(IF(#REF!&gt;0,LN(#REF!/#REF!),0),0)</f>
        <v>0</v>
      </c>
      <c r="AK197" s="107" t="s">
        <v>390</v>
      </c>
      <c r="AL197" s="118"/>
      <c r="AN197" s="107" t="s">
        <v>577</v>
      </c>
      <c r="AO197" s="307"/>
    </row>
    <row r="198" spans="1:41" x14ac:dyDescent="0.25">
      <c r="A198">
        <v>6</v>
      </c>
      <c r="B198" s="107" t="s">
        <v>391</v>
      </c>
      <c r="C198" s="113">
        <f t="shared" si="97"/>
        <v>0</v>
      </c>
      <c r="D198" s="113">
        <f t="shared" si="97"/>
        <v>455.69385999999997</v>
      </c>
      <c r="E198" s="113">
        <f t="shared" si="97"/>
        <v>71.084429999999998</v>
      </c>
      <c r="F198" s="116">
        <f t="shared" si="101"/>
        <v>526.77828999999997</v>
      </c>
      <c r="G198" s="300"/>
      <c r="H198" s="300"/>
      <c r="I198" s="300"/>
      <c r="J198" s="115"/>
      <c r="K198">
        <v>6</v>
      </c>
      <c r="L198" s="107" t="s">
        <v>391</v>
      </c>
      <c r="M198" s="113">
        <f t="shared" si="98"/>
        <v>0</v>
      </c>
      <c r="N198" s="113">
        <f t="shared" si="98"/>
        <v>455.69385999999997</v>
      </c>
      <c r="O198" s="113">
        <f t="shared" si="98"/>
        <v>71.084429999999998</v>
      </c>
      <c r="P198" s="116">
        <f t="shared" si="102"/>
        <v>526.77828999999997</v>
      </c>
      <c r="Q198" s="115"/>
      <c r="R198">
        <v>6</v>
      </c>
      <c r="S198" s="107" t="s">
        <v>391</v>
      </c>
      <c r="T198" s="113">
        <f t="shared" si="99"/>
        <v>0</v>
      </c>
      <c r="U198" s="113">
        <f t="shared" si="99"/>
        <v>-34.876888590813159</v>
      </c>
      <c r="V198" s="113">
        <f t="shared" si="99"/>
        <v>11.813268618330669</v>
      </c>
      <c r="W198" s="116">
        <f t="shared" si="103"/>
        <v>-23.063619972482492</v>
      </c>
      <c r="X198" s="115"/>
      <c r="Y198" s="115"/>
      <c r="Z198" s="115"/>
      <c r="AA198" s="107" t="s">
        <v>391</v>
      </c>
      <c r="AB198" s="113">
        <f t="shared" si="100"/>
        <v>0</v>
      </c>
      <c r="AC198" s="113">
        <f t="shared" si="100"/>
        <v>50</v>
      </c>
      <c r="AD198" s="113">
        <f t="shared" si="100"/>
        <v>120</v>
      </c>
      <c r="AE198" s="116">
        <f t="shared" si="104"/>
        <v>170</v>
      </c>
      <c r="AG198" s="115"/>
      <c r="AH198" s="107" t="s">
        <v>391</v>
      </c>
      <c r="AI198" s="307">
        <f>IFERROR(IF(#REF!&gt;0,LN(#REF!/#REF!),0),0)</f>
        <v>0</v>
      </c>
      <c r="AK198" s="107" t="s">
        <v>391</v>
      </c>
      <c r="AL198" s="118"/>
      <c r="AN198" s="107"/>
      <c r="AO198" s="307"/>
    </row>
    <row r="199" spans="1:41" x14ac:dyDescent="0.25">
      <c r="A199">
        <v>7</v>
      </c>
      <c r="B199" s="107" t="s">
        <v>392</v>
      </c>
      <c r="C199" s="113">
        <f t="shared" si="97"/>
        <v>10067.759260000001</v>
      </c>
      <c r="D199" s="113">
        <f t="shared" si="97"/>
        <v>9632.2936800000007</v>
      </c>
      <c r="E199" s="113">
        <f t="shared" si="97"/>
        <v>6711.8118099999992</v>
      </c>
      <c r="F199" s="116">
        <f t="shared" si="101"/>
        <v>26411.864750000001</v>
      </c>
      <c r="G199" s="300"/>
      <c r="H199" s="300"/>
      <c r="I199" s="300"/>
      <c r="J199" s="115"/>
      <c r="K199">
        <v>7</v>
      </c>
      <c r="L199" s="107" t="s">
        <v>392</v>
      </c>
      <c r="M199" s="113">
        <f t="shared" si="98"/>
        <v>10067.759260000001</v>
      </c>
      <c r="N199" s="113">
        <f t="shared" si="98"/>
        <v>9632.2936800000007</v>
      </c>
      <c r="O199" s="113">
        <f t="shared" si="98"/>
        <v>6711.8118099999992</v>
      </c>
      <c r="P199" s="116">
        <f t="shared" si="102"/>
        <v>26411.864750000001</v>
      </c>
      <c r="Q199" s="115"/>
      <c r="R199">
        <v>7</v>
      </c>
      <c r="S199" s="107" t="s">
        <v>392</v>
      </c>
      <c r="T199" s="113">
        <f t="shared" si="99"/>
        <v>-4254.5720668507993</v>
      </c>
      <c r="U199" s="113">
        <f t="shared" si="99"/>
        <v>698.3090149241682</v>
      </c>
      <c r="V199" s="113">
        <f t="shared" si="99"/>
        <v>1117.297157137373</v>
      </c>
      <c r="W199" s="116">
        <f t="shared" si="103"/>
        <v>-2438.9658947892585</v>
      </c>
      <c r="X199" s="115"/>
      <c r="Y199" s="115"/>
      <c r="Z199" s="115"/>
      <c r="AA199" s="107" t="s">
        <v>392</v>
      </c>
      <c r="AB199" s="113">
        <f t="shared" si="100"/>
        <v>2045</v>
      </c>
      <c r="AC199" s="113">
        <f t="shared" si="100"/>
        <v>2595</v>
      </c>
      <c r="AD199" s="113">
        <f t="shared" si="100"/>
        <v>1010</v>
      </c>
      <c r="AE199" s="116">
        <f t="shared" si="104"/>
        <v>5650</v>
      </c>
      <c r="AG199" s="115"/>
      <c r="AH199" s="107" t="s">
        <v>392</v>
      </c>
      <c r="AI199" s="307">
        <f>IFERROR(IF(#REF!&gt;0,LN(#REF!/#REF!),0),0)</f>
        <v>0</v>
      </c>
      <c r="AK199" s="107" t="s">
        <v>392</v>
      </c>
      <c r="AL199" s="118"/>
      <c r="AN199" s="107" t="s">
        <v>392</v>
      </c>
      <c r="AO199" s="307"/>
    </row>
    <row r="200" spans="1:41" x14ac:dyDescent="0.25">
      <c r="A200">
        <v>8</v>
      </c>
      <c r="B200" s="107" t="s">
        <v>393</v>
      </c>
      <c r="C200" s="113">
        <f t="shared" si="97"/>
        <v>1978.3338100000001</v>
      </c>
      <c r="D200" s="113">
        <f t="shared" si="97"/>
        <v>3710.8121899999996</v>
      </c>
      <c r="E200" s="113">
        <f t="shared" si="97"/>
        <v>1069.3681099999999</v>
      </c>
      <c r="F200" s="116">
        <f t="shared" si="101"/>
        <v>6758.5141100000001</v>
      </c>
      <c r="G200" s="300"/>
      <c r="H200" s="300"/>
      <c r="I200" s="300"/>
      <c r="J200" s="115"/>
      <c r="K200">
        <v>8</v>
      </c>
      <c r="L200" s="107" t="s">
        <v>393</v>
      </c>
      <c r="M200" s="113">
        <f t="shared" si="98"/>
        <v>1978.3338100000001</v>
      </c>
      <c r="N200" s="113">
        <f t="shared" si="98"/>
        <v>3710.8121899999996</v>
      </c>
      <c r="O200" s="113">
        <f t="shared" si="98"/>
        <v>1069.3681099999999</v>
      </c>
      <c r="P200" s="116">
        <f t="shared" si="102"/>
        <v>6758.5141100000001</v>
      </c>
      <c r="Q200" s="115"/>
      <c r="R200">
        <v>8</v>
      </c>
      <c r="S200" s="107" t="s">
        <v>393</v>
      </c>
      <c r="T200" s="113">
        <f t="shared" si="99"/>
        <v>-984.96933979320693</v>
      </c>
      <c r="U200" s="113">
        <f t="shared" si="99"/>
        <v>-6.0443403729802867</v>
      </c>
      <c r="V200" s="113">
        <f t="shared" si="99"/>
        <v>208.18598167009102</v>
      </c>
      <c r="W200" s="116">
        <f t="shared" si="103"/>
        <v>-782.82769849609622</v>
      </c>
      <c r="X200" s="115"/>
      <c r="Y200" s="115"/>
      <c r="Z200" s="115"/>
      <c r="AA200" s="107" t="s">
        <v>393</v>
      </c>
      <c r="AB200" s="113">
        <f t="shared" si="100"/>
        <v>1850</v>
      </c>
      <c r="AC200" s="113">
        <f t="shared" si="100"/>
        <v>1425</v>
      </c>
      <c r="AD200" s="113">
        <f t="shared" si="100"/>
        <v>675</v>
      </c>
      <c r="AE200" s="116">
        <f t="shared" si="104"/>
        <v>3950</v>
      </c>
      <c r="AG200" s="115"/>
      <c r="AH200" s="107" t="s">
        <v>393</v>
      </c>
      <c r="AI200" s="307">
        <f>IFERROR(IF(#REF!&gt;0,LN(#REF!/#REF!),0),0)</f>
        <v>0</v>
      </c>
      <c r="AK200" s="107" t="s">
        <v>393</v>
      </c>
      <c r="AL200" s="118"/>
      <c r="AN200" s="107" t="s">
        <v>393</v>
      </c>
      <c r="AO200" s="307"/>
    </row>
    <row r="201" spans="1:41" x14ac:dyDescent="0.25">
      <c r="A201">
        <v>10</v>
      </c>
      <c r="B201" s="107" t="s">
        <v>395</v>
      </c>
      <c r="C201" s="113">
        <f t="shared" si="97"/>
        <v>7464.3053699999991</v>
      </c>
      <c r="D201" s="113">
        <f t="shared" si="97"/>
        <v>6947.1996799999997</v>
      </c>
      <c r="E201" s="113">
        <f t="shared" si="97"/>
        <v>3395.5175799999997</v>
      </c>
      <c r="F201" s="116">
        <f t="shared" si="101"/>
        <v>17807.022629999999</v>
      </c>
      <c r="G201" s="300"/>
      <c r="H201" s="300"/>
      <c r="I201" s="300"/>
      <c r="J201" s="115"/>
      <c r="K201">
        <v>10</v>
      </c>
      <c r="L201" s="107" t="s">
        <v>395</v>
      </c>
      <c r="M201" s="113">
        <f t="shared" si="98"/>
        <v>15691.941320663393</v>
      </c>
      <c r="N201" s="113">
        <f t="shared" si="98"/>
        <v>14604.848585058828</v>
      </c>
      <c r="O201" s="113">
        <f t="shared" si="98"/>
        <v>7138.2747593351705</v>
      </c>
      <c r="P201" s="116">
        <f t="shared" si="102"/>
        <v>37435.064665057391</v>
      </c>
      <c r="Q201" s="115"/>
      <c r="R201">
        <v>10</v>
      </c>
      <c r="S201" s="107" t="s">
        <v>395</v>
      </c>
      <c r="T201" s="113">
        <f t="shared" si="99"/>
        <v>15691.941320663393</v>
      </c>
      <c r="U201" s="113">
        <f t="shared" si="99"/>
        <v>14604.848585058828</v>
      </c>
      <c r="V201" s="113">
        <f t="shared" si="99"/>
        <v>7138.2747593351705</v>
      </c>
      <c r="W201" s="116">
        <f t="shared" si="103"/>
        <v>37435.064665057391</v>
      </c>
      <c r="X201" s="115"/>
      <c r="Y201" s="115"/>
      <c r="Z201" s="115"/>
      <c r="AA201" s="107" t="s">
        <v>546</v>
      </c>
      <c r="AB201" s="113">
        <f t="shared" si="100"/>
        <v>4275</v>
      </c>
      <c r="AC201" s="113">
        <f t="shared" si="100"/>
        <v>1735</v>
      </c>
      <c r="AD201" s="113">
        <f t="shared" si="100"/>
        <v>880</v>
      </c>
      <c r="AE201" s="116">
        <f t="shared" si="104"/>
        <v>6890</v>
      </c>
      <c r="AG201" s="115"/>
      <c r="AH201" s="107" t="s">
        <v>395</v>
      </c>
      <c r="AI201" s="307">
        <f>IFERROR(IF(#REF!&gt;0,LN(#REF!/#REF!),0),0)</f>
        <v>0</v>
      </c>
      <c r="AK201" s="107" t="s">
        <v>395</v>
      </c>
      <c r="AL201" s="118"/>
      <c r="AN201" s="107" t="s">
        <v>395</v>
      </c>
      <c r="AO201" s="307">
        <f>AL201+$AO$1*AI201</f>
        <v>0</v>
      </c>
    </row>
    <row r="202" spans="1:41" x14ac:dyDescent="0.25">
      <c r="A202">
        <v>11</v>
      </c>
      <c r="B202" s="107" t="s">
        <v>396</v>
      </c>
      <c r="C202" s="113">
        <f t="shared" si="97"/>
        <v>71.817570000000003</v>
      </c>
      <c r="D202" s="113">
        <f t="shared" si="97"/>
        <v>971.40917999999999</v>
      </c>
      <c r="E202" s="113">
        <f t="shared" si="97"/>
        <v>1716.53006</v>
      </c>
      <c r="F202" s="116">
        <f t="shared" si="101"/>
        <v>2759.7568099999999</v>
      </c>
      <c r="G202" s="300"/>
      <c r="H202" s="300"/>
      <c r="I202" s="300"/>
      <c r="J202" s="115"/>
      <c r="K202">
        <v>11</v>
      </c>
      <c r="L202" s="107" t="s">
        <v>396</v>
      </c>
      <c r="M202" s="113">
        <f t="shared" si="98"/>
        <v>60.424592173403269</v>
      </c>
      <c r="N202" s="113">
        <f t="shared" si="98"/>
        <v>817.30701184960822</v>
      </c>
      <c r="O202" s="113">
        <f t="shared" si="98"/>
        <v>1444.2235908133266</v>
      </c>
      <c r="P202" s="116">
        <f t="shared" si="102"/>
        <v>2321.9551948363383</v>
      </c>
      <c r="Q202" s="115"/>
      <c r="R202">
        <v>11</v>
      </c>
      <c r="S202" s="107" t="s">
        <v>396</v>
      </c>
      <c r="T202" s="113">
        <f t="shared" si="99"/>
        <v>60.424592173403269</v>
      </c>
      <c r="U202" s="113">
        <f t="shared" si="99"/>
        <v>817.30701184960822</v>
      </c>
      <c r="V202" s="113">
        <f t="shared" si="99"/>
        <v>1444.2235908133266</v>
      </c>
      <c r="W202" s="116">
        <f t="shared" si="103"/>
        <v>2321.9551948363383</v>
      </c>
      <c r="X202" s="115"/>
      <c r="Y202" s="115"/>
      <c r="Z202" s="115"/>
      <c r="AA202" s="107" t="s">
        <v>559</v>
      </c>
      <c r="AB202" s="113">
        <f t="shared" si="100"/>
        <v>60</v>
      </c>
      <c r="AC202" s="113">
        <f t="shared" si="100"/>
        <v>15</v>
      </c>
      <c r="AD202" s="113">
        <f t="shared" si="100"/>
        <v>45</v>
      </c>
      <c r="AE202" s="116">
        <f t="shared" si="104"/>
        <v>120</v>
      </c>
      <c r="AG202" s="115"/>
      <c r="AH202" s="107" t="s">
        <v>396</v>
      </c>
      <c r="AI202" s="307">
        <f>IFERROR(IF(#REF!&gt;0,LN(#REF!/#REF!),0),0)</f>
        <v>0</v>
      </c>
      <c r="AK202" s="107" t="s">
        <v>396</v>
      </c>
      <c r="AL202" s="118"/>
      <c r="AN202" s="107" t="s">
        <v>396</v>
      </c>
      <c r="AO202" s="307">
        <f>AL202+$AO$1*AI202</f>
        <v>0</v>
      </c>
    </row>
    <row r="203" spans="1:41" x14ac:dyDescent="0.25">
      <c r="A203">
        <v>12</v>
      </c>
      <c r="B203" s="107" t="s">
        <v>397</v>
      </c>
      <c r="C203" s="113">
        <f t="shared" si="97"/>
        <v>0</v>
      </c>
      <c r="D203" s="113">
        <f t="shared" si="97"/>
        <v>778.91989000000001</v>
      </c>
      <c r="E203" s="113">
        <f t="shared" si="97"/>
        <v>1894.3579</v>
      </c>
      <c r="F203" s="116">
        <f t="shared" si="101"/>
        <v>2673.2777900000001</v>
      </c>
      <c r="G203" s="300"/>
      <c r="H203" s="300"/>
      <c r="I203" s="300"/>
      <c r="J203" s="115"/>
      <c r="K203">
        <v>12</v>
      </c>
      <c r="L203" s="107" t="s">
        <v>397</v>
      </c>
      <c r="M203" s="113">
        <f t="shared" si="98"/>
        <v>0</v>
      </c>
      <c r="N203" s="113">
        <f t="shared" si="98"/>
        <v>577.88054319745549</v>
      </c>
      <c r="O203" s="113">
        <f t="shared" si="98"/>
        <v>1405.4238263993889</v>
      </c>
      <c r="P203" s="116">
        <f t="shared" si="102"/>
        <v>1983.3043695968445</v>
      </c>
      <c r="Q203" s="115"/>
      <c r="R203">
        <v>12</v>
      </c>
      <c r="S203" s="107" t="s">
        <v>397</v>
      </c>
      <c r="T203" s="113">
        <f t="shared" si="99"/>
        <v>0</v>
      </c>
      <c r="U203" s="113">
        <f t="shared" si="99"/>
        <v>577.88054319745549</v>
      </c>
      <c r="V203" s="113">
        <f t="shared" si="99"/>
        <v>1405.4238263993889</v>
      </c>
      <c r="W203" s="116">
        <f t="shared" si="103"/>
        <v>1983.3043695968445</v>
      </c>
      <c r="X203" s="115"/>
      <c r="Y203" s="115"/>
      <c r="Z203" s="115"/>
      <c r="AA203" s="107" t="s">
        <v>560</v>
      </c>
      <c r="AB203" s="113">
        <f t="shared" si="100"/>
        <v>0</v>
      </c>
      <c r="AC203" s="113">
        <f t="shared" si="100"/>
        <v>0</v>
      </c>
      <c r="AD203" s="113">
        <f t="shared" si="100"/>
        <v>0</v>
      </c>
      <c r="AE203" s="116">
        <f t="shared" si="104"/>
        <v>0</v>
      </c>
      <c r="AG203" s="115"/>
      <c r="AH203" s="107" t="s">
        <v>397</v>
      </c>
      <c r="AI203" s="307">
        <f>IFERROR(IF(#REF!&gt;0,LN(#REF!/#REF!),0),0)</f>
        <v>0</v>
      </c>
      <c r="AK203" s="107" t="s">
        <v>397</v>
      </c>
      <c r="AL203" s="118"/>
      <c r="AN203" s="107" t="s">
        <v>397</v>
      </c>
      <c r="AO203" s="307">
        <f>AL203+$AO$1*AI203</f>
        <v>0</v>
      </c>
    </row>
    <row r="204" spans="1:41" x14ac:dyDescent="0.25">
      <c r="A204">
        <v>13</v>
      </c>
      <c r="B204" s="107" t="s">
        <v>398</v>
      </c>
      <c r="C204" s="113">
        <f t="shared" si="97"/>
        <v>48.357559999999999</v>
      </c>
      <c r="D204" s="113">
        <f t="shared" si="97"/>
        <v>154.25391999999999</v>
      </c>
      <c r="E204" s="113">
        <f t="shared" si="97"/>
        <v>1365.2720000000002</v>
      </c>
      <c r="F204" s="116">
        <f t="shared" si="101"/>
        <v>1567.8834800000002</v>
      </c>
      <c r="G204" s="300"/>
      <c r="H204" s="300"/>
      <c r="I204" s="300"/>
      <c r="J204" s="115"/>
      <c r="K204">
        <v>13</v>
      </c>
      <c r="L204" s="107" t="s">
        <v>398</v>
      </c>
      <c r="M204" s="113">
        <f t="shared" si="98"/>
        <v>48.357559999999999</v>
      </c>
      <c r="N204" s="113">
        <f t="shared" si="98"/>
        <v>154.25391999999999</v>
      </c>
      <c r="O204" s="113">
        <f t="shared" si="98"/>
        <v>1365.2720000000002</v>
      </c>
      <c r="P204" s="116">
        <f t="shared" si="102"/>
        <v>1567.8834800000002</v>
      </c>
      <c r="Q204" s="115"/>
      <c r="R204">
        <v>13</v>
      </c>
      <c r="S204" s="107" t="s">
        <v>398</v>
      </c>
      <c r="T204" s="113">
        <f t="shared" si="99"/>
        <v>-24.076176480656919</v>
      </c>
      <c r="U204" s="113">
        <f t="shared" si="99"/>
        <v>-3.8556097075619089</v>
      </c>
      <c r="V204" s="113">
        <f t="shared" si="99"/>
        <v>248.94671788478126</v>
      </c>
      <c r="W204" s="116">
        <f t="shared" si="103"/>
        <v>221.01493169656243</v>
      </c>
      <c r="X204" s="115"/>
      <c r="Y204" s="115"/>
      <c r="Z204" s="115"/>
      <c r="AA204" s="107" t="s">
        <v>398</v>
      </c>
      <c r="AB204" s="113">
        <f t="shared" si="100"/>
        <v>340</v>
      </c>
      <c r="AC204" s="113">
        <f t="shared" si="100"/>
        <v>135</v>
      </c>
      <c r="AD204" s="113">
        <f t="shared" si="100"/>
        <v>140</v>
      </c>
      <c r="AE204" s="116">
        <f t="shared" si="104"/>
        <v>615</v>
      </c>
      <c r="AG204" s="115"/>
      <c r="AH204" s="107" t="s">
        <v>398</v>
      </c>
      <c r="AI204" s="307">
        <f>IFERROR(IF(#REF!&gt;0,LN(#REF!/#REF!),0),0)</f>
        <v>0</v>
      </c>
      <c r="AK204" s="107" t="s">
        <v>398</v>
      </c>
      <c r="AL204" s="118"/>
      <c r="AN204" s="107" t="s">
        <v>398</v>
      </c>
      <c r="AO204" s="307"/>
    </row>
    <row r="205" spans="1:41" x14ac:dyDescent="0.25">
      <c r="A205">
        <v>14</v>
      </c>
      <c r="B205" s="107" t="s">
        <v>399</v>
      </c>
      <c r="C205" s="113">
        <f t="shared" si="97"/>
        <v>0</v>
      </c>
      <c r="D205" s="113">
        <f t="shared" si="97"/>
        <v>0</v>
      </c>
      <c r="E205" s="113">
        <f t="shared" si="97"/>
        <v>0</v>
      </c>
      <c r="F205" s="116">
        <f t="shared" si="101"/>
        <v>0</v>
      </c>
      <c r="G205" s="300"/>
      <c r="H205" s="300"/>
      <c r="I205" s="300"/>
      <c r="J205" s="115"/>
      <c r="K205">
        <v>14</v>
      </c>
      <c r="L205" s="107" t="s">
        <v>399</v>
      </c>
      <c r="M205" s="113">
        <f t="shared" si="98"/>
        <v>0</v>
      </c>
      <c r="N205" s="113">
        <f t="shared" si="98"/>
        <v>0</v>
      </c>
      <c r="O205" s="113">
        <f t="shared" si="98"/>
        <v>0</v>
      </c>
      <c r="P205" s="116">
        <f t="shared" si="102"/>
        <v>0</v>
      </c>
      <c r="Q205" s="115"/>
      <c r="R205">
        <v>14</v>
      </c>
      <c r="S205" s="107" t="s">
        <v>399</v>
      </c>
      <c r="T205" s="113">
        <f t="shared" si="99"/>
        <v>0</v>
      </c>
      <c r="U205" s="113">
        <f t="shared" si="99"/>
        <v>0</v>
      </c>
      <c r="V205" s="113">
        <f t="shared" si="99"/>
        <v>0</v>
      </c>
      <c r="W205" s="116">
        <f t="shared" si="103"/>
        <v>0</v>
      </c>
      <c r="X205" s="115"/>
      <c r="Y205" s="115"/>
      <c r="Z205" s="115"/>
      <c r="AA205" s="107" t="s">
        <v>399</v>
      </c>
      <c r="AB205" s="113">
        <f t="shared" si="100"/>
        <v>0</v>
      </c>
      <c r="AC205" s="113">
        <f t="shared" si="100"/>
        <v>0</v>
      </c>
      <c r="AD205" s="113">
        <f t="shared" si="100"/>
        <v>0</v>
      </c>
      <c r="AE205" s="116">
        <f t="shared" si="104"/>
        <v>0</v>
      </c>
      <c r="AG205" s="115"/>
      <c r="AH205" s="107" t="s">
        <v>399</v>
      </c>
      <c r="AI205" s="307">
        <f>IFERROR(IF(#REF!&gt;0,LN(#REF!/#REF!),0),0)</f>
        <v>0</v>
      </c>
      <c r="AK205" s="107" t="s">
        <v>399</v>
      </c>
      <c r="AL205" s="118"/>
      <c r="AN205" s="107" t="s">
        <v>399</v>
      </c>
      <c r="AO205" s="307"/>
    </row>
    <row r="206" spans="1:41" ht="15.75" thickBot="1" x14ac:dyDescent="0.3">
      <c r="B206" s="108" t="s">
        <v>29</v>
      </c>
      <c r="C206" s="109">
        <f>SUM(C193:C205)</f>
        <v>21164.579839999999</v>
      </c>
      <c r="D206" s="110">
        <f>SUM(D193:D205)</f>
        <v>41655.463620000002</v>
      </c>
      <c r="E206" s="111">
        <f>SUM(E193:E205)</f>
        <v>44431.241129999995</v>
      </c>
      <c r="F206" s="112">
        <f>SUM(F193:F205)</f>
        <v>107251.28459000004</v>
      </c>
      <c r="G206" s="301"/>
      <c r="H206" s="301"/>
      <c r="I206" s="301"/>
      <c r="L206" s="108" t="s">
        <v>29</v>
      </c>
      <c r="M206" s="109">
        <f>SUM(M193:M205)</f>
        <v>29380.822812836795</v>
      </c>
      <c r="N206" s="110">
        <f>SUM(N193:N205)</f>
        <v>48957.971010105895</v>
      </c>
      <c r="O206" s="111">
        <f>SUM(O193:O205)</f>
        <v>47412.757766547889</v>
      </c>
      <c r="P206" s="112">
        <f>SUM(P193:P205)</f>
        <v>125751.5515894906</v>
      </c>
      <c r="S206" s="108" t="s">
        <v>29</v>
      </c>
      <c r="T206" s="109">
        <f>SUM(T193:T205)</f>
        <v>9725</v>
      </c>
      <c r="U206" s="110">
        <f>SUM(U193:U205)</f>
        <v>17029.999999999996</v>
      </c>
      <c r="V206" s="111">
        <f>SUM(V193:V205)</f>
        <v>16225</v>
      </c>
      <c r="W206" s="112">
        <f>SUM(W193:W205)</f>
        <v>42980</v>
      </c>
      <c r="AA206" s="108" t="s">
        <v>29</v>
      </c>
      <c r="AB206" s="109">
        <f>SUM(AB193:AB205)</f>
        <v>9725</v>
      </c>
      <c r="AC206" s="110">
        <f>SUM(AC193:AC205)</f>
        <v>17030</v>
      </c>
      <c r="AD206" s="111">
        <f>SUM(AD193:AD205)</f>
        <v>16225</v>
      </c>
      <c r="AE206" s="112">
        <f>SUM(AE193:AE205)</f>
        <v>42980</v>
      </c>
      <c r="AH206" s="108" t="s">
        <v>29</v>
      </c>
      <c r="AI206" s="118"/>
      <c r="AK206" s="108" t="s">
        <v>29</v>
      </c>
      <c r="AL206" s="118"/>
      <c r="AN206" s="108" t="s">
        <v>29</v>
      </c>
      <c r="AO206" s="118"/>
    </row>
  </sheetData>
  <mergeCells count="14">
    <mergeCell ref="B4:F4"/>
    <mergeCell ref="L4:P4"/>
    <mergeCell ref="S4:W4"/>
    <mergeCell ref="AH3:AI3"/>
    <mergeCell ref="AM1:AN1"/>
    <mergeCell ref="B3:F3"/>
    <mergeCell ref="L3:P3"/>
    <mergeCell ref="S3:W3"/>
    <mergeCell ref="AA3:AE3"/>
    <mergeCell ref="AK3:AL3"/>
    <mergeCell ref="AN3:AO3"/>
    <mergeCell ref="AA4:AE4"/>
    <mergeCell ref="AK4:AL4"/>
    <mergeCell ref="AN4:AO4"/>
  </mergeCells>
  <hyperlinks>
    <hyperlink ref="A1" location="Index!A1" display="Index"/>
    <hyperlink ref="K1" location="Index!A1" display="Index"/>
    <hyperlink ref="R1" location="Index!A1" display="Index"/>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2"/>
  <sheetViews>
    <sheetView workbookViewId="0">
      <selection activeCell="L36" sqref="L36:T49"/>
    </sheetView>
  </sheetViews>
  <sheetFormatPr defaultRowHeight="15" x14ac:dyDescent="0.25"/>
  <sheetData>
    <row r="1" spans="1:33" x14ac:dyDescent="0.25">
      <c r="A1" t="s">
        <v>7</v>
      </c>
      <c r="K1" t="s">
        <v>3</v>
      </c>
    </row>
    <row r="2" spans="1:33" x14ac:dyDescent="0.25">
      <c r="A2" t="s">
        <v>131</v>
      </c>
      <c r="K2" t="s">
        <v>131</v>
      </c>
    </row>
    <row r="3" spans="1:33" x14ac:dyDescent="0.25">
      <c r="B3" t="s">
        <v>55</v>
      </c>
      <c r="C3" t="s">
        <v>56</v>
      </c>
      <c r="D3" t="s">
        <v>115</v>
      </c>
      <c r="E3" t="s">
        <v>116</v>
      </c>
      <c r="F3" t="s">
        <v>117</v>
      </c>
      <c r="G3" t="s">
        <v>118</v>
      </c>
      <c r="H3" t="s">
        <v>119</v>
      </c>
      <c r="I3" t="s">
        <v>120</v>
      </c>
      <c r="J3" t="s">
        <v>121</v>
      </c>
      <c r="L3" t="s">
        <v>55</v>
      </c>
      <c r="M3" t="s">
        <v>56</v>
      </c>
      <c r="N3" t="s">
        <v>115</v>
      </c>
      <c r="O3" t="s">
        <v>116</v>
      </c>
      <c r="P3" t="s">
        <v>117</v>
      </c>
      <c r="Q3" t="s">
        <v>118</v>
      </c>
      <c r="R3" t="s">
        <v>119</v>
      </c>
      <c r="S3" t="s">
        <v>120</v>
      </c>
      <c r="T3" t="s">
        <v>121</v>
      </c>
      <c r="V3" t="s">
        <v>138</v>
      </c>
      <c r="Y3" t="s">
        <v>55</v>
      </c>
      <c r="Z3" t="s">
        <v>56</v>
      </c>
      <c r="AA3" t="s">
        <v>115</v>
      </c>
      <c r="AB3" t="s">
        <v>116</v>
      </c>
      <c r="AC3" t="s">
        <v>117</v>
      </c>
      <c r="AD3" t="s">
        <v>118</v>
      </c>
      <c r="AE3" t="s">
        <v>119</v>
      </c>
      <c r="AF3" t="s">
        <v>120</v>
      </c>
      <c r="AG3" t="s">
        <v>121</v>
      </c>
    </row>
    <row r="4" spans="1:33" x14ac:dyDescent="0.25">
      <c r="A4">
        <v>1</v>
      </c>
      <c r="B4">
        <v>309.8972</v>
      </c>
      <c r="C4">
        <v>0</v>
      </c>
      <c r="D4">
        <v>0</v>
      </c>
      <c r="E4">
        <v>0</v>
      </c>
      <c r="F4">
        <v>1175.90771</v>
      </c>
      <c r="G4">
        <v>966.35058000000004</v>
      </c>
      <c r="H4">
        <v>0</v>
      </c>
      <c r="I4">
        <v>0</v>
      </c>
      <c r="J4">
        <v>0</v>
      </c>
      <c r="K4">
        <v>1</v>
      </c>
      <c r="L4">
        <v>0</v>
      </c>
      <c r="M4">
        <v>0</v>
      </c>
      <c r="N4">
        <v>0</v>
      </c>
      <c r="O4">
        <v>0</v>
      </c>
      <c r="P4">
        <v>0</v>
      </c>
      <c r="Q4">
        <v>0</v>
      </c>
      <c r="R4">
        <v>0</v>
      </c>
      <c r="S4">
        <v>0</v>
      </c>
      <c r="T4">
        <v>0</v>
      </c>
      <c r="V4" t="s">
        <v>55</v>
      </c>
      <c r="X4">
        <v>1</v>
      </c>
      <c r="Y4">
        <v>0</v>
      </c>
      <c r="Z4">
        <v>0</v>
      </c>
      <c r="AA4">
        <v>0</v>
      </c>
      <c r="AB4">
        <v>0</v>
      </c>
      <c r="AC4">
        <v>0</v>
      </c>
      <c r="AD4">
        <v>0</v>
      </c>
      <c r="AE4">
        <v>0</v>
      </c>
      <c r="AF4">
        <v>0</v>
      </c>
      <c r="AG4">
        <v>0</v>
      </c>
    </row>
    <row r="5" spans="1:33" x14ac:dyDescent="0.25">
      <c r="A5">
        <v>2</v>
      </c>
      <c r="B5">
        <v>0</v>
      </c>
      <c r="C5">
        <v>0</v>
      </c>
      <c r="D5">
        <v>0</v>
      </c>
      <c r="E5">
        <v>0</v>
      </c>
      <c r="F5">
        <v>0</v>
      </c>
      <c r="G5">
        <v>0</v>
      </c>
      <c r="H5">
        <v>0</v>
      </c>
      <c r="I5">
        <v>0</v>
      </c>
      <c r="J5">
        <v>0</v>
      </c>
      <c r="K5">
        <v>2</v>
      </c>
      <c r="L5">
        <v>0</v>
      </c>
      <c r="M5">
        <v>0</v>
      </c>
      <c r="N5">
        <v>0</v>
      </c>
      <c r="O5">
        <v>0</v>
      </c>
      <c r="P5">
        <v>0</v>
      </c>
      <c r="Q5">
        <v>0</v>
      </c>
      <c r="R5">
        <v>0</v>
      </c>
      <c r="S5">
        <v>0</v>
      </c>
      <c r="T5">
        <v>0</v>
      </c>
      <c r="V5" t="s">
        <v>56</v>
      </c>
      <c r="X5">
        <v>2</v>
      </c>
      <c r="Y5">
        <v>0</v>
      </c>
      <c r="Z5">
        <v>0</v>
      </c>
      <c r="AA5">
        <v>0</v>
      </c>
      <c r="AB5">
        <v>0</v>
      </c>
      <c r="AC5">
        <v>0</v>
      </c>
      <c r="AD5">
        <v>0</v>
      </c>
      <c r="AE5">
        <v>0</v>
      </c>
      <c r="AF5">
        <v>0</v>
      </c>
      <c r="AG5">
        <v>0</v>
      </c>
    </row>
    <row r="6" spans="1:33" x14ac:dyDescent="0.25">
      <c r="A6">
        <v>3</v>
      </c>
      <c r="B6">
        <v>1589.1507899999999</v>
      </c>
      <c r="C6">
        <v>493.64591999999999</v>
      </c>
      <c r="D6">
        <v>0</v>
      </c>
      <c r="E6">
        <v>1726.00279</v>
      </c>
      <c r="F6">
        <v>3560.3328499999998</v>
      </c>
      <c r="G6">
        <v>1534.0062700000001</v>
      </c>
      <c r="H6">
        <v>0</v>
      </c>
      <c r="I6">
        <v>0</v>
      </c>
      <c r="J6">
        <v>0</v>
      </c>
      <c r="K6">
        <v>3</v>
      </c>
      <c r="L6">
        <v>15</v>
      </c>
      <c r="M6">
        <v>0</v>
      </c>
      <c r="N6">
        <v>7</v>
      </c>
      <c r="O6">
        <v>61</v>
      </c>
      <c r="P6">
        <v>227</v>
      </c>
      <c r="Q6">
        <v>178</v>
      </c>
      <c r="R6">
        <v>2</v>
      </c>
      <c r="S6">
        <v>0</v>
      </c>
      <c r="T6">
        <v>1</v>
      </c>
      <c r="V6" t="s">
        <v>115</v>
      </c>
      <c r="X6">
        <v>3</v>
      </c>
      <c r="Y6">
        <v>0</v>
      </c>
      <c r="Z6">
        <v>0</v>
      </c>
      <c r="AA6">
        <v>0</v>
      </c>
      <c r="AB6">
        <v>0</v>
      </c>
      <c r="AC6">
        <v>0</v>
      </c>
      <c r="AD6">
        <v>0</v>
      </c>
      <c r="AE6">
        <v>0</v>
      </c>
      <c r="AF6">
        <v>0</v>
      </c>
      <c r="AG6">
        <v>0</v>
      </c>
    </row>
    <row r="7" spans="1:33" x14ac:dyDescent="0.25">
      <c r="A7">
        <v>4</v>
      </c>
      <c r="B7">
        <v>0</v>
      </c>
      <c r="C7">
        <v>0</v>
      </c>
      <c r="D7">
        <v>0</v>
      </c>
      <c r="E7">
        <v>0</v>
      </c>
      <c r="F7">
        <v>0</v>
      </c>
      <c r="G7">
        <v>0</v>
      </c>
      <c r="H7">
        <v>0</v>
      </c>
      <c r="I7">
        <v>0</v>
      </c>
      <c r="J7">
        <v>0</v>
      </c>
      <c r="K7">
        <v>4</v>
      </c>
      <c r="L7">
        <v>2</v>
      </c>
      <c r="M7">
        <v>0</v>
      </c>
      <c r="N7">
        <v>0</v>
      </c>
      <c r="O7">
        <v>2</v>
      </c>
      <c r="P7">
        <v>6</v>
      </c>
      <c r="Q7">
        <v>2</v>
      </c>
      <c r="R7">
        <v>0</v>
      </c>
      <c r="S7">
        <v>0</v>
      </c>
      <c r="T7">
        <v>0</v>
      </c>
      <c r="V7" t="s">
        <v>116</v>
      </c>
      <c r="X7">
        <v>4</v>
      </c>
      <c r="Y7">
        <v>15</v>
      </c>
      <c r="Z7">
        <v>0</v>
      </c>
      <c r="AA7">
        <v>7</v>
      </c>
      <c r="AB7">
        <v>61</v>
      </c>
      <c r="AC7">
        <v>227</v>
      </c>
      <c r="AD7">
        <v>178</v>
      </c>
      <c r="AE7">
        <v>2</v>
      </c>
      <c r="AF7">
        <v>0</v>
      </c>
      <c r="AG7">
        <v>1</v>
      </c>
    </row>
    <row r="8" spans="1:33" x14ac:dyDescent="0.25">
      <c r="A8">
        <v>5</v>
      </c>
      <c r="B8">
        <v>14039.885399999999</v>
      </c>
      <c r="C8">
        <v>0</v>
      </c>
      <c r="D8">
        <v>0</v>
      </c>
      <c r="E8">
        <v>0</v>
      </c>
      <c r="F8">
        <v>0</v>
      </c>
      <c r="G8">
        <v>0</v>
      </c>
      <c r="H8">
        <v>0</v>
      </c>
      <c r="I8">
        <v>0</v>
      </c>
      <c r="J8">
        <v>0</v>
      </c>
      <c r="K8">
        <v>5</v>
      </c>
      <c r="L8">
        <v>280</v>
      </c>
      <c r="M8">
        <v>0</v>
      </c>
      <c r="N8">
        <v>16</v>
      </c>
      <c r="O8">
        <v>0</v>
      </c>
      <c r="P8">
        <v>0</v>
      </c>
      <c r="Q8">
        <v>8</v>
      </c>
      <c r="R8">
        <v>40</v>
      </c>
      <c r="S8">
        <v>43</v>
      </c>
      <c r="T8">
        <v>18</v>
      </c>
      <c r="V8" t="s">
        <v>117</v>
      </c>
      <c r="X8">
        <v>5</v>
      </c>
      <c r="Y8">
        <v>2</v>
      </c>
      <c r="Z8">
        <v>0</v>
      </c>
      <c r="AA8">
        <v>0</v>
      </c>
      <c r="AB8">
        <v>2</v>
      </c>
      <c r="AC8">
        <v>6</v>
      </c>
      <c r="AD8">
        <v>2</v>
      </c>
      <c r="AE8">
        <v>0</v>
      </c>
      <c r="AF8">
        <v>0</v>
      </c>
      <c r="AG8">
        <v>0</v>
      </c>
    </row>
    <row r="9" spans="1:33" x14ac:dyDescent="0.25">
      <c r="A9">
        <v>6</v>
      </c>
      <c r="B9">
        <v>0</v>
      </c>
      <c r="C9">
        <v>0</v>
      </c>
      <c r="D9">
        <v>0</v>
      </c>
      <c r="E9">
        <v>0</v>
      </c>
      <c r="F9">
        <v>0</v>
      </c>
      <c r="G9">
        <v>0</v>
      </c>
      <c r="H9">
        <v>0</v>
      </c>
      <c r="I9">
        <v>0</v>
      </c>
      <c r="J9">
        <v>0</v>
      </c>
      <c r="K9">
        <v>6</v>
      </c>
      <c r="L9">
        <v>15</v>
      </c>
      <c r="M9">
        <v>0</v>
      </c>
      <c r="N9">
        <v>0</v>
      </c>
      <c r="O9">
        <v>0</v>
      </c>
      <c r="P9">
        <v>0</v>
      </c>
      <c r="Q9">
        <v>0</v>
      </c>
      <c r="R9">
        <v>0</v>
      </c>
      <c r="S9">
        <v>0</v>
      </c>
      <c r="T9">
        <v>0</v>
      </c>
      <c r="V9" t="s">
        <v>118</v>
      </c>
      <c r="X9">
        <v>6</v>
      </c>
      <c r="Y9">
        <v>280</v>
      </c>
      <c r="Z9">
        <v>0</v>
      </c>
      <c r="AA9">
        <v>16</v>
      </c>
      <c r="AB9">
        <v>0</v>
      </c>
      <c r="AC9">
        <v>0</v>
      </c>
      <c r="AD9">
        <v>8</v>
      </c>
      <c r="AE9">
        <v>40</v>
      </c>
      <c r="AF9">
        <v>43</v>
      </c>
      <c r="AG9">
        <v>18</v>
      </c>
    </row>
    <row r="10" spans="1:33" x14ac:dyDescent="0.25">
      <c r="A10">
        <v>7</v>
      </c>
      <c r="B10">
        <v>7172.3581700000004</v>
      </c>
      <c r="C10">
        <v>493.64591999999999</v>
      </c>
      <c r="D10">
        <v>2874.1065800000001</v>
      </c>
      <c r="E10">
        <v>494.28332999999998</v>
      </c>
      <c r="F10">
        <v>9463.6323900000007</v>
      </c>
      <c r="G10">
        <v>9834.6024600000001</v>
      </c>
      <c r="H10">
        <v>1608.6530399999999</v>
      </c>
      <c r="I10">
        <v>233.1568</v>
      </c>
      <c r="J10">
        <v>12494.84916</v>
      </c>
      <c r="K10">
        <v>7</v>
      </c>
      <c r="L10">
        <v>1287</v>
      </c>
      <c r="M10">
        <v>0</v>
      </c>
      <c r="N10">
        <v>37</v>
      </c>
      <c r="O10">
        <v>290</v>
      </c>
      <c r="P10">
        <v>418</v>
      </c>
      <c r="Q10">
        <v>400</v>
      </c>
      <c r="R10">
        <v>46</v>
      </c>
      <c r="S10">
        <v>9</v>
      </c>
      <c r="T10">
        <v>2086</v>
      </c>
      <c r="V10" t="s">
        <v>119</v>
      </c>
      <c r="X10">
        <v>7</v>
      </c>
      <c r="Y10">
        <v>15</v>
      </c>
      <c r="Z10">
        <v>0</v>
      </c>
      <c r="AA10">
        <v>0</v>
      </c>
      <c r="AB10">
        <v>0</v>
      </c>
      <c r="AC10">
        <v>0</v>
      </c>
      <c r="AD10">
        <v>0</v>
      </c>
      <c r="AE10">
        <v>0</v>
      </c>
      <c r="AF10">
        <v>0</v>
      </c>
      <c r="AG10">
        <v>0</v>
      </c>
    </row>
    <row r="11" spans="1:33" x14ac:dyDescent="0.25">
      <c r="A11">
        <v>8</v>
      </c>
      <c r="B11">
        <v>4798.2022900000002</v>
      </c>
      <c r="C11">
        <v>126.24865</v>
      </c>
      <c r="D11">
        <v>0</v>
      </c>
      <c r="E11">
        <v>493.64591999999999</v>
      </c>
      <c r="F11">
        <v>539.75476000000003</v>
      </c>
      <c r="G11">
        <v>1978.3338100000001</v>
      </c>
      <c r="H11">
        <v>0</v>
      </c>
      <c r="I11">
        <v>0</v>
      </c>
      <c r="J11">
        <v>709.41787999999997</v>
      </c>
      <c r="K11">
        <v>8</v>
      </c>
      <c r="L11">
        <v>933</v>
      </c>
      <c r="M11">
        <v>0</v>
      </c>
      <c r="N11">
        <v>3</v>
      </c>
      <c r="O11">
        <v>53</v>
      </c>
      <c r="P11">
        <v>115</v>
      </c>
      <c r="Q11">
        <v>352</v>
      </c>
      <c r="R11">
        <v>0</v>
      </c>
      <c r="S11">
        <v>18</v>
      </c>
      <c r="T11">
        <v>33</v>
      </c>
      <c r="V11" t="s">
        <v>120</v>
      </c>
      <c r="X11">
        <v>8</v>
      </c>
      <c r="Y11">
        <v>1287</v>
      </c>
      <c r="Z11">
        <v>0</v>
      </c>
      <c r="AA11">
        <v>37</v>
      </c>
      <c r="AB11">
        <v>290</v>
      </c>
      <c r="AC11">
        <v>418</v>
      </c>
      <c r="AD11">
        <v>400</v>
      </c>
      <c r="AE11">
        <v>46</v>
      </c>
      <c r="AF11">
        <v>9</v>
      </c>
      <c r="AG11">
        <v>2086</v>
      </c>
    </row>
    <row r="12" spans="1:33" x14ac:dyDescent="0.25">
      <c r="A12">
        <v>9</v>
      </c>
      <c r="B12">
        <v>30531.876240000001</v>
      </c>
      <c r="C12">
        <v>8976.7449099999994</v>
      </c>
      <c r="D12">
        <v>6138.5675700000002</v>
      </c>
      <c r="E12">
        <v>2020.98894</v>
      </c>
      <c r="F12">
        <v>10587.03318</v>
      </c>
      <c r="G12">
        <v>5721.4758599999996</v>
      </c>
      <c r="H12">
        <v>571.93223999999998</v>
      </c>
      <c r="I12">
        <v>99.006389999999996</v>
      </c>
      <c r="J12">
        <v>165.93109999999999</v>
      </c>
      <c r="K12">
        <v>9</v>
      </c>
      <c r="L12">
        <v>0</v>
      </c>
      <c r="M12">
        <v>0</v>
      </c>
      <c r="N12">
        <v>0</v>
      </c>
      <c r="O12">
        <v>0</v>
      </c>
      <c r="P12">
        <v>0</v>
      </c>
      <c r="Q12">
        <v>0</v>
      </c>
      <c r="R12">
        <v>0</v>
      </c>
      <c r="S12">
        <v>0</v>
      </c>
      <c r="T12">
        <v>0</v>
      </c>
      <c r="V12" t="s">
        <v>121</v>
      </c>
      <c r="X12">
        <v>9</v>
      </c>
      <c r="Y12">
        <v>933</v>
      </c>
      <c r="Z12">
        <v>0</v>
      </c>
      <c r="AA12">
        <v>3</v>
      </c>
      <c r="AB12">
        <v>53</v>
      </c>
      <c r="AC12">
        <v>115</v>
      </c>
      <c r="AD12">
        <v>352</v>
      </c>
      <c r="AE12">
        <v>0</v>
      </c>
      <c r="AF12">
        <v>18</v>
      </c>
      <c r="AG12">
        <v>33</v>
      </c>
    </row>
    <row r="13" spans="1:33" x14ac:dyDescent="0.25">
      <c r="A13">
        <v>10</v>
      </c>
      <c r="B13">
        <v>17312.892930000002</v>
      </c>
      <c r="C13">
        <v>982.42091000000005</v>
      </c>
      <c r="D13">
        <v>0</v>
      </c>
      <c r="E13">
        <v>0</v>
      </c>
      <c r="F13">
        <v>2261.0485399999998</v>
      </c>
      <c r="G13">
        <v>1643.82312</v>
      </c>
      <c r="H13">
        <v>869.59123</v>
      </c>
      <c r="I13">
        <v>0</v>
      </c>
      <c r="J13">
        <v>0</v>
      </c>
      <c r="K13">
        <v>10</v>
      </c>
      <c r="L13">
        <v>6834</v>
      </c>
      <c r="M13">
        <v>1405</v>
      </c>
      <c r="N13">
        <v>116</v>
      </c>
      <c r="O13">
        <v>42</v>
      </c>
      <c r="P13">
        <v>1565</v>
      </c>
      <c r="Q13">
        <v>760</v>
      </c>
      <c r="R13">
        <v>174</v>
      </c>
      <c r="S13">
        <v>95</v>
      </c>
      <c r="T13">
        <v>14</v>
      </c>
      <c r="X13">
        <v>10</v>
      </c>
      <c r="Y13">
        <v>0</v>
      </c>
      <c r="Z13">
        <v>0</v>
      </c>
      <c r="AA13">
        <v>0</v>
      </c>
      <c r="AB13">
        <v>0</v>
      </c>
      <c r="AC13">
        <v>0</v>
      </c>
      <c r="AD13">
        <v>0</v>
      </c>
      <c r="AE13">
        <v>0</v>
      </c>
      <c r="AF13">
        <v>0</v>
      </c>
      <c r="AG13">
        <v>0</v>
      </c>
    </row>
    <row r="14" spans="1:33" x14ac:dyDescent="0.25">
      <c r="A14">
        <v>11</v>
      </c>
      <c r="B14">
        <v>4780.8598400000001</v>
      </c>
      <c r="C14">
        <v>128.11025000000001</v>
      </c>
      <c r="D14">
        <v>0</v>
      </c>
      <c r="E14">
        <v>0</v>
      </c>
      <c r="F14">
        <v>1313.95758</v>
      </c>
      <c r="G14">
        <v>71.817570000000003</v>
      </c>
      <c r="H14">
        <v>0</v>
      </c>
      <c r="I14">
        <v>0</v>
      </c>
      <c r="J14">
        <v>0</v>
      </c>
      <c r="K14">
        <v>11</v>
      </c>
      <c r="L14">
        <v>184</v>
      </c>
      <c r="M14">
        <v>2</v>
      </c>
      <c r="N14">
        <v>0</v>
      </c>
      <c r="O14">
        <v>0</v>
      </c>
      <c r="P14">
        <v>61</v>
      </c>
      <c r="Q14">
        <v>11</v>
      </c>
      <c r="R14">
        <v>12</v>
      </c>
      <c r="S14">
        <v>1</v>
      </c>
      <c r="T14">
        <v>0</v>
      </c>
      <c r="X14">
        <v>11</v>
      </c>
      <c r="Y14">
        <v>6834</v>
      </c>
      <c r="Z14">
        <v>1405</v>
      </c>
      <c r="AA14">
        <v>116</v>
      </c>
      <c r="AB14">
        <v>42</v>
      </c>
      <c r="AC14">
        <v>1565</v>
      </c>
      <c r="AD14">
        <v>760</v>
      </c>
      <c r="AE14">
        <v>174</v>
      </c>
      <c r="AF14">
        <v>95</v>
      </c>
      <c r="AG14">
        <v>14</v>
      </c>
    </row>
    <row r="15" spans="1:33" x14ac:dyDescent="0.25">
      <c r="A15">
        <v>12</v>
      </c>
      <c r="B15">
        <v>1836.42749</v>
      </c>
      <c r="C15">
        <v>0</v>
      </c>
      <c r="D15">
        <v>0</v>
      </c>
      <c r="E15">
        <v>0</v>
      </c>
      <c r="F15">
        <v>0</v>
      </c>
      <c r="G15">
        <v>0</v>
      </c>
      <c r="H15">
        <v>0</v>
      </c>
      <c r="I15">
        <v>0</v>
      </c>
      <c r="J15">
        <v>0</v>
      </c>
      <c r="K15">
        <v>12</v>
      </c>
      <c r="L15">
        <v>0</v>
      </c>
      <c r="M15">
        <v>0</v>
      </c>
      <c r="N15">
        <v>0</v>
      </c>
      <c r="O15">
        <v>0</v>
      </c>
      <c r="P15">
        <v>0</v>
      </c>
      <c r="Q15">
        <v>0</v>
      </c>
      <c r="R15">
        <v>0</v>
      </c>
      <c r="S15">
        <v>0</v>
      </c>
      <c r="T15">
        <v>0</v>
      </c>
      <c r="X15">
        <v>12</v>
      </c>
      <c r="Y15">
        <v>184</v>
      </c>
      <c r="Z15">
        <v>2</v>
      </c>
      <c r="AA15">
        <v>0</v>
      </c>
      <c r="AB15">
        <v>0</v>
      </c>
      <c r="AC15">
        <v>61</v>
      </c>
      <c r="AD15">
        <v>11</v>
      </c>
      <c r="AE15">
        <v>12</v>
      </c>
      <c r="AF15">
        <v>1</v>
      </c>
      <c r="AG15">
        <v>0</v>
      </c>
    </row>
    <row r="16" spans="1:33" x14ac:dyDescent="0.25">
      <c r="A16">
        <v>13</v>
      </c>
      <c r="B16">
        <v>768.38851999999997</v>
      </c>
      <c r="C16">
        <v>0</v>
      </c>
      <c r="D16">
        <v>0</v>
      </c>
      <c r="E16">
        <v>0</v>
      </c>
      <c r="F16">
        <v>433.14062000000001</v>
      </c>
      <c r="G16">
        <v>48.357559999999999</v>
      </c>
      <c r="H16">
        <v>211.89824999999999</v>
      </c>
      <c r="I16">
        <v>0</v>
      </c>
      <c r="J16">
        <v>503.83353</v>
      </c>
      <c r="K16">
        <v>13</v>
      </c>
      <c r="L16">
        <v>15</v>
      </c>
      <c r="M16">
        <v>9</v>
      </c>
      <c r="N16">
        <v>4</v>
      </c>
      <c r="O16">
        <v>0</v>
      </c>
      <c r="P16">
        <v>83</v>
      </c>
      <c r="Q16">
        <v>64</v>
      </c>
      <c r="R16">
        <v>18</v>
      </c>
      <c r="S16">
        <v>4</v>
      </c>
      <c r="T16">
        <v>4</v>
      </c>
      <c r="X16">
        <v>13</v>
      </c>
      <c r="Y16">
        <v>0</v>
      </c>
      <c r="Z16">
        <v>0</v>
      </c>
      <c r="AA16">
        <v>0</v>
      </c>
      <c r="AB16">
        <v>0</v>
      </c>
      <c r="AC16">
        <v>0</v>
      </c>
      <c r="AD16">
        <v>0</v>
      </c>
      <c r="AE16">
        <v>0</v>
      </c>
      <c r="AF16">
        <v>0</v>
      </c>
      <c r="AG16">
        <v>0</v>
      </c>
    </row>
    <row r="17" spans="1:33" x14ac:dyDescent="0.25">
      <c r="A17">
        <v>14</v>
      </c>
      <c r="B17">
        <v>0</v>
      </c>
      <c r="C17">
        <v>0</v>
      </c>
      <c r="D17">
        <v>0</v>
      </c>
      <c r="E17">
        <v>0</v>
      </c>
      <c r="F17">
        <v>0</v>
      </c>
      <c r="G17">
        <v>494.28332999999998</v>
      </c>
      <c r="H17">
        <v>0</v>
      </c>
      <c r="I17">
        <v>0</v>
      </c>
      <c r="J17">
        <v>0</v>
      </c>
      <c r="K17">
        <v>14</v>
      </c>
      <c r="L17">
        <v>0</v>
      </c>
      <c r="M17">
        <v>0</v>
      </c>
      <c r="N17">
        <v>6</v>
      </c>
      <c r="O17">
        <v>0</v>
      </c>
      <c r="P17">
        <v>0</v>
      </c>
      <c r="Q17">
        <v>0</v>
      </c>
      <c r="R17">
        <v>0</v>
      </c>
      <c r="S17">
        <v>0</v>
      </c>
      <c r="T17">
        <v>0</v>
      </c>
      <c r="X17">
        <v>14</v>
      </c>
      <c r="Y17">
        <v>15</v>
      </c>
      <c r="Z17">
        <v>9</v>
      </c>
      <c r="AA17">
        <v>4</v>
      </c>
      <c r="AB17">
        <v>0</v>
      </c>
      <c r="AC17">
        <v>83</v>
      </c>
      <c r="AD17">
        <v>64</v>
      </c>
      <c r="AE17">
        <v>18</v>
      </c>
      <c r="AF17">
        <v>4</v>
      </c>
      <c r="AG17">
        <v>4</v>
      </c>
    </row>
    <row r="18" spans="1:33" x14ac:dyDescent="0.25">
      <c r="A18" t="s">
        <v>132</v>
      </c>
      <c r="X18">
        <v>15</v>
      </c>
      <c r="Y18">
        <v>0</v>
      </c>
      <c r="Z18">
        <v>0</v>
      </c>
      <c r="AA18">
        <v>6</v>
      </c>
      <c r="AB18">
        <v>0</v>
      </c>
      <c r="AC18">
        <v>0</v>
      </c>
      <c r="AD18">
        <v>0</v>
      </c>
      <c r="AE18">
        <v>0</v>
      </c>
      <c r="AF18">
        <v>0</v>
      </c>
      <c r="AG18">
        <v>0</v>
      </c>
    </row>
    <row r="19" spans="1:33" x14ac:dyDescent="0.25">
      <c r="B19" t="s">
        <v>55</v>
      </c>
      <c r="C19" t="s">
        <v>56</v>
      </c>
      <c r="D19" t="s">
        <v>115</v>
      </c>
      <c r="E19" t="s">
        <v>116</v>
      </c>
      <c r="F19" t="s">
        <v>117</v>
      </c>
      <c r="G19" t="s">
        <v>118</v>
      </c>
      <c r="H19" t="s">
        <v>119</v>
      </c>
      <c r="I19" t="s">
        <v>120</v>
      </c>
      <c r="J19" t="s">
        <v>121</v>
      </c>
      <c r="L19" t="s">
        <v>55</v>
      </c>
      <c r="M19" t="s">
        <v>56</v>
      </c>
      <c r="N19" t="s">
        <v>115</v>
      </c>
      <c r="O19" t="s">
        <v>116</v>
      </c>
      <c r="P19" t="s">
        <v>117</v>
      </c>
      <c r="Q19" t="s">
        <v>118</v>
      </c>
      <c r="R19" t="s">
        <v>119</v>
      </c>
      <c r="S19" t="s">
        <v>120</v>
      </c>
      <c r="T19" t="s">
        <v>121</v>
      </c>
    </row>
    <row r="20" spans="1:33" x14ac:dyDescent="0.25">
      <c r="A20">
        <v>1</v>
      </c>
      <c r="B20">
        <v>40212.534930000002</v>
      </c>
      <c r="C20">
        <v>2086.6021700000001</v>
      </c>
      <c r="D20">
        <v>0</v>
      </c>
      <c r="E20">
        <v>0</v>
      </c>
      <c r="F20">
        <v>6669.4582099999998</v>
      </c>
      <c r="G20">
        <v>4315.2013299999999</v>
      </c>
      <c r="H20">
        <v>0</v>
      </c>
      <c r="I20">
        <v>0</v>
      </c>
      <c r="J20">
        <v>6087.66266</v>
      </c>
      <c r="K20">
        <v>1</v>
      </c>
      <c r="L20">
        <v>3559</v>
      </c>
      <c r="M20">
        <v>279</v>
      </c>
      <c r="N20">
        <v>0</v>
      </c>
      <c r="O20">
        <v>0</v>
      </c>
      <c r="P20">
        <v>1307</v>
      </c>
      <c r="Q20">
        <v>991</v>
      </c>
      <c r="R20">
        <v>0</v>
      </c>
      <c r="S20">
        <v>0</v>
      </c>
      <c r="T20">
        <v>1078</v>
      </c>
      <c r="Y20" t="s">
        <v>55</v>
      </c>
      <c r="Z20" t="s">
        <v>56</v>
      </c>
      <c r="AA20" t="s">
        <v>115</v>
      </c>
      <c r="AB20" t="s">
        <v>116</v>
      </c>
      <c r="AC20" t="s">
        <v>117</v>
      </c>
      <c r="AD20" t="s">
        <v>118</v>
      </c>
      <c r="AE20" t="s">
        <v>119</v>
      </c>
      <c r="AF20" t="s">
        <v>120</v>
      </c>
      <c r="AG20" t="s">
        <v>121</v>
      </c>
    </row>
    <row r="21" spans="1:33" x14ac:dyDescent="0.25">
      <c r="A21">
        <v>2</v>
      </c>
      <c r="B21">
        <v>1832.78043</v>
      </c>
      <c r="C21">
        <v>430.77012999999999</v>
      </c>
      <c r="D21">
        <v>0</v>
      </c>
      <c r="E21">
        <v>0</v>
      </c>
      <c r="F21">
        <v>0</v>
      </c>
      <c r="G21">
        <v>0</v>
      </c>
      <c r="H21">
        <v>0</v>
      </c>
      <c r="I21">
        <v>0</v>
      </c>
      <c r="J21">
        <v>0</v>
      </c>
      <c r="K21">
        <v>2</v>
      </c>
      <c r="L21">
        <v>567</v>
      </c>
      <c r="M21">
        <v>53</v>
      </c>
      <c r="N21">
        <v>0</v>
      </c>
      <c r="O21">
        <v>0</v>
      </c>
      <c r="P21">
        <v>24</v>
      </c>
      <c r="Q21">
        <v>37</v>
      </c>
      <c r="R21">
        <v>0</v>
      </c>
      <c r="S21">
        <v>0</v>
      </c>
      <c r="T21">
        <v>8</v>
      </c>
      <c r="X21">
        <v>1</v>
      </c>
      <c r="Y21">
        <v>0</v>
      </c>
      <c r="Z21">
        <v>0</v>
      </c>
      <c r="AA21">
        <v>0</v>
      </c>
      <c r="AB21">
        <v>0</v>
      </c>
      <c r="AC21">
        <v>0</v>
      </c>
      <c r="AD21">
        <v>0</v>
      </c>
      <c r="AE21">
        <v>0</v>
      </c>
      <c r="AF21">
        <v>0</v>
      </c>
      <c r="AG21">
        <v>0</v>
      </c>
    </row>
    <row r="22" spans="1:33" x14ac:dyDescent="0.25">
      <c r="A22">
        <v>3</v>
      </c>
      <c r="B22">
        <v>18878.83424</v>
      </c>
      <c r="C22">
        <v>1223.5401899999999</v>
      </c>
      <c r="D22">
        <v>856.78210000000001</v>
      </c>
      <c r="E22">
        <v>11401.307870000001</v>
      </c>
      <c r="F22">
        <v>4492.4891699999998</v>
      </c>
      <c r="G22">
        <v>5667.5456800000002</v>
      </c>
      <c r="H22">
        <v>2280.5063300000002</v>
      </c>
      <c r="I22">
        <v>2086.15326</v>
      </c>
      <c r="J22">
        <v>47.17069</v>
      </c>
      <c r="K22">
        <v>3</v>
      </c>
      <c r="L22">
        <v>546</v>
      </c>
      <c r="M22">
        <v>76</v>
      </c>
      <c r="N22">
        <v>47</v>
      </c>
      <c r="O22">
        <v>396</v>
      </c>
      <c r="P22">
        <v>554</v>
      </c>
      <c r="Q22">
        <v>687</v>
      </c>
      <c r="R22">
        <v>348</v>
      </c>
      <c r="S22">
        <v>241</v>
      </c>
      <c r="T22">
        <v>58</v>
      </c>
      <c r="X22">
        <v>2</v>
      </c>
      <c r="Y22">
        <v>3559</v>
      </c>
      <c r="Z22">
        <v>279</v>
      </c>
      <c r="AA22">
        <v>0</v>
      </c>
      <c r="AB22">
        <v>0</v>
      </c>
      <c r="AC22">
        <v>1307</v>
      </c>
      <c r="AD22">
        <v>991</v>
      </c>
      <c r="AE22">
        <v>0</v>
      </c>
      <c r="AF22">
        <v>0</v>
      </c>
      <c r="AG22">
        <v>1078</v>
      </c>
    </row>
    <row r="23" spans="1:33" x14ac:dyDescent="0.25">
      <c r="A23">
        <v>4</v>
      </c>
      <c r="B23">
        <v>0</v>
      </c>
      <c r="C23">
        <v>0</v>
      </c>
      <c r="D23">
        <v>0</v>
      </c>
      <c r="E23">
        <v>0</v>
      </c>
      <c r="F23">
        <v>0</v>
      </c>
      <c r="G23">
        <v>0</v>
      </c>
      <c r="H23">
        <v>0</v>
      </c>
      <c r="I23">
        <v>0</v>
      </c>
      <c r="J23">
        <v>0</v>
      </c>
      <c r="K23">
        <v>4</v>
      </c>
      <c r="L23">
        <v>91</v>
      </c>
      <c r="M23">
        <v>21</v>
      </c>
      <c r="N23">
        <v>2</v>
      </c>
      <c r="O23">
        <v>18</v>
      </c>
      <c r="P23">
        <v>17</v>
      </c>
      <c r="Q23">
        <v>26</v>
      </c>
      <c r="R23">
        <v>8</v>
      </c>
      <c r="S23">
        <v>3</v>
      </c>
      <c r="T23">
        <v>1</v>
      </c>
      <c r="X23">
        <v>3</v>
      </c>
      <c r="Y23">
        <v>567</v>
      </c>
      <c r="Z23">
        <v>53</v>
      </c>
      <c r="AA23">
        <v>0</v>
      </c>
      <c r="AB23">
        <v>0</v>
      </c>
      <c r="AC23">
        <v>24</v>
      </c>
      <c r="AD23">
        <v>37</v>
      </c>
      <c r="AE23">
        <v>0</v>
      </c>
      <c r="AF23">
        <v>0</v>
      </c>
      <c r="AG23">
        <v>8</v>
      </c>
    </row>
    <row r="24" spans="1:33" x14ac:dyDescent="0.25">
      <c r="A24">
        <v>5</v>
      </c>
      <c r="B24">
        <v>3679.54547</v>
      </c>
      <c r="C24">
        <v>0</v>
      </c>
      <c r="D24">
        <v>8979.3321599999999</v>
      </c>
      <c r="E24">
        <v>3707.3564299999998</v>
      </c>
      <c r="F24">
        <v>4372.2511400000003</v>
      </c>
      <c r="G24">
        <v>4399.7726300000004</v>
      </c>
      <c r="H24">
        <v>4399.5390200000002</v>
      </c>
      <c r="I24">
        <v>2536.2083200000002</v>
      </c>
      <c r="J24">
        <v>0</v>
      </c>
      <c r="K24">
        <v>5</v>
      </c>
      <c r="L24">
        <v>1989</v>
      </c>
      <c r="M24">
        <v>48</v>
      </c>
      <c r="N24">
        <v>247</v>
      </c>
      <c r="O24">
        <v>304</v>
      </c>
      <c r="P24">
        <v>390</v>
      </c>
      <c r="Q24">
        <v>159</v>
      </c>
      <c r="R24">
        <v>215</v>
      </c>
      <c r="S24">
        <v>71</v>
      </c>
      <c r="T24">
        <v>36</v>
      </c>
      <c r="X24">
        <v>4</v>
      </c>
      <c r="Y24">
        <v>546</v>
      </c>
      <c r="Z24">
        <v>76</v>
      </c>
      <c r="AA24">
        <v>47</v>
      </c>
      <c r="AB24">
        <v>396</v>
      </c>
      <c r="AC24">
        <v>554</v>
      </c>
      <c r="AD24">
        <v>687</v>
      </c>
      <c r="AE24">
        <v>348</v>
      </c>
      <c r="AF24">
        <v>241</v>
      </c>
      <c r="AG24">
        <v>58</v>
      </c>
    </row>
    <row r="25" spans="1:33" x14ac:dyDescent="0.25">
      <c r="A25">
        <v>6</v>
      </c>
      <c r="B25">
        <v>119.42748</v>
      </c>
      <c r="C25">
        <v>0</v>
      </c>
      <c r="D25">
        <v>0</v>
      </c>
      <c r="E25">
        <v>119.42748</v>
      </c>
      <c r="F25">
        <v>0</v>
      </c>
      <c r="G25">
        <v>227.84692999999999</v>
      </c>
      <c r="H25">
        <v>0</v>
      </c>
      <c r="I25">
        <v>227.84692999999999</v>
      </c>
      <c r="J25">
        <v>0</v>
      </c>
      <c r="K25">
        <v>6</v>
      </c>
      <c r="L25">
        <v>339</v>
      </c>
      <c r="M25">
        <v>13</v>
      </c>
      <c r="N25">
        <v>25</v>
      </c>
      <c r="O25">
        <v>20</v>
      </c>
      <c r="P25">
        <v>13</v>
      </c>
      <c r="Q25">
        <v>5</v>
      </c>
      <c r="R25">
        <v>4</v>
      </c>
      <c r="S25">
        <v>5</v>
      </c>
      <c r="T25">
        <v>0</v>
      </c>
      <c r="X25">
        <v>5</v>
      </c>
      <c r="Y25">
        <v>91</v>
      </c>
      <c r="Z25">
        <v>21</v>
      </c>
      <c r="AA25">
        <v>2</v>
      </c>
      <c r="AB25">
        <v>18</v>
      </c>
      <c r="AC25">
        <v>17</v>
      </c>
      <c r="AD25">
        <v>26</v>
      </c>
      <c r="AE25">
        <v>8</v>
      </c>
      <c r="AF25">
        <v>3</v>
      </c>
      <c r="AG25">
        <v>1</v>
      </c>
    </row>
    <row r="26" spans="1:33" x14ac:dyDescent="0.25">
      <c r="A26">
        <v>7</v>
      </c>
      <c r="B26">
        <v>6912.4884300000003</v>
      </c>
      <c r="C26">
        <v>791.26243999999997</v>
      </c>
      <c r="D26">
        <v>3416.1143900000002</v>
      </c>
      <c r="E26">
        <v>3672.10032</v>
      </c>
      <c r="F26">
        <v>7240.0367299999998</v>
      </c>
      <c r="G26">
        <v>8642.2134800000003</v>
      </c>
      <c r="H26">
        <v>1743.7686000000001</v>
      </c>
      <c r="I26">
        <v>990.08019999999999</v>
      </c>
      <c r="J26">
        <v>29216.592270000001</v>
      </c>
      <c r="K26">
        <v>7</v>
      </c>
      <c r="L26">
        <v>1958</v>
      </c>
      <c r="M26">
        <v>98</v>
      </c>
      <c r="N26">
        <v>32</v>
      </c>
      <c r="O26">
        <v>76</v>
      </c>
      <c r="P26">
        <v>435</v>
      </c>
      <c r="Q26">
        <v>497</v>
      </c>
      <c r="R26">
        <v>29</v>
      </c>
      <c r="S26">
        <v>22</v>
      </c>
      <c r="T26">
        <v>7815</v>
      </c>
      <c r="X26">
        <v>6</v>
      </c>
      <c r="Y26">
        <v>1989</v>
      </c>
      <c r="Z26">
        <v>48</v>
      </c>
      <c r="AA26">
        <v>247</v>
      </c>
      <c r="AB26">
        <v>304</v>
      </c>
      <c r="AC26">
        <v>390</v>
      </c>
      <c r="AD26">
        <v>159</v>
      </c>
      <c r="AE26">
        <v>215</v>
      </c>
      <c r="AF26">
        <v>71</v>
      </c>
      <c r="AG26">
        <v>36</v>
      </c>
    </row>
    <row r="27" spans="1:33" x14ac:dyDescent="0.25">
      <c r="A27">
        <v>8</v>
      </c>
      <c r="B27">
        <v>12891.11427</v>
      </c>
      <c r="C27">
        <v>6041.5281199999999</v>
      </c>
      <c r="D27">
        <v>0</v>
      </c>
      <c r="E27">
        <v>0</v>
      </c>
      <c r="F27">
        <v>2203.4736800000001</v>
      </c>
      <c r="G27">
        <v>2596.26082</v>
      </c>
      <c r="H27">
        <v>0</v>
      </c>
      <c r="I27">
        <v>1114.5513699999999</v>
      </c>
      <c r="J27">
        <v>0</v>
      </c>
      <c r="K27">
        <v>8</v>
      </c>
      <c r="L27">
        <v>3690</v>
      </c>
      <c r="M27">
        <v>56</v>
      </c>
      <c r="N27">
        <v>3</v>
      </c>
      <c r="O27">
        <v>0</v>
      </c>
      <c r="P27">
        <v>206</v>
      </c>
      <c r="Q27">
        <v>228</v>
      </c>
      <c r="R27">
        <v>1</v>
      </c>
      <c r="S27">
        <v>57</v>
      </c>
      <c r="T27">
        <v>14</v>
      </c>
      <c r="X27">
        <v>7</v>
      </c>
      <c r="Y27">
        <v>339</v>
      </c>
      <c r="Z27">
        <v>13</v>
      </c>
      <c r="AA27">
        <v>25</v>
      </c>
      <c r="AB27">
        <v>20</v>
      </c>
      <c r="AC27">
        <v>13</v>
      </c>
      <c r="AD27">
        <v>5</v>
      </c>
      <c r="AE27">
        <v>4</v>
      </c>
      <c r="AF27">
        <v>5</v>
      </c>
      <c r="AG27">
        <v>0</v>
      </c>
    </row>
    <row r="28" spans="1:33" x14ac:dyDescent="0.25">
      <c r="A28">
        <v>9</v>
      </c>
      <c r="B28">
        <v>68278.965249999994</v>
      </c>
      <c r="C28">
        <v>6980.5128699999996</v>
      </c>
      <c r="D28">
        <v>1172.4464399999999</v>
      </c>
      <c r="E28">
        <v>0</v>
      </c>
      <c r="F28">
        <v>9034.9144699999997</v>
      </c>
      <c r="G28">
        <v>4221.0050499999998</v>
      </c>
      <c r="H28">
        <v>1778.6617000000001</v>
      </c>
      <c r="I28">
        <v>1370.1537599999999</v>
      </c>
      <c r="J28">
        <v>390.81646999999998</v>
      </c>
      <c r="K28">
        <v>9</v>
      </c>
      <c r="L28">
        <v>0</v>
      </c>
      <c r="M28">
        <v>0</v>
      </c>
      <c r="N28">
        <v>0</v>
      </c>
      <c r="O28">
        <v>0</v>
      </c>
      <c r="P28">
        <v>0</v>
      </c>
      <c r="Q28">
        <v>0</v>
      </c>
      <c r="R28">
        <v>0</v>
      </c>
      <c r="S28">
        <v>0</v>
      </c>
      <c r="T28">
        <v>0</v>
      </c>
      <c r="X28">
        <v>8</v>
      </c>
      <c r="Y28">
        <v>1958</v>
      </c>
      <c r="Z28">
        <v>98</v>
      </c>
      <c r="AA28">
        <v>32</v>
      </c>
      <c r="AB28">
        <v>76</v>
      </c>
      <c r="AC28">
        <v>435</v>
      </c>
      <c r="AD28">
        <v>497</v>
      </c>
      <c r="AE28">
        <v>29</v>
      </c>
      <c r="AF28">
        <v>22</v>
      </c>
      <c r="AG28">
        <v>7815</v>
      </c>
    </row>
    <row r="29" spans="1:33" x14ac:dyDescent="0.25">
      <c r="A29">
        <v>10</v>
      </c>
      <c r="B29">
        <v>26249.26801</v>
      </c>
      <c r="C29">
        <v>1150.5344600000001</v>
      </c>
      <c r="D29">
        <v>0</v>
      </c>
      <c r="E29">
        <v>0</v>
      </c>
      <c r="F29">
        <v>1247.3724</v>
      </c>
      <c r="G29">
        <v>1180.93037</v>
      </c>
      <c r="H29">
        <v>38.070700000000002</v>
      </c>
      <c r="I29">
        <v>175.1105</v>
      </c>
      <c r="J29">
        <v>366.95632000000001</v>
      </c>
      <c r="K29">
        <v>10</v>
      </c>
      <c r="L29">
        <v>11382</v>
      </c>
      <c r="M29">
        <v>1461</v>
      </c>
      <c r="N29">
        <v>62</v>
      </c>
      <c r="O29">
        <v>32</v>
      </c>
      <c r="P29">
        <v>606</v>
      </c>
      <c r="Q29">
        <v>312</v>
      </c>
      <c r="R29">
        <v>172</v>
      </c>
      <c r="S29">
        <v>35</v>
      </c>
      <c r="T29">
        <v>28</v>
      </c>
      <c r="X29">
        <v>9</v>
      </c>
      <c r="Y29">
        <v>3690</v>
      </c>
      <c r="Z29">
        <v>56</v>
      </c>
      <c r="AA29">
        <v>3</v>
      </c>
      <c r="AB29">
        <v>0</v>
      </c>
      <c r="AC29">
        <v>206</v>
      </c>
      <c r="AD29">
        <v>228</v>
      </c>
      <c r="AE29">
        <v>1</v>
      </c>
      <c r="AF29">
        <v>57</v>
      </c>
      <c r="AG29">
        <v>14</v>
      </c>
    </row>
    <row r="30" spans="1:33" x14ac:dyDescent="0.25">
      <c r="A30">
        <v>11</v>
      </c>
      <c r="B30">
        <v>15568.565430000001</v>
      </c>
      <c r="C30">
        <v>1406.4219599999999</v>
      </c>
      <c r="D30">
        <v>0</v>
      </c>
      <c r="E30">
        <v>0</v>
      </c>
      <c r="F30">
        <v>506.71938999999998</v>
      </c>
      <c r="G30">
        <v>28.618010000000002</v>
      </c>
      <c r="H30">
        <v>270.39208000000002</v>
      </c>
      <c r="I30">
        <v>942.79116999999997</v>
      </c>
      <c r="J30">
        <v>0</v>
      </c>
      <c r="K30">
        <v>11</v>
      </c>
      <c r="L30">
        <v>657</v>
      </c>
      <c r="M30">
        <v>92</v>
      </c>
      <c r="N30">
        <v>0</v>
      </c>
      <c r="O30">
        <v>0</v>
      </c>
      <c r="P30">
        <v>17</v>
      </c>
      <c r="Q30">
        <v>1</v>
      </c>
      <c r="R30">
        <v>0</v>
      </c>
      <c r="S30">
        <v>2</v>
      </c>
      <c r="T30">
        <v>0</v>
      </c>
      <c r="X30">
        <v>10</v>
      </c>
      <c r="Y30">
        <v>0</v>
      </c>
      <c r="Z30">
        <v>0</v>
      </c>
      <c r="AA30">
        <v>0</v>
      </c>
      <c r="AB30">
        <v>0</v>
      </c>
      <c r="AC30">
        <v>0</v>
      </c>
      <c r="AD30">
        <v>0</v>
      </c>
      <c r="AE30">
        <v>0</v>
      </c>
      <c r="AF30">
        <v>0</v>
      </c>
      <c r="AG30">
        <v>0</v>
      </c>
    </row>
    <row r="31" spans="1:33" x14ac:dyDescent="0.25">
      <c r="A31">
        <v>12</v>
      </c>
      <c r="B31">
        <v>18210.811450000001</v>
      </c>
      <c r="C31">
        <v>1691.07383</v>
      </c>
      <c r="D31">
        <v>182.81926000000001</v>
      </c>
      <c r="E31">
        <v>0</v>
      </c>
      <c r="F31">
        <v>1433.98928</v>
      </c>
      <c r="G31">
        <v>778.91989000000001</v>
      </c>
      <c r="H31">
        <v>195.28697</v>
      </c>
      <c r="I31">
        <v>0</v>
      </c>
      <c r="J31">
        <v>0</v>
      </c>
      <c r="K31">
        <v>12</v>
      </c>
      <c r="L31">
        <v>956</v>
      </c>
      <c r="M31">
        <v>74</v>
      </c>
      <c r="N31">
        <v>0</v>
      </c>
      <c r="O31">
        <v>0</v>
      </c>
      <c r="P31">
        <v>0</v>
      </c>
      <c r="Q31">
        <v>0</v>
      </c>
      <c r="R31">
        <v>0</v>
      </c>
      <c r="S31">
        <v>0</v>
      </c>
      <c r="T31">
        <v>0</v>
      </c>
      <c r="X31">
        <v>11</v>
      </c>
      <c r="Y31">
        <v>11382</v>
      </c>
      <c r="Z31">
        <v>1461</v>
      </c>
      <c r="AA31">
        <v>62</v>
      </c>
      <c r="AB31">
        <v>32</v>
      </c>
      <c r="AC31">
        <v>606</v>
      </c>
      <c r="AD31">
        <v>312</v>
      </c>
      <c r="AE31">
        <v>172</v>
      </c>
      <c r="AF31">
        <v>35</v>
      </c>
      <c r="AG31">
        <v>28</v>
      </c>
    </row>
    <row r="32" spans="1:33" x14ac:dyDescent="0.25">
      <c r="A32">
        <v>13</v>
      </c>
      <c r="B32">
        <v>2134.4823500000002</v>
      </c>
      <c r="C32">
        <v>0</v>
      </c>
      <c r="D32">
        <v>229.45972</v>
      </c>
      <c r="E32">
        <v>0</v>
      </c>
      <c r="F32">
        <v>369.95409999999998</v>
      </c>
      <c r="G32">
        <v>98.316789999999997</v>
      </c>
      <c r="H32">
        <v>111.87426000000001</v>
      </c>
      <c r="I32">
        <v>55.937130000000003</v>
      </c>
      <c r="J32">
        <v>1050.69921</v>
      </c>
      <c r="K32">
        <v>13</v>
      </c>
      <c r="L32">
        <v>182</v>
      </c>
      <c r="M32">
        <v>86</v>
      </c>
      <c r="N32">
        <v>2</v>
      </c>
      <c r="O32">
        <v>0</v>
      </c>
      <c r="P32">
        <v>20</v>
      </c>
      <c r="Q32">
        <v>25</v>
      </c>
      <c r="R32">
        <v>0</v>
      </c>
      <c r="S32">
        <v>2</v>
      </c>
      <c r="T32">
        <v>22</v>
      </c>
      <c r="X32">
        <v>12</v>
      </c>
      <c r="Y32">
        <v>657</v>
      </c>
      <c r="Z32">
        <v>92</v>
      </c>
      <c r="AA32">
        <v>0</v>
      </c>
      <c r="AB32">
        <v>0</v>
      </c>
      <c r="AC32">
        <v>17</v>
      </c>
      <c r="AD32">
        <v>1</v>
      </c>
      <c r="AE32">
        <v>0</v>
      </c>
      <c r="AF32">
        <v>2</v>
      </c>
      <c r="AG32">
        <v>0</v>
      </c>
    </row>
    <row r="33" spans="1:33" x14ac:dyDescent="0.25">
      <c r="A33">
        <v>14</v>
      </c>
      <c r="B33">
        <v>1929.7124799999999</v>
      </c>
      <c r="C33">
        <v>0</v>
      </c>
      <c r="D33">
        <v>1130.4187099999999</v>
      </c>
      <c r="E33">
        <v>0</v>
      </c>
      <c r="F33">
        <v>0</v>
      </c>
      <c r="G33">
        <v>0</v>
      </c>
      <c r="H33">
        <v>0</v>
      </c>
      <c r="I33">
        <v>0</v>
      </c>
      <c r="J33">
        <v>0</v>
      </c>
      <c r="K33">
        <v>14</v>
      </c>
      <c r="L33">
        <v>0</v>
      </c>
      <c r="M33">
        <v>0</v>
      </c>
      <c r="N33">
        <v>40</v>
      </c>
      <c r="O33">
        <v>0</v>
      </c>
      <c r="P33">
        <v>0</v>
      </c>
      <c r="Q33">
        <v>0</v>
      </c>
      <c r="R33">
        <v>0</v>
      </c>
      <c r="S33">
        <v>0</v>
      </c>
      <c r="T33">
        <v>0</v>
      </c>
      <c r="X33">
        <v>13</v>
      </c>
      <c r="Y33">
        <v>956</v>
      </c>
      <c r="Z33">
        <v>74</v>
      </c>
      <c r="AA33">
        <v>0</v>
      </c>
      <c r="AB33">
        <v>0</v>
      </c>
      <c r="AC33">
        <v>0</v>
      </c>
      <c r="AD33">
        <v>0</v>
      </c>
      <c r="AE33">
        <v>0</v>
      </c>
      <c r="AF33">
        <v>0</v>
      </c>
      <c r="AG33">
        <v>0</v>
      </c>
    </row>
    <row r="34" spans="1:33" x14ac:dyDescent="0.25">
      <c r="A34" t="s">
        <v>133</v>
      </c>
      <c r="X34">
        <v>14</v>
      </c>
      <c r="Y34">
        <v>182</v>
      </c>
      <c r="Z34">
        <v>86</v>
      </c>
      <c r="AA34">
        <v>2</v>
      </c>
      <c r="AB34">
        <v>0</v>
      </c>
      <c r="AC34">
        <v>20</v>
      </c>
      <c r="AD34">
        <v>25</v>
      </c>
      <c r="AE34">
        <v>0</v>
      </c>
      <c r="AF34">
        <v>2</v>
      </c>
      <c r="AG34">
        <v>22</v>
      </c>
    </row>
    <row r="35" spans="1:33" x14ac:dyDescent="0.25">
      <c r="B35" t="s">
        <v>55</v>
      </c>
      <c r="C35" t="s">
        <v>56</v>
      </c>
      <c r="D35" t="s">
        <v>115</v>
      </c>
      <c r="E35" t="s">
        <v>116</v>
      </c>
      <c r="F35" t="s">
        <v>117</v>
      </c>
      <c r="G35" t="s">
        <v>118</v>
      </c>
      <c r="H35" t="s">
        <v>119</v>
      </c>
      <c r="I35" t="s">
        <v>120</v>
      </c>
      <c r="J35" t="s">
        <v>121</v>
      </c>
      <c r="L35" t="s">
        <v>55</v>
      </c>
      <c r="M35" t="s">
        <v>56</v>
      </c>
      <c r="N35" t="s">
        <v>115</v>
      </c>
      <c r="O35" t="s">
        <v>116</v>
      </c>
      <c r="P35" t="s">
        <v>117</v>
      </c>
      <c r="Q35" t="s">
        <v>118</v>
      </c>
      <c r="R35" t="s">
        <v>119</v>
      </c>
      <c r="S35" t="s">
        <v>120</v>
      </c>
      <c r="T35" t="s">
        <v>121</v>
      </c>
      <c r="X35">
        <v>15</v>
      </c>
      <c r="Y35">
        <v>0</v>
      </c>
      <c r="Z35">
        <v>0</v>
      </c>
      <c r="AA35">
        <v>40</v>
      </c>
      <c r="AB35">
        <v>0</v>
      </c>
      <c r="AC35">
        <v>0</v>
      </c>
      <c r="AD35">
        <v>0</v>
      </c>
      <c r="AE35">
        <v>0</v>
      </c>
      <c r="AF35">
        <v>0</v>
      </c>
      <c r="AG35">
        <v>0</v>
      </c>
    </row>
    <row r="36" spans="1:33" x14ac:dyDescent="0.25">
      <c r="A36">
        <v>1</v>
      </c>
      <c r="B36">
        <v>110028.27839000001</v>
      </c>
      <c r="C36">
        <v>5456.03359</v>
      </c>
      <c r="D36">
        <v>503.38868000000002</v>
      </c>
      <c r="E36">
        <v>0</v>
      </c>
      <c r="F36">
        <v>21483.78674</v>
      </c>
      <c r="G36">
        <v>13201.22724</v>
      </c>
      <c r="H36">
        <v>0</v>
      </c>
      <c r="I36">
        <v>0</v>
      </c>
      <c r="J36">
        <v>9655.0487499999999</v>
      </c>
      <c r="K36">
        <v>1</v>
      </c>
      <c r="L36">
        <v>11435</v>
      </c>
      <c r="M36">
        <v>23</v>
      </c>
      <c r="N36">
        <v>6</v>
      </c>
      <c r="O36">
        <v>0</v>
      </c>
      <c r="P36">
        <v>1999</v>
      </c>
      <c r="Q36">
        <v>1718</v>
      </c>
      <c r="R36">
        <v>0</v>
      </c>
      <c r="S36">
        <v>0</v>
      </c>
      <c r="T36">
        <v>4541</v>
      </c>
    </row>
    <row r="37" spans="1:33" x14ac:dyDescent="0.25">
      <c r="A37">
        <v>2</v>
      </c>
      <c r="B37">
        <v>9307.3674800000008</v>
      </c>
      <c r="C37">
        <v>329.32002</v>
      </c>
      <c r="D37">
        <v>0</v>
      </c>
      <c r="E37">
        <v>0</v>
      </c>
      <c r="F37">
        <v>1270.52792</v>
      </c>
      <c r="G37">
        <v>128.68156999999999</v>
      </c>
      <c r="H37">
        <v>0</v>
      </c>
      <c r="I37">
        <v>0</v>
      </c>
      <c r="J37">
        <v>529.62334999999996</v>
      </c>
      <c r="K37">
        <v>2</v>
      </c>
      <c r="L37">
        <v>1782</v>
      </c>
      <c r="M37">
        <v>10</v>
      </c>
      <c r="N37">
        <v>5</v>
      </c>
      <c r="O37">
        <v>0</v>
      </c>
      <c r="P37">
        <v>48</v>
      </c>
      <c r="Q37">
        <v>119</v>
      </c>
      <c r="R37">
        <v>0</v>
      </c>
      <c r="S37">
        <v>0</v>
      </c>
      <c r="T37">
        <v>44</v>
      </c>
      <c r="X37" s="157"/>
      <c r="Y37" t="s">
        <v>55</v>
      </c>
      <c r="Z37" t="s">
        <v>56</v>
      </c>
      <c r="AA37" t="s">
        <v>115</v>
      </c>
      <c r="AB37" t="s">
        <v>116</v>
      </c>
      <c r="AC37" t="s">
        <v>117</v>
      </c>
      <c r="AD37" t="s">
        <v>118</v>
      </c>
      <c r="AE37" t="s">
        <v>119</v>
      </c>
      <c r="AF37" t="s">
        <v>120</v>
      </c>
      <c r="AG37" t="s">
        <v>121</v>
      </c>
    </row>
    <row r="38" spans="1:33" x14ac:dyDescent="0.25">
      <c r="A38">
        <v>3</v>
      </c>
      <c r="B38">
        <v>22193.594700000001</v>
      </c>
      <c r="C38">
        <v>0</v>
      </c>
      <c r="D38">
        <v>6857.1011900000003</v>
      </c>
      <c r="E38">
        <v>11006.693880000001</v>
      </c>
      <c r="F38">
        <v>6844.2382100000004</v>
      </c>
      <c r="G38">
        <v>5888.2643099999996</v>
      </c>
      <c r="H38">
        <v>4236.6318300000003</v>
      </c>
      <c r="I38">
        <v>2343.7690400000001</v>
      </c>
      <c r="J38">
        <v>1778.02459</v>
      </c>
      <c r="K38">
        <v>3</v>
      </c>
      <c r="L38">
        <v>435</v>
      </c>
      <c r="M38">
        <v>5</v>
      </c>
      <c r="N38">
        <v>33</v>
      </c>
      <c r="O38">
        <v>412</v>
      </c>
      <c r="P38">
        <v>169</v>
      </c>
      <c r="Q38">
        <v>421</v>
      </c>
      <c r="R38">
        <v>155</v>
      </c>
      <c r="S38">
        <v>168</v>
      </c>
      <c r="T38">
        <v>558</v>
      </c>
      <c r="X38" s="157">
        <v>1</v>
      </c>
      <c r="Y38">
        <v>0</v>
      </c>
      <c r="Z38">
        <v>0</v>
      </c>
      <c r="AA38">
        <v>0</v>
      </c>
      <c r="AB38">
        <v>0</v>
      </c>
      <c r="AC38">
        <v>0</v>
      </c>
      <c r="AD38">
        <v>0</v>
      </c>
      <c r="AE38">
        <v>0</v>
      </c>
      <c r="AF38">
        <v>0</v>
      </c>
      <c r="AG38">
        <v>0</v>
      </c>
    </row>
    <row r="39" spans="1:33" x14ac:dyDescent="0.25">
      <c r="A39">
        <v>4</v>
      </c>
      <c r="B39">
        <v>649.66333999999995</v>
      </c>
      <c r="C39">
        <v>0</v>
      </c>
      <c r="D39">
        <v>0</v>
      </c>
      <c r="E39">
        <v>0</v>
      </c>
      <c r="F39">
        <v>0</v>
      </c>
      <c r="G39">
        <v>113.27288</v>
      </c>
      <c r="H39">
        <v>18.848690000000001</v>
      </c>
      <c r="I39">
        <v>0</v>
      </c>
      <c r="J39">
        <v>0</v>
      </c>
      <c r="K39">
        <v>4</v>
      </c>
      <c r="L39">
        <v>91</v>
      </c>
      <c r="M39">
        <v>1</v>
      </c>
      <c r="N39">
        <v>0</v>
      </c>
      <c r="O39">
        <v>53</v>
      </c>
      <c r="P39">
        <v>10</v>
      </c>
      <c r="Q39">
        <v>43</v>
      </c>
      <c r="R39">
        <v>5</v>
      </c>
      <c r="S39">
        <v>12</v>
      </c>
      <c r="T39">
        <v>5</v>
      </c>
      <c r="X39" s="157">
        <v>2</v>
      </c>
      <c r="Y39">
        <v>11435</v>
      </c>
      <c r="Z39">
        <v>23</v>
      </c>
      <c r="AA39">
        <v>6</v>
      </c>
      <c r="AB39">
        <v>0</v>
      </c>
      <c r="AC39">
        <v>1999</v>
      </c>
      <c r="AD39">
        <v>1718</v>
      </c>
      <c r="AE39">
        <v>0</v>
      </c>
      <c r="AF39">
        <v>0</v>
      </c>
      <c r="AG39">
        <v>4541</v>
      </c>
    </row>
    <row r="40" spans="1:33" x14ac:dyDescent="0.25">
      <c r="A40">
        <v>5</v>
      </c>
      <c r="B40">
        <v>8766.3191200000001</v>
      </c>
      <c r="C40">
        <v>133.93227999999999</v>
      </c>
      <c r="D40">
        <v>21936.991030000001</v>
      </c>
      <c r="E40">
        <v>12167.79026</v>
      </c>
      <c r="F40">
        <v>2444.8222999999998</v>
      </c>
      <c r="G40">
        <v>3293.5081700000001</v>
      </c>
      <c r="H40">
        <v>2155.77099</v>
      </c>
      <c r="I40">
        <v>3238.5760300000002</v>
      </c>
      <c r="J40">
        <v>497.00704999999999</v>
      </c>
      <c r="K40">
        <v>5</v>
      </c>
      <c r="L40">
        <v>3445</v>
      </c>
      <c r="M40">
        <v>0</v>
      </c>
      <c r="N40">
        <v>185</v>
      </c>
      <c r="O40">
        <v>258</v>
      </c>
      <c r="P40">
        <v>140</v>
      </c>
      <c r="Q40">
        <v>121</v>
      </c>
      <c r="R40">
        <v>118</v>
      </c>
      <c r="S40">
        <v>69</v>
      </c>
      <c r="T40">
        <v>56</v>
      </c>
      <c r="X40" s="157">
        <v>3</v>
      </c>
      <c r="Y40">
        <v>1782</v>
      </c>
      <c r="Z40">
        <v>10</v>
      </c>
      <c r="AA40">
        <v>5</v>
      </c>
      <c r="AB40">
        <v>0</v>
      </c>
      <c r="AC40">
        <v>48</v>
      </c>
      <c r="AD40">
        <v>119</v>
      </c>
      <c r="AE40">
        <v>0</v>
      </c>
      <c r="AF40">
        <v>0</v>
      </c>
      <c r="AG40">
        <v>44</v>
      </c>
    </row>
    <row r="41" spans="1:33" x14ac:dyDescent="0.25">
      <c r="A41">
        <v>6</v>
      </c>
      <c r="B41">
        <v>163.36591999999999</v>
      </c>
      <c r="C41">
        <v>0</v>
      </c>
      <c r="D41">
        <v>0</v>
      </c>
      <c r="E41">
        <v>0</v>
      </c>
      <c r="F41">
        <v>0</v>
      </c>
      <c r="G41">
        <v>57.632989999999999</v>
      </c>
      <c r="H41">
        <v>638.83047999999997</v>
      </c>
      <c r="I41">
        <v>13.45144</v>
      </c>
      <c r="J41">
        <v>0</v>
      </c>
      <c r="K41">
        <v>6</v>
      </c>
      <c r="L41">
        <v>753</v>
      </c>
      <c r="M41">
        <v>2</v>
      </c>
      <c r="N41">
        <v>49</v>
      </c>
      <c r="O41">
        <v>46</v>
      </c>
      <c r="P41">
        <v>10</v>
      </c>
      <c r="Q41">
        <v>12</v>
      </c>
      <c r="R41">
        <v>9</v>
      </c>
      <c r="S41">
        <v>12</v>
      </c>
      <c r="T41">
        <v>1</v>
      </c>
      <c r="X41" s="157">
        <v>4</v>
      </c>
      <c r="Y41">
        <v>435</v>
      </c>
      <c r="Z41">
        <v>5</v>
      </c>
      <c r="AA41">
        <v>33</v>
      </c>
      <c r="AB41">
        <v>412</v>
      </c>
      <c r="AC41">
        <v>169</v>
      </c>
      <c r="AD41">
        <v>421</v>
      </c>
      <c r="AE41">
        <v>155</v>
      </c>
      <c r="AF41">
        <v>168</v>
      </c>
      <c r="AG41">
        <v>558</v>
      </c>
    </row>
    <row r="42" spans="1:33" x14ac:dyDescent="0.25">
      <c r="A42">
        <v>7</v>
      </c>
      <c r="B42">
        <v>2779.2653300000002</v>
      </c>
      <c r="C42">
        <v>1457.4991299999999</v>
      </c>
      <c r="D42">
        <v>9228.3711600000006</v>
      </c>
      <c r="E42">
        <v>1039.9672700000001</v>
      </c>
      <c r="F42">
        <v>8710.6524100000006</v>
      </c>
      <c r="G42">
        <v>5454.2413399999996</v>
      </c>
      <c r="H42">
        <v>168.20350999999999</v>
      </c>
      <c r="I42">
        <v>1257.5704699999999</v>
      </c>
      <c r="J42">
        <v>56217.194020000003</v>
      </c>
      <c r="K42">
        <v>7</v>
      </c>
      <c r="L42">
        <v>1953</v>
      </c>
      <c r="M42">
        <v>0</v>
      </c>
      <c r="N42">
        <v>16</v>
      </c>
      <c r="O42">
        <v>36</v>
      </c>
      <c r="P42">
        <v>60</v>
      </c>
      <c r="Q42">
        <v>187</v>
      </c>
      <c r="R42">
        <v>4</v>
      </c>
      <c r="S42">
        <v>15</v>
      </c>
      <c r="T42">
        <v>7745</v>
      </c>
      <c r="X42" s="157">
        <v>5</v>
      </c>
      <c r="Y42">
        <v>91</v>
      </c>
      <c r="Z42">
        <v>1</v>
      </c>
      <c r="AA42">
        <v>0</v>
      </c>
      <c r="AB42">
        <v>53</v>
      </c>
      <c r="AC42">
        <v>10</v>
      </c>
      <c r="AD42">
        <v>43</v>
      </c>
      <c r="AE42">
        <v>5</v>
      </c>
      <c r="AF42">
        <v>12</v>
      </c>
      <c r="AG42">
        <v>5</v>
      </c>
    </row>
    <row r="43" spans="1:33" x14ac:dyDescent="0.25">
      <c r="A43">
        <v>8</v>
      </c>
      <c r="B43">
        <v>4259.87572</v>
      </c>
      <c r="C43">
        <v>0</v>
      </c>
      <c r="D43">
        <v>0</v>
      </c>
      <c r="E43">
        <v>0</v>
      </c>
      <c r="F43">
        <v>2189.7800400000001</v>
      </c>
      <c r="G43">
        <v>1069.3681099999999</v>
      </c>
      <c r="H43">
        <v>0</v>
      </c>
      <c r="I43">
        <v>0</v>
      </c>
      <c r="J43">
        <v>74.598259999999996</v>
      </c>
      <c r="K43">
        <v>8</v>
      </c>
      <c r="L43">
        <v>2048</v>
      </c>
      <c r="M43">
        <v>0</v>
      </c>
      <c r="N43">
        <v>3</v>
      </c>
      <c r="O43">
        <v>0</v>
      </c>
      <c r="P43">
        <v>58</v>
      </c>
      <c r="Q43">
        <v>130</v>
      </c>
      <c r="R43">
        <v>0</v>
      </c>
      <c r="S43">
        <v>5</v>
      </c>
      <c r="T43">
        <v>44</v>
      </c>
      <c r="X43" s="157">
        <v>6</v>
      </c>
      <c r="Y43">
        <v>3445</v>
      </c>
      <c r="Z43">
        <v>0</v>
      </c>
      <c r="AA43">
        <v>185</v>
      </c>
      <c r="AB43">
        <v>258</v>
      </c>
      <c r="AC43">
        <v>140</v>
      </c>
      <c r="AD43">
        <v>121</v>
      </c>
      <c r="AE43">
        <v>118</v>
      </c>
      <c r="AF43">
        <v>69</v>
      </c>
      <c r="AG43">
        <v>56</v>
      </c>
    </row>
    <row r="44" spans="1:33" x14ac:dyDescent="0.25">
      <c r="A44">
        <v>9</v>
      </c>
      <c r="B44">
        <v>30506.002820000002</v>
      </c>
      <c r="C44">
        <v>4491.9979700000004</v>
      </c>
      <c r="D44">
        <v>4019.2550900000001</v>
      </c>
      <c r="E44">
        <v>0</v>
      </c>
      <c r="F44">
        <v>3964.5553300000001</v>
      </c>
      <c r="G44">
        <v>2581.6634199999999</v>
      </c>
      <c r="H44">
        <v>0</v>
      </c>
      <c r="I44">
        <v>208.34602000000001</v>
      </c>
      <c r="J44">
        <v>990.42377999999997</v>
      </c>
      <c r="K44">
        <v>9</v>
      </c>
      <c r="L44">
        <v>0</v>
      </c>
      <c r="M44">
        <v>0</v>
      </c>
      <c r="N44">
        <v>0</v>
      </c>
      <c r="O44">
        <v>0</v>
      </c>
      <c r="P44">
        <v>0</v>
      </c>
      <c r="Q44">
        <v>0</v>
      </c>
      <c r="R44">
        <v>0</v>
      </c>
      <c r="S44">
        <v>0</v>
      </c>
      <c r="T44">
        <v>0</v>
      </c>
      <c r="X44" s="157">
        <v>7</v>
      </c>
      <c r="Y44">
        <v>753</v>
      </c>
      <c r="Z44">
        <v>2</v>
      </c>
      <c r="AA44">
        <v>49</v>
      </c>
      <c r="AB44">
        <v>46</v>
      </c>
      <c r="AC44">
        <v>10</v>
      </c>
      <c r="AD44">
        <v>12</v>
      </c>
      <c r="AE44">
        <v>9</v>
      </c>
      <c r="AF44">
        <v>12</v>
      </c>
      <c r="AG44">
        <v>1</v>
      </c>
    </row>
    <row r="45" spans="1:33" x14ac:dyDescent="0.25">
      <c r="A45">
        <v>10</v>
      </c>
      <c r="B45">
        <v>35489.095889999997</v>
      </c>
      <c r="C45">
        <v>189.17054999999999</v>
      </c>
      <c r="D45">
        <v>348.79248999999999</v>
      </c>
      <c r="E45">
        <v>0</v>
      </c>
      <c r="F45">
        <v>1182.0767499999999</v>
      </c>
      <c r="G45">
        <v>556.08005000000003</v>
      </c>
      <c r="H45">
        <v>0</v>
      </c>
      <c r="I45">
        <v>49.428089999999997</v>
      </c>
      <c r="J45">
        <v>184.64464000000001</v>
      </c>
      <c r="K45">
        <v>10</v>
      </c>
      <c r="L45">
        <v>7526</v>
      </c>
      <c r="M45">
        <v>603</v>
      </c>
      <c r="N45">
        <v>67</v>
      </c>
      <c r="O45">
        <v>15</v>
      </c>
      <c r="P45">
        <v>322</v>
      </c>
      <c r="Q45">
        <v>147</v>
      </c>
      <c r="R45">
        <v>19</v>
      </c>
      <c r="S45">
        <v>29</v>
      </c>
      <c r="T45">
        <v>76</v>
      </c>
      <c r="X45" s="157">
        <v>8</v>
      </c>
      <c r="Y45">
        <v>1953</v>
      </c>
      <c r="Z45">
        <v>0</v>
      </c>
      <c r="AA45">
        <v>16</v>
      </c>
      <c r="AB45">
        <v>36</v>
      </c>
      <c r="AC45">
        <v>60</v>
      </c>
      <c r="AD45">
        <v>187</v>
      </c>
      <c r="AE45">
        <v>4</v>
      </c>
      <c r="AF45">
        <v>15</v>
      </c>
      <c r="AG45">
        <v>7745</v>
      </c>
    </row>
    <row r="46" spans="1:33" x14ac:dyDescent="0.25">
      <c r="A46">
        <v>11</v>
      </c>
      <c r="B46">
        <v>16958.01873</v>
      </c>
      <c r="C46">
        <v>855.19790999999998</v>
      </c>
      <c r="D46">
        <v>2203.9250400000001</v>
      </c>
      <c r="E46">
        <v>0</v>
      </c>
      <c r="F46">
        <v>903.61224000000004</v>
      </c>
      <c r="G46">
        <v>1405.5533800000001</v>
      </c>
      <c r="H46">
        <v>0</v>
      </c>
      <c r="I46">
        <v>310.97667999999999</v>
      </c>
      <c r="J46">
        <v>342.62761999999998</v>
      </c>
      <c r="K46">
        <v>11</v>
      </c>
      <c r="L46">
        <v>667</v>
      </c>
      <c r="M46">
        <v>12</v>
      </c>
      <c r="N46">
        <v>6</v>
      </c>
      <c r="O46">
        <v>0</v>
      </c>
      <c r="P46">
        <v>35</v>
      </c>
      <c r="Q46">
        <v>7</v>
      </c>
      <c r="R46">
        <v>7</v>
      </c>
      <c r="S46">
        <v>2</v>
      </c>
      <c r="T46">
        <v>0</v>
      </c>
      <c r="X46" s="157">
        <v>9</v>
      </c>
      <c r="Y46">
        <v>2048</v>
      </c>
      <c r="Z46">
        <v>0</v>
      </c>
      <c r="AA46">
        <v>3</v>
      </c>
      <c r="AB46">
        <v>0</v>
      </c>
      <c r="AC46">
        <v>58</v>
      </c>
      <c r="AD46">
        <v>130</v>
      </c>
      <c r="AE46">
        <v>0</v>
      </c>
      <c r="AF46">
        <v>5</v>
      </c>
      <c r="AG46">
        <v>44</v>
      </c>
    </row>
    <row r="47" spans="1:33" x14ac:dyDescent="0.25">
      <c r="A47">
        <v>12</v>
      </c>
      <c r="B47">
        <v>96702.485360000006</v>
      </c>
      <c r="C47">
        <v>9837.5679400000008</v>
      </c>
      <c r="D47">
        <v>134.83625000000001</v>
      </c>
      <c r="E47">
        <v>0</v>
      </c>
      <c r="F47">
        <v>2597.7690600000001</v>
      </c>
      <c r="G47">
        <v>1288.7741000000001</v>
      </c>
      <c r="H47">
        <v>279.72061000000002</v>
      </c>
      <c r="I47">
        <v>605.5838</v>
      </c>
      <c r="J47">
        <v>346.34159</v>
      </c>
      <c r="K47">
        <v>12</v>
      </c>
      <c r="L47">
        <v>4054</v>
      </c>
      <c r="M47">
        <v>430</v>
      </c>
      <c r="N47">
        <v>0</v>
      </c>
      <c r="O47">
        <v>0</v>
      </c>
      <c r="P47">
        <v>18</v>
      </c>
      <c r="Q47">
        <v>0</v>
      </c>
      <c r="R47">
        <v>0</v>
      </c>
      <c r="S47">
        <v>0</v>
      </c>
      <c r="T47">
        <v>0</v>
      </c>
      <c r="X47" s="157">
        <v>10</v>
      </c>
      <c r="Y47">
        <v>0</v>
      </c>
      <c r="Z47">
        <v>0</v>
      </c>
      <c r="AA47">
        <v>0</v>
      </c>
      <c r="AB47">
        <v>0</v>
      </c>
      <c r="AC47">
        <v>0</v>
      </c>
      <c r="AD47">
        <v>0</v>
      </c>
      <c r="AE47">
        <v>0</v>
      </c>
      <c r="AF47">
        <v>0</v>
      </c>
      <c r="AG47">
        <v>0</v>
      </c>
    </row>
    <row r="48" spans="1:33" x14ac:dyDescent="0.25">
      <c r="A48">
        <v>13</v>
      </c>
      <c r="B48">
        <v>1630.3207399999999</v>
      </c>
      <c r="C48">
        <v>0</v>
      </c>
      <c r="D48">
        <v>0</v>
      </c>
      <c r="E48">
        <v>0</v>
      </c>
      <c r="F48">
        <v>391.50747999999999</v>
      </c>
      <c r="G48">
        <v>1253.3977400000001</v>
      </c>
      <c r="H48">
        <v>0</v>
      </c>
      <c r="I48">
        <v>111.87426000000001</v>
      </c>
      <c r="J48">
        <v>3050.8422799999998</v>
      </c>
      <c r="K48">
        <v>13</v>
      </c>
      <c r="L48">
        <v>111</v>
      </c>
      <c r="M48">
        <v>12</v>
      </c>
      <c r="N48">
        <v>1</v>
      </c>
      <c r="O48">
        <v>0</v>
      </c>
      <c r="P48">
        <v>16</v>
      </c>
      <c r="Q48">
        <v>28</v>
      </c>
      <c r="R48">
        <v>1</v>
      </c>
      <c r="S48">
        <v>0</v>
      </c>
      <c r="T48">
        <v>29</v>
      </c>
      <c r="X48" s="157">
        <v>11</v>
      </c>
      <c r="Y48">
        <v>7526</v>
      </c>
      <c r="Z48">
        <v>603</v>
      </c>
      <c r="AA48">
        <v>67</v>
      </c>
      <c r="AB48">
        <v>15</v>
      </c>
      <c r="AC48">
        <v>322</v>
      </c>
      <c r="AD48">
        <v>147</v>
      </c>
      <c r="AE48">
        <v>19</v>
      </c>
      <c r="AF48">
        <v>29</v>
      </c>
      <c r="AG48">
        <v>76</v>
      </c>
    </row>
    <row r="49" spans="1:33" x14ac:dyDescent="0.25">
      <c r="A49">
        <v>14</v>
      </c>
      <c r="B49">
        <v>0</v>
      </c>
      <c r="C49">
        <v>0</v>
      </c>
      <c r="D49">
        <v>3677.2818000000002</v>
      </c>
      <c r="E49">
        <v>0</v>
      </c>
      <c r="F49">
        <v>168.20352</v>
      </c>
      <c r="G49">
        <v>434.28496000000001</v>
      </c>
      <c r="H49">
        <v>0</v>
      </c>
      <c r="I49">
        <v>0</v>
      </c>
      <c r="J49">
        <v>0</v>
      </c>
      <c r="K49">
        <v>14</v>
      </c>
      <c r="L49">
        <v>0</v>
      </c>
      <c r="M49">
        <v>0</v>
      </c>
      <c r="N49">
        <v>40</v>
      </c>
      <c r="O49">
        <v>0</v>
      </c>
      <c r="P49">
        <v>0</v>
      </c>
      <c r="Q49">
        <v>0</v>
      </c>
      <c r="R49">
        <v>0</v>
      </c>
      <c r="S49">
        <v>0</v>
      </c>
      <c r="T49">
        <v>0</v>
      </c>
      <c r="X49" s="157">
        <v>12</v>
      </c>
      <c r="Y49">
        <v>667</v>
      </c>
      <c r="Z49">
        <v>12</v>
      </c>
      <c r="AA49">
        <v>6</v>
      </c>
      <c r="AB49">
        <v>0</v>
      </c>
      <c r="AC49">
        <v>35</v>
      </c>
      <c r="AD49">
        <v>7</v>
      </c>
      <c r="AE49">
        <v>7</v>
      </c>
      <c r="AF49">
        <v>2</v>
      </c>
      <c r="AG49">
        <v>0</v>
      </c>
    </row>
    <row r="50" spans="1:33" x14ac:dyDescent="0.25">
      <c r="X50" s="157">
        <v>13</v>
      </c>
      <c r="Y50">
        <v>4054</v>
      </c>
      <c r="Z50">
        <v>430</v>
      </c>
      <c r="AA50">
        <v>0</v>
      </c>
      <c r="AB50">
        <v>0</v>
      </c>
      <c r="AC50">
        <v>18</v>
      </c>
      <c r="AD50">
        <v>0</v>
      </c>
      <c r="AE50">
        <v>0</v>
      </c>
      <c r="AF50">
        <v>0</v>
      </c>
      <c r="AG50">
        <v>0</v>
      </c>
    </row>
    <row r="51" spans="1:33" x14ac:dyDescent="0.25">
      <c r="X51" s="157">
        <v>14</v>
      </c>
      <c r="Y51">
        <v>111</v>
      </c>
      <c r="Z51">
        <v>12</v>
      </c>
      <c r="AA51">
        <v>1</v>
      </c>
      <c r="AB51">
        <v>0</v>
      </c>
      <c r="AC51">
        <v>16</v>
      </c>
      <c r="AD51">
        <v>28</v>
      </c>
      <c r="AE51">
        <v>1</v>
      </c>
      <c r="AF51">
        <v>0</v>
      </c>
      <c r="AG51">
        <v>29</v>
      </c>
    </row>
    <row r="52" spans="1:33" x14ac:dyDescent="0.25">
      <c r="X52" s="157">
        <v>15</v>
      </c>
      <c r="Y52">
        <v>0</v>
      </c>
      <c r="Z52">
        <v>0</v>
      </c>
      <c r="AA52">
        <v>40</v>
      </c>
      <c r="AB52">
        <v>0</v>
      </c>
      <c r="AC52">
        <v>0</v>
      </c>
      <c r="AD52">
        <v>0</v>
      </c>
      <c r="AE52">
        <v>0</v>
      </c>
      <c r="AF52">
        <v>0</v>
      </c>
      <c r="AG52">
        <v>0</v>
      </c>
    </row>
  </sheetData>
  <pageMargins left="0.7" right="0.7" top="0.75" bottom="0.75" header="0.3" footer="0.3"/>
  <pageSetup paperSize="0" orientation="portrait" horizontalDpi="0" verticalDpi="0" copie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L206"/>
  <sheetViews>
    <sheetView zoomScale="85" zoomScaleNormal="85" workbookViewId="0">
      <pane xSplit="2" ySplit="5" topLeftCell="AK6" activePane="bottomRight" state="frozen"/>
      <selection pane="topRight" activeCell="C1" sqref="C1"/>
      <selection pane="bottomLeft" activeCell="A6" sqref="A6"/>
      <selection pane="bottomRight" activeCell="AC6" sqref="AC6"/>
    </sheetView>
  </sheetViews>
  <sheetFormatPr defaultRowHeight="15" x14ac:dyDescent="0.25"/>
  <cols>
    <col min="1" max="1" width="23.5703125" bestFit="1" customWidth="1"/>
    <col min="2" max="2" width="19.42578125" customWidth="1"/>
    <col min="6" max="9" width="10" customWidth="1"/>
    <col min="11" max="11" width="23.5703125" bestFit="1" customWidth="1"/>
    <col min="12" max="12" width="19.42578125" customWidth="1"/>
    <col min="15" max="15" width="12.28515625" bestFit="1" customWidth="1"/>
    <col min="16" max="16" width="10" customWidth="1"/>
    <col min="18" max="18" width="23.5703125" bestFit="1" customWidth="1"/>
    <col min="19" max="19" width="19.42578125" customWidth="1"/>
    <col min="21" max="21" width="11.7109375" bestFit="1" customWidth="1"/>
    <col min="22" max="22" width="12.28515625" bestFit="1" customWidth="1"/>
    <col min="23" max="23" width="10" customWidth="1"/>
    <col min="27" max="27" width="17.85546875" bestFit="1" customWidth="1"/>
    <col min="29" max="29" width="11.7109375" bestFit="1" customWidth="1"/>
    <col min="30" max="30" width="10" customWidth="1"/>
    <col min="31" max="31" width="9.85546875" customWidth="1"/>
    <col min="33" max="33" width="17.85546875" bestFit="1" customWidth="1"/>
    <col min="39" max="39" width="17.85546875" bestFit="1" customWidth="1"/>
    <col min="45" max="45" width="17.85546875" bestFit="1" customWidth="1"/>
    <col min="46" max="46" width="9.5703125" customWidth="1"/>
    <col min="48" max="48" width="9.7109375" customWidth="1"/>
    <col min="49" max="49" width="10.7109375" customWidth="1"/>
    <col min="51" max="51" width="17.85546875" bestFit="1" customWidth="1"/>
    <col min="57" max="57" width="17.85546875" bestFit="1" customWidth="1"/>
    <col min="63" max="63" width="17.85546875" bestFit="1" customWidth="1"/>
    <col min="69" max="69" width="17.85546875" bestFit="1" customWidth="1"/>
  </cols>
  <sheetData>
    <row r="1" spans="1:90" ht="28.5" x14ac:dyDescent="0.45">
      <c r="A1" s="174" t="s">
        <v>371</v>
      </c>
      <c r="B1" s="124"/>
      <c r="K1" s="174" t="s">
        <v>371</v>
      </c>
      <c r="L1" s="124"/>
      <c r="R1" s="174" t="s">
        <v>371</v>
      </c>
      <c r="S1" s="124"/>
      <c r="BP1" s="403" t="s">
        <v>570</v>
      </c>
      <c r="BQ1" s="403"/>
      <c r="BR1" s="276">
        <v>0.5</v>
      </c>
    </row>
    <row r="2" spans="1:90" ht="19.149999999999999" customHeight="1" x14ac:dyDescent="0.25"/>
    <row r="3" spans="1:90" ht="18.75" x14ac:dyDescent="0.3">
      <c r="B3" s="402" t="s">
        <v>7</v>
      </c>
      <c r="C3" s="402"/>
      <c r="D3" s="402"/>
      <c r="E3" s="402"/>
      <c r="F3" s="402"/>
      <c r="G3" s="298"/>
      <c r="H3" s="303" t="s">
        <v>554</v>
      </c>
      <c r="I3" s="303" t="s">
        <v>558</v>
      </c>
      <c r="L3" s="402" t="s">
        <v>561</v>
      </c>
      <c r="M3" s="402"/>
      <c r="N3" s="402"/>
      <c r="O3" s="402"/>
      <c r="P3" s="402"/>
      <c r="S3" s="402" t="s">
        <v>562</v>
      </c>
      <c r="T3" s="402"/>
      <c r="U3" s="402"/>
      <c r="V3" s="402"/>
      <c r="W3" s="402"/>
      <c r="AA3" s="402" t="s">
        <v>3</v>
      </c>
      <c r="AB3" s="402"/>
      <c r="AC3" s="402"/>
      <c r="AD3" s="402"/>
      <c r="AE3" s="402"/>
      <c r="AG3" s="402" t="s">
        <v>7</v>
      </c>
      <c r="AH3" s="402"/>
      <c r="AI3" s="402"/>
      <c r="AJ3" s="402"/>
      <c r="AK3" s="402"/>
      <c r="AM3" s="402" t="s">
        <v>3</v>
      </c>
      <c r="AN3" s="402"/>
      <c r="AO3" s="402"/>
      <c r="AP3" s="402"/>
      <c r="AQ3" s="402"/>
      <c r="AS3" s="402" t="s">
        <v>7</v>
      </c>
      <c r="AT3" s="402"/>
      <c r="AU3" s="402"/>
      <c r="AV3" s="402"/>
      <c r="AW3" s="402"/>
      <c r="AY3" s="402" t="s">
        <v>3</v>
      </c>
      <c r="AZ3" s="402"/>
      <c r="BA3" s="402"/>
      <c r="BB3" s="402"/>
      <c r="BC3" s="402"/>
      <c r="BE3" s="402" t="s">
        <v>566</v>
      </c>
      <c r="BF3" s="402"/>
      <c r="BG3" s="402"/>
      <c r="BH3" s="402"/>
      <c r="BI3" s="402"/>
      <c r="BK3" s="402" t="s">
        <v>567</v>
      </c>
      <c r="BL3" s="402"/>
      <c r="BM3" s="402"/>
      <c r="BN3" s="402"/>
      <c r="BO3" s="402"/>
      <c r="BQ3" s="402" t="s">
        <v>568</v>
      </c>
      <c r="BR3" s="402"/>
      <c r="BS3" s="402"/>
      <c r="BT3" s="402"/>
      <c r="BU3" s="402"/>
    </row>
    <row r="4" spans="1:90" ht="26.25" x14ac:dyDescent="0.4">
      <c r="A4" s="150" t="s">
        <v>4</v>
      </c>
      <c r="B4" s="402" t="s">
        <v>7</v>
      </c>
      <c r="C4" s="402"/>
      <c r="D4" s="402"/>
      <c r="E4" s="402"/>
      <c r="F4" s="402"/>
      <c r="G4" s="298"/>
      <c r="H4" s="298"/>
      <c r="I4" s="298"/>
      <c r="K4" s="150" t="s">
        <v>4</v>
      </c>
      <c r="L4" s="402" t="s">
        <v>7</v>
      </c>
      <c r="M4" s="402"/>
      <c r="N4" s="402"/>
      <c r="O4" s="402"/>
      <c r="P4" s="402"/>
      <c r="R4" s="150" t="s">
        <v>4</v>
      </c>
      <c r="S4" s="402" t="s">
        <v>7</v>
      </c>
      <c r="T4" s="402"/>
      <c r="U4" s="402"/>
      <c r="V4" s="402"/>
      <c r="W4" s="402"/>
      <c r="AA4" s="402" t="s">
        <v>3</v>
      </c>
      <c r="AB4" s="402"/>
      <c r="AC4" s="402"/>
      <c r="AD4" s="402"/>
      <c r="AE4" s="402"/>
      <c r="AG4" s="402" t="s">
        <v>7</v>
      </c>
      <c r="AH4" s="402"/>
      <c r="AI4" s="402"/>
      <c r="AJ4" s="402"/>
      <c r="AK4" s="402"/>
      <c r="AM4" s="402" t="s">
        <v>3</v>
      </c>
      <c r="AN4" s="402"/>
      <c r="AO4" s="402"/>
      <c r="AP4" s="402"/>
      <c r="AQ4" s="402"/>
      <c r="AS4" s="402" t="s">
        <v>154</v>
      </c>
      <c r="AT4" s="402"/>
      <c r="AU4" s="402"/>
      <c r="AV4" s="402"/>
      <c r="AW4" s="402"/>
      <c r="AY4" s="402" t="s">
        <v>160</v>
      </c>
      <c r="AZ4" s="402"/>
      <c r="BA4" s="402"/>
      <c r="BB4" s="402"/>
      <c r="BC4" s="402"/>
      <c r="BE4" s="402"/>
      <c r="BF4" s="402"/>
      <c r="BG4" s="402"/>
      <c r="BH4" s="402"/>
      <c r="BI4" s="402"/>
      <c r="BK4" s="402"/>
      <c r="BL4" s="402"/>
      <c r="BM4" s="402"/>
      <c r="BN4" s="402"/>
      <c r="BO4" s="402"/>
      <c r="BQ4" s="402"/>
      <c r="BR4" s="402"/>
      <c r="BS4" s="402"/>
      <c r="BT4" s="402"/>
      <c r="BU4" s="402"/>
    </row>
    <row r="5" spans="1:90" ht="26.25" x14ac:dyDescent="0.25">
      <c r="B5" s="102" t="s">
        <v>134</v>
      </c>
      <c r="C5" s="103" t="s">
        <v>135</v>
      </c>
      <c r="D5" s="104" t="s">
        <v>136</v>
      </c>
      <c r="E5" s="105" t="s">
        <v>137</v>
      </c>
      <c r="F5" s="106" t="s">
        <v>29</v>
      </c>
      <c r="G5" s="299"/>
      <c r="H5" s="299"/>
      <c r="I5" s="299"/>
      <c r="L5" s="102" t="s">
        <v>134</v>
      </c>
      <c r="M5" s="103" t="s">
        <v>135</v>
      </c>
      <c r="N5" s="104" t="s">
        <v>136</v>
      </c>
      <c r="O5" s="105" t="s">
        <v>137</v>
      </c>
      <c r="P5" s="106" t="s">
        <v>29</v>
      </c>
      <c r="S5" s="102" t="s">
        <v>134</v>
      </c>
      <c r="T5" s="103" t="s">
        <v>135</v>
      </c>
      <c r="U5" s="104" t="s">
        <v>136</v>
      </c>
      <c r="V5" s="105" t="s">
        <v>137</v>
      </c>
      <c r="W5" s="106" t="s">
        <v>29</v>
      </c>
      <c r="AA5" s="102" t="s">
        <v>134</v>
      </c>
      <c r="AB5" s="103" t="s">
        <v>135</v>
      </c>
      <c r="AC5" s="104" t="s">
        <v>136</v>
      </c>
      <c r="AD5" s="105" t="s">
        <v>137</v>
      </c>
      <c r="AE5" s="106" t="s">
        <v>29</v>
      </c>
      <c r="AG5" s="102" t="s">
        <v>134</v>
      </c>
      <c r="AH5" s="103" t="s">
        <v>135</v>
      </c>
      <c r="AI5" s="104" t="s">
        <v>136</v>
      </c>
      <c r="AJ5" s="105" t="s">
        <v>137</v>
      </c>
      <c r="AK5" s="106" t="s">
        <v>29</v>
      </c>
      <c r="AM5" s="102" t="s">
        <v>134</v>
      </c>
      <c r="AN5" s="103" t="s">
        <v>135</v>
      </c>
      <c r="AO5" s="104" t="s">
        <v>136</v>
      </c>
      <c r="AP5" s="105" t="s">
        <v>137</v>
      </c>
      <c r="AQ5" s="106" t="s">
        <v>29</v>
      </c>
      <c r="AS5" s="102" t="s">
        <v>134</v>
      </c>
      <c r="AT5" s="103" t="s">
        <v>135</v>
      </c>
      <c r="AU5" s="104" t="s">
        <v>136</v>
      </c>
      <c r="AV5" s="105" t="s">
        <v>137</v>
      </c>
      <c r="AW5" s="106" t="s">
        <v>29</v>
      </c>
      <c r="AY5" s="102" t="s">
        <v>134</v>
      </c>
      <c r="AZ5" s="103" t="s">
        <v>135</v>
      </c>
      <c r="BA5" s="104" t="s">
        <v>136</v>
      </c>
      <c r="BB5" s="105" t="s">
        <v>137</v>
      </c>
      <c r="BC5" s="106" t="s">
        <v>29</v>
      </c>
      <c r="BE5" s="102" t="s">
        <v>134</v>
      </c>
      <c r="BF5" s="103" t="s">
        <v>135</v>
      </c>
      <c r="BG5" s="104" t="s">
        <v>136</v>
      </c>
      <c r="BH5" s="105" t="s">
        <v>137</v>
      </c>
      <c r="BI5" s="106" t="s">
        <v>29</v>
      </c>
      <c r="BK5" s="102" t="s">
        <v>134</v>
      </c>
      <c r="BL5" s="103" t="s">
        <v>135</v>
      </c>
      <c r="BM5" s="104" t="s">
        <v>136</v>
      </c>
      <c r="BN5" s="105" t="s">
        <v>137</v>
      </c>
      <c r="BO5" s="106" t="s">
        <v>29</v>
      </c>
      <c r="BQ5" s="102" t="s">
        <v>134</v>
      </c>
      <c r="BR5" s="103" t="s">
        <v>135</v>
      </c>
      <c r="BS5" s="104" t="s">
        <v>136</v>
      </c>
      <c r="BT5" s="105" t="s">
        <v>137</v>
      </c>
      <c r="BU5" s="106" t="s">
        <v>29</v>
      </c>
      <c r="BX5">
        <v>1</v>
      </c>
      <c r="BY5">
        <v>2</v>
      </c>
      <c r="BZ5">
        <v>3</v>
      </c>
      <c r="CA5">
        <v>4</v>
      </c>
      <c r="CB5">
        <v>5</v>
      </c>
      <c r="CC5">
        <v>6</v>
      </c>
      <c r="CD5">
        <v>7</v>
      </c>
      <c r="CE5">
        <v>8</v>
      </c>
      <c r="CG5">
        <v>9</v>
      </c>
      <c r="CH5">
        <v>10</v>
      </c>
      <c r="CI5">
        <v>11</v>
      </c>
      <c r="CJ5">
        <v>12</v>
      </c>
      <c r="CK5">
        <v>13</v>
      </c>
    </row>
    <row r="6" spans="1:90" x14ac:dyDescent="0.25">
      <c r="A6">
        <v>1</v>
      </c>
      <c r="B6" s="107" t="s">
        <v>386</v>
      </c>
      <c r="C6" s="297">
        <v>0</v>
      </c>
      <c r="D6" s="113">
        <f>INDEX(TourMode_input!$B$20:$J$33,MATCH(TourMode!$A6,modes,0),MATCH("work",modePurpose,0))</f>
        <v>397916.46717999998</v>
      </c>
      <c r="E6" s="113">
        <f>INDEX(TourMode_input!$B$36:$J$49,MATCH(TourMode!$A6,modes,0),MATCH("work",modePurpose,0))</f>
        <v>2020079.1609700001</v>
      </c>
      <c r="F6" s="114">
        <f>SUM(C6:E6)</f>
        <v>2417995.6281500002</v>
      </c>
      <c r="G6" s="300"/>
      <c r="H6" s="300"/>
      <c r="I6" s="300"/>
      <c r="J6" s="115"/>
      <c r="K6">
        <v>1</v>
      </c>
      <c r="L6" s="107" t="s">
        <v>386</v>
      </c>
      <c r="M6" s="113">
        <f>C6</f>
        <v>0</v>
      </c>
      <c r="N6" s="113">
        <f>D6</f>
        <v>397916.46717999998</v>
      </c>
      <c r="O6" s="113">
        <f>E6</f>
        <v>2020079.1609700001</v>
      </c>
      <c r="P6" s="114">
        <f>SUM(M6:O6)</f>
        <v>2417995.6281500002</v>
      </c>
      <c r="Q6" s="115"/>
      <c r="R6">
        <v>1</v>
      </c>
      <c r="S6" s="107" t="s">
        <v>386</v>
      </c>
      <c r="T6" s="113">
        <f>IF(M20&gt;0,M6/M20*T20,0)</f>
        <v>0</v>
      </c>
      <c r="U6" s="113">
        <f>IF(N20&gt;0,N6/N20*U20,0)</f>
        <v>594306.22024246689</v>
      </c>
      <c r="V6" s="113">
        <f>IF(O20&gt;0,O6/O20*V20,0)</f>
        <v>1552022.1632680278</v>
      </c>
      <c r="W6" s="114">
        <f>SUM(T6:V6)</f>
        <v>2146328.3835104946</v>
      </c>
      <c r="X6" s="115"/>
      <c r="Y6" s="115"/>
      <c r="Z6" s="115"/>
      <c r="AA6" s="107" t="s">
        <v>386</v>
      </c>
      <c r="AB6" s="113">
        <f>INDEX(TourMode_input!$L$4:$T$17,MATCH(TourMode!$A6,modes,0),MATCH("work",modePurpose,0))*Index!$B$2</f>
        <v>0</v>
      </c>
      <c r="AC6" s="113">
        <f>INDEX(TourMode_input!$L$20:$T$33,MATCH(TourMode!$A6,modes,0), MATCH("work",modePurpose,0))*Index!$B$2</f>
        <v>559485</v>
      </c>
      <c r="AD6" s="113">
        <f>INDEX(TourMode_input!$L$36:$T$49,MATCH(TourMode!$A6,modes,0), MATCH("work",modePurpose,0))*Index!$B$2</f>
        <v>1493650</v>
      </c>
      <c r="AE6" s="114">
        <f>SUM(AB6:AD6)</f>
        <v>2053135</v>
      </c>
      <c r="AG6" s="107" t="s">
        <v>538</v>
      </c>
      <c r="AH6" s="117">
        <f>(T6+T7)/T$19</f>
        <v>0</v>
      </c>
      <c r="AI6" s="117">
        <f>(U6+U7)/U$19</f>
        <v>0.51945773149427088</v>
      </c>
      <c r="AJ6" s="117">
        <f>(V6+V7)/V$19</f>
        <v>0.77538414679525003</v>
      </c>
      <c r="AK6" s="117">
        <f>(W6+W7)/W$19</f>
        <v>0.64805388854503054</v>
      </c>
      <c r="AL6" s="115"/>
      <c r="AM6" s="107" t="s">
        <v>538</v>
      </c>
      <c r="AN6" s="117">
        <f>(AB6+AB7)/AB$19</f>
        <v>0</v>
      </c>
      <c r="AO6" s="117">
        <f>(AC6+AC7)/AC$19</f>
        <v>0.54404029051761649</v>
      </c>
      <c r="AP6" s="117">
        <f>(AD6+AD7)/AD$19</f>
        <v>0.79829707687394968</v>
      </c>
      <c r="AQ6" s="117">
        <f>(AE6+AE7)/AE$19</f>
        <v>0.67031227330528365</v>
      </c>
      <c r="AS6" s="107" t="s">
        <v>386</v>
      </c>
      <c r="AT6" s="113">
        <f>AB6-T6</f>
        <v>0</v>
      </c>
      <c r="AU6" s="113">
        <f t="shared" ref="AU6:AU19" si="0">AC6-U6</f>
        <v>-34821.220242466894</v>
      </c>
      <c r="AV6" s="113">
        <f t="shared" ref="AV6:AV19" si="1">AD6-V6</f>
        <v>-58372.163268027827</v>
      </c>
      <c r="AW6" s="114">
        <f t="shared" ref="AW6:AW19" si="2">AE6-W6</f>
        <v>-93193.383510494605</v>
      </c>
      <c r="AX6" s="115"/>
      <c r="AY6" s="107" t="s">
        <v>386</v>
      </c>
      <c r="AZ6" s="117">
        <f>IF(C6=0, 0,AT6/C6)</f>
        <v>0</v>
      </c>
      <c r="BA6" s="117">
        <f>IF(D6=0, 0,AU6/D6)</f>
        <v>-8.7508869610855536E-2</v>
      </c>
      <c r="BB6" s="117">
        <f>IF(E6=0, 0,AV6/E6)</f>
        <v>-2.8895978135826481E-2</v>
      </c>
      <c r="BC6" s="118">
        <f>IF(F6=0, 0,AW6/F6)</f>
        <v>-3.8541584784335003E-2</v>
      </c>
      <c r="BE6" s="107" t="s">
        <v>538</v>
      </c>
      <c r="BF6" s="307">
        <f>IFERROR(IF(AN6&gt;0,LN(AH6/AN6),0),0)</f>
        <v>0</v>
      </c>
      <c r="BG6" s="307">
        <f t="shared" ref="BG6:BG18" si="3">IFERROR(IF(AO6&gt;0,LN(AI6/AO6),0),0)</f>
        <v>-4.623786415819995E-2</v>
      </c>
      <c r="BH6" s="307">
        <f t="shared" ref="BH6:BH18" si="4">IFERROR(IF(AP6&gt;0,LN(AJ6/AP6),0),0)</f>
        <v>-2.9122225124280421E-2</v>
      </c>
      <c r="BI6" s="118"/>
      <c r="BK6" s="107" t="s">
        <v>538</v>
      </c>
      <c r="BL6" s="308">
        <v>0</v>
      </c>
      <c r="BM6" s="309">
        <v>0</v>
      </c>
      <c r="BN6" s="309">
        <v>0</v>
      </c>
      <c r="BO6" s="118"/>
      <c r="BQ6" s="107" t="s">
        <v>538</v>
      </c>
      <c r="BR6" s="308">
        <v>0</v>
      </c>
      <c r="BS6" s="309">
        <v>0</v>
      </c>
      <c r="BT6" s="309">
        <v>0</v>
      </c>
      <c r="BU6" s="118"/>
      <c r="BX6" s="5" t="s">
        <v>386</v>
      </c>
      <c r="BY6" s="5" t="s">
        <v>387</v>
      </c>
      <c r="BZ6" s="5" t="s">
        <v>388</v>
      </c>
      <c r="CA6" s="5" t="s">
        <v>389</v>
      </c>
      <c r="CB6" s="5" t="s">
        <v>390</v>
      </c>
      <c r="CC6" s="5" t="s">
        <v>391</v>
      </c>
      <c r="CD6" s="5" t="s">
        <v>392</v>
      </c>
      <c r="CE6" s="5" t="s">
        <v>393</v>
      </c>
      <c r="CF6" s="5" t="s">
        <v>571</v>
      </c>
      <c r="CG6" s="5" t="s">
        <v>569</v>
      </c>
      <c r="CH6" s="5" t="s">
        <v>396</v>
      </c>
      <c r="CI6" s="5" t="s">
        <v>397</v>
      </c>
      <c r="CJ6" s="5" t="s">
        <v>398</v>
      </c>
      <c r="CK6" s="287" t="s">
        <v>399</v>
      </c>
      <c r="CL6" s="287"/>
    </row>
    <row r="7" spans="1:90" x14ac:dyDescent="0.25">
      <c r="A7">
        <v>2</v>
      </c>
      <c r="B7" s="107" t="s">
        <v>387</v>
      </c>
      <c r="C7" s="297">
        <v>0</v>
      </c>
      <c r="D7" s="113">
        <f>INDEX(TourMode_input!$B$20:$J$33,MATCH(TourMode!$A7,modes,0),MATCH("work",modePurpose,0))</f>
        <v>13673.94627</v>
      </c>
      <c r="E7" s="113">
        <f>INDEX(TourMode_input!$B$36:$J$49,MATCH(TourMode!$A7,modes,0),MATCH("work",modePurpose,0))</f>
        <v>144841.65341</v>
      </c>
      <c r="F7" s="116">
        <f t="shared" ref="F7:F18" si="5">SUM(C7:E7)</f>
        <v>158515.59967999998</v>
      </c>
      <c r="G7" s="300"/>
      <c r="H7" s="300"/>
      <c r="I7" s="300"/>
      <c r="J7" s="115"/>
      <c r="K7">
        <v>2</v>
      </c>
      <c r="L7" s="107" t="s">
        <v>387</v>
      </c>
      <c r="M7" s="113">
        <f t="shared" ref="M7:M13" si="6">C7</f>
        <v>0</v>
      </c>
      <c r="N7" s="113">
        <f t="shared" ref="N7:N13" si="7">D7</f>
        <v>13673.94627</v>
      </c>
      <c r="O7" s="113">
        <f t="shared" ref="O7:O13" si="8">E7</f>
        <v>144841.65341</v>
      </c>
      <c r="P7" s="116">
        <f t="shared" ref="P7:P18" si="9">SUM(M7:O7)</f>
        <v>158515.59967999998</v>
      </c>
      <c r="Q7" s="115"/>
      <c r="R7">
        <v>2</v>
      </c>
      <c r="S7" s="107" t="s">
        <v>387</v>
      </c>
      <c r="T7" s="113">
        <f>IF(M20&gt;0,M7/M20*T20,0)</f>
        <v>0</v>
      </c>
      <c r="U7" s="113">
        <f>IF(N20&gt;0,N7/N20*U20,0)</f>
        <v>20422.656496510863</v>
      </c>
      <c r="V7" s="113">
        <f>IF(O20&gt;0,O7/O20*V20,0)</f>
        <v>111281.50846760039</v>
      </c>
      <c r="W7" s="116">
        <f t="shared" ref="W7:W18" si="10">SUM(T7:V7)</f>
        <v>131704.16496411126</v>
      </c>
      <c r="X7" s="115"/>
      <c r="Y7" s="115"/>
      <c r="Z7" s="115"/>
      <c r="AA7" s="107" t="s">
        <v>387</v>
      </c>
      <c r="AB7" s="113">
        <f>INDEX(TourMode_input!$L$4:$T$17,MATCH(TourMode!$A7,modes,0),MATCH("work",modePurpose,0))*Index!$B$2</f>
        <v>0</v>
      </c>
      <c r="AC7" s="113">
        <f>INDEX(TourMode_input!$L$20:$T$33,MATCH(TourMode!$A7,modes,0), MATCH("work",modePurpose,0))*Index!$B$2</f>
        <v>84335</v>
      </c>
      <c r="AD7" s="113">
        <f>INDEX(TourMode_input!$L$36:$T$49,MATCH(TourMode!$A7,modes,0), MATCH("work",modePurpose,0))*Index!$B$2</f>
        <v>218805</v>
      </c>
      <c r="AE7" s="116">
        <f t="shared" ref="AE7:AE18" si="11">SUM(AB7:AD7)</f>
        <v>303140</v>
      </c>
      <c r="AG7" s="107"/>
      <c r="AH7" s="117"/>
      <c r="AI7" s="117"/>
      <c r="AJ7" s="117"/>
      <c r="AK7" s="118"/>
      <c r="AL7" s="115"/>
      <c r="AM7" s="107"/>
      <c r="AN7" s="117"/>
      <c r="AO7" s="117"/>
      <c r="AP7" s="117"/>
      <c r="AQ7" s="118"/>
      <c r="AS7" s="107" t="s">
        <v>387</v>
      </c>
      <c r="AT7" s="113">
        <f t="shared" ref="AT7:AT19" si="12">AB7-T7</f>
        <v>0</v>
      </c>
      <c r="AU7" s="113">
        <f t="shared" si="0"/>
        <v>63912.343503489137</v>
      </c>
      <c r="AV7" s="113">
        <f t="shared" si="1"/>
        <v>107523.49153239961</v>
      </c>
      <c r="AW7" s="116">
        <f t="shared" si="2"/>
        <v>171435.83503588874</v>
      </c>
      <c r="AX7" s="115"/>
      <c r="AY7" s="107" t="s">
        <v>387</v>
      </c>
      <c r="AZ7" s="117">
        <f t="shared" ref="AZ7:AZ19" si="13">IF(C7=0, 0,AT7/C7)</f>
        <v>0</v>
      </c>
      <c r="BA7" s="117">
        <f t="shared" ref="BA7:BA19" si="14">IF(D7=0, 0,AU7/D7)</f>
        <v>4.6740233025275106</v>
      </c>
      <c r="BB7" s="117">
        <f t="shared" ref="BB7:BB19" si="15">IF(E7=0, 0,AV7/E7)</f>
        <v>0.74235200303903803</v>
      </c>
      <c r="BC7" s="118">
        <f t="shared" ref="BC7:BC19" si="16">IF(F7=0, 0,AW7/F7)</f>
        <v>1.0815076584384831</v>
      </c>
      <c r="BE7" s="107"/>
      <c r="BF7" s="307">
        <f t="shared" ref="BF7:BF18" si="17">IFERROR(IF(AN7&gt;0,LN(AH7/AN7),0),0)</f>
        <v>0</v>
      </c>
      <c r="BG7" s="307">
        <f t="shared" si="3"/>
        <v>0</v>
      </c>
      <c r="BH7" s="307">
        <f t="shared" si="4"/>
        <v>0</v>
      </c>
      <c r="BI7" s="118"/>
      <c r="BK7" s="107"/>
      <c r="BL7" s="308"/>
      <c r="BM7" s="307"/>
      <c r="BN7" s="307"/>
      <c r="BO7" s="118"/>
      <c r="BQ7" s="107"/>
      <c r="BR7" s="308"/>
      <c r="BS7" s="307"/>
      <c r="BT7" s="307"/>
      <c r="BU7" s="118"/>
      <c r="BW7" t="s">
        <v>131</v>
      </c>
      <c r="BX7">
        <f>IF(ISNUMBER(INDEX($BR$6:$BR$19,BX5,1)),INDEX($BR$6:$BR$19,BX5,1),0)</f>
        <v>0</v>
      </c>
      <c r="BY7">
        <f t="shared" ref="BY7:CJ7" si="18">IF(ISNUMBER(INDEX($BR$6:$BR$19,BY5,1)),INDEX($BR$6:$BR$19,BY5,1),0)</f>
        <v>0</v>
      </c>
      <c r="BZ7">
        <f t="shared" si="18"/>
        <v>0</v>
      </c>
      <c r="CA7">
        <f>BZ7</f>
        <v>0</v>
      </c>
      <c r="CB7">
        <f t="shared" si="18"/>
        <v>3.2077489902163192</v>
      </c>
      <c r="CC7">
        <f>CB7</f>
        <v>3.2077489902163192</v>
      </c>
      <c r="CD7">
        <f t="shared" si="18"/>
        <v>-2.5218148636356266</v>
      </c>
      <c r="CE7">
        <f t="shared" si="18"/>
        <v>-3.3381830038054234</v>
      </c>
      <c r="CG7">
        <f t="shared" si="18"/>
        <v>-3.012703189840098</v>
      </c>
      <c r="CH7">
        <f t="shared" si="18"/>
        <v>-3.3217141455574142</v>
      </c>
      <c r="CI7">
        <f t="shared" si="18"/>
        <v>-2.2054448356865564</v>
      </c>
      <c r="CJ7">
        <f t="shared" si="18"/>
        <v>-5.5096380405959984</v>
      </c>
      <c r="CK7" s="312">
        <v>-999</v>
      </c>
    </row>
    <row r="8" spans="1:90" x14ac:dyDescent="0.25">
      <c r="A8">
        <v>3</v>
      </c>
      <c r="B8" s="107" t="s">
        <v>388</v>
      </c>
      <c r="C8" s="113">
        <f>INDEX(TourMode_input!$B$4:$J$172,MATCH(TourMode!$A8,modes,0),MATCH("work",modePurpose,0))</f>
        <v>12994.649020000001</v>
      </c>
      <c r="D8" s="113">
        <f>INDEX(TourMode_input!$B$20:$J$33,MATCH(TourMode!$A8,modes,0),MATCH("work",modePurpose,0))</f>
        <v>137341.0269</v>
      </c>
      <c r="E8" s="113">
        <f>INDEX(TourMode_input!$B$36:$J$49,MATCH(TourMode!$A8,modes,0),MATCH("work",modePurpose,0))</f>
        <v>213123.38761999999</v>
      </c>
      <c r="F8" s="116">
        <f t="shared" si="5"/>
        <v>363459.06354</v>
      </c>
      <c r="G8" s="300"/>
      <c r="H8" s="300"/>
      <c r="I8" s="300"/>
      <c r="J8" s="115"/>
      <c r="K8">
        <v>3</v>
      </c>
      <c r="L8" s="107" t="s">
        <v>388</v>
      </c>
      <c r="M8" s="113">
        <f t="shared" si="6"/>
        <v>12994.649020000001</v>
      </c>
      <c r="N8" s="113">
        <f t="shared" si="7"/>
        <v>137341.0269</v>
      </c>
      <c r="O8" s="113">
        <f t="shared" si="8"/>
        <v>213123.38761999999</v>
      </c>
      <c r="P8" s="116">
        <f t="shared" si="9"/>
        <v>363459.06354</v>
      </c>
      <c r="Q8" s="115"/>
      <c r="R8">
        <v>3</v>
      </c>
      <c r="S8" s="107" t="s">
        <v>388</v>
      </c>
      <c r="T8" s="113">
        <f>IF(M20&gt;0,M8/M20*T20,0)</f>
        <v>14773.469093745602</v>
      </c>
      <c r="U8" s="113">
        <f>IF(N20&gt;0,N8/N20*U20,0)</f>
        <v>205125.0282744279</v>
      </c>
      <c r="V8" s="113">
        <f>IF(O20&gt;0,O8/O20*V20,0)</f>
        <v>163742.2074777371</v>
      </c>
      <c r="W8" s="116">
        <f t="shared" si="10"/>
        <v>383640.7048459106</v>
      </c>
      <c r="X8" s="115"/>
      <c r="Y8" s="115"/>
      <c r="Z8" s="115"/>
      <c r="AA8" s="107" t="s">
        <v>388</v>
      </c>
      <c r="AB8" s="113">
        <f>INDEX(TourMode_input!$L$4:$T$17,MATCH(TourMode!$A8,modes,0),MATCH("work",modePurpose,0))*Index!$B$2</f>
        <v>19370</v>
      </c>
      <c r="AC8" s="113">
        <f>INDEX(TourMode_input!$L$20:$T$33,MATCH(TourMode!$A8,modes,0), MATCH("work",modePurpose,0))*Index!$B$2</f>
        <v>211370</v>
      </c>
      <c r="AD8" s="113">
        <f>INDEX(TourMode_input!$L$36:$T$49,MATCH(TourMode!$A8,modes,0), MATCH("work",modePurpose,0))*Index!$B$2</f>
        <v>173945</v>
      </c>
      <c r="AE8" s="116">
        <f t="shared" si="11"/>
        <v>404685</v>
      </c>
      <c r="AG8" s="107" t="s">
        <v>576</v>
      </c>
      <c r="AH8" s="117">
        <f>(T8+T9)/T$19</f>
        <v>7.9150651453231191E-2</v>
      </c>
      <c r="AI8" s="117">
        <f>(U8+U9)/U$19</f>
        <v>0.17911028642009494</v>
      </c>
      <c r="AJ8" s="117">
        <f>(V8+V9)/V$19</f>
        <v>8.2575384526603166E-2</v>
      </c>
      <c r="AK8" s="117">
        <f>(W8+W9)/W$19</f>
        <v>0.11489245960565231</v>
      </c>
      <c r="AL8" s="115"/>
      <c r="AM8" s="107" t="s">
        <v>576</v>
      </c>
      <c r="AN8" s="117">
        <f>(AB8+AB9)/AB$19</f>
        <v>0.10902759174926333</v>
      </c>
      <c r="AO8" s="117">
        <f>(AC8+AC9)/AC$19</f>
        <v>0.19434175113338206</v>
      </c>
      <c r="AP8" s="117">
        <f>(AD8+AD9)/AD$19</f>
        <v>8.8600484351800707E-2</v>
      </c>
      <c r="AQ8" s="117">
        <f>(AE8+AE9)/AE$19</f>
        <v>0.12528341284539385</v>
      </c>
      <c r="AS8" s="107" t="s">
        <v>388</v>
      </c>
      <c r="AT8" s="113">
        <f t="shared" si="12"/>
        <v>4596.5309062543984</v>
      </c>
      <c r="AU8" s="113">
        <f t="shared" si="0"/>
        <v>6244.9717255721043</v>
      </c>
      <c r="AV8" s="113">
        <f t="shared" si="1"/>
        <v>10202.792522262898</v>
      </c>
      <c r="AW8" s="116">
        <f t="shared" si="2"/>
        <v>21044.295154089399</v>
      </c>
      <c r="AX8" s="115"/>
      <c r="AY8" s="107" t="s">
        <v>388</v>
      </c>
      <c r="AZ8" s="117">
        <f t="shared" si="13"/>
        <v>0.35372489854707889</v>
      </c>
      <c r="BA8" s="117">
        <f t="shared" si="14"/>
        <v>4.5470547778262642E-2</v>
      </c>
      <c r="BB8" s="117">
        <f t="shared" si="15"/>
        <v>4.7872702457482166E-2</v>
      </c>
      <c r="BC8" s="118">
        <f t="shared" si="16"/>
        <v>5.7900042302214863E-2</v>
      </c>
      <c r="BE8" s="107" t="s">
        <v>576</v>
      </c>
      <c r="BF8" s="307">
        <f t="shared" si="17"/>
        <v>-0.32024796860131688</v>
      </c>
      <c r="BG8" s="307">
        <f t="shared" si="3"/>
        <v>-8.1616471674090016E-2</v>
      </c>
      <c r="BH8" s="307">
        <f t="shared" si="4"/>
        <v>-7.042569635953079E-2</v>
      </c>
      <c r="BI8" s="118"/>
      <c r="BK8" s="107" t="s">
        <v>576</v>
      </c>
      <c r="BL8" s="309">
        <v>0</v>
      </c>
      <c r="BM8" s="307">
        <v>3.2288494579023457</v>
      </c>
      <c r="BN8" s="307">
        <v>3.2049138704896287</v>
      </c>
      <c r="BO8" s="118"/>
      <c r="BQ8" s="107" t="s">
        <v>576</v>
      </c>
      <c r="BR8" s="309">
        <v>0</v>
      </c>
      <c r="BS8" s="307">
        <f t="shared" ref="BS8:BS17" si="19">(BG8-BG$6)*$BR$1+BM8</f>
        <v>3.2111601541444008</v>
      </c>
      <c r="BT8" s="307">
        <f t="shared" ref="BT8:BT18" si="20">(BH8-BH$6)*$BR$1+BN8</f>
        <v>3.1842621348720037</v>
      </c>
      <c r="BU8" s="118"/>
      <c r="BW8" t="s">
        <v>132</v>
      </c>
      <c r="BX8">
        <f>IF(ISNUMBER(INDEX($BS$6:$BS$19,BX5,1)),INDEX($BS$6:$BS$19,BX5,1),0)</f>
        <v>0</v>
      </c>
      <c r="BY8">
        <f t="shared" ref="BY8:CJ8" si="21">IF(ISNUMBER(INDEX($BS$6:$BS$19,BY5,1)),INDEX($BS$6:$BS$19,BY5,1),0)</f>
        <v>0</v>
      </c>
      <c r="BZ8">
        <f t="shared" si="21"/>
        <v>3.2111601541444008</v>
      </c>
      <c r="CA8">
        <f t="shared" ref="CA8:CC9" si="22">BZ8</f>
        <v>3.2111601541444008</v>
      </c>
      <c r="CB8">
        <f t="shared" si="21"/>
        <v>3.2156398165648117</v>
      </c>
      <c r="CC8">
        <f t="shared" si="22"/>
        <v>3.2156398165648117</v>
      </c>
      <c r="CD8">
        <f t="shared" si="21"/>
        <v>0.35345963224274746</v>
      </c>
      <c r="CE8">
        <f t="shared" si="21"/>
        <v>-0.19671090404120753</v>
      </c>
      <c r="CG8">
        <f t="shared" si="21"/>
        <v>-1.5423269101826105</v>
      </c>
      <c r="CH8">
        <f t="shared" si="21"/>
        <v>-3.6746773544756062</v>
      </c>
      <c r="CI8">
        <f t="shared" si="21"/>
        <v>-2.7542120051209875</v>
      </c>
      <c r="CJ8">
        <f t="shared" si="21"/>
        <v>-2.4714617398957306</v>
      </c>
      <c r="CK8" s="312">
        <v>-999</v>
      </c>
    </row>
    <row r="9" spans="1:90" x14ac:dyDescent="0.25">
      <c r="A9">
        <v>4</v>
      </c>
      <c r="B9" s="107" t="s">
        <v>389</v>
      </c>
      <c r="C9" s="113">
        <f>INDEX(TourMode_input!$B$4:$J$172,MATCH(TourMode!$A9,modes,0),MATCH("work",modePurpose,0))</f>
        <v>0</v>
      </c>
      <c r="D9" s="113">
        <f>INDEX(TourMode_input!$B$20:$J$33,MATCH(TourMode!$A9,modes,0),MATCH("work",modePurpose,0))</f>
        <v>4576.3464899999999</v>
      </c>
      <c r="E9" s="113">
        <f>INDEX(TourMode_input!$B$36:$J$49,MATCH(TourMode!$A9,modes,0),MATCH("work",modePurpose,0))</f>
        <v>17432.22724</v>
      </c>
      <c r="F9" s="116">
        <f t="shared" si="5"/>
        <v>22008.57373</v>
      </c>
      <c r="G9" s="300"/>
      <c r="H9" s="300"/>
      <c r="I9" s="300"/>
      <c r="J9" s="115"/>
      <c r="K9">
        <v>4</v>
      </c>
      <c r="L9" s="107" t="s">
        <v>389</v>
      </c>
      <c r="M9" s="113">
        <f t="shared" si="6"/>
        <v>0</v>
      </c>
      <c r="N9" s="113">
        <f t="shared" si="7"/>
        <v>4576.3464899999999</v>
      </c>
      <c r="O9" s="113">
        <f t="shared" si="8"/>
        <v>17432.22724</v>
      </c>
      <c r="P9" s="116">
        <f t="shared" si="9"/>
        <v>22008.57373</v>
      </c>
      <c r="Q9" s="115"/>
      <c r="R9">
        <v>4</v>
      </c>
      <c r="S9" s="107" t="s">
        <v>389</v>
      </c>
      <c r="T9" s="113">
        <f>IF(M20&gt;0,M9/M20*T20,0)</f>
        <v>0</v>
      </c>
      <c r="U9" s="113">
        <f>IF(N20&gt;0,N9/N20*U20,0)</f>
        <v>6834.9802265445924</v>
      </c>
      <c r="V9" s="113">
        <f>IF(O20&gt;0,O9/O20*V20,0)</f>
        <v>13393.140008737726</v>
      </c>
      <c r="W9" s="116">
        <f t="shared" si="10"/>
        <v>20228.120235282317</v>
      </c>
      <c r="X9" s="115"/>
      <c r="Y9" s="115"/>
      <c r="Z9" s="115"/>
      <c r="AA9" s="107" t="s">
        <v>389</v>
      </c>
      <c r="AB9" s="113">
        <f>INDEX(TourMode_input!$L$4:$T$17,MATCH(TourMode!$A9,modes,0),MATCH("work",modePurpose,0))*Index!$B$2</f>
        <v>980</v>
      </c>
      <c r="AC9" s="113">
        <f>INDEX(TourMode_input!$L$20:$T$33,MATCH(TourMode!$A9,modes,0), MATCH("work",modePurpose,0))*Index!$B$2</f>
        <v>18615</v>
      </c>
      <c r="AD9" s="113">
        <f>INDEX(TourMode_input!$L$36:$T$49,MATCH(TourMode!$A9,modes,0), MATCH("work",modePurpose,0))*Index!$B$2</f>
        <v>16115</v>
      </c>
      <c r="AE9" s="116">
        <f t="shared" si="11"/>
        <v>35710</v>
      </c>
      <c r="AG9" s="107"/>
      <c r="AH9" s="117"/>
      <c r="AI9" s="117"/>
      <c r="AJ9" s="117"/>
      <c r="AK9" s="118"/>
      <c r="AL9" s="115"/>
      <c r="AM9" s="107"/>
      <c r="AN9" s="117"/>
      <c r="AO9" s="117"/>
      <c r="AP9" s="117"/>
      <c r="AQ9" s="118"/>
      <c r="AS9" s="107" t="s">
        <v>389</v>
      </c>
      <c r="AT9" s="113">
        <f t="shared" si="12"/>
        <v>980</v>
      </c>
      <c r="AU9" s="113">
        <f t="shared" si="0"/>
        <v>11780.019773455408</v>
      </c>
      <c r="AV9" s="113">
        <f t="shared" si="1"/>
        <v>2721.859991262274</v>
      </c>
      <c r="AW9" s="116">
        <f t="shared" si="2"/>
        <v>15481.879764717683</v>
      </c>
      <c r="AX9" s="115"/>
      <c r="AY9" s="107" t="s">
        <v>389</v>
      </c>
      <c r="AZ9" s="117">
        <f t="shared" si="13"/>
        <v>0</v>
      </c>
      <c r="BA9" s="117">
        <f t="shared" si="14"/>
        <v>2.5741101114604215</v>
      </c>
      <c r="BB9" s="117">
        <f t="shared" si="15"/>
        <v>0.15613954280131756</v>
      </c>
      <c r="BC9" s="118">
        <f t="shared" si="16"/>
        <v>0.70344766338103293</v>
      </c>
      <c r="BE9" s="107"/>
      <c r="BF9" s="307">
        <f t="shared" si="17"/>
        <v>0</v>
      </c>
      <c r="BG9" s="307">
        <f t="shared" si="3"/>
        <v>0</v>
      </c>
      <c r="BH9" s="307">
        <f t="shared" si="4"/>
        <v>0</v>
      </c>
      <c r="BI9" s="118"/>
      <c r="BK9" s="107"/>
      <c r="BL9" s="307"/>
      <c r="BM9" s="307"/>
      <c r="BN9" s="307"/>
      <c r="BO9" s="118"/>
      <c r="BQ9" s="107"/>
      <c r="BR9" s="307"/>
      <c r="BS9" s="307"/>
      <c r="BT9" s="307"/>
      <c r="BU9" s="118"/>
      <c r="BW9" t="s">
        <v>133</v>
      </c>
      <c r="BX9">
        <f>IF(ISNUMBER(INDEX($BT$6:$BT$19,BX5,1)),INDEX($BT$6:$BT$19,BX5,1),0)</f>
        <v>0</v>
      </c>
      <c r="BY9">
        <f t="shared" ref="BY9:CJ9" si="23">IF(ISNUMBER(INDEX($BT$6:$BT$19,BY5,1)),INDEX($BT$6:$BT$19,BY5,1),0)</f>
        <v>0</v>
      </c>
      <c r="BZ9">
        <f t="shared" si="23"/>
        <v>3.1842621348720037</v>
      </c>
      <c r="CA9">
        <f t="shared" si="22"/>
        <v>3.1842621348720037</v>
      </c>
      <c r="CB9">
        <f t="shared" si="23"/>
        <v>3.603055958130656</v>
      </c>
      <c r="CC9">
        <f t="shared" si="22"/>
        <v>3.603055958130656</v>
      </c>
      <c r="CD9">
        <f t="shared" si="23"/>
        <v>-1.493084578242259</v>
      </c>
      <c r="CE9">
        <f t="shared" si="23"/>
        <v>-1.9043011209646119</v>
      </c>
      <c r="CG9">
        <f t="shared" si="23"/>
        <v>-2.107514301395458</v>
      </c>
      <c r="CH9">
        <f t="shared" si="23"/>
        <v>-4.0962078472470278</v>
      </c>
      <c r="CI9">
        <f t="shared" si="23"/>
        <v>-1.8714646222498752</v>
      </c>
      <c r="CJ9">
        <f t="shared" si="23"/>
        <v>-1.7398223023070871</v>
      </c>
      <c r="CK9" s="312">
        <v>-999</v>
      </c>
    </row>
    <row r="10" spans="1:90" x14ac:dyDescent="0.25">
      <c r="A10">
        <v>5</v>
      </c>
      <c r="B10" s="107" t="s">
        <v>390</v>
      </c>
      <c r="C10" s="113">
        <f>INDEX(TourMode_input!$B$4:$J$172,MATCH(TourMode!$A10,modes,0),MATCH("work",modePurpose,0))</f>
        <v>15578.29702</v>
      </c>
      <c r="D10" s="113">
        <f>INDEX(TourMode_input!$B$20:$J$33,MATCH(TourMode!$A10,modes,0),MATCH("work",modePurpose,0))</f>
        <v>39484.334300000002</v>
      </c>
      <c r="E10" s="113">
        <f>INDEX(TourMode_input!$B$36:$J$49,MATCH(TourMode!$A10,modes,0),MATCH("work",modePurpose,0))</f>
        <v>125892.83252</v>
      </c>
      <c r="F10" s="116">
        <f t="shared" si="5"/>
        <v>180955.46383999998</v>
      </c>
      <c r="G10" s="300"/>
      <c r="H10" s="300"/>
      <c r="I10" s="300"/>
      <c r="J10" s="115"/>
      <c r="K10">
        <v>5</v>
      </c>
      <c r="L10" s="107" t="s">
        <v>390</v>
      </c>
      <c r="M10" s="113">
        <f t="shared" si="6"/>
        <v>15578.29702</v>
      </c>
      <c r="N10" s="113">
        <f t="shared" si="7"/>
        <v>39484.334300000002</v>
      </c>
      <c r="O10" s="113">
        <f t="shared" si="8"/>
        <v>125892.83252</v>
      </c>
      <c r="P10" s="116">
        <f t="shared" si="9"/>
        <v>180955.46383999998</v>
      </c>
      <c r="Q10" s="115"/>
      <c r="R10">
        <v>5</v>
      </c>
      <c r="S10" s="107" t="s">
        <v>390</v>
      </c>
      <c r="T10" s="113">
        <f>IF(M20&gt;0,M10/M20*T20,0)</f>
        <v>17710.78920284368</v>
      </c>
      <c r="U10" s="113">
        <f>IF(N20&gt;0,N10/N20*U20,0)</f>
        <v>58971.637044636547</v>
      </c>
      <c r="V10" s="113">
        <f>IF(O20&gt;0,O10/O20*V20,0)</f>
        <v>96723.173053182938</v>
      </c>
      <c r="W10" s="116">
        <f t="shared" si="10"/>
        <v>173405.59930066316</v>
      </c>
      <c r="X10" s="115"/>
      <c r="Y10" s="115"/>
      <c r="Z10" s="115"/>
      <c r="AA10" s="107" t="s">
        <v>390</v>
      </c>
      <c r="AB10" s="113">
        <f>INDEX(TourMode_input!$L$4:$T$17,MATCH(TourMode!$A10,modes,0),MATCH("work",modePurpose,0))*Index!$B$2</f>
        <v>23770</v>
      </c>
      <c r="AC10" s="113">
        <f>INDEX(TourMode_input!$L$20:$T$33,MATCH(TourMode!$A10,modes,0), MATCH("work",modePurpose,0))*Index!$B$2</f>
        <v>63350</v>
      </c>
      <c r="AD10" s="113">
        <f>INDEX(TourMode_input!$L$36:$T$49,MATCH(TourMode!$A10,modes,0), MATCH("work",modePurpose,0))*Index!$B$2</f>
        <v>106350</v>
      </c>
      <c r="AE10" s="116">
        <f t="shared" si="11"/>
        <v>193470</v>
      </c>
      <c r="AG10" s="107" t="s">
        <v>577</v>
      </c>
      <c r="AH10" s="117">
        <f>(T10+T11)/T$19</f>
        <v>9.4887699988447261E-2</v>
      </c>
      <c r="AI10" s="117">
        <f>(U10+U11)/U$19</f>
        <v>5.0243442755768759E-2</v>
      </c>
      <c r="AJ10" s="117">
        <f>(V10+V11)/V$19</f>
        <v>4.7626294709409059E-2</v>
      </c>
      <c r="AK10" s="117">
        <f>(W10+W11)/W$19</f>
        <v>5.1016861756747842E-2</v>
      </c>
      <c r="AL10" s="115"/>
      <c r="AM10" s="107" t="s">
        <v>577</v>
      </c>
      <c r="AN10" s="117">
        <f>(AB10+AB11)/AB$19</f>
        <v>0.13302973479774979</v>
      </c>
      <c r="AO10" s="117">
        <f>(AC10+AC11)/AC$19</f>
        <v>5.9045719766267678E-2</v>
      </c>
      <c r="AP10" s="117">
        <f>(AD10+AD11)/AD$19</f>
        <v>5.5917226654732685E-2</v>
      </c>
      <c r="AQ10" s="117">
        <f>(AE10+AE11)/AE$19</f>
        <v>6.1064977995499529E-2</v>
      </c>
      <c r="AS10" s="107" t="s">
        <v>390</v>
      </c>
      <c r="AT10" s="113">
        <f t="shared" si="12"/>
        <v>6059.21079715632</v>
      </c>
      <c r="AU10" s="113">
        <f t="shared" si="0"/>
        <v>4378.3629553634528</v>
      </c>
      <c r="AV10" s="113">
        <f t="shared" si="1"/>
        <v>9626.826946817062</v>
      </c>
      <c r="AW10" s="116">
        <f t="shared" si="2"/>
        <v>20064.400699336838</v>
      </c>
      <c r="AX10" s="115"/>
      <c r="AY10" s="107" t="s">
        <v>390</v>
      </c>
      <c r="AZ10" s="117">
        <f t="shared" si="13"/>
        <v>0.3889520651312065</v>
      </c>
      <c r="BA10" s="117">
        <f t="shared" si="14"/>
        <v>0.1108886102041602</v>
      </c>
      <c r="BB10" s="117">
        <f t="shared" si="15"/>
        <v>7.6468427583339132E-2</v>
      </c>
      <c r="BC10" s="118">
        <f t="shared" si="16"/>
        <v>0.11088032532180235</v>
      </c>
      <c r="BE10" s="107" t="s">
        <v>577</v>
      </c>
      <c r="BF10" s="307">
        <f t="shared" si="17"/>
        <v>-0.33787858616351735</v>
      </c>
      <c r="BG10" s="307">
        <f t="shared" si="3"/>
        <v>-0.16143200910785832</v>
      </c>
      <c r="BH10" s="307">
        <f t="shared" si="4"/>
        <v>-0.16048748324649117</v>
      </c>
      <c r="BI10" s="118"/>
      <c r="BK10" s="107" t="s">
        <v>577</v>
      </c>
      <c r="BL10" s="307">
        <v>3.2165642989974192</v>
      </c>
      <c r="BM10" s="307">
        <v>3.2732368890396408</v>
      </c>
      <c r="BN10" s="307">
        <v>3.6687385871917613</v>
      </c>
      <c r="BO10" s="118"/>
      <c r="BQ10" s="107" t="s">
        <v>577</v>
      </c>
      <c r="BR10" s="307">
        <f t="shared" ref="BR10:BR18" si="24">(BF10-BF$8)*$BR$1+BL10</f>
        <v>3.2077489902163192</v>
      </c>
      <c r="BS10" s="307">
        <f t="shared" si="19"/>
        <v>3.2156398165648117</v>
      </c>
      <c r="BT10" s="307">
        <f t="shared" si="20"/>
        <v>3.603055958130656</v>
      </c>
      <c r="BU10" s="118"/>
    </row>
    <row r="11" spans="1:90" x14ac:dyDescent="0.25">
      <c r="A11">
        <v>6</v>
      </c>
      <c r="B11" s="107" t="s">
        <v>391</v>
      </c>
      <c r="C11" s="113">
        <f>INDEX(TourMode_input!$B$4:$J$172,MATCH(TourMode!$A11,modes,0),MATCH("work",modePurpose,0))</f>
        <v>0</v>
      </c>
      <c r="D11" s="113">
        <f>INDEX(TourMode_input!$B$20:$J$33,MATCH(TourMode!$A11,modes,0),MATCH("work",modePurpose,0))</f>
        <v>325.87184999999999</v>
      </c>
      <c r="E11" s="113">
        <f>INDEX(TourMode_input!$B$36:$J$49,MATCH(TourMode!$A11,modes,0),MATCH("work",modePurpose,0))</f>
        <v>7082.7475899999999</v>
      </c>
      <c r="F11" s="116">
        <f t="shared" si="5"/>
        <v>7408.6194400000004</v>
      </c>
      <c r="G11" s="300"/>
      <c r="H11" s="300"/>
      <c r="I11" s="300"/>
      <c r="J11" s="115"/>
      <c r="K11">
        <v>6</v>
      </c>
      <c r="L11" s="107" t="s">
        <v>391</v>
      </c>
      <c r="M11" s="113">
        <f t="shared" si="6"/>
        <v>0</v>
      </c>
      <c r="N11" s="113">
        <f t="shared" si="7"/>
        <v>325.87184999999999</v>
      </c>
      <c r="O11" s="113">
        <f t="shared" si="8"/>
        <v>7082.7475899999999</v>
      </c>
      <c r="P11" s="116">
        <f t="shared" si="9"/>
        <v>7408.6194400000004</v>
      </c>
      <c r="Q11" s="115"/>
      <c r="R11">
        <v>6</v>
      </c>
      <c r="S11" s="107" t="s">
        <v>391</v>
      </c>
      <c r="T11" s="113">
        <f>IF(M20&gt;0,M11/M20*T20,0)</f>
        <v>0</v>
      </c>
      <c r="U11" s="113">
        <f>IF(N20&gt;0,N11/N20*U20,0)</f>
        <v>486.70432975399672</v>
      </c>
      <c r="V11" s="113">
        <f>IF(O20&gt;0,O11/O20*V20,0)</f>
        <v>5441.658648285249</v>
      </c>
      <c r="W11" s="116">
        <f t="shared" si="10"/>
        <v>5928.3629780392457</v>
      </c>
      <c r="X11" s="115"/>
      <c r="Y11" s="115"/>
      <c r="Z11" s="115"/>
      <c r="AA11" s="107" t="s">
        <v>391</v>
      </c>
      <c r="AB11" s="113">
        <f>INDEX(TourMode_input!$L$4:$T$17,MATCH(TourMode!$A11,modes,0),MATCH("work",modePurpose,0))*Index!$B$2</f>
        <v>1060</v>
      </c>
      <c r="AC11" s="113">
        <f>INDEX(TourMode_input!$L$20:$T$33,MATCH(TourMode!$A11,modes,0), MATCH("work",modePurpose,0))*Index!$B$2</f>
        <v>6525</v>
      </c>
      <c r="AD11" s="113">
        <f>INDEX(TourMode_input!$L$36:$T$49,MATCH(TourMode!$A11,modes,0), MATCH("work",modePurpose,0))*Index!$B$2</f>
        <v>13600</v>
      </c>
      <c r="AE11" s="116">
        <f t="shared" si="11"/>
        <v>21185</v>
      </c>
      <c r="AG11" s="107"/>
      <c r="AH11" s="117"/>
      <c r="AI11" s="117"/>
      <c r="AJ11" s="117"/>
      <c r="AK11" s="118"/>
      <c r="AL11" s="115"/>
      <c r="AM11" s="107"/>
      <c r="AN11" s="117"/>
      <c r="AO11" s="117"/>
      <c r="AP11" s="117"/>
      <c r="AQ11" s="118"/>
      <c r="AS11" s="107" t="s">
        <v>391</v>
      </c>
      <c r="AT11" s="113">
        <f t="shared" si="12"/>
        <v>1060</v>
      </c>
      <c r="AU11" s="113">
        <f t="shared" si="0"/>
        <v>6038.2956702460033</v>
      </c>
      <c r="AV11" s="113">
        <f t="shared" si="1"/>
        <v>8158.341351714751</v>
      </c>
      <c r="AW11" s="116">
        <f t="shared" si="2"/>
        <v>15256.637021960754</v>
      </c>
      <c r="AX11" s="115"/>
      <c r="AY11" s="107" t="s">
        <v>391</v>
      </c>
      <c r="AZ11" s="117">
        <f t="shared" si="13"/>
        <v>0</v>
      </c>
      <c r="BA11" s="117">
        <f t="shared" si="14"/>
        <v>18.529663333135414</v>
      </c>
      <c r="BB11" s="117">
        <f t="shared" si="15"/>
        <v>1.1518610889414387</v>
      </c>
      <c r="BC11" s="118">
        <f t="shared" si="16"/>
        <v>2.0593090447578386</v>
      </c>
      <c r="BE11" s="107"/>
      <c r="BF11" s="307">
        <f t="shared" si="17"/>
        <v>0</v>
      </c>
      <c r="BG11" s="307">
        <f t="shared" si="3"/>
        <v>0</v>
      </c>
      <c r="BH11" s="307">
        <f t="shared" si="4"/>
        <v>0</v>
      </c>
      <c r="BI11" s="118"/>
      <c r="BK11" s="107"/>
      <c r="BL11" s="307"/>
      <c r="BM11" s="307"/>
      <c r="BN11" s="307"/>
      <c r="BO11" s="118"/>
      <c r="BQ11" s="107"/>
      <c r="BR11" s="307"/>
      <c r="BS11" s="307"/>
      <c r="BT11" s="307"/>
      <c r="BU11" s="118"/>
    </row>
    <row r="12" spans="1:90" x14ac:dyDescent="0.25">
      <c r="A12">
        <v>7</v>
      </c>
      <c r="B12" s="107" t="s">
        <v>392</v>
      </c>
      <c r="C12" s="113">
        <f>INDEX(TourMode_input!$B$4:$J$172,MATCH(TourMode!$A12,modes,0),MATCH("work",modePurpose,0))</f>
        <v>21025.37055</v>
      </c>
      <c r="D12" s="113">
        <f>INDEX(TourMode_input!$B$20:$J$33,MATCH(TourMode!$A12,modes,0),MATCH("work",modePurpose,0))</f>
        <v>41561.740180000001</v>
      </c>
      <c r="E12" s="113">
        <f>INDEX(TourMode_input!$B$36:$J$49,MATCH(TourMode!$A12,modes,0),MATCH("work",modePurpose,0))</f>
        <v>21978.733980000001</v>
      </c>
      <c r="F12" s="116">
        <f t="shared" si="5"/>
        <v>84565.844710000005</v>
      </c>
      <c r="G12" s="300"/>
      <c r="H12" s="300"/>
      <c r="I12" s="300"/>
      <c r="J12" s="115"/>
      <c r="K12">
        <v>7</v>
      </c>
      <c r="L12" s="107" t="s">
        <v>392</v>
      </c>
      <c r="M12" s="113">
        <f t="shared" si="6"/>
        <v>21025.37055</v>
      </c>
      <c r="N12" s="113">
        <f t="shared" si="7"/>
        <v>41561.740180000001</v>
      </c>
      <c r="O12" s="113">
        <f t="shared" si="8"/>
        <v>21978.733980000001</v>
      </c>
      <c r="P12" s="116">
        <f t="shared" si="9"/>
        <v>84565.844710000005</v>
      </c>
      <c r="Q12" s="115"/>
      <c r="R12">
        <v>7</v>
      </c>
      <c r="S12" s="107" t="s">
        <v>392</v>
      </c>
      <c r="T12" s="113">
        <f>IF(M20&gt;0,M12/M20*T20,0)</f>
        <v>23903.505321837001</v>
      </c>
      <c r="U12" s="113">
        <f>IF(N20&gt;0,N12/N20*U20,0)</f>
        <v>62074.336576530477</v>
      </c>
      <c r="V12" s="113">
        <f>IF(O20&gt;0,O12/O20*V20,0)</f>
        <v>16886.210657780604</v>
      </c>
      <c r="W12" s="116">
        <f t="shared" si="10"/>
        <v>102864.05255614809</v>
      </c>
      <c r="X12" s="115"/>
      <c r="Y12" s="115"/>
      <c r="Z12" s="115"/>
      <c r="AA12" s="107" t="s">
        <v>392</v>
      </c>
      <c r="AB12" s="113">
        <f>INDEX(TourMode_input!$L$4:$T$17,MATCH(TourMode!$A12,modes,0),MATCH("work",modePurpose,0))*Index!$B$2</f>
        <v>36000</v>
      </c>
      <c r="AC12" s="113">
        <f>INDEX(TourMode_input!$L$20:$T$33,MATCH(TourMode!$A12,modes,0), MATCH("work",modePurpose,0))*Index!$B$2</f>
        <v>72800</v>
      </c>
      <c r="AD12" s="113">
        <f>INDEX(TourMode_input!$L$36:$T$49,MATCH(TourMode!$A12,modes,0), MATCH("work",modePurpose,0))*Index!$B$2</f>
        <v>20175</v>
      </c>
      <c r="AE12" s="116">
        <f t="shared" si="11"/>
        <v>128975</v>
      </c>
      <c r="AG12" s="107" t="s">
        <v>392</v>
      </c>
      <c r="AH12" s="117">
        <f t="shared" ref="AH12:AH19" si="25">T12/T$19</f>
        <v>0.12806592725334584</v>
      </c>
      <c r="AI12" s="117">
        <f t="shared" ref="AI12:AI19" si="26">U12/U$19</f>
        <v>5.2454009047224297E-2</v>
      </c>
      <c r="AJ12" s="117">
        <f t="shared" ref="AJ12:AJ19" si="27">V12/V$19</f>
        <v>7.8718638490261027E-3</v>
      </c>
      <c r="AK12" s="118">
        <f t="shared" ref="AK12:AK19" si="28">W12/W$19</f>
        <v>2.9262729057646417E-2</v>
      </c>
      <c r="AL12" s="115"/>
      <c r="AM12" s="107" t="s">
        <v>392</v>
      </c>
      <c r="AN12" s="117">
        <f t="shared" ref="AN12:AN19" si="29">AB12/$AB$19</f>
        <v>0.19287436378248057</v>
      </c>
      <c r="AO12" s="117">
        <f t="shared" ref="AO12:AO19" si="30">AC12/$AC$19</f>
        <v>6.1517401058809117E-2</v>
      </c>
      <c r="AP12" s="117">
        <f t="shared" ref="AP12:AP19" si="31">AD12/$AD$19</f>
        <v>9.4050024823612507E-3</v>
      </c>
      <c r="AQ12" s="118">
        <f t="shared" ref="AQ12:AQ19" si="32">AE12/$AE$19</f>
        <v>3.6690762092518467E-2</v>
      </c>
      <c r="AS12" s="107" t="s">
        <v>392</v>
      </c>
      <c r="AT12" s="113">
        <f t="shared" si="12"/>
        <v>12096.494678162999</v>
      </c>
      <c r="AU12" s="113">
        <f t="shared" si="0"/>
        <v>10725.663423469523</v>
      </c>
      <c r="AV12" s="113">
        <f t="shared" si="1"/>
        <v>3288.7893422193956</v>
      </c>
      <c r="AW12" s="116">
        <f t="shared" si="2"/>
        <v>26110.94744385191</v>
      </c>
      <c r="AX12" s="115"/>
      <c r="AY12" s="107" t="s">
        <v>392</v>
      </c>
      <c r="AZ12" s="117">
        <f t="shared" si="13"/>
        <v>0.5753284894264562</v>
      </c>
      <c r="BA12" s="117">
        <f t="shared" si="14"/>
        <v>0.25806579265010754</v>
      </c>
      <c r="BB12" s="117">
        <f t="shared" si="15"/>
        <v>0.14963506747986927</v>
      </c>
      <c r="BC12" s="118">
        <f t="shared" si="16"/>
        <v>0.3087646973005907</v>
      </c>
      <c r="BE12" s="107" t="s">
        <v>392</v>
      </c>
      <c r="BF12" s="307">
        <f t="shared" si="17"/>
        <v>-0.4094938240874299</v>
      </c>
      <c r="BG12" s="307">
        <f t="shared" si="3"/>
        <v>-0.15938331131569483</v>
      </c>
      <c r="BH12" s="307">
        <f t="shared" si="4"/>
        <v>-0.17794686269452625</v>
      </c>
      <c r="BI12" s="118"/>
      <c r="BK12" s="107" t="s">
        <v>392</v>
      </c>
      <c r="BL12" s="307">
        <v>-2.47719193589257</v>
      </c>
      <c r="BM12" s="307">
        <v>0.41003235582149489</v>
      </c>
      <c r="BN12" s="307">
        <v>-1.4186722594571362</v>
      </c>
      <c r="BO12" s="118"/>
      <c r="BQ12" s="107" t="s">
        <v>392</v>
      </c>
      <c r="BR12" s="307">
        <f t="shared" si="24"/>
        <v>-2.5218148636356266</v>
      </c>
      <c r="BS12" s="307">
        <f t="shared" si="19"/>
        <v>0.35345963224274746</v>
      </c>
      <c r="BT12" s="307">
        <f t="shared" si="20"/>
        <v>-1.493084578242259</v>
      </c>
      <c r="BU12" s="118"/>
    </row>
    <row r="13" spans="1:90" x14ac:dyDescent="0.25">
      <c r="A13">
        <v>8</v>
      </c>
      <c r="B13" s="107" t="s">
        <v>393</v>
      </c>
      <c r="C13" s="113">
        <f>INDEX(TourMode_input!$B$4:$J$172,MATCH(TourMode!$A13,modes,0),MATCH("work",modePurpose,0))</f>
        <v>9144.0296899999994</v>
      </c>
      <c r="D13" s="113">
        <f>INDEX(TourMode_input!$B$20:$J$33,MATCH(TourMode!$A13,modes,0),MATCH("work",modePurpose,0))</f>
        <v>27933.991679999999</v>
      </c>
      <c r="E13" s="113">
        <f>INDEX(TourMode_input!$B$36:$J$49,MATCH(TourMode!$A13,modes,0),MATCH("work",modePurpose,0))</f>
        <v>14350.58232</v>
      </c>
      <c r="F13" s="116">
        <f t="shared" si="5"/>
        <v>51428.603690000004</v>
      </c>
      <c r="G13" s="300"/>
      <c r="H13" s="300"/>
      <c r="I13" s="300"/>
      <c r="J13" s="115"/>
      <c r="K13">
        <v>8</v>
      </c>
      <c r="L13" s="107" t="s">
        <v>393</v>
      </c>
      <c r="M13" s="113">
        <f t="shared" si="6"/>
        <v>9144.0296899999994</v>
      </c>
      <c r="N13" s="113">
        <f t="shared" si="7"/>
        <v>27933.991679999999</v>
      </c>
      <c r="O13" s="113">
        <f t="shared" si="8"/>
        <v>14350.58232</v>
      </c>
      <c r="P13" s="116">
        <f t="shared" si="9"/>
        <v>51428.603690000004</v>
      </c>
      <c r="Q13" s="115"/>
      <c r="R13">
        <v>8</v>
      </c>
      <c r="S13" s="107" t="s">
        <v>393</v>
      </c>
      <c r="T13" s="113">
        <f>IF(M20&gt;0,M13/M20*T20,0)</f>
        <v>10395.743648758214</v>
      </c>
      <c r="U13" s="113">
        <f>IF(N20&gt;0,N13/N20*U20,0)</f>
        <v>41720.678536572334</v>
      </c>
      <c r="V13" s="113">
        <f>IF(O20&gt;0,O13/O20*V20,0)</f>
        <v>11025.519319622881</v>
      </c>
      <c r="W13" s="116">
        <f t="shared" si="10"/>
        <v>63141.941504953429</v>
      </c>
      <c r="X13" s="115"/>
      <c r="Y13" s="115"/>
      <c r="Z13" s="115"/>
      <c r="AA13" s="107" t="s">
        <v>393</v>
      </c>
      <c r="AB13" s="113">
        <f>INDEX(TourMode_input!$L$4:$T$17,MATCH(TourMode!$A13,modes,0),MATCH("work",modePurpose,0))*Index!$B$2</f>
        <v>17340</v>
      </c>
      <c r="AC13" s="113">
        <f>INDEX(TourMode_input!$L$20:$T$33,MATCH(TourMode!$A13,modes,0), MATCH("work",modePurpose,0))*Index!$B$2</f>
        <v>53180</v>
      </c>
      <c r="AD13" s="113">
        <f>INDEX(TourMode_input!$L$36:$T$49,MATCH(TourMode!$A13,modes,0), MATCH("work",modePurpose,0))*Index!$B$2</f>
        <v>15790</v>
      </c>
      <c r="AE13" s="116">
        <f t="shared" si="11"/>
        <v>86310</v>
      </c>
      <c r="AG13" s="107" t="s">
        <v>393</v>
      </c>
      <c r="AH13" s="117">
        <f t="shared" si="25"/>
        <v>5.5696456730555663E-2</v>
      </c>
      <c r="AI13" s="117">
        <f t="shared" si="26"/>
        <v>3.525477629093364E-2</v>
      </c>
      <c r="AJ13" s="117">
        <f t="shared" si="27"/>
        <v>5.1397787643308619E-3</v>
      </c>
      <c r="AK13" s="118">
        <f t="shared" si="28"/>
        <v>1.7962597044527732E-2</v>
      </c>
      <c r="AL13" s="115"/>
      <c r="AM13" s="107" t="s">
        <v>393</v>
      </c>
      <c r="AN13" s="117">
        <f t="shared" si="29"/>
        <v>9.2901151888561476E-2</v>
      </c>
      <c r="AO13" s="117">
        <f t="shared" si="30"/>
        <v>4.4938123465761932E-2</v>
      </c>
      <c r="AP13" s="117">
        <f t="shared" si="31"/>
        <v>7.3608420915233777E-3</v>
      </c>
      <c r="AQ13" s="118">
        <f t="shared" si="32"/>
        <v>2.4553438078738277E-2</v>
      </c>
      <c r="AS13" s="107" t="s">
        <v>393</v>
      </c>
      <c r="AT13" s="113">
        <f t="shared" si="12"/>
        <v>6944.2563512417855</v>
      </c>
      <c r="AU13" s="113">
        <f t="shared" si="0"/>
        <v>11459.321463427666</v>
      </c>
      <c r="AV13" s="113">
        <f t="shared" si="1"/>
        <v>4764.4806803771189</v>
      </c>
      <c r="AW13" s="116">
        <f t="shared" si="2"/>
        <v>23168.058495046571</v>
      </c>
      <c r="AX13" s="115"/>
      <c r="AY13" s="107" t="s">
        <v>393</v>
      </c>
      <c r="AZ13" s="117">
        <f t="shared" si="13"/>
        <v>0.75943064345428501</v>
      </c>
      <c r="BA13" s="117">
        <f t="shared" si="14"/>
        <v>0.41022857007694458</v>
      </c>
      <c r="BB13" s="117">
        <f t="shared" si="15"/>
        <v>0.33200608687056532</v>
      </c>
      <c r="BC13" s="118">
        <f t="shared" si="16"/>
        <v>0.45048974369785322</v>
      </c>
      <c r="BE13" s="107" t="s">
        <v>393</v>
      </c>
      <c r="BF13" s="307">
        <f t="shared" si="17"/>
        <v>-0.51161951351913826</v>
      </c>
      <c r="BG13" s="307">
        <f t="shared" si="3"/>
        <v>-0.24268549175482115</v>
      </c>
      <c r="BH13" s="307">
        <f t="shared" si="4"/>
        <v>-0.35916430422332152</v>
      </c>
      <c r="BI13" s="118"/>
      <c r="BK13" s="107" t="s">
        <v>393</v>
      </c>
      <c r="BL13" s="307">
        <v>-3.2424972313465128</v>
      </c>
      <c r="BM13" s="307">
        <v>-9.8487090242896924E-2</v>
      </c>
      <c r="BN13" s="307">
        <v>-1.7392800814150913</v>
      </c>
      <c r="BO13" s="118"/>
      <c r="BQ13" s="107" t="s">
        <v>393</v>
      </c>
      <c r="BR13" s="307">
        <f t="shared" si="24"/>
        <v>-3.3381830038054234</v>
      </c>
      <c r="BS13" s="307">
        <f t="shared" si="19"/>
        <v>-0.19671090404120753</v>
      </c>
      <c r="BT13" s="307">
        <f t="shared" si="20"/>
        <v>-1.9043011209646119</v>
      </c>
      <c r="BU13" s="118"/>
    </row>
    <row r="14" spans="1:90" x14ac:dyDescent="0.25">
      <c r="A14">
        <v>10</v>
      </c>
      <c r="B14" s="107" t="s">
        <v>555</v>
      </c>
      <c r="C14" s="113">
        <f>INDEX(TourMode_input!$B$4:$J$172,MATCH(TourMode!$A15,modes,0),MATCH("work",modePurpose,0))+INDEX(TourMode_input!$B$4:$J$172,MATCH(TourMode!$A14,modes,0),MATCH("work",modePurpose,0))</f>
        <v>102952.94852999999</v>
      </c>
      <c r="D14" s="113">
        <f>INDEX(TourMode_input!$B$20:$J$33,MATCH(TourMode!$A15,modes,0),MATCH("work",modePurpose,0))+INDEX(TourMode_input!$B$20:$J$33,MATCH(TourMode!$A14,modes,0),MATCH("work",modePurpose,0))</f>
        <v>147596.38795999999</v>
      </c>
      <c r="E14" s="113">
        <f>INDEX(TourMode_input!$B$36:$J$49,MATCH(TourMode!$A15,modes,0),MATCH("work",modePurpose,0))+INDEX(TourMode_input!$B$36:$J$49,MATCH(TourMode!$A14,modes,0),MATCH("work",modePurpose,0))</f>
        <v>83082.375869999989</v>
      </c>
      <c r="F14" s="116">
        <f t="shared" si="5"/>
        <v>333631.71236</v>
      </c>
      <c r="G14" s="300"/>
      <c r="H14" s="302">
        <f>F14/F$167</f>
        <v>0.56588902570550104</v>
      </c>
      <c r="I14" s="300">
        <f>H14*H$167</f>
        <v>372311.28367944772</v>
      </c>
      <c r="J14" s="115"/>
      <c r="K14">
        <v>10</v>
      </c>
      <c r="L14" s="107" t="s">
        <v>546</v>
      </c>
      <c r="M14" s="113">
        <f>IF($F14&gt;0,C14/$F14*$I14,0)</f>
        <v>114888.79205951633</v>
      </c>
      <c r="N14" s="113">
        <f t="shared" ref="N14:O16" si="33">IF($F14&gt;0,D14/$F14*$I14,0)</f>
        <v>164707.96579595678</v>
      </c>
      <c r="O14" s="113">
        <f t="shared" si="33"/>
        <v>92714.525823974545</v>
      </c>
      <c r="P14" s="116">
        <f t="shared" si="9"/>
        <v>372311.2836794476</v>
      </c>
      <c r="Q14" s="115"/>
      <c r="R14">
        <v>10</v>
      </c>
      <c r="S14" s="107" t="s">
        <v>546</v>
      </c>
      <c r="T14" s="113">
        <f>M14</f>
        <v>114888.79205951633</v>
      </c>
      <c r="U14" s="113">
        <f>N14</f>
        <v>164707.96579595678</v>
      </c>
      <c r="V14" s="113">
        <f>O14</f>
        <v>92714.525823974545</v>
      </c>
      <c r="W14" s="116">
        <f t="shared" si="10"/>
        <v>372311.2836794476</v>
      </c>
      <c r="X14" s="115"/>
      <c r="Y14" s="115"/>
      <c r="Z14" s="115"/>
      <c r="AA14" s="107" t="s">
        <v>546</v>
      </c>
      <c r="AB14" s="113">
        <f>INDEX(TourMode_input!$L$4:$T$17,MATCH(TourMode!$A15,modes,0),MATCH("work",modePurpose,0))*Index!$B$2</f>
        <v>84580</v>
      </c>
      <c r="AC14" s="113">
        <f>INDEX(TourMode_input!$L$20:$T$33,MATCH(TourMode!$A15,modes,0), MATCH("work",modePurpose,0))*Index!$B$2</f>
        <v>97685</v>
      </c>
      <c r="AD14" s="113">
        <f>INDEX(TourMode_input!$L$36:$T$49,MATCH(TourMode!$A15,modes,0), MATCH("work",modePurpose,0))*Index!$B$2</f>
        <v>55115</v>
      </c>
      <c r="AE14" s="116">
        <f t="shared" si="11"/>
        <v>237380</v>
      </c>
      <c r="AG14" s="107" t="s">
        <v>395</v>
      </c>
      <c r="AH14" s="117">
        <f t="shared" si="25"/>
        <v>0.61553062983935891</v>
      </c>
      <c r="AI14" s="117">
        <f t="shared" si="26"/>
        <v>0.13918140095399018</v>
      </c>
      <c r="AJ14" s="117">
        <f t="shared" si="27"/>
        <v>4.322083497028139E-2</v>
      </c>
      <c r="AK14" s="118">
        <f t="shared" si="28"/>
        <v>0.10591498146030447</v>
      </c>
      <c r="AL14" s="115"/>
      <c r="AM14" s="107" t="s">
        <v>395</v>
      </c>
      <c r="AN14" s="117">
        <f t="shared" si="29"/>
        <v>0.45314760246450575</v>
      </c>
      <c r="AO14" s="117">
        <f t="shared" si="30"/>
        <v>8.2545704978430889E-2</v>
      </c>
      <c r="AP14" s="117">
        <f t="shared" si="31"/>
        <v>2.5693021651317982E-2</v>
      </c>
      <c r="AQ14" s="118">
        <f t="shared" si="32"/>
        <v>6.7529777906741889E-2</v>
      </c>
      <c r="AS14" s="107" t="s">
        <v>395</v>
      </c>
      <c r="AT14" s="113">
        <f t="shared" si="12"/>
        <v>-30308.79205951633</v>
      </c>
      <c r="AU14" s="113">
        <f t="shared" si="0"/>
        <v>-67022.965795956785</v>
      </c>
      <c r="AV14" s="113">
        <f t="shared" si="1"/>
        <v>-37599.525823974545</v>
      </c>
      <c r="AW14" s="116">
        <f t="shared" si="2"/>
        <v>-134931.2836794476</v>
      </c>
      <c r="AX14" s="115"/>
      <c r="AY14" s="107" t="s">
        <v>395</v>
      </c>
      <c r="AZ14" s="117">
        <f t="shared" si="13"/>
        <v>-0.2943945995940514</v>
      </c>
      <c r="BA14" s="117">
        <f t="shared" si="14"/>
        <v>-0.45409624667861548</v>
      </c>
      <c r="BB14" s="117">
        <f t="shared" si="15"/>
        <v>-0.45255718111392224</v>
      </c>
      <c r="BC14" s="118">
        <f t="shared" si="16"/>
        <v>-0.40443182911177261</v>
      </c>
      <c r="BE14" s="107" t="s">
        <v>395</v>
      </c>
      <c r="BF14" s="307">
        <f t="shared" si="17"/>
        <v>0.30626680287860542</v>
      </c>
      <c r="BG14" s="307">
        <f t="shared" si="3"/>
        <v>0.52242598545892804</v>
      </c>
      <c r="BH14" s="307">
        <f t="shared" si="4"/>
        <v>0.52010324601107205</v>
      </c>
      <c r="BI14" s="118"/>
      <c r="BK14" s="107" t="s">
        <v>395</v>
      </c>
      <c r="BL14" s="307">
        <v>-3.325960575580059</v>
      </c>
      <c r="BM14" s="307">
        <v>-1.8266588349911745</v>
      </c>
      <c r="BN14" s="307">
        <v>-2.3821270369631344</v>
      </c>
      <c r="BO14" s="118"/>
      <c r="BQ14" s="107" t="s">
        <v>395</v>
      </c>
      <c r="BR14" s="307">
        <f t="shared" si="24"/>
        <v>-3.012703189840098</v>
      </c>
      <c r="BS14" s="307">
        <f t="shared" si="19"/>
        <v>-1.5423269101826105</v>
      </c>
      <c r="BT14" s="307">
        <f t="shared" si="20"/>
        <v>-2.107514301395458</v>
      </c>
      <c r="BU14" s="118"/>
    </row>
    <row r="15" spans="1:90" x14ac:dyDescent="0.25">
      <c r="A15">
        <v>11</v>
      </c>
      <c r="B15" s="107" t="s">
        <v>556</v>
      </c>
      <c r="C15" s="113">
        <f>INDEX(TourMode_input!$B$4:$J$172,MATCH(TourMode!$A16,modes,0),MATCH("work",modePurpose,0))</f>
        <v>8903.7111800000002</v>
      </c>
      <c r="D15" s="113">
        <f>INDEX(TourMode_input!$B$20:$J$33,MATCH(TourMode!$A16,modes,0),MATCH("work",modePurpose,0))</f>
        <v>21062.73905</v>
      </c>
      <c r="E15" s="113">
        <f>INDEX(TourMode_input!$B$36:$J$49,MATCH(TourMode!$A16,modes,0),MATCH("work",modePurpose,0))</f>
        <v>21879.500670000001</v>
      </c>
      <c r="F15" s="116">
        <f t="shared" si="5"/>
        <v>51845.950900000003</v>
      </c>
      <c r="G15" s="300"/>
      <c r="H15" s="302">
        <f>F15/F$168</f>
        <v>0.64073323969857066</v>
      </c>
      <c r="I15" s="300">
        <f>H15*H$168</f>
        <v>21929.779015306976</v>
      </c>
      <c r="J15" s="115"/>
      <c r="K15">
        <v>11</v>
      </c>
      <c r="L15" s="107" t="s">
        <v>559</v>
      </c>
      <c r="M15" s="113">
        <f>IF($F15&gt;0,C15/$F15*$I15,0)</f>
        <v>3766.0880976052872</v>
      </c>
      <c r="N15" s="113">
        <f t="shared" si="33"/>
        <v>8909.1087115845876</v>
      </c>
      <c r="O15" s="113">
        <f t="shared" si="33"/>
        <v>9254.5822061171002</v>
      </c>
      <c r="P15" s="116">
        <f t="shared" si="9"/>
        <v>21929.779015306973</v>
      </c>
      <c r="Q15" s="115"/>
      <c r="R15">
        <v>11</v>
      </c>
      <c r="S15" s="107" t="s">
        <v>559</v>
      </c>
      <c r="T15" s="113">
        <f t="shared" ref="T15:V16" si="34">M15</f>
        <v>3766.0880976052872</v>
      </c>
      <c r="U15" s="113">
        <f t="shared" si="34"/>
        <v>8909.1087115845876</v>
      </c>
      <c r="V15" s="113">
        <f t="shared" si="34"/>
        <v>9254.5822061171002</v>
      </c>
      <c r="W15" s="116">
        <f t="shared" si="10"/>
        <v>21929.779015306973</v>
      </c>
      <c r="X15" s="115"/>
      <c r="Y15" s="115"/>
      <c r="Z15" s="115"/>
      <c r="AA15" s="107" t="s">
        <v>559</v>
      </c>
      <c r="AB15" s="113">
        <f>INDEX(TourMode_input!$L$4:$T$17,MATCH(TourMode!$A16,modes,0),MATCH("work",modePurpose,0))*Index!$B$2</f>
        <v>2475</v>
      </c>
      <c r="AC15" s="113">
        <f>INDEX(TourMode_input!$L$20:$T$33,MATCH(TourMode!$A16,modes,0), MATCH("work",modePurpose,0))*Index!$B$2</f>
        <v>4710</v>
      </c>
      <c r="AD15" s="113">
        <f>INDEX(TourMode_input!$L$36:$T$49,MATCH(TourMode!$A16,modes,0), MATCH("work",modePurpose,0))*Index!$B$2</f>
        <v>4545</v>
      </c>
      <c r="AE15" s="116">
        <f t="shared" si="11"/>
        <v>11730</v>
      </c>
      <c r="AG15" s="107" t="s">
        <v>396</v>
      </c>
      <c r="AH15" s="117">
        <f t="shared" si="25"/>
        <v>2.0177273493733123E-2</v>
      </c>
      <c r="AI15" s="117">
        <f t="shared" si="26"/>
        <v>7.5283683198774601E-3</v>
      </c>
      <c r="AJ15" s="117">
        <f t="shared" si="27"/>
        <v>4.3142190147086789E-3</v>
      </c>
      <c r="AK15" s="118">
        <f t="shared" si="28"/>
        <v>6.2385757285685767E-3</v>
      </c>
      <c r="AL15" s="115"/>
      <c r="AM15" s="107" t="s">
        <v>396</v>
      </c>
      <c r="AN15" s="117">
        <f t="shared" si="29"/>
        <v>1.326011251004554E-2</v>
      </c>
      <c r="AO15" s="117">
        <f t="shared" si="30"/>
        <v>3.9800406454256997E-3</v>
      </c>
      <c r="AP15" s="117">
        <f t="shared" si="31"/>
        <v>2.1187477711193002E-3</v>
      </c>
      <c r="AQ15" s="119">
        <f t="shared" si="32"/>
        <v>3.3369462248128835E-3</v>
      </c>
      <c r="AS15" s="107" t="s">
        <v>396</v>
      </c>
      <c r="AT15" s="113">
        <f t="shared" si="12"/>
        <v>-1291.0880976052872</v>
      </c>
      <c r="AU15" s="113">
        <f t="shared" si="0"/>
        <v>-4199.1087115845876</v>
      </c>
      <c r="AV15" s="113">
        <f t="shared" si="1"/>
        <v>-4709.5822061171002</v>
      </c>
      <c r="AW15" s="116">
        <f t="shared" si="2"/>
        <v>-10199.779015306973</v>
      </c>
      <c r="AX15" s="115"/>
      <c r="AY15" s="107" t="s">
        <v>396</v>
      </c>
      <c r="AZ15" s="117">
        <f t="shared" si="13"/>
        <v>-0.14500561299712858</v>
      </c>
      <c r="BA15" s="117">
        <f t="shared" si="14"/>
        <v>-0.19936194915658834</v>
      </c>
      <c r="BB15" s="117">
        <f t="shared" si="15"/>
        <v>-0.21525089978742645</v>
      </c>
      <c r="BC15" s="118">
        <f t="shared" si="16"/>
        <v>-0.19673241281619491</v>
      </c>
      <c r="BE15" s="107" t="s">
        <v>396</v>
      </c>
      <c r="BF15" s="307">
        <f t="shared" si="17"/>
        <v>0.41979642682579793</v>
      </c>
      <c r="BG15" s="307">
        <f t="shared" si="3"/>
        <v>0.63738629608096464</v>
      </c>
      <c r="BH15" s="307">
        <f t="shared" si="4"/>
        <v>0.71109107487215983</v>
      </c>
      <c r="BI15" s="118"/>
      <c r="BK15" s="107" t="s">
        <v>396</v>
      </c>
      <c r="BL15" s="307">
        <v>-3.6917363432709718</v>
      </c>
      <c r="BM15" s="307">
        <v>-4.0164894345951883</v>
      </c>
      <c r="BN15" s="307">
        <v>-4.4663144972452482</v>
      </c>
      <c r="BO15" s="118"/>
      <c r="BQ15" s="107" t="s">
        <v>396</v>
      </c>
      <c r="BR15" s="307">
        <f t="shared" si="24"/>
        <v>-3.3217141455574142</v>
      </c>
      <c r="BS15" s="307">
        <f t="shared" si="19"/>
        <v>-3.6746773544756062</v>
      </c>
      <c r="BT15" s="307">
        <f t="shared" si="20"/>
        <v>-4.0962078472470278</v>
      </c>
      <c r="BU15" s="118"/>
    </row>
    <row r="16" spans="1:90" x14ac:dyDescent="0.25">
      <c r="A16">
        <v>12</v>
      </c>
      <c r="B16" s="107" t="s">
        <v>557</v>
      </c>
      <c r="C16" s="297">
        <v>0</v>
      </c>
      <c r="D16" s="113">
        <f>INDEX(TourMode_input!$B$20:$J$33,MATCH(TourMode!$A17,modes,0),MATCH("work",modePurpose,0))</f>
        <v>21169.64604</v>
      </c>
      <c r="E16" s="113">
        <f>INDEX(TourMode_input!$B$36:$J$49,MATCH(TourMode!$A17,modes,0),MATCH("work",modePurpose,0))</f>
        <v>106250.27499999999</v>
      </c>
      <c r="F16" s="116">
        <f t="shared" si="5"/>
        <v>127419.92103999999</v>
      </c>
      <c r="G16" s="300"/>
      <c r="H16" s="302">
        <f>F16/F$169</f>
        <v>0.84264855550691864</v>
      </c>
      <c r="I16" s="300">
        <f>H16*H$169</f>
        <v>83733.815144682041</v>
      </c>
      <c r="J16" s="115"/>
      <c r="K16">
        <v>12</v>
      </c>
      <c r="L16" s="107" t="s">
        <v>560</v>
      </c>
      <c r="M16" s="113">
        <f>IF($F16&gt;0,C16/$F16*$I16,0)</f>
        <v>0</v>
      </c>
      <c r="N16" s="113">
        <f t="shared" si="33"/>
        <v>13911.601998523029</v>
      </c>
      <c r="O16" s="113">
        <f t="shared" si="33"/>
        <v>69822.213146159018</v>
      </c>
      <c r="P16" s="116">
        <f t="shared" si="9"/>
        <v>83733.815144682041</v>
      </c>
      <c r="Q16" s="115"/>
      <c r="R16">
        <v>12</v>
      </c>
      <c r="S16" s="107" t="s">
        <v>560</v>
      </c>
      <c r="T16" s="113">
        <f t="shared" si="34"/>
        <v>0</v>
      </c>
      <c r="U16" s="113">
        <f t="shared" si="34"/>
        <v>13911.601998523029</v>
      </c>
      <c r="V16" s="113">
        <f t="shared" si="34"/>
        <v>69822.213146159018</v>
      </c>
      <c r="W16" s="116">
        <f t="shared" si="10"/>
        <v>83733.815144682041</v>
      </c>
      <c r="X16" s="115"/>
      <c r="Y16" s="115"/>
      <c r="Z16" s="115"/>
      <c r="AA16" s="107" t="s">
        <v>560</v>
      </c>
      <c r="AB16" s="113">
        <f>INDEX(TourMode_input!$L$4:$T$17,MATCH(TourMode!$A17,modes,0),MATCH("work",modePurpose,0))*Index!$B$2</f>
        <v>0</v>
      </c>
      <c r="AC16" s="113">
        <f>INDEX(TourMode_input!$L$20:$T$33,MATCH(TourMode!$A17,modes,0), MATCH("work",modePurpose,0))*Index!$B$2</f>
        <v>5955</v>
      </c>
      <c r="AD16" s="113">
        <f>INDEX(TourMode_input!$L$36:$T$49,MATCH(TourMode!$A17,modes,0), MATCH("work",modePurpose,0))*Index!$B$2</f>
        <v>24415</v>
      </c>
      <c r="AE16" s="116">
        <f t="shared" si="11"/>
        <v>30370</v>
      </c>
      <c r="AG16" s="107" t="s">
        <v>397</v>
      </c>
      <c r="AH16" s="117">
        <f t="shared" si="25"/>
        <v>0</v>
      </c>
      <c r="AI16" s="117">
        <f t="shared" si="26"/>
        <v>1.1755571421891091E-2</v>
      </c>
      <c r="AJ16" s="117">
        <f t="shared" si="27"/>
        <v>3.254909977514657E-2</v>
      </c>
      <c r="AK16" s="118">
        <f t="shared" si="28"/>
        <v>2.3820565928067063E-2</v>
      </c>
      <c r="AL16" s="115"/>
      <c r="AM16" s="107" t="s">
        <v>397</v>
      </c>
      <c r="AN16" s="117">
        <f t="shared" si="29"/>
        <v>0</v>
      </c>
      <c r="AO16" s="117">
        <f t="shared" si="30"/>
        <v>5.0320896058407734E-3</v>
      </c>
      <c r="AP16" s="117">
        <f t="shared" si="31"/>
        <v>1.1381568059819078E-2</v>
      </c>
      <c r="AQ16" s="119">
        <f t="shared" si="32"/>
        <v>8.6396467900739359E-3</v>
      </c>
      <c r="AS16" s="107" t="s">
        <v>397</v>
      </c>
      <c r="AT16" s="113">
        <f t="shared" si="12"/>
        <v>0</v>
      </c>
      <c r="AU16" s="113">
        <f t="shared" si="0"/>
        <v>-7956.6019985230287</v>
      </c>
      <c r="AV16" s="113">
        <f t="shared" si="1"/>
        <v>-45407.213146159018</v>
      </c>
      <c r="AW16" s="116">
        <f t="shared" si="2"/>
        <v>-53363.815144682041</v>
      </c>
      <c r="AX16" s="115"/>
      <c r="AY16" s="107" t="s">
        <v>397</v>
      </c>
      <c r="AZ16" s="117">
        <f t="shared" si="13"/>
        <v>0</v>
      </c>
      <c r="BA16" s="117">
        <f t="shared" si="14"/>
        <v>-0.37584955286871813</v>
      </c>
      <c r="BB16" s="117">
        <f t="shared" si="15"/>
        <v>-0.42736089997093202</v>
      </c>
      <c r="BC16" s="118">
        <f t="shared" si="16"/>
        <v>-0.41880276419202878</v>
      </c>
      <c r="BE16" s="107" t="s">
        <v>397</v>
      </c>
      <c r="BF16" s="307">
        <f t="shared" si="17"/>
        <v>0</v>
      </c>
      <c r="BG16" s="307">
        <f t="shared" si="3"/>
        <v>0.84849196533369231</v>
      </c>
      <c r="BH16" s="307">
        <f t="shared" si="4"/>
        <v>1.0507545015434405</v>
      </c>
      <c r="BI16" s="118"/>
      <c r="BK16" s="107" t="s">
        <v>397</v>
      </c>
      <c r="BL16" s="307">
        <v>-2.3655688199872147</v>
      </c>
      <c r="BM16" s="307">
        <v>-3.2015769198669335</v>
      </c>
      <c r="BN16" s="307">
        <v>-2.4114029855837358</v>
      </c>
      <c r="BO16" s="118"/>
      <c r="BQ16" s="107" t="s">
        <v>397</v>
      </c>
      <c r="BR16" s="307">
        <f t="shared" si="24"/>
        <v>-2.2054448356865564</v>
      </c>
      <c r="BS16" s="307">
        <f t="shared" si="19"/>
        <v>-2.7542120051209875</v>
      </c>
      <c r="BT16" s="307">
        <f t="shared" si="20"/>
        <v>-1.8714646222498752</v>
      </c>
      <c r="BU16" s="118"/>
    </row>
    <row r="17" spans="1:89" x14ac:dyDescent="0.25">
      <c r="A17">
        <v>13</v>
      </c>
      <c r="B17" s="107" t="s">
        <v>398</v>
      </c>
      <c r="C17" s="113">
        <f>INDEX(TourMode_input!$B$4:$J$172,MATCH(TourMode!$A18,modes,0),MATCH("work",modePurpose,0))</f>
        <v>1065.72668</v>
      </c>
      <c r="D17" s="113">
        <f>INDEX(TourMode_input!$B$20:$J$33,MATCH(TourMode!$A18,modes,0),MATCH("work",modePurpose,0))</f>
        <v>3973.15184</v>
      </c>
      <c r="E17" s="113">
        <f>INDEX(TourMode_input!$B$36:$J$49,MATCH(TourMode!$A18,modes,0),MATCH("work",modePurpose,0))</f>
        <v>3680.99233</v>
      </c>
      <c r="F17" s="116">
        <f t="shared" si="5"/>
        <v>8719.8708499999993</v>
      </c>
      <c r="G17" s="300"/>
      <c r="H17" s="300"/>
      <c r="I17" s="300"/>
      <c r="J17" s="115"/>
      <c r="K17">
        <v>13</v>
      </c>
      <c r="L17" s="107" t="s">
        <v>398</v>
      </c>
      <c r="M17" s="113">
        <f t="shared" ref="M17:O18" si="35">C17</f>
        <v>1065.72668</v>
      </c>
      <c r="N17" s="113">
        <f t="shared" si="35"/>
        <v>3973.15184</v>
      </c>
      <c r="O17" s="113">
        <f t="shared" si="35"/>
        <v>3680.99233</v>
      </c>
      <c r="P17" s="116">
        <f t="shared" si="9"/>
        <v>8719.8708499999993</v>
      </c>
      <c r="Q17" s="115"/>
      <c r="R17">
        <v>13</v>
      </c>
      <c r="S17" s="107" t="s">
        <v>398</v>
      </c>
      <c r="T17" s="113">
        <f>IF(M20&gt;0,M17/M20*T20,0)</f>
        <v>1211.6125756938766</v>
      </c>
      <c r="U17" s="113">
        <f>IF(N20&gt;0,N17/N20*U20,0)</f>
        <v>5934.0817664921315</v>
      </c>
      <c r="V17" s="113">
        <f>IF(O20&gt;0,O17/O20*V20,0)</f>
        <v>2828.0979227746516</v>
      </c>
      <c r="W17" s="116">
        <f t="shared" si="10"/>
        <v>9973.7922649606589</v>
      </c>
      <c r="X17" s="115"/>
      <c r="Y17" s="115"/>
      <c r="Z17" s="115"/>
      <c r="AA17" s="107" t="s">
        <v>398</v>
      </c>
      <c r="AB17" s="113">
        <f>INDEX(TourMode_input!$L$4:$T$17,MATCH(TourMode!$A18,modes,0),MATCH("work",modePurpose,0))*Index!$B$2</f>
        <v>1075</v>
      </c>
      <c r="AC17" s="113">
        <f>INDEX(TourMode_input!$L$20:$T$33,MATCH(TourMode!$A18,modes,0), MATCH("work",modePurpose,0))*Index!$B$2</f>
        <v>5395</v>
      </c>
      <c r="AD17" s="113">
        <f>INDEX(TourMode_input!$L$36:$T$49,MATCH(TourMode!$A18,modes,0), MATCH("work",modePurpose,0))*Index!$B$2</f>
        <v>2630</v>
      </c>
      <c r="AE17" s="116">
        <f t="shared" si="11"/>
        <v>9100</v>
      </c>
      <c r="AG17" s="107" t="s">
        <v>398</v>
      </c>
      <c r="AH17" s="117">
        <f t="shared" si="25"/>
        <v>6.4913612413280289E-3</v>
      </c>
      <c r="AI17" s="117">
        <f t="shared" si="26"/>
        <v>5.0144132959486654E-3</v>
      </c>
      <c r="AJ17" s="117">
        <f t="shared" si="27"/>
        <v>1.3183775952444261E-3</v>
      </c>
      <c r="AK17" s="118">
        <f t="shared" si="28"/>
        <v>2.8373408734551075E-3</v>
      </c>
      <c r="AL17" s="115"/>
      <c r="AM17" s="107" t="s">
        <v>398</v>
      </c>
      <c r="AN17" s="117">
        <f t="shared" si="29"/>
        <v>5.7594428073935175E-3</v>
      </c>
      <c r="AO17" s="117">
        <f t="shared" si="30"/>
        <v>4.5588788284653186E-3</v>
      </c>
      <c r="AP17" s="117">
        <f t="shared" si="31"/>
        <v>1.2260300633759648E-3</v>
      </c>
      <c r="AQ17" s="119">
        <f t="shared" si="32"/>
        <v>2.5887647609375312E-3</v>
      </c>
      <c r="AS17" s="107" t="s">
        <v>398</v>
      </c>
      <c r="AT17" s="113">
        <f t="shared" si="12"/>
        <v>-136.61257569387658</v>
      </c>
      <c r="AU17" s="113">
        <f t="shared" si="0"/>
        <v>-539.08176649213146</v>
      </c>
      <c r="AV17" s="113">
        <f t="shared" si="1"/>
        <v>-198.09792277465158</v>
      </c>
      <c r="AW17" s="116">
        <f t="shared" si="2"/>
        <v>-873.79226496065894</v>
      </c>
      <c r="AX17" s="115"/>
      <c r="AY17" s="107" t="s">
        <v>398</v>
      </c>
      <c r="AZ17" s="117">
        <f t="shared" si="13"/>
        <v>-0.12818725312748722</v>
      </c>
      <c r="BA17" s="117">
        <f t="shared" si="14"/>
        <v>-0.13568113885426827</v>
      </c>
      <c r="BB17" s="117">
        <f t="shared" si="15"/>
        <v>-5.3816445407983658E-2</v>
      </c>
      <c r="BC17" s="118">
        <f t="shared" si="16"/>
        <v>-0.10020701911664884</v>
      </c>
      <c r="BE17" s="107" t="s">
        <v>398</v>
      </c>
      <c r="BF17" s="307">
        <f t="shared" si="17"/>
        <v>0.11963151794804805</v>
      </c>
      <c r="BG17" s="307">
        <f t="shared" si="3"/>
        <v>9.5239702384819963E-2</v>
      </c>
      <c r="BH17" s="307">
        <f t="shared" si="4"/>
        <v>7.2620527403120777E-2</v>
      </c>
      <c r="BI17" s="118"/>
      <c r="BK17" s="107" t="s">
        <v>398</v>
      </c>
      <c r="BL17" s="307">
        <v>-5.7295777838706812</v>
      </c>
      <c r="BM17" s="307">
        <v>-2.5422005231672404</v>
      </c>
      <c r="BN17" s="307">
        <v>-1.7906936785707877</v>
      </c>
      <c r="BO17" s="118"/>
      <c r="BQ17" s="107" t="s">
        <v>398</v>
      </c>
      <c r="BR17" s="307">
        <f t="shared" si="24"/>
        <v>-5.5096380405959984</v>
      </c>
      <c r="BS17" s="307">
        <f t="shared" si="19"/>
        <v>-2.4714617398957306</v>
      </c>
      <c r="BT17" s="307">
        <f t="shared" si="20"/>
        <v>-1.7398223023070871</v>
      </c>
      <c r="BU17" s="118"/>
    </row>
    <row r="18" spans="1:89" x14ac:dyDescent="0.25">
      <c r="A18">
        <v>14</v>
      </c>
      <c r="B18" s="107" t="s">
        <v>399</v>
      </c>
      <c r="C18" s="297">
        <v>0</v>
      </c>
      <c r="D18" s="297">
        <v>0</v>
      </c>
      <c r="E18" s="297">
        <v>0</v>
      </c>
      <c r="F18" s="116">
        <f t="shared" si="5"/>
        <v>0</v>
      </c>
      <c r="G18" s="300"/>
      <c r="H18" s="300"/>
      <c r="I18" s="300"/>
      <c r="J18" s="115"/>
      <c r="K18">
        <v>14</v>
      </c>
      <c r="L18" s="107" t="s">
        <v>399</v>
      </c>
      <c r="M18" s="113">
        <f t="shared" si="35"/>
        <v>0</v>
      </c>
      <c r="N18" s="113">
        <f t="shared" si="35"/>
        <v>0</v>
      </c>
      <c r="O18" s="113">
        <f t="shared" si="35"/>
        <v>0</v>
      </c>
      <c r="P18" s="116">
        <f t="shared" si="9"/>
        <v>0</v>
      </c>
      <c r="Q18" s="115"/>
      <c r="R18">
        <v>14</v>
      </c>
      <c r="S18" s="107" t="s">
        <v>399</v>
      </c>
      <c r="T18" s="113">
        <f>IF(M20&gt;0,M18/M20*T20,0)</f>
        <v>0</v>
      </c>
      <c r="U18" s="113">
        <f>IF(N20&gt;0,N18/N20*U20,0)</f>
        <v>0</v>
      </c>
      <c r="V18" s="113">
        <f>IF(O20&gt;0,O18/O20*V20,0)</f>
        <v>0</v>
      </c>
      <c r="W18" s="116">
        <f t="shared" si="10"/>
        <v>0</v>
      </c>
      <c r="X18" s="115"/>
      <c r="Y18" s="115"/>
      <c r="Z18" s="115"/>
      <c r="AA18" s="107" t="s">
        <v>399</v>
      </c>
      <c r="AB18" s="113">
        <f>INDEX(TourMode_input!$L$4:$T$17,MATCH(TourMode!$A19,modes,0),MATCH("work",modePurpose,0))*Index!$B$2</f>
        <v>0</v>
      </c>
      <c r="AC18" s="113">
        <f>INDEX(TourMode_input!$L$20:$T$33,MATCH(TourMode!$A19,modes,0), MATCH("work",modePurpose,0))*Index!$B$2</f>
        <v>0</v>
      </c>
      <c r="AD18" s="113">
        <f>INDEX(TourMode_input!$L$36:$T$49,MATCH(TourMode!$A19,modes,0), MATCH("work",modePurpose,0))*Index!$B$2</f>
        <v>0</v>
      </c>
      <c r="AE18" s="116">
        <f t="shared" si="11"/>
        <v>0</v>
      </c>
      <c r="AG18" s="107" t="s">
        <v>399</v>
      </c>
      <c r="AH18" s="117">
        <f t="shared" si="25"/>
        <v>0</v>
      </c>
      <c r="AI18" s="117">
        <f t="shared" si="26"/>
        <v>0</v>
      </c>
      <c r="AJ18" s="117">
        <f t="shared" si="27"/>
        <v>0</v>
      </c>
      <c r="AK18" s="118">
        <f t="shared" si="28"/>
        <v>0</v>
      </c>
      <c r="AL18" s="115"/>
      <c r="AM18" s="107" t="s">
        <v>399</v>
      </c>
      <c r="AN18" s="117">
        <f t="shared" si="29"/>
        <v>0</v>
      </c>
      <c r="AO18" s="117">
        <f t="shared" si="30"/>
        <v>0</v>
      </c>
      <c r="AP18" s="117">
        <f t="shared" si="31"/>
        <v>0</v>
      </c>
      <c r="AQ18" s="119">
        <f t="shared" si="32"/>
        <v>0</v>
      </c>
      <c r="AS18" s="107" t="s">
        <v>399</v>
      </c>
      <c r="AT18" s="113">
        <f t="shared" si="12"/>
        <v>0</v>
      </c>
      <c r="AU18" s="113">
        <f t="shared" si="0"/>
        <v>0</v>
      </c>
      <c r="AV18" s="113">
        <f t="shared" si="1"/>
        <v>0</v>
      </c>
      <c r="AW18" s="116">
        <f t="shared" si="2"/>
        <v>0</v>
      </c>
      <c r="AX18" s="115"/>
      <c r="AY18" s="107" t="s">
        <v>399</v>
      </c>
      <c r="AZ18" s="117">
        <f t="shared" si="13"/>
        <v>0</v>
      </c>
      <c r="BA18" s="117">
        <f t="shared" si="14"/>
        <v>0</v>
      </c>
      <c r="BB18" s="117">
        <f t="shared" si="15"/>
        <v>0</v>
      </c>
      <c r="BC18" s="118">
        <f t="shared" si="16"/>
        <v>0</v>
      </c>
      <c r="BE18" s="107" t="s">
        <v>399</v>
      </c>
      <c r="BF18" s="307">
        <f t="shared" si="17"/>
        <v>0</v>
      </c>
      <c r="BG18" s="307">
        <f t="shared" si="3"/>
        <v>0</v>
      </c>
      <c r="BH18" s="307">
        <f t="shared" si="4"/>
        <v>0</v>
      </c>
      <c r="BI18" s="118"/>
      <c r="BK18" s="107" t="s">
        <v>399</v>
      </c>
      <c r="BL18" s="307">
        <v>-3.2818516189428646</v>
      </c>
      <c r="BM18" s="307">
        <v>-0.34286391191577115</v>
      </c>
      <c r="BN18" s="307">
        <v>-9.0564034344756184E-2</v>
      </c>
      <c r="BO18" s="118"/>
      <c r="BQ18" s="107" t="s">
        <v>399</v>
      </c>
      <c r="BR18" s="307">
        <f t="shared" si="24"/>
        <v>-3.1217276346422063</v>
      </c>
      <c r="BS18" s="307">
        <f>(BG18-BG$6)*$BR$1+BM18</f>
        <v>-0.31974497983667116</v>
      </c>
      <c r="BT18" s="307">
        <f t="shared" si="20"/>
        <v>-7.6002921782615973E-2</v>
      </c>
      <c r="BU18" s="118"/>
    </row>
    <row r="19" spans="1:89" ht="15.75" thickBot="1" x14ac:dyDescent="0.3">
      <c r="B19" s="108" t="s">
        <v>29</v>
      </c>
      <c r="C19" s="109">
        <f>SUM(C6:C18)</f>
        <v>171664.73267</v>
      </c>
      <c r="D19" s="110">
        <f>SUM(D6:D18)</f>
        <v>856615.64973999991</v>
      </c>
      <c r="E19" s="111">
        <f>SUM(E6:E18)</f>
        <v>2779674.4695199998</v>
      </c>
      <c r="F19" s="112">
        <f>SUM(F6:F18)</f>
        <v>3807954.8519299994</v>
      </c>
      <c r="G19" s="301"/>
      <c r="H19" s="301"/>
      <c r="I19" s="301"/>
      <c r="L19" s="108" t="s">
        <v>29</v>
      </c>
      <c r="M19" s="109">
        <f>SUM(M6:M18)</f>
        <v>178462.95311712162</v>
      </c>
      <c r="N19" s="110">
        <f>SUM(N6:N18)</f>
        <v>854315.55319606431</v>
      </c>
      <c r="O19" s="111">
        <f>SUM(O6:O18)</f>
        <v>2740253.6391562503</v>
      </c>
      <c r="P19" s="112">
        <f>SUM(P6:P18)</f>
        <v>3773032.145469436</v>
      </c>
      <c r="S19" s="108" t="s">
        <v>29</v>
      </c>
      <c r="T19" s="109">
        <f>SUM(T6:T18)</f>
        <v>186650</v>
      </c>
      <c r="U19" s="110">
        <f>SUM(U6:U18)</f>
        <v>1183405.0000000002</v>
      </c>
      <c r="V19" s="111">
        <f>SUM(V6:V18)</f>
        <v>2145134.9999999995</v>
      </c>
      <c r="W19" s="112">
        <f>SUM(W6:W18)</f>
        <v>3515189.9999999995</v>
      </c>
      <c r="AA19" s="108" t="s">
        <v>29</v>
      </c>
      <c r="AB19" s="109">
        <f>SUM(AB6:AB18)</f>
        <v>186650</v>
      </c>
      <c r="AC19" s="110">
        <f>SUM(AC6:AC18)</f>
        <v>1183405</v>
      </c>
      <c r="AD19" s="111">
        <f>SUM(AD6:AD18)</f>
        <v>2145135</v>
      </c>
      <c r="AE19" s="112">
        <f>SUM(AE6:AE18)</f>
        <v>3515190</v>
      </c>
      <c r="AG19" s="108" t="s">
        <v>29</v>
      </c>
      <c r="AH19" s="120">
        <f t="shared" si="25"/>
        <v>1</v>
      </c>
      <c r="AI19" s="121">
        <f t="shared" si="26"/>
        <v>1</v>
      </c>
      <c r="AJ19" s="122">
        <f t="shared" si="27"/>
        <v>1</v>
      </c>
      <c r="AK19" s="123">
        <f t="shared" si="28"/>
        <v>1</v>
      </c>
      <c r="AM19" s="108" t="s">
        <v>29</v>
      </c>
      <c r="AN19" s="120">
        <f t="shared" si="29"/>
        <v>1</v>
      </c>
      <c r="AO19" s="121">
        <f t="shared" si="30"/>
        <v>1</v>
      </c>
      <c r="AP19" s="122">
        <f t="shared" si="31"/>
        <v>1</v>
      </c>
      <c r="AQ19" s="123">
        <f t="shared" si="32"/>
        <v>1</v>
      </c>
      <c r="AS19" s="108" t="s">
        <v>29</v>
      </c>
      <c r="AT19" s="109">
        <f t="shared" si="12"/>
        <v>0</v>
      </c>
      <c r="AU19" s="110">
        <f t="shared" si="0"/>
        <v>0</v>
      </c>
      <c r="AV19" s="111">
        <f t="shared" si="1"/>
        <v>0</v>
      </c>
      <c r="AW19" s="112">
        <f t="shared" si="2"/>
        <v>0</v>
      </c>
      <c r="AY19" s="108" t="s">
        <v>29</v>
      </c>
      <c r="AZ19" s="117">
        <f t="shared" si="13"/>
        <v>0</v>
      </c>
      <c r="BA19" s="117">
        <f t="shared" si="14"/>
        <v>0</v>
      </c>
      <c r="BB19" s="117">
        <f t="shared" si="15"/>
        <v>0</v>
      </c>
      <c r="BC19" s="118">
        <f t="shared" si="16"/>
        <v>0</v>
      </c>
      <c r="BE19" s="108" t="s">
        <v>29</v>
      </c>
      <c r="BF19" s="117"/>
      <c r="BG19" s="117"/>
      <c r="BH19" s="117"/>
      <c r="BI19" s="118"/>
      <c r="BK19" s="108" t="s">
        <v>29</v>
      </c>
      <c r="BL19" s="117"/>
      <c r="BM19" s="117"/>
      <c r="BN19" s="117"/>
      <c r="BO19" s="118"/>
      <c r="BQ19" s="108" t="s">
        <v>29</v>
      </c>
      <c r="BR19" s="117"/>
      <c r="BS19" s="117"/>
      <c r="BT19" s="117"/>
      <c r="BU19" s="118"/>
    </row>
    <row r="20" spans="1:89" x14ac:dyDescent="0.25">
      <c r="M20" s="286">
        <f>M19-SUM(M14:M16)</f>
        <v>59808.072960000005</v>
      </c>
      <c r="N20" s="286">
        <f>N19-SUM(N14:N16)</f>
        <v>666786.87668999995</v>
      </c>
      <c r="O20" s="286">
        <f>O19-SUM(O14:O16)</f>
        <v>2568462.3179799998</v>
      </c>
      <c r="T20" s="286">
        <f>AB19-SUM(T14:T16)</f>
        <v>67995.119842878383</v>
      </c>
      <c r="U20" s="286">
        <f>AC19-SUM(U14:U16)</f>
        <v>995876.32349393563</v>
      </c>
      <c r="V20" s="286">
        <f>AD19-SUM(V14:V16)</f>
        <v>1973343.6788237493</v>
      </c>
    </row>
    <row r="21" spans="1:89" ht="26.25" x14ac:dyDescent="0.4">
      <c r="A21" s="150" t="s">
        <v>149</v>
      </c>
      <c r="K21" s="150" t="s">
        <v>149</v>
      </c>
      <c r="R21" s="150" t="s">
        <v>149</v>
      </c>
    </row>
    <row r="22" spans="1:89" ht="26.25" x14ac:dyDescent="0.25">
      <c r="B22" s="102" t="s">
        <v>134</v>
      </c>
      <c r="C22" s="103" t="s">
        <v>135</v>
      </c>
      <c r="D22" s="104" t="s">
        <v>136</v>
      </c>
      <c r="E22" s="105" t="s">
        <v>137</v>
      </c>
      <c r="F22" s="106" t="s">
        <v>29</v>
      </c>
      <c r="G22" s="299"/>
      <c r="H22" s="299"/>
      <c r="I22" s="299"/>
      <c r="L22" s="102" t="s">
        <v>134</v>
      </c>
      <c r="M22" s="103" t="s">
        <v>135</v>
      </c>
      <c r="N22" s="104" t="s">
        <v>136</v>
      </c>
      <c r="O22" s="105" t="s">
        <v>137</v>
      </c>
      <c r="P22" s="106" t="s">
        <v>29</v>
      </c>
      <c r="S22" s="102" t="s">
        <v>134</v>
      </c>
      <c r="T22" s="103" t="s">
        <v>135</v>
      </c>
      <c r="U22" s="104" t="s">
        <v>136</v>
      </c>
      <c r="V22" s="105" t="s">
        <v>137</v>
      </c>
      <c r="W22" s="106" t="s">
        <v>29</v>
      </c>
      <c r="AA22" s="102" t="s">
        <v>134</v>
      </c>
      <c r="AB22" s="103" t="s">
        <v>135</v>
      </c>
      <c r="AC22" s="104" t="s">
        <v>136</v>
      </c>
      <c r="AD22" s="105" t="s">
        <v>137</v>
      </c>
      <c r="AE22" s="106" t="s">
        <v>29</v>
      </c>
      <c r="AG22" s="102" t="s">
        <v>134</v>
      </c>
      <c r="AH22" s="103" t="s">
        <v>135</v>
      </c>
      <c r="AI22" s="104" t="s">
        <v>136</v>
      </c>
      <c r="AJ22" s="105" t="s">
        <v>137</v>
      </c>
      <c r="AK22" s="106" t="s">
        <v>29</v>
      </c>
      <c r="AM22" s="102" t="s">
        <v>134</v>
      </c>
      <c r="AN22" s="103" t="s">
        <v>135</v>
      </c>
      <c r="AO22" s="104" t="s">
        <v>136</v>
      </c>
      <c r="AP22" s="105" t="s">
        <v>137</v>
      </c>
      <c r="AQ22" s="106" t="s">
        <v>29</v>
      </c>
      <c r="AS22" s="102" t="s">
        <v>134</v>
      </c>
      <c r="AT22" s="103" t="s">
        <v>135</v>
      </c>
      <c r="AU22" s="104" t="s">
        <v>136</v>
      </c>
      <c r="AV22" s="105" t="s">
        <v>137</v>
      </c>
      <c r="AW22" s="106" t="s">
        <v>29</v>
      </c>
      <c r="AY22" s="102" t="s">
        <v>134</v>
      </c>
      <c r="AZ22" s="103" t="s">
        <v>135</v>
      </c>
      <c r="BA22" s="104" t="s">
        <v>136</v>
      </c>
      <c r="BB22" s="105" t="s">
        <v>137</v>
      </c>
      <c r="BC22" s="106" t="s">
        <v>29</v>
      </c>
      <c r="BE22" s="102" t="s">
        <v>134</v>
      </c>
      <c r="BF22" s="103" t="s">
        <v>135</v>
      </c>
      <c r="BG22" s="104" t="s">
        <v>136</v>
      </c>
      <c r="BH22" s="105" t="s">
        <v>137</v>
      </c>
      <c r="BI22" s="106" t="s">
        <v>29</v>
      </c>
      <c r="BK22" s="102" t="s">
        <v>134</v>
      </c>
      <c r="BL22" s="103" t="s">
        <v>135</v>
      </c>
      <c r="BM22" s="104" t="s">
        <v>136</v>
      </c>
      <c r="BN22" s="105" t="s">
        <v>137</v>
      </c>
      <c r="BO22" s="106" t="s">
        <v>29</v>
      </c>
      <c r="BQ22" s="102" t="s">
        <v>134</v>
      </c>
      <c r="BR22" s="103" t="s">
        <v>135</v>
      </c>
      <c r="BS22" s="104" t="s">
        <v>136</v>
      </c>
      <c r="BT22" s="105" t="s">
        <v>137</v>
      </c>
      <c r="BU22" s="106" t="s">
        <v>29</v>
      </c>
      <c r="BX22">
        <v>1</v>
      </c>
      <c r="BY22">
        <v>2</v>
      </c>
      <c r="BZ22">
        <v>3</v>
      </c>
      <c r="CA22">
        <v>4</v>
      </c>
      <c r="CB22">
        <v>5</v>
      </c>
      <c r="CC22">
        <v>6</v>
      </c>
      <c r="CD22">
        <v>7</v>
      </c>
      <c r="CE22">
        <v>8</v>
      </c>
      <c r="CG22">
        <v>9</v>
      </c>
      <c r="CH22">
        <v>10</v>
      </c>
      <c r="CI22">
        <v>11</v>
      </c>
      <c r="CJ22">
        <v>12</v>
      </c>
      <c r="CK22">
        <v>13</v>
      </c>
    </row>
    <row r="23" spans="1:89" x14ac:dyDescent="0.25">
      <c r="A23">
        <v>1</v>
      </c>
      <c r="B23" s="107" t="s">
        <v>386</v>
      </c>
      <c r="C23" s="297">
        <v>0</v>
      </c>
      <c r="D23" s="113">
        <f>INDEX(TourMode_input!$B$20:$J$33,MATCH(TourMode!$A24,modes,0),MATCH("univ",modePurpose,0))</f>
        <v>27186.153989999999</v>
      </c>
      <c r="E23" s="113">
        <f>INDEX(TourMode_input!$B$36:$J$49,MATCH(TourMode!$A24,modes,0),MATCH("univ",modePurpose,0))</f>
        <v>47965.815110000003</v>
      </c>
      <c r="F23" s="114">
        <f>SUM(C23:E23)</f>
        <v>75151.969100000002</v>
      </c>
      <c r="G23" s="300"/>
      <c r="H23" s="300"/>
      <c r="I23" s="300"/>
      <c r="J23" s="115"/>
      <c r="K23">
        <v>1</v>
      </c>
      <c r="L23" s="107" t="s">
        <v>386</v>
      </c>
      <c r="M23" s="113">
        <f>C23</f>
        <v>0</v>
      </c>
      <c r="N23" s="113">
        <f t="shared" ref="N23:N30" si="36">D23</f>
        <v>27186.153989999999</v>
      </c>
      <c r="O23" s="113">
        <f t="shared" ref="O23:O30" si="37">E23</f>
        <v>47965.815110000003</v>
      </c>
      <c r="P23" s="114">
        <f>SUM(M23:O23)</f>
        <v>75151.969100000002</v>
      </c>
      <c r="Q23" s="115"/>
      <c r="R23">
        <v>1</v>
      </c>
      <c r="S23" s="107" t="s">
        <v>386</v>
      </c>
      <c r="T23" s="113">
        <f>IF(M37&gt;0,M23/M37*T37,0)</f>
        <v>0</v>
      </c>
      <c r="U23" s="113">
        <f>IF(N37&gt;0,N23/N37*U37,0)</f>
        <v>23895.725221464971</v>
      </c>
      <c r="V23" s="113">
        <f>IF(O37&gt;0,O23/O37*V37,0)</f>
        <v>28131.794987208308</v>
      </c>
      <c r="W23" s="114">
        <f>SUM(T23:V23)</f>
        <v>52027.520208673275</v>
      </c>
      <c r="X23" s="115"/>
      <c r="Y23" s="115"/>
      <c r="Z23" s="115"/>
      <c r="AA23" s="107" t="s">
        <v>386</v>
      </c>
      <c r="AB23" s="113">
        <f>INDEX(TourMode_input!$L$4:$T$17,MATCH(TourMode!$A24,modes,0),MATCH("univ",modePurpose,0))*Index!$B$2</f>
        <v>0</v>
      </c>
      <c r="AC23" s="113">
        <f>INDEX(TourMode_input!$L$20:$T$33,MATCH(TourMode!$A24,modes,0), MATCH("univ",modePurpose,0))*Index!$B$2</f>
        <v>18980</v>
      </c>
      <c r="AD23" s="113">
        <f>INDEX(TourMode_input!$L$36:$T$49,MATCH(TourMode!$A24,modes,0), MATCH("univ",modePurpose,0))*Index!$B$2</f>
        <v>28100</v>
      </c>
      <c r="AE23" s="114">
        <f>SUM(AB23:AD23)</f>
        <v>47080</v>
      </c>
      <c r="AG23" s="107" t="s">
        <v>538</v>
      </c>
      <c r="AH23" s="117">
        <f>(T23+T24)/T$36</f>
        <v>0</v>
      </c>
      <c r="AI23" s="117">
        <f>(U23+U24)/U$36</f>
        <v>0.32909921149024557</v>
      </c>
      <c r="AJ23" s="117">
        <f>(V23+V24)/V$36</f>
        <v>0.59536901712110879</v>
      </c>
      <c r="AK23" s="117">
        <f>(W23+W24)/W$36</f>
        <v>0.37550254938979349</v>
      </c>
      <c r="AL23" s="115"/>
      <c r="AM23" s="107" t="s">
        <v>538</v>
      </c>
      <c r="AN23" s="117">
        <f>(AB23+AB24)/AB$36</f>
        <v>0</v>
      </c>
      <c r="AO23" s="117">
        <f>(AC23+AC24)/AC$36</f>
        <v>0.30714479392624727</v>
      </c>
      <c r="AP23" s="117">
        <f>(AD23+AD24)/AD$36</f>
        <v>0.6570038717363248</v>
      </c>
      <c r="AQ23" s="117">
        <f>(AE23+AE24)/AE$36</f>
        <v>0.38577854671280276</v>
      </c>
      <c r="AS23" s="107" t="s">
        <v>386</v>
      </c>
      <c r="AT23" s="113">
        <f>AB23-T23</f>
        <v>0</v>
      </c>
      <c r="AU23" s="113">
        <f t="shared" ref="AU23:AU36" si="38">AC23-U23</f>
        <v>-4915.7252214649707</v>
      </c>
      <c r="AV23" s="113">
        <f t="shared" ref="AV23:AV36" si="39">AD23-V23</f>
        <v>-31.794987208308157</v>
      </c>
      <c r="AW23" s="114">
        <f t="shared" ref="AW23:AW36" si="40">AE23-W23</f>
        <v>-4947.5202086732752</v>
      </c>
      <c r="AX23" s="115"/>
      <c r="AY23" s="107" t="s">
        <v>386</v>
      </c>
      <c r="AZ23" s="117">
        <f>IF(C23=0, 0,AT23/C23)</f>
        <v>0</v>
      </c>
      <c r="BA23" s="117">
        <f>IF(D23=0, 0,AU23/D23)</f>
        <v>-0.18081723598244692</v>
      </c>
      <c r="BB23" s="117">
        <f>IF(E23=0, 0,AV23/E23)</f>
        <v>-6.6286765137614598E-4</v>
      </c>
      <c r="BC23" s="118">
        <f>IF(F23=0, 0,AW23/F23)</f>
        <v>-6.5833540596786241E-2</v>
      </c>
      <c r="BE23" s="107" t="s">
        <v>538</v>
      </c>
      <c r="BF23" s="307">
        <f>IFERROR(IF(AN23&gt;0,LN(AH23/AN23),0),0)</f>
        <v>0</v>
      </c>
      <c r="BG23" s="307">
        <f t="shared" ref="BG23:BG35" si="41">IFERROR(IF(AO23&gt;0,LN(AI23/AO23),0),0)</f>
        <v>6.9039982135594799E-2</v>
      </c>
      <c r="BH23" s="307">
        <f t="shared" ref="BH23:BH35" si="42">IFERROR(IF(AP23&gt;0,LN(AJ23/AP23),0),0)</f>
        <v>-9.8508501375764113E-2</v>
      </c>
      <c r="BI23" s="118"/>
      <c r="BK23" s="107" t="s">
        <v>538</v>
      </c>
      <c r="BL23" s="307">
        <v>0</v>
      </c>
      <c r="BM23" s="307">
        <v>0</v>
      </c>
      <c r="BN23" s="307">
        <v>0</v>
      </c>
      <c r="BO23" s="118"/>
      <c r="BQ23" s="107" t="s">
        <v>538</v>
      </c>
      <c r="BR23" s="308">
        <v>0</v>
      </c>
      <c r="BS23" s="309">
        <v>0</v>
      </c>
      <c r="BT23" s="309">
        <v>0</v>
      </c>
      <c r="BU23" s="118"/>
      <c r="BX23" s="5" t="s">
        <v>386</v>
      </c>
      <c r="BY23" s="5" t="s">
        <v>387</v>
      </c>
      <c r="BZ23" s="5" t="s">
        <v>388</v>
      </c>
      <c r="CA23" s="5" t="s">
        <v>389</v>
      </c>
      <c r="CB23" s="5" t="s">
        <v>390</v>
      </c>
      <c r="CC23" s="5" t="s">
        <v>391</v>
      </c>
      <c r="CD23" s="5" t="s">
        <v>392</v>
      </c>
      <c r="CE23" s="5" t="s">
        <v>393</v>
      </c>
      <c r="CF23" s="5"/>
      <c r="CG23" s="5" t="s">
        <v>569</v>
      </c>
      <c r="CH23" s="5" t="s">
        <v>396</v>
      </c>
      <c r="CI23" s="5" t="s">
        <v>397</v>
      </c>
      <c r="CJ23" s="5" t="s">
        <v>398</v>
      </c>
      <c r="CK23" s="287" t="s">
        <v>399</v>
      </c>
    </row>
    <row r="24" spans="1:89" x14ac:dyDescent="0.25">
      <c r="A24">
        <v>2</v>
      </c>
      <c r="B24" s="107" t="s">
        <v>387</v>
      </c>
      <c r="C24" s="297">
        <v>0</v>
      </c>
      <c r="D24" s="113">
        <f>INDEX(TourMode_input!$B$20:$J$33,MATCH(TourMode!$A25,modes,0),MATCH("univ",modePurpose,0))</f>
        <v>430.77012999999999</v>
      </c>
      <c r="E24" s="113">
        <f>INDEX(TourMode_input!$B$36:$J$49,MATCH(TourMode!$A25,modes,0),MATCH("univ",modePurpose,0))</f>
        <v>3161.0840800000001</v>
      </c>
      <c r="F24" s="116">
        <f t="shared" ref="F24:F35" si="43">SUM(C24:E24)</f>
        <v>3591.85421</v>
      </c>
      <c r="G24" s="300"/>
      <c r="H24" s="300"/>
      <c r="I24" s="300"/>
      <c r="J24" s="115"/>
      <c r="K24">
        <v>2</v>
      </c>
      <c r="L24" s="107" t="s">
        <v>387</v>
      </c>
      <c r="M24" s="113">
        <f t="shared" ref="M24:M30" si="44">C24</f>
        <v>0</v>
      </c>
      <c r="N24" s="113">
        <f t="shared" si="36"/>
        <v>430.77012999999999</v>
      </c>
      <c r="O24" s="113">
        <f t="shared" si="37"/>
        <v>3161.0840800000001</v>
      </c>
      <c r="P24" s="116">
        <f t="shared" ref="P24:P35" si="45">SUM(M24:O24)</f>
        <v>3591.85421</v>
      </c>
      <c r="Q24" s="115"/>
      <c r="R24">
        <v>2</v>
      </c>
      <c r="S24" s="107" t="s">
        <v>387</v>
      </c>
      <c r="T24" s="113">
        <f>IF(M37&gt;0,M24/M37*T37,0)</f>
        <v>0</v>
      </c>
      <c r="U24" s="113">
        <f>IF(N37&gt;0,N24/N37*U37,0)</f>
        <v>378.63261805553924</v>
      </c>
      <c r="V24" s="113">
        <f>IF(O37&gt;0,O24/O37*V37,0)</f>
        <v>1853.9655600963263</v>
      </c>
      <c r="W24" s="116">
        <f t="shared" ref="W24:W35" si="46">SUM(T24:V24)</f>
        <v>2232.5981781518653</v>
      </c>
      <c r="X24" s="115"/>
      <c r="Y24" s="115"/>
      <c r="Z24" s="115"/>
      <c r="AA24" s="107" t="s">
        <v>387</v>
      </c>
      <c r="AB24" s="113">
        <f>INDEX(TourMode_input!$L$4:$T$17,MATCH(TourMode!$A25,modes,0),MATCH("univ",modePurpose,0))*Index!$B$2</f>
        <v>0</v>
      </c>
      <c r="AC24" s="113">
        <f>INDEX(TourMode_input!$L$20:$T$33,MATCH(TourMode!$A25,modes,0), MATCH("univ",modePurpose,0))*Index!$B$2</f>
        <v>3675</v>
      </c>
      <c r="AD24" s="113">
        <f>INDEX(TourMode_input!$L$36:$T$49,MATCH(TourMode!$A25,modes,0), MATCH("univ",modePurpose,0))*Index!$B$2</f>
        <v>4990</v>
      </c>
      <c r="AE24" s="116">
        <f t="shared" ref="AE24:AE35" si="47">SUM(AB24:AD24)</f>
        <v>8665</v>
      </c>
      <c r="AG24" s="107"/>
      <c r="AH24" s="117"/>
      <c r="AI24" s="117"/>
      <c r="AJ24" s="117"/>
      <c r="AK24" s="118"/>
      <c r="AL24" s="115"/>
      <c r="AM24" s="107"/>
      <c r="AN24" s="117"/>
      <c r="AO24" s="117"/>
      <c r="AP24" s="117"/>
      <c r="AQ24" s="118"/>
      <c r="AS24" s="107" t="s">
        <v>387</v>
      </c>
      <c r="AT24" s="113">
        <f t="shared" ref="AT24:AT36" si="48">AB24-T24</f>
        <v>0</v>
      </c>
      <c r="AU24" s="113">
        <f t="shared" si="38"/>
        <v>3296.3673819444607</v>
      </c>
      <c r="AV24" s="113">
        <f t="shared" si="39"/>
        <v>3136.034439903674</v>
      </c>
      <c r="AW24" s="116">
        <f t="shared" si="40"/>
        <v>6432.4018218481342</v>
      </c>
      <c r="AX24" s="115"/>
      <c r="AY24" s="107" t="s">
        <v>387</v>
      </c>
      <c r="AZ24" s="117">
        <f t="shared" ref="AZ24:AZ36" si="49">IF(C24=0, 0,AT24/C24)</f>
        <v>0</v>
      </c>
      <c r="BA24" s="117">
        <f t="shared" ref="BA24:BA36" si="50">IF(D24=0, 0,AU24/D24)</f>
        <v>7.6522654482669461</v>
      </c>
      <c r="BB24" s="117">
        <f t="shared" ref="BB24:BB36" si="51">IF(E24=0, 0,AV24/E24)</f>
        <v>0.99207561726851434</v>
      </c>
      <c r="BC24" s="118">
        <f t="shared" ref="BC24:BC36" si="52">IF(F24=0, 0,AW24/F24)</f>
        <v>1.7908304306839153</v>
      </c>
      <c r="BE24" s="107"/>
      <c r="BF24" s="307">
        <f t="shared" ref="BF24:BF35" si="53">IFERROR(IF(AN24&gt;0,LN(AH24/AN24),0),0)</f>
        <v>0</v>
      </c>
      <c r="BG24" s="307">
        <f t="shared" si="41"/>
        <v>0</v>
      </c>
      <c r="BH24" s="307">
        <f t="shared" si="42"/>
        <v>0</v>
      </c>
      <c r="BI24" s="118"/>
      <c r="BK24" s="107"/>
      <c r="BL24" s="307"/>
      <c r="BM24" s="307"/>
      <c r="BN24" s="307"/>
      <c r="BO24" s="118"/>
      <c r="BQ24" s="107"/>
      <c r="BR24" s="308"/>
      <c r="BS24" s="307"/>
      <c r="BT24" s="307"/>
      <c r="BU24" s="118"/>
      <c r="BW24" t="s">
        <v>131</v>
      </c>
      <c r="BX24">
        <f>IF(ISNUMBER(INDEX($BR$23:$BR$36,BX22,1)),INDEX($BR$23:$BR$36,BX22,1),0)</f>
        <v>0</v>
      </c>
      <c r="BY24">
        <f t="shared" ref="BY24:CJ24" si="54">IF(ISNUMBER(INDEX($BR$23:$BR$36,BY22,1)),INDEX($BR$23:$BR$36,BY22,1),0)</f>
        <v>0</v>
      </c>
      <c r="BZ24">
        <f t="shared" si="54"/>
        <v>0</v>
      </c>
      <c r="CA24">
        <f>BZ24</f>
        <v>0</v>
      </c>
      <c r="CB24">
        <f t="shared" si="54"/>
        <v>-2.4221937078147531</v>
      </c>
      <c r="CC24">
        <f>CB24</f>
        <v>-2.4221937078147531</v>
      </c>
      <c r="CD24">
        <f t="shared" si="54"/>
        <v>-1.560286485240955</v>
      </c>
      <c r="CE24">
        <f t="shared" si="54"/>
        <v>-4.3315086334046944</v>
      </c>
      <c r="CG24">
        <f t="shared" si="54"/>
        <v>1.8142608372171758</v>
      </c>
      <c r="CH24">
        <f t="shared" si="54"/>
        <v>-1.6697153733268211</v>
      </c>
      <c r="CI24">
        <f t="shared" si="54"/>
        <v>-2.2064763465084836</v>
      </c>
      <c r="CJ24">
        <f t="shared" si="54"/>
        <v>-2.4221937078147531</v>
      </c>
      <c r="CK24" s="312">
        <v>-999</v>
      </c>
    </row>
    <row r="25" spans="1:89" x14ac:dyDescent="0.25">
      <c r="A25">
        <v>3</v>
      </c>
      <c r="B25" s="107" t="s">
        <v>388</v>
      </c>
      <c r="C25" s="113">
        <f>INDEX(TourMode_input!$B$4:$J$172,MATCH(TourMode!$A26,modes,0),MATCH("univ",modePurpose,0))</f>
        <v>2409.9859900000001</v>
      </c>
      <c r="D25" s="113">
        <f>INDEX(TourMode_input!$B$20:$J$33,MATCH(TourMode!$A26,modes,0),MATCH("univ",modePurpose,0))</f>
        <v>18965.470809999999</v>
      </c>
      <c r="E25" s="113">
        <f>INDEX(TourMode_input!$B$36:$J$49,MATCH(TourMode!$A26,modes,0),MATCH("univ",modePurpose,0))</f>
        <v>4944.23675</v>
      </c>
      <c r="F25" s="116">
        <f t="shared" si="43"/>
        <v>26319.69355</v>
      </c>
      <c r="G25" s="300"/>
      <c r="H25" s="300"/>
      <c r="I25" s="300"/>
      <c r="J25" s="115"/>
      <c r="K25">
        <v>3</v>
      </c>
      <c r="L25" s="107" t="s">
        <v>388</v>
      </c>
      <c r="M25" s="113">
        <f t="shared" si="44"/>
        <v>2409.9859900000001</v>
      </c>
      <c r="N25" s="113">
        <f t="shared" si="36"/>
        <v>18965.470809999999</v>
      </c>
      <c r="O25" s="113">
        <f t="shared" si="37"/>
        <v>4944.23675</v>
      </c>
      <c r="P25" s="116">
        <f t="shared" si="45"/>
        <v>26319.69355</v>
      </c>
      <c r="Q25" s="115"/>
      <c r="R25">
        <v>3</v>
      </c>
      <c r="S25" s="107" t="s">
        <v>388</v>
      </c>
      <c r="T25" s="113">
        <f>IF(M37&gt;0,M25/M37*T37,0)</f>
        <v>735.30649293296347</v>
      </c>
      <c r="U25" s="113">
        <f>IF(N37&gt;0,N25/N37*U37,0)</f>
        <v>16670.018103265909</v>
      </c>
      <c r="V25" s="113">
        <f>IF(O37&gt;0,O25/O37*V37,0)</f>
        <v>2899.7788174816878</v>
      </c>
      <c r="W25" s="116">
        <f t="shared" si="46"/>
        <v>20305.103413680561</v>
      </c>
      <c r="X25" s="115"/>
      <c r="Y25" s="115"/>
      <c r="Z25" s="115"/>
      <c r="AA25" s="107" t="s">
        <v>388</v>
      </c>
      <c r="AB25" s="113">
        <f>INDEX(TourMode_input!$L$4:$T$17,MATCH(TourMode!$A26,modes,0),MATCH("univ",modePurpose,0))*Index!$B$2</f>
        <v>255</v>
      </c>
      <c r="AC25" s="113">
        <f>INDEX(TourMode_input!$L$20:$T$33,MATCH(TourMode!$A26,modes,0), MATCH("univ",modePurpose,0))*Index!$B$2</f>
        <v>13860</v>
      </c>
      <c r="AD25" s="113">
        <f>INDEX(TourMode_input!$L$36:$T$49,MATCH(TourMode!$A26,modes,0), MATCH("univ",modePurpose,0))*Index!$B$2</f>
        <v>3745</v>
      </c>
      <c r="AE25" s="116">
        <f t="shared" si="47"/>
        <v>17860</v>
      </c>
      <c r="AG25" s="107" t="s">
        <v>576</v>
      </c>
      <c r="AH25" s="117">
        <f>(T25+T26)/T$36</f>
        <v>3.6088662229838697E-2</v>
      </c>
      <c r="AI25" s="117">
        <f>(U25+U26)/U$36</f>
        <v>0.22600349923082849</v>
      </c>
      <c r="AJ25" s="117">
        <f>(V25+V26)/V$36</f>
        <v>6.6353287087558666E-2</v>
      </c>
      <c r="AK25" s="117">
        <f>(W25+W26)/W$36</f>
        <v>0.14357929342812301</v>
      </c>
      <c r="AL25" s="115"/>
      <c r="AM25" s="107" t="s">
        <v>576</v>
      </c>
      <c r="AN25" s="117">
        <f>(AB25+AB26)/AB$36</f>
        <v>1.3006134969325154E-2</v>
      </c>
      <c r="AO25" s="117">
        <f>(AC25+AC26)/AC$36</f>
        <v>0.20898861171366595</v>
      </c>
      <c r="AP25" s="117">
        <f>(AD25+AD26)/AD$36</f>
        <v>8.071081107912241E-2</v>
      </c>
      <c r="AQ25" s="117">
        <f>(AE25+AE26)/AE$36</f>
        <v>0.13664359861591696</v>
      </c>
      <c r="AS25" s="107" t="s">
        <v>388</v>
      </c>
      <c r="AT25" s="113">
        <f t="shared" si="48"/>
        <v>-480.30649293296347</v>
      </c>
      <c r="AU25" s="113">
        <f t="shared" si="38"/>
        <v>-2810.0181032659093</v>
      </c>
      <c r="AV25" s="113">
        <f t="shared" si="39"/>
        <v>845.22118251831216</v>
      </c>
      <c r="AW25" s="116">
        <f t="shared" si="40"/>
        <v>-2445.1034136805611</v>
      </c>
      <c r="AX25" s="115"/>
      <c r="AY25" s="107" t="s">
        <v>388</v>
      </c>
      <c r="AZ25" s="117">
        <f t="shared" si="49"/>
        <v>-0.19929845854953018</v>
      </c>
      <c r="BA25" s="117">
        <f t="shared" si="50"/>
        <v>-0.14816495363691473</v>
      </c>
      <c r="BB25" s="117">
        <f t="shared" si="51"/>
        <v>0.17095079084113685</v>
      </c>
      <c r="BC25" s="118">
        <f t="shared" si="52"/>
        <v>-9.2900147527764848E-2</v>
      </c>
      <c r="BE25" s="107" t="s">
        <v>576</v>
      </c>
      <c r="BF25" s="307">
        <f t="shared" si="53"/>
        <v>1.020557583495155</v>
      </c>
      <c r="BG25" s="307">
        <f t="shared" si="41"/>
        <v>7.8270721402758092E-2</v>
      </c>
      <c r="BH25" s="307">
        <f t="shared" si="42"/>
        <v>-0.19587923140004468</v>
      </c>
      <c r="BI25" s="118"/>
      <c r="BK25" s="107" t="s">
        <v>576</v>
      </c>
      <c r="BL25" s="307">
        <v>0</v>
      </c>
      <c r="BM25" s="307">
        <v>4.1101384997835275</v>
      </c>
      <c r="BN25" s="307">
        <v>3.2726815613760318</v>
      </c>
      <c r="BO25" s="118"/>
      <c r="BQ25" s="107" t="s">
        <v>576</v>
      </c>
      <c r="BR25" s="309">
        <v>0</v>
      </c>
      <c r="BS25" s="307">
        <f t="shared" ref="BS25:BS35" si="55">(BG25-BG$23)*$BR$1+BM25</f>
        <v>4.1147538694171093</v>
      </c>
      <c r="BT25" s="307">
        <f t="shared" ref="BT25:BT35" si="56">(BH25-BH$23)*$BR$1+BN25</f>
        <v>3.2239961963638915</v>
      </c>
      <c r="BU25" s="118"/>
      <c r="BW25" t="s">
        <v>132</v>
      </c>
      <c r="BX25">
        <f>IF(ISNUMBER(INDEX($BS$23:$BS$36,BX22,1)),INDEX($BS$23:$BS$36,BX22,1),0)</f>
        <v>0</v>
      </c>
      <c r="BY25">
        <f t="shared" ref="BY25:CJ25" si="57">IF(ISNUMBER(INDEX($BS$23:$BS$36,BY22,1)),INDEX($BS$23:$BS$36,BY22,1),0)</f>
        <v>0</v>
      </c>
      <c r="BZ25">
        <f t="shared" si="57"/>
        <v>4.1147538694171093</v>
      </c>
      <c r="CA25">
        <f>BZ25</f>
        <v>4.1147538694171093</v>
      </c>
      <c r="CB25">
        <f t="shared" si="57"/>
        <v>4.1449090844105925</v>
      </c>
      <c r="CC25">
        <f>CB25</f>
        <v>4.1449090844105925</v>
      </c>
      <c r="CD25">
        <f t="shared" si="57"/>
        <v>4.585307183355579</v>
      </c>
      <c r="CE25">
        <f t="shared" si="57"/>
        <v>2.0403220613284203</v>
      </c>
      <c r="CG25">
        <f t="shared" si="57"/>
        <v>-2.4533544728565766</v>
      </c>
      <c r="CH25">
        <f t="shared" si="57"/>
        <v>-2.7057375344254608</v>
      </c>
      <c r="CI25">
        <f t="shared" si="57"/>
        <v>-3.5840067430546658</v>
      </c>
      <c r="CJ25">
        <f t="shared" si="57"/>
        <v>-1.0003425572416249</v>
      </c>
      <c r="CK25" s="312">
        <v>-999</v>
      </c>
    </row>
    <row r="26" spans="1:89" x14ac:dyDescent="0.25">
      <c r="A26">
        <v>4</v>
      </c>
      <c r="B26" s="107" t="s">
        <v>389</v>
      </c>
      <c r="C26" s="113">
        <f>INDEX(TourMode_input!$B$4:$J$172,MATCH(TourMode!$A27,modes,0),MATCH("univ",modePurpose,0))</f>
        <v>0</v>
      </c>
      <c r="D26" s="113">
        <f>INDEX(TourMode_input!$B$20:$J$33,MATCH(TourMode!$A27,modes,0),MATCH("univ",modePurpose,0))</f>
        <v>0</v>
      </c>
      <c r="E26" s="113">
        <f>INDEX(TourMode_input!$B$36:$J$49,MATCH(TourMode!$A27,modes,0),MATCH("univ",modePurpose,0))</f>
        <v>753.80551000000003</v>
      </c>
      <c r="F26" s="116">
        <f t="shared" si="43"/>
        <v>753.80551000000003</v>
      </c>
      <c r="G26" s="300"/>
      <c r="H26" s="300"/>
      <c r="I26" s="300"/>
      <c r="J26" s="115"/>
      <c r="K26">
        <v>4</v>
      </c>
      <c r="L26" s="107" t="s">
        <v>389</v>
      </c>
      <c r="M26" s="113">
        <f t="shared" si="44"/>
        <v>0</v>
      </c>
      <c r="N26" s="113">
        <f t="shared" si="36"/>
        <v>0</v>
      </c>
      <c r="O26" s="113">
        <f t="shared" si="37"/>
        <v>753.80551000000003</v>
      </c>
      <c r="P26" s="116">
        <f t="shared" si="45"/>
        <v>753.80551000000003</v>
      </c>
      <c r="Q26" s="115"/>
      <c r="R26">
        <v>4</v>
      </c>
      <c r="S26" s="107" t="s">
        <v>389</v>
      </c>
      <c r="T26" s="113">
        <f>IF(M37&gt;0,M26/M37*T37,0)</f>
        <v>0</v>
      </c>
      <c r="U26" s="113">
        <f>IF(N37&gt;0,N26/N37*U37,0)</f>
        <v>0</v>
      </c>
      <c r="V26" s="113">
        <f>IF(O37&gt;0,O26/O37*V37,0)</f>
        <v>442.10448668320362</v>
      </c>
      <c r="W26" s="116">
        <f t="shared" si="46"/>
        <v>442.10448668320362</v>
      </c>
      <c r="X26" s="115"/>
      <c r="Y26" s="115"/>
      <c r="Z26" s="115"/>
      <c r="AA26" s="107" t="s">
        <v>389</v>
      </c>
      <c r="AB26" s="113">
        <f>INDEX(TourMode_input!$L$4:$T$17,MATCH(TourMode!$A27,modes,0),MATCH("univ",modePurpose,0))*Index!$B$2</f>
        <v>10</v>
      </c>
      <c r="AC26" s="113">
        <f>INDEX(TourMode_input!$L$20:$T$33,MATCH(TourMode!$A27,modes,0), MATCH("univ",modePurpose,0))*Index!$B$2</f>
        <v>1555</v>
      </c>
      <c r="AD26" s="113">
        <f>INDEX(TourMode_input!$L$36:$T$49,MATCH(TourMode!$A27,modes,0), MATCH("univ",modePurpose,0))*Index!$B$2</f>
        <v>320</v>
      </c>
      <c r="AE26" s="116">
        <f t="shared" si="47"/>
        <v>1885</v>
      </c>
      <c r="AG26" s="107"/>
      <c r="AH26" s="117"/>
      <c r="AI26" s="117"/>
      <c r="AJ26" s="117"/>
      <c r="AK26" s="118"/>
      <c r="AL26" s="115"/>
      <c r="AM26" s="107"/>
      <c r="AN26" s="117"/>
      <c r="AO26" s="117"/>
      <c r="AP26" s="117"/>
      <c r="AQ26" s="118"/>
      <c r="AS26" s="107" t="s">
        <v>389</v>
      </c>
      <c r="AT26" s="113">
        <f t="shared" si="48"/>
        <v>10</v>
      </c>
      <c r="AU26" s="113">
        <f t="shared" si="38"/>
        <v>1555</v>
      </c>
      <c r="AV26" s="113">
        <f t="shared" si="39"/>
        <v>-122.10448668320362</v>
      </c>
      <c r="AW26" s="116">
        <f t="shared" si="40"/>
        <v>1442.8955133167965</v>
      </c>
      <c r="AX26" s="115"/>
      <c r="AY26" s="107" t="s">
        <v>389</v>
      </c>
      <c r="AZ26" s="117">
        <f t="shared" si="49"/>
        <v>0</v>
      </c>
      <c r="BA26" s="117">
        <f t="shared" si="50"/>
        <v>0</v>
      </c>
      <c r="BB26" s="117">
        <f t="shared" si="51"/>
        <v>-0.16198407289859637</v>
      </c>
      <c r="BC26" s="118">
        <f t="shared" si="52"/>
        <v>1.9141482705755182</v>
      </c>
      <c r="BE26" s="107"/>
      <c r="BF26" s="307">
        <f t="shared" si="53"/>
        <v>0</v>
      </c>
      <c r="BG26" s="307">
        <f t="shared" si="41"/>
        <v>0</v>
      </c>
      <c r="BH26" s="307">
        <f t="shared" si="42"/>
        <v>0</v>
      </c>
      <c r="BI26" s="118"/>
      <c r="BK26" s="107"/>
      <c r="BL26" s="307"/>
      <c r="BM26" s="307"/>
      <c r="BN26" s="307"/>
      <c r="BO26" s="118"/>
      <c r="BQ26" s="107"/>
      <c r="BR26" s="307"/>
      <c r="BS26" s="307"/>
      <c r="BT26" s="307"/>
      <c r="BU26" s="118"/>
      <c r="BW26" t="s">
        <v>133</v>
      </c>
      <c r="BX26">
        <f>IF(ISNUMBER(INDEX($BT$23:$BT$36,BX22,1)),INDEX($BT$23:$BT$36,BX22,1),0)</f>
        <v>0</v>
      </c>
      <c r="BY26">
        <f t="shared" ref="BY26:CJ26" si="58">IF(ISNUMBER(INDEX($BT$23:$BT$36,BY22,1)),INDEX($BT$23:$BT$36,BY22,1),0)</f>
        <v>0</v>
      </c>
      <c r="BZ26">
        <f t="shared" si="58"/>
        <v>3.2239961963638915</v>
      </c>
      <c r="CA26">
        <f>BZ26</f>
        <v>3.2239961963638915</v>
      </c>
      <c r="CB26">
        <f t="shared" si="58"/>
        <v>3.2943584239460528</v>
      </c>
      <c r="CC26">
        <f>CB26</f>
        <v>3.2943584239460528</v>
      </c>
      <c r="CD26">
        <f t="shared" si="58"/>
        <v>2.3752404811526784</v>
      </c>
      <c r="CE26">
        <f t="shared" si="58"/>
        <v>-3.2036710419630103</v>
      </c>
      <c r="CG26">
        <f t="shared" si="58"/>
        <v>2.3730665183038457</v>
      </c>
      <c r="CH26">
        <f t="shared" si="58"/>
        <v>0.19638042986400583</v>
      </c>
      <c r="CI26">
        <f t="shared" si="58"/>
        <v>2.5139781020317162</v>
      </c>
      <c r="CJ26">
        <f t="shared" si="58"/>
        <v>-4.6787667101427175</v>
      </c>
      <c r="CK26" s="312">
        <v>-999</v>
      </c>
    </row>
    <row r="27" spans="1:89" x14ac:dyDescent="0.25">
      <c r="A27">
        <v>5</v>
      </c>
      <c r="B27" s="107" t="s">
        <v>390</v>
      </c>
      <c r="C27" s="113">
        <f>INDEX(TourMode_input!$B$4:$J$172,MATCH(TourMode!$A28,modes,0),MATCH("univ",modePurpose,0))</f>
        <v>0</v>
      </c>
      <c r="D27" s="113">
        <f>INDEX(TourMode_input!$B$20:$J$33,MATCH(TourMode!$A28,modes,0),MATCH("univ",modePurpose,0))</f>
        <v>3028.37896</v>
      </c>
      <c r="E27" s="113">
        <f>INDEX(TourMode_input!$B$36:$J$49,MATCH(TourMode!$A28,modes,0),MATCH("univ",modePurpose,0))</f>
        <v>892.16390000000001</v>
      </c>
      <c r="F27" s="116">
        <f t="shared" si="43"/>
        <v>3920.54286</v>
      </c>
      <c r="G27" s="300"/>
      <c r="H27" s="300"/>
      <c r="I27" s="300"/>
      <c r="J27" s="115"/>
      <c r="K27">
        <v>5</v>
      </c>
      <c r="L27" s="107" t="s">
        <v>390</v>
      </c>
      <c r="M27" s="113">
        <f t="shared" si="44"/>
        <v>0</v>
      </c>
      <c r="N27" s="113">
        <f t="shared" si="36"/>
        <v>3028.37896</v>
      </c>
      <c r="O27" s="113">
        <f t="shared" si="37"/>
        <v>892.16390000000001</v>
      </c>
      <c r="P27" s="116">
        <f t="shared" si="45"/>
        <v>3920.54286</v>
      </c>
      <c r="Q27" s="115"/>
      <c r="R27">
        <v>5</v>
      </c>
      <c r="S27" s="107" t="s">
        <v>390</v>
      </c>
      <c r="T27" s="113">
        <f>IF(M37&gt;0,M27/M37*T37,0)</f>
        <v>0</v>
      </c>
      <c r="U27" s="113">
        <f>IF(N37&gt;0,N27/N37*U37,0)</f>
        <v>2661.8443903924144</v>
      </c>
      <c r="V27" s="113">
        <f>IF(O37&gt;0,O27/O37*V37,0)</f>
        <v>523.25123365944228</v>
      </c>
      <c r="W27" s="116">
        <f t="shared" si="46"/>
        <v>3185.0956240518567</v>
      </c>
      <c r="X27" s="115"/>
      <c r="Y27" s="115"/>
      <c r="Z27" s="115"/>
      <c r="AA27" s="107" t="s">
        <v>390</v>
      </c>
      <c r="AB27" s="113">
        <f>INDEX(TourMode_input!$L$4:$T$17,MATCH(TourMode!$A28,modes,0),MATCH("univ",modePurpose,0))*Index!$B$2</f>
        <v>0</v>
      </c>
      <c r="AC27" s="113">
        <f>INDEX(TourMode_input!$L$20:$T$33,MATCH(TourMode!$A28,modes,0), MATCH("univ",modePurpose,0))*Index!$B$2</f>
        <v>2500</v>
      </c>
      <c r="AD27" s="113">
        <f>INDEX(TourMode_input!$L$36:$T$49,MATCH(TourMode!$A28,modes,0), MATCH("univ",modePurpose,0))*Index!$B$2</f>
        <v>800</v>
      </c>
      <c r="AE27" s="116">
        <f t="shared" si="47"/>
        <v>3300</v>
      </c>
      <c r="AG27" s="107" t="s">
        <v>577</v>
      </c>
      <c r="AH27" s="117">
        <f>(T27+T28)/T$36</f>
        <v>0</v>
      </c>
      <c r="AI27" s="117">
        <f>(U27+U28)/U$36</f>
        <v>3.6087912017250735E-2</v>
      </c>
      <c r="AJ27" s="117">
        <f>(V27+V28)/V$36</f>
        <v>1.6560057845151414E-2</v>
      </c>
      <c r="AK27" s="117">
        <f>(W27+W28)/W$36</f>
        <v>2.4193022171373469E-2</v>
      </c>
      <c r="AL27" s="115"/>
      <c r="AM27" s="107" t="s">
        <v>577</v>
      </c>
      <c r="AN27" s="117">
        <f>(AB27+AB28)/AB$36</f>
        <v>0</v>
      </c>
      <c r="AO27" s="117">
        <f>(AC27+AC28)/AC$36</f>
        <v>3.8435466377440344E-2</v>
      </c>
      <c r="AP27" s="117">
        <f>(AD27+AD28)/AD$36</f>
        <v>1.7770276978060162E-2</v>
      </c>
      <c r="AQ27" s="117">
        <f>(AE27+AE28)/AE$36</f>
        <v>2.5813148788927334E-2</v>
      </c>
      <c r="AS27" s="107" t="s">
        <v>390</v>
      </c>
      <c r="AT27" s="113">
        <f t="shared" si="48"/>
        <v>0</v>
      </c>
      <c r="AU27" s="113">
        <f t="shared" si="38"/>
        <v>-161.84439039241443</v>
      </c>
      <c r="AV27" s="113">
        <f t="shared" si="39"/>
        <v>276.74876634055772</v>
      </c>
      <c r="AW27" s="116">
        <f t="shared" si="40"/>
        <v>114.9043759481433</v>
      </c>
      <c r="AX27" s="115"/>
      <c r="AY27" s="107" t="s">
        <v>390</v>
      </c>
      <c r="AZ27" s="117">
        <f t="shared" si="49"/>
        <v>0</v>
      </c>
      <c r="BA27" s="117">
        <f t="shared" si="50"/>
        <v>-5.3442581833422334E-2</v>
      </c>
      <c r="BB27" s="117">
        <f t="shared" si="51"/>
        <v>0.31019946709405943</v>
      </c>
      <c r="BC27" s="118">
        <f t="shared" si="52"/>
        <v>2.9308282054629368E-2</v>
      </c>
      <c r="BE27" s="107" t="s">
        <v>577</v>
      </c>
      <c r="BF27" s="307">
        <f t="shared" si="53"/>
        <v>0</v>
      </c>
      <c r="BG27" s="307">
        <f t="shared" si="41"/>
        <v>-6.3022674816079052E-2</v>
      </c>
      <c r="BH27" s="307">
        <f t="shared" si="42"/>
        <v>-7.0533586864499259E-2</v>
      </c>
      <c r="BI27" s="118"/>
      <c r="BK27" s="107" t="s">
        <v>577</v>
      </c>
      <c r="BL27" s="307">
        <v>-1.9119149160671756</v>
      </c>
      <c r="BM27" s="307">
        <v>4.210940412886429</v>
      </c>
      <c r="BN27" s="307">
        <v>3.2803709666904206</v>
      </c>
      <c r="BO27" s="118"/>
      <c r="BQ27" s="107" t="s">
        <v>577</v>
      </c>
      <c r="BR27" s="307">
        <f t="shared" ref="BR27:BR35" si="59">(BF27-BF$25)*$BR$1+BL27</f>
        <v>-2.4221937078147531</v>
      </c>
      <c r="BS27" s="307">
        <f t="shared" si="55"/>
        <v>4.1449090844105925</v>
      </c>
      <c r="BT27" s="307">
        <f t="shared" si="56"/>
        <v>3.2943584239460528</v>
      </c>
      <c r="BU27" s="118"/>
    </row>
    <row r="28" spans="1:89" x14ac:dyDescent="0.25">
      <c r="A28">
        <v>6</v>
      </c>
      <c r="B28" s="107" t="s">
        <v>391</v>
      </c>
      <c r="C28" s="113">
        <f>INDEX(TourMode_input!$B$4:$J$172,MATCH(TourMode!$A29,modes,0),MATCH("univ",modePurpose,0))</f>
        <v>0</v>
      </c>
      <c r="D28" s="113">
        <f>INDEX(TourMode_input!$B$20:$J$33,MATCH(TourMode!$A29,modes,0),MATCH("univ",modePurpose,0))</f>
        <v>0</v>
      </c>
      <c r="E28" s="113">
        <f>INDEX(TourMode_input!$B$36:$J$49,MATCH(TourMode!$A29,modes,0),MATCH("univ",modePurpose,0))</f>
        <v>529.91952000000003</v>
      </c>
      <c r="F28" s="116">
        <f t="shared" si="43"/>
        <v>529.91952000000003</v>
      </c>
      <c r="G28" s="300"/>
      <c r="H28" s="300"/>
      <c r="I28" s="300"/>
      <c r="J28" s="115"/>
      <c r="K28">
        <v>6</v>
      </c>
      <c r="L28" s="107" t="s">
        <v>391</v>
      </c>
      <c r="M28" s="113">
        <f t="shared" si="44"/>
        <v>0</v>
      </c>
      <c r="N28" s="113">
        <f t="shared" si="36"/>
        <v>0</v>
      </c>
      <c r="O28" s="113">
        <f t="shared" si="37"/>
        <v>529.91952000000003</v>
      </c>
      <c r="P28" s="116">
        <f t="shared" si="45"/>
        <v>529.91952000000003</v>
      </c>
      <c r="Q28" s="115"/>
      <c r="R28">
        <v>6</v>
      </c>
      <c r="S28" s="107" t="s">
        <v>391</v>
      </c>
      <c r="T28" s="113">
        <f>IF(M37&gt;0,M28/M37*T37,0)</f>
        <v>0</v>
      </c>
      <c r="U28" s="113">
        <f>IF(N37&gt;0,N28/N37*U37,0)</f>
        <v>0</v>
      </c>
      <c r="V28" s="113">
        <f>IF(O37&gt;0,O28/O37*V37,0)</f>
        <v>310.79607971160846</v>
      </c>
      <c r="W28" s="116">
        <f t="shared" si="46"/>
        <v>310.79607971160846</v>
      </c>
      <c r="X28" s="115"/>
      <c r="Y28" s="115"/>
      <c r="Z28" s="115"/>
      <c r="AA28" s="107" t="s">
        <v>391</v>
      </c>
      <c r="AB28" s="113">
        <f>INDEX(TourMode_input!$L$4:$T$17,MATCH(TourMode!$A29,modes,0),MATCH("univ",modePurpose,0))*Index!$B$2</f>
        <v>0</v>
      </c>
      <c r="AC28" s="113">
        <f>INDEX(TourMode_input!$L$20:$T$33,MATCH(TourMode!$A29,modes,0), MATCH("univ",modePurpose,0))*Index!$B$2</f>
        <v>335</v>
      </c>
      <c r="AD28" s="113">
        <f>INDEX(TourMode_input!$L$36:$T$49,MATCH(TourMode!$A29,modes,0), MATCH("univ",modePurpose,0))*Index!$B$2</f>
        <v>95</v>
      </c>
      <c r="AE28" s="116">
        <f t="shared" si="47"/>
        <v>430</v>
      </c>
      <c r="AG28" s="107"/>
      <c r="AH28" s="117"/>
      <c r="AI28" s="117"/>
      <c r="AJ28" s="117"/>
      <c r="AK28" s="118"/>
      <c r="AL28" s="115"/>
      <c r="AM28" s="107"/>
      <c r="AN28" s="117"/>
      <c r="AO28" s="117"/>
      <c r="AP28" s="117"/>
      <c r="AQ28" s="118"/>
      <c r="AS28" s="107" t="s">
        <v>391</v>
      </c>
      <c r="AT28" s="113">
        <f t="shared" si="48"/>
        <v>0</v>
      </c>
      <c r="AU28" s="113">
        <f t="shared" si="38"/>
        <v>335</v>
      </c>
      <c r="AV28" s="113">
        <f t="shared" si="39"/>
        <v>-215.79607971160846</v>
      </c>
      <c r="AW28" s="116">
        <f t="shared" si="40"/>
        <v>119.20392028839154</v>
      </c>
      <c r="AX28" s="115"/>
      <c r="AY28" s="107" t="s">
        <v>391</v>
      </c>
      <c r="AZ28" s="117">
        <f t="shared" si="49"/>
        <v>0</v>
      </c>
      <c r="BA28" s="117">
        <f t="shared" si="50"/>
        <v>0</v>
      </c>
      <c r="BB28" s="117">
        <f t="shared" si="51"/>
        <v>-0.40722425116857075</v>
      </c>
      <c r="BC28" s="118">
        <f t="shared" si="52"/>
        <v>0.22494721517031782</v>
      </c>
      <c r="BE28" s="107"/>
      <c r="BF28" s="307">
        <f t="shared" si="53"/>
        <v>0</v>
      </c>
      <c r="BG28" s="307">
        <f t="shared" si="41"/>
        <v>0</v>
      </c>
      <c r="BH28" s="307">
        <f t="shared" si="42"/>
        <v>0</v>
      </c>
      <c r="BI28" s="118"/>
      <c r="BK28" s="107"/>
      <c r="BL28" s="307"/>
      <c r="BM28" s="307"/>
      <c r="BN28" s="307"/>
      <c r="BO28" s="118"/>
      <c r="BQ28" s="107"/>
      <c r="BR28" s="307"/>
      <c r="BS28" s="307"/>
      <c r="BT28" s="307"/>
      <c r="BU28" s="118"/>
    </row>
    <row r="29" spans="1:89" x14ac:dyDescent="0.25">
      <c r="A29">
        <v>7</v>
      </c>
      <c r="B29" s="107" t="s">
        <v>392</v>
      </c>
      <c r="C29" s="113">
        <f>INDEX(TourMode_input!$B$4:$J$172,MATCH(TourMode!$A30,modes,0),MATCH("univ",modePurpose,0))</f>
        <v>2517.4375</v>
      </c>
      <c r="D29" s="113">
        <f>INDEX(TourMode_input!$B$20:$J$33,MATCH(TourMode!$A30,modes,0),MATCH("univ",modePurpose,0))</f>
        <v>11833.887129999999</v>
      </c>
      <c r="E29" s="113">
        <f>INDEX(TourMode_input!$B$36:$J$49,MATCH(TourMode!$A30,modes,0),MATCH("univ",modePurpose,0))</f>
        <v>3026.57033</v>
      </c>
      <c r="F29" s="116">
        <f t="shared" si="43"/>
        <v>17377.894959999998</v>
      </c>
      <c r="G29" s="300"/>
      <c r="H29" s="300"/>
      <c r="I29" s="300"/>
      <c r="J29" s="115"/>
      <c r="K29">
        <v>7</v>
      </c>
      <c r="L29" s="107" t="s">
        <v>392</v>
      </c>
      <c r="M29" s="113">
        <f t="shared" si="44"/>
        <v>2517.4375</v>
      </c>
      <c r="N29" s="113">
        <f t="shared" si="36"/>
        <v>11833.887129999999</v>
      </c>
      <c r="O29" s="113">
        <f t="shared" si="37"/>
        <v>3026.57033</v>
      </c>
      <c r="P29" s="116">
        <f t="shared" si="45"/>
        <v>17377.894959999998</v>
      </c>
      <c r="Q29" s="115"/>
      <c r="R29">
        <v>7</v>
      </c>
      <c r="S29" s="107" t="s">
        <v>392</v>
      </c>
      <c r="T29" s="113">
        <f>IF(M37&gt;0,M29/M37*T37,0)</f>
        <v>768.09082998151666</v>
      </c>
      <c r="U29" s="113">
        <f>IF(N37&gt;0,N29/N37*U37,0)</f>
        <v>10401.593225151548</v>
      </c>
      <c r="V29" s="113">
        <f>IF(O37&gt;0,O29/O37*V37,0)</f>
        <v>1775.0736820101833</v>
      </c>
      <c r="W29" s="116">
        <f t="shared" si="46"/>
        <v>12944.757737143247</v>
      </c>
      <c r="X29" s="115"/>
      <c r="Y29" s="115"/>
      <c r="Z29" s="115"/>
      <c r="AA29" s="107" t="s">
        <v>392</v>
      </c>
      <c r="AB29" s="113">
        <f>INDEX(TourMode_input!$L$4:$T$17,MATCH(TourMode!$A30,modes,0),MATCH("univ",modePurpose,0))*Index!$B$2</f>
        <v>775</v>
      </c>
      <c r="AC29" s="113">
        <f>INDEX(TourMode_input!$L$20:$T$33,MATCH(TourMode!$A30,modes,0), MATCH("univ",modePurpose,0))*Index!$B$2</f>
        <v>9285</v>
      </c>
      <c r="AD29" s="113">
        <f>INDEX(TourMode_input!$L$36:$T$49,MATCH(TourMode!$A30,modes,0), MATCH("univ",modePurpose,0))*Index!$B$2</f>
        <v>2185</v>
      </c>
      <c r="AE29" s="116">
        <f t="shared" si="47"/>
        <v>12245</v>
      </c>
      <c r="AG29" s="107" t="s">
        <v>392</v>
      </c>
      <c r="AH29" s="117">
        <f t="shared" ref="AH29:AH36" si="60">T29/T$36</f>
        <v>3.7697709446945601E-2</v>
      </c>
      <c r="AI29" s="117">
        <f t="shared" ref="AI29:AI36" si="61">U29/U$36</f>
        <v>0.14101943092667499</v>
      </c>
      <c r="AJ29" s="117">
        <f t="shared" ref="AJ29:AJ36" si="62">V29/V$36</f>
        <v>3.5244191045571006E-2</v>
      </c>
      <c r="AK29" s="118">
        <f t="shared" ref="AK29:AK36" si="63">W29/W$36</f>
        <v>8.958309852694292E-2</v>
      </c>
      <c r="AL29" s="115"/>
      <c r="AM29" s="107" t="s">
        <v>392</v>
      </c>
      <c r="AN29" s="117">
        <f t="shared" ref="AN29:AN36" si="64">AB29/AB$36</f>
        <v>3.8036809815950923E-2</v>
      </c>
      <c r="AO29" s="117">
        <f t="shared" ref="AO29:AO36" si="65">AC29/AC$36</f>
        <v>0.12588123644251628</v>
      </c>
      <c r="AP29" s="117">
        <f t="shared" ref="AP29:AP36" si="66">AD29/AD$36</f>
        <v>4.338330189615805E-2</v>
      </c>
      <c r="AQ29" s="118">
        <f t="shared" ref="AQ29:AQ36" si="67">AE29/AE$36</f>
        <v>8.4740484429065746E-2</v>
      </c>
      <c r="AS29" s="107" t="s">
        <v>392</v>
      </c>
      <c r="AT29" s="113">
        <f t="shared" si="48"/>
        <v>6.9091700184833371</v>
      </c>
      <c r="AU29" s="113">
        <f t="shared" si="38"/>
        <v>-1116.5932251515478</v>
      </c>
      <c r="AV29" s="113">
        <f t="shared" si="39"/>
        <v>409.92631798981665</v>
      </c>
      <c r="AW29" s="116">
        <f t="shared" si="40"/>
        <v>-699.75773714324714</v>
      </c>
      <c r="AX29" s="115"/>
      <c r="AY29" s="107" t="s">
        <v>392</v>
      </c>
      <c r="AZ29" s="117">
        <f t="shared" si="49"/>
        <v>2.7445249458957124E-3</v>
      </c>
      <c r="BA29" s="117">
        <f t="shared" si="50"/>
        <v>-9.435557504354429E-2</v>
      </c>
      <c r="BB29" s="117">
        <f t="shared" si="51"/>
        <v>0.13544252182959074</v>
      </c>
      <c r="BC29" s="118">
        <f t="shared" si="52"/>
        <v>-4.0267117435911076E-2</v>
      </c>
      <c r="BE29" s="107" t="s">
        <v>392</v>
      </c>
      <c r="BF29" s="307">
        <f t="shared" si="53"/>
        <v>-8.9550349937078874E-3</v>
      </c>
      <c r="BG29" s="307">
        <f t="shared" si="41"/>
        <v>0.11355879433565431</v>
      </c>
      <c r="BH29" s="307">
        <f t="shared" si="42"/>
        <v>-0.20777389549007894</v>
      </c>
      <c r="BI29" s="118"/>
      <c r="BK29" s="107" t="s">
        <v>392</v>
      </c>
      <c r="BL29" s="307">
        <v>-1.0455301759965234</v>
      </c>
      <c r="BM29" s="307">
        <v>4.5630477772555489</v>
      </c>
      <c r="BN29" s="307">
        <v>2.4298731782098359</v>
      </c>
      <c r="BO29" s="118"/>
      <c r="BQ29" s="107" t="s">
        <v>392</v>
      </c>
      <c r="BR29" s="307">
        <f t="shared" si="59"/>
        <v>-1.560286485240955</v>
      </c>
      <c r="BS29" s="307">
        <f t="shared" si="55"/>
        <v>4.585307183355579</v>
      </c>
      <c r="BT29" s="307">
        <f t="shared" si="56"/>
        <v>2.3752404811526784</v>
      </c>
      <c r="BU29" s="118"/>
    </row>
    <row r="30" spans="1:89" x14ac:dyDescent="0.25">
      <c r="A30">
        <v>8</v>
      </c>
      <c r="B30" s="107" t="s">
        <v>393</v>
      </c>
      <c r="C30" s="113">
        <f>INDEX(TourMode_input!$B$4:$J$172,MATCH(TourMode!$A31,modes,0),MATCH("univ",modePurpose,0))</f>
        <v>126.24865</v>
      </c>
      <c r="D30" s="113">
        <f>INDEX(TourMode_input!$B$20:$J$33,MATCH(TourMode!$A31,modes,0),MATCH("univ",modePurpose,0))</f>
        <v>6041.5281199999999</v>
      </c>
      <c r="E30" s="113">
        <f>INDEX(TourMode_input!$B$36:$J$49,MATCH(TourMode!$A31,modes,0),MATCH("univ",modePurpose,0))</f>
        <v>31.783899999999999</v>
      </c>
      <c r="F30" s="116">
        <f t="shared" si="43"/>
        <v>6199.5606700000008</v>
      </c>
      <c r="G30" s="300"/>
      <c r="H30" s="300"/>
      <c r="I30" s="300"/>
      <c r="J30" s="115"/>
      <c r="K30">
        <v>8</v>
      </c>
      <c r="L30" s="107" t="s">
        <v>393</v>
      </c>
      <c r="M30" s="113">
        <f t="shared" si="44"/>
        <v>126.24865</v>
      </c>
      <c r="N30" s="113">
        <f t="shared" si="36"/>
        <v>6041.5281199999999</v>
      </c>
      <c r="O30" s="113">
        <f t="shared" si="37"/>
        <v>31.783899999999999</v>
      </c>
      <c r="P30" s="116">
        <f t="shared" si="45"/>
        <v>6199.5606700000008</v>
      </c>
      <c r="Q30" s="115"/>
      <c r="R30">
        <v>8</v>
      </c>
      <c r="S30" s="107" t="s">
        <v>393</v>
      </c>
      <c r="T30" s="113">
        <f>IF(M37&gt;0,M30/M37*T37,0)</f>
        <v>38.519498641990523</v>
      </c>
      <c r="U30" s="113">
        <f>IF(N37&gt;0,N30/N37*U37,0)</f>
        <v>5310.3022930855486</v>
      </c>
      <c r="V30" s="113">
        <f>IF(O37&gt;0,O30/O37*V37,0)</f>
        <v>18.641154260454098</v>
      </c>
      <c r="W30" s="116">
        <f t="shared" si="46"/>
        <v>5367.4629459879925</v>
      </c>
      <c r="X30" s="115"/>
      <c r="Y30" s="115"/>
      <c r="Z30" s="115"/>
      <c r="AA30" s="107" t="s">
        <v>393</v>
      </c>
      <c r="AB30" s="113">
        <f>INDEX(TourMode_input!$L$4:$T$17,MATCH(TourMode!$A31,modes,0),MATCH("univ",modePurpose,0))*Index!$B$2</f>
        <v>25</v>
      </c>
      <c r="AC30" s="113">
        <f>INDEX(TourMode_input!$L$20:$T$33,MATCH(TourMode!$A31,modes,0), MATCH("univ",modePurpose,0))*Index!$B$2</f>
        <v>5355</v>
      </c>
      <c r="AD30" s="113">
        <f>INDEX(TourMode_input!$L$36:$T$49,MATCH(TourMode!$A31,modes,0), MATCH("univ",modePurpose,0))*Index!$B$2</f>
        <v>15</v>
      </c>
      <c r="AE30" s="116">
        <f t="shared" si="47"/>
        <v>5395</v>
      </c>
      <c r="AG30" s="107" t="s">
        <v>393</v>
      </c>
      <c r="AH30" s="117">
        <f t="shared" si="60"/>
        <v>1.8905275407111912E-3</v>
      </c>
      <c r="AI30" s="117">
        <f t="shared" si="61"/>
        <v>7.1994336945302995E-2</v>
      </c>
      <c r="AJ30" s="117">
        <f t="shared" si="62"/>
        <v>3.7012120044582753E-4</v>
      </c>
      <c r="AK30" s="118">
        <f t="shared" si="63"/>
        <v>3.7145072290574357E-2</v>
      </c>
      <c r="AL30" s="115"/>
      <c r="AM30" s="107" t="s">
        <v>393</v>
      </c>
      <c r="AN30" s="117">
        <f t="shared" si="64"/>
        <v>1.2269938650306749E-3</v>
      </c>
      <c r="AO30" s="117">
        <f t="shared" si="65"/>
        <v>7.2600325379609545E-2</v>
      </c>
      <c r="AP30" s="117">
        <f t="shared" si="66"/>
        <v>2.978258711406731E-4</v>
      </c>
      <c r="AQ30" s="118">
        <f t="shared" si="67"/>
        <v>3.7335640138408302E-2</v>
      </c>
      <c r="AS30" s="107" t="s">
        <v>393</v>
      </c>
      <c r="AT30" s="113">
        <f t="shared" si="48"/>
        <v>-13.519498641990523</v>
      </c>
      <c r="AU30" s="113">
        <f t="shared" si="38"/>
        <v>44.697706914451373</v>
      </c>
      <c r="AV30" s="113">
        <f t="shared" si="39"/>
        <v>-3.6411542604540976</v>
      </c>
      <c r="AW30" s="116">
        <f t="shared" si="40"/>
        <v>27.537054012007502</v>
      </c>
      <c r="AX30" s="115"/>
      <c r="AY30" s="107" t="s">
        <v>393</v>
      </c>
      <c r="AZ30" s="117">
        <f t="shared" si="49"/>
        <v>-0.10708628283938501</v>
      </c>
      <c r="BA30" s="117">
        <f t="shared" si="50"/>
        <v>7.3984108037969997E-3</v>
      </c>
      <c r="BB30" s="117">
        <f t="shared" si="51"/>
        <v>-0.11455970665821683</v>
      </c>
      <c r="BC30" s="118">
        <f t="shared" si="52"/>
        <v>4.4417750672657739E-3</v>
      </c>
      <c r="BE30" s="107" t="s">
        <v>393</v>
      </c>
      <c r="BF30" s="307">
        <f t="shared" si="53"/>
        <v>0.43228874645237231</v>
      </c>
      <c r="BG30" s="307">
        <f t="shared" si="41"/>
        <v>-8.3819412482654954E-3</v>
      </c>
      <c r="BH30" s="307">
        <f t="shared" si="42"/>
        <v>0.21732153008213717</v>
      </c>
      <c r="BI30" s="118"/>
      <c r="BK30" s="107" t="s">
        <v>393</v>
      </c>
      <c r="BL30" s="307">
        <v>-4.0373742148833029</v>
      </c>
      <c r="BM30" s="307">
        <v>2.0790330230203504</v>
      </c>
      <c r="BN30" s="307">
        <v>-3.3615860576919609</v>
      </c>
      <c r="BO30" s="118"/>
      <c r="BQ30" s="107" t="s">
        <v>393</v>
      </c>
      <c r="BR30" s="307">
        <f t="shared" si="59"/>
        <v>-4.3315086334046944</v>
      </c>
      <c r="BS30" s="307">
        <f t="shared" si="55"/>
        <v>2.0403220613284203</v>
      </c>
      <c r="BT30" s="307">
        <f t="shared" si="56"/>
        <v>-3.2036710419630103</v>
      </c>
      <c r="BU30" s="118"/>
    </row>
    <row r="31" spans="1:89" x14ac:dyDescent="0.25">
      <c r="A31">
        <v>10</v>
      </c>
      <c r="B31" s="107" t="s">
        <v>555</v>
      </c>
      <c r="C31" s="113">
        <f>INDEX(TourMode_input!$B$4:$J$172,MATCH(TourMode!$A33,modes,0),MATCH("univ",modePurpose,0))+INDEX(TourMode_input!$B$4:$J$172,MATCH(TourMode!$A32,modes,0),MATCH("univ",modePurpose,0))</f>
        <v>16827.948069999999</v>
      </c>
      <c r="D31" s="113">
        <f>INDEX(TourMode_input!$B$20:$J$33,MATCH(TourMode!$A33,modes,0),MATCH("univ",modePurpose,0))+INDEX(TourMode_input!$B$20:$J$33,MATCH(TourMode!$A32,modes,0),MATCH("univ",modePurpose,0))</f>
        <v>11091.39788</v>
      </c>
      <c r="E31" s="113">
        <f>INDEX(TourMode_input!$B$36:$J$49,MATCH(TourMode!$A33,modes,0),MATCH("univ",modePurpose,0))+INDEX(TourMode_input!$B$36:$J$49,MATCH(TourMode!$A32,modes,0),MATCH("univ",modePurpose,0))</f>
        <v>6066.4920599999996</v>
      </c>
      <c r="F31" s="116">
        <f t="shared" si="43"/>
        <v>33985.838009999999</v>
      </c>
      <c r="G31" s="300"/>
      <c r="H31" s="302">
        <f>F31/F$167</f>
        <v>5.7645038066740102E-2</v>
      </c>
      <c r="I31" s="300">
        <f>H31*H$167</f>
        <v>37925.983974723342</v>
      </c>
      <c r="J31" s="115"/>
      <c r="K31">
        <v>10</v>
      </c>
      <c r="L31" s="107" t="s">
        <v>546</v>
      </c>
      <c r="M31" s="113">
        <f t="shared" ref="M31:O33" si="68">IF($F31&gt;0,C31/$F31*$I31,0)</f>
        <v>18778.895157521423</v>
      </c>
      <c r="N31" s="113">
        <f t="shared" si="68"/>
        <v>12377.278386673521</v>
      </c>
      <c r="O31" s="113">
        <f t="shared" si="68"/>
        <v>6769.8104305283941</v>
      </c>
      <c r="P31" s="116">
        <f t="shared" si="45"/>
        <v>37925.983974723335</v>
      </c>
      <c r="Q31" s="115"/>
      <c r="R31">
        <v>10</v>
      </c>
      <c r="S31" s="107" t="s">
        <v>546</v>
      </c>
      <c r="T31" s="113">
        <f t="shared" ref="T31:V33" si="69">M31</f>
        <v>18778.895157521423</v>
      </c>
      <c r="U31" s="113">
        <f t="shared" si="69"/>
        <v>12377.278386673521</v>
      </c>
      <c r="V31" s="113">
        <f t="shared" si="69"/>
        <v>6769.8104305283941</v>
      </c>
      <c r="W31" s="116">
        <f t="shared" si="46"/>
        <v>37925.983974723335</v>
      </c>
      <c r="X31" s="115"/>
      <c r="Y31" s="115"/>
      <c r="Z31" s="115"/>
      <c r="AA31" s="107" t="s">
        <v>546</v>
      </c>
      <c r="AB31" s="113">
        <f>INDEX(TourMode_input!$L$4:$T$17,MATCH(TourMode!$A33,modes,0),MATCH("univ",modePurpose,0))*Index!$B$2</f>
        <v>15285</v>
      </c>
      <c r="AC31" s="113">
        <f>INDEX(TourMode_input!$L$20:$T$33,MATCH(TourMode!$A33,modes,0), MATCH("univ",modePurpose,0))*Index!$B$2</f>
        <v>9915</v>
      </c>
      <c r="AD31" s="113">
        <f>INDEX(TourMode_input!$L$36:$T$49,MATCH(TourMode!$A33,modes,0), MATCH("univ",modePurpose,0))*Index!$B$2</f>
        <v>5195</v>
      </c>
      <c r="AE31" s="116">
        <f t="shared" si="47"/>
        <v>30395</v>
      </c>
      <c r="AG31" s="107" t="s">
        <v>395</v>
      </c>
      <c r="AH31" s="117">
        <f t="shared" si="60"/>
        <v>0.92166356601332133</v>
      </c>
      <c r="AI31" s="117">
        <f t="shared" si="61"/>
        <v>0.16780475036162582</v>
      </c>
      <c r="AJ31" s="117">
        <f t="shared" si="62"/>
        <v>0.13441497926195564</v>
      </c>
      <c r="AK31" s="118">
        <f t="shared" si="63"/>
        <v>0.26246355691850071</v>
      </c>
      <c r="AL31" s="115"/>
      <c r="AM31" s="107" t="s">
        <v>395</v>
      </c>
      <c r="AN31" s="117">
        <f t="shared" si="64"/>
        <v>0.75018404907975456</v>
      </c>
      <c r="AO31" s="117">
        <f t="shared" si="65"/>
        <v>0.13442245119305857</v>
      </c>
      <c r="AP31" s="117">
        <f t="shared" si="66"/>
        <v>0.10314702670505312</v>
      </c>
      <c r="AQ31" s="118">
        <f t="shared" si="67"/>
        <v>0.21034602076124567</v>
      </c>
      <c r="AS31" s="107" t="s">
        <v>395</v>
      </c>
      <c r="AT31" s="113">
        <f t="shared" si="48"/>
        <v>-3493.8951575214232</v>
      </c>
      <c r="AU31" s="113">
        <f t="shared" si="38"/>
        <v>-2462.2783866735208</v>
      </c>
      <c r="AV31" s="113">
        <f t="shared" si="39"/>
        <v>-1574.8104305283941</v>
      </c>
      <c r="AW31" s="116">
        <f t="shared" si="40"/>
        <v>-7530.9839747233345</v>
      </c>
      <c r="AX31" s="115"/>
      <c r="AY31" s="107" t="s">
        <v>395</v>
      </c>
      <c r="AZ31" s="117">
        <f t="shared" si="49"/>
        <v>-0.20762455071692074</v>
      </c>
      <c r="BA31" s="117">
        <f t="shared" si="50"/>
        <v>-0.22199892324785311</v>
      </c>
      <c r="BB31" s="117">
        <f t="shared" si="51"/>
        <v>-0.25959160828908995</v>
      </c>
      <c r="BC31" s="118">
        <f t="shared" si="52"/>
        <v>-0.22159182811697672</v>
      </c>
      <c r="BE31" s="107" t="s">
        <v>395</v>
      </c>
      <c r="BF31" s="307">
        <f t="shared" si="53"/>
        <v>0.20586168590381335</v>
      </c>
      <c r="BG31" s="307">
        <f t="shared" si="41"/>
        <v>0.22181364159087635</v>
      </c>
      <c r="BH31" s="307">
        <f t="shared" si="42"/>
        <v>0.26477646058189108</v>
      </c>
      <c r="BI31" s="118"/>
      <c r="BK31" s="107" t="s">
        <v>395</v>
      </c>
      <c r="BL31" s="307">
        <v>2.2216087860128466</v>
      </c>
      <c r="BM31" s="307">
        <v>-2.5297413025842173</v>
      </c>
      <c r="BN31" s="307">
        <v>2.1914240373250182</v>
      </c>
      <c r="BO31" s="118"/>
      <c r="BQ31" s="107" t="s">
        <v>395</v>
      </c>
      <c r="BR31" s="307">
        <f t="shared" si="59"/>
        <v>1.8142608372171758</v>
      </c>
      <c r="BS31" s="307">
        <f t="shared" si="55"/>
        <v>-2.4533544728565766</v>
      </c>
      <c r="BT31" s="307">
        <f t="shared" si="56"/>
        <v>2.3730665183038457</v>
      </c>
      <c r="BU31" s="118"/>
    </row>
    <row r="32" spans="1:89" x14ac:dyDescent="0.25">
      <c r="A32">
        <v>11</v>
      </c>
      <c r="B32" s="107" t="s">
        <v>556</v>
      </c>
      <c r="C32" s="113">
        <f>INDEX(TourMode_input!$B$4:$J$172,MATCH(TourMode!$A34,modes,0),MATCH("univ",modePurpose,0))</f>
        <v>128.11025000000001</v>
      </c>
      <c r="D32" s="113">
        <f>INDEX(TourMode_input!$B$20:$J$33,MATCH(TourMode!$A34,modes,0),MATCH("univ",modePurpose,0))</f>
        <v>2253.8181199999999</v>
      </c>
      <c r="E32" s="113">
        <f>INDEX(TourMode_input!$B$36:$J$49,MATCH(TourMode!$A34,modes,0),MATCH("univ",modePurpose,0))</f>
        <v>855.19790999999998</v>
      </c>
      <c r="F32" s="116">
        <f t="shared" si="43"/>
        <v>3237.12628</v>
      </c>
      <c r="G32" s="300"/>
      <c r="H32" s="302">
        <f>F32/F$168</f>
        <v>4.0005716409722218E-2</v>
      </c>
      <c r="I32" s="300">
        <f>H32*H$168</f>
        <v>1369.238344224153</v>
      </c>
      <c r="J32" s="115"/>
      <c r="K32">
        <v>11</v>
      </c>
      <c r="L32" s="107" t="s">
        <v>559</v>
      </c>
      <c r="M32" s="113">
        <f t="shared" si="68"/>
        <v>54.188020922106972</v>
      </c>
      <c r="N32" s="113">
        <f t="shared" si="68"/>
        <v>953.31906261352071</v>
      </c>
      <c r="O32" s="113">
        <f t="shared" si="68"/>
        <v>361.73126068852531</v>
      </c>
      <c r="P32" s="116">
        <f t="shared" si="45"/>
        <v>1369.238344224153</v>
      </c>
      <c r="Q32" s="115"/>
      <c r="R32">
        <v>11</v>
      </c>
      <c r="S32" s="107" t="s">
        <v>559</v>
      </c>
      <c r="T32" s="113">
        <f t="shared" si="69"/>
        <v>54.188020922106972</v>
      </c>
      <c r="U32" s="113">
        <f t="shared" si="69"/>
        <v>953.31906261352071</v>
      </c>
      <c r="V32" s="113">
        <f t="shared" si="69"/>
        <v>361.73126068852531</v>
      </c>
      <c r="W32" s="116">
        <f t="shared" si="46"/>
        <v>1369.238344224153</v>
      </c>
      <c r="X32" s="115"/>
      <c r="Y32" s="115"/>
      <c r="Z32" s="115"/>
      <c r="AA32" s="107" t="s">
        <v>559</v>
      </c>
      <c r="AB32" s="113">
        <f>INDEX(TourMode_input!$L$4:$T$17,MATCH(TourMode!$A34,modes,0),MATCH("univ",modePurpose,0))*Index!$B$2</f>
        <v>15</v>
      </c>
      <c r="AC32" s="113">
        <f>INDEX(TourMode_input!$L$20:$T$33,MATCH(TourMode!$A34,modes,0), MATCH("univ",modePurpose,0))*Index!$B$2</f>
        <v>610</v>
      </c>
      <c r="AD32" s="113">
        <f>INDEX(TourMode_input!$L$36:$T$49,MATCH(TourMode!$A34,modes,0), MATCH("univ",modePurpose,0))*Index!$B$2</f>
        <v>185</v>
      </c>
      <c r="AE32" s="116">
        <f t="shared" si="47"/>
        <v>810</v>
      </c>
      <c r="AG32" s="107" t="s">
        <v>396</v>
      </c>
      <c r="AH32" s="117">
        <f t="shared" si="60"/>
        <v>2.6595347691831641E-3</v>
      </c>
      <c r="AI32" s="117">
        <f t="shared" si="61"/>
        <v>1.2924607681853589E-2</v>
      </c>
      <c r="AJ32" s="117">
        <f t="shared" si="62"/>
        <v>7.1821951888916E-3</v>
      </c>
      <c r="AK32" s="118">
        <f t="shared" si="63"/>
        <v>9.4756978839041772E-3</v>
      </c>
      <c r="AL32" s="115"/>
      <c r="AM32" s="107" t="s">
        <v>396</v>
      </c>
      <c r="AN32" s="117">
        <f t="shared" si="64"/>
        <v>7.3619631901840495E-4</v>
      </c>
      <c r="AO32" s="117">
        <f t="shared" si="65"/>
        <v>8.2700650759219094E-3</v>
      </c>
      <c r="AP32" s="117">
        <f t="shared" si="66"/>
        <v>3.6731857440683016E-3</v>
      </c>
      <c r="AQ32" s="118">
        <f t="shared" si="67"/>
        <v>5.6055363321799306E-3</v>
      </c>
      <c r="AS32" s="107" t="s">
        <v>396</v>
      </c>
      <c r="AT32" s="113">
        <f t="shared" si="48"/>
        <v>-39.188020922106972</v>
      </c>
      <c r="AU32" s="113">
        <f t="shared" si="38"/>
        <v>-343.31906261352071</v>
      </c>
      <c r="AV32" s="113">
        <f t="shared" si="39"/>
        <v>-176.73126068852531</v>
      </c>
      <c r="AW32" s="116">
        <f t="shared" si="40"/>
        <v>-559.23834422415302</v>
      </c>
      <c r="AX32" s="115"/>
      <c r="AY32" s="107" t="s">
        <v>396</v>
      </c>
      <c r="AZ32" s="117">
        <f t="shared" si="49"/>
        <v>-0.30589293926213529</v>
      </c>
      <c r="BA32" s="117">
        <f t="shared" si="50"/>
        <v>-0.15232775864519216</v>
      </c>
      <c r="BB32" s="117">
        <f t="shared" si="51"/>
        <v>-0.20665539359015192</v>
      </c>
      <c r="BC32" s="118">
        <f t="shared" si="52"/>
        <v>-0.17275765473818744</v>
      </c>
      <c r="BE32" s="107" t="s">
        <v>396</v>
      </c>
      <c r="BF32" s="307">
        <f t="shared" si="53"/>
        <v>1.284409666718423</v>
      </c>
      <c r="BG32" s="307">
        <f t="shared" si="41"/>
        <v>0.4464906885798739</v>
      </c>
      <c r="BH32" s="307">
        <f t="shared" si="42"/>
        <v>0.67054573726296673</v>
      </c>
      <c r="BI32" s="118"/>
      <c r="BK32" s="107" t="s">
        <v>396</v>
      </c>
      <c r="BL32" s="307">
        <v>-1.801641414938455</v>
      </c>
      <c r="BM32" s="307">
        <v>-2.8944628876476002</v>
      </c>
      <c r="BN32" s="307">
        <v>-0.18814668945535962</v>
      </c>
      <c r="BO32" s="118"/>
      <c r="BQ32" s="107" t="s">
        <v>396</v>
      </c>
      <c r="BR32" s="307">
        <f t="shared" si="59"/>
        <v>-1.6697153733268211</v>
      </c>
      <c r="BS32" s="307">
        <f t="shared" si="55"/>
        <v>-2.7057375344254608</v>
      </c>
      <c r="BT32" s="307">
        <f t="shared" si="56"/>
        <v>0.19638042986400583</v>
      </c>
      <c r="BU32" s="118"/>
    </row>
    <row r="33" spans="1:89" x14ac:dyDescent="0.25">
      <c r="A33">
        <v>12</v>
      </c>
      <c r="B33" s="107" t="s">
        <v>557</v>
      </c>
      <c r="C33" s="297">
        <v>0</v>
      </c>
      <c r="D33" s="113">
        <f>INDEX(TourMode_input!$B$20:$J$33,MATCH(TourMode!$A35,modes,0),MATCH("univ",modePurpose,0))</f>
        <v>1691.07383</v>
      </c>
      <c r="E33" s="113">
        <f>INDEX(TourMode_input!$B$36:$J$49,MATCH(TourMode!$A35,modes,0),MATCH("univ",modePurpose,0))</f>
        <v>9837.5679400000008</v>
      </c>
      <c r="F33" s="116">
        <f t="shared" si="43"/>
        <v>11528.64177</v>
      </c>
      <c r="G33" s="300"/>
      <c r="H33" s="302">
        <f>F33/F$169</f>
        <v>7.6240773461141886E-2</v>
      </c>
      <c r="I33" s="300">
        <f>H33*H$169</f>
        <v>7576.0301133399607</v>
      </c>
      <c r="J33" s="115"/>
      <c r="K33">
        <v>12</v>
      </c>
      <c r="L33" s="107" t="s">
        <v>560</v>
      </c>
      <c r="M33" s="113">
        <f t="shared" si="68"/>
        <v>0</v>
      </c>
      <c r="N33" s="113">
        <f t="shared" si="68"/>
        <v>1111.2866992970276</v>
      </c>
      <c r="O33" s="113">
        <f t="shared" si="68"/>
        <v>6464.7434140429341</v>
      </c>
      <c r="P33" s="116">
        <f t="shared" si="45"/>
        <v>7576.0301133399616</v>
      </c>
      <c r="Q33" s="115"/>
      <c r="R33">
        <v>12</v>
      </c>
      <c r="S33" s="107" t="s">
        <v>560</v>
      </c>
      <c r="T33" s="113">
        <f t="shared" si="69"/>
        <v>0</v>
      </c>
      <c r="U33" s="113">
        <f t="shared" si="69"/>
        <v>1111.2866992970276</v>
      </c>
      <c r="V33" s="113">
        <f t="shared" si="69"/>
        <v>6464.7434140429341</v>
      </c>
      <c r="W33" s="116">
        <f t="shared" si="46"/>
        <v>7576.0301133399616</v>
      </c>
      <c r="X33" s="115"/>
      <c r="Y33" s="115"/>
      <c r="Z33" s="115"/>
      <c r="AA33" s="107" t="s">
        <v>560</v>
      </c>
      <c r="AB33" s="113">
        <f>INDEX(TourMode_input!$L$4:$T$17,MATCH(TourMode!$A35,modes,0),MATCH("univ",modePurpose,0))*Index!$B$2</f>
        <v>0</v>
      </c>
      <c r="AC33" s="113">
        <f>INDEX(TourMode_input!$L$20:$T$33,MATCH(TourMode!$A35,modes,0), MATCH("univ",modePurpose,0))*Index!$B$2</f>
        <v>435</v>
      </c>
      <c r="AD33" s="113">
        <f>INDEX(TourMode_input!$L$36:$T$49,MATCH(TourMode!$A35,modes,0), MATCH("univ",modePurpose,0))*Index!$B$2</f>
        <v>3500</v>
      </c>
      <c r="AE33" s="116">
        <f t="shared" si="47"/>
        <v>3935</v>
      </c>
      <c r="AG33" s="107" t="s">
        <v>397</v>
      </c>
      <c r="AH33" s="117">
        <f t="shared" si="60"/>
        <v>0</v>
      </c>
      <c r="AI33" s="117">
        <f t="shared" si="61"/>
        <v>1.5066251346217835E-2</v>
      </c>
      <c r="AJ33" s="117">
        <f t="shared" si="62"/>
        <v>0.12835785593255108</v>
      </c>
      <c r="AK33" s="118">
        <f t="shared" si="63"/>
        <v>5.2429274140760998E-2</v>
      </c>
      <c r="AL33" s="115"/>
      <c r="AM33" s="107" t="s">
        <v>397</v>
      </c>
      <c r="AN33" s="117">
        <f t="shared" si="64"/>
        <v>0</v>
      </c>
      <c r="AO33" s="117">
        <f t="shared" si="65"/>
        <v>5.8975054229934926E-3</v>
      </c>
      <c r="AP33" s="117">
        <f t="shared" si="66"/>
        <v>6.9492703266157058E-2</v>
      </c>
      <c r="AQ33" s="118">
        <f t="shared" si="67"/>
        <v>2.7231833910034604E-2</v>
      </c>
      <c r="AS33" s="107" t="s">
        <v>397</v>
      </c>
      <c r="AT33" s="113">
        <f t="shared" si="48"/>
        <v>0</v>
      </c>
      <c r="AU33" s="113">
        <f t="shared" si="38"/>
        <v>-676.28669929702755</v>
      </c>
      <c r="AV33" s="113">
        <f t="shared" si="39"/>
        <v>-2964.7434140429341</v>
      </c>
      <c r="AW33" s="116">
        <f t="shared" si="40"/>
        <v>-3641.0301133399616</v>
      </c>
      <c r="AX33" s="115"/>
      <c r="AY33" s="107" t="s">
        <v>397</v>
      </c>
      <c r="AZ33" s="117">
        <f t="shared" si="49"/>
        <v>0</v>
      </c>
      <c r="BA33" s="117">
        <f t="shared" si="50"/>
        <v>-0.39991553727552365</v>
      </c>
      <c r="BB33" s="117">
        <f t="shared" si="51"/>
        <v>-0.30136954907199692</v>
      </c>
      <c r="BC33" s="118">
        <f t="shared" si="52"/>
        <v>-0.31582472471429401</v>
      </c>
      <c r="BE33" s="107" t="s">
        <v>397</v>
      </c>
      <c r="BF33" s="307">
        <f t="shared" si="53"/>
        <v>0</v>
      </c>
      <c r="BG33" s="307">
        <f t="shared" si="41"/>
        <v>0.93792778043327885</v>
      </c>
      <c r="BH33" s="307">
        <f t="shared" si="42"/>
        <v>0.61360035447107442</v>
      </c>
      <c r="BI33" s="118"/>
      <c r="BK33" s="107" t="s">
        <v>397</v>
      </c>
      <c r="BL33" s="307">
        <v>-1.6961975547609061</v>
      </c>
      <c r="BM33" s="307">
        <v>-4.0184506422035078</v>
      </c>
      <c r="BN33" s="307">
        <v>2.157923674108297</v>
      </c>
      <c r="BO33" s="118"/>
      <c r="BQ33" s="107" t="s">
        <v>397</v>
      </c>
      <c r="BR33" s="307">
        <f t="shared" si="59"/>
        <v>-2.2064763465084836</v>
      </c>
      <c r="BS33" s="307">
        <f t="shared" si="55"/>
        <v>-3.5840067430546658</v>
      </c>
      <c r="BT33" s="307">
        <f t="shared" si="56"/>
        <v>2.5139781020317162</v>
      </c>
      <c r="BU33" s="118"/>
    </row>
    <row r="34" spans="1:89" x14ac:dyDescent="0.25">
      <c r="A34">
        <v>13</v>
      </c>
      <c r="B34" s="107" t="s">
        <v>398</v>
      </c>
      <c r="C34" s="113">
        <f>INDEX(TourMode_input!$B$4:$J$172,MATCH(TourMode!$A36,modes,0),MATCH("univ",modePurpose,0))</f>
        <v>0</v>
      </c>
      <c r="D34" s="113">
        <f>INDEX(TourMode_input!$B$20:$J$33,MATCH(TourMode!$A36,modes,0),MATCH("univ",modePurpose,0))</f>
        <v>0</v>
      </c>
      <c r="E34" s="113">
        <f>INDEX(TourMode_input!$B$36:$J$49,MATCH(TourMode!$A36,modes,0),MATCH("univ",modePurpose,0))</f>
        <v>1386.7236</v>
      </c>
      <c r="F34" s="116">
        <f t="shared" si="43"/>
        <v>1386.7236</v>
      </c>
      <c r="G34" s="300"/>
      <c r="H34" s="300"/>
      <c r="I34" s="300"/>
      <c r="J34" s="115"/>
      <c r="K34">
        <v>13</v>
      </c>
      <c r="L34" s="107" t="s">
        <v>398</v>
      </c>
      <c r="M34" s="113">
        <f t="shared" ref="M34:O35" si="70">C34</f>
        <v>0</v>
      </c>
      <c r="N34" s="113">
        <f t="shared" si="70"/>
        <v>0</v>
      </c>
      <c r="O34" s="113">
        <f t="shared" si="70"/>
        <v>1386.7236</v>
      </c>
      <c r="P34" s="116">
        <f t="shared" si="45"/>
        <v>1386.7236</v>
      </c>
      <c r="Q34" s="115"/>
      <c r="R34">
        <v>13</v>
      </c>
      <c r="S34" s="107" t="s">
        <v>398</v>
      </c>
      <c r="T34" s="113">
        <f>IF(M37&gt;0,M34/M37*T37,0)</f>
        <v>0</v>
      </c>
      <c r="U34" s="113">
        <f>IF(N37&gt;0,N34/N37*U37,0)</f>
        <v>0</v>
      </c>
      <c r="V34" s="113">
        <f>IF(O37&gt;0,O34/O37*V37,0)</f>
        <v>813.30889362892049</v>
      </c>
      <c r="W34" s="116">
        <f t="shared" si="46"/>
        <v>813.30889362892049</v>
      </c>
      <c r="X34" s="115"/>
      <c r="Y34" s="115"/>
      <c r="Z34" s="115"/>
      <c r="AA34" s="107" t="s">
        <v>398</v>
      </c>
      <c r="AB34" s="113">
        <f>INDEX(TourMode_input!$L$4:$T$17,MATCH(TourMode!$A36,modes,0),MATCH("univ",modePurpose,0))*Index!$B$2</f>
        <v>4010</v>
      </c>
      <c r="AC34" s="113">
        <f>INDEX(TourMode_input!$L$20:$T$33,MATCH(TourMode!$A36,modes,0), MATCH("univ",modePurpose,0))*Index!$B$2</f>
        <v>7255</v>
      </c>
      <c r="AD34" s="113">
        <f>INDEX(TourMode_input!$L$36:$T$49,MATCH(TourMode!$A36,modes,0), MATCH("univ",modePurpose,0))*Index!$B$2</f>
        <v>1235</v>
      </c>
      <c r="AE34" s="116">
        <f t="shared" si="47"/>
        <v>12500</v>
      </c>
      <c r="AG34" s="107" t="s">
        <v>398</v>
      </c>
      <c r="AH34" s="117">
        <f t="shared" si="60"/>
        <v>0</v>
      </c>
      <c r="AI34" s="117">
        <f t="shared" si="61"/>
        <v>0</v>
      </c>
      <c r="AJ34" s="117">
        <f t="shared" si="62"/>
        <v>1.6148295316766023E-2</v>
      </c>
      <c r="AK34" s="118">
        <f t="shared" si="63"/>
        <v>5.6284352500271338E-3</v>
      </c>
      <c r="AL34" s="115"/>
      <c r="AM34" s="107" t="s">
        <v>398</v>
      </c>
      <c r="AN34" s="117">
        <f t="shared" si="64"/>
        <v>0.19680981595092026</v>
      </c>
      <c r="AO34" s="117">
        <f t="shared" si="65"/>
        <v>9.8359544468546639E-2</v>
      </c>
      <c r="AP34" s="117">
        <f t="shared" si="66"/>
        <v>2.4520996723915417E-2</v>
      </c>
      <c r="AQ34" s="118">
        <f t="shared" si="67"/>
        <v>8.6505190311418678E-2</v>
      </c>
      <c r="AS34" s="107" t="s">
        <v>398</v>
      </c>
      <c r="AT34" s="113">
        <f t="shared" si="48"/>
        <v>4010</v>
      </c>
      <c r="AU34" s="113">
        <f t="shared" si="38"/>
        <v>7255</v>
      </c>
      <c r="AV34" s="113">
        <f t="shared" si="39"/>
        <v>421.69110637107951</v>
      </c>
      <c r="AW34" s="116">
        <f t="shared" si="40"/>
        <v>11686.69110637108</v>
      </c>
      <c r="AX34" s="115"/>
      <c r="AY34" s="107" t="s">
        <v>398</v>
      </c>
      <c r="AZ34" s="117">
        <f t="shared" si="49"/>
        <v>0</v>
      </c>
      <c r="BA34" s="117">
        <f t="shared" si="50"/>
        <v>0</v>
      </c>
      <c r="BB34" s="117">
        <f t="shared" si="51"/>
        <v>0.3040916779458282</v>
      </c>
      <c r="BC34" s="118">
        <f t="shared" si="52"/>
        <v>8.4275562241610942</v>
      </c>
      <c r="BE34" s="107" t="s">
        <v>398</v>
      </c>
      <c r="BF34" s="307">
        <f t="shared" si="53"/>
        <v>0</v>
      </c>
      <c r="BG34" s="307">
        <f t="shared" si="41"/>
        <v>0</v>
      </c>
      <c r="BH34" s="307">
        <f t="shared" si="42"/>
        <v>-0.4177152687113152</v>
      </c>
      <c r="BI34" s="118"/>
      <c r="BK34" s="107" t="s">
        <v>398</v>
      </c>
      <c r="BL34" s="307">
        <v>-1.9119149160671756</v>
      </c>
      <c r="BM34" s="307">
        <v>-0.96582256617382756</v>
      </c>
      <c r="BN34" s="307">
        <v>-4.519163326474942</v>
      </c>
      <c r="BO34" s="118"/>
      <c r="BQ34" s="107" t="s">
        <v>398</v>
      </c>
      <c r="BR34" s="307">
        <f t="shared" si="59"/>
        <v>-2.4221937078147531</v>
      </c>
      <c r="BS34" s="307">
        <f t="shared" si="55"/>
        <v>-1.0003425572416249</v>
      </c>
      <c r="BT34" s="307">
        <f t="shared" si="56"/>
        <v>-4.6787667101427175</v>
      </c>
      <c r="BU34" s="118"/>
    </row>
    <row r="35" spans="1:89" x14ac:dyDescent="0.25">
      <c r="A35">
        <v>14</v>
      </c>
      <c r="B35" s="107" t="s">
        <v>399</v>
      </c>
      <c r="C35" s="297">
        <v>0</v>
      </c>
      <c r="D35" s="297">
        <v>0</v>
      </c>
      <c r="E35" s="297">
        <v>0</v>
      </c>
      <c r="F35" s="116">
        <f t="shared" si="43"/>
        <v>0</v>
      </c>
      <c r="G35" s="300"/>
      <c r="H35" s="300"/>
      <c r="I35" s="300"/>
      <c r="J35" s="115"/>
      <c r="K35">
        <v>14</v>
      </c>
      <c r="L35" s="107" t="s">
        <v>399</v>
      </c>
      <c r="M35" s="113">
        <f t="shared" si="70"/>
        <v>0</v>
      </c>
      <c r="N35" s="113">
        <f t="shared" si="70"/>
        <v>0</v>
      </c>
      <c r="O35" s="113">
        <f t="shared" si="70"/>
        <v>0</v>
      </c>
      <c r="P35" s="116">
        <f t="shared" si="45"/>
        <v>0</v>
      </c>
      <c r="Q35" s="115"/>
      <c r="R35">
        <v>14</v>
      </c>
      <c r="S35" s="107" t="s">
        <v>399</v>
      </c>
      <c r="T35" s="113">
        <f>IF(M37&gt;0,M35/M37*T37,0)</f>
        <v>0</v>
      </c>
      <c r="U35" s="113">
        <f>IF(N37&gt;0,N35/N37*U37,0)</f>
        <v>0</v>
      </c>
      <c r="V35" s="113">
        <f>IF(O37&gt;0,O35/O37*V37,0)</f>
        <v>0</v>
      </c>
      <c r="W35" s="116">
        <f t="shared" si="46"/>
        <v>0</v>
      </c>
      <c r="X35" s="115"/>
      <c r="Y35" s="115"/>
      <c r="Z35" s="115"/>
      <c r="AA35" s="107" t="s">
        <v>399</v>
      </c>
      <c r="AB35" s="113">
        <f>INDEX(TourMode_input!$L$4:$T$17,MATCH(TourMode!$A37,modes,0),MATCH("univ",modePurpose,0))*Index!$B$2</f>
        <v>0</v>
      </c>
      <c r="AC35" s="113">
        <f>INDEX(TourMode_input!$L$20:$T$33,MATCH(TourMode!$A37,modes,0), MATCH("univ",modePurpose,0))*Index!$B$2</f>
        <v>0</v>
      </c>
      <c r="AD35" s="113">
        <f>INDEX(TourMode_input!$L$36:$T$49,MATCH(TourMode!$A37,modes,0), MATCH("univ",modePurpose,0))*Index!$B$2</f>
        <v>0</v>
      </c>
      <c r="AE35" s="116">
        <f t="shared" si="47"/>
        <v>0</v>
      </c>
      <c r="AG35" s="107" t="s">
        <v>399</v>
      </c>
      <c r="AH35" s="117">
        <f t="shared" si="60"/>
        <v>0</v>
      </c>
      <c r="AI35" s="117">
        <f t="shared" si="61"/>
        <v>0</v>
      </c>
      <c r="AJ35" s="117">
        <f t="shared" si="62"/>
        <v>0</v>
      </c>
      <c r="AK35" s="118">
        <f t="shared" si="63"/>
        <v>0</v>
      </c>
      <c r="AL35" s="115"/>
      <c r="AM35" s="107" t="s">
        <v>399</v>
      </c>
      <c r="AN35" s="117">
        <f t="shared" si="64"/>
        <v>0</v>
      </c>
      <c r="AO35" s="117">
        <f t="shared" si="65"/>
        <v>0</v>
      </c>
      <c r="AP35" s="117">
        <f t="shared" si="66"/>
        <v>0</v>
      </c>
      <c r="AQ35" s="118">
        <f t="shared" si="67"/>
        <v>0</v>
      </c>
      <c r="AS35" s="107" t="s">
        <v>399</v>
      </c>
      <c r="AT35" s="113">
        <f t="shared" si="48"/>
        <v>0</v>
      </c>
      <c r="AU35" s="113">
        <f t="shared" si="38"/>
        <v>0</v>
      </c>
      <c r="AV35" s="113">
        <f t="shared" si="39"/>
        <v>0</v>
      </c>
      <c r="AW35" s="116">
        <f t="shared" si="40"/>
        <v>0</v>
      </c>
      <c r="AX35" s="115"/>
      <c r="AY35" s="107" t="s">
        <v>399</v>
      </c>
      <c r="AZ35" s="117">
        <f t="shared" si="49"/>
        <v>0</v>
      </c>
      <c r="BA35" s="117">
        <f t="shared" si="50"/>
        <v>0</v>
      </c>
      <c r="BB35" s="117">
        <f t="shared" si="51"/>
        <v>0</v>
      </c>
      <c r="BC35" s="118">
        <f t="shared" si="52"/>
        <v>0</v>
      </c>
      <c r="BE35" s="107" t="s">
        <v>399</v>
      </c>
      <c r="BF35" s="307">
        <f t="shared" si="53"/>
        <v>0</v>
      </c>
      <c r="BG35" s="307">
        <f t="shared" si="41"/>
        <v>0</v>
      </c>
      <c r="BH35" s="307">
        <f t="shared" si="42"/>
        <v>0</v>
      </c>
      <c r="BI35" s="118"/>
      <c r="BK35" s="107" t="s">
        <v>399</v>
      </c>
      <c r="BL35" s="307">
        <v>-2.8340602887666386</v>
      </c>
      <c r="BM35" s="307">
        <v>-1.4814169097434879</v>
      </c>
      <c r="BN35" s="307">
        <v>0.39184361850003729</v>
      </c>
      <c r="BO35" s="118"/>
      <c r="BQ35" s="107" t="s">
        <v>399</v>
      </c>
      <c r="BR35" s="307">
        <f t="shared" si="59"/>
        <v>-3.3443390805142164</v>
      </c>
      <c r="BS35" s="307">
        <f t="shared" si="55"/>
        <v>-1.5159369008112853</v>
      </c>
      <c r="BT35" s="307">
        <f t="shared" si="56"/>
        <v>0.44109786918791938</v>
      </c>
      <c r="BU35" s="118"/>
    </row>
    <row r="36" spans="1:89" ht="15.75" thickBot="1" x14ac:dyDescent="0.3">
      <c r="B36" s="108" t="s">
        <v>29</v>
      </c>
      <c r="C36" s="109">
        <f>SUM(C23:C35)</f>
        <v>22009.730460000002</v>
      </c>
      <c r="D36" s="110">
        <f>SUM(D23:D35)</f>
        <v>82522.478969999996</v>
      </c>
      <c r="E36" s="111">
        <f>SUM(E23:E35)</f>
        <v>79451.360610000003</v>
      </c>
      <c r="F36" s="112">
        <f>SUM(F23:F35)</f>
        <v>183983.57003999999</v>
      </c>
      <c r="G36" s="301"/>
      <c r="H36" s="301"/>
      <c r="I36" s="301"/>
      <c r="L36" s="108" t="s">
        <v>29</v>
      </c>
      <c r="M36" s="109">
        <f>SUM(M23:M35)</f>
        <v>23886.755318443531</v>
      </c>
      <c r="N36" s="110">
        <f>SUM(N23:N35)</f>
        <v>81928.07328858407</v>
      </c>
      <c r="O36" s="111">
        <f>SUM(O23:O35)</f>
        <v>76288.387805259874</v>
      </c>
      <c r="P36" s="112">
        <f>SUM(P23:P35)</f>
        <v>182103.21641228744</v>
      </c>
      <c r="S36" s="108" t="s">
        <v>29</v>
      </c>
      <c r="T36" s="109">
        <f>SUM(T23:T35)</f>
        <v>20375</v>
      </c>
      <c r="U36" s="110">
        <f>SUM(U23:U35)</f>
        <v>73760</v>
      </c>
      <c r="V36" s="111">
        <f>SUM(V23:V35)</f>
        <v>50364.999999999985</v>
      </c>
      <c r="W36" s="112">
        <f>SUM(W23:W35)</f>
        <v>144499.99999999994</v>
      </c>
      <c r="AA36" s="108" t="s">
        <v>29</v>
      </c>
      <c r="AB36" s="109">
        <f>SUM(AB23:AB35)</f>
        <v>20375</v>
      </c>
      <c r="AC36" s="110">
        <f>SUM(AC23:AC35)</f>
        <v>73760</v>
      </c>
      <c r="AD36" s="111">
        <f>SUM(AD23:AD35)</f>
        <v>50365</v>
      </c>
      <c r="AE36" s="112">
        <f>SUM(AE23:AE35)</f>
        <v>144500</v>
      </c>
      <c r="AG36" s="108" t="s">
        <v>29</v>
      </c>
      <c r="AH36" s="120">
        <f t="shared" si="60"/>
        <v>1</v>
      </c>
      <c r="AI36" s="121">
        <f t="shared" si="61"/>
        <v>1</v>
      </c>
      <c r="AJ36" s="122">
        <f t="shared" si="62"/>
        <v>1</v>
      </c>
      <c r="AK36" s="123">
        <f t="shared" si="63"/>
        <v>1</v>
      </c>
      <c r="AM36" s="108" t="s">
        <v>29</v>
      </c>
      <c r="AN36" s="120">
        <f t="shared" si="64"/>
        <v>1</v>
      </c>
      <c r="AO36" s="121">
        <f t="shared" si="65"/>
        <v>1</v>
      </c>
      <c r="AP36" s="122">
        <f t="shared" si="66"/>
        <v>1</v>
      </c>
      <c r="AQ36" s="123">
        <f t="shared" si="67"/>
        <v>1</v>
      </c>
      <c r="AS36" s="108" t="s">
        <v>29</v>
      </c>
      <c r="AT36" s="109">
        <f t="shared" si="48"/>
        <v>0</v>
      </c>
      <c r="AU36" s="110">
        <f t="shared" si="38"/>
        <v>0</v>
      </c>
      <c r="AV36" s="111">
        <f t="shared" si="39"/>
        <v>0</v>
      </c>
      <c r="AW36" s="112">
        <f t="shared" si="40"/>
        <v>0</v>
      </c>
      <c r="AY36" s="108" t="s">
        <v>29</v>
      </c>
      <c r="AZ36" s="117">
        <f t="shared" si="49"/>
        <v>0</v>
      </c>
      <c r="BA36" s="117">
        <f t="shared" si="50"/>
        <v>0</v>
      </c>
      <c r="BB36" s="117">
        <f t="shared" si="51"/>
        <v>0</v>
      </c>
      <c r="BC36" s="118">
        <f t="shared" si="52"/>
        <v>0</v>
      </c>
      <c r="BE36" s="108" t="s">
        <v>29</v>
      </c>
      <c r="BF36" s="117"/>
      <c r="BG36" s="117"/>
      <c r="BH36" s="117"/>
      <c r="BI36" s="118"/>
      <c r="BK36" s="108" t="s">
        <v>29</v>
      </c>
      <c r="BL36" s="117"/>
      <c r="BM36" s="117"/>
      <c r="BN36" s="117"/>
      <c r="BO36" s="118"/>
      <c r="BQ36" s="108" t="s">
        <v>29</v>
      </c>
      <c r="BR36" s="117"/>
      <c r="BS36" s="117"/>
      <c r="BT36" s="117"/>
      <c r="BU36" s="118"/>
    </row>
    <row r="37" spans="1:89" x14ac:dyDescent="0.25">
      <c r="M37" s="286">
        <f>M36-SUM(M31:M33)</f>
        <v>5053.6721400000024</v>
      </c>
      <c r="N37" s="286">
        <f>N36-SUM(N31:N33)</f>
        <v>67486.189140000002</v>
      </c>
      <c r="O37" s="286">
        <f>O36-SUM(O31:O33)</f>
        <v>62692.102700000018</v>
      </c>
      <c r="T37" s="286">
        <f>AB36-SUM(T31:T33)</f>
        <v>1541.9168215564714</v>
      </c>
      <c r="U37" s="286">
        <f>AC36-SUM(U31:U33)</f>
        <v>59318.115851415932</v>
      </c>
      <c r="V37" s="286">
        <f>AD36-SUM(V31:V33)</f>
        <v>36768.714894740144</v>
      </c>
    </row>
    <row r="38" spans="1:89" ht="26.25" x14ac:dyDescent="0.4">
      <c r="A38" s="150" t="s">
        <v>6</v>
      </c>
      <c r="K38" s="150" t="s">
        <v>6</v>
      </c>
      <c r="R38" s="150" t="s">
        <v>6</v>
      </c>
      <c r="T38">
        <f>LN(M36/T36)</f>
        <v>0.15901547542473946</v>
      </c>
    </row>
    <row r="39" spans="1:89" ht="26.25" x14ac:dyDescent="0.25">
      <c r="B39" s="102" t="s">
        <v>134</v>
      </c>
      <c r="C39" s="103" t="s">
        <v>135</v>
      </c>
      <c r="D39" s="104" t="s">
        <v>136</v>
      </c>
      <c r="E39" s="105" t="s">
        <v>137</v>
      </c>
      <c r="F39" s="106" t="s">
        <v>29</v>
      </c>
      <c r="G39" s="299"/>
      <c r="H39" s="299"/>
      <c r="I39" s="299"/>
      <c r="L39" s="102" t="s">
        <v>134</v>
      </c>
      <c r="M39" s="103" t="s">
        <v>135</v>
      </c>
      <c r="N39" s="104" t="s">
        <v>136</v>
      </c>
      <c r="O39" s="105" t="s">
        <v>137</v>
      </c>
      <c r="P39" s="106" t="s">
        <v>29</v>
      </c>
      <c r="S39" s="102" t="s">
        <v>134</v>
      </c>
      <c r="T39" s="103" t="s">
        <v>135</v>
      </c>
      <c r="U39" s="104" t="s">
        <v>136</v>
      </c>
      <c r="V39" s="105" t="s">
        <v>137</v>
      </c>
      <c r="W39" s="106" t="s">
        <v>29</v>
      </c>
      <c r="AA39" s="102" t="s">
        <v>134</v>
      </c>
      <c r="AB39" s="103" t="s">
        <v>135</v>
      </c>
      <c r="AC39" s="104" t="s">
        <v>136</v>
      </c>
      <c r="AD39" s="105" t="s">
        <v>137</v>
      </c>
      <c r="AE39" s="106" t="s">
        <v>29</v>
      </c>
      <c r="AG39" s="102" t="s">
        <v>134</v>
      </c>
      <c r="AH39" s="103" t="s">
        <v>135</v>
      </c>
      <c r="AI39" s="104" t="s">
        <v>136</v>
      </c>
      <c r="AJ39" s="105" t="s">
        <v>137</v>
      </c>
      <c r="AK39" s="106" t="s">
        <v>29</v>
      </c>
      <c r="AM39" s="102" t="s">
        <v>134</v>
      </c>
      <c r="AN39" s="103" t="s">
        <v>135</v>
      </c>
      <c r="AO39" s="104" t="s">
        <v>136</v>
      </c>
      <c r="AP39" s="105" t="s">
        <v>137</v>
      </c>
      <c r="AQ39" s="106" t="s">
        <v>29</v>
      </c>
      <c r="AS39" s="102" t="s">
        <v>134</v>
      </c>
      <c r="AT39" s="103" t="s">
        <v>135</v>
      </c>
      <c r="AU39" s="104" t="s">
        <v>136</v>
      </c>
      <c r="AV39" s="105" t="s">
        <v>137</v>
      </c>
      <c r="AW39" s="106" t="s">
        <v>29</v>
      </c>
      <c r="AY39" s="102" t="s">
        <v>134</v>
      </c>
      <c r="AZ39" s="103" t="s">
        <v>135</v>
      </c>
      <c r="BA39" s="104" t="s">
        <v>136</v>
      </c>
      <c r="BB39" s="105" t="s">
        <v>137</v>
      </c>
      <c r="BC39" s="106" t="s">
        <v>29</v>
      </c>
      <c r="BE39" s="102" t="s">
        <v>134</v>
      </c>
      <c r="BF39" s="103" t="s">
        <v>135</v>
      </c>
      <c r="BG39" s="104" t="s">
        <v>136</v>
      </c>
      <c r="BH39" s="105" t="s">
        <v>137</v>
      </c>
      <c r="BI39" s="106" t="s">
        <v>29</v>
      </c>
      <c r="BK39" s="102" t="s">
        <v>134</v>
      </c>
      <c r="BL39" s="103" t="s">
        <v>135</v>
      </c>
      <c r="BM39" s="104" t="s">
        <v>136</v>
      </c>
      <c r="BN39" s="105" t="s">
        <v>137</v>
      </c>
      <c r="BO39" s="106" t="s">
        <v>29</v>
      </c>
      <c r="BQ39" s="102" t="s">
        <v>134</v>
      </c>
      <c r="BR39" s="103" t="s">
        <v>135</v>
      </c>
      <c r="BS39" s="104" t="s">
        <v>136</v>
      </c>
      <c r="BT39" s="105" t="s">
        <v>137</v>
      </c>
      <c r="BU39" s="106" t="s">
        <v>29</v>
      </c>
      <c r="BX39">
        <v>1</v>
      </c>
      <c r="BY39">
        <v>2</v>
      </c>
      <c r="BZ39">
        <v>3</v>
      </c>
      <c r="CA39">
        <v>4</v>
      </c>
      <c r="CB39">
        <v>5</v>
      </c>
      <c r="CC39">
        <v>6</v>
      </c>
      <c r="CD39">
        <v>7</v>
      </c>
      <c r="CE39">
        <v>8</v>
      </c>
      <c r="CG39">
        <v>9</v>
      </c>
      <c r="CH39">
        <v>10</v>
      </c>
      <c r="CI39">
        <v>11</v>
      </c>
      <c r="CJ39">
        <v>12</v>
      </c>
      <c r="CK39">
        <v>13</v>
      </c>
    </row>
    <row r="40" spans="1:89" x14ac:dyDescent="0.25">
      <c r="A40">
        <v>1</v>
      </c>
      <c r="B40" s="107" t="s">
        <v>386</v>
      </c>
      <c r="C40" s="297">
        <v>0</v>
      </c>
      <c r="D40" s="113">
        <f>INDEX(TourMode_input!$B$20:$J$33,MATCH(TourMode!$A42,modes,0),MATCH("sch",modePurpose,0))</f>
        <v>547.84873000000005</v>
      </c>
      <c r="E40" s="113">
        <f>INDEX(TourMode_input!$B$36:$J$49,MATCH(TourMode!$A42,modes,0),MATCH("sch",modePurpose,0))</f>
        <v>38881.46372</v>
      </c>
      <c r="F40" s="114">
        <f>SUM(C40:E40)</f>
        <v>39429.312449999998</v>
      </c>
      <c r="G40" s="300"/>
      <c r="H40" s="300"/>
      <c r="I40" s="300"/>
      <c r="J40" s="115"/>
      <c r="K40">
        <v>1</v>
      </c>
      <c r="L40" s="107" t="s">
        <v>386</v>
      </c>
      <c r="M40" s="113">
        <f>C40</f>
        <v>0</v>
      </c>
      <c r="N40" s="113">
        <f t="shared" ref="N40:N47" si="71">D40</f>
        <v>547.84873000000005</v>
      </c>
      <c r="O40" s="113">
        <f t="shared" ref="O40:O47" si="72">E40</f>
        <v>38881.46372</v>
      </c>
      <c r="P40" s="114">
        <f>SUM(M40:O40)</f>
        <v>39429.312449999998</v>
      </c>
      <c r="Q40" s="115"/>
      <c r="R40">
        <v>1</v>
      </c>
      <c r="S40" s="107" t="s">
        <v>386</v>
      </c>
      <c r="T40" s="113">
        <f>IF(M54&gt;0,M40/M54*T54,0)</f>
        <v>0</v>
      </c>
      <c r="U40" s="113">
        <f>IF(N54&gt;0,N40/N54*U54,0)</f>
        <v>973.11131845453065</v>
      </c>
      <c r="V40" s="113">
        <f>IF(O54&gt;0,O40/O54*V54,0)</f>
        <v>37846.981405675775</v>
      </c>
      <c r="W40" s="114">
        <f>SUM(T40:V40)</f>
        <v>38820.092724130307</v>
      </c>
      <c r="X40" s="115"/>
      <c r="Y40" s="115"/>
      <c r="Z40" s="115"/>
      <c r="AA40" s="107" t="s">
        <v>386</v>
      </c>
      <c r="AB40" s="113">
        <f>INDEX(TourMode_input!$L$4:$T$17,MATCH(TourMode!$A42,modes,0),MATCH("sch",modePurpose,0))*Index!$B$2</f>
        <v>0</v>
      </c>
      <c r="AC40" s="113">
        <f>INDEX(TourMode_input!$L$20:$T$33,MATCH(TourMode!$A42,modes,0), MATCH("sch",modePurpose,0))*Index!$B$2</f>
        <v>1000</v>
      </c>
      <c r="AD40" s="113">
        <f>INDEX(TourMode_input!$L$36:$T$49,MATCH(TourMode!$A42,modes,0), MATCH("sch",modePurpose,0))*Index!$B$2</f>
        <v>33785</v>
      </c>
      <c r="AE40" s="114">
        <f>SUM(AB40:AD40)</f>
        <v>34785</v>
      </c>
      <c r="AG40" s="107" t="s">
        <v>538</v>
      </c>
      <c r="AH40" s="117">
        <f>(T40+T41)/T$53</f>
        <v>0</v>
      </c>
      <c r="AI40" s="117">
        <f>(U40+U41)/U$53</f>
        <v>1.9360583306730281E-3</v>
      </c>
      <c r="AJ40" s="117">
        <f>(V40+V41)/V$53</f>
        <v>3.6994082826119587E-2</v>
      </c>
      <c r="AK40" s="117">
        <f>(W40+W41)/W$53</f>
        <v>2.4024787632481229E-2</v>
      </c>
      <c r="AL40" s="115"/>
      <c r="AM40" s="107" t="s">
        <v>538</v>
      </c>
      <c r="AN40" s="117">
        <f>(AB40+AB41)/AB$53</f>
        <v>0</v>
      </c>
      <c r="AO40" s="117">
        <f>(AC40+AC41)/AC$53</f>
        <v>2.3576224819696593E-3</v>
      </c>
      <c r="AP40" s="117">
        <f>(AD40+AD41)/AD$53</f>
        <v>3.7344033311992021E-2</v>
      </c>
      <c r="AQ40" s="117">
        <f>(AE40+AE41)/AE$53</f>
        <v>2.4377489038175309E-2</v>
      </c>
      <c r="AS40" s="107" t="s">
        <v>386</v>
      </c>
      <c r="AT40" s="113">
        <f>AB40-T40</f>
        <v>0</v>
      </c>
      <c r="AU40" s="113">
        <f t="shared" ref="AU40:AU53" si="73">AC40-U40</f>
        <v>26.888681545469353</v>
      </c>
      <c r="AV40" s="113">
        <f t="shared" ref="AV40:AV53" si="74">AD40-V40</f>
        <v>-4061.981405675775</v>
      </c>
      <c r="AW40" s="114">
        <f t="shared" ref="AW40:AW53" si="75">AE40-W40</f>
        <v>-4035.092724130307</v>
      </c>
      <c r="AX40" s="115"/>
      <c r="AY40" s="107" t="s">
        <v>386</v>
      </c>
      <c r="AZ40" s="117">
        <f>IF(C40=0, 0,AT40/C40)</f>
        <v>0</v>
      </c>
      <c r="BA40" s="117">
        <f>IF(D40=0, 0,AU40/D40)</f>
        <v>4.9080485311099202E-2</v>
      </c>
      <c r="BB40" s="117">
        <f>IF(E40=0, 0,AV40/E40)</f>
        <v>-0.10447089736455464</v>
      </c>
      <c r="BC40" s="118">
        <f>IF(F40=0, 0,AW40/F40)</f>
        <v>-0.10233738488965986</v>
      </c>
      <c r="BE40" s="107" t="s">
        <v>538</v>
      </c>
      <c r="BF40" s="307">
        <f>IFERROR(IF(AN40&gt;0,LN(AH40/AN40),0),0)</f>
        <v>0</v>
      </c>
      <c r="BG40" s="307">
        <f t="shared" ref="BG40:BG52" si="76">IFERROR(IF(AO40&gt;0,LN(AI40/AO40),0),0)</f>
        <v>-0.196999570471422</v>
      </c>
      <c r="BH40" s="307">
        <f t="shared" ref="BH40:BH52" si="77">IFERROR(IF(AP40&gt;0,LN(AJ40/AP40),0),0)</f>
        <v>-9.4151718976928003E-3</v>
      </c>
      <c r="BI40" s="118"/>
      <c r="BK40" s="107" t="s">
        <v>538</v>
      </c>
      <c r="BL40" s="307">
        <v>0</v>
      </c>
      <c r="BM40" s="307">
        <v>0</v>
      </c>
      <c r="BN40" s="307">
        <v>0</v>
      </c>
      <c r="BO40" s="118"/>
      <c r="BQ40" s="107" t="s">
        <v>538</v>
      </c>
      <c r="BR40" s="308">
        <v>0</v>
      </c>
      <c r="BS40" s="309">
        <v>0</v>
      </c>
      <c r="BT40" s="309">
        <v>0</v>
      </c>
      <c r="BU40" s="118"/>
      <c r="BX40" s="5" t="s">
        <v>386</v>
      </c>
      <c r="BY40" s="5" t="s">
        <v>387</v>
      </c>
      <c r="BZ40" s="5" t="s">
        <v>388</v>
      </c>
      <c r="CA40" s="5" t="s">
        <v>389</v>
      </c>
      <c r="CB40" s="5" t="s">
        <v>390</v>
      </c>
      <c r="CC40" s="5" t="s">
        <v>391</v>
      </c>
      <c r="CD40" s="5" t="s">
        <v>392</v>
      </c>
      <c r="CE40" s="5" t="s">
        <v>393</v>
      </c>
      <c r="CF40" s="5"/>
      <c r="CG40" s="5" t="s">
        <v>569</v>
      </c>
      <c r="CH40" s="5" t="s">
        <v>396</v>
      </c>
      <c r="CI40" s="5" t="s">
        <v>397</v>
      </c>
      <c r="CJ40" s="5" t="s">
        <v>398</v>
      </c>
      <c r="CK40" s="287" t="s">
        <v>399</v>
      </c>
    </row>
    <row r="41" spans="1:89" x14ac:dyDescent="0.25">
      <c r="A41">
        <v>2</v>
      </c>
      <c r="B41" s="107" t="s">
        <v>387</v>
      </c>
      <c r="C41" s="297">
        <v>0</v>
      </c>
      <c r="D41" s="113">
        <f>INDEX(TourMode_input!$B$20:$J$33,MATCH(TourMode!$A43,modes,0),MATCH("sch",modePurpose,0))</f>
        <v>0</v>
      </c>
      <c r="E41" s="113">
        <f>INDEX(TourMode_input!$B$36:$J$49,MATCH(TourMode!$A43,modes,0),MATCH("sch",modePurpose,0))</f>
        <v>0</v>
      </c>
      <c r="F41" s="116">
        <f t="shared" ref="F41:F52" si="78">SUM(C41:E41)</f>
        <v>0</v>
      </c>
      <c r="G41" s="300"/>
      <c r="H41" s="300"/>
      <c r="I41" s="300"/>
      <c r="J41" s="115"/>
      <c r="K41">
        <v>2</v>
      </c>
      <c r="L41" s="107" t="s">
        <v>387</v>
      </c>
      <c r="M41" s="113">
        <f t="shared" ref="M41:M47" si="79">C41</f>
        <v>0</v>
      </c>
      <c r="N41" s="113">
        <f t="shared" si="71"/>
        <v>0</v>
      </c>
      <c r="O41" s="113">
        <f t="shared" si="72"/>
        <v>0</v>
      </c>
      <c r="P41" s="116">
        <f t="shared" ref="P41:P52" si="80">SUM(M41:O41)</f>
        <v>0</v>
      </c>
      <c r="Q41" s="115"/>
      <c r="R41">
        <v>2</v>
      </c>
      <c r="S41" s="107" t="s">
        <v>387</v>
      </c>
      <c r="T41" s="113">
        <f>IF(M54&gt;0,M41/M54*T54,0)</f>
        <v>0</v>
      </c>
      <c r="U41" s="113">
        <f>IF(N54&gt;0,N41/N54*U54,0)</f>
        <v>0</v>
      </c>
      <c r="V41" s="113">
        <f>IF(O54&gt;0,O41/O54*V54,0)</f>
        <v>0</v>
      </c>
      <c r="W41" s="116">
        <f t="shared" ref="W41:W52" si="81">SUM(T41:V41)</f>
        <v>0</v>
      </c>
      <c r="X41" s="115"/>
      <c r="Y41" s="115"/>
      <c r="Z41" s="115"/>
      <c r="AA41" s="107" t="s">
        <v>387</v>
      </c>
      <c r="AB41" s="113">
        <f>INDEX(TourMode_input!$L$4:$T$17,MATCH(TourMode!$A43,modes,0),MATCH("sch",modePurpose,0))*Index!$B$2</f>
        <v>0</v>
      </c>
      <c r="AC41" s="113">
        <f>INDEX(TourMode_input!$L$20:$T$33,MATCH(TourMode!$A43,modes,0), MATCH("sch",modePurpose,0))*Index!$B$2</f>
        <v>185</v>
      </c>
      <c r="AD41" s="113">
        <f>INDEX(TourMode_input!$L$36:$T$49,MATCH(TourMode!$A43,modes,0), MATCH("sch",modePurpose,0))*Index!$B$2</f>
        <v>4420</v>
      </c>
      <c r="AE41" s="116">
        <f t="shared" ref="AE41:AE52" si="82">SUM(AB41:AD41)</f>
        <v>4605</v>
      </c>
      <c r="AG41" s="107"/>
      <c r="AH41" s="117"/>
      <c r="AI41" s="117"/>
      <c r="AJ41" s="117"/>
      <c r="AK41" s="118"/>
      <c r="AL41" s="115"/>
      <c r="AM41" s="107"/>
      <c r="AN41" s="117"/>
      <c r="AO41" s="117"/>
      <c r="AP41" s="117"/>
      <c r="AQ41" s="118"/>
      <c r="AS41" s="107" t="s">
        <v>387</v>
      </c>
      <c r="AT41" s="113">
        <f t="shared" ref="AT41:AT53" si="83">AB41-T41</f>
        <v>0</v>
      </c>
      <c r="AU41" s="113">
        <f t="shared" si="73"/>
        <v>185</v>
      </c>
      <c r="AV41" s="113">
        <f t="shared" si="74"/>
        <v>4420</v>
      </c>
      <c r="AW41" s="116">
        <f t="shared" si="75"/>
        <v>4605</v>
      </c>
      <c r="AX41" s="115"/>
      <c r="AY41" s="107" t="s">
        <v>387</v>
      </c>
      <c r="AZ41" s="117">
        <f t="shared" ref="AZ41:AZ53" si="84">IF(C41=0, 0,AT41/C41)</f>
        <v>0</v>
      </c>
      <c r="BA41" s="117">
        <f t="shared" ref="BA41:BA53" si="85">IF(D41=0, 0,AU41/D41)</f>
        <v>0</v>
      </c>
      <c r="BB41" s="117">
        <f t="shared" ref="BB41:BB53" si="86">IF(E41=0, 0,AV41/E41)</f>
        <v>0</v>
      </c>
      <c r="BC41" s="118">
        <f t="shared" ref="BC41:BC53" si="87">IF(F41=0, 0,AW41/F41)</f>
        <v>0</v>
      </c>
      <c r="BE41" s="107"/>
      <c r="BF41" s="307">
        <f t="shared" ref="BF41:BF52" si="88">IFERROR(IF(AN41&gt;0,LN(AH41/AN41),0),0)</f>
        <v>0</v>
      </c>
      <c r="BG41" s="307">
        <f t="shared" si="76"/>
        <v>0</v>
      </c>
      <c r="BH41" s="307">
        <f t="shared" si="77"/>
        <v>0</v>
      </c>
      <c r="BI41" s="118"/>
      <c r="BK41" s="107"/>
      <c r="BL41" s="307"/>
      <c r="BM41" s="307"/>
      <c r="BN41" s="307"/>
      <c r="BO41" s="118"/>
      <c r="BQ41" s="107"/>
      <c r="BR41" s="308"/>
      <c r="BS41" s="307"/>
      <c r="BT41" s="307"/>
      <c r="BU41" s="118"/>
      <c r="BW41" t="s">
        <v>131</v>
      </c>
      <c r="BX41">
        <f>IF(ISNUMBER(INDEX($BR$40:$BR$53,BX39,1)),INDEX($BR$40:$BR$53,BX39,1),0)</f>
        <v>0</v>
      </c>
      <c r="BY41">
        <f t="shared" ref="BY41:CK41" si="89">IF(ISNUMBER(INDEX($BR$40:$BR$53,BY39,1)),INDEX($BR$40:$BR$53,BY39,1),0)</f>
        <v>0</v>
      </c>
      <c r="BZ41">
        <f t="shared" si="89"/>
        <v>0</v>
      </c>
      <c r="CA41">
        <f>BZ41</f>
        <v>0</v>
      </c>
      <c r="CB41">
        <f t="shared" si="89"/>
        <v>2.4497636021412701E-2</v>
      </c>
      <c r="CC41">
        <f>CB41</f>
        <v>2.4497636021412701E-2</v>
      </c>
      <c r="CD41">
        <f t="shared" si="89"/>
        <v>1.2401274525503139</v>
      </c>
      <c r="CE41">
        <f t="shared" si="89"/>
        <v>1.4321329380805139</v>
      </c>
      <c r="CG41">
        <f t="shared" si="89"/>
        <v>1.7248406118914641</v>
      </c>
      <c r="CH41">
        <f t="shared" si="89"/>
        <v>-0.68081120031605924</v>
      </c>
      <c r="CI41">
        <f t="shared" si="89"/>
        <v>0.98274356757623726</v>
      </c>
      <c r="CJ41">
        <f t="shared" si="89"/>
        <v>1.340506936702621</v>
      </c>
      <c r="CK41">
        <f t="shared" si="89"/>
        <v>-1.6358328737964269</v>
      </c>
    </row>
    <row r="42" spans="1:89" x14ac:dyDescent="0.25">
      <c r="A42">
        <v>3</v>
      </c>
      <c r="B42" s="107" t="s">
        <v>388</v>
      </c>
      <c r="C42" s="113">
        <f>INDEX(TourMode_input!$B$4:$J$172,MATCH(TourMode!$A44,modes,0),MATCH("sch",modePurpose,0))</f>
        <v>2057.5741600000001</v>
      </c>
      <c r="D42" s="113">
        <f>INDEX(TourMode_input!$B$20:$J$33,MATCH(TourMode!$A44,modes,0),MATCH("sch",modePurpose,0))</f>
        <v>26759.63423</v>
      </c>
      <c r="E42" s="113">
        <f>INDEX(TourMode_input!$B$36:$J$49,MATCH(TourMode!$A44,modes,0),MATCH("sch",modePurpose,0))</f>
        <v>171405.36989</v>
      </c>
      <c r="F42" s="116">
        <f t="shared" si="78"/>
        <v>200222.57828000002</v>
      </c>
      <c r="G42" s="300"/>
      <c r="H42" s="300"/>
      <c r="I42" s="300"/>
      <c r="J42" s="115"/>
      <c r="K42">
        <v>3</v>
      </c>
      <c r="L42" s="107" t="s">
        <v>388</v>
      </c>
      <c r="M42" s="113">
        <f t="shared" si="79"/>
        <v>2057.5741600000001</v>
      </c>
      <c r="N42" s="113">
        <f t="shared" si="71"/>
        <v>26759.63423</v>
      </c>
      <c r="O42" s="113">
        <f t="shared" si="72"/>
        <v>171405.36989</v>
      </c>
      <c r="P42" s="116">
        <f t="shared" si="80"/>
        <v>200222.57828000002</v>
      </c>
      <c r="Q42" s="115"/>
      <c r="R42">
        <v>3</v>
      </c>
      <c r="S42" s="107" t="s">
        <v>388</v>
      </c>
      <c r="T42" s="113">
        <f>IF(M54&gt;0,M42/M54*T54,0)</f>
        <v>2504.0129726019591</v>
      </c>
      <c r="U42" s="113">
        <f>IF(N54&gt;0,N42/N54*U54,0)</f>
        <v>47531.556652356005</v>
      </c>
      <c r="V42" s="113">
        <f>IF(O54&gt;0,O42/O54*V54,0)</f>
        <v>166844.94940253266</v>
      </c>
      <c r="W42" s="116">
        <f t="shared" si="81"/>
        <v>216880.51902749063</v>
      </c>
      <c r="X42" s="115"/>
      <c r="Y42" s="115"/>
      <c r="Z42" s="115"/>
      <c r="AA42" s="107" t="s">
        <v>388</v>
      </c>
      <c r="AB42" s="113">
        <f>INDEX(TourMode_input!$L$4:$T$17,MATCH(TourMode!$A44,modes,0),MATCH("sch",modePurpose,0))*Index!$B$2</f>
        <v>2630</v>
      </c>
      <c r="AC42" s="113">
        <f>INDEX(TourMode_input!$L$20:$T$33,MATCH(TourMode!$A44,modes,0), MATCH("sch",modePurpose,0))*Index!$B$2</f>
        <v>45500</v>
      </c>
      <c r="AD42" s="113">
        <f>INDEX(TourMode_input!$L$36:$T$49,MATCH(TourMode!$A44,modes,0), MATCH("sch",modePurpose,0))*Index!$B$2</f>
        <v>158010</v>
      </c>
      <c r="AE42" s="116">
        <f t="shared" si="82"/>
        <v>206140</v>
      </c>
      <c r="AG42" s="107" t="s">
        <v>576</v>
      </c>
      <c r="AH42" s="117">
        <f>(T42+T43)/T$53</f>
        <v>2.7774532445254945E-2</v>
      </c>
      <c r="AI42" s="117">
        <f>(U42+U43)/U$53</f>
        <v>9.4962610530228156E-2</v>
      </c>
      <c r="AJ42" s="117">
        <f>(V42+V43)/V$53</f>
        <v>0.16337072610920544</v>
      </c>
      <c r="AK42" s="117">
        <f>(W42+W43)/W$53</f>
        <v>0.13452600871376785</v>
      </c>
      <c r="AL42" s="115"/>
      <c r="AM42" s="107" t="s">
        <v>576</v>
      </c>
      <c r="AN42" s="117">
        <f>(AB42+AB43)/AB$53</f>
        <v>2.9837502079751541E-2</v>
      </c>
      <c r="AO42" s="117">
        <f>(AC42+AC43)/AC$53</f>
        <v>9.1887590151703558E-2</v>
      </c>
      <c r="AP42" s="117">
        <f>(AD42+AD43)/AD$53</f>
        <v>0.15654583575663086</v>
      </c>
      <c r="AQ42" s="117">
        <f>(AE42+AE43)/AE$53</f>
        <v>0.12936345604594529</v>
      </c>
      <c r="AS42" s="107" t="s">
        <v>388</v>
      </c>
      <c r="AT42" s="113">
        <f t="shared" si="83"/>
        <v>125.98702739804094</v>
      </c>
      <c r="AU42" s="113">
        <f t="shared" si="73"/>
        <v>-2031.5566523560046</v>
      </c>
      <c r="AV42" s="113">
        <f t="shared" si="74"/>
        <v>-8834.9494025326567</v>
      </c>
      <c r="AW42" s="116">
        <f t="shared" si="75"/>
        <v>-10740.519027490634</v>
      </c>
      <c r="AX42" s="115"/>
      <c r="AY42" s="107" t="s">
        <v>388</v>
      </c>
      <c r="AZ42" s="117">
        <f t="shared" si="84"/>
        <v>6.1230856144714088E-2</v>
      </c>
      <c r="BA42" s="117">
        <f t="shared" si="85"/>
        <v>-7.5918700341518264E-2</v>
      </c>
      <c r="BB42" s="117">
        <f t="shared" si="86"/>
        <v>-5.1544180956538975E-2</v>
      </c>
      <c r="BC42" s="118">
        <f t="shared" si="87"/>
        <v>-5.3642896419356975E-2</v>
      </c>
      <c r="BE42" s="107" t="s">
        <v>576</v>
      </c>
      <c r="BF42" s="307">
        <f t="shared" si="88"/>
        <v>-7.1646559637734406E-2</v>
      </c>
      <c r="BG42" s="307">
        <f t="shared" si="76"/>
        <v>3.2917256954924423E-2</v>
      </c>
      <c r="BH42" s="307">
        <f t="shared" si="77"/>
        <v>4.2673164264116194E-2</v>
      </c>
      <c r="BI42" s="118"/>
      <c r="BK42" s="107" t="s">
        <v>576</v>
      </c>
      <c r="BL42" s="307">
        <v>0</v>
      </c>
      <c r="BM42" s="307">
        <v>0.95455167678854369</v>
      </c>
      <c r="BN42" s="307">
        <v>-1.8051422178664782</v>
      </c>
      <c r="BO42" s="118"/>
      <c r="BQ42" s="107" t="s">
        <v>576</v>
      </c>
      <c r="BR42" s="309">
        <v>0</v>
      </c>
      <c r="BS42" s="307">
        <f t="shared" ref="BS42:BS52" si="90">(BG42-BG$40)*$BR$1+BM42</f>
        <v>1.069510090501717</v>
      </c>
      <c r="BT42" s="307">
        <f t="shared" ref="BT42:BT52" si="91">(BH42-BH$40)*$BR$1+BN42</f>
        <v>-1.7790980497855737</v>
      </c>
      <c r="BU42" s="118"/>
      <c r="BW42" t="s">
        <v>132</v>
      </c>
      <c r="BX42">
        <f>IF(ISNUMBER(INDEX($BS$40:$BS$53,BX39,1)),INDEX($BS$40:$BS$53,BX39,1),0)</f>
        <v>0</v>
      </c>
      <c r="BY42">
        <f t="shared" ref="BY42:CK42" si="92">IF(ISNUMBER(INDEX($BS$40:$BS$53,BY39,1)),INDEX($BS$40:$BS$53,BY39,1),0)</f>
        <v>0</v>
      </c>
      <c r="BZ42">
        <f t="shared" si="92"/>
        <v>1.069510090501717</v>
      </c>
      <c r="CA42">
        <f>BZ42</f>
        <v>1.069510090501717</v>
      </c>
      <c r="CB42">
        <f t="shared" si="92"/>
        <v>1.9846374159408471</v>
      </c>
      <c r="CC42">
        <f>CB42</f>
        <v>1.9846374159408471</v>
      </c>
      <c r="CD42">
        <f t="shared" si="92"/>
        <v>3.1263516788589438</v>
      </c>
      <c r="CE42">
        <f t="shared" si="92"/>
        <v>1.9140608891751558</v>
      </c>
      <c r="CG42">
        <f t="shared" si="92"/>
        <v>2.5383340699507695</v>
      </c>
      <c r="CH42">
        <f t="shared" si="92"/>
        <v>-0.79967871404713375</v>
      </c>
      <c r="CI42">
        <f t="shared" si="92"/>
        <v>-0.68399278010169318</v>
      </c>
      <c r="CJ42">
        <f t="shared" si="92"/>
        <v>0.17520699819303287</v>
      </c>
      <c r="CK42">
        <f t="shared" si="92"/>
        <v>2.0315944412611167</v>
      </c>
    </row>
    <row r="43" spans="1:89" x14ac:dyDescent="0.25">
      <c r="A43">
        <v>4</v>
      </c>
      <c r="B43" s="107" t="s">
        <v>389</v>
      </c>
      <c r="C43" s="113">
        <f>INDEX(TourMode_input!$B$4:$J$172,MATCH(TourMode!$A45,modes,0),MATCH("sch",modePurpose,0))</f>
        <v>0</v>
      </c>
      <c r="D43" s="113">
        <f>INDEX(TourMode_input!$B$20:$J$33,MATCH(TourMode!$A45,modes,0),MATCH("sch",modePurpose,0))</f>
        <v>112.04868999999999</v>
      </c>
      <c r="E43" s="113">
        <f>INDEX(TourMode_input!$B$36:$J$49,MATCH(TourMode!$A45,modes,0),MATCH("sch",modePurpose,0))</f>
        <v>300.27800999999999</v>
      </c>
      <c r="F43" s="116">
        <f t="shared" si="78"/>
        <v>412.32669999999996</v>
      </c>
      <c r="G43" s="300"/>
      <c r="H43" s="300"/>
      <c r="I43" s="300"/>
      <c r="J43" s="115"/>
      <c r="K43">
        <v>4</v>
      </c>
      <c r="L43" s="107" t="s">
        <v>389</v>
      </c>
      <c r="M43" s="113">
        <f t="shared" si="79"/>
        <v>0</v>
      </c>
      <c r="N43" s="113">
        <f t="shared" si="71"/>
        <v>112.04868999999999</v>
      </c>
      <c r="O43" s="113">
        <f t="shared" si="72"/>
        <v>300.27800999999999</v>
      </c>
      <c r="P43" s="116">
        <f t="shared" si="80"/>
        <v>412.32669999999996</v>
      </c>
      <c r="Q43" s="115"/>
      <c r="R43">
        <v>4</v>
      </c>
      <c r="S43" s="107" t="s">
        <v>389</v>
      </c>
      <c r="T43" s="113">
        <f>IF(M54&gt;0,M43/M54*T54,0)</f>
        <v>0</v>
      </c>
      <c r="U43" s="113">
        <f>IF(N54&gt;0,N43/N54*U54,0)</f>
        <v>199.0254653999161</v>
      </c>
      <c r="V43" s="113">
        <f>IF(O54&gt;0,O43/O54*V54,0)</f>
        <v>292.28879712050423</v>
      </c>
      <c r="W43" s="116">
        <f t="shared" si="81"/>
        <v>491.31426252042036</v>
      </c>
      <c r="X43" s="115"/>
      <c r="Y43" s="115"/>
      <c r="Z43" s="115"/>
      <c r="AA43" s="107" t="s">
        <v>389</v>
      </c>
      <c r="AB43" s="113">
        <f>INDEX(TourMode_input!$L$4:$T$17,MATCH(TourMode!$A45,modes,0),MATCH("sch",modePurpose,0))*Index!$B$2</f>
        <v>60</v>
      </c>
      <c r="AC43" s="113">
        <f>INDEX(TourMode_input!$L$20:$T$33,MATCH(TourMode!$A45,modes,0), MATCH("sch",modePurpose,0))*Index!$B$2</f>
        <v>685</v>
      </c>
      <c r="AD43" s="113">
        <f>INDEX(TourMode_input!$L$36:$T$49,MATCH(TourMode!$A45,modes,0), MATCH("sch",modePurpose,0))*Index!$B$2</f>
        <v>2145</v>
      </c>
      <c r="AE43" s="116">
        <f t="shared" si="82"/>
        <v>2890</v>
      </c>
      <c r="AG43" s="107"/>
      <c r="AH43" s="117"/>
      <c r="AI43" s="117"/>
      <c r="AJ43" s="117"/>
      <c r="AK43" s="118"/>
      <c r="AL43" s="115"/>
      <c r="AM43" s="107"/>
      <c r="AN43" s="117"/>
      <c r="AO43" s="117"/>
      <c r="AP43" s="117"/>
      <c r="AQ43" s="118"/>
      <c r="AS43" s="107" t="s">
        <v>389</v>
      </c>
      <c r="AT43" s="113">
        <f t="shared" si="83"/>
        <v>60</v>
      </c>
      <c r="AU43" s="113">
        <f t="shared" si="73"/>
        <v>485.97453460008387</v>
      </c>
      <c r="AV43" s="113">
        <f t="shared" si="74"/>
        <v>1852.7112028794959</v>
      </c>
      <c r="AW43" s="116">
        <f t="shared" si="75"/>
        <v>2398.6857374795795</v>
      </c>
      <c r="AX43" s="115"/>
      <c r="AY43" s="107" t="s">
        <v>389</v>
      </c>
      <c r="AZ43" s="117">
        <f t="shared" si="84"/>
        <v>0</v>
      </c>
      <c r="BA43" s="117">
        <f t="shared" si="85"/>
        <v>4.3371728362025825</v>
      </c>
      <c r="BB43" s="117">
        <f t="shared" si="86"/>
        <v>6.1699862833095764</v>
      </c>
      <c r="BC43" s="118">
        <f t="shared" si="87"/>
        <v>5.8174397570654044</v>
      </c>
      <c r="BE43" s="107"/>
      <c r="BF43" s="307">
        <f t="shared" si="88"/>
        <v>0</v>
      </c>
      <c r="BG43" s="307">
        <f t="shared" si="76"/>
        <v>0</v>
      </c>
      <c r="BH43" s="307">
        <f t="shared" si="77"/>
        <v>0</v>
      </c>
      <c r="BI43" s="118"/>
      <c r="BK43" s="107"/>
      <c r="BL43" s="307"/>
      <c r="BM43" s="307"/>
      <c r="BN43" s="307"/>
      <c r="BO43" s="118"/>
      <c r="BQ43" s="107"/>
      <c r="BR43" s="307"/>
      <c r="BS43" s="307"/>
      <c r="BT43" s="307"/>
      <c r="BU43" s="118"/>
      <c r="BW43" t="s">
        <v>133</v>
      </c>
      <c r="BX43">
        <f>IF(ISNUMBER(INDEX($BT$40:$BT$53,BX39,1)),INDEX($BT$40:$BT$53,BX39,1),0)</f>
        <v>0</v>
      </c>
      <c r="BY43">
        <f t="shared" ref="BY43:CK43" si="93">IF(ISNUMBER(INDEX($BT$40:$BT$53,BY39,1)),INDEX($BT$40:$BT$53,BY39,1),0)</f>
        <v>0</v>
      </c>
      <c r="BZ43">
        <f t="shared" si="93"/>
        <v>-1.7790980497855737</v>
      </c>
      <c r="CA43">
        <f>BZ43</f>
        <v>-1.7790980497855737</v>
      </c>
      <c r="CB43">
        <f t="shared" si="93"/>
        <v>-0.86245514097346454</v>
      </c>
      <c r="CC43">
        <f>CB43</f>
        <v>-0.86245514097346454</v>
      </c>
      <c r="CD43">
        <f t="shared" si="93"/>
        <v>-0.62201138670672895</v>
      </c>
      <c r="CE43">
        <f t="shared" si="93"/>
        <v>-0.86399681005555784</v>
      </c>
      <c r="CG43">
        <f t="shared" si="93"/>
        <v>-0.20873710393537837</v>
      </c>
      <c r="CH43">
        <f t="shared" si="93"/>
        <v>-2.2671614129803879</v>
      </c>
      <c r="CI43">
        <f t="shared" si="93"/>
        <v>-4.4793508183527617</v>
      </c>
      <c r="CJ43">
        <f t="shared" si="93"/>
        <v>-4.0353804918895735</v>
      </c>
      <c r="CK43">
        <f t="shared" si="93"/>
        <v>-1.4596775007795619</v>
      </c>
    </row>
    <row r="44" spans="1:89" x14ac:dyDescent="0.25">
      <c r="A44">
        <v>5</v>
      </c>
      <c r="B44" s="107" t="s">
        <v>390</v>
      </c>
      <c r="C44" s="113">
        <f>INDEX(TourMode_input!$B$4:$J$172,MATCH(TourMode!$A46,modes,0),MATCH("sch",modePurpose,0))</f>
        <v>1212.0835</v>
      </c>
      <c r="D44" s="113">
        <f>INDEX(TourMode_input!$B$20:$J$33,MATCH(TourMode!$A46,modes,0),MATCH("sch",modePurpose,0))</f>
        <v>73468.042350000003</v>
      </c>
      <c r="E44" s="113">
        <f>INDEX(TourMode_input!$B$36:$J$49,MATCH(TourMode!$A46,modes,0),MATCH("sch",modePurpose,0))</f>
        <v>300508.88522</v>
      </c>
      <c r="F44" s="116">
        <f t="shared" si="78"/>
        <v>375189.01107000001</v>
      </c>
      <c r="G44" s="300"/>
      <c r="H44" s="300"/>
      <c r="I44" s="300"/>
      <c r="J44" s="115"/>
      <c r="K44">
        <v>5</v>
      </c>
      <c r="L44" s="107" t="s">
        <v>390</v>
      </c>
      <c r="M44" s="113">
        <f t="shared" si="79"/>
        <v>1212.0835</v>
      </c>
      <c r="N44" s="113">
        <f t="shared" si="71"/>
        <v>73468.042350000003</v>
      </c>
      <c r="O44" s="113">
        <f t="shared" si="72"/>
        <v>300508.88522</v>
      </c>
      <c r="P44" s="116">
        <f t="shared" si="80"/>
        <v>375189.01107000001</v>
      </c>
      <c r="Q44" s="115"/>
      <c r="R44">
        <v>5</v>
      </c>
      <c r="S44" s="107" t="s">
        <v>390</v>
      </c>
      <c r="T44" s="113">
        <f>IF(M54&gt;0,M44/M54*T54,0)</f>
        <v>1475.0733494226943</v>
      </c>
      <c r="U44" s="113">
        <f>IF(N54&gt;0,N44/N54*U54,0)</f>
        <v>130496.94129158936</v>
      </c>
      <c r="V44" s="113">
        <f>IF(O54&gt;0,O44/O54*V54,0)</f>
        <v>292513.52966198715</v>
      </c>
      <c r="W44" s="116">
        <f t="shared" si="81"/>
        <v>424485.54430299922</v>
      </c>
      <c r="X44" s="115"/>
      <c r="Y44" s="115"/>
      <c r="Z44" s="115"/>
      <c r="AA44" s="107" t="s">
        <v>390</v>
      </c>
      <c r="AB44" s="113">
        <f>INDEX(TourMode_input!$L$4:$T$17,MATCH(TourMode!$A46,modes,0),MATCH("sch",modePurpose,0))*Index!$B$2</f>
        <v>1660</v>
      </c>
      <c r="AC44" s="113">
        <f>INDEX(TourMode_input!$L$20:$T$33,MATCH(TourMode!$A46,modes,0), MATCH("sch",modePurpose,0))*Index!$B$2</f>
        <v>123420</v>
      </c>
      <c r="AD44" s="113">
        <f>INDEX(TourMode_input!$L$36:$T$49,MATCH(TourMode!$A46,modes,0), MATCH("sch",modePurpose,0))*Index!$B$2</f>
        <v>284120</v>
      </c>
      <c r="AE44" s="116">
        <f t="shared" si="82"/>
        <v>409200</v>
      </c>
      <c r="AG44" s="107" t="s">
        <v>577</v>
      </c>
      <c r="AH44" s="117">
        <f>(T44+T45)/T$53</f>
        <v>1.6361525699325544E-2</v>
      </c>
      <c r="AI44" s="117">
        <f>(U44+U45)/U$53</f>
        <v>0.25963082077411465</v>
      </c>
      <c r="AJ44" s="117">
        <f>(V44+V45)/V$53</f>
        <v>0.28780893110584177</v>
      </c>
      <c r="AK44" s="117">
        <f>(W44+W45)/W$53</f>
        <v>0.2638984677603215</v>
      </c>
      <c r="AL44" s="115"/>
      <c r="AM44" s="107" t="s">
        <v>577</v>
      </c>
      <c r="AN44" s="117">
        <f>(AB44+AB45)/AB$53</f>
        <v>1.9411014364150631E-2</v>
      </c>
      <c r="AO44" s="117">
        <f>(AC44+AC45)/AC$53</f>
        <v>0.25570753543894553</v>
      </c>
      <c r="AP44" s="117">
        <f>(AD44+AD45)/AD$53</f>
        <v>0.28670501585936242</v>
      </c>
      <c r="AQ44" s="117">
        <f>(AE44+AE45)/AE$53</f>
        <v>0.2621492912333252</v>
      </c>
      <c r="AS44" s="107" t="s">
        <v>390</v>
      </c>
      <c r="AT44" s="113">
        <f t="shared" si="83"/>
        <v>184.92665057730574</v>
      </c>
      <c r="AU44" s="113">
        <f t="shared" si="73"/>
        <v>-7076.9412915893627</v>
      </c>
      <c r="AV44" s="113">
        <f t="shared" si="74"/>
        <v>-8393.5296619871515</v>
      </c>
      <c r="AW44" s="116">
        <f t="shared" si="75"/>
        <v>-15285.544302999217</v>
      </c>
      <c r="AX44" s="115"/>
      <c r="AY44" s="107" t="s">
        <v>390</v>
      </c>
      <c r="AZ44" s="117">
        <f t="shared" si="84"/>
        <v>0.15256923353655563</v>
      </c>
      <c r="BA44" s="117">
        <f t="shared" si="85"/>
        <v>-9.6326798227111904E-2</v>
      </c>
      <c r="BB44" s="117">
        <f t="shared" si="86"/>
        <v>-2.7931053206105103E-2</v>
      </c>
      <c r="BC44" s="118">
        <f t="shared" si="87"/>
        <v>-4.074091684990036E-2</v>
      </c>
      <c r="BE44" s="107" t="s">
        <v>577</v>
      </c>
      <c r="BF44" s="307">
        <f t="shared" si="88"/>
        <v>-0.1709080709578909</v>
      </c>
      <c r="BG44" s="307">
        <f t="shared" si="76"/>
        <v>1.5226350167871161E-2</v>
      </c>
      <c r="BH44" s="307">
        <f t="shared" si="77"/>
        <v>3.8429584203910016E-3</v>
      </c>
      <c r="BI44" s="118"/>
      <c r="BK44" s="107" t="s">
        <v>577</v>
      </c>
      <c r="BL44" s="307">
        <v>7.4128391681490949E-2</v>
      </c>
      <c r="BM44" s="307">
        <v>1.8785244556212004</v>
      </c>
      <c r="BN44" s="307">
        <v>-0.86908420613250648</v>
      </c>
      <c r="BO44" s="118"/>
      <c r="BQ44" s="107" t="s">
        <v>577</v>
      </c>
      <c r="BR44" s="307">
        <f t="shared" ref="BR44:BR52" si="94">(BF44-BF$42)*$BR$1+BL44</f>
        <v>2.4497636021412701E-2</v>
      </c>
      <c r="BS44" s="307">
        <f t="shared" si="90"/>
        <v>1.9846374159408471</v>
      </c>
      <c r="BT44" s="307">
        <f t="shared" si="91"/>
        <v>-0.86245514097346454</v>
      </c>
      <c r="BU44" s="118"/>
    </row>
    <row r="45" spans="1:89" x14ac:dyDescent="0.25">
      <c r="A45">
        <v>6</v>
      </c>
      <c r="B45" s="107" t="s">
        <v>391</v>
      </c>
      <c r="C45" s="113">
        <f>INDEX(TourMode_input!$B$4:$J$172,MATCH(TourMode!$A47,modes,0),MATCH("sch",modePurpose,0))</f>
        <v>0</v>
      </c>
      <c r="D45" s="113">
        <f>INDEX(TourMode_input!$B$20:$J$33,MATCH(TourMode!$A47,modes,0),MATCH("sch",modePurpose,0))</f>
        <v>0</v>
      </c>
      <c r="E45" s="113">
        <f>INDEX(TourMode_input!$B$36:$J$49,MATCH(TourMode!$A47,modes,0),MATCH("sch",modePurpose,0))</f>
        <v>1983.6124500000001</v>
      </c>
      <c r="F45" s="116">
        <f t="shared" si="78"/>
        <v>1983.6124500000001</v>
      </c>
      <c r="G45" s="300"/>
      <c r="H45" s="300"/>
      <c r="I45" s="300"/>
      <c r="J45" s="115"/>
      <c r="K45">
        <v>6</v>
      </c>
      <c r="L45" s="107" t="s">
        <v>391</v>
      </c>
      <c r="M45" s="113">
        <f t="shared" si="79"/>
        <v>0</v>
      </c>
      <c r="N45" s="113">
        <f t="shared" si="71"/>
        <v>0</v>
      </c>
      <c r="O45" s="113">
        <f t="shared" si="72"/>
        <v>1983.6124500000001</v>
      </c>
      <c r="P45" s="116">
        <f t="shared" si="80"/>
        <v>1983.6124500000001</v>
      </c>
      <c r="Q45" s="115"/>
      <c r="R45">
        <v>6</v>
      </c>
      <c r="S45" s="107" t="s">
        <v>391</v>
      </c>
      <c r="T45" s="113">
        <f>IF(M54&gt;0,M45/M54*T54,0)</f>
        <v>0</v>
      </c>
      <c r="U45" s="113">
        <f>IF(N54&gt;0,N45/N54*U54,0)</f>
        <v>0</v>
      </c>
      <c r="V45" s="113">
        <f>IF(O54&gt;0,O45/O54*V54,0)</f>
        <v>1930.8363504998463</v>
      </c>
      <c r="W45" s="116">
        <f t="shared" si="81"/>
        <v>1930.8363504998463</v>
      </c>
      <c r="X45" s="115"/>
      <c r="Y45" s="115"/>
      <c r="Z45" s="115"/>
      <c r="AA45" s="107" t="s">
        <v>391</v>
      </c>
      <c r="AB45" s="113">
        <f>INDEX(TourMode_input!$L$4:$T$17,MATCH(TourMode!$A47,modes,0),MATCH("sch",modePurpose,0))*Index!$B$2</f>
        <v>90</v>
      </c>
      <c r="AC45" s="113">
        <f>INDEX(TourMode_input!$L$20:$T$33,MATCH(TourMode!$A47,modes,0), MATCH("sch",modePurpose,0))*Index!$B$2</f>
        <v>5105</v>
      </c>
      <c r="AD45" s="113">
        <f>INDEX(TourMode_input!$L$36:$T$49,MATCH(TourMode!$A47,modes,0), MATCH("sch",modePurpose,0))*Index!$B$2</f>
        <v>9195</v>
      </c>
      <c r="AE45" s="116">
        <f t="shared" si="82"/>
        <v>14390</v>
      </c>
      <c r="AG45" s="107"/>
      <c r="AH45" s="117"/>
      <c r="AI45" s="117"/>
      <c r="AJ45" s="117"/>
      <c r="AK45" s="118"/>
      <c r="AL45" s="115"/>
      <c r="AM45" s="107"/>
      <c r="AN45" s="117"/>
      <c r="AO45" s="117"/>
      <c r="AP45" s="117"/>
      <c r="AQ45" s="118"/>
      <c r="AS45" s="107" t="s">
        <v>391</v>
      </c>
      <c r="AT45" s="113">
        <f t="shared" si="83"/>
        <v>90</v>
      </c>
      <c r="AU45" s="113">
        <f t="shared" si="73"/>
        <v>5105</v>
      </c>
      <c r="AV45" s="113">
        <f t="shared" si="74"/>
        <v>7264.163649500154</v>
      </c>
      <c r="AW45" s="116">
        <f t="shared" si="75"/>
        <v>12459.163649500153</v>
      </c>
      <c r="AX45" s="115"/>
      <c r="AY45" s="107" t="s">
        <v>391</v>
      </c>
      <c r="AZ45" s="117">
        <f t="shared" si="84"/>
        <v>0</v>
      </c>
      <c r="BA45" s="117">
        <f t="shared" si="85"/>
        <v>0</v>
      </c>
      <c r="BB45" s="117">
        <f t="shared" si="86"/>
        <v>3.6620881510902765</v>
      </c>
      <c r="BC45" s="118">
        <f t="shared" si="87"/>
        <v>6.2810473131987816</v>
      </c>
      <c r="BE45" s="107"/>
      <c r="BF45" s="307">
        <f t="shared" si="88"/>
        <v>0</v>
      </c>
      <c r="BG45" s="307">
        <f t="shared" si="76"/>
        <v>0</v>
      </c>
      <c r="BH45" s="307">
        <f t="shared" si="77"/>
        <v>0</v>
      </c>
      <c r="BI45" s="118"/>
      <c r="BK45" s="107"/>
      <c r="BL45" s="307"/>
      <c r="BM45" s="307"/>
      <c r="BN45" s="307"/>
      <c r="BO45" s="118"/>
      <c r="BQ45" s="107"/>
      <c r="BR45" s="307"/>
      <c r="BS45" s="307"/>
      <c r="BT45" s="307"/>
      <c r="BU45" s="118"/>
    </row>
    <row r="46" spans="1:89" x14ac:dyDescent="0.25">
      <c r="A46">
        <v>7</v>
      </c>
      <c r="B46" s="107" t="s">
        <v>392</v>
      </c>
      <c r="C46" s="113">
        <f>INDEX(TourMode_input!$B$4:$J$172,MATCH(TourMode!$A48,modes,0),MATCH("sch",modePurpose,0))</f>
        <v>38949.577870000001</v>
      </c>
      <c r="D46" s="113">
        <f>INDEX(TourMode_input!$B$20:$J$33,MATCH(TourMode!$A48,modes,0),MATCH("sch",modePurpose,0))</f>
        <v>68414.714649999994</v>
      </c>
      <c r="E46" s="113">
        <f>INDEX(TourMode_input!$B$36:$J$49,MATCH(TourMode!$A48,modes,0),MATCH("sch",modePurpose,0))</f>
        <v>106026.70808</v>
      </c>
      <c r="F46" s="116">
        <f t="shared" si="78"/>
        <v>213391.00059999997</v>
      </c>
      <c r="G46" s="300"/>
      <c r="H46" s="300"/>
      <c r="I46" s="300"/>
      <c r="J46" s="115"/>
      <c r="K46">
        <v>7</v>
      </c>
      <c r="L46" s="107" t="s">
        <v>392</v>
      </c>
      <c r="M46" s="113">
        <f t="shared" si="79"/>
        <v>38949.577870000001</v>
      </c>
      <c r="N46" s="113">
        <f t="shared" si="71"/>
        <v>68414.714649999994</v>
      </c>
      <c r="O46" s="113">
        <f t="shared" si="72"/>
        <v>106026.70808</v>
      </c>
      <c r="P46" s="116">
        <f t="shared" si="80"/>
        <v>213391.00059999997</v>
      </c>
      <c r="Q46" s="115"/>
      <c r="R46">
        <v>7</v>
      </c>
      <c r="S46" s="107" t="s">
        <v>392</v>
      </c>
      <c r="T46" s="113">
        <f>IF(M54&gt;0,M46/M54*T54,0)</f>
        <v>47400.59928816864</v>
      </c>
      <c r="U46" s="113">
        <f>IF(N54&gt;0,N46/N54*U54,0)</f>
        <v>121521.01397543075</v>
      </c>
      <c r="V46" s="113">
        <f>IF(O54&gt;0,O46/O54*V54,0)</f>
        <v>103205.75578394849</v>
      </c>
      <c r="W46" s="116">
        <f t="shared" si="81"/>
        <v>272127.36904754792</v>
      </c>
      <c r="X46" s="115"/>
      <c r="Y46" s="115"/>
      <c r="Z46" s="115"/>
      <c r="AA46" s="107" t="s">
        <v>392</v>
      </c>
      <c r="AB46" s="113">
        <f>INDEX(TourMode_input!$L$4:$T$17,MATCH(TourMode!$A48,modes,0),MATCH("sch",modePurpose,0))*Index!$B$2</f>
        <v>53280</v>
      </c>
      <c r="AC46" s="113">
        <f>INDEX(TourMode_input!$L$20:$T$33,MATCH(TourMode!$A48,modes,0), MATCH("sch",modePurpose,0))*Index!$B$2</f>
        <v>127230</v>
      </c>
      <c r="AD46" s="113">
        <f>INDEX(TourMode_input!$L$36:$T$49,MATCH(TourMode!$A48,modes,0), MATCH("sch",modePurpose,0))*Index!$B$2</f>
        <v>111065</v>
      </c>
      <c r="AE46" s="116">
        <f t="shared" si="82"/>
        <v>291575</v>
      </c>
      <c r="AG46" s="107" t="s">
        <v>392</v>
      </c>
      <c r="AH46" s="117">
        <f t="shared" ref="AH46:AH53" si="95">T46/T$53</f>
        <v>0.52576783637256552</v>
      </c>
      <c r="AI46" s="117">
        <f t="shared" ref="AI46:AI53" si="96">U46/U$53</f>
        <v>0.2417727211647466</v>
      </c>
      <c r="AJ46" s="117">
        <f t="shared" ref="AJ46:AJ53" si="97">V46/V$53</f>
        <v>0.10087996811896574</v>
      </c>
      <c r="AK46" s="118">
        <f t="shared" ref="AK46:AK53" si="98">W46/W$53</f>
        <v>0.16841284478152035</v>
      </c>
      <c r="AL46" s="115"/>
      <c r="AM46" s="107" t="s">
        <v>392</v>
      </c>
      <c r="AN46" s="117">
        <f t="shared" ref="AN46:AN53" si="99">AB46/AB$53</f>
        <v>0.590982197326826</v>
      </c>
      <c r="AO46" s="117">
        <f t="shared" ref="AO46:AO53" si="100">AC46/AC$53</f>
        <v>0.25313106192489432</v>
      </c>
      <c r="AP46" s="117">
        <f t="shared" ref="AP46:AP53" si="101">AD46/AD$53</f>
        <v>0.10856210076682095</v>
      </c>
      <c r="AQ46" s="118">
        <f t="shared" ref="AQ46:AQ53" si="102">AE46/AE$53</f>
        <v>0.18044849876379704</v>
      </c>
      <c r="AS46" s="107" t="s">
        <v>392</v>
      </c>
      <c r="AT46" s="113">
        <f t="shared" si="83"/>
        <v>5879.4007118313602</v>
      </c>
      <c r="AU46" s="113">
        <f t="shared" si="73"/>
        <v>5708.9860245692544</v>
      </c>
      <c r="AV46" s="113">
        <f t="shared" si="74"/>
        <v>7859.2442160515056</v>
      </c>
      <c r="AW46" s="116">
        <f t="shared" si="75"/>
        <v>19447.630952452077</v>
      </c>
      <c r="AX46" s="115"/>
      <c r="AY46" s="107" t="s">
        <v>392</v>
      </c>
      <c r="AZ46" s="117">
        <f t="shared" si="84"/>
        <v>0.15094902264293422</v>
      </c>
      <c r="BA46" s="117">
        <f t="shared" si="85"/>
        <v>8.3446756356079524E-2</v>
      </c>
      <c r="BB46" s="117">
        <f t="shared" si="86"/>
        <v>7.4125136565793351E-2</v>
      </c>
      <c r="BC46" s="118">
        <f t="shared" si="87"/>
        <v>9.1136134596915511E-2</v>
      </c>
      <c r="BE46" s="107" t="s">
        <v>392</v>
      </c>
      <c r="BF46" s="307">
        <f t="shared" si="88"/>
        <v>-0.11692615440071855</v>
      </c>
      <c r="BG46" s="307">
        <f t="shared" si="76"/>
        <v>-4.5909269798622067E-2</v>
      </c>
      <c r="BH46" s="307">
        <f t="shared" si="77"/>
        <v>-7.339099091710892E-2</v>
      </c>
      <c r="BI46" s="118"/>
      <c r="BK46" s="107" t="s">
        <v>392</v>
      </c>
      <c r="BL46" s="307">
        <v>1.2627672499318059</v>
      </c>
      <c r="BM46" s="307">
        <v>3.0508065285225441</v>
      </c>
      <c r="BN46" s="307">
        <v>-0.59002347719702086</v>
      </c>
      <c r="BO46" s="118"/>
      <c r="BQ46" s="107" t="s">
        <v>392</v>
      </c>
      <c r="BR46" s="307">
        <f t="shared" si="94"/>
        <v>1.2401274525503139</v>
      </c>
      <c r="BS46" s="307">
        <f t="shared" si="90"/>
        <v>3.1263516788589438</v>
      </c>
      <c r="BT46" s="307">
        <f t="shared" si="91"/>
        <v>-0.62201138670672895</v>
      </c>
      <c r="BU46" s="118"/>
    </row>
    <row r="47" spans="1:89" x14ac:dyDescent="0.25">
      <c r="A47">
        <v>8</v>
      </c>
      <c r="B47" s="107" t="s">
        <v>393</v>
      </c>
      <c r="C47" s="113">
        <f>INDEX(TourMode_input!$B$4:$J$172,MATCH(TourMode!$A49,modes,0),MATCH("sch",modePurpose,0))</f>
        <v>1634.13975</v>
      </c>
      <c r="D47" s="113">
        <f>INDEX(TourMode_input!$B$20:$J$33,MATCH(TourMode!$A49,modes,0),MATCH("sch",modePurpose,0))</f>
        <v>2237.8300199999999</v>
      </c>
      <c r="E47" s="113">
        <f>INDEX(TourMode_input!$B$36:$J$49,MATCH(TourMode!$A49,modes,0),MATCH("sch",modePurpose,0))</f>
        <v>11794.437679999999</v>
      </c>
      <c r="F47" s="116">
        <f t="shared" si="78"/>
        <v>15666.407449999999</v>
      </c>
      <c r="G47" s="300"/>
      <c r="H47" s="300"/>
      <c r="I47" s="300"/>
      <c r="J47" s="115"/>
      <c r="K47">
        <v>8</v>
      </c>
      <c r="L47" s="107" t="s">
        <v>393</v>
      </c>
      <c r="M47" s="113">
        <f t="shared" si="79"/>
        <v>1634.13975</v>
      </c>
      <c r="N47" s="113">
        <f t="shared" si="71"/>
        <v>2237.8300199999999</v>
      </c>
      <c r="O47" s="113">
        <f t="shared" si="72"/>
        <v>11794.437679999999</v>
      </c>
      <c r="P47" s="116">
        <f t="shared" si="80"/>
        <v>15666.407449999999</v>
      </c>
      <c r="Q47" s="115"/>
      <c r="R47">
        <v>8</v>
      </c>
      <c r="S47" s="107" t="s">
        <v>393</v>
      </c>
      <c r="T47" s="113">
        <f>IF(M54&gt;0,M47/M54*T54,0)</f>
        <v>1988.704568998146</v>
      </c>
      <c r="U47" s="113">
        <f>IF(N54&gt;0,N47/N54*U54,0)</f>
        <v>3974.9251973976984</v>
      </c>
      <c r="V47" s="113">
        <f>IF(O54&gt;0,O47/O54*V54,0)</f>
        <v>11480.634236919146</v>
      </c>
      <c r="W47" s="116">
        <f t="shared" si="81"/>
        <v>17444.264003314991</v>
      </c>
      <c r="X47" s="115"/>
      <c r="Y47" s="115"/>
      <c r="Z47" s="115"/>
      <c r="AA47" s="107" t="s">
        <v>393</v>
      </c>
      <c r="AB47" s="113">
        <f>INDEX(TourMode_input!$L$4:$T$17,MATCH(TourMode!$A49,modes,0),MATCH("sch",modePurpose,0))*Index!$B$2</f>
        <v>2180</v>
      </c>
      <c r="AC47" s="113">
        <f>INDEX(TourMode_input!$L$20:$T$33,MATCH(TourMode!$A49,modes,0), MATCH("sch",modePurpose,0))*Index!$B$2</f>
        <v>4360</v>
      </c>
      <c r="AD47" s="113">
        <f>INDEX(TourMode_input!$L$36:$T$49,MATCH(TourMode!$A49,modes,0), MATCH("sch",modePurpose,0))*Index!$B$2</f>
        <v>11580</v>
      </c>
      <c r="AE47" s="116">
        <f t="shared" si="82"/>
        <v>18120</v>
      </c>
      <c r="AG47" s="107" t="s">
        <v>393</v>
      </c>
      <c r="AH47" s="117">
        <f t="shared" si="95"/>
        <v>2.2058727402785718E-2</v>
      </c>
      <c r="AI47" s="117">
        <f t="shared" si="96"/>
        <v>7.9083316536139245E-3</v>
      </c>
      <c r="AJ47" s="117">
        <f t="shared" si="97"/>
        <v>1.1221913031967144E-2</v>
      </c>
      <c r="AK47" s="118">
        <f t="shared" si="98"/>
        <v>1.0795820119823491E-2</v>
      </c>
      <c r="AL47" s="115"/>
      <c r="AM47" s="107" t="s">
        <v>393</v>
      </c>
      <c r="AN47" s="117">
        <f t="shared" si="99"/>
        <v>2.4180577893627642E-2</v>
      </c>
      <c r="AO47" s="117">
        <f t="shared" si="100"/>
        <v>8.6744590897786626E-3</v>
      </c>
      <c r="AP47" s="117">
        <f t="shared" si="101"/>
        <v>1.131903954332856E-2</v>
      </c>
      <c r="AQ47" s="118">
        <f t="shared" si="102"/>
        <v>1.1214016282603113E-2</v>
      </c>
      <c r="AS47" s="107" t="s">
        <v>393</v>
      </c>
      <c r="AT47" s="113">
        <f t="shared" si="83"/>
        <v>191.29543100185401</v>
      </c>
      <c r="AU47" s="113">
        <f t="shared" si="73"/>
        <v>385.07480260230159</v>
      </c>
      <c r="AV47" s="113">
        <f t="shared" si="74"/>
        <v>99.365763080853867</v>
      </c>
      <c r="AW47" s="116">
        <f t="shared" si="75"/>
        <v>675.73599668500901</v>
      </c>
      <c r="AX47" s="115"/>
      <c r="AY47" s="107" t="s">
        <v>393</v>
      </c>
      <c r="AZ47" s="117">
        <f t="shared" si="84"/>
        <v>0.1170618553289913</v>
      </c>
      <c r="BA47" s="117">
        <f t="shared" si="85"/>
        <v>0.1720750902261565</v>
      </c>
      <c r="BB47" s="117">
        <f t="shared" si="86"/>
        <v>8.4247986870412527E-3</v>
      </c>
      <c r="BC47" s="118">
        <f t="shared" si="87"/>
        <v>4.3132798559060138E-2</v>
      </c>
      <c r="BE47" s="107" t="s">
        <v>393</v>
      </c>
      <c r="BF47" s="307">
        <f t="shared" si="88"/>
        <v>-9.184142039048411E-2</v>
      </c>
      <c r="BG47" s="307">
        <f t="shared" si="76"/>
        <v>-9.2466127696443412E-2</v>
      </c>
      <c r="BH47" s="307">
        <f t="shared" si="77"/>
        <v>-8.6178356611021686E-3</v>
      </c>
      <c r="BI47" s="118"/>
      <c r="BK47" s="107" t="s">
        <v>393</v>
      </c>
      <c r="BL47" s="307">
        <v>1.4422303684568887</v>
      </c>
      <c r="BM47" s="307">
        <v>1.8617941677876666</v>
      </c>
      <c r="BN47" s="307">
        <v>-0.8643954781738532</v>
      </c>
      <c r="BO47" s="118"/>
      <c r="BQ47" s="107" t="s">
        <v>393</v>
      </c>
      <c r="BR47" s="307">
        <f t="shared" si="94"/>
        <v>1.4321329380805139</v>
      </c>
      <c r="BS47" s="307">
        <f t="shared" si="90"/>
        <v>1.9140608891751558</v>
      </c>
      <c r="BT47" s="307">
        <f t="shared" si="91"/>
        <v>-0.86399681005555784</v>
      </c>
      <c r="BU47" s="118"/>
    </row>
    <row r="48" spans="1:89" x14ac:dyDescent="0.25">
      <c r="A48">
        <v>10</v>
      </c>
      <c r="B48" s="107" t="s">
        <v>555</v>
      </c>
      <c r="C48" s="113">
        <f>INDEX(TourMode_input!$B$4:$J$172,MATCH(TourMode!$A51,modes,0),MATCH("sch",modePurpose,0))+INDEX(TourMode_input!$B$4:$J$172,MATCH(TourMode!$A50,modes,0),MATCH("sch",modePurpose,0))</f>
        <v>24114.882479999997</v>
      </c>
      <c r="D48" s="113">
        <f>INDEX(TourMode_input!$B$20:$J$33,MATCH(TourMode!$A51,modes,0),MATCH("sch",modePurpose,0))+INDEX(TourMode_input!$B$20:$J$33,MATCH(TourMode!$A50,modes,0),MATCH("sch",modePurpose,0))</f>
        <v>13296.354079999999</v>
      </c>
      <c r="E48" s="113">
        <f>INDEX(TourMode_input!$B$36:$J$49,MATCH(TourMode!$A51,modes,0),MATCH("sch",modePurpose,0))+INDEX(TourMode_input!$B$36:$J$49,MATCH(TourMode!$A50,modes,0),MATCH("sch",modePurpose,0))</f>
        <v>19282.366620000001</v>
      </c>
      <c r="F48" s="116">
        <f t="shared" si="78"/>
        <v>56693.603179999998</v>
      </c>
      <c r="G48" s="300"/>
      <c r="H48" s="302">
        <f>F48/F$167</f>
        <v>9.616078651614092E-2</v>
      </c>
      <c r="I48" s="300">
        <f>H48*H$167</f>
        <v>63266.372453177122</v>
      </c>
      <c r="J48" s="115"/>
      <c r="K48">
        <v>10</v>
      </c>
      <c r="L48" s="107" t="s">
        <v>546</v>
      </c>
      <c r="M48" s="113">
        <f t="shared" ref="M48:O50" si="103">IF($F48&gt;0,C48/$F48*$I48,0)</f>
        <v>26910.63984415244</v>
      </c>
      <c r="N48" s="113">
        <f t="shared" si="103"/>
        <v>14837.866043260388</v>
      </c>
      <c r="O48" s="113">
        <f t="shared" si="103"/>
        <v>21517.866565764292</v>
      </c>
      <c r="P48" s="116">
        <f t="shared" si="80"/>
        <v>63266.372453177122</v>
      </c>
      <c r="Q48" s="115"/>
      <c r="R48">
        <v>10</v>
      </c>
      <c r="S48" s="107" t="s">
        <v>546</v>
      </c>
      <c r="T48" s="113">
        <f t="shared" ref="T48:V50" si="104">M48</f>
        <v>26910.63984415244</v>
      </c>
      <c r="U48" s="113">
        <f t="shared" si="104"/>
        <v>14837.866043260388</v>
      </c>
      <c r="V48" s="113">
        <f t="shared" si="104"/>
        <v>21517.866565764292</v>
      </c>
      <c r="W48" s="116">
        <f t="shared" si="81"/>
        <v>63266.372453177122</v>
      </c>
      <c r="X48" s="115"/>
      <c r="Y48" s="115"/>
      <c r="Z48" s="115"/>
      <c r="AA48" s="107" t="s">
        <v>546</v>
      </c>
      <c r="AB48" s="113">
        <f>INDEX(TourMode_input!$L$4:$T$17,MATCH(TourMode!$A51,modes,0),MATCH("sch",modePurpose,0))*Index!$B$2</f>
        <v>17565</v>
      </c>
      <c r="AC48" s="113">
        <f>INDEX(TourMode_input!$L$20:$T$33,MATCH(TourMode!$A51,modes,0), MATCH("sch",modePurpose,0))*Index!$B$2</f>
        <v>8760</v>
      </c>
      <c r="AD48" s="113">
        <f>INDEX(TourMode_input!$L$36:$T$49,MATCH(TourMode!$A51,modes,0), MATCH("sch",modePurpose,0))*Index!$B$2</f>
        <v>13240</v>
      </c>
      <c r="AE48" s="116">
        <f t="shared" si="82"/>
        <v>39565</v>
      </c>
      <c r="AG48" s="107" t="s">
        <v>395</v>
      </c>
      <c r="AH48" s="117">
        <f t="shared" si="95"/>
        <v>0.29849303803618704</v>
      </c>
      <c r="AI48" s="117">
        <f t="shared" si="96"/>
        <v>2.952074815868767E-2</v>
      </c>
      <c r="AJ48" s="117">
        <f t="shared" si="97"/>
        <v>2.1032951860617752E-2</v>
      </c>
      <c r="AK48" s="118">
        <f t="shared" si="98"/>
        <v>3.915398073019654E-2</v>
      </c>
      <c r="AL48" s="115"/>
      <c r="AM48" s="107" t="s">
        <v>395</v>
      </c>
      <c r="AN48" s="117">
        <f t="shared" si="99"/>
        <v>0.1948311241750319</v>
      </c>
      <c r="AO48" s="117">
        <f t="shared" si="100"/>
        <v>1.7428500373041531E-2</v>
      </c>
      <c r="AP48" s="117">
        <f t="shared" si="101"/>
        <v>1.2941630704116592E-2</v>
      </c>
      <c r="AQ48" s="118">
        <f t="shared" si="102"/>
        <v>2.448579217556248E-2</v>
      </c>
      <c r="AS48" s="107" t="s">
        <v>395</v>
      </c>
      <c r="AT48" s="113">
        <f t="shared" si="83"/>
        <v>-9345.6398441524398</v>
      </c>
      <c r="AU48" s="113">
        <f t="shared" si="73"/>
        <v>-6077.8660432603883</v>
      </c>
      <c r="AV48" s="113">
        <f t="shared" si="74"/>
        <v>-8277.8665657642923</v>
      </c>
      <c r="AW48" s="116">
        <f t="shared" si="75"/>
        <v>-23701.372453177122</v>
      </c>
      <c r="AX48" s="115"/>
      <c r="AY48" s="107" t="s">
        <v>395</v>
      </c>
      <c r="AZ48" s="117">
        <f t="shared" si="84"/>
        <v>-0.3875465639073038</v>
      </c>
      <c r="BA48" s="117">
        <f t="shared" si="85"/>
        <v>-0.45710771589653609</v>
      </c>
      <c r="BB48" s="117">
        <f t="shared" si="86"/>
        <v>-0.42929722937527531</v>
      </c>
      <c r="BC48" s="118">
        <f t="shared" si="87"/>
        <v>-0.41806078858537499</v>
      </c>
      <c r="BE48" s="107" t="s">
        <v>395</v>
      </c>
      <c r="BF48" s="307">
        <f t="shared" si="88"/>
        <v>0.42661345592721933</v>
      </c>
      <c r="BG48" s="307">
        <f t="shared" si="76"/>
        <v>0.52698652482710195</v>
      </c>
      <c r="BH48" s="307">
        <f t="shared" si="77"/>
        <v>0.48564104259168583</v>
      </c>
      <c r="BI48" s="118"/>
      <c r="BK48" s="107" t="s">
        <v>395</v>
      </c>
      <c r="BL48" s="307">
        <v>1.4757106041089871</v>
      </c>
      <c r="BM48" s="307">
        <v>2.1763410223015076</v>
      </c>
      <c r="BN48" s="307">
        <v>-0.45626521118006769</v>
      </c>
      <c r="BO48" s="118"/>
      <c r="BQ48" s="107" t="s">
        <v>395</v>
      </c>
      <c r="BR48" s="307">
        <f t="shared" si="94"/>
        <v>1.7248406118914641</v>
      </c>
      <c r="BS48" s="307">
        <f t="shared" si="90"/>
        <v>2.5383340699507695</v>
      </c>
      <c r="BT48" s="307">
        <f t="shared" si="91"/>
        <v>-0.20873710393537837</v>
      </c>
      <c r="BU48" s="118"/>
    </row>
    <row r="49" spans="1:89" x14ac:dyDescent="0.25">
      <c r="A49">
        <v>11</v>
      </c>
      <c r="B49" s="107" t="s">
        <v>556</v>
      </c>
      <c r="C49" s="113">
        <f>INDEX(TourMode_input!$B$4:$J$172,MATCH(TourMode!$A52,modes,0),MATCH("sch",modePurpose,0))</f>
        <v>173.24529000000001</v>
      </c>
      <c r="D49" s="113">
        <f>INDEX(TourMode_input!$B$20:$J$33,MATCH(TourMode!$A52,modes,0),MATCH("sch",modePurpose,0))</f>
        <v>1094.1285</v>
      </c>
      <c r="E49" s="113">
        <f>INDEX(TourMode_input!$B$36:$J$49,MATCH(TourMode!$A52,modes,0),MATCH("sch",modePurpose,0))</f>
        <v>9147.8425800000005</v>
      </c>
      <c r="F49" s="116">
        <f t="shared" si="78"/>
        <v>10415.21637</v>
      </c>
      <c r="G49" s="300"/>
      <c r="H49" s="302">
        <f>F49/F$168</f>
        <v>0.12871545821935512</v>
      </c>
      <c r="I49" s="300">
        <f>H49*H$168</f>
        <v>4405.4239420017602</v>
      </c>
      <c r="J49" s="115"/>
      <c r="K49">
        <v>11</v>
      </c>
      <c r="L49" s="107" t="s">
        <v>559</v>
      </c>
      <c r="M49" s="113">
        <f t="shared" si="103"/>
        <v>73.279221601522821</v>
      </c>
      <c r="N49" s="113">
        <f t="shared" si="103"/>
        <v>462.79402350298682</v>
      </c>
      <c r="O49" s="113">
        <f t="shared" si="103"/>
        <v>3869.3506968972506</v>
      </c>
      <c r="P49" s="116">
        <f t="shared" si="80"/>
        <v>4405.4239420017602</v>
      </c>
      <c r="Q49" s="115"/>
      <c r="R49">
        <v>11</v>
      </c>
      <c r="S49" s="107" t="s">
        <v>559</v>
      </c>
      <c r="T49" s="113">
        <f t="shared" si="104"/>
        <v>73.279221601522821</v>
      </c>
      <c r="U49" s="113">
        <f t="shared" si="104"/>
        <v>462.79402350298682</v>
      </c>
      <c r="V49" s="113">
        <f t="shared" si="104"/>
        <v>3869.3506968972506</v>
      </c>
      <c r="W49" s="116">
        <f t="shared" si="81"/>
        <v>4405.4239420017602</v>
      </c>
      <c r="X49" s="115"/>
      <c r="Y49" s="115"/>
      <c r="Z49" s="115"/>
      <c r="AA49" s="107" t="s">
        <v>559</v>
      </c>
      <c r="AB49" s="113">
        <f>INDEX(TourMode_input!$L$4:$T$17,MATCH(TourMode!$A52,modes,0),MATCH("sch",modePurpose,0))*Index!$B$2</f>
        <v>70</v>
      </c>
      <c r="AC49" s="113">
        <f>INDEX(TourMode_input!$L$20:$T$33,MATCH(TourMode!$A52,modes,0), MATCH("sch",modePurpose,0))*Index!$B$2</f>
        <v>240</v>
      </c>
      <c r="AD49" s="113">
        <f>INDEX(TourMode_input!$L$36:$T$49,MATCH(TourMode!$A52,modes,0), MATCH("sch",modePurpose,0))*Index!$B$2</f>
        <v>2675</v>
      </c>
      <c r="AE49" s="116">
        <f t="shared" si="82"/>
        <v>2985</v>
      </c>
      <c r="AG49" s="107" t="s">
        <v>396</v>
      </c>
      <c r="AH49" s="117">
        <f t="shared" si="95"/>
        <v>8.1281372748624964E-4</v>
      </c>
      <c r="AI49" s="117">
        <f t="shared" si="96"/>
        <v>9.2075408804374404E-4</v>
      </c>
      <c r="AJ49" s="117">
        <f t="shared" si="97"/>
        <v>3.7821531558882471E-3</v>
      </c>
      <c r="AK49" s="118">
        <f t="shared" si="98"/>
        <v>2.7264070539391463E-3</v>
      </c>
      <c r="AL49" s="115"/>
      <c r="AM49" s="107" t="s">
        <v>396</v>
      </c>
      <c r="AN49" s="117">
        <f t="shared" si="99"/>
        <v>7.7644057456602517E-4</v>
      </c>
      <c r="AO49" s="117">
        <f t="shared" si="100"/>
        <v>4.7749316090524746E-4</v>
      </c>
      <c r="AP49" s="117">
        <f t="shared" si="101"/>
        <v>2.6147176837999914E-3</v>
      </c>
      <c r="AQ49" s="118">
        <f t="shared" si="102"/>
        <v>1.847342086289751E-3</v>
      </c>
      <c r="AS49" s="107" t="s">
        <v>396</v>
      </c>
      <c r="AT49" s="113">
        <f t="shared" si="83"/>
        <v>-3.2792216015228206</v>
      </c>
      <c r="AU49" s="113">
        <f t="shared" si="73"/>
        <v>-222.79402350298682</v>
      </c>
      <c r="AV49" s="113">
        <f t="shared" si="74"/>
        <v>-1194.3506968972506</v>
      </c>
      <c r="AW49" s="116">
        <f t="shared" si="75"/>
        <v>-1420.4239420017602</v>
      </c>
      <c r="AX49" s="115"/>
      <c r="AY49" s="107" t="s">
        <v>396</v>
      </c>
      <c r="AZ49" s="117">
        <f t="shared" si="84"/>
        <v>-1.8928200596523118E-2</v>
      </c>
      <c r="BA49" s="117">
        <f t="shared" si="85"/>
        <v>-0.20362692636466997</v>
      </c>
      <c r="BB49" s="117">
        <f t="shared" si="86"/>
        <v>-0.13056091493184074</v>
      </c>
      <c r="BC49" s="118">
        <f t="shared" si="87"/>
        <v>-0.13637968636860495</v>
      </c>
      <c r="BE49" s="107" t="s">
        <v>396</v>
      </c>
      <c r="BF49" s="307">
        <f t="shared" si="88"/>
        <v>4.5781856010137997E-2</v>
      </c>
      <c r="BG49" s="307">
        <f t="shared" si="76"/>
        <v>0.656643158114948</v>
      </c>
      <c r="BH49" s="307">
        <f t="shared" si="77"/>
        <v>0.3691373340377983</v>
      </c>
      <c r="BI49" s="118"/>
      <c r="BK49" s="107" t="s">
        <v>396</v>
      </c>
      <c r="BL49" s="307">
        <v>-0.73952540813999545</v>
      </c>
      <c r="BM49" s="307">
        <v>-1.2265000783403188</v>
      </c>
      <c r="BN49" s="307">
        <v>-2.4564376659481333</v>
      </c>
      <c r="BO49" s="118"/>
      <c r="BQ49" s="107" t="s">
        <v>396</v>
      </c>
      <c r="BR49" s="307">
        <f t="shared" si="94"/>
        <v>-0.68081120031605924</v>
      </c>
      <c r="BS49" s="307">
        <f t="shared" si="90"/>
        <v>-0.79967871404713375</v>
      </c>
      <c r="BT49" s="307">
        <f t="shared" si="91"/>
        <v>-2.2671614129803879</v>
      </c>
      <c r="BU49" s="118"/>
    </row>
    <row r="50" spans="1:89" x14ac:dyDescent="0.25">
      <c r="A50">
        <v>12</v>
      </c>
      <c r="B50" s="107" t="s">
        <v>557</v>
      </c>
      <c r="C50" s="297">
        <v>0</v>
      </c>
      <c r="D50" s="113">
        <f>INDEX(TourMode_input!$B$20:$J$33,MATCH(TourMode!$A53,modes,0),MATCH("sch",modePurpose,0))</f>
        <v>513.97964000000002</v>
      </c>
      <c r="E50" s="113">
        <f>INDEX(TourMode_input!$B$36:$J$49,MATCH(TourMode!$A53,modes,0),MATCH("sch",modePurpose,0))</f>
        <v>205.61553000000001</v>
      </c>
      <c r="F50" s="116">
        <f t="shared" si="78"/>
        <v>719.59517000000005</v>
      </c>
      <c r="G50" s="300"/>
      <c r="H50" s="302">
        <f>F50/F$169</f>
        <v>4.7587992960684989E-3</v>
      </c>
      <c r="I50" s="300">
        <f>H50*H$169</f>
        <v>472.88091573115031</v>
      </c>
      <c r="J50" s="115"/>
      <c r="K50">
        <v>12</v>
      </c>
      <c r="L50" s="107" t="s">
        <v>560</v>
      </c>
      <c r="M50" s="113">
        <f t="shared" si="103"/>
        <v>0</v>
      </c>
      <c r="N50" s="113">
        <f t="shared" si="103"/>
        <v>337.76097028328712</v>
      </c>
      <c r="O50" s="113">
        <f t="shared" si="103"/>
        <v>135.11994544786313</v>
      </c>
      <c r="P50" s="116">
        <f t="shared" si="80"/>
        <v>472.88091573115025</v>
      </c>
      <c r="Q50" s="115"/>
      <c r="R50">
        <v>12</v>
      </c>
      <c r="S50" s="107" t="s">
        <v>560</v>
      </c>
      <c r="T50" s="113">
        <f t="shared" si="104"/>
        <v>0</v>
      </c>
      <c r="U50" s="113">
        <f t="shared" si="104"/>
        <v>337.76097028328712</v>
      </c>
      <c r="V50" s="113">
        <f t="shared" si="104"/>
        <v>135.11994544786313</v>
      </c>
      <c r="W50" s="116">
        <f t="shared" si="81"/>
        <v>472.88091573115025</v>
      </c>
      <c r="X50" s="115"/>
      <c r="Y50" s="115"/>
      <c r="Z50" s="115"/>
      <c r="AA50" s="107" t="s">
        <v>560</v>
      </c>
      <c r="AB50" s="113">
        <f>INDEX(TourMode_input!$L$4:$T$17,MATCH(TourMode!$A53,modes,0),MATCH("sch",modePurpose,0))*Index!$B$2</f>
        <v>0</v>
      </c>
      <c r="AC50" s="113">
        <f>INDEX(TourMode_input!$L$20:$T$33,MATCH(TourMode!$A53,modes,0), MATCH("sch",modePurpose,0))*Index!$B$2</f>
        <v>115</v>
      </c>
      <c r="AD50" s="113">
        <f>INDEX(TourMode_input!$L$36:$T$49,MATCH(TourMode!$A53,modes,0), MATCH("sch",modePurpose,0))*Index!$B$2</f>
        <v>70</v>
      </c>
      <c r="AE50" s="116">
        <f t="shared" si="82"/>
        <v>185</v>
      </c>
      <c r="AG50" s="107" t="s">
        <v>397</v>
      </c>
      <c r="AH50" s="117">
        <f t="shared" si="95"/>
        <v>0</v>
      </c>
      <c r="AI50" s="117">
        <f t="shared" si="96"/>
        <v>6.7199397221245894E-4</v>
      </c>
      <c r="AJ50" s="117">
        <f t="shared" si="97"/>
        <v>1.3207495730714687E-4</v>
      </c>
      <c r="AK50" s="118">
        <f t="shared" si="98"/>
        <v>2.9265421019544091E-4</v>
      </c>
      <c r="AL50" s="115"/>
      <c r="AM50" s="107" t="s">
        <v>397</v>
      </c>
      <c r="AN50" s="117">
        <f t="shared" si="99"/>
        <v>0</v>
      </c>
      <c r="AO50" s="117">
        <f t="shared" si="100"/>
        <v>2.2879880626709774E-4</v>
      </c>
      <c r="AP50" s="117">
        <f t="shared" si="101"/>
        <v>6.8422518828410982E-5</v>
      </c>
      <c r="AQ50" s="118">
        <f t="shared" si="102"/>
        <v>1.1449188809500969E-4</v>
      </c>
      <c r="AS50" s="107" t="s">
        <v>397</v>
      </c>
      <c r="AT50" s="113">
        <f t="shared" si="83"/>
        <v>0</v>
      </c>
      <c r="AU50" s="113">
        <f t="shared" si="73"/>
        <v>-222.76097028328712</v>
      </c>
      <c r="AV50" s="113">
        <f t="shared" si="74"/>
        <v>-65.119945447863131</v>
      </c>
      <c r="AW50" s="116">
        <f t="shared" si="75"/>
        <v>-287.88091573115025</v>
      </c>
      <c r="AX50" s="115"/>
      <c r="AY50" s="107" t="s">
        <v>397</v>
      </c>
      <c r="AZ50" s="117">
        <f t="shared" si="84"/>
        <v>0</v>
      </c>
      <c r="BA50" s="117">
        <f t="shared" si="85"/>
        <v>-0.43340426924943393</v>
      </c>
      <c r="BB50" s="117">
        <f t="shared" si="86"/>
        <v>-0.31670732968401333</v>
      </c>
      <c r="BC50" s="118">
        <f t="shared" si="87"/>
        <v>-0.4000595442172718</v>
      </c>
      <c r="BE50" s="107" t="s">
        <v>397</v>
      </c>
      <c r="BF50" s="307">
        <f t="shared" si="88"/>
        <v>0</v>
      </c>
      <c r="BG50" s="307">
        <f t="shared" si="76"/>
        <v>1.0774063284330344</v>
      </c>
      <c r="BH50" s="307">
        <f t="shared" si="77"/>
        <v>0.65766762671907353</v>
      </c>
      <c r="BI50" s="118"/>
      <c r="BK50" s="107" t="s">
        <v>397</v>
      </c>
      <c r="BL50" s="307">
        <v>0.94692028775737003</v>
      </c>
      <c r="BM50" s="307">
        <v>-1.3211957295539214</v>
      </c>
      <c r="BN50" s="307">
        <v>-4.8128922176611448</v>
      </c>
      <c r="BO50" s="118"/>
      <c r="BQ50" s="107" t="s">
        <v>397</v>
      </c>
      <c r="BR50" s="307">
        <f t="shared" si="94"/>
        <v>0.98274356757623726</v>
      </c>
      <c r="BS50" s="307">
        <f t="shared" si="90"/>
        <v>-0.68399278010169318</v>
      </c>
      <c r="BT50" s="307">
        <f t="shared" si="91"/>
        <v>-4.4793508183527617</v>
      </c>
      <c r="BU50" s="118"/>
    </row>
    <row r="51" spans="1:89" x14ac:dyDescent="0.25">
      <c r="A51">
        <v>13</v>
      </c>
      <c r="B51" s="107" t="s">
        <v>398</v>
      </c>
      <c r="C51" s="113">
        <f>INDEX(TourMode_input!$B$4:$J$172,MATCH(TourMode!$A54,modes,0),MATCH("sch",modePurpose,0))</f>
        <v>0</v>
      </c>
      <c r="D51" s="113">
        <f>INDEX(TourMode_input!$B$20:$J$33,MATCH(TourMode!$A54,modes,0),MATCH("sch",modePurpose,0))</f>
        <v>229.45972</v>
      </c>
      <c r="E51" s="113">
        <f>INDEX(TourMode_input!$B$36:$J$49,MATCH(TourMode!$A54,modes,0),MATCH("sch",modePurpose,0))</f>
        <v>270.39208000000002</v>
      </c>
      <c r="F51" s="116">
        <f t="shared" si="78"/>
        <v>499.85180000000003</v>
      </c>
      <c r="G51" s="300"/>
      <c r="H51" s="300"/>
      <c r="I51" s="300"/>
      <c r="J51" s="115"/>
      <c r="K51">
        <v>13</v>
      </c>
      <c r="L51" s="107" t="s">
        <v>398</v>
      </c>
      <c r="M51" s="113">
        <f t="shared" ref="M51:O52" si="105">C51</f>
        <v>0</v>
      </c>
      <c r="N51" s="113">
        <f t="shared" si="105"/>
        <v>229.45972</v>
      </c>
      <c r="O51" s="113">
        <f t="shared" si="105"/>
        <v>270.39208000000002</v>
      </c>
      <c r="P51" s="116">
        <f t="shared" si="80"/>
        <v>499.85180000000003</v>
      </c>
      <c r="Q51" s="115"/>
      <c r="R51">
        <v>13</v>
      </c>
      <c r="S51" s="107" t="s">
        <v>398</v>
      </c>
      <c r="T51" s="113">
        <f>IF(M54&gt;0,M51/M54*T54,0)</f>
        <v>0</v>
      </c>
      <c r="U51" s="113">
        <f>IF(N54&gt;0,N51/N54*U54,0)</f>
        <v>407.57573840028323</v>
      </c>
      <c r="V51" s="113">
        <f>IF(O54&gt;0,O51/O54*V54,0)</f>
        <v>263.19801378099964</v>
      </c>
      <c r="W51" s="116">
        <f t="shared" si="81"/>
        <v>670.77375218128282</v>
      </c>
      <c r="X51" s="115"/>
      <c r="Y51" s="115"/>
      <c r="Z51" s="115"/>
      <c r="AA51" s="107" t="s">
        <v>398</v>
      </c>
      <c r="AB51" s="113">
        <f>INDEX(TourMode_input!$L$4:$T$17,MATCH(TourMode!$A54,modes,0),MATCH("sch",modePurpose,0))*Index!$B$2</f>
        <v>395</v>
      </c>
      <c r="AC51" s="113">
        <f>INDEX(TourMode_input!$L$20:$T$33,MATCH(TourMode!$A54,modes,0), MATCH("sch",modePurpose,0))*Index!$B$2</f>
        <v>400</v>
      </c>
      <c r="AD51" s="113">
        <f>INDEX(TourMode_input!$L$36:$T$49,MATCH(TourMode!$A54,modes,0), MATCH("sch",modePurpose,0))*Index!$B$2</f>
        <v>325</v>
      </c>
      <c r="AE51" s="116">
        <f t="shared" si="82"/>
        <v>1120</v>
      </c>
      <c r="AG51" s="107" t="s">
        <v>398</v>
      </c>
      <c r="AH51" s="117">
        <f t="shared" si="95"/>
        <v>0</v>
      </c>
      <c r="AI51" s="117">
        <f t="shared" si="96"/>
        <v>8.1089428182100625E-4</v>
      </c>
      <c r="AJ51" s="117">
        <f t="shared" si="97"/>
        <v>2.5726672933615459E-4</v>
      </c>
      <c r="AK51" s="118">
        <f t="shared" si="98"/>
        <v>4.1512515336113084E-4</v>
      </c>
      <c r="AL51" s="115"/>
      <c r="AM51" s="107" t="s">
        <v>398</v>
      </c>
      <c r="AN51" s="117">
        <f t="shared" si="99"/>
        <v>4.3813432421939994E-3</v>
      </c>
      <c r="AO51" s="117">
        <f t="shared" si="100"/>
        <v>7.9582193484207912E-4</v>
      </c>
      <c r="AP51" s="117">
        <f t="shared" si="101"/>
        <v>3.1767598027476529E-4</v>
      </c>
      <c r="AQ51" s="118">
        <f t="shared" si="102"/>
        <v>6.9314007927789661E-4</v>
      </c>
      <c r="AS51" s="107" t="s">
        <v>398</v>
      </c>
      <c r="AT51" s="113">
        <f t="shared" si="83"/>
        <v>395</v>
      </c>
      <c r="AU51" s="113">
        <f t="shared" si="73"/>
        <v>-7.5757384002832282</v>
      </c>
      <c r="AV51" s="113">
        <f t="shared" si="74"/>
        <v>61.801986219000355</v>
      </c>
      <c r="AW51" s="116">
        <f t="shared" si="75"/>
        <v>449.22624781871718</v>
      </c>
      <c r="AX51" s="115"/>
      <c r="AY51" s="107" t="s">
        <v>398</v>
      </c>
      <c r="AZ51" s="117">
        <f t="shared" si="84"/>
        <v>0</v>
      </c>
      <c r="BA51" s="117">
        <f t="shared" si="85"/>
        <v>-3.3015548002425996E-2</v>
      </c>
      <c r="BB51" s="117">
        <f t="shared" si="86"/>
        <v>0.2285643359783332</v>
      </c>
      <c r="BC51" s="118">
        <f t="shared" si="87"/>
        <v>0.89871887591225474</v>
      </c>
      <c r="BE51" s="107" t="s">
        <v>398</v>
      </c>
      <c r="BF51" s="307">
        <f t="shared" si="88"/>
        <v>0</v>
      </c>
      <c r="BG51" s="307">
        <f t="shared" si="76"/>
        <v>1.8762229407889661E-2</v>
      </c>
      <c r="BH51" s="307">
        <f t="shared" si="77"/>
        <v>-0.21091852933182315</v>
      </c>
      <c r="BI51" s="118"/>
      <c r="BK51" s="107" t="s">
        <v>398</v>
      </c>
      <c r="BL51" s="307">
        <v>1.3046836568837539</v>
      </c>
      <c r="BM51" s="307">
        <v>6.7326098253377042E-2</v>
      </c>
      <c r="BN51" s="307">
        <v>-3.9346288131725085</v>
      </c>
      <c r="BO51" s="118"/>
      <c r="BQ51" s="107" t="s">
        <v>398</v>
      </c>
      <c r="BR51" s="307">
        <f t="shared" si="94"/>
        <v>1.340506936702621</v>
      </c>
      <c r="BS51" s="307">
        <f t="shared" si="90"/>
        <v>0.17520699819303287</v>
      </c>
      <c r="BT51" s="307">
        <f t="shared" si="91"/>
        <v>-4.0353804918895735</v>
      </c>
      <c r="BU51" s="118"/>
    </row>
    <row r="52" spans="1:89" x14ac:dyDescent="0.25">
      <c r="A52">
        <v>14</v>
      </c>
      <c r="B52" s="107" t="s">
        <v>399</v>
      </c>
      <c r="C52" s="113">
        <f>INDEX(TourMode_input!$B$4:$J$172,MATCH(TourMode!$A55,modes,0),MATCH("sch",modePurpose,0))</f>
        <v>8054.97552</v>
      </c>
      <c r="D52" s="113">
        <f>INDEX(TourMode_input!$B$20:$J$33,MATCH(TourMode!$A55,modes,0),MATCH("sch",modePurpose,0))</f>
        <v>102397.38869000001</v>
      </c>
      <c r="E52" s="113">
        <f>INDEX(TourMode_input!$B$36:$J$49,MATCH(TourMode!$A55,modes,0),MATCH("sch",modePurpose,0))</f>
        <v>393627.35983999999</v>
      </c>
      <c r="F52" s="116">
        <f t="shared" si="78"/>
        <v>504079.72404999996</v>
      </c>
      <c r="G52" s="300"/>
      <c r="H52" s="300"/>
      <c r="I52" s="300"/>
      <c r="J52" s="115"/>
      <c r="K52">
        <v>14</v>
      </c>
      <c r="L52" s="107" t="s">
        <v>399</v>
      </c>
      <c r="M52" s="113">
        <f t="shared" si="105"/>
        <v>8054.97552</v>
      </c>
      <c r="N52" s="113">
        <f t="shared" si="105"/>
        <v>102397.38869000001</v>
      </c>
      <c r="O52" s="113">
        <f t="shared" si="105"/>
        <v>393627.35983999999</v>
      </c>
      <c r="P52" s="116">
        <f t="shared" si="80"/>
        <v>504079.72404999996</v>
      </c>
      <c r="Q52" s="115"/>
      <c r="R52">
        <v>14</v>
      </c>
      <c r="S52" s="107" t="s">
        <v>399</v>
      </c>
      <c r="T52" s="113">
        <f>IF(M54&gt;0,M52/M54*T54,0)</f>
        <v>9802.6907550545875</v>
      </c>
      <c r="U52" s="113">
        <f>IF(N54&gt;0,N52/N54*U54,0)</f>
        <v>181882.42932392476</v>
      </c>
      <c r="V52" s="113">
        <f>IF(O54&gt;0,O52/O54*V54,0)</f>
        <v>383154.48913942603</v>
      </c>
      <c r="W52" s="116">
        <f t="shared" si="81"/>
        <v>574839.60921840533</v>
      </c>
      <c r="X52" s="115"/>
      <c r="Y52" s="115"/>
      <c r="Z52" s="115"/>
      <c r="AA52" s="107" t="s">
        <v>399</v>
      </c>
      <c r="AB52" s="113">
        <f>INDEX(TourMode_input!$L$4:$T$17,MATCH(TourMode!$A55,modes,0),MATCH("sch",modePurpose,0))*Index!$B$2</f>
        <v>12225</v>
      </c>
      <c r="AC52" s="113">
        <f>INDEX(TourMode_input!$L$20:$T$33,MATCH(TourMode!$A55,modes,0), MATCH("sch",modePurpose,0))*Index!$B$2</f>
        <v>185625</v>
      </c>
      <c r="AD52" s="113">
        <f>INDEX(TourMode_input!$L$36:$T$49,MATCH(TourMode!$A55,modes,0), MATCH("sch",modePurpose,0))*Index!$B$2</f>
        <v>392425</v>
      </c>
      <c r="AE52" s="116">
        <f t="shared" si="82"/>
        <v>590275</v>
      </c>
      <c r="AG52" s="107" t="s">
        <v>399</v>
      </c>
      <c r="AH52" s="117">
        <f t="shared" si="95"/>
        <v>0.10873152631639497</v>
      </c>
      <c r="AI52" s="117">
        <f t="shared" si="96"/>
        <v>0.3618650670458588</v>
      </c>
      <c r="AJ52" s="117">
        <f t="shared" si="97"/>
        <v>0.37451993210475099</v>
      </c>
      <c r="AK52" s="118">
        <f t="shared" si="98"/>
        <v>0.35575390384439337</v>
      </c>
      <c r="AL52" s="115"/>
      <c r="AM52" s="107" t="s">
        <v>399</v>
      </c>
      <c r="AN52" s="117">
        <f t="shared" si="99"/>
        <v>0.13559980034385224</v>
      </c>
      <c r="AO52" s="117">
        <f t="shared" si="100"/>
        <v>0.36931111663765231</v>
      </c>
      <c r="AP52" s="117">
        <f t="shared" si="101"/>
        <v>0.38358152787484545</v>
      </c>
      <c r="AQ52" s="118">
        <f t="shared" si="102"/>
        <v>0.36530648240692892</v>
      </c>
      <c r="AS52" s="107" t="s">
        <v>399</v>
      </c>
      <c r="AT52" s="113">
        <f t="shared" si="83"/>
        <v>2422.3092449454125</v>
      </c>
      <c r="AU52" s="113">
        <f t="shared" si="73"/>
        <v>3742.5706760752364</v>
      </c>
      <c r="AV52" s="113">
        <f t="shared" si="74"/>
        <v>9270.5108605739661</v>
      </c>
      <c r="AW52" s="116">
        <f t="shared" si="75"/>
        <v>15435.390781594673</v>
      </c>
      <c r="AX52" s="115"/>
      <c r="AY52" s="107" t="s">
        <v>399</v>
      </c>
      <c r="AZ52" s="117">
        <f t="shared" si="84"/>
        <v>0.30072211131256332</v>
      </c>
      <c r="BA52" s="117">
        <f t="shared" si="85"/>
        <v>3.6549473809391497E-2</v>
      </c>
      <c r="BB52" s="117">
        <f t="shared" si="86"/>
        <v>2.3551490080217504E-2</v>
      </c>
      <c r="BC52" s="118">
        <f t="shared" si="87"/>
        <v>3.0620931660531595E-2</v>
      </c>
      <c r="BE52" s="107" t="s">
        <v>399</v>
      </c>
      <c r="BF52" s="307">
        <f t="shared" si="88"/>
        <v>-0.22082612052868172</v>
      </c>
      <c r="BG52" s="307">
        <f t="shared" si="76"/>
        <v>-2.0368023949060142E-2</v>
      </c>
      <c r="BH52" s="307">
        <f t="shared" si="77"/>
        <v>-2.3907162411494657E-2</v>
      </c>
      <c r="BI52" s="118"/>
      <c r="BK52" s="107" t="s">
        <v>399</v>
      </c>
      <c r="BL52" s="307">
        <v>-1.5612430933509533</v>
      </c>
      <c r="BM52" s="307">
        <v>1.9432786679999356</v>
      </c>
      <c r="BN52" s="307">
        <v>-1.4524315055226611</v>
      </c>
      <c r="BO52" s="118"/>
      <c r="BQ52" s="107" t="s">
        <v>399</v>
      </c>
      <c r="BR52" s="307">
        <f t="shared" si="94"/>
        <v>-1.6358328737964269</v>
      </c>
      <c r="BS52" s="307">
        <f t="shared" si="90"/>
        <v>2.0315944412611167</v>
      </c>
      <c r="BT52" s="307">
        <f t="shared" si="91"/>
        <v>-1.4596775007795619</v>
      </c>
      <c r="BU52" s="118"/>
    </row>
    <row r="53" spans="1:89" ht="15.75" thickBot="1" x14ac:dyDescent="0.3">
      <c r="B53" s="108" t="s">
        <v>29</v>
      </c>
      <c r="C53" s="109">
        <f>SUM(C40:C52)</f>
        <v>76196.478570000007</v>
      </c>
      <c r="D53" s="110">
        <f>SUM(D40:D52)</f>
        <v>289071.42930000002</v>
      </c>
      <c r="E53" s="111">
        <f>SUM(E40:E52)</f>
        <v>1053434.3317</v>
      </c>
      <c r="F53" s="112">
        <f>SUM(F40:F52)</f>
        <v>1418702.23957</v>
      </c>
      <c r="G53" s="301"/>
      <c r="H53" s="301"/>
      <c r="I53" s="301"/>
      <c r="L53" s="108" t="s">
        <v>29</v>
      </c>
      <c r="M53" s="109">
        <f>SUM(M40:M52)</f>
        <v>78892.269865753973</v>
      </c>
      <c r="N53" s="110">
        <f>SUM(N40:N52)</f>
        <v>289805.38811704668</v>
      </c>
      <c r="O53" s="111">
        <f>SUM(O40:O52)</f>
        <v>1050320.8441781094</v>
      </c>
      <c r="P53" s="112">
        <f>SUM(P40:P52)</f>
        <v>1419018.5021609101</v>
      </c>
      <c r="S53" s="108" t="s">
        <v>29</v>
      </c>
      <c r="T53" s="109">
        <f>SUM(T40:T52)</f>
        <v>90154.999999999985</v>
      </c>
      <c r="U53" s="110">
        <f>SUM(U40:U52)</f>
        <v>502624.99999999994</v>
      </c>
      <c r="V53" s="111">
        <f>SUM(V40:V52)</f>
        <v>1023055</v>
      </c>
      <c r="W53" s="112">
        <f>SUM(W40:W52)</f>
        <v>1615835</v>
      </c>
      <c r="AA53" s="108" t="s">
        <v>29</v>
      </c>
      <c r="AB53" s="109">
        <f>SUM(AB40:AB52)</f>
        <v>90155</v>
      </c>
      <c r="AC53" s="110">
        <f>SUM(AC40:AC52)</f>
        <v>502625</v>
      </c>
      <c r="AD53" s="111">
        <f>SUM(AD40:AD52)</f>
        <v>1023055</v>
      </c>
      <c r="AE53" s="112">
        <f>SUM(AE40:AE52)</f>
        <v>1615835</v>
      </c>
      <c r="AG53" s="108" t="s">
        <v>29</v>
      </c>
      <c r="AH53" s="120">
        <f t="shared" si="95"/>
        <v>1</v>
      </c>
      <c r="AI53" s="121">
        <f t="shared" si="96"/>
        <v>1</v>
      </c>
      <c r="AJ53" s="122">
        <f t="shared" si="97"/>
        <v>1</v>
      </c>
      <c r="AK53" s="123">
        <f t="shared" si="98"/>
        <v>1</v>
      </c>
      <c r="AM53" s="108" t="s">
        <v>29</v>
      </c>
      <c r="AN53" s="120">
        <f t="shared" si="99"/>
        <v>1</v>
      </c>
      <c r="AO53" s="121">
        <f t="shared" si="100"/>
        <v>1</v>
      </c>
      <c r="AP53" s="122">
        <f t="shared" si="101"/>
        <v>1</v>
      </c>
      <c r="AQ53" s="123">
        <f t="shared" si="102"/>
        <v>1</v>
      </c>
      <c r="AS53" s="108" t="s">
        <v>29</v>
      </c>
      <c r="AT53" s="109">
        <f t="shared" si="83"/>
        <v>0</v>
      </c>
      <c r="AU53" s="110">
        <f t="shared" si="73"/>
        <v>0</v>
      </c>
      <c r="AV53" s="111">
        <f t="shared" si="74"/>
        <v>0</v>
      </c>
      <c r="AW53" s="112">
        <f t="shared" si="75"/>
        <v>0</v>
      </c>
      <c r="AY53" s="108" t="s">
        <v>29</v>
      </c>
      <c r="AZ53" s="117">
        <f t="shared" si="84"/>
        <v>0</v>
      </c>
      <c r="BA53" s="117">
        <f t="shared" si="85"/>
        <v>0</v>
      </c>
      <c r="BB53" s="117">
        <f t="shared" si="86"/>
        <v>0</v>
      </c>
      <c r="BC53" s="118">
        <f t="shared" si="87"/>
        <v>0</v>
      </c>
      <c r="BE53" s="108" t="s">
        <v>29</v>
      </c>
      <c r="BF53" s="117"/>
      <c r="BG53" s="117"/>
      <c r="BH53" s="117"/>
      <c r="BI53" s="118"/>
      <c r="BK53" s="108" t="s">
        <v>29</v>
      </c>
      <c r="BL53" s="117"/>
      <c r="BM53" s="117"/>
      <c r="BN53" s="117"/>
      <c r="BO53" s="118"/>
      <c r="BQ53" s="108" t="s">
        <v>29</v>
      </c>
      <c r="BR53" s="117"/>
      <c r="BS53" s="117"/>
      <c r="BT53" s="117"/>
      <c r="BU53" s="118"/>
    </row>
    <row r="54" spans="1:89" x14ac:dyDescent="0.25">
      <c r="B54" s="304"/>
      <c r="C54" s="301"/>
      <c r="D54" s="301"/>
      <c r="E54" s="301"/>
      <c r="F54" s="301"/>
      <c r="G54" s="301"/>
      <c r="H54" s="301"/>
      <c r="I54" s="301"/>
      <c r="L54" s="304"/>
      <c r="M54" s="286">
        <f>M53-SUM(M48:M50)</f>
        <v>51908.350800000015</v>
      </c>
      <c r="N54" s="286">
        <f>N53-SUM(N48:N50)</f>
        <v>274166.96708000003</v>
      </c>
      <c r="O54" s="286">
        <f>O53-SUM(O48:O50)</f>
        <v>1024798.50697</v>
      </c>
      <c r="P54" s="301"/>
      <c r="S54" s="304"/>
      <c r="T54" s="286">
        <f>AB53-SUM(T48:T50)</f>
        <v>63171.080934246042</v>
      </c>
      <c r="U54" s="286">
        <f>AC53-SUM(U48:U50)</f>
        <v>486986.57896295335</v>
      </c>
      <c r="V54" s="286">
        <f>AD53-SUM(V48:V50)</f>
        <v>997532.66279189056</v>
      </c>
      <c r="W54" s="301"/>
      <c r="AA54" s="304"/>
      <c r="AB54" s="301"/>
      <c r="AC54" s="301"/>
      <c r="AD54" s="301"/>
      <c r="AE54" s="301"/>
      <c r="AG54" s="304"/>
      <c r="AH54" s="305"/>
      <c r="AI54" s="305"/>
      <c r="AJ54" s="305"/>
      <c r="AK54" s="305"/>
      <c r="AM54" s="304"/>
      <c r="AN54" s="305"/>
      <c r="AO54" s="305"/>
      <c r="AP54" s="305"/>
      <c r="AQ54" s="305"/>
      <c r="AS54" s="304"/>
      <c r="AT54" s="301"/>
      <c r="AU54" s="301"/>
      <c r="AV54" s="301"/>
      <c r="AW54" s="301"/>
      <c r="AY54" s="304"/>
      <c r="AZ54" s="306"/>
      <c r="BA54" s="306"/>
      <c r="BB54" s="306"/>
      <c r="BC54" s="306"/>
      <c r="BE54" s="304"/>
      <c r="BF54" s="306"/>
      <c r="BG54" s="306"/>
      <c r="BH54" s="306"/>
      <c r="BI54" s="306"/>
      <c r="BK54" s="304"/>
      <c r="BL54" s="306"/>
      <c r="BM54" s="306"/>
      <c r="BN54" s="306"/>
      <c r="BO54" s="306"/>
      <c r="BQ54" s="304"/>
      <c r="BR54" s="306"/>
      <c r="BS54" s="306"/>
      <c r="BT54" s="306"/>
      <c r="BU54" s="306"/>
    </row>
    <row r="55" spans="1:89" ht="26.25" x14ac:dyDescent="0.4">
      <c r="A55" s="150" t="s">
        <v>525</v>
      </c>
      <c r="K55" s="150" t="s">
        <v>525</v>
      </c>
      <c r="R55" s="150" t="s">
        <v>525</v>
      </c>
    </row>
    <row r="56" spans="1:89" ht="26.25" x14ac:dyDescent="0.25">
      <c r="B56" s="102" t="s">
        <v>134</v>
      </c>
      <c r="C56" s="103" t="s">
        <v>135</v>
      </c>
      <c r="D56" s="104" t="s">
        <v>136</v>
      </c>
      <c r="E56" s="105" t="s">
        <v>137</v>
      </c>
      <c r="F56" s="106" t="s">
        <v>29</v>
      </c>
      <c r="G56" s="299"/>
      <c r="H56" s="299"/>
      <c r="I56" s="299"/>
      <c r="L56" s="102" t="s">
        <v>134</v>
      </c>
      <c r="M56" s="103" t="s">
        <v>135</v>
      </c>
      <c r="N56" s="104" t="s">
        <v>136</v>
      </c>
      <c r="O56" s="105" t="s">
        <v>137</v>
      </c>
      <c r="P56" s="106" t="s">
        <v>29</v>
      </c>
      <c r="S56" s="102" t="s">
        <v>134</v>
      </c>
      <c r="T56" s="103" t="s">
        <v>135</v>
      </c>
      <c r="U56" s="104" t="s">
        <v>136</v>
      </c>
      <c r="V56" s="105" t="s">
        <v>137</v>
      </c>
      <c r="W56" s="106" t="s">
        <v>29</v>
      </c>
      <c r="AA56" s="102" t="s">
        <v>134</v>
      </c>
      <c r="AB56" s="103" t="s">
        <v>135</v>
      </c>
      <c r="AC56" s="104" t="s">
        <v>136</v>
      </c>
      <c r="AD56" s="105" t="s">
        <v>137</v>
      </c>
      <c r="AE56" s="106" t="s">
        <v>29</v>
      </c>
      <c r="AG56" s="102" t="s">
        <v>134</v>
      </c>
      <c r="AH56" s="103" t="s">
        <v>135</v>
      </c>
      <c r="AI56" s="104" t="s">
        <v>136</v>
      </c>
      <c r="AJ56" s="105" t="s">
        <v>137</v>
      </c>
      <c r="AK56" s="106" t="s">
        <v>29</v>
      </c>
      <c r="AM56" s="102" t="s">
        <v>134</v>
      </c>
      <c r="AN56" s="103" t="s">
        <v>135</v>
      </c>
      <c r="AO56" s="104" t="s">
        <v>136</v>
      </c>
      <c r="AP56" s="105" t="s">
        <v>137</v>
      </c>
      <c r="AQ56" s="106" t="s">
        <v>29</v>
      </c>
      <c r="AS56" s="102" t="s">
        <v>134</v>
      </c>
      <c r="AT56" s="103" t="s">
        <v>135</v>
      </c>
      <c r="AU56" s="104" t="s">
        <v>136</v>
      </c>
      <c r="AV56" s="105" t="s">
        <v>137</v>
      </c>
      <c r="AW56" s="106" t="s">
        <v>29</v>
      </c>
      <c r="AY56" s="102" t="s">
        <v>134</v>
      </c>
      <c r="AZ56" s="103" t="s">
        <v>135</v>
      </c>
      <c r="BA56" s="104" t="s">
        <v>136</v>
      </c>
      <c r="BB56" s="105" t="s">
        <v>137</v>
      </c>
      <c r="BC56" s="106" t="s">
        <v>29</v>
      </c>
      <c r="BE56" s="102" t="s">
        <v>134</v>
      </c>
      <c r="BF56" s="103" t="s">
        <v>135</v>
      </c>
      <c r="BG56" s="104" t="s">
        <v>136</v>
      </c>
      <c r="BH56" s="105" t="s">
        <v>137</v>
      </c>
      <c r="BI56" s="106" t="s">
        <v>29</v>
      </c>
      <c r="BK56" s="102" t="s">
        <v>134</v>
      </c>
      <c r="BL56" s="103" t="s">
        <v>135</v>
      </c>
      <c r="BM56" s="104" t="s">
        <v>136</v>
      </c>
      <c r="BN56" s="105" t="s">
        <v>137</v>
      </c>
      <c r="BO56" s="106" t="s">
        <v>29</v>
      </c>
      <c r="BQ56" s="102" t="s">
        <v>134</v>
      </c>
      <c r="BR56" s="103" t="s">
        <v>135</v>
      </c>
      <c r="BS56" s="104" t="s">
        <v>136</v>
      </c>
      <c r="BT56" s="105" t="s">
        <v>137</v>
      </c>
      <c r="BU56" s="106" t="s">
        <v>29</v>
      </c>
      <c r="BX56">
        <v>1</v>
      </c>
      <c r="BY56">
        <v>2</v>
      </c>
      <c r="BZ56">
        <v>3</v>
      </c>
      <c r="CA56">
        <v>4</v>
      </c>
      <c r="CB56">
        <v>5</v>
      </c>
      <c r="CC56">
        <v>6</v>
      </c>
      <c r="CD56">
        <v>7</v>
      </c>
      <c r="CE56">
        <v>8</v>
      </c>
      <c r="CG56">
        <v>9</v>
      </c>
      <c r="CH56">
        <v>10</v>
      </c>
      <c r="CI56">
        <v>11</v>
      </c>
      <c r="CJ56">
        <v>12</v>
      </c>
      <c r="CK56">
        <v>13</v>
      </c>
    </row>
    <row r="57" spans="1:89" x14ac:dyDescent="0.25">
      <c r="A57">
        <v>1</v>
      </c>
      <c r="B57" s="107" t="s">
        <v>386</v>
      </c>
      <c r="C57" s="297">
        <v>0</v>
      </c>
      <c r="D57" s="113">
        <f>INDEX(TourMode_input!$B$20:$J$33,MATCH(TourMode!$A59,modes,0),MATCH("esc",modePurpose,0))</f>
        <v>0</v>
      </c>
      <c r="E57" s="113">
        <f>INDEX(TourMode_input!$B$36:$J$49,MATCH(TourMode!$A59,modes,0),MATCH("esc",modePurpose,0))</f>
        <v>0</v>
      </c>
      <c r="F57" s="114">
        <f>SUM(C57:E57)</f>
        <v>0</v>
      </c>
      <c r="G57" s="300"/>
      <c r="H57" s="300"/>
      <c r="I57" s="300"/>
      <c r="J57" s="115"/>
      <c r="K57">
        <v>1</v>
      </c>
      <c r="L57" s="107" t="s">
        <v>386</v>
      </c>
      <c r="M57" s="113">
        <f>C57</f>
        <v>0</v>
      </c>
      <c r="N57" s="113">
        <f t="shared" ref="N57:N64" si="106">D57</f>
        <v>0</v>
      </c>
      <c r="O57" s="113">
        <f t="shared" ref="O57:O64" si="107">E57</f>
        <v>0</v>
      </c>
      <c r="P57" s="114">
        <f>SUM(M57:O57)</f>
        <v>0</v>
      </c>
      <c r="Q57" s="115"/>
      <c r="R57">
        <v>1</v>
      </c>
      <c r="S57" s="107" t="s">
        <v>386</v>
      </c>
      <c r="T57" s="113">
        <f>IF(M71&gt;0,M57/M71*T71,0)</f>
        <v>0</v>
      </c>
      <c r="U57" s="113">
        <f>IF(N71&gt;0,N57/N71*U71,0)</f>
        <v>0</v>
      </c>
      <c r="V57" s="113">
        <f>IF(O71&gt;0,O57/O71*V71,0)</f>
        <v>0</v>
      </c>
      <c r="W57" s="114">
        <f>SUM(T57:V57)</f>
        <v>0</v>
      </c>
      <c r="X57" s="115"/>
      <c r="Y57" s="115"/>
      <c r="Z57" s="115"/>
      <c r="AA57" s="107" t="s">
        <v>386</v>
      </c>
      <c r="AB57" s="113">
        <f>INDEX(TourMode_input!$L$4:$T$17,MATCH(TourMode!$A59,modes,0),MATCH("esc",modePurpose,0))*Index!$B$2</f>
        <v>0</v>
      </c>
      <c r="AC57" s="113">
        <f>INDEX(TourMode_input!$L$20:$T$33,MATCH(TourMode!$A59,modes,0), MATCH("esc",modePurpose,0))*Index!$B$2</f>
        <v>0</v>
      </c>
      <c r="AD57" s="113">
        <f>INDEX(TourMode_input!$L$36:$T$49,MATCH(TourMode!$A59,modes,0), MATCH("esc",modePurpose,0))*Index!$B$2</f>
        <v>0</v>
      </c>
      <c r="AE57" s="114">
        <f>SUM(AB57:AD57)</f>
        <v>0</v>
      </c>
      <c r="AG57" s="107" t="s">
        <v>538</v>
      </c>
      <c r="AH57" s="117">
        <f>(T57+T58)/T$70</f>
        <v>0</v>
      </c>
      <c r="AI57" s="117">
        <f>(U57+U58)/U$70</f>
        <v>0</v>
      </c>
      <c r="AJ57" s="117">
        <f>(V57+V58)/V$70</f>
        <v>0</v>
      </c>
      <c r="AK57" s="117">
        <f>(W57+W58)/W$70</f>
        <v>0</v>
      </c>
      <c r="AL57" s="115"/>
      <c r="AM57" s="107" t="s">
        <v>538</v>
      </c>
      <c r="AN57" s="117">
        <f>(AB57+AB58)/AB$53</f>
        <v>0</v>
      </c>
      <c r="AO57" s="117">
        <f>(AC57+AC58)/AC$53</f>
        <v>0</v>
      </c>
      <c r="AP57" s="117">
        <f>(AD57+AD58)/AD$53</f>
        <v>0</v>
      </c>
      <c r="AQ57" s="117">
        <f>(AE57+AE58)/AE$53</f>
        <v>0</v>
      </c>
      <c r="AS57" s="107" t="s">
        <v>386</v>
      </c>
      <c r="AT57" s="113">
        <f>AB57-T57</f>
        <v>0</v>
      </c>
      <c r="AU57" s="113">
        <f t="shared" ref="AU57:AU70" si="108">AC57-U57</f>
        <v>0</v>
      </c>
      <c r="AV57" s="113">
        <f t="shared" ref="AV57:AV70" si="109">AD57-V57</f>
        <v>0</v>
      </c>
      <c r="AW57" s="114">
        <f t="shared" ref="AW57:AW70" si="110">AE57-W57</f>
        <v>0</v>
      </c>
      <c r="AX57" s="115"/>
      <c r="AY57" s="107" t="s">
        <v>386</v>
      </c>
      <c r="AZ57" s="117">
        <f>IF(C57=0, 0,AT57/C57)</f>
        <v>0</v>
      </c>
      <c r="BA57" s="117">
        <f>IF(D57=0, 0,AU57/D57)</f>
        <v>0</v>
      </c>
      <c r="BB57" s="117">
        <f>IF(E57=0, 0,AV57/E57)</f>
        <v>0</v>
      </c>
      <c r="BC57" s="118">
        <f>IF(F57=0, 0,AW57/F57)</f>
        <v>0</v>
      </c>
      <c r="BE57" s="107" t="s">
        <v>538</v>
      </c>
      <c r="BF57" s="307">
        <f>IFERROR(IF(AN57&gt;0,LN(AH57/AN57),0),0)</f>
        <v>0</v>
      </c>
      <c r="BG57" s="307">
        <f t="shared" ref="BG57:BG69" si="111">IFERROR(IF(AO57&gt;0,LN(AI57/AO57),0),0)</f>
        <v>0</v>
      </c>
      <c r="BH57" s="307">
        <f t="shared" ref="BH57:BH69" si="112">IFERROR(IF(AP57&gt;0,LN(AJ57/AP57),0),0)</f>
        <v>0</v>
      </c>
      <c r="BI57" s="118"/>
      <c r="BK57" s="107" t="s">
        <v>538</v>
      </c>
      <c r="BL57" s="307">
        <v>0</v>
      </c>
      <c r="BM57" s="307">
        <v>0</v>
      </c>
      <c r="BN57" s="307">
        <v>0</v>
      </c>
      <c r="BO57" s="118"/>
      <c r="BQ57" s="107" t="s">
        <v>538</v>
      </c>
      <c r="BR57" s="308">
        <v>0</v>
      </c>
      <c r="BS57" s="309">
        <v>0</v>
      </c>
      <c r="BT57" s="309">
        <v>0</v>
      </c>
      <c r="BU57" s="118"/>
      <c r="BX57" s="5" t="s">
        <v>386</v>
      </c>
      <c r="BY57" s="5" t="s">
        <v>387</v>
      </c>
      <c r="BZ57" s="5" t="s">
        <v>388</v>
      </c>
      <c r="CA57" s="5" t="s">
        <v>389</v>
      </c>
      <c r="CB57" s="5" t="s">
        <v>390</v>
      </c>
      <c r="CC57" s="5" t="s">
        <v>391</v>
      </c>
      <c r="CD57" s="5" t="s">
        <v>392</v>
      </c>
      <c r="CE57" s="5" t="s">
        <v>393</v>
      </c>
      <c r="CF57" s="5"/>
      <c r="CG57" s="5" t="s">
        <v>569</v>
      </c>
      <c r="CH57" s="5" t="s">
        <v>396</v>
      </c>
      <c r="CI57" s="5" t="s">
        <v>397</v>
      </c>
      <c r="CJ57" s="5" t="s">
        <v>398</v>
      </c>
      <c r="CK57" s="287" t="s">
        <v>399</v>
      </c>
    </row>
    <row r="58" spans="1:89" x14ac:dyDescent="0.25">
      <c r="A58">
        <v>2</v>
      </c>
      <c r="B58" s="107" t="s">
        <v>387</v>
      </c>
      <c r="C58" s="297">
        <v>0</v>
      </c>
      <c r="D58" s="113">
        <f>INDEX(TourMode_input!$B$20:$J$33,MATCH(TourMode!$A60,modes,0),MATCH("esc",modePurpose,0))</f>
        <v>0</v>
      </c>
      <c r="E58" s="113">
        <f>INDEX(TourMode_input!$B$36:$J$49,MATCH(TourMode!$A60,modes,0),MATCH("esc",modePurpose,0))</f>
        <v>0</v>
      </c>
      <c r="F58" s="116">
        <f t="shared" ref="F58:F69" si="113">SUM(C58:E58)</f>
        <v>0</v>
      </c>
      <c r="G58" s="300"/>
      <c r="H58" s="300"/>
      <c r="I58" s="300"/>
      <c r="J58" s="115"/>
      <c r="K58">
        <v>2</v>
      </c>
      <c r="L58" s="107" t="s">
        <v>387</v>
      </c>
      <c r="M58" s="113">
        <f t="shared" ref="M58:M64" si="114">C58</f>
        <v>0</v>
      </c>
      <c r="N58" s="113">
        <f t="shared" si="106"/>
        <v>0</v>
      </c>
      <c r="O58" s="113">
        <f t="shared" si="107"/>
        <v>0</v>
      </c>
      <c r="P58" s="116">
        <f t="shared" ref="P58:P69" si="115">SUM(M58:O58)</f>
        <v>0</v>
      </c>
      <c r="Q58" s="115"/>
      <c r="R58">
        <v>2</v>
      </c>
      <c r="S58" s="107" t="s">
        <v>387</v>
      </c>
      <c r="T58" s="113">
        <f>IF(M71&gt;0,M58/M71*T71,0)</f>
        <v>0</v>
      </c>
      <c r="U58" s="113">
        <f>IF(N71&gt;0,N58/N71*U71,0)</f>
        <v>0</v>
      </c>
      <c r="V58" s="113">
        <f>IF(O71&gt;0,O58/O71*V71,0)</f>
        <v>0</v>
      </c>
      <c r="W58" s="116">
        <f t="shared" ref="W58:W69" si="116">SUM(T58:V58)</f>
        <v>0</v>
      </c>
      <c r="X58" s="115"/>
      <c r="Y58" s="115"/>
      <c r="Z58" s="115"/>
      <c r="AA58" s="107" t="s">
        <v>387</v>
      </c>
      <c r="AB58" s="113">
        <f>INDEX(TourMode_input!$L$4:$T$17,MATCH(TourMode!$A60,modes,0),MATCH("esc",modePurpose,0))*Index!$B$2</f>
        <v>0</v>
      </c>
      <c r="AC58" s="113">
        <f>INDEX(TourMode_input!$L$20:$T$33,MATCH(TourMode!$A60,modes,0), MATCH("esc",modePurpose,0))*Index!$B$2</f>
        <v>0</v>
      </c>
      <c r="AD58" s="113">
        <f>INDEX(TourMode_input!$L$36:$T$49,MATCH(TourMode!$A60,modes,0), MATCH("esc",modePurpose,0))*Index!$B$2</f>
        <v>0</v>
      </c>
      <c r="AE58" s="116">
        <f t="shared" ref="AE58:AE69" si="117">SUM(AB58:AD58)</f>
        <v>0</v>
      </c>
      <c r="AG58" s="107"/>
      <c r="AH58" s="117"/>
      <c r="AI58" s="117"/>
      <c r="AJ58" s="117"/>
      <c r="AK58" s="118"/>
      <c r="AL58" s="115"/>
      <c r="AM58" s="107"/>
      <c r="AN58" s="117"/>
      <c r="AO58" s="117"/>
      <c r="AP58" s="117"/>
      <c r="AQ58" s="118"/>
      <c r="AS58" s="107" t="s">
        <v>387</v>
      </c>
      <c r="AT58" s="113">
        <f t="shared" ref="AT58:AT70" si="118">AB58-T58</f>
        <v>0</v>
      </c>
      <c r="AU58" s="113">
        <f t="shared" si="108"/>
        <v>0</v>
      </c>
      <c r="AV58" s="113">
        <f t="shared" si="109"/>
        <v>0</v>
      </c>
      <c r="AW58" s="116">
        <f t="shared" si="110"/>
        <v>0</v>
      </c>
      <c r="AX58" s="115"/>
      <c r="AY58" s="107" t="s">
        <v>387</v>
      </c>
      <c r="AZ58" s="117">
        <f t="shared" ref="AZ58:AZ70" si="119">IF(C58=0, 0,AT58/C58)</f>
        <v>0</v>
      </c>
      <c r="BA58" s="117">
        <f t="shared" ref="BA58:BA70" si="120">IF(D58=0, 0,AU58/D58)</f>
        <v>0</v>
      </c>
      <c r="BB58" s="117">
        <f t="shared" ref="BB58:BB70" si="121">IF(E58=0, 0,AV58/E58)</f>
        <v>0</v>
      </c>
      <c r="BC58" s="118">
        <f t="shared" ref="BC58:BC70" si="122">IF(F58=0, 0,AW58/F58)</f>
        <v>0</v>
      </c>
      <c r="BE58" s="107"/>
      <c r="BF58" s="307">
        <f t="shared" ref="BF58:BF69" si="123">IFERROR(IF(AN58&gt;0,LN(AH58/AN58),0),0)</f>
        <v>0</v>
      </c>
      <c r="BG58" s="307">
        <f t="shared" si="111"/>
        <v>0</v>
      </c>
      <c r="BH58" s="307">
        <f t="shared" si="112"/>
        <v>0</v>
      </c>
      <c r="BI58" s="118"/>
      <c r="BK58" s="107"/>
      <c r="BL58" s="307"/>
      <c r="BM58" s="307"/>
      <c r="BN58" s="307"/>
      <c r="BO58" s="118"/>
      <c r="BQ58" s="107"/>
      <c r="BR58" s="308"/>
      <c r="BS58" s="307"/>
      <c r="BT58" s="307"/>
      <c r="BU58" s="118"/>
      <c r="BW58" t="s">
        <v>131</v>
      </c>
      <c r="BX58">
        <v>-999</v>
      </c>
      <c r="BY58">
        <v>-999</v>
      </c>
      <c r="BZ58">
        <f t="shared" ref="BZ58:CG58" si="124">IF(ISNUMBER(INDEX($BR$57:$BR$70,BZ56,1)),INDEX($BR$57:$BR$70,BZ56,1),0)</f>
        <v>0</v>
      </c>
      <c r="CA58">
        <f>BZ58</f>
        <v>0</v>
      </c>
      <c r="CB58">
        <f t="shared" si="124"/>
        <v>-7.854056911176281</v>
      </c>
      <c r="CC58">
        <f>CB58</f>
        <v>-7.854056911176281</v>
      </c>
      <c r="CD58">
        <f t="shared" si="124"/>
        <v>1.9012672632938676</v>
      </c>
      <c r="CE58">
        <f t="shared" si="124"/>
        <v>0.96660022732456241</v>
      </c>
      <c r="CG58">
        <f t="shared" si="124"/>
        <v>-3.0272956062456</v>
      </c>
      <c r="CH58" s="312">
        <v>-999</v>
      </c>
      <c r="CI58" s="312">
        <v>-999</v>
      </c>
      <c r="CJ58" s="312">
        <v>-999</v>
      </c>
      <c r="CK58" s="312">
        <v>-999</v>
      </c>
    </row>
    <row r="59" spans="1:89" x14ac:dyDescent="0.25">
      <c r="A59">
        <v>3</v>
      </c>
      <c r="B59" s="107" t="s">
        <v>388</v>
      </c>
      <c r="C59" s="113">
        <f>INDEX(TourMode_input!$B$4:$J$172,MATCH(TourMode!$A61,modes,0),MATCH("esc",modePurpose,0))</f>
        <v>1726.00279</v>
      </c>
      <c r="D59" s="113">
        <f>INDEX(TourMode_input!$B$20:$J$33,MATCH(TourMode!$A61,modes,0),MATCH("esc",modePurpose,0))</f>
        <v>105019.18552</v>
      </c>
      <c r="E59" s="113">
        <f>INDEX(TourMode_input!$B$36:$J$49,MATCH(TourMode!$A61,modes,0),MATCH("esc",modePurpose,0))</f>
        <v>288294.02471999999</v>
      </c>
      <c r="F59" s="116">
        <f t="shared" si="113"/>
        <v>395039.21302999998</v>
      </c>
      <c r="G59" s="300"/>
      <c r="H59" s="300"/>
      <c r="I59" s="300"/>
      <c r="J59" s="115"/>
      <c r="K59">
        <v>3</v>
      </c>
      <c r="L59" s="107" t="s">
        <v>388</v>
      </c>
      <c r="M59" s="113">
        <f t="shared" si="114"/>
        <v>1726.00279</v>
      </c>
      <c r="N59" s="113">
        <f t="shared" si="106"/>
        <v>105019.18552</v>
      </c>
      <c r="O59" s="113">
        <f t="shared" si="107"/>
        <v>288294.02471999999</v>
      </c>
      <c r="P59" s="116">
        <f t="shared" si="115"/>
        <v>395039.21302999998</v>
      </c>
      <c r="Q59" s="115"/>
      <c r="R59">
        <v>3</v>
      </c>
      <c r="S59" s="107" t="s">
        <v>388</v>
      </c>
      <c r="T59" s="113">
        <f>IF(M71&gt;0,M59/M71*T71,0)</f>
        <v>13565.211831112605</v>
      </c>
      <c r="U59" s="113">
        <f>IF(N71&gt;0,N59/N71*U71,0)</f>
        <v>166403.70390272938</v>
      </c>
      <c r="V59" s="113">
        <f>IF(O71&gt;0,O59/O71*V71,0)</f>
        <v>319007.45697170903</v>
      </c>
      <c r="W59" s="116">
        <f t="shared" si="116"/>
        <v>498976.37270555098</v>
      </c>
      <c r="X59" s="115"/>
      <c r="Y59" s="115"/>
      <c r="Z59" s="115"/>
      <c r="AA59" s="107" t="s">
        <v>388</v>
      </c>
      <c r="AB59" s="113">
        <f>INDEX(TourMode_input!$L$4:$T$17,MATCH(TourMode!$A61,modes,0),MATCH("esc",modePurpose,0))*Index!$B$2</f>
        <v>12245</v>
      </c>
      <c r="AC59" s="113">
        <f>INDEX(TourMode_input!$L$20:$T$33,MATCH(TourMode!$A61,modes,0), MATCH("esc",modePurpose,0))*Index!$B$2</f>
        <v>159250</v>
      </c>
      <c r="AD59" s="113">
        <f>INDEX(TourMode_input!$L$36:$T$49,MATCH(TourMode!$A61,modes,0), MATCH("esc",modePurpose,0))*Index!$B$2</f>
        <v>311215</v>
      </c>
      <c r="AE59" s="116">
        <f t="shared" si="117"/>
        <v>482710</v>
      </c>
      <c r="AG59" s="107" t="s">
        <v>576</v>
      </c>
      <c r="AH59" s="117">
        <f>(T59+T60)/T$70</f>
        <v>0.15137211215881949</v>
      </c>
      <c r="AI59" s="117">
        <f>(U59+U60)/U$70</f>
        <v>0.36819051643484763</v>
      </c>
      <c r="AJ59" s="117">
        <f>(V59+V60)/V$70</f>
        <v>0.40479445415105297</v>
      </c>
      <c r="AK59" s="117">
        <f>(W59+W60)/W$70</f>
        <v>0.37529056801550303</v>
      </c>
      <c r="AL59" s="115"/>
      <c r="AM59" s="107" t="s">
        <v>576</v>
      </c>
      <c r="AN59" s="117">
        <f>(AB59+AB60)/AB$53</f>
        <v>0.13781820198546946</v>
      </c>
      <c r="AO59" s="117">
        <f>(AC59+AC60)/AC$53</f>
        <v>0.32480477493160903</v>
      </c>
      <c r="AP59" s="117">
        <f>(AD59+AD60)/AD$53</f>
        <v>0.3115521648396225</v>
      </c>
      <c r="AQ59" s="117">
        <f>(AE59+AE60)/AE$53</f>
        <v>0.3059811181215904</v>
      </c>
      <c r="AS59" s="107" t="s">
        <v>388</v>
      </c>
      <c r="AT59" s="113">
        <f t="shared" si="118"/>
        <v>-1320.2118311126051</v>
      </c>
      <c r="AU59" s="113">
        <f t="shared" si="108"/>
        <v>-7153.7039027293795</v>
      </c>
      <c r="AV59" s="113">
        <f t="shared" si="109"/>
        <v>-7792.4569717090344</v>
      </c>
      <c r="AW59" s="116">
        <f t="shared" si="110"/>
        <v>-16266.372705550981</v>
      </c>
      <c r="AX59" s="115"/>
      <c r="AY59" s="107" t="s">
        <v>388</v>
      </c>
      <c r="AZ59" s="117">
        <f t="shared" si="119"/>
        <v>-0.76489553711127256</v>
      </c>
      <c r="BA59" s="117">
        <f t="shared" si="120"/>
        <v>-6.8118066878046946E-2</v>
      </c>
      <c r="BB59" s="117">
        <f t="shared" si="121"/>
        <v>-2.7029547279994123E-2</v>
      </c>
      <c r="BC59" s="118">
        <f t="shared" si="122"/>
        <v>-4.1176602648597529E-2</v>
      </c>
      <c r="BE59" s="107" t="s">
        <v>576</v>
      </c>
      <c r="BF59" s="307">
        <f t="shared" si="123"/>
        <v>9.3805684556397859E-2</v>
      </c>
      <c r="BG59" s="307">
        <f t="shared" si="111"/>
        <v>0.12537620258434376</v>
      </c>
      <c r="BH59" s="307">
        <f t="shared" si="112"/>
        <v>0.26181263008301847</v>
      </c>
      <c r="BI59" s="118"/>
      <c r="BK59" s="107" t="s">
        <v>576</v>
      </c>
      <c r="BL59" s="307">
        <v>0</v>
      </c>
      <c r="BM59" s="307">
        <v>5.4342340141994931</v>
      </c>
      <c r="BN59" s="307">
        <v>6.2335168010542992</v>
      </c>
      <c r="BO59" s="118"/>
      <c r="BQ59" s="107" t="s">
        <v>576</v>
      </c>
      <c r="BR59" s="309">
        <v>0</v>
      </c>
      <c r="BS59" s="307">
        <f t="shared" ref="BS59:BS69" si="125">(BG59-BG$57)*$BR$1+BM59</f>
        <v>5.4969221154916648</v>
      </c>
      <c r="BT59" s="307">
        <f t="shared" ref="BT59:BT69" si="126">(BH59-BH$57)*$BR$1+BN59</f>
        <v>6.364423116095808</v>
      </c>
      <c r="BU59" s="118"/>
      <c r="BW59" t="s">
        <v>132</v>
      </c>
      <c r="BX59">
        <v>-999</v>
      </c>
      <c r="BY59">
        <v>-999</v>
      </c>
      <c r="BZ59">
        <f t="shared" ref="BZ59:CG59" si="127">IF(ISNUMBER(INDEX($BS$57:$BS$70,BZ56,1)),INDEX($BS$57:$BS$70,BZ56,1),0)</f>
        <v>5.4969221154916648</v>
      </c>
      <c r="CA59">
        <f>BZ59</f>
        <v>5.4969221154916648</v>
      </c>
      <c r="CB59">
        <f t="shared" si="127"/>
        <v>5.829778344175681</v>
      </c>
      <c r="CC59">
        <f>CB59</f>
        <v>5.829778344175681</v>
      </c>
      <c r="CD59">
        <f t="shared" si="127"/>
        <v>7.2031199521410549</v>
      </c>
      <c r="CE59">
        <f t="shared" si="127"/>
        <v>-5.8170769848628154</v>
      </c>
      <c r="CG59">
        <f t="shared" si="127"/>
        <v>0.33680615362003835</v>
      </c>
      <c r="CH59" s="312">
        <v>-999</v>
      </c>
      <c r="CI59" s="312">
        <v>-999</v>
      </c>
      <c r="CJ59" s="312">
        <v>-999</v>
      </c>
      <c r="CK59" s="312">
        <v>-999</v>
      </c>
    </row>
    <row r="60" spans="1:89" x14ac:dyDescent="0.25">
      <c r="A60">
        <v>4</v>
      </c>
      <c r="B60" s="107" t="s">
        <v>389</v>
      </c>
      <c r="C60" s="113">
        <f>INDEX(TourMode_input!$B$4:$J$172,MATCH(TourMode!$A62,modes,0),MATCH("esc",modePurpose,0))</f>
        <v>0</v>
      </c>
      <c r="D60" s="113">
        <f>INDEX(TourMode_input!$B$20:$J$33,MATCH(TourMode!$A62,modes,0),MATCH("esc",modePurpose,0))</f>
        <v>0</v>
      </c>
      <c r="E60" s="113">
        <f>INDEX(TourMode_input!$B$36:$J$49,MATCH(TourMode!$A62,modes,0),MATCH("esc",modePurpose,0))</f>
        <v>298.98732000000001</v>
      </c>
      <c r="F60" s="116">
        <f t="shared" si="113"/>
        <v>298.98732000000001</v>
      </c>
      <c r="G60" s="300"/>
      <c r="H60" s="300"/>
      <c r="I60" s="300"/>
      <c r="J60" s="115"/>
      <c r="K60">
        <v>4</v>
      </c>
      <c r="L60" s="107" t="s">
        <v>389</v>
      </c>
      <c r="M60" s="113">
        <f t="shared" si="114"/>
        <v>0</v>
      </c>
      <c r="N60" s="113">
        <f t="shared" si="106"/>
        <v>0</v>
      </c>
      <c r="O60" s="113">
        <f t="shared" si="107"/>
        <v>298.98732000000001</v>
      </c>
      <c r="P60" s="116">
        <f t="shared" si="115"/>
        <v>298.98732000000001</v>
      </c>
      <c r="Q60" s="115"/>
      <c r="R60">
        <v>4</v>
      </c>
      <c r="S60" s="107" t="s">
        <v>389</v>
      </c>
      <c r="T60" s="113">
        <f>IF(M71&gt;0,M60/M71*T71,0)</f>
        <v>0</v>
      </c>
      <c r="U60" s="113">
        <f>IF(N71&gt;0,N60/N71*U71,0)</f>
        <v>0</v>
      </c>
      <c r="V60" s="113">
        <f>IF(O71&gt;0,O60/O71*V71,0)</f>
        <v>330.83996351510166</v>
      </c>
      <c r="W60" s="116">
        <f t="shared" si="116"/>
        <v>330.83996351510166</v>
      </c>
      <c r="X60" s="115"/>
      <c r="Y60" s="115"/>
      <c r="Z60" s="115"/>
      <c r="AA60" s="107" t="s">
        <v>389</v>
      </c>
      <c r="AB60" s="113">
        <f>INDEX(TourMode_input!$L$4:$T$17,MATCH(TourMode!$A62,modes,0),MATCH("esc",modePurpose,0))*Index!$B$2</f>
        <v>180</v>
      </c>
      <c r="AC60" s="113">
        <f>INDEX(TourMode_input!$L$20:$T$33,MATCH(TourMode!$A62,modes,0), MATCH("esc",modePurpose,0))*Index!$B$2</f>
        <v>4005</v>
      </c>
      <c r="AD60" s="113">
        <f>INDEX(TourMode_input!$L$36:$T$49,MATCH(TourMode!$A62,modes,0), MATCH("esc",modePurpose,0))*Index!$B$2</f>
        <v>7520</v>
      </c>
      <c r="AE60" s="116">
        <f t="shared" si="117"/>
        <v>11705</v>
      </c>
      <c r="AG60" s="107"/>
      <c r="AH60" s="117"/>
      <c r="AI60" s="117"/>
      <c r="AJ60" s="117"/>
      <c r="AK60" s="118"/>
      <c r="AL60" s="115"/>
      <c r="AM60" s="107"/>
      <c r="AN60" s="117"/>
      <c r="AO60" s="117"/>
      <c r="AP60" s="117"/>
      <c r="AQ60" s="118"/>
      <c r="AS60" s="107" t="s">
        <v>389</v>
      </c>
      <c r="AT60" s="113">
        <f t="shared" si="118"/>
        <v>180</v>
      </c>
      <c r="AU60" s="113">
        <f t="shared" si="108"/>
        <v>4005</v>
      </c>
      <c r="AV60" s="113">
        <f t="shared" si="109"/>
        <v>7189.1600364848982</v>
      </c>
      <c r="AW60" s="116">
        <f t="shared" si="110"/>
        <v>11374.160036484898</v>
      </c>
      <c r="AX60" s="115"/>
      <c r="AY60" s="107" t="s">
        <v>389</v>
      </c>
      <c r="AZ60" s="117">
        <f t="shared" si="119"/>
        <v>0</v>
      </c>
      <c r="BA60" s="117">
        <f t="shared" si="120"/>
        <v>0</v>
      </c>
      <c r="BB60" s="117">
        <f t="shared" si="121"/>
        <v>24.045033202360884</v>
      </c>
      <c r="BC60" s="118">
        <f t="shared" si="122"/>
        <v>38.04228231647047</v>
      </c>
      <c r="BE60" s="107"/>
      <c r="BF60" s="307">
        <f t="shared" si="123"/>
        <v>0</v>
      </c>
      <c r="BG60" s="307">
        <f t="shared" si="111"/>
        <v>0</v>
      </c>
      <c r="BH60" s="307">
        <f t="shared" si="112"/>
        <v>0</v>
      </c>
      <c r="BI60" s="118"/>
      <c r="BK60" s="107"/>
      <c r="BL60" s="307"/>
      <c r="BM60" s="307"/>
      <c r="BN60" s="307"/>
      <c r="BO60" s="118"/>
      <c r="BQ60" s="107"/>
      <c r="BR60" s="307"/>
      <c r="BS60" s="307"/>
      <c r="BT60" s="307"/>
      <c r="BU60" s="118"/>
      <c r="BW60" t="s">
        <v>133</v>
      </c>
      <c r="BX60">
        <v>-999</v>
      </c>
      <c r="BY60">
        <v>-999</v>
      </c>
      <c r="BZ60">
        <f t="shared" ref="BZ60:CG60" si="128">IF(ISNUMBER(INDEX($BT$57:$BT$70,BZ56,1)),INDEX($BT$57:$BT$70,BZ56,1),0)</f>
        <v>6.364423116095808</v>
      </c>
      <c r="CA60">
        <f>BZ60</f>
        <v>6.364423116095808</v>
      </c>
      <c r="CB60">
        <f t="shared" si="128"/>
        <v>7.047723922725206</v>
      </c>
      <c r="CC60">
        <f>CB60</f>
        <v>7.047723922725206</v>
      </c>
      <c r="CD60">
        <f t="shared" si="128"/>
        <v>8.0143618184170329</v>
      </c>
      <c r="CE60">
        <f t="shared" si="128"/>
        <v>-2.7595760817156316</v>
      </c>
      <c r="CG60">
        <f t="shared" si="128"/>
        <v>0.48503473911514372</v>
      </c>
      <c r="CH60" s="312">
        <v>-999</v>
      </c>
      <c r="CI60" s="312">
        <v>-999</v>
      </c>
      <c r="CJ60" s="312">
        <v>-999</v>
      </c>
      <c r="CK60" s="312">
        <v>-999</v>
      </c>
    </row>
    <row r="61" spans="1:89" x14ac:dyDescent="0.25">
      <c r="A61">
        <v>5</v>
      </c>
      <c r="B61" s="107" t="s">
        <v>390</v>
      </c>
      <c r="C61" s="113">
        <f>INDEX(TourMode_input!$B$4:$J$172,MATCH(TourMode!$A63,modes,0),MATCH("esc",modePurpose,0))</f>
        <v>0</v>
      </c>
      <c r="D61" s="113">
        <f>INDEX(TourMode_input!$B$20:$J$33,MATCH(TourMode!$A63,modes,0),MATCH("esc",modePurpose,0))</f>
        <v>121630.00469</v>
      </c>
      <c r="E61" s="113">
        <f>INDEX(TourMode_input!$B$36:$J$49,MATCH(TourMode!$A63,modes,0),MATCH("esc",modePurpose,0))</f>
        <v>360466.06368000002</v>
      </c>
      <c r="F61" s="116">
        <f t="shared" si="113"/>
        <v>482096.06836999999</v>
      </c>
      <c r="G61" s="300"/>
      <c r="H61" s="300"/>
      <c r="I61" s="300"/>
      <c r="J61" s="115"/>
      <c r="K61">
        <v>5</v>
      </c>
      <c r="L61" s="107" t="s">
        <v>390</v>
      </c>
      <c r="M61" s="113">
        <f t="shared" si="114"/>
        <v>0</v>
      </c>
      <c r="N61" s="113">
        <f t="shared" si="106"/>
        <v>121630.00469</v>
      </c>
      <c r="O61" s="113">
        <f t="shared" si="107"/>
        <v>360466.06368000002</v>
      </c>
      <c r="P61" s="116">
        <f t="shared" si="115"/>
        <v>482096.06836999999</v>
      </c>
      <c r="Q61" s="115"/>
      <c r="R61">
        <v>5</v>
      </c>
      <c r="S61" s="107" t="s">
        <v>390</v>
      </c>
      <c r="T61" s="113">
        <f>IF(M71&gt;0,M61/M71*T71,0)</f>
        <v>0</v>
      </c>
      <c r="U61" s="113">
        <f>IF(N71&gt;0,N61/N71*U71,0)</f>
        <v>192723.67411636299</v>
      </c>
      <c r="V61" s="113">
        <f>IF(O71&gt;0,O61/O71*V71,0)</f>
        <v>398868.35119403555</v>
      </c>
      <c r="W61" s="116">
        <f t="shared" si="116"/>
        <v>591592.02531039855</v>
      </c>
      <c r="X61" s="115"/>
      <c r="Y61" s="115"/>
      <c r="Z61" s="115"/>
      <c r="AA61" s="107" t="s">
        <v>390</v>
      </c>
      <c r="AB61" s="113">
        <f>INDEX(TourMode_input!$L$4:$T$17,MATCH(TourMode!$A63,modes,0),MATCH("esc",modePurpose,0))*Index!$B$2</f>
        <v>0</v>
      </c>
      <c r="AC61" s="113">
        <f>INDEX(TourMode_input!$L$20:$T$33,MATCH(TourMode!$A63,modes,0), MATCH("esc",modePurpose,0))*Index!$B$2</f>
        <v>191145</v>
      </c>
      <c r="AD61" s="113">
        <f>INDEX(TourMode_input!$L$36:$T$49,MATCH(TourMode!$A63,modes,0), MATCH("esc",modePurpose,0))*Index!$B$2</f>
        <v>387215</v>
      </c>
      <c r="AE61" s="116">
        <f t="shared" si="117"/>
        <v>578360</v>
      </c>
      <c r="AG61" s="107" t="s">
        <v>577</v>
      </c>
      <c r="AH61" s="117">
        <f>(T61+T62)/T$70</f>
        <v>0</v>
      </c>
      <c r="AI61" s="117">
        <f>(U61+U62)/U$70</f>
        <v>0.43723676569741049</v>
      </c>
      <c r="AJ61" s="117">
        <f>(V61+V62)/V$70</f>
        <v>0.50766306901895253</v>
      </c>
      <c r="AK61" s="117">
        <f>(W61+W62)/W$70</f>
        <v>0.44954506148295587</v>
      </c>
      <c r="AL61" s="115"/>
      <c r="AM61" s="107" t="s">
        <v>577</v>
      </c>
      <c r="AN61" s="117">
        <f>(AB61+AB62)/AB$53</f>
        <v>0</v>
      </c>
      <c r="AO61" s="117">
        <f>(AC61+AC62)/AC$53</f>
        <v>0.38930614275055958</v>
      </c>
      <c r="AP61" s="117">
        <f>(AD61+AD62)/AD$53</f>
        <v>0.38881585056521889</v>
      </c>
      <c r="AQ61" s="117">
        <f>(AE61+AE62)/AE$53</f>
        <v>0.36727450513202153</v>
      </c>
      <c r="AS61" s="107" t="s">
        <v>390</v>
      </c>
      <c r="AT61" s="113">
        <f t="shared" si="118"/>
        <v>0</v>
      </c>
      <c r="AU61" s="113">
        <f t="shared" si="108"/>
        <v>-1578.6741163629922</v>
      </c>
      <c r="AV61" s="113">
        <f t="shared" si="109"/>
        <v>-11653.351194035553</v>
      </c>
      <c r="AW61" s="116">
        <f t="shared" si="110"/>
        <v>-13232.025310398545</v>
      </c>
      <c r="AX61" s="115"/>
      <c r="AY61" s="107" t="s">
        <v>390</v>
      </c>
      <c r="AZ61" s="117">
        <f t="shared" si="119"/>
        <v>0</v>
      </c>
      <c r="BA61" s="117">
        <f t="shared" si="120"/>
        <v>-1.2979314770122551E-2</v>
      </c>
      <c r="BB61" s="117">
        <f t="shared" si="121"/>
        <v>-3.2328566731265704E-2</v>
      </c>
      <c r="BC61" s="118">
        <f t="shared" si="122"/>
        <v>-2.7446864180280361E-2</v>
      </c>
      <c r="BE61" s="107" t="s">
        <v>577</v>
      </c>
      <c r="BF61" s="307">
        <f t="shared" si="123"/>
        <v>0</v>
      </c>
      <c r="BG61" s="307">
        <f t="shared" si="111"/>
        <v>0.11610881285505856</v>
      </c>
      <c r="BH61" s="307">
        <f t="shared" si="112"/>
        <v>0.26671213789827769</v>
      </c>
      <c r="BI61" s="118"/>
      <c r="BK61" s="107" t="s">
        <v>577</v>
      </c>
      <c r="BL61" s="307">
        <v>-7.8071540688980825</v>
      </c>
      <c r="BM61" s="307">
        <v>5.7717239377481517</v>
      </c>
      <c r="BN61" s="307">
        <v>6.9143678537760671</v>
      </c>
      <c r="BO61" s="118"/>
      <c r="BQ61" s="107" t="s">
        <v>577</v>
      </c>
      <c r="BR61" s="307">
        <f t="shared" ref="BR61:BR69" si="129">(BF61-BF$59)*$BR$1+BL61</f>
        <v>-7.854056911176281</v>
      </c>
      <c r="BS61" s="307">
        <f t="shared" si="125"/>
        <v>5.829778344175681</v>
      </c>
      <c r="BT61" s="307">
        <f t="shared" si="126"/>
        <v>7.047723922725206</v>
      </c>
      <c r="BU61" s="118"/>
    </row>
    <row r="62" spans="1:89" x14ac:dyDescent="0.25">
      <c r="A62">
        <v>6</v>
      </c>
      <c r="B62" s="107" t="s">
        <v>391</v>
      </c>
      <c r="C62" s="113">
        <f>INDEX(TourMode_input!$B$4:$J$172,MATCH(TourMode!$A64,modes,0),MATCH("esc",modePurpose,0))</f>
        <v>0</v>
      </c>
      <c r="D62" s="113">
        <f>INDEX(TourMode_input!$B$20:$J$33,MATCH(TourMode!$A64,modes,0),MATCH("esc",modePurpose,0))</f>
        <v>3083.2808599999998</v>
      </c>
      <c r="E62" s="113">
        <f>INDEX(TourMode_input!$B$36:$J$49,MATCH(TourMode!$A64,modes,0),MATCH("esc",modePurpose,0))</f>
        <v>1465.8073899999999</v>
      </c>
      <c r="F62" s="116">
        <f t="shared" si="113"/>
        <v>4549.0882499999998</v>
      </c>
      <c r="G62" s="300"/>
      <c r="H62" s="300"/>
      <c r="I62" s="300"/>
      <c r="J62" s="115"/>
      <c r="K62">
        <v>6</v>
      </c>
      <c r="L62" s="107" t="s">
        <v>391</v>
      </c>
      <c r="M62" s="113">
        <f t="shared" si="114"/>
        <v>0</v>
      </c>
      <c r="N62" s="113">
        <f t="shared" si="106"/>
        <v>3083.2808599999998</v>
      </c>
      <c r="O62" s="113">
        <f t="shared" si="107"/>
        <v>1465.8073899999999</v>
      </c>
      <c r="P62" s="116">
        <f t="shared" si="115"/>
        <v>4549.0882499999998</v>
      </c>
      <c r="Q62" s="115"/>
      <c r="R62">
        <v>6</v>
      </c>
      <c r="S62" s="107" t="s">
        <v>391</v>
      </c>
      <c r="T62" s="113">
        <f>IF(M71&gt;0,M62/M71*T71,0)</f>
        <v>0</v>
      </c>
      <c r="U62" s="113">
        <f>IF(N71&gt;0,N62/N71*U71,0)</f>
        <v>4885.4821405816665</v>
      </c>
      <c r="V62" s="113">
        <f>IF(O71&gt;0,O62/O71*V71,0)</f>
        <v>1621.9673243258821</v>
      </c>
      <c r="W62" s="116">
        <f t="shared" si="116"/>
        <v>6507.4494649075486</v>
      </c>
      <c r="X62" s="115"/>
      <c r="Y62" s="115"/>
      <c r="Z62" s="115"/>
      <c r="AA62" s="107" t="s">
        <v>391</v>
      </c>
      <c r="AB62" s="113">
        <f>INDEX(TourMode_input!$L$4:$T$17,MATCH(TourMode!$A64,modes,0),MATCH("esc",modePurpose,0))*Index!$B$2</f>
        <v>0</v>
      </c>
      <c r="AC62" s="113">
        <f>INDEX(TourMode_input!$L$20:$T$33,MATCH(TourMode!$A64,modes,0), MATCH("esc",modePurpose,0))*Index!$B$2</f>
        <v>4530</v>
      </c>
      <c r="AD62" s="113">
        <f>INDEX(TourMode_input!$L$36:$T$49,MATCH(TourMode!$A64,modes,0), MATCH("esc",modePurpose,0))*Index!$B$2</f>
        <v>10565</v>
      </c>
      <c r="AE62" s="116">
        <f t="shared" si="117"/>
        <v>15095</v>
      </c>
      <c r="AG62" s="107"/>
      <c r="AH62" s="117"/>
      <c r="AI62" s="117"/>
      <c r="AJ62" s="117"/>
      <c r="AK62" s="118"/>
      <c r="AL62" s="115"/>
      <c r="AM62" s="107"/>
      <c r="AN62" s="117"/>
      <c r="AO62" s="117"/>
      <c r="AP62" s="117"/>
      <c r="AQ62" s="118"/>
      <c r="AS62" s="107" t="s">
        <v>391</v>
      </c>
      <c r="AT62" s="113">
        <f t="shared" si="118"/>
        <v>0</v>
      </c>
      <c r="AU62" s="113">
        <f t="shared" si="108"/>
        <v>-355.4821405816665</v>
      </c>
      <c r="AV62" s="113">
        <f t="shared" si="109"/>
        <v>8943.0326756741179</v>
      </c>
      <c r="AW62" s="116">
        <f t="shared" si="110"/>
        <v>8587.5505350924504</v>
      </c>
      <c r="AX62" s="115"/>
      <c r="AY62" s="107" t="s">
        <v>391</v>
      </c>
      <c r="AZ62" s="117">
        <f t="shared" si="119"/>
        <v>0</v>
      </c>
      <c r="BA62" s="117">
        <f t="shared" si="120"/>
        <v>-0.11529346716136217</v>
      </c>
      <c r="BB62" s="117">
        <f t="shared" si="121"/>
        <v>6.1010967311838415</v>
      </c>
      <c r="BC62" s="118">
        <f t="shared" si="122"/>
        <v>1.88775202043892</v>
      </c>
      <c r="BE62" s="107"/>
      <c r="BF62" s="307">
        <f t="shared" si="123"/>
        <v>0</v>
      </c>
      <c r="BG62" s="307">
        <f t="shared" si="111"/>
        <v>0</v>
      </c>
      <c r="BH62" s="307">
        <f t="shared" si="112"/>
        <v>0</v>
      </c>
      <c r="BI62" s="118"/>
      <c r="BK62" s="107"/>
      <c r="BL62" s="307"/>
      <c r="BM62" s="307"/>
      <c r="BN62" s="307"/>
      <c r="BO62" s="118"/>
      <c r="BQ62" s="107"/>
      <c r="BR62" s="307"/>
      <c r="BS62" s="307"/>
      <c r="BT62" s="307"/>
      <c r="BU62" s="118"/>
    </row>
    <row r="63" spans="1:89" x14ac:dyDescent="0.25">
      <c r="A63">
        <v>7</v>
      </c>
      <c r="B63" s="107" t="s">
        <v>392</v>
      </c>
      <c r="C63" s="113">
        <f>INDEX(TourMode_input!$B$4:$J$172,MATCH(TourMode!$A65,modes,0),MATCH("esc",modePurpose,0))</f>
        <v>8816.3824700000005</v>
      </c>
      <c r="D63" s="113">
        <f>INDEX(TourMode_input!$B$20:$J$33,MATCH(TourMode!$A65,modes,0),MATCH("esc",modePurpose,0))</f>
        <v>53347.687879999998</v>
      </c>
      <c r="E63" s="113">
        <f>INDEX(TourMode_input!$B$36:$J$49,MATCH(TourMode!$A65,modes,0),MATCH("esc",modePurpose,0))</f>
        <v>59287.99654</v>
      </c>
      <c r="F63" s="116">
        <f t="shared" si="113"/>
        <v>121452.06688999999</v>
      </c>
      <c r="G63" s="300"/>
      <c r="H63" s="300"/>
      <c r="I63" s="300"/>
      <c r="J63" s="115"/>
      <c r="K63">
        <v>7</v>
      </c>
      <c r="L63" s="107" t="s">
        <v>392</v>
      </c>
      <c r="M63" s="113">
        <f t="shared" si="114"/>
        <v>8816.3824700000005</v>
      </c>
      <c r="N63" s="113">
        <f t="shared" si="106"/>
        <v>53347.687879999998</v>
      </c>
      <c r="O63" s="113">
        <f t="shared" si="107"/>
        <v>59287.99654</v>
      </c>
      <c r="P63" s="116">
        <f t="shared" si="115"/>
        <v>121452.06688999999</v>
      </c>
      <c r="Q63" s="115"/>
      <c r="R63">
        <v>7</v>
      </c>
      <c r="S63" s="107" t="s">
        <v>392</v>
      </c>
      <c r="T63" s="113">
        <f>IF(M71&gt;0,M63/M71*T71,0)</f>
        <v>69290.789379116686</v>
      </c>
      <c r="U63" s="113">
        <f>IF(N71&gt;0,N63/N71*U71,0)</f>
        <v>84529.820088807945</v>
      </c>
      <c r="V63" s="113">
        <f>IF(O71&gt;0,O63/O71*V71,0)</f>
        <v>65604.249077108267</v>
      </c>
      <c r="W63" s="116">
        <f t="shared" si="116"/>
        <v>219424.85854503291</v>
      </c>
      <c r="X63" s="115"/>
      <c r="Y63" s="115"/>
      <c r="Z63" s="115"/>
      <c r="AA63" s="107" t="s">
        <v>392</v>
      </c>
      <c r="AB63" s="113">
        <f>INDEX(TourMode_input!$L$4:$T$17,MATCH(TourMode!$A65,modes,0),MATCH("esc",modePurpose,0))*Index!$B$2</f>
        <v>71155</v>
      </c>
      <c r="AC63" s="113">
        <f>INDEX(TourMode_input!$L$20:$T$33,MATCH(TourMode!$A65,modes,0), MATCH("esc",modePurpose,0))*Index!$B$2</f>
        <v>91665</v>
      </c>
      <c r="AD63" s="113">
        <f>INDEX(TourMode_input!$L$36:$T$49,MATCH(TourMode!$A65,modes,0), MATCH("esc",modePurpose,0))*Index!$B$2</f>
        <v>71550</v>
      </c>
      <c r="AE63" s="116">
        <f t="shared" si="117"/>
        <v>234370</v>
      </c>
      <c r="AG63" s="107" t="s">
        <v>392</v>
      </c>
      <c r="AH63" s="117">
        <f t="shared" ref="AH63:AH70" si="130">T63/T$70</f>
        <v>0.77320526004705348</v>
      </c>
      <c r="AI63" s="117">
        <f t="shared" ref="AI63:AI70" si="131">U63/U$70</f>
        <v>0.18703356585641762</v>
      </c>
      <c r="AJ63" s="117">
        <f t="shared" ref="AJ63:AJ70" si="132">V63/V$70</f>
        <v>8.3160198604505409E-2</v>
      </c>
      <c r="AK63" s="118">
        <f t="shared" ref="AK63:AK70" si="133">W63/W$70</f>
        <v>0.16492467505104111</v>
      </c>
      <c r="AL63" s="115"/>
      <c r="AM63" s="107" t="s">
        <v>392</v>
      </c>
      <c r="AN63" s="117">
        <f t="shared" ref="AN63:AN70" si="134">AB63/AB$53</f>
        <v>0.78925184404636461</v>
      </c>
      <c r="AO63" s="117">
        <f t="shared" ref="AO63:AQ70" si="135">AC63/AC$53</f>
        <v>0.18237254414324794</v>
      </c>
      <c r="AP63" s="117">
        <f t="shared" si="135"/>
        <v>6.9937588888182939E-2</v>
      </c>
      <c r="AQ63" s="118">
        <f t="shared" si="135"/>
        <v>0.1450457503396077</v>
      </c>
      <c r="AS63" s="107" t="s">
        <v>392</v>
      </c>
      <c r="AT63" s="113">
        <f t="shared" si="118"/>
        <v>1864.2106208833138</v>
      </c>
      <c r="AU63" s="113">
        <f t="shared" si="108"/>
        <v>7135.1799111920554</v>
      </c>
      <c r="AV63" s="113">
        <f t="shared" si="109"/>
        <v>5945.7509228917334</v>
      </c>
      <c r="AW63" s="116">
        <f t="shared" si="110"/>
        <v>14945.141454967088</v>
      </c>
      <c r="AX63" s="115"/>
      <c r="AY63" s="107" t="s">
        <v>392</v>
      </c>
      <c r="AZ63" s="117">
        <f t="shared" si="119"/>
        <v>0.21144847415896123</v>
      </c>
      <c r="BA63" s="117">
        <f t="shared" si="120"/>
        <v>0.13374862519331468</v>
      </c>
      <c r="BB63" s="117">
        <f t="shared" si="121"/>
        <v>0.1002859140109465</v>
      </c>
      <c r="BC63" s="118">
        <f t="shared" si="122"/>
        <v>0.12305382557633218</v>
      </c>
      <c r="BE63" s="107" t="s">
        <v>392</v>
      </c>
      <c r="BF63" s="307">
        <f t="shared" si="123"/>
        <v>-2.0540913620486094E-2</v>
      </c>
      <c r="BG63" s="307">
        <f t="shared" si="111"/>
        <v>2.5236556525702315E-2</v>
      </c>
      <c r="BH63" s="307">
        <f t="shared" si="112"/>
        <v>0.17316559417121385</v>
      </c>
      <c r="BI63" s="118"/>
      <c r="BK63" s="107" t="s">
        <v>392</v>
      </c>
      <c r="BL63" s="307">
        <v>1.9584405623823096</v>
      </c>
      <c r="BM63" s="307">
        <v>7.1905016738782042</v>
      </c>
      <c r="BN63" s="307">
        <v>7.9277790213314265</v>
      </c>
      <c r="BO63" s="118"/>
      <c r="BQ63" s="107" t="s">
        <v>392</v>
      </c>
      <c r="BR63" s="307">
        <f t="shared" si="129"/>
        <v>1.9012672632938676</v>
      </c>
      <c r="BS63" s="307">
        <f t="shared" si="125"/>
        <v>7.2031199521410549</v>
      </c>
      <c r="BT63" s="307">
        <f t="shared" si="126"/>
        <v>8.0143618184170329</v>
      </c>
      <c r="BU63" s="118"/>
    </row>
    <row r="64" spans="1:89" x14ac:dyDescent="0.25">
      <c r="A64">
        <v>8</v>
      </c>
      <c r="B64" s="107" t="s">
        <v>393</v>
      </c>
      <c r="C64" s="113">
        <f>INDEX(TourMode_input!$B$4:$J$172,MATCH(TourMode!$A66,modes,0),MATCH("esc",modePurpose,0))</f>
        <v>493.64591999999999</v>
      </c>
      <c r="D64" s="113">
        <f>INDEX(TourMode_input!$B$20:$J$33,MATCH(TourMode!$A66,modes,0),MATCH("esc",modePurpose,0))</f>
        <v>406.69186999999999</v>
      </c>
      <c r="E64" s="113">
        <f>INDEX(TourMode_input!$B$36:$J$49,MATCH(TourMode!$A66,modes,0),MATCH("esc",modePurpose,0))</f>
        <v>1845.39482</v>
      </c>
      <c r="F64" s="116">
        <f t="shared" si="113"/>
        <v>2745.73261</v>
      </c>
      <c r="G64" s="300"/>
      <c r="H64" s="300"/>
      <c r="I64" s="300"/>
      <c r="J64" s="115"/>
      <c r="K64">
        <v>8</v>
      </c>
      <c r="L64" s="107" t="s">
        <v>393</v>
      </c>
      <c r="M64" s="113">
        <f t="shared" si="114"/>
        <v>493.64591999999999</v>
      </c>
      <c r="N64" s="113">
        <f t="shared" si="106"/>
        <v>406.69186999999999</v>
      </c>
      <c r="O64" s="113">
        <f t="shared" si="107"/>
        <v>1845.39482</v>
      </c>
      <c r="P64" s="116">
        <f t="shared" si="115"/>
        <v>2745.73261</v>
      </c>
      <c r="Q64" s="115"/>
      <c r="R64">
        <v>8</v>
      </c>
      <c r="S64" s="107" t="s">
        <v>393</v>
      </c>
      <c r="T64" s="113">
        <f>IF(M71&gt;0,M64/M71*T71,0)</f>
        <v>3879.7222769057439</v>
      </c>
      <c r="U64" s="113">
        <f>IF(N71&gt;0,N64/N71*U71,0)</f>
        <v>644.40638327212309</v>
      </c>
      <c r="V64" s="113">
        <f>IF(O71&gt;0,O64/O71*V71,0)</f>
        <v>2041.9941384797107</v>
      </c>
      <c r="W64" s="116">
        <f t="shared" si="116"/>
        <v>6566.1227986575777</v>
      </c>
      <c r="X64" s="115"/>
      <c r="Y64" s="115"/>
      <c r="Z64" s="115"/>
      <c r="AA64" s="107" t="s">
        <v>393</v>
      </c>
      <c r="AB64" s="113">
        <f>INDEX(TourMode_input!$L$4:$T$17,MATCH(TourMode!$A66,modes,0),MATCH("esc",modePurpose,0))*Index!$B$2</f>
        <v>4705</v>
      </c>
      <c r="AC64" s="113">
        <f>INDEX(TourMode_input!$L$20:$T$33,MATCH(TourMode!$A66,modes,0), MATCH("esc",modePurpose,0))*Index!$B$2</f>
        <v>0</v>
      </c>
      <c r="AD64" s="113">
        <f>INDEX(TourMode_input!$L$36:$T$49,MATCH(TourMode!$A66,modes,0), MATCH("esc",modePurpose,0))*Index!$B$2</f>
        <v>0</v>
      </c>
      <c r="AE64" s="116">
        <f t="shared" si="117"/>
        <v>4705</v>
      </c>
      <c r="AG64" s="107" t="s">
        <v>393</v>
      </c>
      <c r="AH64" s="117">
        <f t="shared" si="130"/>
        <v>4.3293224090897107E-2</v>
      </c>
      <c r="AI64" s="117">
        <f t="shared" si="131"/>
        <v>1.4258355642706563E-3</v>
      </c>
      <c r="AJ64" s="117">
        <f t="shared" si="132"/>
        <v>2.5884396284395934E-3</v>
      </c>
      <c r="AK64" s="118">
        <f t="shared" si="133"/>
        <v>4.935246061428292E-3</v>
      </c>
      <c r="AL64" s="115"/>
      <c r="AM64" s="107" t="s">
        <v>393</v>
      </c>
      <c r="AN64" s="117">
        <f t="shared" si="134"/>
        <v>5.2187898619044978E-2</v>
      </c>
      <c r="AO64" s="117">
        <f t="shared" si="135"/>
        <v>0</v>
      </c>
      <c r="AP64" s="117">
        <f t="shared" si="135"/>
        <v>0</v>
      </c>
      <c r="AQ64" s="118">
        <f t="shared" si="135"/>
        <v>2.9118072080379495E-3</v>
      </c>
      <c r="AS64" s="107" t="s">
        <v>393</v>
      </c>
      <c r="AT64" s="113">
        <f t="shared" si="118"/>
        <v>825.27772309425609</v>
      </c>
      <c r="AU64" s="113">
        <f t="shared" si="108"/>
        <v>-644.40638327212309</v>
      </c>
      <c r="AV64" s="113">
        <f t="shared" si="109"/>
        <v>-2041.9941384797107</v>
      </c>
      <c r="AW64" s="116">
        <f t="shared" si="110"/>
        <v>-1861.1227986575777</v>
      </c>
      <c r="AX64" s="115"/>
      <c r="AY64" s="107" t="s">
        <v>393</v>
      </c>
      <c r="AZ64" s="117">
        <f t="shared" si="119"/>
        <v>1.6718009602799029</v>
      </c>
      <c r="BA64" s="117">
        <f t="shared" si="120"/>
        <v>-1.5845076599936043</v>
      </c>
      <c r="BB64" s="117">
        <f t="shared" si="121"/>
        <v>-1.1065350982613633</v>
      </c>
      <c r="BC64" s="118">
        <f t="shared" si="122"/>
        <v>-0.6778237589047601</v>
      </c>
      <c r="BE64" s="107" t="s">
        <v>393</v>
      </c>
      <c r="BF64" s="307">
        <f t="shared" si="123"/>
        <v>-0.18685450553630176</v>
      </c>
      <c r="BG64" s="307">
        <f t="shared" si="111"/>
        <v>0</v>
      </c>
      <c r="BH64" s="307">
        <f t="shared" si="112"/>
        <v>0</v>
      </c>
      <c r="BI64" s="118"/>
      <c r="BK64" s="107" t="s">
        <v>393</v>
      </c>
      <c r="BL64" s="307">
        <v>1.1069303223709122</v>
      </c>
      <c r="BM64" s="307">
        <v>-5.8170769848628154</v>
      </c>
      <c r="BN64" s="307">
        <v>-2.7595760817156316</v>
      </c>
      <c r="BO64" s="118"/>
      <c r="BQ64" s="107" t="s">
        <v>393</v>
      </c>
      <c r="BR64" s="307">
        <f t="shared" si="129"/>
        <v>0.96660022732456241</v>
      </c>
      <c r="BS64" s="307">
        <f t="shared" si="125"/>
        <v>-5.8170769848628154</v>
      </c>
      <c r="BT64" s="307">
        <f t="shared" si="126"/>
        <v>-2.7595760817156316</v>
      </c>
      <c r="BU64" s="118"/>
    </row>
    <row r="65" spans="1:89" x14ac:dyDescent="0.25">
      <c r="A65">
        <v>10</v>
      </c>
      <c r="B65" s="107" t="s">
        <v>555</v>
      </c>
      <c r="C65" s="113">
        <f>INDEX(TourMode_input!$B$4:$J$172,MATCH(TourMode!$A68,modes,0),MATCH("esc",modePurpose,0))+INDEX(TourMode_input!$B$4:$J$172,MATCH(TourMode!$A67,modes,0),MATCH("esc",modePurpose,0))</f>
        <v>2580.1473000000001</v>
      </c>
      <c r="D65" s="113">
        <f>INDEX(TourMode_input!$B$20:$J$33,MATCH(TourMode!$A68,modes,0),MATCH("esc",modePurpose,0))+INDEX(TourMode_input!$B$20:$J$33,MATCH(TourMode!$A67,modes,0),MATCH("esc",modePurpose,0))</f>
        <v>2475.8731699999998</v>
      </c>
      <c r="E65" s="113">
        <f>INDEX(TourMode_input!$B$36:$J$49,MATCH(TourMode!$A68,modes,0),MATCH("esc",modePurpose,0))+INDEX(TourMode_input!$B$36:$J$49,MATCH(TourMode!$A67,modes,0),MATCH("esc",modePurpose,0))</f>
        <v>1268.1217200000001</v>
      </c>
      <c r="F65" s="116">
        <f t="shared" si="113"/>
        <v>6324.1421899999996</v>
      </c>
      <c r="G65" s="300"/>
      <c r="H65" s="302">
        <f>F65/F$167</f>
        <v>1.072668613246377E-2</v>
      </c>
      <c r="I65" s="300">
        <f>H65*H$167</f>
        <v>7057.3312119371149</v>
      </c>
      <c r="J65" s="115"/>
      <c r="K65">
        <v>10</v>
      </c>
      <c r="L65" s="107" t="s">
        <v>546</v>
      </c>
      <c r="M65" s="113">
        <f t="shared" ref="M65:O67" si="136">IF($F65&gt;0,C65/$F65*$I65,0)</f>
        <v>2879.2765128649453</v>
      </c>
      <c r="N65" s="113">
        <f t="shared" si="136"/>
        <v>2762.913368245866</v>
      </c>
      <c r="O65" s="113">
        <f t="shared" si="136"/>
        <v>1415.1413308263045</v>
      </c>
      <c r="P65" s="116">
        <f t="shared" si="115"/>
        <v>7057.3312119371158</v>
      </c>
      <c r="Q65" s="115"/>
      <c r="R65">
        <v>10</v>
      </c>
      <c r="S65" s="107" t="s">
        <v>546</v>
      </c>
      <c r="T65" s="113">
        <f t="shared" ref="T65:V67" si="137">M65</f>
        <v>2879.2765128649453</v>
      </c>
      <c r="U65" s="113">
        <f t="shared" si="137"/>
        <v>2762.913368245866</v>
      </c>
      <c r="V65" s="113">
        <f t="shared" si="137"/>
        <v>1415.1413308263045</v>
      </c>
      <c r="W65" s="116">
        <f t="shared" si="116"/>
        <v>7057.3312119371158</v>
      </c>
      <c r="X65" s="115"/>
      <c r="Y65" s="115"/>
      <c r="Z65" s="115"/>
      <c r="AA65" s="107" t="s">
        <v>546</v>
      </c>
      <c r="AB65" s="113">
        <f>INDEX(TourMode_input!$L$4:$T$17,MATCH(TourMode!$A68,modes,0),MATCH("esc",modePurpose,0))*Index!$B$2</f>
        <v>1330</v>
      </c>
      <c r="AC65" s="113">
        <f>INDEX(TourMode_input!$L$20:$T$33,MATCH(TourMode!$A68,modes,0), MATCH("esc",modePurpose,0))*Index!$B$2</f>
        <v>1355</v>
      </c>
      <c r="AD65" s="113">
        <f>INDEX(TourMode_input!$L$36:$T$49,MATCH(TourMode!$A68,modes,0), MATCH("esc",modePurpose,0))*Index!$B$2</f>
        <v>825</v>
      </c>
      <c r="AE65" s="116">
        <f t="shared" si="117"/>
        <v>3510</v>
      </c>
      <c r="AG65" s="107" t="s">
        <v>395</v>
      </c>
      <c r="AH65" s="117">
        <f t="shared" si="130"/>
        <v>3.2129403703229878E-2</v>
      </c>
      <c r="AI65" s="117">
        <f t="shared" si="131"/>
        <v>6.1133164470535814E-3</v>
      </c>
      <c r="AJ65" s="117">
        <f t="shared" si="132"/>
        <v>1.7938385970494046E-3</v>
      </c>
      <c r="AK65" s="118">
        <f t="shared" si="133"/>
        <v>5.3044493890714948E-3</v>
      </c>
      <c r="AL65" s="115"/>
      <c r="AM65" s="107" t="s">
        <v>395</v>
      </c>
      <c r="AN65" s="117">
        <f t="shared" si="134"/>
        <v>1.4752370916754479E-2</v>
      </c>
      <c r="AO65" s="117">
        <f t="shared" si="135"/>
        <v>2.695846804277543E-3</v>
      </c>
      <c r="AP65" s="117">
        <f t="shared" si="135"/>
        <v>8.0640825762055802E-4</v>
      </c>
      <c r="AQ65" s="118">
        <f t="shared" si="135"/>
        <v>2.1722514984512651E-3</v>
      </c>
      <c r="AS65" s="107" t="s">
        <v>395</v>
      </c>
      <c r="AT65" s="113">
        <f t="shared" si="118"/>
        <v>-1549.2765128649453</v>
      </c>
      <c r="AU65" s="113">
        <f t="shared" si="108"/>
        <v>-1407.913368245866</v>
      </c>
      <c r="AV65" s="113">
        <f t="shared" si="109"/>
        <v>-590.14133082630451</v>
      </c>
      <c r="AW65" s="116">
        <f t="shared" si="110"/>
        <v>-3547.3312119371158</v>
      </c>
      <c r="AX65" s="115"/>
      <c r="AY65" s="107" t="s">
        <v>395</v>
      </c>
      <c r="AZ65" s="117">
        <f t="shared" si="119"/>
        <v>-0.6004604903235351</v>
      </c>
      <c r="BA65" s="117">
        <f t="shared" si="120"/>
        <v>-0.56865326758473089</v>
      </c>
      <c r="BB65" s="117">
        <f t="shared" si="121"/>
        <v>-0.46536647193954256</v>
      </c>
      <c r="BC65" s="118">
        <f t="shared" si="122"/>
        <v>-0.56091895238318734</v>
      </c>
      <c r="BE65" s="107" t="s">
        <v>395</v>
      </c>
      <c r="BF65" s="307">
        <f t="shared" si="123"/>
        <v>0.77836780408945916</v>
      </c>
      <c r="BG65" s="307">
        <f t="shared" si="111"/>
        <v>0.81875704785505521</v>
      </c>
      <c r="BH65" s="307">
        <f t="shared" si="112"/>
        <v>0.79952293300194088</v>
      </c>
      <c r="BI65" s="118"/>
      <c r="BK65" s="107" t="s">
        <v>395</v>
      </c>
      <c r="BL65" s="307">
        <v>-3.3695766660121307</v>
      </c>
      <c r="BM65" s="307">
        <v>-7.2572370307489253E-2</v>
      </c>
      <c r="BN65" s="307">
        <v>8.5273272614173279E-2</v>
      </c>
      <c r="BO65" s="118"/>
      <c r="BQ65" s="107" t="s">
        <v>395</v>
      </c>
      <c r="BR65" s="307">
        <f t="shared" si="129"/>
        <v>-3.0272956062456</v>
      </c>
      <c r="BS65" s="307">
        <f t="shared" si="125"/>
        <v>0.33680615362003835</v>
      </c>
      <c r="BT65" s="307">
        <f t="shared" si="126"/>
        <v>0.48503473911514372</v>
      </c>
      <c r="BU65" s="118"/>
    </row>
    <row r="66" spans="1:89" x14ac:dyDescent="0.25">
      <c r="A66">
        <v>11</v>
      </c>
      <c r="B66" s="107" t="s">
        <v>556</v>
      </c>
      <c r="C66" s="113">
        <f>INDEX(TourMode_input!$B$4:$J$172,MATCH(TourMode!$A69,modes,0),MATCH("esc",modePurpose,0))</f>
        <v>0</v>
      </c>
      <c r="D66" s="297">
        <v>0</v>
      </c>
      <c r="E66" s="297">
        <v>0</v>
      </c>
      <c r="F66" s="116">
        <f t="shared" si="113"/>
        <v>0</v>
      </c>
      <c r="G66" s="300"/>
      <c r="H66" s="302">
        <f>F66/F$168</f>
        <v>0</v>
      </c>
      <c r="I66" s="300">
        <f>H66*H$168</f>
        <v>0</v>
      </c>
      <c r="J66" s="115"/>
      <c r="K66">
        <v>11</v>
      </c>
      <c r="L66" s="107" t="s">
        <v>559</v>
      </c>
      <c r="M66" s="113">
        <f t="shared" si="136"/>
        <v>0</v>
      </c>
      <c r="N66" s="113">
        <f t="shared" si="136"/>
        <v>0</v>
      </c>
      <c r="O66" s="113">
        <f t="shared" si="136"/>
        <v>0</v>
      </c>
      <c r="P66" s="116">
        <f t="shared" si="115"/>
        <v>0</v>
      </c>
      <c r="Q66" s="115"/>
      <c r="R66">
        <v>11</v>
      </c>
      <c r="S66" s="107" t="s">
        <v>559</v>
      </c>
      <c r="T66" s="113">
        <f t="shared" si="137"/>
        <v>0</v>
      </c>
      <c r="U66" s="113">
        <f t="shared" si="137"/>
        <v>0</v>
      </c>
      <c r="V66" s="113">
        <f t="shared" si="137"/>
        <v>0</v>
      </c>
      <c r="W66" s="116">
        <f t="shared" si="116"/>
        <v>0</v>
      </c>
      <c r="X66" s="115"/>
      <c r="Y66" s="115"/>
      <c r="Z66" s="115"/>
      <c r="AA66" s="107" t="s">
        <v>559</v>
      </c>
      <c r="AB66" s="113">
        <f>INDEX(TourMode_input!$L$4:$T$17,MATCH(TourMode!$A69,modes,0),MATCH("esc",modePurpose,0))*Index!$B$2</f>
        <v>0</v>
      </c>
      <c r="AC66" s="113">
        <f>INDEX(TourMode_input!$L$20:$T$33,MATCH(TourMode!$A69,modes,0), MATCH("esc",modePurpose,0))*Index!$B$2</f>
        <v>0</v>
      </c>
      <c r="AD66" s="113">
        <f>INDEX(TourMode_input!$L$36:$T$49,MATCH(TourMode!$A69,modes,0), MATCH("esc",modePurpose,0))*Index!$B$2</f>
        <v>0</v>
      </c>
      <c r="AE66" s="116">
        <f t="shared" si="117"/>
        <v>0</v>
      </c>
      <c r="AG66" s="107" t="s">
        <v>396</v>
      </c>
      <c r="AH66" s="117">
        <f t="shared" si="130"/>
        <v>0</v>
      </c>
      <c r="AI66" s="117">
        <f t="shared" si="131"/>
        <v>0</v>
      </c>
      <c r="AJ66" s="117">
        <f t="shared" si="132"/>
        <v>0</v>
      </c>
      <c r="AK66" s="118">
        <f t="shared" si="133"/>
        <v>0</v>
      </c>
      <c r="AL66" s="115"/>
      <c r="AM66" s="107" t="s">
        <v>396</v>
      </c>
      <c r="AN66" s="117">
        <f t="shared" si="134"/>
        <v>0</v>
      </c>
      <c r="AO66" s="117">
        <f t="shared" si="135"/>
        <v>0</v>
      </c>
      <c r="AP66" s="117">
        <f t="shared" si="135"/>
        <v>0</v>
      </c>
      <c r="AQ66" s="118">
        <f t="shared" si="135"/>
        <v>0</v>
      </c>
      <c r="AS66" s="107" t="s">
        <v>396</v>
      </c>
      <c r="AT66" s="113">
        <f t="shared" si="118"/>
        <v>0</v>
      </c>
      <c r="AU66" s="113">
        <f t="shared" si="108"/>
        <v>0</v>
      </c>
      <c r="AV66" s="113">
        <f t="shared" si="109"/>
        <v>0</v>
      </c>
      <c r="AW66" s="116">
        <f t="shared" si="110"/>
        <v>0</v>
      </c>
      <c r="AX66" s="115"/>
      <c r="AY66" s="107" t="s">
        <v>396</v>
      </c>
      <c r="AZ66" s="117">
        <f t="shared" si="119"/>
        <v>0</v>
      </c>
      <c r="BA66" s="117">
        <f t="shared" si="120"/>
        <v>0</v>
      </c>
      <c r="BB66" s="117">
        <f t="shared" si="121"/>
        <v>0</v>
      </c>
      <c r="BC66" s="118">
        <f t="shared" si="122"/>
        <v>0</v>
      </c>
      <c r="BE66" s="107" t="s">
        <v>396</v>
      </c>
      <c r="BF66" s="307">
        <f t="shared" si="123"/>
        <v>0</v>
      </c>
      <c r="BG66" s="307">
        <f t="shared" si="111"/>
        <v>0</v>
      </c>
      <c r="BH66" s="307">
        <f t="shared" si="112"/>
        <v>0</v>
      </c>
      <c r="BI66" s="118"/>
      <c r="BK66" s="107" t="s">
        <v>396</v>
      </c>
      <c r="BL66" s="307">
        <v>-7.8071540688980825</v>
      </c>
      <c r="BM66" s="307">
        <v>0</v>
      </c>
      <c r="BN66" s="307">
        <v>0</v>
      </c>
      <c r="BO66" s="118"/>
      <c r="BQ66" s="107" t="s">
        <v>396</v>
      </c>
      <c r="BR66" s="307">
        <f t="shared" si="129"/>
        <v>-7.854056911176281</v>
      </c>
      <c r="BS66" s="307">
        <f t="shared" si="125"/>
        <v>0</v>
      </c>
      <c r="BT66" s="307">
        <f t="shared" si="126"/>
        <v>0</v>
      </c>
      <c r="BU66" s="118"/>
    </row>
    <row r="67" spans="1:89" x14ac:dyDescent="0.25">
      <c r="A67">
        <v>12</v>
      </c>
      <c r="B67" s="107" t="s">
        <v>557</v>
      </c>
      <c r="C67" s="297">
        <v>0</v>
      </c>
      <c r="D67" s="297">
        <v>0</v>
      </c>
      <c r="E67" s="297">
        <v>0</v>
      </c>
      <c r="F67" s="116">
        <f t="shared" si="113"/>
        <v>0</v>
      </c>
      <c r="G67" s="300"/>
      <c r="H67" s="302">
        <f>F67/F$169</f>
        <v>0</v>
      </c>
      <c r="I67" s="300">
        <f>H67*H$169</f>
        <v>0</v>
      </c>
      <c r="J67" s="115"/>
      <c r="K67">
        <v>12</v>
      </c>
      <c r="L67" s="107" t="s">
        <v>560</v>
      </c>
      <c r="M67" s="113">
        <f t="shared" si="136"/>
        <v>0</v>
      </c>
      <c r="N67" s="113">
        <f t="shared" si="136"/>
        <v>0</v>
      </c>
      <c r="O67" s="113">
        <f t="shared" si="136"/>
        <v>0</v>
      </c>
      <c r="P67" s="116">
        <f t="shared" si="115"/>
        <v>0</v>
      </c>
      <c r="Q67" s="115"/>
      <c r="R67">
        <v>12</v>
      </c>
      <c r="S67" s="107" t="s">
        <v>560</v>
      </c>
      <c r="T67" s="113">
        <f t="shared" si="137"/>
        <v>0</v>
      </c>
      <c r="U67" s="113">
        <f t="shared" si="137"/>
        <v>0</v>
      </c>
      <c r="V67" s="113">
        <f t="shared" si="137"/>
        <v>0</v>
      </c>
      <c r="W67" s="116">
        <f t="shared" si="116"/>
        <v>0</v>
      </c>
      <c r="X67" s="115"/>
      <c r="Y67" s="115"/>
      <c r="Z67" s="115"/>
      <c r="AA67" s="107" t="s">
        <v>560</v>
      </c>
      <c r="AB67" s="113">
        <f>INDEX(TourMode_input!$L$4:$T$17,MATCH(TourMode!$A70,modes,0),MATCH("esc",modePurpose,0))*Index!$B$2</f>
        <v>0</v>
      </c>
      <c r="AC67" s="113">
        <f>INDEX(TourMode_input!$L$20:$T$33,MATCH(TourMode!$A70,modes,0), MATCH("esc",modePurpose,0))*Index!$B$2</f>
        <v>0</v>
      </c>
      <c r="AD67" s="113">
        <f>INDEX(TourMode_input!$L$36:$T$49,MATCH(TourMode!$A70,modes,0), MATCH("esc",modePurpose,0))*Index!$B$2</f>
        <v>0</v>
      </c>
      <c r="AE67" s="116">
        <f t="shared" si="117"/>
        <v>0</v>
      </c>
      <c r="AG67" s="107" t="s">
        <v>397</v>
      </c>
      <c r="AH67" s="117">
        <f t="shared" si="130"/>
        <v>0</v>
      </c>
      <c r="AI67" s="117">
        <f t="shared" si="131"/>
        <v>0</v>
      </c>
      <c r="AJ67" s="117">
        <f t="shared" si="132"/>
        <v>0</v>
      </c>
      <c r="AK67" s="118">
        <f t="shared" si="133"/>
        <v>0</v>
      </c>
      <c r="AL67" s="115"/>
      <c r="AM67" s="107" t="s">
        <v>397</v>
      </c>
      <c r="AN67" s="117">
        <f t="shared" si="134"/>
        <v>0</v>
      </c>
      <c r="AO67" s="117">
        <f t="shared" si="135"/>
        <v>0</v>
      </c>
      <c r="AP67" s="117">
        <f t="shared" si="135"/>
        <v>0</v>
      </c>
      <c r="AQ67" s="118">
        <f t="shared" si="135"/>
        <v>0</v>
      </c>
      <c r="AS67" s="107" t="s">
        <v>397</v>
      </c>
      <c r="AT67" s="113">
        <f t="shared" si="118"/>
        <v>0</v>
      </c>
      <c r="AU67" s="113">
        <f t="shared" si="108"/>
        <v>0</v>
      </c>
      <c r="AV67" s="113">
        <f t="shared" si="109"/>
        <v>0</v>
      </c>
      <c r="AW67" s="116">
        <f t="shared" si="110"/>
        <v>0</v>
      </c>
      <c r="AX67" s="115"/>
      <c r="AY67" s="107" t="s">
        <v>397</v>
      </c>
      <c r="AZ67" s="117">
        <f t="shared" si="119"/>
        <v>0</v>
      </c>
      <c r="BA67" s="117">
        <f t="shared" si="120"/>
        <v>0</v>
      </c>
      <c r="BB67" s="117">
        <f t="shared" si="121"/>
        <v>0</v>
      </c>
      <c r="BC67" s="118">
        <f t="shared" si="122"/>
        <v>0</v>
      </c>
      <c r="BE67" s="107" t="s">
        <v>397</v>
      </c>
      <c r="BF67" s="307">
        <f t="shared" si="123"/>
        <v>0</v>
      </c>
      <c r="BG67" s="307">
        <f t="shared" si="111"/>
        <v>0</v>
      </c>
      <c r="BH67" s="307">
        <f t="shared" si="112"/>
        <v>0</v>
      </c>
      <c r="BI67" s="118"/>
      <c r="BK67" s="107" t="s">
        <v>397</v>
      </c>
      <c r="BL67" s="307">
        <v>-7.8071540688980825</v>
      </c>
      <c r="BM67" s="307">
        <v>0</v>
      </c>
      <c r="BN67" s="307">
        <v>-4.5156558273530294</v>
      </c>
      <c r="BO67" s="118"/>
      <c r="BQ67" s="107" t="s">
        <v>397</v>
      </c>
      <c r="BR67" s="307">
        <f t="shared" si="129"/>
        <v>-7.854056911176281</v>
      </c>
      <c r="BS67" s="307">
        <f t="shared" si="125"/>
        <v>0</v>
      </c>
      <c r="BT67" s="307">
        <f t="shared" si="126"/>
        <v>-4.5156558273530294</v>
      </c>
      <c r="BU67" s="118"/>
    </row>
    <row r="68" spans="1:89" x14ac:dyDescent="0.25">
      <c r="A68">
        <v>13</v>
      </c>
      <c r="B68" s="107" t="s">
        <v>398</v>
      </c>
      <c r="C68" s="113">
        <f>INDEX(TourMode_input!$B$4:$J$172,MATCH(TourMode!$A71,modes,0),MATCH("esc",modePurpose,0))</f>
        <v>0</v>
      </c>
      <c r="D68" s="113">
        <f>INDEX(TourMode_input!$B$20:$J$33,MATCH(TourMode!$A71,modes,0),MATCH("esc",modePurpose,0))</f>
        <v>0</v>
      </c>
      <c r="E68" s="113">
        <f>INDEX(TourMode_input!$B$36:$J$49,MATCH(TourMode!$A71,modes,0),MATCH("esc",modePurpose,0))</f>
        <v>0</v>
      </c>
      <c r="F68" s="116">
        <f t="shared" si="113"/>
        <v>0</v>
      </c>
      <c r="G68" s="300"/>
      <c r="H68" s="300"/>
      <c r="I68" s="300"/>
      <c r="J68" s="115"/>
      <c r="K68">
        <v>13</v>
      </c>
      <c r="L68" s="107" t="s">
        <v>398</v>
      </c>
      <c r="M68" s="113">
        <f t="shared" ref="M68:O69" si="138">C68</f>
        <v>0</v>
      </c>
      <c r="N68" s="113">
        <f t="shared" si="138"/>
        <v>0</v>
      </c>
      <c r="O68" s="113">
        <f t="shared" si="138"/>
        <v>0</v>
      </c>
      <c r="P68" s="116">
        <f t="shared" si="115"/>
        <v>0</v>
      </c>
      <c r="Q68" s="115"/>
      <c r="R68">
        <v>13</v>
      </c>
      <c r="S68" s="107" t="s">
        <v>398</v>
      </c>
      <c r="T68" s="113">
        <f>IF(M71&gt;0,M68/M71*T71,0)</f>
        <v>0</v>
      </c>
      <c r="U68" s="113">
        <f>IF(N71&gt;0,N68/N71*U71,0)</f>
        <v>0</v>
      </c>
      <c r="V68" s="113">
        <f>IF(O71&gt;0,O68/O71*V71,0)</f>
        <v>0</v>
      </c>
      <c r="W68" s="116">
        <f t="shared" si="116"/>
        <v>0</v>
      </c>
      <c r="X68" s="115"/>
      <c r="Y68" s="115"/>
      <c r="Z68" s="115"/>
      <c r="AA68" s="107" t="s">
        <v>398</v>
      </c>
      <c r="AB68" s="113">
        <f>INDEX(TourMode_input!$L$4:$T$17,MATCH(TourMode!$A71,modes,0),MATCH("esc",modePurpose,0))*Index!$B$2</f>
        <v>0</v>
      </c>
      <c r="AC68" s="113">
        <f>INDEX(TourMode_input!$L$20:$T$33,MATCH(TourMode!$A71,modes,0), MATCH("esc",modePurpose,0))*Index!$B$2</f>
        <v>0</v>
      </c>
      <c r="AD68" s="113">
        <f>INDEX(TourMode_input!$L$36:$T$49,MATCH(TourMode!$A71,modes,0), MATCH("esc",modePurpose,0))*Index!$B$2</f>
        <v>0</v>
      </c>
      <c r="AE68" s="116">
        <f t="shared" si="117"/>
        <v>0</v>
      </c>
      <c r="AG68" s="107" t="s">
        <v>398</v>
      </c>
      <c r="AH68" s="117">
        <f t="shared" si="130"/>
        <v>0</v>
      </c>
      <c r="AI68" s="117">
        <f t="shared" si="131"/>
        <v>0</v>
      </c>
      <c r="AJ68" s="117">
        <f t="shared" si="132"/>
        <v>0</v>
      </c>
      <c r="AK68" s="118">
        <f t="shared" si="133"/>
        <v>0</v>
      </c>
      <c r="AL68" s="115"/>
      <c r="AM68" s="107" t="s">
        <v>398</v>
      </c>
      <c r="AN68" s="117">
        <f t="shared" si="134"/>
        <v>0</v>
      </c>
      <c r="AO68" s="117">
        <f t="shared" si="135"/>
        <v>0</v>
      </c>
      <c r="AP68" s="117">
        <f t="shared" si="135"/>
        <v>0</v>
      </c>
      <c r="AQ68" s="118">
        <f t="shared" si="135"/>
        <v>0</v>
      </c>
      <c r="AS68" s="107" t="s">
        <v>398</v>
      </c>
      <c r="AT68" s="113">
        <f t="shared" si="118"/>
        <v>0</v>
      </c>
      <c r="AU68" s="113">
        <f t="shared" si="108"/>
        <v>0</v>
      </c>
      <c r="AV68" s="113">
        <f t="shared" si="109"/>
        <v>0</v>
      </c>
      <c r="AW68" s="116">
        <f t="shared" si="110"/>
        <v>0</v>
      </c>
      <c r="AX68" s="115"/>
      <c r="AY68" s="107" t="s">
        <v>398</v>
      </c>
      <c r="AZ68" s="117">
        <f t="shared" si="119"/>
        <v>0</v>
      </c>
      <c r="BA68" s="117">
        <f t="shared" si="120"/>
        <v>0</v>
      </c>
      <c r="BB68" s="117">
        <f t="shared" si="121"/>
        <v>0</v>
      </c>
      <c r="BC68" s="118">
        <f t="shared" si="122"/>
        <v>0</v>
      </c>
      <c r="BE68" s="107" t="s">
        <v>398</v>
      </c>
      <c r="BF68" s="307">
        <f t="shared" si="123"/>
        <v>0</v>
      </c>
      <c r="BG68" s="307">
        <f t="shared" si="111"/>
        <v>0</v>
      </c>
      <c r="BH68" s="307">
        <f t="shared" si="112"/>
        <v>0</v>
      </c>
      <c r="BI68" s="118"/>
      <c r="BK68" s="107" t="s">
        <v>398</v>
      </c>
      <c r="BL68" s="307">
        <v>-10.160858078863543</v>
      </c>
      <c r="BM68" s="307">
        <v>-2.6172228276571832</v>
      </c>
      <c r="BN68" s="307">
        <v>-2.0823569120578242</v>
      </c>
      <c r="BO68" s="118"/>
      <c r="BQ68" s="107" t="s">
        <v>398</v>
      </c>
      <c r="BR68" s="307">
        <f t="shared" si="129"/>
        <v>-10.207760921141741</v>
      </c>
      <c r="BS68" s="307">
        <f t="shared" si="125"/>
        <v>-2.6172228276571832</v>
      </c>
      <c r="BT68" s="307">
        <f t="shared" si="126"/>
        <v>-2.0823569120578242</v>
      </c>
      <c r="BU68" s="118"/>
    </row>
    <row r="69" spans="1:89" x14ac:dyDescent="0.25">
      <c r="A69">
        <v>14</v>
      </c>
      <c r="B69" s="107" t="s">
        <v>399</v>
      </c>
      <c r="C69" s="297">
        <v>0</v>
      </c>
      <c r="D69" s="297">
        <v>0</v>
      </c>
      <c r="E69" s="297">
        <v>0</v>
      </c>
      <c r="F69" s="116">
        <f t="shared" si="113"/>
        <v>0</v>
      </c>
      <c r="G69" s="300"/>
      <c r="H69" s="300"/>
      <c r="I69" s="300"/>
      <c r="J69" s="115"/>
      <c r="K69">
        <v>14</v>
      </c>
      <c r="L69" s="107" t="s">
        <v>399</v>
      </c>
      <c r="M69" s="113">
        <f t="shared" si="138"/>
        <v>0</v>
      </c>
      <c r="N69" s="113">
        <f t="shared" si="138"/>
        <v>0</v>
      </c>
      <c r="O69" s="113">
        <f t="shared" si="138"/>
        <v>0</v>
      </c>
      <c r="P69" s="116">
        <f t="shared" si="115"/>
        <v>0</v>
      </c>
      <c r="Q69" s="115"/>
      <c r="R69">
        <v>14</v>
      </c>
      <c r="S69" s="107" t="s">
        <v>399</v>
      </c>
      <c r="T69" s="113">
        <f>IF(M71&gt;0,M69/M71*T71,0)</f>
        <v>0</v>
      </c>
      <c r="U69" s="113">
        <f>IF(N71&gt;0,N69/N71*U71,0)</f>
        <v>0</v>
      </c>
      <c r="V69" s="113">
        <f>IF(O71&gt;0,O69/O71*V71,0)</f>
        <v>0</v>
      </c>
      <c r="W69" s="116">
        <f t="shared" si="116"/>
        <v>0</v>
      </c>
      <c r="X69" s="115"/>
      <c r="Y69" s="115"/>
      <c r="Z69" s="115"/>
      <c r="AA69" s="107" t="s">
        <v>399</v>
      </c>
      <c r="AB69" s="113">
        <f>INDEX(TourMode_input!$L$4:$T$17,MATCH(TourMode!$A72,modes,0),MATCH("esc",modePurpose,0))*Index!$B$2</f>
        <v>0</v>
      </c>
      <c r="AC69" s="113">
        <f>INDEX(TourMode_input!$L$20:$T$33,MATCH(TourMode!$A72,modes,0), MATCH("esc",modePurpose,0))*Index!$B$2</f>
        <v>0</v>
      </c>
      <c r="AD69" s="113">
        <f>INDEX(TourMode_input!$L$36:$T$49,MATCH(TourMode!$A72,modes,0), MATCH("esc",modePurpose,0))*Index!$B$2</f>
        <v>0</v>
      </c>
      <c r="AE69" s="116">
        <f t="shared" si="117"/>
        <v>0</v>
      </c>
      <c r="AG69" s="107" t="s">
        <v>399</v>
      </c>
      <c r="AH69" s="117">
        <f t="shared" si="130"/>
        <v>0</v>
      </c>
      <c r="AI69" s="117">
        <f t="shared" si="131"/>
        <v>0</v>
      </c>
      <c r="AJ69" s="117">
        <f t="shared" si="132"/>
        <v>0</v>
      </c>
      <c r="AK69" s="118">
        <f t="shared" si="133"/>
        <v>0</v>
      </c>
      <c r="AL69" s="115"/>
      <c r="AM69" s="107" t="s">
        <v>399</v>
      </c>
      <c r="AN69" s="117">
        <f t="shared" si="134"/>
        <v>0</v>
      </c>
      <c r="AO69" s="117">
        <f t="shared" si="135"/>
        <v>0</v>
      </c>
      <c r="AP69" s="117">
        <f t="shared" si="135"/>
        <v>0</v>
      </c>
      <c r="AQ69" s="118">
        <f t="shared" si="135"/>
        <v>0</v>
      </c>
      <c r="AS69" s="107" t="s">
        <v>399</v>
      </c>
      <c r="AT69" s="113">
        <f t="shared" si="118"/>
        <v>0</v>
      </c>
      <c r="AU69" s="113">
        <f t="shared" si="108"/>
        <v>0</v>
      </c>
      <c r="AV69" s="113">
        <f t="shared" si="109"/>
        <v>0</v>
      </c>
      <c r="AW69" s="116">
        <f t="shared" si="110"/>
        <v>0</v>
      </c>
      <c r="AX69" s="115"/>
      <c r="AY69" s="107" t="s">
        <v>399</v>
      </c>
      <c r="AZ69" s="117">
        <f t="shared" si="119"/>
        <v>0</v>
      </c>
      <c r="BA69" s="117">
        <f t="shared" si="120"/>
        <v>0</v>
      </c>
      <c r="BB69" s="117">
        <f t="shared" si="121"/>
        <v>0</v>
      </c>
      <c r="BC69" s="118">
        <f t="shared" si="122"/>
        <v>0</v>
      </c>
      <c r="BE69" s="107" t="s">
        <v>399</v>
      </c>
      <c r="BF69" s="307">
        <f t="shared" si="123"/>
        <v>0</v>
      </c>
      <c r="BG69" s="307">
        <f t="shared" si="111"/>
        <v>0</v>
      </c>
      <c r="BH69" s="307">
        <f t="shared" si="112"/>
        <v>0</v>
      </c>
      <c r="BI69" s="118"/>
      <c r="BK69" s="107" t="s">
        <v>399</v>
      </c>
      <c r="BL69" s="307">
        <v>-9.958929038974377</v>
      </c>
      <c r="BM69" s="307">
        <v>-0.33541706520975983</v>
      </c>
      <c r="BN69" s="307">
        <v>-9.1257030661501908</v>
      </c>
      <c r="BO69" s="118"/>
      <c r="BQ69" s="107" t="s">
        <v>399</v>
      </c>
      <c r="BR69" s="307">
        <f t="shared" si="129"/>
        <v>-10.005831881252575</v>
      </c>
      <c r="BS69" s="307">
        <f t="shared" si="125"/>
        <v>-0.33541706520975983</v>
      </c>
      <c r="BT69" s="307">
        <f t="shared" si="126"/>
        <v>-9.1257030661501908</v>
      </c>
      <c r="BU69" s="118"/>
    </row>
    <row r="70" spans="1:89" ht="15.75" thickBot="1" x14ac:dyDescent="0.3">
      <c r="B70" s="108" t="s">
        <v>29</v>
      </c>
      <c r="C70" s="109">
        <f>SUM(C57:C69)</f>
        <v>13616.178480000002</v>
      </c>
      <c r="D70" s="110">
        <f>SUM(D57:D69)</f>
        <v>285962.72398999997</v>
      </c>
      <c r="E70" s="111">
        <f>SUM(E57:E69)</f>
        <v>712926.39619000012</v>
      </c>
      <c r="F70" s="112">
        <f>SUM(F57:F69)</f>
        <v>1012505.2986600001</v>
      </c>
      <c r="G70" s="301"/>
      <c r="H70" s="301"/>
      <c r="I70" s="301"/>
      <c r="L70" s="108" t="s">
        <v>29</v>
      </c>
      <c r="M70" s="109">
        <f>SUM(M57:M69)</f>
        <v>13915.307692864946</v>
      </c>
      <c r="N70" s="110">
        <f>SUM(N57:N69)</f>
        <v>286249.76418824587</v>
      </c>
      <c r="O70" s="111">
        <f>SUM(O57:O69)</f>
        <v>713073.41580082639</v>
      </c>
      <c r="P70" s="112">
        <f>SUM(P57:P69)</f>
        <v>1013238.4876819372</v>
      </c>
      <c r="S70" s="108" t="s">
        <v>29</v>
      </c>
      <c r="T70" s="109">
        <f>SUM(T57:T69)</f>
        <v>89614.999999999985</v>
      </c>
      <c r="U70" s="110">
        <f>SUM(U57:U69)</f>
        <v>451950</v>
      </c>
      <c r="V70" s="111">
        <f>SUM(V57:V69)</f>
        <v>788889.99999999988</v>
      </c>
      <c r="W70" s="112">
        <f>SUM(W57:W69)</f>
        <v>1330455</v>
      </c>
      <c r="AA70" s="108" t="s">
        <v>29</v>
      </c>
      <c r="AB70" s="109">
        <f>SUM(AB57:AB69)</f>
        <v>89615</v>
      </c>
      <c r="AC70" s="110">
        <f>SUM(AC57:AC69)</f>
        <v>451950</v>
      </c>
      <c r="AD70" s="111">
        <f>SUM(AD57:AD69)</f>
        <v>788890</v>
      </c>
      <c r="AE70" s="112">
        <f>SUM(AE57:AE69)</f>
        <v>1330455</v>
      </c>
      <c r="AG70" s="108" t="s">
        <v>29</v>
      </c>
      <c r="AH70" s="120">
        <f t="shared" si="130"/>
        <v>1</v>
      </c>
      <c r="AI70" s="121">
        <f t="shared" si="131"/>
        <v>1</v>
      </c>
      <c r="AJ70" s="122">
        <f t="shared" si="132"/>
        <v>1</v>
      </c>
      <c r="AK70" s="123">
        <f t="shared" si="133"/>
        <v>1</v>
      </c>
      <c r="AM70" s="108" t="s">
        <v>29</v>
      </c>
      <c r="AN70" s="120">
        <f t="shared" si="134"/>
        <v>0.99401031556763353</v>
      </c>
      <c r="AO70" s="121">
        <f t="shared" si="135"/>
        <v>0.89917930862969409</v>
      </c>
      <c r="AP70" s="122">
        <f t="shared" si="135"/>
        <v>0.77111201255064488</v>
      </c>
      <c r="AQ70" s="123">
        <f t="shared" si="135"/>
        <v>0.82338543229970884</v>
      </c>
      <c r="AS70" s="108" t="s">
        <v>29</v>
      </c>
      <c r="AT70" s="109">
        <f t="shared" si="118"/>
        <v>0</v>
      </c>
      <c r="AU70" s="110">
        <f t="shared" si="108"/>
        <v>0</v>
      </c>
      <c r="AV70" s="111">
        <f t="shared" si="109"/>
        <v>0</v>
      </c>
      <c r="AW70" s="112">
        <f t="shared" si="110"/>
        <v>0</v>
      </c>
      <c r="AY70" s="108" t="s">
        <v>29</v>
      </c>
      <c r="AZ70" s="117">
        <f t="shared" si="119"/>
        <v>0</v>
      </c>
      <c r="BA70" s="117">
        <f t="shared" si="120"/>
        <v>0</v>
      </c>
      <c r="BB70" s="117">
        <f t="shared" si="121"/>
        <v>0</v>
      </c>
      <c r="BC70" s="118">
        <f t="shared" si="122"/>
        <v>0</v>
      </c>
      <c r="BE70" s="108" t="s">
        <v>29</v>
      </c>
      <c r="BF70" s="117"/>
      <c r="BG70" s="117"/>
      <c r="BH70" s="117"/>
      <c r="BI70" s="118"/>
      <c r="BK70" s="108" t="s">
        <v>29</v>
      </c>
      <c r="BL70" s="117"/>
      <c r="BM70" s="117"/>
      <c r="BN70" s="117"/>
      <c r="BO70" s="118"/>
      <c r="BQ70" s="108" t="s">
        <v>29</v>
      </c>
      <c r="BR70" s="117"/>
      <c r="BS70" s="117"/>
      <c r="BT70" s="117"/>
      <c r="BU70" s="118"/>
    </row>
    <row r="71" spans="1:89" x14ac:dyDescent="0.25">
      <c r="B71" s="304"/>
      <c r="C71" s="301"/>
      <c r="D71" s="301"/>
      <c r="E71" s="301"/>
      <c r="F71" s="301"/>
      <c r="G71" s="301"/>
      <c r="H71" s="301"/>
      <c r="I71" s="301"/>
      <c r="L71" s="304"/>
      <c r="M71" s="286">
        <f>M70-SUM(M65:M67)</f>
        <v>11036.031180000002</v>
      </c>
      <c r="N71" s="286">
        <f>N70-SUM(N65:N67)</f>
        <v>283486.85081999999</v>
      </c>
      <c r="O71" s="286">
        <f>O70-SUM(O65:O67)</f>
        <v>711658.27447000006</v>
      </c>
      <c r="P71" s="301"/>
      <c r="S71" s="304"/>
      <c r="T71" s="286">
        <f>AB70-SUM(T65:T67)</f>
        <v>86735.723487135052</v>
      </c>
      <c r="U71" s="286">
        <f>AC70-SUM(U65:U67)</f>
        <v>449187.08663175412</v>
      </c>
      <c r="V71" s="286">
        <f>AD70-SUM(V65:V67)</f>
        <v>787474.85866917367</v>
      </c>
      <c r="W71" s="301"/>
      <c r="AA71" s="304"/>
      <c r="AB71" s="301"/>
      <c r="AC71" s="301"/>
      <c r="AD71" s="301"/>
      <c r="AE71" s="301"/>
      <c r="AG71" s="304"/>
      <c r="AH71" s="305"/>
      <c r="AI71" s="305"/>
      <c r="AJ71" s="305"/>
      <c r="AK71" s="305"/>
      <c r="AM71" s="304"/>
      <c r="AN71" s="305"/>
      <c r="AO71" s="305"/>
      <c r="AP71" s="305"/>
      <c r="AQ71" s="305"/>
      <c r="AS71" s="304"/>
      <c r="AT71" s="301"/>
      <c r="AU71" s="301"/>
      <c r="AV71" s="301"/>
      <c r="AW71" s="301"/>
      <c r="AY71" s="304"/>
      <c r="AZ71" s="306"/>
      <c r="BA71" s="306"/>
      <c r="BB71" s="306"/>
      <c r="BC71" s="306"/>
      <c r="BE71" s="304"/>
      <c r="BF71" s="306"/>
      <c r="BG71" s="306"/>
      <c r="BH71" s="306"/>
      <c r="BI71" s="306"/>
      <c r="BK71" s="304"/>
      <c r="BL71" s="306"/>
      <c r="BM71" s="306"/>
      <c r="BN71" s="306"/>
      <c r="BO71" s="306"/>
      <c r="BQ71" s="304"/>
      <c r="BR71" s="306"/>
      <c r="BS71" s="306"/>
      <c r="BT71" s="306"/>
      <c r="BU71" s="306"/>
    </row>
    <row r="72" spans="1:89" ht="26.25" x14ac:dyDescent="0.4">
      <c r="A72" s="150" t="s">
        <v>150</v>
      </c>
      <c r="K72" s="150" t="s">
        <v>150</v>
      </c>
      <c r="R72" s="150" t="s">
        <v>150</v>
      </c>
    </row>
    <row r="73" spans="1:89" ht="26.25" x14ac:dyDescent="0.25">
      <c r="B73" s="102" t="s">
        <v>134</v>
      </c>
      <c r="C73" s="103" t="s">
        <v>135</v>
      </c>
      <c r="D73" s="104" t="s">
        <v>136</v>
      </c>
      <c r="E73" s="105" t="s">
        <v>137</v>
      </c>
      <c r="F73" s="106" t="s">
        <v>29</v>
      </c>
      <c r="G73" s="299"/>
      <c r="H73" s="299"/>
      <c r="I73" s="299"/>
      <c r="L73" s="102" t="s">
        <v>134</v>
      </c>
      <c r="M73" s="103" t="s">
        <v>135</v>
      </c>
      <c r="N73" s="104" t="s">
        <v>136</v>
      </c>
      <c r="O73" s="105" t="s">
        <v>137</v>
      </c>
      <c r="P73" s="106" t="s">
        <v>29</v>
      </c>
      <c r="S73" s="102" t="s">
        <v>134</v>
      </c>
      <c r="T73" s="103" t="s">
        <v>135</v>
      </c>
      <c r="U73" s="104" t="s">
        <v>136</v>
      </c>
      <c r="V73" s="105" t="s">
        <v>137</v>
      </c>
      <c r="W73" s="106" t="s">
        <v>29</v>
      </c>
      <c r="AA73" s="102" t="s">
        <v>134</v>
      </c>
      <c r="AB73" s="103" t="s">
        <v>135</v>
      </c>
      <c r="AC73" s="104" t="s">
        <v>136</v>
      </c>
      <c r="AD73" s="105" t="s">
        <v>137</v>
      </c>
      <c r="AE73" s="106" t="s">
        <v>29</v>
      </c>
      <c r="AG73" s="102" t="s">
        <v>134</v>
      </c>
      <c r="AH73" s="103" t="s">
        <v>135</v>
      </c>
      <c r="AI73" s="104" t="s">
        <v>136</v>
      </c>
      <c r="AJ73" s="105" t="s">
        <v>137</v>
      </c>
      <c r="AK73" s="106" t="s">
        <v>29</v>
      </c>
      <c r="AM73" s="102" t="s">
        <v>134</v>
      </c>
      <c r="AN73" s="103" t="s">
        <v>135</v>
      </c>
      <c r="AO73" s="104" t="s">
        <v>136</v>
      </c>
      <c r="AP73" s="105" t="s">
        <v>137</v>
      </c>
      <c r="AQ73" s="106" t="s">
        <v>29</v>
      </c>
      <c r="AS73" s="102" t="s">
        <v>134</v>
      </c>
      <c r="AT73" s="103" t="s">
        <v>135</v>
      </c>
      <c r="AU73" s="104" t="s">
        <v>136</v>
      </c>
      <c r="AV73" s="105" t="s">
        <v>137</v>
      </c>
      <c r="AW73" s="106" t="s">
        <v>29</v>
      </c>
      <c r="AY73" s="102" t="s">
        <v>134</v>
      </c>
      <c r="AZ73" s="103" t="s">
        <v>135</v>
      </c>
      <c r="BA73" s="104" t="s">
        <v>136</v>
      </c>
      <c r="BB73" s="105" t="s">
        <v>137</v>
      </c>
      <c r="BC73" s="106" t="s">
        <v>29</v>
      </c>
      <c r="BE73" s="102" t="s">
        <v>134</v>
      </c>
      <c r="BF73" s="103" t="s">
        <v>135</v>
      </c>
      <c r="BG73" s="104" t="s">
        <v>136</v>
      </c>
      <c r="BH73" s="105" t="s">
        <v>137</v>
      </c>
      <c r="BI73" s="106" t="s">
        <v>29</v>
      </c>
      <c r="BK73" s="102" t="s">
        <v>134</v>
      </c>
      <c r="BL73" s="103" t="s">
        <v>135</v>
      </c>
      <c r="BM73" s="104" t="s">
        <v>136</v>
      </c>
      <c r="BN73" s="105" t="s">
        <v>137</v>
      </c>
      <c r="BO73" s="106" t="s">
        <v>29</v>
      </c>
      <c r="BQ73" s="102" t="s">
        <v>134</v>
      </c>
      <c r="BR73" s="103" t="s">
        <v>135</v>
      </c>
      <c r="BS73" s="104" t="s">
        <v>136</v>
      </c>
      <c r="BT73" s="105" t="s">
        <v>137</v>
      </c>
      <c r="BU73" s="106" t="s">
        <v>29</v>
      </c>
      <c r="BX73">
        <v>1</v>
      </c>
      <c r="BY73">
        <v>2</v>
      </c>
      <c r="BZ73">
        <v>3</v>
      </c>
      <c r="CA73">
        <v>4</v>
      </c>
      <c r="CB73">
        <v>5</v>
      </c>
      <c r="CC73">
        <v>6</v>
      </c>
      <c r="CD73">
        <v>7</v>
      </c>
      <c r="CE73">
        <v>8</v>
      </c>
      <c r="CG73">
        <v>9</v>
      </c>
      <c r="CH73">
        <v>10</v>
      </c>
      <c r="CI73">
        <v>11</v>
      </c>
      <c r="CJ73">
        <v>12</v>
      </c>
      <c r="CK73">
        <v>13</v>
      </c>
    </row>
    <row r="74" spans="1:89" x14ac:dyDescent="0.25">
      <c r="A74">
        <v>1</v>
      </c>
      <c r="B74" s="107" t="s">
        <v>386</v>
      </c>
      <c r="C74" s="297">
        <v>0</v>
      </c>
      <c r="D74" s="113">
        <f>INDEX(TourMode_input!$B$20:$J$33,MATCH(TourMode!$A76,modes,0),MATCH("imain",modePurpose,0))</f>
        <v>214493.17788</v>
      </c>
      <c r="E74" s="113">
        <f>INDEX(TourMode_input!$B$36:$J$49,MATCH(TourMode!$A76,modes,0),MATCH("imain",modePurpose,0))</f>
        <v>954374.86794999999</v>
      </c>
      <c r="F74" s="114">
        <f>SUM(C74:E74)</f>
        <v>1168868.04583</v>
      </c>
      <c r="G74" s="300"/>
      <c r="H74" s="300"/>
      <c r="I74" s="300"/>
      <c r="J74" s="115"/>
      <c r="K74">
        <v>1</v>
      </c>
      <c r="L74" s="107" t="s">
        <v>386</v>
      </c>
      <c r="M74" s="113">
        <f>C74</f>
        <v>0</v>
      </c>
      <c r="N74" s="113">
        <f t="shared" ref="N74:N81" si="139">D74</f>
        <v>214493.17788</v>
      </c>
      <c r="O74" s="113">
        <f t="shared" ref="O74:O81" si="140">E74</f>
        <v>954374.86794999999</v>
      </c>
      <c r="P74" s="114">
        <f>SUM(M74:O74)</f>
        <v>1168868.04583</v>
      </c>
      <c r="Q74" s="115"/>
      <c r="R74">
        <v>1</v>
      </c>
      <c r="S74" s="107" t="s">
        <v>386</v>
      </c>
      <c r="T74" s="113">
        <f>IF(M88&gt;0,M74/M88*T88,0)</f>
        <v>0</v>
      </c>
      <c r="U74" s="113">
        <f>IF(N88&gt;0,N74/N88*U88,0)</f>
        <v>555623.81635544274</v>
      </c>
      <c r="V74" s="113">
        <f>IF(O88&gt;0,O74/O88*V88,0)</f>
        <v>1318336.4936920304</v>
      </c>
      <c r="W74" s="114">
        <f>SUM(T74:V74)</f>
        <v>1873960.3100474733</v>
      </c>
      <c r="X74" s="115"/>
      <c r="Y74" s="115"/>
      <c r="Z74" s="115"/>
      <c r="AA74" s="107" t="s">
        <v>386</v>
      </c>
      <c r="AB74" s="113">
        <f>INDEX(TourMode_input!$L$4:$T$17,MATCH(TourMode!$A76,modes,0),MATCH("imain",modePurpose,0))*Index!$B$2</f>
        <v>0</v>
      </c>
      <c r="AC74" s="113">
        <f>INDEX(TourMode_input!$L$20:$T$33,MATCH(TourMode!$A76,modes,0), MATCH("imain",modePurpose,0))*Index!$B$2</f>
        <v>529095</v>
      </c>
      <c r="AD74" s="113">
        <f>INDEX(TourMode_input!$L$36:$T$49,MATCH(TourMode!$A76,modes,0), MATCH("imain",modePurpose,0))*Index!$B$2</f>
        <v>1254205</v>
      </c>
      <c r="AE74" s="114">
        <f>SUM(AB74:AD74)</f>
        <v>1783300</v>
      </c>
      <c r="AG74" s="107" t="s">
        <v>538</v>
      </c>
      <c r="AH74" s="117">
        <f>(T74+T75)/T$87</f>
        <v>0</v>
      </c>
      <c r="AI74" s="117">
        <f>(U74+U75)/U$87</f>
        <v>0.52395221373796885</v>
      </c>
      <c r="AJ74" s="117">
        <f>(V74+V75)/V$87</f>
        <v>0.79591758188944084</v>
      </c>
      <c r="AK74" s="117">
        <f>(W74+W75)/W$87</f>
        <v>0.64599263118192862</v>
      </c>
      <c r="AL74" s="115"/>
      <c r="AM74" s="107" t="s">
        <v>538</v>
      </c>
      <c r="AN74" s="117">
        <f>(AB74+AB75)/AB$87</f>
        <v>0</v>
      </c>
      <c r="AO74" s="117">
        <f>(AC74+AC75)/AC$87</f>
        <v>0.5171412430961152</v>
      </c>
      <c r="AP74" s="117">
        <f>(AD74+AD75)/AD$87</f>
        <v>0.78128883260075987</v>
      </c>
      <c r="AQ74" s="117">
        <f>(AE74+AE75)/AE$87</f>
        <v>0.63514781592791347</v>
      </c>
      <c r="AS74" s="107" t="s">
        <v>386</v>
      </c>
      <c r="AT74" s="113">
        <f>AB74-T74</f>
        <v>0</v>
      </c>
      <c r="AU74" s="113">
        <f t="shared" ref="AU74:AU87" si="141">AC74-U74</f>
        <v>-26528.816355442745</v>
      </c>
      <c r="AV74" s="113">
        <f t="shared" ref="AV74:AV87" si="142">AD74-V74</f>
        <v>-64131.493692030432</v>
      </c>
      <c r="AW74" s="114">
        <f t="shared" ref="AW74:AW87" si="143">AE74-W74</f>
        <v>-90660.310047473293</v>
      </c>
      <c r="AX74" s="115"/>
      <c r="AY74" s="107" t="s">
        <v>386</v>
      </c>
      <c r="AZ74" s="117">
        <f>IF(C74=0, 0,AT74/C74)</f>
        <v>0</v>
      </c>
      <c r="BA74" s="117">
        <f>IF(D74=0, 0,AU74/D74)</f>
        <v>-0.12368139918316895</v>
      </c>
      <c r="BB74" s="117">
        <f>IF(E74=0, 0,AV74/E74)</f>
        <v>-6.7197383172699285E-2</v>
      </c>
      <c r="BC74" s="118">
        <f>IF(F74=0, 0,AW74/F74)</f>
        <v>-7.7562484808194443E-2</v>
      </c>
      <c r="BE74" s="107" t="s">
        <v>538</v>
      </c>
      <c r="BF74" s="307">
        <f>IFERROR(IF(AN74&gt;0,LN(AH74/AN74),0),0)</f>
        <v>0</v>
      </c>
      <c r="BG74" s="307">
        <f t="shared" ref="BG74:BG86" si="144">IFERROR(IF(AO74&gt;0,LN(AI74/AO74),0),0)</f>
        <v>1.3084450331190357E-2</v>
      </c>
      <c r="BH74" s="307">
        <f t="shared" ref="BH74:BH86" si="145">IFERROR(IF(AP74&gt;0,LN(AJ74/AP74),0),0)</f>
        <v>1.8550734599518524E-2</v>
      </c>
      <c r="BI74" s="118"/>
      <c r="BK74" s="107" t="s">
        <v>538</v>
      </c>
      <c r="BL74" s="307">
        <v>0</v>
      </c>
      <c r="BM74" s="307">
        <v>0</v>
      </c>
      <c r="BN74" s="307">
        <v>0</v>
      </c>
      <c r="BO74" s="118"/>
      <c r="BQ74" s="107" t="s">
        <v>538</v>
      </c>
      <c r="BR74" s="308">
        <v>0</v>
      </c>
      <c r="BS74" s="309">
        <v>0</v>
      </c>
      <c r="BT74" s="309">
        <v>0</v>
      </c>
      <c r="BU74" s="118"/>
      <c r="BX74" s="5" t="s">
        <v>386</v>
      </c>
      <c r="BY74" s="5" t="s">
        <v>387</v>
      </c>
      <c r="BZ74" s="5" t="s">
        <v>388</v>
      </c>
      <c r="CA74" s="5" t="s">
        <v>389</v>
      </c>
      <c r="CB74" s="5" t="s">
        <v>390</v>
      </c>
      <c r="CC74" s="5" t="s">
        <v>391</v>
      </c>
      <c r="CD74" s="5" t="s">
        <v>392</v>
      </c>
      <c r="CE74" s="5" t="s">
        <v>393</v>
      </c>
      <c r="CF74" s="5"/>
      <c r="CG74" s="5" t="s">
        <v>569</v>
      </c>
      <c r="CH74" s="5" t="s">
        <v>396</v>
      </c>
      <c r="CI74" s="5" t="s">
        <v>397</v>
      </c>
      <c r="CJ74" s="5" t="s">
        <v>398</v>
      </c>
      <c r="CK74" s="287" t="s">
        <v>399</v>
      </c>
    </row>
    <row r="75" spans="1:89" x14ac:dyDescent="0.25">
      <c r="A75">
        <v>2</v>
      </c>
      <c r="B75" s="107" t="s">
        <v>387</v>
      </c>
      <c r="C75" s="297">
        <v>0</v>
      </c>
      <c r="D75" s="113">
        <f>INDEX(TourMode_input!$B$20:$J$33,MATCH(TourMode!$A77,modes,0),MATCH("imain",modePurpose,0))</f>
        <v>2125.3165100000001</v>
      </c>
      <c r="E75" s="113">
        <f>INDEX(TourMode_input!$B$36:$J$49,MATCH(TourMode!$A77,modes,0),MATCH("imain",modePurpose,0))</f>
        <v>12389.024659999999</v>
      </c>
      <c r="F75" s="116">
        <f t="shared" ref="F75:F86" si="146">SUM(C75:E75)</f>
        <v>14514.34117</v>
      </c>
      <c r="G75" s="300"/>
      <c r="H75" s="300"/>
      <c r="I75" s="300"/>
      <c r="J75" s="115"/>
      <c r="K75">
        <v>2</v>
      </c>
      <c r="L75" s="107" t="s">
        <v>387</v>
      </c>
      <c r="M75" s="113">
        <f t="shared" ref="M75:M81" si="147">C75</f>
        <v>0</v>
      </c>
      <c r="N75" s="113">
        <f t="shared" si="139"/>
        <v>2125.3165100000001</v>
      </c>
      <c r="O75" s="113">
        <f t="shared" si="140"/>
        <v>12389.024659999999</v>
      </c>
      <c r="P75" s="116">
        <f t="shared" ref="P75:P86" si="148">SUM(M75:O75)</f>
        <v>14514.34117</v>
      </c>
      <c r="Q75" s="115"/>
      <c r="R75">
        <v>2</v>
      </c>
      <c r="S75" s="107" t="s">
        <v>387</v>
      </c>
      <c r="T75" s="113">
        <f>IF(M88&gt;0,M75/M88*T88,0)</f>
        <v>0</v>
      </c>
      <c r="U75" s="113">
        <f>IF(N88&gt;0,N75/N88*U88,0)</f>
        <v>5505.4267083034301</v>
      </c>
      <c r="V75" s="113">
        <f>IF(O88&gt;0,O75/O88*V88,0)</f>
        <v>17113.719020715227</v>
      </c>
      <c r="W75" s="116">
        <f t="shared" ref="W75:W86" si="149">SUM(T75:V75)</f>
        <v>22619.145729018659</v>
      </c>
      <c r="X75" s="115"/>
      <c r="Y75" s="115"/>
      <c r="Z75" s="115"/>
      <c r="AA75" s="107" t="s">
        <v>387</v>
      </c>
      <c r="AB75" s="113">
        <f>INDEX(TourMode_input!$L$4:$T$17,MATCH(TourMode!$A77,modes,0),MATCH("imain",modePurpose,0))*Index!$B$2</f>
        <v>0</v>
      </c>
      <c r="AC75" s="113">
        <f>INDEX(TourMode_input!$L$20:$T$33,MATCH(TourMode!$A77,modes,0), MATCH("imain",modePurpose,0))*Index!$B$2</f>
        <v>24740</v>
      </c>
      <c r="AD75" s="113">
        <f>INDEX(TourMode_input!$L$36:$T$49,MATCH(TourMode!$A77,modes,0), MATCH("imain",modePurpose,0))*Index!$B$2</f>
        <v>56700</v>
      </c>
      <c r="AE75" s="116">
        <f t="shared" ref="AE75:AE86" si="150">SUM(AB75:AD75)</f>
        <v>81440</v>
      </c>
      <c r="AG75" s="107"/>
      <c r="AH75" s="117"/>
      <c r="AI75" s="117"/>
      <c r="AJ75" s="117"/>
      <c r="AK75" s="118"/>
      <c r="AL75" s="115"/>
      <c r="AM75" s="107"/>
      <c r="AN75" s="117"/>
      <c r="AO75" s="117"/>
      <c r="AP75" s="117"/>
      <c r="AQ75" s="118"/>
      <c r="AS75" s="107" t="s">
        <v>387</v>
      </c>
      <c r="AT75" s="113">
        <f t="shared" ref="AT75:AT87" si="151">AB75-T75</f>
        <v>0</v>
      </c>
      <c r="AU75" s="113">
        <f t="shared" si="141"/>
        <v>19234.573291696572</v>
      </c>
      <c r="AV75" s="113">
        <f t="shared" si="142"/>
        <v>39586.280979284769</v>
      </c>
      <c r="AW75" s="116">
        <f t="shared" si="143"/>
        <v>58820.854270981341</v>
      </c>
      <c r="AX75" s="115"/>
      <c r="AY75" s="107" t="s">
        <v>387</v>
      </c>
      <c r="AZ75" s="117">
        <f t="shared" ref="AZ75:AZ87" si="152">IF(C75=0, 0,AT75/C75)</f>
        <v>0</v>
      </c>
      <c r="BA75" s="117">
        <f t="shared" ref="BA75:BA87" si="153">IF(D75=0, 0,AU75/D75)</f>
        <v>9.0502159095807198</v>
      </c>
      <c r="BB75" s="117">
        <f t="shared" ref="BB75:BB87" si="154">IF(E75=0, 0,AV75/E75)</f>
        <v>3.1952701738576388</v>
      </c>
      <c r="BC75" s="118">
        <f t="shared" ref="BC75:BC87" si="155">IF(F75=0, 0,AW75/F75)</f>
        <v>4.0526024283182354</v>
      </c>
      <c r="BE75" s="107"/>
      <c r="BF75" s="307">
        <f t="shared" ref="BF75:BF86" si="156">IFERROR(IF(AN75&gt;0,LN(AH75/AN75),0),0)</f>
        <v>0</v>
      </c>
      <c r="BG75" s="307">
        <f t="shared" si="144"/>
        <v>0</v>
      </c>
      <c r="BH75" s="307">
        <f t="shared" si="145"/>
        <v>0</v>
      </c>
      <c r="BI75" s="118"/>
      <c r="BK75" s="107"/>
      <c r="BL75" s="307"/>
      <c r="BM75" s="307"/>
      <c r="BN75" s="307"/>
      <c r="BO75" s="118"/>
      <c r="BQ75" s="107"/>
      <c r="BR75" s="308"/>
      <c r="BS75" s="307"/>
      <c r="BT75" s="307"/>
      <c r="BU75" s="118"/>
      <c r="BW75" t="s">
        <v>131</v>
      </c>
      <c r="BX75">
        <f>IF(ISNUMBER(INDEX($BR$74:$BR$87,BX73,1)),INDEX($BR$74:$BR$87,BX73,1),0)</f>
        <v>0</v>
      </c>
      <c r="BY75">
        <f t="shared" ref="BY75:CJ75" si="157">IF(ISNUMBER(INDEX($BR$74:$BR$87,BY73,1)),INDEX($BR$74:$BR$87,BY73,1),0)</f>
        <v>0</v>
      </c>
      <c r="BZ75">
        <f t="shared" si="157"/>
        <v>0</v>
      </c>
      <c r="CA75">
        <f>BZ75</f>
        <v>0</v>
      </c>
      <c r="CB75">
        <f t="shared" si="157"/>
        <v>-2.7112229609163747</v>
      </c>
      <c r="CC75">
        <f>CB75</f>
        <v>-2.7112229609163747</v>
      </c>
      <c r="CD75">
        <f t="shared" si="157"/>
        <v>4.3482976915099938</v>
      </c>
      <c r="CE75">
        <f t="shared" si="157"/>
        <v>2.2509596449705844</v>
      </c>
      <c r="CG75">
        <f>IF(ISNUMBER(INDEX($BR$74:$BR$87,CG73,1)),INDEX($BR$74:$BR$87,CG73,1),0)</f>
        <v>1.7973623591083512</v>
      </c>
      <c r="CH75">
        <f t="shared" si="157"/>
        <v>-0.49450790864208211</v>
      </c>
      <c r="CI75">
        <f t="shared" si="157"/>
        <v>0.59589023454344214</v>
      </c>
      <c r="CJ75">
        <f t="shared" si="157"/>
        <v>1.6120835297546929</v>
      </c>
      <c r="CK75" s="312">
        <v>-999</v>
      </c>
    </row>
    <row r="76" spans="1:89" x14ac:dyDescent="0.25">
      <c r="A76">
        <v>3</v>
      </c>
      <c r="B76" s="107" t="s">
        <v>388</v>
      </c>
      <c r="C76" s="113">
        <f>INDEX(TourMode_input!$B$4:$J$172,MATCH(TourMode!$A78,modes,0),MATCH("imain",modePurpose,0))</f>
        <v>27469.724869999998</v>
      </c>
      <c r="D76" s="113">
        <f>INDEX(TourMode_input!$B$20:$J$33,MATCH(TourMode!$A78,modes,0),MATCH("imain",modePurpose,0))</f>
        <v>70738.324380000005</v>
      </c>
      <c r="E76" s="113">
        <f>INDEX(TourMode_input!$B$36:$J$49,MATCH(TourMode!$A78,modes,0),MATCH("imain",modePurpose,0))</f>
        <v>115229.30100000001</v>
      </c>
      <c r="F76" s="116">
        <f t="shared" si="146"/>
        <v>213437.35025000002</v>
      </c>
      <c r="G76" s="300"/>
      <c r="H76" s="300"/>
      <c r="I76" s="300"/>
      <c r="J76" s="115"/>
      <c r="K76">
        <v>3</v>
      </c>
      <c r="L76" s="107" t="s">
        <v>388</v>
      </c>
      <c r="M76" s="113">
        <f t="shared" si="147"/>
        <v>27469.724869999998</v>
      </c>
      <c r="N76" s="113">
        <f t="shared" si="139"/>
        <v>70738.324380000005</v>
      </c>
      <c r="O76" s="113">
        <f t="shared" si="140"/>
        <v>115229.30100000001</v>
      </c>
      <c r="P76" s="116">
        <f t="shared" si="148"/>
        <v>213437.35025000002</v>
      </c>
      <c r="Q76" s="115"/>
      <c r="R76">
        <v>3</v>
      </c>
      <c r="S76" s="107" t="s">
        <v>388</v>
      </c>
      <c r="T76" s="113">
        <f>IF(M88&gt;0,M76/M88*T88,0)</f>
        <v>35107.60039402359</v>
      </c>
      <c r="U76" s="113">
        <f>IF(N88&gt;0,N76/N88*U88,0)</f>
        <v>183240.78249516053</v>
      </c>
      <c r="V76" s="113">
        <f>IF(O88&gt;0,O76/O88*V88,0)</f>
        <v>159173.29526628132</v>
      </c>
      <c r="W76" s="116">
        <f t="shared" si="149"/>
        <v>377521.6781554654</v>
      </c>
      <c r="X76" s="115"/>
      <c r="Y76" s="115"/>
      <c r="Z76" s="115"/>
      <c r="AA76" s="107" t="s">
        <v>388</v>
      </c>
      <c r="AB76" s="113">
        <f>INDEX(TourMode_input!$L$4:$T$17,MATCH(TourMode!$A78,modes,0),MATCH("imain",modePurpose,0))*Index!$B$2</f>
        <v>40330</v>
      </c>
      <c r="AC76" s="113">
        <f>INDEX(TourMode_input!$L$20:$T$33,MATCH(TourMode!$A78,modes,0), MATCH("imain",modePurpose,0))*Index!$B$2</f>
        <v>177250</v>
      </c>
      <c r="AD76" s="113">
        <f>INDEX(TourMode_input!$L$36:$T$49,MATCH(TourMode!$A78,modes,0), MATCH("imain",modePurpose,0))*Index!$B$2</f>
        <v>166765</v>
      </c>
      <c r="AE76" s="116">
        <f t="shared" si="150"/>
        <v>384345</v>
      </c>
      <c r="AG76" s="107" t="s">
        <v>576</v>
      </c>
      <c r="AH76" s="117">
        <f>(T76+T77)/T$87</f>
        <v>0.18877882229978238</v>
      </c>
      <c r="AI76" s="117">
        <f>(U76+U77)/U$87</f>
        <v>0.171100356686472</v>
      </c>
      <c r="AJ76" s="117">
        <f>(V76+V77)/V$87</f>
        <v>9.5850322821983164E-2</v>
      </c>
      <c r="AK76" s="117">
        <f>(W76+W77)/W$87</f>
        <v>0.12922149615028033</v>
      </c>
      <c r="AL76" s="115"/>
      <c r="AM76" s="107" t="s">
        <v>576</v>
      </c>
      <c r="AN76" s="117">
        <f>(AB76+AB77)/AB$87</f>
        <v>0.22158377208220861</v>
      </c>
      <c r="AO76" s="117">
        <f>(AC76+AC77)/AC$87</f>
        <v>0.17025458586028358</v>
      </c>
      <c r="AP76" s="117">
        <f>(AD76+AD77)/AD$87</f>
        <v>0.10239141771586084</v>
      </c>
      <c r="AQ76" s="117">
        <f>(AE76+AE77)/AE$87</f>
        <v>0.13474163931857699</v>
      </c>
      <c r="AS76" s="107" t="s">
        <v>388</v>
      </c>
      <c r="AT76" s="113">
        <f t="shared" si="151"/>
        <v>5222.3996059764104</v>
      </c>
      <c r="AU76" s="113">
        <f t="shared" si="141"/>
        <v>-5990.7824951605289</v>
      </c>
      <c r="AV76" s="113">
        <f t="shared" si="142"/>
        <v>7591.7047337186814</v>
      </c>
      <c r="AW76" s="116">
        <f t="shared" si="143"/>
        <v>6823.3218445345992</v>
      </c>
      <c r="AX76" s="115"/>
      <c r="AY76" s="107" t="s">
        <v>388</v>
      </c>
      <c r="AZ76" s="117">
        <f t="shared" si="152"/>
        <v>0.19011474016180821</v>
      </c>
      <c r="BA76" s="117">
        <f t="shared" si="153"/>
        <v>-8.4689346937009372E-2</v>
      </c>
      <c r="BB76" s="117">
        <f t="shared" si="154"/>
        <v>6.5883457313679977E-2</v>
      </c>
      <c r="BC76" s="118">
        <f t="shared" si="155"/>
        <v>3.1968733853481666E-2</v>
      </c>
      <c r="BE76" s="107" t="s">
        <v>576</v>
      </c>
      <c r="BF76" s="307">
        <f t="shared" si="156"/>
        <v>-0.16022464411814416</v>
      </c>
      <c r="BG76" s="307">
        <f t="shared" si="144"/>
        <v>4.9553848589114855E-3</v>
      </c>
      <c r="BH76" s="307">
        <f t="shared" si="145"/>
        <v>-6.6015060247032187E-2</v>
      </c>
      <c r="BI76" s="118"/>
      <c r="BK76" s="107" t="s">
        <v>576</v>
      </c>
      <c r="BL76" s="307">
        <v>0</v>
      </c>
      <c r="BM76" s="307">
        <v>-3.4462992397546466</v>
      </c>
      <c r="BN76" s="307">
        <v>-4.793366615786641</v>
      </c>
      <c r="BO76" s="118"/>
      <c r="BQ76" s="107" t="s">
        <v>576</v>
      </c>
      <c r="BR76" s="309">
        <v>0</v>
      </c>
      <c r="BS76" s="307">
        <f t="shared" ref="BS76:BS86" si="158">(BG76-BG$74)*$BR$1+BM76</f>
        <v>-3.4503637724907859</v>
      </c>
      <c r="BT76" s="307">
        <f t="shared" ref="BT76:BT86" si="159">(BH76-BH$74)*$BR$1+BN76</f>
        <v>-4.8356495132099164</v>
      </c>
      <c r="BU76" s="118"/>
      <c r="BW76" t="s">
        <v>132</v>
      </c>
      <c r="BX76">
        <f>IF(ISNUMBER(INDEX($BS$74:$BS$87,BX73,1)),INDEX($BS$74:$BS$87,BX73,1),0)</f>
        <v>0</v>
      </c>
      <c r="BY76">
        <f t="shared" ref="BY76:CJ76" si="160">IF(ISNUMBER(INDEX($BS$74:$BS$87,BY73,1)),INDEX($BS$74:$BS$87,BY73,1),0)</f>
        <v>0</v>
      </c>
      <c r="BZ76">
        <f t="shared" si="160"/>
        <v>-3.4503637724907859</v>
      </c>
      <c r="CA76">
        <f>BZ76</f>
        <v>-3.4503637724907859</v>
      </c>
      <c r="CB76">
        <f t="shared" si="160"/>
        <v>-4.4675970666554816</v>
      </c>
      <c r="CC76">
        <f>CB76</f>
        <v>-4.4675970666554816</v>
      </c>
      <c r="CD76">
        <f t="shared" si="160"/>
        <v>8.5285700593594596E-2</v>
      </c>
      <c r="CE76">
        <f t="shared" si="160"/>
        <v>-0.71673003817878045</v>
      </c>
      <c r="CG76">
        <f t="shared" si="160"/>
        <v>-2.4655259341278639</v>
      </c>
      <c r="CH76">
        <f t="shared" si="160"/>
        <v>-5.9675325987927135</v>
      </c>
      <c r="CI76">
        <f t="shared" si="160"/>
        <v>-6.8790173385519457</v>
      </c>
      <c r="CJ76">
        <f t="shared" si="160"/>
        <v>-2.7044462460891943</v>
      </c>
      <c r="CK76" s="312">
        <v>-999</v>
      </c>
    </row>
    <row r="77" spans="1:89" x14ac:dyDescent="0.25">
      <c r="A77">
        <v>4</v>
      </c>
      <c r="B77" s="107" t="s">
        <v>389</v>
      </c>
      <c r="C77" s="113">
        <f>INDEX(TourMode_input!$B$4:$J$172,MATCH(TourMode!$A79,modes,0),MATCH("imain",modePurpose,0))</f>
        <v>164.38015999999999</v>
      </c>
      <c r="D77" s="113">
        <f>INDEX(TourMode_input!$B$20:$J$33,MATCH(TourMode!$A79,modes,0),MATCH("imain",modePurpose,0))</f>
        <v>0</v>
      </c>
      <c r="E77" s="113">
        <f>INDEX(TourMode_input!$B$36:$J$49,MATCH(TourMode!$A79,modes,0),MATCH("imain",modePurpose,0))</f>
        <v>1195.6069399999999</v>
      </c>
      <c r="F77" s="116">
        <f t="shared" si="146"/>
        <v>1359.9870999999998</v>
      </c>
      <c r="G77" s="300"/>
      <c r="H77" s="300"/>
      <c r="I77" s="300"/>
      <c r="J77" s="115"/>
      <c r="K77">
        <v>4</v>
      </c>
      <c r="L77" s="107" t="s">
        <v>389</v>
      </c>
      <c r="M77" s="113">
        <f t="shared" si="147"/>
        <v>164.38015999999999</v>
      </c>
      <c r="N77" s="113">
        <f t="shared" si="139"/>
        <v>0</v>
      </c>
      <c r="O77" s="113">
        <f t="shared" si="140"/>
        <v>1195.6069399999999</v>
      </c>
      <c r="P77" s="116">
        <f t="shared" si="148"/>
        <v>1359.9870999999998</v>
      </c>
      <c r="Q77" s="115"/>
      <c r="R77">
        <v>4</v>
      </c>
      <c r="S77" s="107" t="s">
        <v>389</v>
      </c>
      <c r="T77" s="113">
        <f>IF(M88&gt;0,M77/M88*T88,0)</f>
        <v>210.08557593120372</v>
      </c>
      <c r="U77" s="113">
        <f>IF(N88&gt;0,N77/N88*U88,0)</f>
        <v>0</v>
      </c>
      <c r="V77" s="113">
        <f>IF(O88&gt;0,O77/O88*V88,0)</f>
        <v>1651.5651386537097</v>
      </c>
      <c r="W77" s="116">
        <f t="shared" si="149"/>
        <v>1861.6507145849134</v>
      </c>
      <c r="X77" s="115"/>
      <c r="Y77" s="115"/>
      <c r="Z77" s="115"/>
      <c r="AA77" s="107" t="s">
        <v>389</v>
      </c>
      <c r="AB77" s="113">
        <f>INDEX(TourMode_input!$L$4:$T$17,MATCH(TourMode!$A79,modes,0),MATCH("imain",modePurpose,0))*Index!$B$2</f>
        <v>1125</v>
      </c>
      <c r="AC77" s="113">
        <f>INDEX(TourMode_input!$L$20:$T$33,MATCH(TourMode!$A79,modes,0), MATCH("imain",modePurpose,0))*Index!$B$2</f>
        <v>5085</v>
      </c>
      <c r="AD77" s="113">
        <f>INDEX(TourMode_input!$L$36:$T$49,MATCH(TourMode!$A79,modes,0), MATCH("imain",modePurpose,0))*Index!$B$2</f>
        <v>5035</v>
      </c>
      <c r="AE77" s="116">
        <f t="shared" si="150"/>
        <v>11245</v>
      </c>
      <c r="AG77" s="107"/>
      <c r="AH77" s="117"/>
      <c r="AI77" s="117"/>
      <c r="AJ77" s="117"/>
      <c r="AK77" s="118"/>
      <c r="AL77" s="115"/>
      <c r="AM77" s="107"/>
      <c r="AN77" s="117"/>
      <c r="AO77" s="117"/>
      <c r="AP77" s="117"/>
      <c r="AQ77" s="118"/>
      <c r="AS77" s="107" t="s">
        <v>389</v>
      </c>
      <c r="AT77" s="113">
        <f t="shared" si="151"/>
        <v>914.91442406879628</v>
      </c>
      <c r="AU77" s="113">
        <f t="shared" si="141"/>
        <v>5085</v>
      </c>
      <c r="AV77" s="113">
        <f t="shared" si="142"/>
        <v>3383.4348613462903</v>
      </c>
      <c r="AW77" s="116">
        <f t="shared" si="143"/>
        <v>9383.3492854150863</v>
      </c>
      <c r="AX77" s="115"/>
      <c r="AY77" s="107" t="s">
        <v>389</v>
      </c>
      <c r="AZ77" s="117">
        <f t="shared" si="152"/>
        <v>5.5658445889625385</v>
      </c>
      <c r="BA77" s="117">
        <f t="shared" si="153"/>
        <v>0</v>
      </c>
      <c r="BB77" s="117">
        <f t="shared" si="154"/>
        <v>2.8298889443936237</v>
      </c>
      <c r="BC77" s="118">
        <f t="shared" si="155"/>
        <v>6.8995869780052237</v>
      </c>
      <c r="BE77" s="107"/>
      <c r="BF77" s="307">
        <f t="shared" si="156"/>
        <v>0</v>
      </c>
      <c r="BG77" s="307">
        <f t="shared" si="144"/>
        <v>0</v>
      </c>
      <c r="BH77" s="307">
        <f t="shared" si="145"/>
        <v>0</v>
      </c>
      <c r="BI77" s="118"/>
      <c r="BK77" s="107"/>
      <c r="BL77" s="307"/>
      <c r="BM77" s="307"/>
      <c r="BN77" s="307"/>
      <c r="BO77" s="118"/>
      <c r="BQ77" s="107"/>
      <c r="BR77" s="307"/>
      <c r="BS77" s="307"/>
      <c r="BT77" s="307"/>
      <c r="BU77" s="118"/>
      <c r="BW77" t="s">
        <v>133</v>
      </c>
      <c r="BX77">
        <f>IF(ISNUMBER(INDEX($BT$74:$BT$87,BX73,1)),INDEX($BT$74:$BT$87,BX73,1),0)</f>
        <v>0</v>
      </c>
      <c r="BY77">
        <f t="shared" ref="BY77:CJ77" si="161">IF(ISNUMBER(INDEX($BT$74:$BT$87,BY73,1)),INDEX($BT$74:$BT$87,BY73,1),0)</f>
        <v>0</v>
      </c>
      <c r="BZ77">
        <f t="shared" si="161"/>
        <v>-4.8356495132099164</v>
      </c>
      <c r="CA77">
        <f>BZ77</f>
        <v>-4.8356495132099164</v>
      </c>
      <c r="CB77">
        <f t="shared" si="161"/>
        <v>-6.2267616240487955</v>
      </c>
      <c r="CC77">
        <f>CB77</f>
        <v>-6.2267616240487955</v>
      </c>
      <c r="CD77">
        <f t="shared" si="161"/>
        <v>-1.4566139820844342</v>
      </c>
      <c r="CE77">
        <f t="shared" si="161"/>
        <v>-1.6540073375380642</v>
      </c>
      <c r="CG77">
        <f t="shared" si="161"/>
        <v>-2.4042081559471624</v>
      </c>
      <c r="CH77">
        <f t="shared" si="161"/>
        <v>-5.5737437845500306</v>
      </c>
      <c r="CI77">
        <f t="shared" si="161"/>
        <v>-2.9768227878578637</v>
      </c>
      <c r="CJ77">
        <f t="shared" si="161"/>
        <v>-3.8016098778459484</v>
      </c>
      <c r="CK77" s="312">
        <v>-999</v>
      </c>
    </row>
    <row r="78" spans="1:89" x14ac:dyDescent="0.25">
      <c r="A78">
        <v>5</v>
      </c>
      <c r="B78" s="107" t="s">
        <v>390</v>
      </c>
      <c r="C78" s="113">
        <f>INDEX(TourMode_input!$B$4:$J$172,MATCH(TourMode!$A80,modes,0),MATCH("imain",modePurpose,0))</f>
        <v>121.26331</v>
      </c>
      <c r="D78" s="113">
        <f>INDEX(TourMode_input!$B$20:$J$33,MATCH(TourMode!$A80,modes,0),MATCH("imain",modePurpose,0))</f>
        <v>30475.525290000001</v>
      </c>
      <c r="E78" s="113">
        <f>INDEX(TourMode_input!$B$36:$J$49,MATCH(TourMode!$A80,modes,0),MATCH("imain",modePurpose,0))</f>
        <v>51603.93333</v>
      </c>
      <c r="F78" s="116">
        <f t="shared" si="146"/>
        <v>82200.72193</v>
      </c>
      <c r="G78" s="300"/>
      <c r="H78" s="300"/>
      <c r="I78" s="300"/>
      <c r="J78" s="115"/>
      <c r="K78">
        <v>5</v>
      </c>
      <c r="L78" s="107" t="s">
        <v>390</v>
      </c>
      <c r="M78" s="113">
        <f t="shared" si="147"/>
        <v>121.26331</v>
      </c>
      <c r="N78" s="113">
        <f t="shared" si="139"/>
        <v>30475.525290000001</v>
      </c>
      <c r="O78" s="113">
        <f t="shared" si="140"/>
        <v>51603.93333</v>
      </c>
      <c r="P78" s="116">
        <f t="shared" si="148"/>
        <v>82200.72193</v>
      </c>
      <c r="Q78" s="115"/>
      <c r="R78">
        <v>5</v>
      </c>
      <c r="S78" s="107" t="s">
        <v>390</v>
      </c>
      <c r="T78" s="113">
        <f>IF(M88&gt;0,M78/M88*T88,0)</f>
        <v>154.98021367465574</v>
      </c>
      <c r="U78" s="113">
        <f>IF(N88&gt;0,N78/N88*U88,0)</f>
        <v>78943.898516622663</v>
      </c>
      <c r="V78" s="113">
        <f>IF(O88&gt;0,O78/O88*V88,0)</f>
        <v>71283.675641125214</v>
      </c>
      <c r="W78" s="116">
        <f t="shared" si="149"/>
        <v>150382.55437142254</v>
      </c>
      <c r="X78" s="115"/>
      <c r="Y78" s="115"/>
      <c r="Z78" s="115"/>
      <c r="AA78" s="107" t="s">
        <v>390</v>
      </c>
      <c r="AB78" s="113">
        <f>INDEX(TourMode_input!$L$4:$T$17,MATCH(TourMode!$A80,modes,0),MATCH("imain",modePurpose,0))*Index!$B$2</f>
        <v>120</v>
      </c>
      <c r="AC78" s="113">
        <f>INDEX(TourMode_input!$L$20:$T$33,MATCH(TourMode!$A80,modes,0), MATCH("imain",modePurpose,0))*Index!$B$2</f>
        <v>81365</v>
      </c>
      <c r="AD78" s="113">
        <f>INDEX(TourMode_input!$L$36:$T$49,MATCH(TourMode!$A80,modes,0), MATCH("imain",modePurpose,0))*Index!$B$2</f>
        <v>79190</v>
      </c>
      <c r="AE78" s="116">
        <f t="shared" si="150"/>
        <v>160675</v>
      </c>
      <c r="AG78" s="107" t="s">
        <v>577</v>
      </c>
      <c r="AH78" s="117">
        <f>(T78+T79)/T$87</f>
        <v>8.2839465309701862E-4</v>
      </c>
      <c r="AI78" s="117">
        <f>(U78+U79)/U$87</f>
        <v>7.3713553339423879E-2</v>
      </c>
      <c r="AJ78" s="117">
        <f>(V78+V79)/V$87</f>
        <v>4.2748059796025938E-2</v>
      </c>
      <c r="AK78" s="117">
        <f>(W78+W79)/W$87</f>
        <v>5.1372325002785969E-2</v>
      </c>
      <c r="AL78" s="115"/>
      <c r="AM78" s="107" t="s">
        <v>577</v>
      </c>
      <c r="AN78" s="117">
        <f>(AB78+AB79)/AB$87</f>
        <v>6.9487131517759313E-4</v>
      </c>
      <c r="AO78" s="117">
        <f>(AC78+AC79)/AC$87</f>
        <v>7.8168550499320699E-2</v>
      </c>
      <c r="AP78" s="117">
        <f>(AD78+AD79)/AD$87</f>
        <v>4.8576324219623032E-2</v>
      </c>
      <c r="AQ78" s="117">
        <f>(AE78+AE79)/AE$87</f>
        <v>5.6319750401493229E-2</v>
      </c>
      <c r="AS78" s="107" t="s">
        <v>390</v>
      </c>
      <c r="AT78" s="113">
        <f t="shared" si="151"/>
        <v>-34.980213674655744</v>
      </c>
      <c r="AU78" s="113">
        <f t="shared" si="141"/>
        <v>2421.101483377337</v>
      </c>
      <c r="AV78" s="113">
        <f t="shared" si="142"/>
        <v>7906.3243588747864</v>
      </c>
      <c r="AW78" s="116">
        <f t="shared" si="143"/>
        <v>10292.445628577465</v>
      </c>
      <c r="AX78" s="115"/>
      <c r="AY78" s="107" t="s">
        <v>390</v>
      </c>
      <c r="AZ78" s="117">
        <f t="shared" si="152"/>
        <v>-0.28846494190745531</v>
      </c>
      <c r="BA78" s="117">
        <f t="shared" si="153"/>
        <v>7.9444126404337262E-2</v>
      </c>
      <c r="BB78" s="117">
        <f t="shared" si="154"/>
        <v>0.15321166137307671</v>
      </c>
      <c r="BC78" s="118">
        <f t="shared" si="155"/>
        <v>0.12521113424456592</v>
      </c>
      <c r="BE78" s="107" t="s">
        <v>577</v>
      </c>
      <c r="BF78" s="307">
        <f t="shared" si="156"/>
        <v>0.17576300460333702</v>
      </c>
      <c r="BG78" s="307">
        <f t="shared" si="144"/>
        <v>-5.8680718073347599E-2</v>
      </c>
      <c r="BH78" s="307">
        <f t="shared" si="145"/>
        <v>-0.12781244676802805</v>
      </c>
      <c r="BI78" s="118"/>
      <c r="BK78" s="107" t="s">
        <v>577</v>
      </c>
      <c r="BL78" s="307">
        <v>-2.8792167852771153</v>
      </c>
      <c r="BM78" s="307">
        <v>-4.4317144824532129</v>
      </c>
      <c r="BN78" s="307">
        <v>-6.1535800333650226</v>
      </c>
      <c r="BO78" s="118"/>
      <c r="BQ78" s="107" t="s">
        <v>577</v>
      </c>
      <c r="BR78" s="307">
        <f t="shared" ref="BR78:BR86" si="162">(BF78-BF$76)*$BR$1+BL78</f>
        <v>-2.7112229609163747</v>
      </c>
      <c r="BS78" s="307">
        <f t="shared" si="158"/>
        <v>-4.4675970666554816</v>
      </c>
      <c r="BT78" s="307">
        <f t="shared" si="159"/>
        <v>-6.2267616240487955</v>
      </c>
      <c r="BU78" s="118"/>
    </row>
    <row r="79" spans="1:89" x14ac:dyDescent="0.25">
      <c r="A79">
        <v>6</v>
      </c>
      <c r="B79" s="107" t="s">
        <v>391</v>
      </c>
      <c r="C79" s="113">
        <f>INDEX(TourMode_input!$B$4:$J$172,MATCH(TourMode!$A81,modes,0),MATCH("imain",modePurpose,0))</f>
        <v>0</v>
      </c>
      <c r="D79" s="113">
        <f>INDEX(TourMode_input!$B$20:$J$33,MATCH(TourMode!$A81,modes,0),MATCH("imain",modePurpose,0))</f>
        <v>0</v>
      </c>
      <c r="E79" s="113">
        <f>INDEX(TourMode_input!$B$36:$J$49,MATCH(TourMode!$A81,modes,0),MATCH("imain",modePurpose,0))</f>
        <v>320.13724000000002</v>
      </c>
      <c r="F79" s="116">
        <f t="shared" si="146"/>
        <v>320.13724000000002</v>
      </c>
      <c r="G79" s="300"/>
      <c r="H79" s="300"/>
      <c r="I79" s="300"/>
      <c r="J79" s="115"/>
      <c r="K79">
        <v>6</v>
      </c>
      <c r="L79" s="107" t="s">
        <v>391</v>
      </c>
      <c r="M79" s="113">
        <f t="shared" si="147"/>
        <v>0</v>
      </c>
      <c r="N79" s="113">
        <f t="shared" si="139"/>
        <v>0</v>
      </c>
      <c r="O79" s="113">
        <f t="shared" si="140"/>
        <v>320.13724000000002</v>
      </c>
      <c r="P79" s="116">
        <f t="shared" si="148"/>
        <v>320.13724000000002</v>
      </c>
      <c r="Q79" s="115"/>
      <c r="R79">
        <v>6</v>
      </c>
      <c r="S79" s="107" t="s">
        <v>391</v>
      </c>
      <c r="T79" s="113">
        <f>IF(M88&gt;0,M79/M88*T88,0)</f>
        <v>0</v>
      </c>
      <c r="U79" s="113">
        <f>IF(N88&gt;0,N79/N88*U88,0)</f>
        <v>0</v>
      </c>
      <c r="V79" s="113">
        <f>IF(O88&gt;0,O79/O88*V88,0)</f>
        <v>442.22518913181955</v>
      </c>
      <c r="W79" s="116">
        <f t="shared" si="149"/>
        <v>442.22518913181955</v>
      </c>
      <c r="X79" s="115"/>
      <c r="Y79" s="115"/>
      <c r="Z79" s="115"/>
      <c r="AA79" s="107" t="s">
        <v>391</v>
      </c>
      <c r="AB79" s="113">
        <f>INDEX(TourMode_input!$L$4:$T$17,MATCH(TourMode!$A81,modes,0),MATCH("imain",modePurpose,0))*Index!$B$2</f>
        <v>10</v>
      </c>
      <c r="AC79" s="113">
        <f>INDEX(TourMode_input!$L$20:$T$33,MATCH(TourMode!$A81,modes,0), MATCH("imain",modePurpose,0))*Index!$B$2</f>
        <v>2350</v>
      </c>
      <c r="AD79" s="113">
        <f>INDEX(TourMode_input!$L$36:$T$49,MATCH(TourMode!$A81,modes,0), MATCH("imain",modePurpose,0))*Index!$B$2</f>
        <v>2315</v>
      </c>
      <c r="AE79" s="116">
        <f t="shared" si="150"/>
        <v>4675</v>
      </c>
      <c r="AG79" s="107"/>
      <c r="AH79" s="117"/>
      <c r="AI79" s="117"/>
      <c r="AJ79" s="117"/>
      <c r="AK79" s="118"/>
      <c r="AL79" s="115"/>
      <c r="AM79" s="107"/>
      <c r="AN79" s="117"/>
      <c r="AO79" s="117"/>
      <c r="AP79" s="117"/>
      <c r="AQ79" s="118"/>
      <c r="AS79" s="107" t="s">
        <v>391</v>
      </c>
      <c r="AT79" s="113">
        <f t="shared" si="151"/>
        <v>10</v>
      </c>
      <c r="AU79" s="113">
        <f t="shared" si="141"/>
        <v>2350</v>
      </c>
      <c r="AV79" s="113">
        <f t="shared" si="142"/>
        <v>1872.7748108681803</v>
      </c>
      <c r="AW79" s="116">
        <f t="shared" si="143"/>
        <v>4232.7748108681808</v>
      </c>
      <c r="AX79" s="115"/>
      <c r="AY79" s="107" t="s">
        <v>391</v>
      </c>
      <c r="AZ79" s="117">
        <f t="shared" si="152"/>
        <v>0</v>
      </c>
      <c r="BA79" s="117">
        <f t="shared" si="153"/>
        <v>0</v>
      </c>
      <c r="BB79" s="117">
        <f t="shared" si="154"/>
        <v>5.8499124027813201</v>
      </c>
      <c r="BC79" s="118">
        <f t="shared" si="155"/>
        <v>13.221750805586318</v>
      </c>
      <c r="BE79" s="107"/>
      <c r="BF79" s="307">
        <f t="shared" si="156"/>
        <v>0</v>
      </c>
      <c r="BG79" s="307">
        <f t="shared" si="144"/>
        <v>0</v>
      </c>
      <c r="BH79" s="307">
        <f t="shared" si="145"/>
        <v>0</v>
      </c>
      <c r="BI79" s="118"/>
      <c r="BK79" s="107"/>
      <c r="BL79" s="307"/>
      <c r="BM79" s="307"/>
      <c r="BN79" s="307"/>
      <c r="BO79" s="118"/>
      <c r="BQ79" s="107"/>
      <c r="BR79" s="307"/>
      <c r="BS79" s="307"/>
      <c r="BT79" s="307"/>
      <c r="BU79" s="118"/>
    </row>
    <row r="80" spans="1:89" x14ac:dyDescent="0.25">
      <c r="A80">
        <v>7</v>
      </c>
      <c r="B80" s="107" t="s">
        <v>392</v>
      </c>
      <c r="C80" s="113">
        <f>INDEX(TourMode_input!$B$4:$J$172,MATCH(TourMode!$A82,modes,0),MATCH("imain",modePurpose,0))</f>
        <v>62616.657249999997</v>
      </c>
      <c r="D80" s="113">
        <f>INDEX(TourMode_input!$B$20:$J$33,MATCH(TourMode!$A82,modes,0),MATCH("imain",modePurpose,0))</f>
        <v>74595.259449999998</v>
      </c>
      <c r="E80" s="113">
        <f>INDEX(TourMode_input!$B$36:$J$49,MATCH(TourMode!$A82,modes,0),MATCH("imain",modePurpose,0))</f>
        <v>54996.175009999999</v>
      </c>
      <c r="F80" s="116">
        <f t="shared" si="146"/>
        <v>192208.09171000001</v>
      </c>
      <c r="G80" s="300"/>
      <c r="H80" s="300"/>
      <c r="I80" s="300"/>
      <c r="J80" s="115"/>
      <c r="K80">
        <v>7</v>
      </c>
      <c r="L80" s="107" t="s">
        <v>392</v>
      </c>
      <c r="M80" s="113">
        <f t="shared" si="147"/>
        <v>62616.657249999997</v>
      </c>
      <c r="N80" s="113">
        <f t="shared" si="139"/>
        <v>74595.259449999998</v>
      </c>
      <c r="O80" s="113">
        <f t="shared" si="140"/>
        <v>54996.175009999999</v>
      </c>
      <c r="P80" s="116">
        <f t="shared" si="148"/>
        <v>192208.09171000001</v>
      </c>
      <c r="Q80" s="115"/>
      <c r="R80">
        <v>7</v>
      </c>
      <c r="S80" s="107" t="s">
        <v>392</v>
      </c>
      <c r="T80" s="113">
        <f>IF(M88&gt;0,M80/M88*T88,0)</f>
        <v>80027.033075360392</v>
      </c>
      <c r="U80" s="113">
        <f>IF(N88&gt;0,N80/N88*U88,0)</f>
        <v>193231.79947858863</v>
      </c>
      <c r="V80" s="113">
        <f>IF(O88&gt;0,O80/O88*V88,0)</f>
        <v>75969.586966277013</v>
      </c>
      <c r="W80" s="116">
        <f t="shared" si="149"/>
        <v>349228.41952022607</v>
      </c>
      <c r="X80" s="115"/>
      <c r="Y80" s="115"/>
      <c r="Z80" s="115"/>
      <c r="AA80" s="107" t="s">
        <v>392</v>
      </c>
      <c r="AB80" s="113">
        <f>INDEX(TourMode_input!$L$4:$T$17,MATCH(TourMode!$A82,modes,0),MATCH("imain",modePurpose,0))*Index!$B$2</f>
        <v>87110</v>
      </c>
      <c r="AC80" s="113">
        <f>INDEX(TourMode_input!$L$20:$T$33,MATCH(TourMode!$A82,modes,0), MATCH("imain",modePurpose,0))*Index!$B$2</f>
        <v>207030</v>
      </c>
      <c r="AD80" s="113">
        <f>INDEX(TourMode_input!$L$36:$T$49,MATCH(TourMode!$A82,modes,0), MATCH("imain",modePurpose,0))*Index!$B$2</f>
        <v>85180</v>
      </c>
      <c r="AE80" s="116">
        <f t="shared" si="150"/>
        <v>379320</v>
      </c>
      <c r="AG80" s="107" t="s">
        <v>392</v>
      </c>
      <c r="AH80" s="117">
        <f t="shared" ref="AH80:AH87" si="163">T80/T$87</f>
        <v>0.42775761325258777</v>
      </c>
      <c r="AI80" s="117">
        <f t="shared" ref="AI80:AI87" si="164">U80/U$87</f>
        <v>0.18042942932110939</v>
      </c>
      <c r="AJ80" s="117">
        <f t="shared" ref="AJ80:AJ87" si="165">V80/V$87</f>
        <v>4.5277262588856143E-2</v>
      </c>
      <c r="AK80" s="118">
        <f t="shared" ref="AK80:AK87" si="166">W80/W$87</f>
        <v>0.11895045310243181</v>
      </c>
      <c r="AL80" s="115"/>
      <c r="AM80" s="107" t="s">
        <v>392</v>
      </c>
      <c r="AN80" s="117">
        <f t="shared" ref="AN80:AN87" si="167">AB80/AB$87</f>
        <v>0.46561723280861639</v>
      </c>
      <c r="AO80" s="117">
        <f t="shared" ref="AO80:AO87" si="168">AC80/AC$87</f>
        <v>0.19331344454248778</v>
      </c>
      <c r="AP80" s="117">
        <f t="shared" ref="AP80:AP87" si="169">AD80/AD$87</f>
        <v>5.0766594650972212E-2</v>
      </c>
      <c r="AQ80" s="118">
        <f t="shared" ref="AQ80:AQ87" si="170">AE80/AE$87</f>
        <v>0.1291999257471691</v>
      </c>
      <c r="AS80" s="107" t="s">
        <v>392</v>
      </c>
      <c r="AT80" s="113">
        <f t="shared" si="151"/>
        <v>7082.9669246396079</v>
      </c>
      <c r="AU80" s="113">
        <f t="shared" si="141"/>
        <v>13798.200521411374</v>
      </c>
      <c r="AV80" s="113">
        <f t="shared" si="142"/>
        <v>9210.4130337229872</v>
      </c>
      <c r="AW80" s="116">
        <f t="shared" si="143"/>
        <v>30091.580479773926</v>
      </c>
      <c r="AX80" s="115"/>
      <c r="AY80" s="107" t="s">
        <v>392</v>
      </c>
      <c r="AZ80" s="117">
        <f t="shared" si="152"/>
        <v>0.11311633734072588</v>
      </c>
      <c r="BA80" s="117">
        <f t="shared" si="153"/>
        <v>0.18497422789527376</v>
      </c>
      <c r="BB80" s="117">
        <f t="shared" si="154"/>
        <v>0.16747370216289134</v>
      </c>
      <c r="BC80" s="118">
        <f t="shared" si="155"/>
        <v>0.1565573031398467</v>
      </c>
      <c r="BE80" s="107" t="s">
        <v>392</v>
      </c>
      <c r="BF80" s="307">
        <f t="shared" si="156"/>
        <v>-8.4807196794803016E-2</v>
      </c>
      <c r="BG80" s="307">
        <f t="shared" si="144"/>
        <v>-6.8973208491763027E-2</v>
      </c>
      <c r="BH80" s="307">
        <f t="shared" si="145"/>
        <v>-0.11443357579507202</v>
      </c>
      <c r="BI80" s="118"/>
      <c r="BK80" s="107" t="s">
        <v>392</v>
      </c>
      <c r="BL80" s="307">
        <v>4.3105889678483233</v>
      </c>
      <c r="BM80" s="307">
        <v>0.12631453000507128</v>
      </c>
      <c r="BN80" s="307">
        <v>-1.3901218268871389</v>
      </c>
      <c r="BO80" s="118"/>
      <c r="BQ80" s="107" t="s">
        <v>392</v>
      </c>
      <c r="BR80" s="307">
        <f t="shared" si="162"/>
        <v>4.3482976915099938</v>
      </c>
      <c r="BS80" s="307">
        <f t="shared" si="158"/>
        <v>8.5285700593594596E-2</v>
      </c>
      <c r="BT80" s="307">
        <f t="shared" si="159"/>
        <v>-1.4566139820844342</v>
      </c>
      <c r="BU80" s="118"/>
    </row>
    <row r="81" spans="1:89" x14ac:dyDescent="0.25">
      <c r="A81">
        <v>8</v>
      </c>
      <c r="B81" s="107" t="s">
        <v>393</v>
      </c>
      <c r="C81" s="113">
        <f>INDEX(TourMode_input!$B$4:$J$172,MATCH(TourMode!$A83,modes,0),MATCH("imain",modePurpose,0))</f>
        <v>4627.8921300000002</v>
      </c>
      <c r="D81" s="113">
        <f>INDEX(TourMode_input!$B$20:$J$33,MATCH(TourMode!$A83,modes,0),MATCH("imain",modePurpose,0))</f>
        <v>8213.0964600000007</v>
      </c>
      <c r="E81" s="113">
        <f>INDEX(TourMode_input!$B$36:$J$49,MATCH(TourMode!$A83,modes,0),MATCH("imain",modePurpose,0))</f>
        <v>10038.133239999999</v>
      </c>
      <c r="F81" s="116">
        <f t="shared" si="146"/>
        <v>22879.12183</v>
      </c>
      <c r="G81" s="300"/>
      <c r="H81" s="300"/>
      <c r="I81" s="300"/>
      <c r="J81" s="115"/>
      <c r="K81">
        <v>8</v>
      </c>
      <c r="L81" s="107" t="s">
        <v>393</v>
      </c>
      <c r="M81" s="113">
        <f t="shared" si="147"/>
        <v>4627.8921300000002</v>
      </c>
      <c r="N81" s="113">
        <f t="shared" si="139"/>
        <v>8213.0964600000007</v>
      </c>
      <c r="O81" s="113">
        <f t="shared" si="140"/>
        <v>10038.133239999999</v>
      </c>
      <c r="P81" s="116">
        <f t="shared" si="148"/>
        <v>22879.12183</v>
      </c>
      <c r="Q81" s="115"/>
      <c r="R81">
        <v>8</v>
      </c>
      <c r="S81" s="107" t="s">
        <v>393</v>
      </c>
      <c r="T81" s="113">
        <f>IF(M88&gt;0,M81/M88*T88,0)</f>
        <v>5914.6638102708703</v>
      </c>
      <c r="U81" s="113">
        <f>IF(N88&gt;0,N81/N88*U88,0)</f>
        <v>21275.231428356219</v>
      </c>
      <c r="V81" s="113">
        <f>IF(O88&gt;0,O81/O88*V88,0)</f>
        <v>13866.288628556316</v>
      </c>
      <c r="W81" s="116">
        <f t="shared" si="149"/>
        <v>41056.183867183405</v>
      </c>
      <c r="X81" s="115"/>
      <c r="Y81" s="115"/>
      <c r="Z81" s="115"/>
      <c r="AA81" s="107" t="s">
        <v>393</v>
      </c>
      <c r="AB81" s="113">
        <f>INDEX(TourMode_input!$L$4:$T$17,MATCH(TourMode!$A83,modes,0),MATCH("imain",modePurpose,0))*Index!$B$2</f>
        <v>7650</v>
      </c>
      <c r="AC81" s="113">
        <f>INDEX(TourMode_input!$L$20:$T$33,MATCH(TourMode!$A83,modes,0), MATCH("imain",modePurpose,0))*Index!$B$2</f>
        <v>23715</v>
      </c>
      <c r="AD81" s="113">
        <f>INDEX(TourMode_input!$L$36:$T$49,MATCH(TourMode!$A83,modes,0), MATCH("imain",modePurpose,0))*Index!$B$2</f>
        <v>15305</v>
      </c>
      <c r="AE81" s="116">
        <f t="shared" si="150"/>
        <v>46670</v>
      </c>
      <c r="AG81" s="107" t="s">
        <v>393</v>
      </c>
      <c r="AH81" s="117">
        <f t="shared" si="163"/>
        <v>3.161484785135564E-2</v>
      </c>
      <c r="AI81" s="117">
        <f t="shared" si="164"/>
        <v>1.9865663289639835E-2</v>
      </c>
      <c r="AJ81" s="117">
        <f t="shared" si="165"/>
        <v>8.2641964559674076E-3</v>
      </c>
      <c r="AK81" s="118">
        <f t="shared" si="166"/>
        <v>1.3984118704793363E-2</v>
      </c>
      <c r="AL81" s="115"/>
      <c r="AM81" s="107" t="s">
        <v>393</v>
      </c>
      <c r="AN81" s="117">
        <f t="shared" si="167"/>
        <v>4.0890504316219899E-2</v>
      </c>
      <c r="AO81" s="117">
        <f t="shared" si="168"/>
        <v>2.2143787554098911E-2</v>
      </c>
      <c r="AP81" s="117">
        <f t="shared" si="169"/>
        <v>9.1216568576324222E-3</v>
      </c>
      <c r="AQ81" s="118">
        <f t="shared" si="170"/>
        <v>1.5896236777972115E-2</v>
      </c>
      <c r="AS81" s="107" t="s">
        <v>393</v>
      </c>
      <c r="AT81" s="113">
        <f t="shared" si="151"/>
        <v>1735.3361897291297</v>
      </c>
      <c r="AU81" s="113">
        <f t="shared" si="141"/>
        <v>2439.7685716437809</v>
      </c>
      <c r="AV81" s="113">
        <f t="shared" si="142"/>
        <v>1438.7113714436837</v>
      </c>
      <c r="AW81" s="116">
        <f t="shared" si="143"/>
        <v>5613.8161328165952</v>
      </c>
      <c r="AX81" s="115"/>
      <c r="AY81" s="107" t="s">
        <v>393</v>
      </c>
      <c r="AZ81" s="117">
        <f t="shared" si="152"/>
        <v>0.37497334444766534</v>
      </c>
      <c r="BA81" s="117">
        <f t="shared" si="153"/>
        <v>0.29705831211481726</v>
      </c>
      <c r="BB81" s="117">
        <f t="shared" si="154"/>
        <v>0.1433245940301629</v>
      </c>
      <c r="BC81" s="118">
        <f t="shared" si="155"/>
        <v>0.24536851433937204</v>
      </c>
      <c r="BE81" s="107" t="s">
        <v>393</v>
      </c>
      <c r="BF81" s="307">
        <f t="shared" si="156"/>
        <v>-0.25727098883302557</v>
      </c>
      <c r="BG81" s="307">
        <f t="shared" si="144"/>
        <v>-0.10856420698068261</v>
      </c>
      <c r="BH81" s="307">
        <f t="shared" si="145"/>
        <v>-9.8718956533620283E-2</v>
      </c>
      <c r="BI81" s="118"/>
      <c r="BK81" s="107" t="s">
        <v>393</v>
      </c>
      <c r="BL81" s="307">
        <v>2.2994828173280251</v>
      </c>
      <c r="BM81" s="307">
        <v>-0.65590570952284399</v>
      </c>
      <c r="BN81" s="307">
        <v>-1.5953724919714947</v>
      </c>
      <c r="BO81" s="118"/>
      <c r="BQ81" s="107" t="s">
        <v>393</v>
      </c>
      <c r="BR81" s="307">
        <f t="shared" si="162"/>
        <v>2.2509596449705844</v>
      </c>
      <c r="BS81" s="307">
        <f t="shared" si="158"/>
        <v>-0.71673003817878045</v>
      </c>
      <c r="BT81" s="307">
        <f t="shared" si="159"/>
        <v>-1.6540073375380642</v>
      </c>
      <c r="BU81" s="118"/>
    </row>
    <row r="82" spans="1:89" x14ac:dyDescent="0.25">
      <c r="A82">
        <v>10</v>
      </c>
      <c r="B82" s="107" t="s">
        <v>555</v>
      </c>
      <c r="C82" s="113">
        <f>INDEX(TourMode_input!$B$4:$J$172,MATCH(TourMode!$A85,modes,0),MATCH("imain",modePurpose,0))+INDEX(TourMode_input!$B$4:$J$172,MATCH(TourMode!$A84,modes,0),MATCH("imain",modePurpose,0))</f>
        <v>50147.1011</v>
      </c>
      <c r="D82" s="113">
        <f>INDEX(TourMode_input!$B$20:$J$33,MATCH(TourMode!$A85,modes,0),MATCH("imain",modePurpose,0))+INDEX(TourMode_input!$B$20:$J$33,MATCH(TourMode!$A84,modes,0),MATCH("imain",modePurpose,0))</f>
        <v>24377.334989999999</v>
      </c>
      <c r="E82" s="113">
        <f>INDEX(TourMode_input!$B$36:$J$49,MATCH(TourMode!$A85,modes,0),MATCH("imain",modePurpose,0))+INDEX(TourMode_input!$B$36:$J$49,MATCH(TourMode!$A84,modes,0),MATCH("imain",modePurpose,0))</f>
        <v>12987.261069999999</v>
      </c>
      <c r="F82" s="116">
        <f t="shared" si="146"/>
        <v>87511.697159999996</v>
      </c>
      <c r="G82" s="300"/>
      <c r="H82" s="302">
        <f>F82/F$167</f>
        <v>0.14843285937480497</v>
      </c>
      <c r="I82" s="300">
        <f>H82*H$167</f>
        <v>97657.36019557406</v>
      </c>
      <c r="J82" s="115"/>
      <c r="K82">
        <v>10</v>
      </c>
      <c r="L82" s="107" t="s">
        <v>546</v>
      </c>
      <c r="M82" s="113">
        <f t="shared" ref="M82:O84" si="171">IF($F82&gt;0,C82/$F82*$I82,0)</f>
        <v>55960.902071557633</v>
      </c>
      <c r="N82" s="113">
        <f t="shared" si="171"/>
        <v>27203.519769180544</v>
      </c>
      <c r="O82" s="113">
        <f t="shared" si="171"/>
        <v>14492.938354835884</v>
      </c>
      <c r="P82" s="116">
        <f t="shared" si="148"/>
        <v>97657.360195574074</v>
      </c>
      <c r="Q82" s="115"/>
      <c r="R82">
        <v>10</v>
      </c>
      <c r="S82" s="107" t="s">
        <v>546</v>
      </c>
      <c r="T82" s="113">
        <f t="shared" ref="T82:V84" si="172">M82</f>
        <v>55960.902071557633</v>
      </c>
      <c r="U82" s="113">
        <f t="shared" si="172"/>
        <v>27203.519769180544</v>
      </c>
      <c r="V82" s="113">
        <f t="shared" si="172"/>
        <v>14492.938354835884</v>
      </c>
      <c r="W82" s="116">
        <f t="shared" si="149"/>
        <v>97657.360195574074</v>
      </c>
      <c r="X82" s="115"/>
      <c r="Y82" s="115"/>
      <c r="Z82" s="115"/>
      <c r="AA82" s="107" t="s">
        <v>546</v>
      </c>
      <c r="AB82" s="113">
        <f>INDEX(TourMode_input!$L$4:$T$17,MATCH(TourMode!$A85,modes,0),MATCH("imain",modePurpose,0))*Index!$B$2</f>
        <v>39490</v>
      </c>
      <c r="AC82" s="113">
        <f>INDEX(TourMode_input!$L$20:$T$33,MATCH(TourMode!$A85,modes,0), MATCH("imain",modePurpose,0))*Index!$B$2</f>
        <v>15925</v>
      </c>
      <c r="AD82" s="113">
        <f>INDEX(TourMode_input!$L$36:$T$49,MATCH(TourMode!$A85,modes,0), MATCH("imain",modePurpose,0))*Index!$B$2</f>
        <v>9165</v>
      </c>
      <c r="AE82" s="116">
        <f t="shared" si="150"/>
        <v>64580</v>
      </c>
      <c r="AG82" s="107" t="s">
        <v>395</v>
      </c>
      <c r="AH82" s="117">
        <f t="shared" si="163"/>
        <v>0.29912019708452109</v>
      </c>
      <c r="AI82" s="117">
        <f t="shared" si="164"/>
        <v>2.5401179105733251E-2</v>
      </c>
      <c r="AJ82" s="117">
        <f t="shared" si="165"/>
        <v>8.6376746508743992E-3</v>
      </c>
      <c r="AK82" s="118">
        <f t="shared" si="166"/>
        <v>3.3263006659107662E-2</v>
      </c>
      <c r="AL82" s="115"/>
      <c r="AM82" s="107" t="s">
        <v>395</v>
      </c>
      <c r="AN82" s="117">
        <f t="shared" si="167"/>
        <v>0.21108052489510115</v>
      </c>
      <c r="AO82" s="117">
        <f t="shared" si="168"/>
        <v>1.4869905831710949E-2</v>
      </c>
      <c r="AP82" s="117">
        <f t="shared" si="169"/>
        <v>5.4622662594054983E-3</v>
      </c>
      <c r="AQ82" s="118">
        <f t="shared" si="170"/>
        <v>2.1996549627628866E-2</v>
      </c>
      <c r="AS82" s="107" t="s">
        <v>395</v>
      </c>
      <c r="AT82" s="113">
        <f t="shared" si="151"/>
        <v>-16470.902071557633</v>
      </c>
      <c r="AU82" s="113">
        <f t="shared" si="141"/>
        <v>-11278.519769180544</v>
      </c>
      <c r="AV82" s="113">
        <f t="shared" si="142"/>
        <v>-5327.9383548358837</v>
      </c>
      <c r="AW82" s="116">
        <f t="shared" si="143"/>
        <v>-33077.360195574074</v>
      </c>
      <c r="AX82" s="115"/>
      <c r="AY82" s="107" t="s">
        <v>395</v>
      </c>
      <c r="AZ82" s="117">
        <f t="shared" si="152"/>
        <v>-0.3284517292178557</v>
      </c>
      <c r="BA82" s="117">
        <f t="shared" si="153"/>
        <v>-0.4626641826847433</v>
      </c>
      <c r="BB82" s="117">
        <f t="shared" si="154"/>
        <v>-0.41024341669262249</v>
      </c>
      <c r="BC82" s="118">
        <f t="shared" si="155"/>
        <v>-0.3779764450813683</v>
      </c>
      <c r="BE82" s="107" t="s">
        <v>395</v>
      </c>
      <c r="BF82" s="307">
        <f t="shared" si="156"/>
        <v>0.34860579430370875</v>
      </c>
      <c r="BG82" s="307">
        <f t="shared" si="144"/>
        <v>0.53545616675053931</v>
      </c>
      <c r="BH82" s="307">
        <f t="shared" si="145"/>
        <v>0.45826963949564947</v>
      </c>
      <c r="BI82" s="118"/>
      <c r="BK82" s="107" t="s">
        <v>395</v>
      </c>
      <c r="BL82" s="307">
        <v>1.5429471398974248</v>
      </c>
      <c r="BM82" s="307">
        <v>-2.7267117923375386</v>
      </c>
      <c r="BN82" s="307">
        <v>-2.6240676083952281</v>
      </c>
      <c r="BO82" s="118"/>
      <c r="BQ82" s="107" t="s">
        <v>395</v>
      </c>
      <c r="BR82" s="307">
        <f t="shared" si="162"/>
        <v>1.7973623591083512</v>
      </c>
      <c r="BS82" s="307">
        <f t="shared" si="158"/>
        <v>-2.4655259341278639</v>
      </c>
      <c r="BT82" s="307">
        <f t="shared" si="159"/>
        <v>-2.4042081559471624</v>
      </c>
      <c r="BU82" s="118"/>
    </row>
    <row r="83" spans="1:89" x14ac:dyDescent="0.25">
      <c r="A83">
        <v>11</v>
      </c>
      <c r="B83" s="107" t="s">
        <v>556</v>
      </c>
      <c r="C83" s="113">
        <f>INDEX(TourMode_input!$B$4:$J$172,MATCH(TourMode!$A86,modes,0),MATCH("imain",modePurpose,0))</f>
        <v>2873.6168499999999</v>
      </c>
      <c r="D83" s="113">
        <f>INDEX(TourMode_input!$B$20:$J$33,MATCH(TourMode!$A86,modes,0),MATCH("imain",modePurpose,0))</f>
        <v>1018.85867</v>
      </c>
      <c r="E83" s="113">
        <f>INDEX(TourMode_input!$B$36:$J$49,MATCH(TourMode!$A86,modes,0),MATCH("imain",modePurpose,0))</f>
        <v>2090.3649999999998</v>
      </c>
      <c r="F83" s="116">
        <f t="shared" si="146"/>
        <v>5982.8405199999997</v>
      </c>
      <c r="G83" s="300"/>
      <c r="H83" s="302">
        <f>F83/F$168</f>
        <v>7.3938363988603803E-2</v>
      </c>
      <c r="I83" s="300">
        <f>H83*H$168</f>
        <v>2530.6194256227686</v>
      </c>
      <c r="J83" s="115"/>
      <c r="K83">
        <v>11</v>
      </c>
      <c r="L83" s="107" t="s">
        <v>559</v>
      </c>
      <c r="M83" s="113">
        <f t="shared" si="171"/>
        <v>1215.4812748388135</v>
      </c>
      <c r="N83" s="113">
        <f t="shared" si="171"/>
        <v>430.9564217276141</v>
      </c>
      <c r="O83" s="113">
        <f t="shared" si="171"/>
        <v>884.18172905634094</v>
      </c>
      <c r="P83" s="116">
        <f t="shared" si="148"/>
        <v>2530.6194256227686</v>
      </c>
      <c r="Q83" s="115"/>
      <c r="R83">
        <v>11</v>
      </c>
      <c r="S83" s="107" t="s">
        <v>559</v>
      </c>
      <c r="T83" s="113">
        <f t="shared" si="172"/>
        <v>1215.4812748388135</v>
      </c>
      <c r="U83" s="113">
        <f t="shared" si="172"/>
        <v>430.9564217276141</v>
      </c>
      <c r="V83" s="113">
        <f t="shared" si="172"/>
        <v>884.18172905634094</v>
      </c>
      <c r="W83" s="116">
        <f t="shared" si="149"/>
        <v>2530.6194256227686</v>
      </c>
      <c r="X83" s="115"/>
      <c r="Y83" s="115"/>
      <c r="Z83" s="115"/>
      <c r="AA83" s="107" t="s">
        <v>559</v>
      </c>
      <c r="AB83" s="113">
        <f>INDEX(TourMode_input!$L$4:$T$17,MATCH(TourMode!$A86,modes,0),MATCH("imain",modePurpose,0))*Index!$B$2</f>
        <v>940</v>
      </c>
      <c r="AC83" s="113">
        <f>INDEX(TourMode_input!$L$20:$T$33,MATCH(TourMode!$A86,modes,0), MATCH("imain",modePurpose,0))*Index!$B$2</f>
        <v>285</v>
      </c>
      <c r="AD83" s="113">
        <f>INDEX(TourMode_input!$L$36:$T$49,MATCH(TourMode!$A86,modes,0), MATCH("imain",modePurpose,0))*Index!$B$2</f>
        <v>575</v>
      </c>
      <c r="AE83" s="116">
        <f t="shared" si="150"/>
        <v>1800</v>
      </c>
      <c r="AG83" s="107" t="s">
        <v>396</v>
      </c>
      <c r="AH83" s="117">
        <f t="shared" si="163"/>
        <v>6.4969467078537209E-3</v>
      </c>
      <c r="AI83" s="117">
        <f t="shared" si="164"/>
        <v>4.0240385611684367E-4</v>
      </c>
      <c r="AJ83" s="117">
        <f t="shared" si="165"/>
        <v>5.269651964874266E-4</v>
      </c>
      <c r="AK83" s="118">
        <f t="shared" si="166"/>
        <v>8.6195255163135467E-4</v>
      </c>
      <c r="AL83" s="115"/>
      <c r="AM83" s="107" t="s">
        <v>396</v>
      </c>
      <c r="AN83" s="117">
        <f t="shared" si="167"/>
        <v>5.0244541251302883E-3</v>
      </c>
      <c r="AO83" s="117">
        <f t="shared" si="168"/>
        <v>2.6611762398980347E-4</v>
      </c>
      <c r="AP83" s="117">
        <f t="shared" si="169"/>
        <v>3.4269537361245625E-4</v>
      </c>
      <c r="AQ83" s="118">
        <f t="shared" si="170"/>
        <v>6.1309676880972371E-4</v>
      </c>
      <c r="AS83" s="107" t="s">
        <v>396</v>
      </c>
      <c r="AT83" s="113">
        <f t="shared" si="151"/>
        <v>-275.48127483881353</v>
      </c>
      <c r="AU83" s="113">
        <f t="shared" si="141"/>
        <v>-145.9564217276141</v>
      </c>
      <c r="AV83" s="113">
        <f t="shared" si="142"/>
        <v>-309.18172905634094</v>
      </c>
      <c r="AW83" s="116">
        <f t="shared" si="143"/>
        <v>-730.61942562276863</v>
      </c>
      <c r="AX83" s="115"/>
      <c r="AY83" s="107" t="s">
        <v>396</v>
      </c>
      <c r="AZ83" s="117">
        <f t="shared" si="152"/>
        <v>-9.5865694425759485E-2</v>
      </c>
      <c r="BA83" s="117">
        <f t="shared" si="153"/>
        <v>-0.1432548262337642</v>
      </c>
      <c r="BB83" s="117">
        <f t="shared" si="154"/>
        <v>-0.14790801082889399</v>
      </c>
      <c r="BC83" s="118">
        <f t="shared" si="155"/>
        <v>-0.12211915446858153</v>
      </c>
      <c r="BE83" s="107" t="s">
        <v>396</v>
      </c>
      <c r="BF83" s="307">
        <f t="shared" si="156"/>
        <v>0.25701551305780385</v>
      </c>
      <c r="BG83" s="307">
        <f t="shared" si="144"/>
        <v>0.41351779504245967</v>
      </c>
      <c r="BH83" s="307">
        <f t="shared" si="145"/>
        <v>0.43029257656806158</v>
      </c>
      <c r="BI83" s="118"/>
      <c r="BK83" s="107" t="s">
        <v>396</v>
      </c>
      <c r="BL83" s="307">
        <v>-0.7031279872300561</v>
      </c>
      <c r="BM83" s="307">
        <v>-6.1677492711483479</v>
      </c>
      <c r="BN83" s="307">
        <v>-5.7796147055343026</v>
      </c>
      <c r="BO83" s="118"/>
      <c r="BQ83" s="107" t="s">
        <v>396</v>
      </c>
      <c r="BR83" s="307">
        <f t="shared" si="162"/>
        <v>-0.49450790864208211</v>
      </c>
      <c r="BS83" s="307">
        <f t="shared" si="158"/>
        <v>-5.9675325987927135</v>
      </c>
      <c r="BT83" s="307">
        <f t="shared" si="159"/>
        <v>-5.5737437845500306</v>
      </c>
      <c r="BU83" s="118"/>
    </row>
    <row r="84" spans="1:89" x14ac:dyDescent="0.25">
      <c r="A84">
        <v>12</v>
      </c>
      <c r="B84" s="107" t="s">
        <v>557</v>
      </c>
      <c r="C84" s="297">
        <v>0</v>
      </c>
      <c r="D84" s="113">
        <f>INDEX(TourMode_input!$B$20:$J$33,MATCH(TourMode!$A87,modes,0),MATCH("imain",modePurpose,0))</f>
        <v>1673.26422</v>
      </c>
      <c r="E84" s="113">
        <f>INDEX(TourMode_input!$B$36:$J$49,MATCH(TourMode!$A87,modes,0),MATCH("imain",modePurpose,0))</f>
        <v>3430.85968</v>
      </c>
      <c r="F84" s="116">
        <f t="shared" si="146"/>
        <v>5104.1239000000005</v>
      </c>
      <c r="G84" s="300"/>
      <c r="H84" s="302">
        <f>F84/F$169</f>
        <v>3.3754397243058759E-2</v>
      </c>
      <c r="I84" s="300">
        <f>H84*H$169</f>
        <v>3354.1675715211513</v>
      </c>
      <c r="J84" s="115"/>
      <c r="K84">
        <v>12</v>
      </c>
      <c r="L84" s="107" t="s">
        <v>560</v>
      </c>
      <c r="M84" s="113">
        <f t="shared" si="171"/>
        <v>0</v>
      </c>
      <c r="N84" s="113">
        <f t="shared" si="171"/>
        <v>1099.583140078287</v>
      </c>
      <c r="O84" s="113">
        <f t="shared" si="171"/>
        <v>2254.5844314428641</v>
      </c>
      <c r="P84" s="116">
        <f t="shared" si="148"/>
        <v>3354.1675715211513</v>
      </c>
      <c r="Q84" s="115"/>
      <c r="R84">
        <v>12</v>
      </c>
      <c r="S84" s="107" t="s">
        <v>560</v>
      </c>
      <c r="T84" s="113">
        <f t="shared" si="172"/>
        <v>0</v>
      </c>
      <c r="U84" s="113">
        <f t="shared" si="172"/>
        <v>1099.583140078287</v>
      </c>
      <c r="V84" s="113">
        <f t="shared" si="172"/>
        <v>2254.5844314428641</v>
      </c>
      <c r="W84" s="116">
        <f t="shared" si="149"/>
        <v>3354.1675715211513</v>
      </c>
      <c r="X84" s="115"/>
      <c r="Y84" s="115"/>
      <c r="Z84" s="115"/>
      <c r="AA84" s="107" t="s">
        <v>560</v>
      </c>
      <c r="AB84" s="113">
        <f>INDEX(TourMode_input!$L$4:$T$17,MATCH(TourMode!$A87,modes,0),MATCH("imain",modePurpose,0))*Index!$B$2</f>
        <v>0</v>
      </c>
      <c r="AC84" s="113">
        <f>INDEX(TourMode_input!$L$20:$T$33,MATCH(TourMode!$A87,modes,0), MATCH("imain",modePurpose,0))*Index!$B$2</f>
        <v>0</v>
      </c>
      <c r="AD84" s="113">
        <f>INDEX(TourMode_input!$L$36:$T$49,MATCH(TourMode!$A87,modes,0), MATCH("imain",modePurpose,0))*Index!$B$2</f>
        <v>1020</v>
      </c>
      <c r="AE84" s="116">
        <f t="shared" si="150"/>
        <v>1020</v>
      </c>
      <c r="AG84" s="107" t="s">
        <v>397</v>
      </c>
      <c r="AH84" s="117">
        <f t="shared" si="163"/>
        <v>0</v>
      </c>
      <c r="AI84" s="117">
        <f t="shared" si="164"/>
        <v>1.0267314126908109E-3</v>
      </c>
      <c r="AJ84" s="117">
        <f t="shared" si="165"/>
        <v>1.3437141809985033E-3</v>
      </c>
      <c r="AK84" s="118">
        <f t="shared" si="166"/>
        <v>1.1424607223033199E-3</v>
      </c>
      <c r="AL84" s="115"/>
      <c r="AM84" s="107" t="s">
        <v>397</v>
      </c>
      <c r="AN84" s="117">
        <f t="shared" si="167"/>
        <v>0</v>
      </c>
      <c r="AO84" s="117">
        <f t="shared" si="168"/>
        <v>0</v>
      </c>
      <c r="AP84" s="117">
        <f t="shared" si="169"/>
        <v>6.0791179319079195E-4</v>
      </c>
      <c r="AQ84" s="118">
        <f t="shared" si="170"/>
        <v>3.4742150232551012E-4</v>
      </c>
      <c r="AS84" s="107" t="s">
        <v>397</v>
      </c>
      <c r="AT84" s="113">
        <f t="shared" si="151"/>
        <v>0</v>
      </c>
      <c r="AU84" s="113">
        <f t="shared" si="141"/>
        <v>-1099.583140078287</v>
      </c>
      <c r="AV84" s="113">
        <f t="shared" si="142"/>
        <v>-1234.5844314428641</v>
      </c>
      <c r="AW84" s="116">
        <f t="shared" si="143"/>
        <v>-2334.1675715211513</v>
      </c>
      <c r="AX84" s="115"/>
      <c r="AY84" s="107" t="s">
        <v>397</v>
      </c>
      <c r="AZ84" s="117">
        <f t="shared" si="152"/>
        <v>0</v>
      </c>
      <c r="BA84" s="117">
        <f t="shared" si="153"/>
        <v>-0.65714854052056826</v>
      </c>
      <c r="BB84" s="117">
        <f t="shared" si="154"/>
        <v>-0.3598469615763662</v>
      </c>
      <c r="BC84" s="118">
        <f t="shared" si="155"/>
        <v>-0.45731013142552263</v>
      </c>
      <c r="BE84" s="107" t="s">
        <v>397</v>
      </c>
      <c r="BF84" s="307">
        <f t="shared" si="156"/>
        <v>0</v>
      </c>
      <c r="BG84" s="307">
        <f t="shared" si="144"/>
        <v>0</v>
      </c>
      <c r="BH84" s="307">
        <f t="shared" si="145"/>
        <v>0.79316304106692781</v>
      </c>
      <c r="BI84" s="118"/>
      <c r="BK84" s="107" t="s">
        <v>397</v>
      </c>
      <c r="BL84" s="307">
        <v>0.5157779124843701</v>
      </c>
      <c r="BM84" s="307">
        <v>-6.8724751133863506</v>
      </c>
      <c r="BN84" s="307">
        <v>-3.3641289410915682</v>
      </c>
      <c r="BO84" s="118"/>
      <c r="BQ84" s="107" t="s">
        <v>397</v>
      </c>
      <c r="BR84" s="307">
        <f t="shared" si="162"/>
        <v>0.59589023454344214</v>
      </c>
      <c r="BS84" s="307">
        <f t="shared" si="158"/>
        <v>-6.8790173385519457</v>
      </c>
      <c r="BT84" s="307">
        <f t="shared" si="159"/>
        <v>-2.9768227878578637</v>
      </c>
      <c r="BU84" s="118"/>
    </row>
    <row r="85" spans="1:89" x14ac:dyDescent="0.25">
      <c r="A85">
        <v>13</v>
      </c>
      <c r="B85" s="107" t="s">
        <v>398</v>
      </c>
      <c r="C85" s="113">
        <f>INDEX(TourMode_input!$B$4:$J$172,MATCH(TourMode!$A88,modes,0),MATCH("imain",modePurpose,0))</f>
        <v>6646.2762000000002</v>
      </c>
      <c r="D85" s="113">
        <f>INDEX(TourMode_input!$B$20:$J$33,MATCH(TourMode!$A88,modes,0),MATCH("imain",modePurpose,0))</f>
        <v>1698.5717400000001</v>
      </c>
      <c r="E85" s="113">
        <f>INDEX(TourMode_input!$B$36:$J$49,MATCH(TourMode!$A88,modes,0),MATCH("imain",modePurpose,0))</f>
        <v>1742.08295</v>
      </c>
      <c r="F85" s="116">
        <f t="shared" si="146"/>
        <v>10086.93089</v>
      </c>
      <c r="G85" s="300"/>
      <c r="H85" s="300"/>
      <c r="I85" s="300"/>
      <c r="J85" s="115"/>
      <c r="K85">
        <v>13</v>
      </c>
      <c r="L85" s="107" t="s">
        <v>398</v>
      </c>
      <c r="M85" s="113">
        <f t="shared" ref="M85:O86" si="173">C85</f>
        <v>6646.2762000000002</v>
      </c>
      <c r="N85" s="113">
        <f t="shared" si="173"/>
        <v>1698.5717400000001</v>
      </c>
      <c r="O85" s="113">
        <f t="shared" si="173"/>
        <v>1742.08295</v>
      </c>
      <c r="P85" s="116">
        <f t="shared" si="148"/>
        <v>10086.93089</v>
      </c>
      <c r="Q85" s="115"/>
      <c r="R85">
        <v>13</v>
      </c>
      <c r="S85" s="107" t="s">
        <v>398</v>
      </c>
      <c r="T85" s="113">
        <f>IF(M88&gt;0,M85/M88*T88,0)</f>
        <v>8494.2535843428577</v>
      </c>
      <c r="U85" s="113">
        <f>IF(N88&gt;0,N85/N88*U88,0)</f>
        <v>4399.9856865391921</v>
      </c>
      <c r="V85" s="113">
        <f>IF(O88&gt;0,O85/O88*V88,0)</f>
        <v>2406.4459418937581</v>
      </c>
      <c r="W85" s="116">
        <f t="shared" si="149"/>
        <v>15300.685212775808</v>
      </c>
      <c r="X85" s="115"/>
      <c r="Y85" s="115"/>
      <c r="Z85" s="115"/>
      <c r="AA85" s="107" t="s">
        <v>398</v>
      </c>
      <c r="AB85" s="113">
        <f>INDEX(TourMode_input!$L$4:$T$17,MATCH(TourMode!$A88,modes,0),MATCH("imain",modePurpose,0))*Index!$B$2</f>
        <v>10310</v>
      </c>
      <c r="AC85" s="113">
        <f>INDEX(TourMode_input!$L$20:$T$33,MATCH(TourMode!$A88,modes,0), MATCH("imain",modePurpose,0))*Index!$B$2</f>
        <v>4115</v>
      </c>
      <c r="AD85" s="113">
        <f>INDEX(TourMode_input!$L$36:$T$49,MATCH(TourMode!$A88,modes,0), MATCH("imain",modePurpose,0))*Index!$B$2</f>
        <v>2420</v>
      </c>
      <c r="AE85" s="116">
        <f t="shared" si="150"/>
        <v>16845</v>
      </c>
      <c r="AG85" s="107" t="s">
        <v>398</v>
      </c>
      <c r="AH85" s="117">
        <f t="shared" si="163"/>
        <v>4.5403178150802345E-2</v>
      </c>
      <c r="AI85" s="117">
        <f t="shared" si="164"/>
        <v>4.1084692508454547E-3</v>
      </c>
      <c r="AJ85" s="117">
        <f t="shared" si="165"/>
        <v>1.4342224193660182E-3</v>
      </c>
      <c r="AK85" s="118">
        <f t="shared" si="166"/>
        <v>5.2115559247375379E-3</v>
      </c>
      <c r="AL85" s="115"/>
      <c r="AM85" s="107" t="s">
        <v>398</v>
      </c>
      <c r="AN85" s="117">
        <f t="shared" si="167"/>
        <v>5.5108640457546036E-2</v>
      </c>
      <c r="AO85" s="117">
        <f t="shared" si="168"/>
        <v>3.8423649919931274E-3</v>
      </c>
      <c r="AP85" s="117">
        <f t="shared" si="169"/>
        <v>1.4423005289428592E-3</v>
      </c>
      <c r="AQ85" s="118">
        <f t="shared" si="170"/>
        <v>5.737563928110998E-3</v>
      </c>
      <c r="AS85" s="107" t="s">
        <v>398</v>
      </c>
      <c r="AT85" s="113">
        <f t="shared" si="151"/>
        <v>1815.7464156571423</v>
      </c>
      <c r="AU85" s="113">
        <f t="shared" si="141"/>
        <v>-284.9856865391921</v>
      </c>
      <c r="AV85" s="113">
        <f t="shared" si="142"/>
        <v>13.554058106241882</v>
      </c>
      <c r="AW85" s="116">
        <f t="shared" si="143"/>
        <v>1544.3147872241916</v>
      </c>
      <c r="AX85" s="115"/>
      <c r="AY85" s="107" t="s">
        <v>398</v>
      </c>
      <c r="AZ85" s="117">
        <f t="shared" si="152"/>
        <v>0.27319755619803193</v>
      </c>
      <c r="BA85" s="117">
        <f t="shared" si="153"/>
        <v>-0.16777959966482905</v>
      </c>
      <c r="BB85" s="117">
        <f t="shared" si="154"/>
        <v>7.7803746981404548E-3</v>
      </c>
      <c r="BC85" s="118">
        <f t="shared" si="155"/>
        <v>0.15310056191177013</v>
      </c>
      <c r="BE85" s="107" t="s">
        <v>398</v>
      </c>
      <c r="BF85" s="307">
        <f t="shared" si="156"/>
        <v>-0.19372441205754284</v>
      </c>
      <c r="BG85" s="307">
        <f t="shared" si="144"/>
        <v>6.6962453730617058E-2</v>
      </c>
      <c r="BH85" s="307">
        <f t="shared" si="145"/>
        <v>-5.6165940325066206E-3</v>
      </c>
      <c r="BI85" s="118"/>
      <c r="BK85" s="107" t="s">
        <v>398</v>
      </c>
      <c r="BL85" s="307">
        <v>1.6288334137243923</v>
      </c>
      <c r="BM85" s="307">
        <v>-2.7313852477889076</v>
      </c>
      <c r="BN85" s="307">
        <v>-3.7895262135299359</v>
      </c>
      <c r="BO85" s="118"/>
      <c r="BQ85" s="107" t="s">
        <v>398</v>
      </c>
      <c r="BR85" s="307">
        <f t="shared" si="162"/>
        <v>1.6120835297546929</v>
      </c>
      <c r="BS85" s="307">
        <f t="shared" si="158"/>
        <v>-2.7044462460891943</v>
      </c>
      <c r="BT85" s="307">
        <f t="shared" si="159"/>
        <v>-3.8016098778459484</v>
      </c>
      <c r="BU85" s="118"/>
    </row>
    <row r="86" spans="1:89" x14ac:dyDescent="0.25">
      <c r="A86">
        <v>14</v>
      </c>
      <c r="B86" s="107" t="s">
        <v>399</v>
      </c>
      <c r="C86" s="297">
        <v>0</v>
      </c>
      <c r="D86" s="297">
        <v>0</v>
      </c>
      <c r="E86" s="297">
        <v>0</v>
      </c>
      <c r="F86" s="116">
        <f t="shared" si="146"/>
        <v>0</v>
      </c>
      <c r="G86" s="300"/>
      <c r="H86" s="300"/>
      <c r="I86" s="300"/>
      <c r="J86" s="115"/>
      <c r="K86">
        <v>14</v>
      </c>
      <c r="L86" s="107" t="s">
        <v>399</v>
      </c>
      <c r="M86" s="113">
        <f t="shared" si="173"/>
        <v>0</v>
      </c>
      <c r="N86" s="113">
        <f t="shared" si="173"/>
        <v>0</v>
      </c>
      <c r="O86" s="113">
        <f t="shared" si="173"/>
        <v>0</v>
      </c>
      <c r="P86" s="116">
        <f t="shared" si="148"/>
        <v>0</v>
      </c>
      <c r="Q86" s="115"/>
      <c r="R86">
        <v>14</v>
      </c>
      <c r="S86" s="107" t="s">
        <v>399</v>
      </c>
      <c r="T86" s="113">
        <f>IF(M88&gt;0,M86/M88*T88,0)</f>
        <v>0</v>
      </c>
      <c r="U86" s="113">
        <f>IF(N88&gt;0,N86/N88*U88,0)</f>
        <v>0</v>
      </c>
      <c r="V86" s="113">
        <f>IF(O88&gt;0,O86/O88*V88,0)</f>
        <v>0</v>
      </c>
      <c r="W86" s="116">
        <f t="shared" si="149"/>
        <v>0</v>
      </c>
      <c r="X86" s="115"/>
      <c r="Y86" s="115"/>
      <c r="Z86" s="115"/>
      <c r="AA86" s="107" t="s">
        <v>399</v>
      </c>
      <c r="AB86" s="113">
        <f>INDEX(TourMode_input!$L$4:$T$17,MATCH(TourMode!$A89,modes,0),MATCH("imain",modePurpose,0))*Index!$B$2</f>
        <v>0</v>
      </c>
      <c r="AC86" s="113">
        <f>INDEX(TourMode_input!$L$20:$T$33,MATCH(TourMode!$A89,modes,0), MATCH("imain",modePurpose,0))*Index!$B$2</f>
        <v>0</v>
      </c>
      <c r="AD86" s="113">
        <f>INDEX(TourMode_input!$L$36:$T$49,MATCH(TourMode!$A89,modes,0), MATCH("imain",modePurpose,0))*Index!$B$2</f>
        <v>0</v>
      </c>
      <c r="AE86" s="116">
        <f t="shared" si="150"/>
        <v>0</v>
      </c>
      <c r="AG86" s="107" t="s">
        <v>399</v>
      </c>
      <c r="AH86" s="117">
        <f t="shared" si="163"/>
        <v>0</v>
      </c>
      <c r="AI86" s="117">
        <f t="shared" si="164"/>
        <v>0</v>
      </c>
      <c r="AJ86" s="117">
        <f t="shared" si="165"/>
        <v>0</v>
      </c>
      <c r="AK86" s="118">
        <f t="shared" si="166"/>
        <v>0</v>
      </c>
      <c r="AL86" s="115"/>
      <c r="AM86" s="107" t="s">
        <v>399</v>
      </c>
      <c r="AN86" s="117">
        <f t="shared" si="167"/>
        <v>0</v>
      </c>
      <c r="AO86" s="117">
        <f t="shared" si="168"/>
        <v>0</v>
      </c>
      <c r="AP86" s="117">
        <f t="shared" si="169"/>
        <v>0</v>
      </c>
      <c r="AQ86" s="118">
        <f t="shared" si="170"/>
        <v>0</v>
      </c>
      <c r="AS86" s="107" t="s">
        <v>399</v>
      </c>
      <c r="AT86" s="113">
        <f t="shared" si="151"/>
        <v>0</v>
      </c>
      <c r="AU86" s="113">
        <f t="shared" si="141"/>
        <v>0</v>
      </c>
      <c r="AV86" s="113">
        <f t="shared" si="142"/>
        <v>0</v>
      </c>
      <c r="AW86" s="116">
        <f t="shared" si="143"/>
        <v>0</v>
      </c>
      <c r="AX86" s="115"/>
      <c r="AY86" s="107" t="s">
        <v>399</v>
      </c>
      <c r="AZ86" s="117">
        <f t="shared" si="152"/>
        <v>0</v>
      </c>
      <c r="BA86" s="117">
        <f t="shared" si="153"/>
        <v>0</v>
      </c>
      <c r="BB86" s="117">
        <f t="shared" si="154"/>
        <v>0</v>
      </c>
      <c r="BC86" s="118">
        <f t="shared" si="155"/>
        <v>0</v>
      </c>
      <c r="BE86" s="107" t="s">
        <v>399</v>
      </c>
      <c r="BF86" s="307">
        <f t="shared" si="156"/>
        <v>0</v>
      </c>
      <c r="BG86" s="307">
        <f t="shared" si="144"/>
        <v>0</v>
      </c>
      <c r="BH86" s="307">
        <f t="shared" si="145"/>
        <v>0</v>
      </c>
      <c r="BI86" s="118"/>
      <c r="BK86" s="107" t="s">
        <v>399</v>
      </c>
      <c r="BL86" s="307">
        <v>0.4308302493302133</v>
      </c>
      <c r="BM86" s="307">
        <v>-2.4017669035367564</v>
      </c>
      <c r="BN86" s="307">
        <v>-1.3364292924187184</v>
      </c>
      <c r="BO86" s="118"/>
      <c r="BQ86" s="107" t="s">
        <v>399</v>
      </c>
      <c r="BR86" s="307">
        <f t="shared" si="162"/>
        <v>0.51094257138928534</v>
      </c>
      <c r="BS86" s="307">
        <f t="shared" si="158"/>
        <v>-2.4083091287023515</v>
      </c>
      <c r="BT86" s="307">
        <f t="shared" si="159"/>
        <v>-1.3457046597184776</v>
      </c>
      <c r="BU86" s="118"/>
    </row>
    <row r="87" spans="1:89" ht="15.75" thickBot="1" x14ac:dyDescent="0.3">
      <c r="B87" s="108" t="s">
        <v>29</v>
      </c>
      <c r="C87" s="109">
        <f>SUM(C74:C86)</f>
        <v>154666.91186999998</v>
      </c>
      <c r="D87" s="110">
        <f>SUM(D74:D86)</f>
        <v>429408.72959000006</v>
      </c>
      <c r="E87" s="111">
        <f>SUM(E74:E86)</f>
        <v>1220397.74807</v>
      </c>
      <c r="F87" s="112">
        <f>SUM(F74:F86)</f>
        <v>1804473.38953</v>
      </c>
      <c r="G87" s="301"/>
      <c r="H87" s="301"/>
      <c r="I87" s="301"/>
      <c r="L87" s="108" t="s">
        <v>29</v>
      </c>
      <c r="M87" s="109">
        <f>SUM(M74:M86)</f>
        <v>158822.57726639643</v>
      </c>
      <c r="N87" s="110">
        <f>SUM(N74:N86)</f>
        <v>431073.33104098652</v>
      </c>
      <c r="O87" s="111">
        <f>SUM(O74:O86)</f>
        <v>1219520.9668353351</v>
      </c>
      <c r="P87" s="112">
        <f>SUM(P74:P86)</f>
        <v>1809416.875142718</v>
      </c>
      <c r="S87" s="108" t="s">
        <v>29</v>
      </c>
      <c r="T87" s="109">
        <f>SUM(T74:T86)</f>
        <v>187085.00000000003</v>
      </c>
      <c r="U87" s="110">
        <f>SUM(U74:U86)</f>
        <v>1070954.9999999995</v>
      </c>
      <c r="V87" s="111">
        <f>SUM(V74:V86)</f>
        <v>1677875.0000000002</v>
      </c>
      <c r="W87" s="112">
        <f>SUM(W74:W86)</f>
        <v>2935915</v>
      </c>
      <c r="AA87" s="108" t="s">
        <v>29</v>
      </c>
      <c r="AB87" s="109">
        <f>SUM(AB74:AB86)</f>
        <v>187085</v>
      </c>
      <c r="AC87" s="110">
        <f>SUM(AC74:AC86)</f>
        <v>1070955</v>
      </c>
      <c r="AD87" s="111">
        <f>SUM(AD74:AD86)</f>
        <v>1677875</v>
      </c>
      <c r="AE87" s="112">
        <f>SUM(AE74:AE86)</f>
        <v>2935915</v>
      </c>
      <c r="AG87" s="108" t="s">
        <v>29</v>
      </c>
      <c r="AH87" s="120">
        <f t="shared" si="163"/>
        <v>1</v>
      </c>
      <c r="AI87" s="121">
        <f t="shared" si="164"/>
        <v>1</v>
      </c>
      <c r="AJ87" s="122">
        <f t="shared" si="165"/>
        <v>1</v>
      </c>
      <c r="AK87" s="123">
        <f t="shared" si="166"/>
        <v>1</v>
      </c>
      <c r="AM87" s="108" t="s">
        <v>29</v>
      </c>
      <c r="AN87" s="120">
        <f t="shared" si="167"/>
        <v>1</v>
      </c>
      <c r="AO87" s="121">
        <f t="shared" si="168"/>
        <v>1</v>
      </c>
      <c r="AP87" s="122">
        <f t="shared" si="169"/>
        <v>1</v>
      </c>
      <c r="AQ87" s="123">
        <f t="shared" si="170"/>
        <v>1</v>
      </c>
      <c r="AS87" s="108" t="s">
        <v>29</v>
      </c>
      <c r="AT87" s="109">
        <f t="shared" si="151"/>
        <v>0</v>
      </c>
      <c r="AU87" s="110">
        <f t="shared" si="141"/>
        <v>0</v>
      </c>
      <c r="AV87" s="111">
        <f t="shared" si="142"/>
        <v>0</v>
      </c>
      <c r="AW87" s="112">
        <f t="shared" si="143"/>
        <v>0</v>
      </c>
      <c r="AY87" s="108" t="s">
        <v>29</v>
      </c>
      <c r="AZ87" s="117">
        <f t="shared" si="152"/>
        <v>0</v>
      </c>
      <c r="BA87" s="117">
        <f t="shared" si="153"/>
        <v>0</v>
      </c>
      <c r="BB87" s="117">
        <f t="shared" si="154"/>
        <v>0</v>
      </c>
      <c r="BC87" s="118">
        <f t="shared" si="155"/>
        <v>0</v>
      </c>
      <c r="BE87" s="108" t="s">
        <v>29</v>
      </c>
      <c r="BF87" s="117"/>
      <c r="BG87" s="117"/>
      <c r="BH87" s="117"/>
      <c r="BI87" s="118"/>
      <c r="BK87" s="108" t="s">
        <v>29</v>
      </c>
      <c r="BL87" s="117"/>
      <c r="BM87" s="117"/>
      <c r="BN87" s="117"/>
      <c r="BO87" s="118"/>
      <c r="BQ87" s="108" t="s">
        <v>29</v>
      </c>
      <c r="BR87" s="117"/>
      <c r="BS87" s="117"/>
      <c r="BT87" s="117"/>
      <c r="BU87" s="118"/>
    </row>
    <row r="88" spans="1:89" x14ac:dyDescent="0.25">
      <c r="B88" s="304"/>
      <c r="C88" s="301"/>
      <c r="D88" s="301"/>
      <c r="E88" s="301"/>
      <c r="F88" s="301"/>
      <c r="G88" s="301"/>
      <c r="H88" s="301"/>
      <c r="I88" s="301"/>
      <c r="L88" s="304"/>
      <c r="M88" s="286">
        <f>M87-SUM(M82:M84)</f>
        <v>101646.19391999999</v>
      </c>
      <c r="N88" s="286">
        <f>N87-SUM(N82:N84)</f>
        <v>402339.27171000006</v>
      </c>
      <c r="O88" s="286">
        <f>O87-SUM(O82:O84)</f>
        <v>1201889.26232</v>
      </c>
      <c r="P88" s="301"/>
      <c r="S88" s="304"/>
      <c r="T88" s="286">
        <f>AB87-SUM(T82:T84)</f>
        <v>129908.61665360356</v>
      </c>
      <c r="U88" s="286">
        <f>AC87-SUM(U82:U84)</f>
        <v>1042220.9406690135</v>
      </c>
      <c r="V88" s="286">
        <f>AD87-SUM(V82:V84)</f>
        <v>1660243.2954846648</v>
      </c>
      <c r="W88" s="301"/>
      <c r="AA88" s="304"/>
      <c r="AB88" s="301"/>
      <c r="AC88" s="301"/>
      <c r="AD88" s="301"/>
      <c r="AE88" s="301"/>
      <c r="AG88" s="304"/>
      <c r="AH88" s="305"/>
      <c r="AI88" s="305"/>
      <c r="AJ88" s="305"/>
      <c r="AK88" s="305"/>
      <c r="AM88" s="304"/>
      <c r="AN88" s="305"/>
      <c r="AO88" s="305"/>
      <c r="AP88" s="305"/>
      <c r="AQ88" s="305"/>
      <c r="AS88" s="304"/>
      <c r="AT88" s="301"/>
      <c r="AU88" s="301"/>
      <c r="AV88" s="301"/>
      <c r="AW88" s="301"/>
      <c r="AY88" s="304"/>
      <c r="AZ88" s="306"/>
      <c r="BA88" s="306"/>
      <c r="BB88" s="306"/>
      <c r="BC88" s="306"/>
      <c r="BE88" s="304"/>
      <c r="BF88" s="306"/>
      <c r="BG88" s="306"/>
      <c r="BH88" s="306"/>
      <c r="BI88" s="306"/>
      <c r="BK88" s="304"/>
      <c r="BL88" s="306"/>
      <c r="BM88" s="306"/>
      <c r="BN88" s="306"/>
      <c r="BO88" s="306"/>
      <c r="BQ88" s="304"/>
      <c r="BR88" s="306"/>
      <c r="BS88" s="306"/>
      <c r="BT88" s="306"/>
      <c r="BU88" s="306"/>
    </row>
    <row r="89" spans="1:89" ht="26.25" x14ac:dyDescent="0.4">
      <c r="A89" s="150" t="s">
        <v>151</v>
      </c>
      <c r="K89" s="150" t="s">
        <v>151</v>
      </c>
      <c r="R89" s="150" t="s">
        <v>151</v>
      </c>
    </row>
    <row r="90" spans="1:89" ht="26.25" x14ac:dyDescent="0.25">
      <c r="B90" s="102" t="s">
        <v>134</v>
      </c>
      <c r="C90" s="103" t="s">
        <v>135</v>
      </c>
      <c r="D90" s="104" t="s">
        <v>136</v>
      </c>
      <c r="E90" s="105" t="s">
        <v>137</v>
      </c>
      <c r="F90" s="106" t="s">
        <v>29</v>
      </c>
      <c r="G90" s="299"/>
      <c r="H90" s="299"/>
      <c r="I90" s="299"/>
      <c r="L90" s="102" t="s">
        <v>134</v>
      </c>
      <c r="M90" s="103" t="s">
        <v>135</v>
      </c>
      <c r="N90" s="104" t="s">
        <v>136</v>
      </c>
      <c r="O90" s="105" t="s">
        <v>137</v>
      </c>
      <c r="P90" s="106" t="s">
        <v>29</v>
      </c>
      <c r="S90" s="102" t="s">
        <v>134</v>
      </c>
      <c r="T90" s="103" t="s">
        <v>135</v>
      </c>
      <c r="U90" s="104" t="s">
        <v>136</v>
      </c>
      <c r="V90" s="105" t="s">
        <v>137</v>
      </c>
      <c r="W90" s="106" t="s">
        <v>29</v>
      </c>
      <c r="AA90" s="102" t="s">
        <v>134</v>
      </c>
      <c r="AB90" s="103" t="s">
        <v>135</v>
      </c>
      <c r="AC90" s="104" t="s">
        <v>136</v>
      </c>
      <c r="AD90" s="105" t="s">
        <v>137</v>
      </c>
      <c r="AE90" s="106" t="s">
        <v>29</v>
      </c>
      <c r="AG90" s="102" t="s">
        <v>134</v>
      </c>
      <c r="AH90" s="103" t="s">
        <v>135</v>
      </c>
      <c r="AI90" s="104" t="s">
        <v>136</v>
      </c>
      <c r="AJ90" s="105" t="s">
        <v>137</v>
      </c>
      <c r="AK90" s="106" t="s">
        <v>29</v>
      </c>
      <c r="AM90" s="102" t="s">
        <v>134</v>
      </c>
      <c r="AN90" s="103" t="s">
        <v>135</v>
      </c>
      <c r="AO90" s="104" t="s">
        <v>136</v>
      </c>
      <c r="AP90" s="105" t="s">
        <v>137</v>
      </c>
      <c r="AQ90" s="106" t="s">
        <v>29</v>
      </c>
      <c r="AS90" s="102" t="s">
        <v>134</v>
      </c>
      <c r="AT90" s="103" t="s">
        <v>135</v>
      </c>
      <c r="AU90" s="104" t="s">
        <v>136</v>
      </c>
      <c r="AV90" s="105" t="s">
        <v>137</v>
      </c>
      <c r="AW90" s="106" t="s">
        <v>29</v>
      </c>
      <c r="AY90" s="102" t="s">
        <v>134</v>
      </c>
      <c r="AZ90" s="103" t="s">
        <v>135</v>
      </c>
      <c r="BA90" s="104" t="s">
        <v>136</v>
      </c>
      <c r="BB90" s="105" t="s">
        <v>137</v>
      </c>
      <c r="BC90" s="106" t="s">
        <v>29</v>
      </c>
      <c r="BE90" s="102" t="s">
        <v>134</v>
      </c>
      <c r="BF90" s="103" t="s">
        <v>135</v>
      </c>
      <c r="BG90" s="104" t="s">
        <v>136</v>
      </c>
      <c r="BH90" s="105" t="s">
        <v>137</v>
      </c>
      <c r="BI90" s="106" t="s">
        <v>29</v>
      </c>
      <c r="BK90" s="102" t="s">
        <v>134</v>
      </c>
      <c r="BL90" s="103" t="s">
        <v>135</v>
      </c>
      <c r="BM90" s="104" t="s">
        <v>136</v>
      </c>
      <c r="BN90" s="105" t="s">
        <v>137</v>
      </c>
      <c r="BO90" s="106" t="s">
        <v>29</v>
      </c>
      <c r="BQ90" s="102" t="s">
        <v>134</v>
      </c>
      <c r="BR90" s="103" t="s">
        <v>135</v>
      </c>
      <c r="BS90" s="104" t="s">
        <v>136</v>
      </c>
      <c r="BT90" s="105" t="s">
        <v>137</v>
      </c>
      <c r="BU90" s="106" t="s">
        <v>29</v>
      </c>
      <c r="BX90">
        <v>1</v>
      </c>
      <c r="BY90">
        <v>2</v>
      </c>
      <c r="BZ90">
        <v>3</v>
      </c>
      <c r="CA90">
        <v>4</v>
      </c>
      <c r="CB90">
        <v>5</v>
      </c>
      <c r="CC90">
        <v>6</v>
      </c>
      <c r="CD90">
        <v>7</v>
      </c>
      <c r="CE90">
        <v>8</v>
      </c>
      <c r="CG90">
        <v>9</v>
      </c>
      <c r="CH90">
        <v>10</v>
      </c>
      <c r="CI90">
        <v>11</v>
      </c>
      <c r="CJ90">
        <v>12</v>
      </c>
      <c r="CK90">
        <v>13</v>
      </c>
    </row>
    <row r="91" spans="1:89" x14ac:dyDescent="0.25">
      <c r="A91">
        <v>1</v>
      </c>
      <c r="B91" s="107" t="s">
        <v>386</v>
      </c>
      <c r="C91" s="297">
        <v>0</v>
      </c>
      <c r="D91" s="113">
        <f>INDEX(TourMode_input!$B$20:$J$33,MATCH(TourMode!$A93,modes,0),MATCH("idisc",modePurpose,0))</f>
        <v>106682.22534</v>
      </c>
      <c r="E91" s="113">
        <f>INDEX(TourMode_input!$B$36:$J$49,MATCH(TourMode!$A93,modes,0),MATCH("idisc",modePurpose,0))</f>
        <v>564511.13792000001</v>
      </c>
      <c r="F91" s="114">
        <f>SUM(C91:E91)</f>
        <v>671193.36326000001</v>
      </c>
      <c r="G91" s="300"/>
      <c r="H91" s="300"/>
      <c r="I91" s="300"/>
      <c r="J91" s="115"/>
      <c r="K91">
        <v>1</v>
      </c>
      <c r="L91" s="107" t="s">
        <v>386</v>
      </c>
      <c r="M91" s="113">
        <f>C91</f>
        <v>0</v>
      </c>
      <c r="N91" s="113">
        <f t="shared" ref="N91:N98" si="174">D91</f>
        <v>106682.22534</v>
      </c>
      <c r="O91" s="113">
        <f t="shared" ref="O91:O98" si="175">E91</f>
        <v>564511.13792000001</v>
      </c>
      <c r="P91" s="114">
        <f>SUM(M91:O91)</f>
        <v>671193.36326000001</v>
      </c>
      <c r="Q91" s="115"/>
      <c r="R91">
        <v>1</v>
      </c>
      <c r="S91" s="107" t="s">
        <v>386</v>
      </c>
      <c r="T91" s="113">
        <f>IF(M105&gt;0,M91/M105*T105,0)</f>
        <v>0</v>
      </c>
      <c r="U91" s="113">
        <f>IF(N105&gt;0,N91/N105*U105,0)</f>
        <v>332152.49409165129</v>
      </c>
      <c r="V91" s="113">
        <f>IF(O105&gt;0,O91/O105*V105,0)</f>
        <v>868618.42871052551</v>
      </c>
      <c r="W91" s="114">
        <f>SUM(T91:V91)</f>
        <v>1200770.9228021768</v>
      </c>
      <c r="X91" s="115"/>
      <c r="Y91" s="115"/>
      <c r="Z91" s="115"/>
      <c r="AA91" s="107" t="s">
        <v>386</v>
      </c>
      <c r="AB91" s="113">
        <f>INDEX(TourMode_input!$L$4:$T$17,MATCH(TourMode!$A93,modes,0),MATCH("idisc",modePurpose,0))*Index!$B$2</f>
        <v>0</v>
      </c>
      <c r="AC91" s="113">
        <f>INDEX(TourMode_input!$L$20:$T$33,MATCH(TourMode!$A93,modes,0), MATCH("idisc",modePurpose,0))*Index!$B$2</f>
        <v>306855</v>
      </c>
      <c r="AD91" s="113">
        <f>INDEX(TourMode_input!$L$36:$T$49,MATCH(TourMode!$A93,modes,0), MATCH("idisc",modePurpose,0))*Index!$B$2</f>
        <v>813810</v>
      </c>
      <c r="AE91" s="114">
        <f>SUM(AB91:AD91)</f>
        <v>1120665</v>
      </c>
      <c r="AG91" s="107" t="s">
        <v>538</v>
      </c>
      <c r="AH91" s="117">
        <f>(T91+T92)/T$104</f>
        <v>0</v>
      </c>
      <c r="AI91" s="117">
        <f>(U91+U92)/U$104</f>
        <v>0.35067021332493614</v>
      </c>
      <c r="AJ91" s="117">
        <f>(V91+V92)/V$104</f>
        <v>0.5584273068993908</v>
      </c>
      <c r="AK91" s="117">
        <f>(W91+W92)/W$104</f>
        <v>0.45128976899812345</v>
      </c>
      <c r="AL91" s="115"/>
      <c r="AM91" s="107" t="s">
        <v>538</v>
      </c>
      <c r="AN91" s="117">
        <f>(AB91+AB92)/AB$104</f>
        <v>0</v>
      </c>
      <c r="AO91" s="117">
        <f>(AC91+AC92)/AC$104</f>
        <v>0.34582164302383511</v>
      </c>
      <c r="AP91" s="117">
        <f>(AD91+AD92)/AD$104</f>
        <v>0.5490657221566313</v>
      </c>
      <c r="AQ91" s="117">
        <f>(AE91+AE92)/AE$104</f>
        <v>0.44408721359940873</v>
      </c>
      <c r="AS91" s="107" t="s">
        <v>386</v>
      </c>
      <c r="AT91" s="113">
        <f>AB91-T91</f>
        <v>0</v>
      </c>
      <c r="AU91" s="113">
        <f t="shared" ref="AU91:AU104" si="176">AC91-U91</f>
        <v>-25297.494091651286</v>
      </c>
      <c r="AV91" s="113">
        <f t="shared" ref="AV91:AV104" si="177">AD91-V91</f>
        <v>-54808.428710525506</v>
      </c>
      <c r="AW91" s="114">
        <f t="shared" ref="AW91:AW104" si="178">AE91-W91</f>
        <v>-80105.922802176792</v>
      </c>
      <c r="AX91" s="115"/>
      <c r="AY91" s="107" t="s">
        <v>386</v>
      </c>
      <c r="AZ91" s="117">
        <f>IF(C91=0, 0,AT91/C91)</f>
        <v>0</v>
      </c>
      <c r="BA91" s="117">
        <f>IF(D91=0, 0,AU91/D91)</f>
        <v>-0.23712941880455982</v>
      </c>
      <c r="BB91" s="117">
        <f>IF(E91=0, 0,AV91/E91)</f>
        <v>-9.7090074985008906E-2</v>
      </c>
      <c r="BC91" s="118">
        <f>IF(F91=0, 0,AW91/F91)</f>
        <v>-0.11934850251364328</v>
      </c>
      <c r="BE91" s="107" t="s">
        <v>538</v>
      </c>
      <c r="BF91" s="307">
        <f>IFERROR(IF(AN91&gt;0,LN(AH91/AN91),0),0)</f>
        <v>0</v>
      </c>
      <c r="BG91" s="307">
        <f t="shared" ref="BG91:BG103" si="179">IFERROR(IF(AO91&gt;0,LN(AI91/AO91),0),0)</f>
        <v>1.3923059062067691E-2</v>
      </c>
      <c r="BH91" s="307">
        <f t="shared" ref="BH91:BH103" si="180">IFERROR(IF(AP91&gt;0,LN(AJ91/AP91),0),0)</f>
        <v>1.6906305459080662E-2</v>
      </c>
      <c r="BI91" s="118"/>
      <c r="BK91" s="107" t="s">
        <v>538</v>
      </c>
      <c r="BL91" s="307">
        <v>0</v>
      </c>
      <c r="BM91" s="307">
        <v>0</v>
      </c>
      <c r="BN91" s="307">
        <v>0</v>
      </c>
      <c r="BO91" s="118"/>
      <c r="BQ91" s="107" t="s">
        <v>538</v>
      </c>
      <c r="BR91" s="308">
        <v>0</v>
      </c>
      <c r="BS91" s="309">
        <v>0</v>
      </c>
      <c r="BT91" s="309">
        <v>0</v>
      </c>
      <c r="BU91" s="118"/>
      <c r="BX91" s="5" t="s">
        <v>386</v>
      </c>
      <c r="BY91" s="5" t="s">
        <v>387</v>
      </c>
      <c r="BZ91" s="5" t="s">
        <v>388</v>
      </c>
      <c r="CA91" s="5" t="s">
        <v>389</v>
      </c>
      <c r="CB91" s="5" t="s">
        <v>390</v>
      </c>
      <c r="CC91" s="5" t="s">
        <v>391</v>
      </c>
      <c r="CD91" s="5" t="s">
        <v>392</v>
      </c>
      <c r="CE91" s="5" t="s">
        <v>393</v>
      </c>
      <c r="CF91" s="5"/>
      <c r="CG91" s="5" t="s">
        <v>569</v>
      </c>
      <c r="CH91" s="5" t="s">
        <v>396</v>
      </c>
      <c r="CI91" s="5" t="s">
        <v>397</v>
      </c>
      <c r="CJ91" s="5" t="s">
        <v>398</v>
      </c>
      <c r="CK91" s="287" t="s">
        <v>399</v>
      </c>
    </row>
    <row r="92" spans="1:89" x14ac:dyDescent="0.25">
      <c r="A92">
        <v>2</v>
      </c>
      <c r="B92" s="107" t="s">
        <v>387</v>
      </c>
      <c r="C92" s="297">
        <v>0</v>
      </c>
      <c r="D92" s="113">
        <f>INDEX(TourMode_input!$B$20:$J$33,MATCH(TourMode!$A94,modes,0),MATCH("idisc",modePurpose,0))</f>
        <v>701.86968000000002</v>
      </c>
      <c r="E92" s="113">
        <f>INDEX(TourMode_input!$B$36:$J$49,MATCH(TourMode!$A94,modes,0),MATCH("idisc",modePurpose,0))</f>
        <v>11850.152819999999</v>
      </c>
      <c r="F92" s="116">
        <f t="shared" ref="F92:F103" si="181">SUM(C92:E92)</f>
        <v>12552.022499999999</v>
      </c>
      <c r="G92" s="300"/>
      <c r="H92" s="300"/>
      <c r="I92" s="300"/>
      <c r="J92" s="115"/>
      <c r="K92">
        <v>2</v>
      </c>
      <c r="L92" s="107" t="s">
        <v>387</v>
      </c>
      <c r="M92" s="113">
        <f t="shared" ref="M92:M98" si="182">C92</f>
        <v>0</v>
      </c>
      <c r="N92" s="113">
        <f t="shared" si="174"/>
        <v>701.86968000000002</v>
      </c>
      <c r="O92" s="113">
        <f t="shared" si="175"/>
        <v>11850.152819999999</v>
      </c>
      <c r="P92" s="116">
        <f t="shared" ref="P92:P103" si="183">SUM(M92:O92)</f>
        <v>12552.022499999999</v>
      </c>
      <c r="Q92" s="115"/>
      <c r="R92">
        <v>2</v>
      </c>
      <c r="S92" s="107" t="s">
        <v>387</v>
      </c>
      <c r="T92" s="113">
        <f>IF(M105&gt;0,M92/M105*T105,0)</f>
        <v>0</v>
      </c>
      <c r="U92" s="113">
        <f>IF(N105&gt;0,N92/N105*U105,0)</f>
        <v>2185.2540476759159</v>
      </c>
      <c r="V92" s="113">
        <f>IF(O105&gt;0,O92/O105*V105,0)</f>
        <v>18233.938059069293</v>
      </c>
      <c r="W92" s="116">
        <f t="shared" ref="W92:W103" si="184">SUM(T92:V92)</f>
        <v>20419.192106745209</v>
      </c>
      <c r="X92" s="115"/>
      <c r="Y92" s="115"/>
      <c r="Z92" s="115"/>
      <c r="AA92" s="107" t="s">
        <v>387</v>
      </c>
      <c r="AB92" s="113">
        <f>INDEX(TourMode_input!$L$4:$T$17,MATCH(TourMode!$A94,modes,0),MATCH("idisc",modePurpose,0))*Index!$B$2</f>
        <v>0</v>
      </c>
      <c r="AC92" s="113">
        <f>INDEX(TourMode_input!$L$20:$T$33,MATCH(TourMode!$A94,modes,0), MATCH("idisc",modePurpose,0))*Index!$B$2</f>
        <v>22860</v>
      </c>
      <c r="AD92" s="113">
        <f>INDEX(TourMode_input!$L$36:$T$49,MATCH(TourMode!$A94,modes,0), MATCH("idisc",modePurpose,0))*Index!$B$2</f>
        <v>58175</v>
      </c>
      <c r="AE92" s="116">
        <f t="shared" ref="AE92:AE103" si="185">SUM(AB92:AD92)</f>
        <v>81035</v>
      </c>
      <c r="AG92" s="107"/>
      <c r="AH92" s="117"/>
      <c r="AI92" s="117"/>
      <c r="AJ92" s="117"/>
      <c r="AK92" s="118"/>
      <c r="AL92" s="115"/>
      <c r="AM92" s="107"/>
      <c r="AN92" s="117"/>
      <c r="AO92" s="117"/>
      <c r="AP92" s="117"/>
      <c r="AQ92" s="118"/>
      <c r="AS92" s="107" t="s">
        <v>387</v>
      </c>
      <c r="AT92" s="113">
        <f t="shared" ref="AT92:AT104" si="186">AB92-T92</f>
        <v>0</v>
      </c>
      <c r="AU92" s="113">
        <f t="shared" si="176"/>
        <v>20674.745952324083</v>
      </c>
      <c r="AV92" s="113">
        <f t="shared" si="177"/>
        <v>39941.061940930711</v>
      </c>
      <c r="AW92" s="116">
        <f t="shared" si="178"/>
        <v>60615.807893254794</v>
      </c>
      <c r="AX92" s="115"/>
      <c r="AY92" s="107" t="s">
        <v>387</v>
      </c>
      <c r="AZ92" s="117">
        <f t="shared" ref="AZ92:AZ104" si="187">IF(C92=0, 0,AT92/C92)</f>
        <v>0</v>
      </c>
      <c r="BA92" s="117">
        <f t="shared" ref="BA92:BA104" si="188">IF(D92=0, 0,AU92/D92)</f>
        <v>29.456673427357742</v>
      </c>
      <c r="BB92" s="117">
        <f t="shared" ref="BB92:BB104" si="189">IF(E92=0, 0,AV92/E92)</f>
        <v>3.3705102835062606</v>
      </c>
      <c r="BC92" s="118">
        <f t="shared" ref="BC92:BC104" si="190">IF(F92=0, 0,AW92/F92)</f>
        <v>4.8291666058800322</v>
      </c>
      <c r="BE92" s="107"/>
      <c r="BF92" s="307">
        <f t="shared" ref="BF92:BF103" si="191">IFERROR(IF(AN92&gt;0,LN(AH92/AN92),0),0)</f>
        <v>0</v>
      </c>
      <c r="BG92" s="307">
        <f t="shared" si="179"/>
        <v>0</v>
      </c>
      <c r="BH92" s="307">
        <f t="shared" si="180"/>
        <v>0</v>
      </c>
      <c r="BI92" s="118"/>
      <c r="BK92" s="107"/>
      <c r="BL92" s="307"/>
      <c r="BM92" s="307"/>
      <c r="BN92" s="307"/>
      <c r="BO92" s="118"/>
      <c r="BQ92" s="107"/>
      <c r="BR92" s="308"/>
      <c r="BS92" s="307"/>
      <c r="BT92" s="307"/>
      <c r="BU92" s="118"/>
      <c r="BW92" t="s">
        <v>131</v>
      </c>
      <c r="BX92">
        <f>IF(ISNUMBER(INDEX($BR$91:$BR$104,BX90,1)),INDEX($BR$91:$BR$104,BX90,1),0)</f>
        <v>0</v>
      </c>
      <c r="BY92">
        <f t="shared" ref="BY92:CJ92" si="192">IF(ISNUMBER(INDEX($BR$91:$BR$104,BY90,1)),INDEX($BR$91:$BR$104,BY90,1),0)</f>
        <v>0</v>
      </c>
      <c r="BZ92">
        <f t="shared" si="192"/>
        <v>0</v>
      </c>
      <c r="CA92">
        <f>BZ92</f>
        <v>0</v>
      </c>
      <c r="CB92">
        <f t="shared" si="192"/>
        <v>-2.1113174973760978</v>
      </c>
      <c r="CC92">
        <f>CB92</f>
        <v>-2.1113174973760978</v>
      </c>
      <c r="CD92">
        <f t="shared" si="192"/>
        <v>1.3339555223880359</v>
      </c>
      <c r="CE92">
        <f t="shared" si="192"/>
        <v>1.0583329847279512</v>
      </c>
      <c r="CG92">
        <f t="shared" si="192"/>
        <v>-0.79014533762620887</v>
      </c>
      <c r="CH92">
        <f t="shared" si="192"/>
        <v>-0.83549799878559505</v>
      </c>
      <c r="CI92">
        <f t="shared" si="192"/>
        <v>-0.11183324350323234</v>
      </c>
      <c r="CJ92">
        <f t="shared" si="192"/>
        <v>-2.5469541088936176</v>
      </c>
      <c r="CK92" s="312">
        <v>-999</v>
      </c>
    </row>
    <row r="93" spans="1:89" x14ac:dyDescent="0.25">
      <c r="A93">
        <v>3</v>
      </c>
      <c r="B93" s="107" t="s">
        <v>388</v>
      </c>
      <c r="C93" s="113">
        <f>INDEX(TourMode_input!$B$4:$J$172,MATCH(TourMode!$A95,modes,0),MATCH("idisc",modePurpose,0))</f>
        <v>14236.742630000001</v>
      </c>
      <c r="D93" s="113">
        <f>INDEX(TourMode_input!$B$20:$J$33,MATCH(TourMode!$A95,modes,0),MATCH("idisc",modePurpose,0))</f>
        <v>70750.201889999997</v>
      </c>
      <c r="E93" s="113">
        <f>INDEX(TourMode_input!$B$36:$J$49,MATCH(TourMode!$A95,modes,0),MATCH("idisc",modePurpose,0))</f>
        <v>181553.83566000001</v>
      </c>
      <c r="F93" s="116">
        <f t="shared" si="181"/>
        <v>266540.78018</v>
      </c>
      <c r="G93" s="300"/>
      <c r="H93" s="300"/>
      <c r="I93" s="300"/>
      <c r="J93" s="115"/>
      <c r="K93">
        <v>3</v>
      </c>
      <c r="L93" s="107" t="s">
        <v>388</v>
      </c>
      <c r="M93" s="113">
        <f t="shared" si="182"/>
        <v>14236.742630000001</v>
      </c>
      <c r="N93" s="113">
        <f t="shared" si="174"/>
        <v>70750.201889999997</v>
      </c>
      <c r="O93" s="113">
        <f t="shared" si="175"/>
        <v>181553.83566000001</v>
      </c>
      <c r="P93" s="116">
        <f t="shared" si="183"/>
        <v>266540.78018</v>
      </c>
      <c r="Q93" s="115"/>
      <c r="R93">
        <v>3</v>
      </c>
      <c r="S93" s="107" t="s">
        <v>388</v>
      </c>
      <c r="T93" s="113">
        <f>IF(M105&gt;0,M93/M105*T105,0)</f>
        <v>29725.216690944555</v>
      </c>
      <c r="U93" s="113">
        <f>IF(N105&gt;0,N93/N105*U105,0)</f>
        <v>220279.01968070585</v>
      </c>
      <c r="V93" s="113">
        <f>IF(O105&gt;0,O93/O105*V105,0)</f>
        <v>279358.54027331318</v>
      </c>
      <c r="W93" s="116">
        <f t="shared" si="184"/>
        <v>529362.77664496354</v>
      </c>
      <c r="X93" s="115"/>
      <c r="Y93" s="115"/>
      <c r="Z93" s="115"/>
      <c r="AA93" s="107" t="s">
        <v>388</v>
      </c>
      <c r="AB93" s="113">
        <f>INDEX(TourMode_input!$L$4:$T$17,MATCH(TourMode!$A95,modes,0),MATCH("idisc",modePurpose,0))*Index!$B$2</f>
        <v>33230</v>
      </c>
      <c r="AC93" s="113">
        <f>INDEX(TourMode_input!$L$20:$T$33,MATCH(TourMode!$A95,modes,0), MATCH("idisc",modePurpose,0))*Index!$B$2</f>
        <v>223705</v>
      </c>
      <c r="AD93" s="113">
        <f>INDEX(TourMode_input!$L$36:$T$49,MATCH(TourMode!$A95,modes,0), MATCH("idisc",modePurpose,0))*Index!$B$2</f>
        <v>283215</v>
      </c>
      <c r="AE93" s="116">
        <f t="shared" si="185"/>
        <v>540150</v>
      </c>
      <c r="AG93" s="107" t="s">
        <v>576</v>
      </c>
      <c r="AH93" s="117">
        <f>(T93+T94)/T$104</f>
        <v>0.18075534625080295</v>
      </c>
      <c r="AI93" s="117">
        <f>(U93+U94)/U$104</f>
        <v>0.23761240675874204</v>
      </c>
      <c r="AJ93" s="117">
        <f>(V93+V94)/V$104</f>
        <v>0.17854483182907935</v>
      </c>
      <c r="AK93" s="117">
        <f>(W93+W94)/W$104</f>
        <v>0.19949088568124712</v>
      </c>
      <c r="AL93" s="115"/>
      <c r="AM93" s="107" t="s">
        <v>576</v>
      </c>
      <c r="AN93" s="117">
        <f>(AB93+AB94)/AB$104</f>
        <v>0.20443903922164791</v>
      </c>
      <c r="AO93" s="117">
        <f>(AC93+AC94)/AC$104</f>
        <v>0.23860293153630333</v>
      </c>
      <c r="AP93" s="117">
        <f>(AD93+AD94)/AD$104</f>
        <v>0.1814340810704447</v>
      </c>
      <c r="AQ93" s="117">
        <f>(AE93+AE94)/AE$104</f>
        <v>0.20297487065779748</v>
      </c>
      <c r="AS93" s="107" t="s">
        <v>388</v>
      </c>
      <c r="AT93" s="113">
        <f t="shared" si="186"/>
        <v>3504.783309055445</v>
      </c>
      <c r="AU93" s="113">
        <f t="shared" si="176"/>
        <v>3425.9803192941472</v>
      </c>
      <c r="AV93" s="113">
        <f t="shared" si="177"/>
        <v>3856.4597266868223</v>
      </c>
      <c r="AW93" s="116">
        <f t="shared" si="178"/>
        <v>10787.223355036462</v>
      </c>
      <c r="AX93" s="115"/>
      <c r="AY93" s="107" t="s">
        <v>388</v>
      </c>
      <c r="AZ93" s="117">
        <f t="shared" si="187"/>
        <v>0.24617873625600864</v>
      </c>
      <c r="BA93" s="117">
        <f t="shared" si="188"/>
        <v>4.8423611915917139E-2</v>
      </c>
      <c r="BB93" s="117">
        <f t="shared" si="189"/>
        <v>2.1241411467113822E-2</v>
      </c>
      <c r="BC93" s="118">
        <f t="shared" si="190"/>
        <v>4.0471192992500613E-2</v>
      </c>
      <c r="BE93" s="107" t="s">
        <v>576</v>
      </c>
      <c r="BF93" s="307">
        <f t="shared" si="191"/>
        <v>-0.12312539557503781</v>
      </c>
      <c r="BG93" s="307">
        <f t="shared" si="179"/>
        <v>-4.1599928703307983E-3</v>
      </c>
      <c r="BH93" s="307">
        <f t="shared" si="180"/>
        <v>-1.605266965008258E-2</v>
      </c>
      <c r="BI93" s="118"/>
      <c r="BK93" s="107" t="s">
        <v>576</v>
      </c>
      <c r="BL93" s="307">
        <v>0</v>
      </c>
      <c r="BM93" s="307">
        <v>-0.18932450357761038</v>
      </c>
      <c r="BN93" s="307">
        <v>-0.53219011563963003</v>
      </c>
      <c r="BO93" s="118"/>
      <c r="BQ93" s="107" t="s">
        <v>576</v>
      </c>
      <c r="BR93" s="309">
        <v>0</v>
      </c>
      <c r="BS93" s="307">
        <f t="shared" ref="BS93:BS103" si="193">(BG93-BG$91)*$BR$1+BM93</f>
        <v>-0.19836602954380964</v>
      </c>
      <c r="BT93" s="307">
        <f t="shared" ref="BT93:BT103" si="194">(BH93-BH$91)*$BR$1+BN93</f>
        <v>-0.54866960319421165</v>
      </c>
      <c r="BU93" s="118"/>
      <c r="BW93" t="s">
        <v>132</v>
      </c>
      <c r="BX93">
        <f>IF(ISNUMBER(INDEX($BS$91:$BS$104,BX90,1)),INDEX($BS$91:$BS$104,BX90,1),0)</f>
        <v>0</v>
      </c>
      <c r="BY93">
        <f t="shared" ref="BY93:CJ93" si="195">IF(ISNUMBER(INDEX($BS$91:$BS$104,BY90,1)),INDEX($BS$91:$BS$104,BY90,1),0)</f>
        <v>0</v>
      </c>
      <c r="BZ93">
        <f t="shared" si="195"/>
        <v>-0.19836602954380964</v>
      </c>
      <c r="CA93">
        <f>BZ93</f>
        <v>-0.19836602954380964</v>
      </c>
      <c r="CB93">
        <f t="shared" si="195"/>
        <v>-0.62952881347166367</v>
      </c>
      <c r="CC93">
        <f>CB93</f>
        <v>-0.62952881347166367</v>
      </c>
      <c r="CD93">
        <f t="shared" si="195"/>
        <v>0.89218163620837843</v>
      </c>
      <c r="CE93">
        <f t="shared" si="195"/>
        <v>0.23690030157444422</v>
      </c>
      <c r="CG93">
        <f t="shared" si="195"/>
        <v>-1.7200946610963306</v>
      </c>
      <c r="CH93">
        <f t="shared" si="195"/>
        <v>-5.0563598762878685</v>
      </c>
      <c r="CI93">
        <f t="shared" si="195"/>
        <v>-1.7206512585201588</v>
      </c>
      <c r="CJ93">
        <f t="shared" si="195"/>
        <v>-3.8223654478046787</v>
      </c>
      <c r="CK93" s="312">
        <v>-999</v>
      </c>
    </row>
    <row r="94" spans="1:89" x14ac:dyDescent="0.25">
      <c r="A94">
        <v>4</v>
      </c>
      <c r="B94" s="107" t="s">
        <v>389</v>
      </c>
      <c r="C94" s="113">
        <f>INDEX(TourMode_input!$B$4:$J$172,MATCH(TourMode!$A96,modes,0),MATCH("idisc",modePurpose,0))</f>
        <v>0</v>
      </c>
      <c r="D94" s="113">
        <f>INDEX(TourMode_input!$B$20:$J$33,MATCH(TourMode!$A96,modes,0),MATCH("idisc",modePurpose,0))</f>
        <v>2012.73119</v>
      </c>
      <c r="E94" s="113">
        <f>INDEX(TourMode_input!$B$36:$J$49,MATCH(TourMode!$A96,modes,0),MATCH("idisc",modePurpose,0))</f>
        <v>2724.9924999999998</v>
      </c>
      <c r="F94" s="116">
        <f t="shared" si="181"/>
        <v>4737.7236899999998</v>
      </c>
      <c r="G94" s="300"/>
      <c r="H94" s="300"/>
      <c r="I94" s="300"/>
      <c r="J94" s="115"/>
      <c r="K94">
        <v>4</v>
      </c>
      <c r="L94" s="107" t="s">
        <v>389</v>
      </c>
      <c r="M94" s="113">
        <f t="shared" si="182"/>
        <v>0</v>
      </c>
      <c r="N94" s="113">
        <f t="shared" si="174"/>
        <v>2012.73119</v>
      </c>
      <c r="O94" s="113">
        <f t="shared" si="175"/>
        <v>2724.9924999999998</v>
      </c>
      <c r="P94" s="116">
        <f t="shared" si="183"/>
        <v>4737.7236899999998</v>
      </c>
      <c r="Q94" s="115"/>
      <c r="R94">
        <v>4</v>
      </c>
      <c r="S94" s="107" t="s">
        <v>389</v>
      </c>
      <c r="T94" s="113">
        <f>IF(M105&gt;0,M94/M105*T105,0)</f>
        <v>0</v>
      </c>
      <c r="U94" s="113">
        <f>IF(N105&gt;0,N94/N105*U105,0)</f>
        <v>6266.5892332477779</v>
      </c>
      <c r="V94" s="113">
        <f>IF(O105&gt;0,O94/O105*V105,0)</f>
        <v>4192.9707752434188</v>
      </c>
      <c r="W94" s="116">
        <f t="shared" si="184"/>
        <v>10459.560008491197</v>
      </c>
      <c r="X94" s="115"/>
      <c r="Y94" s="115"/>
      <c r="Z94" s="115"/>
      <c r="AA94" s="107" t="s">
        <v>389</v>
      </c>
      <c r="AB94" s="113">
        <f>INDEX(TourMode_input!$L$4:$T$17,MATCH(TourMode!$A96,modes,0),MATCH("idisc",modePurpose,0))*Index!$B$2</f>
        <v>390</v>
      </c>
      <c r="AC94" s="113">
        <f>INDEX(TourMode_input!$L$20:$T$33,MATCH(TourMode!$A96,modes,0), MATCH("idisc",modePurpose,0))*Index!$B$2</f>
        <v>3785</v>
      </c>
      <c r="AD94" s="113">
        <f>INDEX(TourMode_input!$L$36:$T$49,MATCH(TourMode!$A96,modes,0), MATCH("idisc",modePurpose,0))*Index!$B$2</f>
        <v>4925</v>
      </c>
      <c r="AE94" s="116">
        <f t="shared" si="185"/>
        <v>9100</v>
      </c>
      <c r="AG94" s="107"/>
      <c r="AH94" s="117"/>
      <c r="AI94" s="117"/>
      <c r="AJ94" s="117"/>
      <c r="AK94" s="118"/>
      <c r="AL94" s="115"/>
      <c r="AM94" s="107"/>
      <c r="AN94" s="117"/>
      <c r="AO94" s="117"/>
      <c r="AP94" s="117"/>
      <c r="AQ94" s="118"/>
      <c r="AS94" s="107" t="s">
        <v>389</v>
      </c>
      <c r="AT94" s="113">
        <f t="shared" si="186"/>
        <v>390</v>
      </c>
      <c r="AU94" s="113">
        <f t="shared" si="176"/>
        <v>-2481.5892332477779</v>
      </c>
      <c r="AV94" s="113">
        <f t="shared" si="177"/>
        <v>732.02922475658124</v>
      </c>
      <c r="AW94" s="116">
        <f t="shared" si="178"/>
        <v>-1359.5600084911966</v>
      </c>
      <c r="AX94" s="115"/>
      <c r="AY94" s="107" t="s">
        <v>389</v>
      </c>
      <c r="AZ94" s="117">
        <f t="shared" si="187"/>
        <v>0</v>
      </c>
      <c r="BA94" s="117">
        <f t="shared" si="188"/>
        <v>-1.2329461805815103</v>
      </c>
      <c r="BB94" s="117">
        <f t="shared" si="189"/>
        <v>0.26863531725558193</v>
      </c>
      <c r="BC94" s="118">
        <f t="shared" si="190"/>
        <v>-0.28696481632325771</v>
      </c>
      <c r="BE94" s="107"/>
      <c r="BF94" s="307">
        <f t="shared" si="191"/>
        <v>0</v>
      </c>
      <c r="BG94" s="307">
        <f t="shared" si="179"/>
        <v>0</v>
      </c>
      <c r="BH94" s="307">
        <f t="shared" si="180"/>
        <v>0</v>
      </c>
      <c r="BI94" s="118"/>
      <c r="BK94" s="107"/>
      <c r="BL94" s="307"/>
      <c r="BM94" s="307"/>
      <c r="BN94" s="307"/>
      <c r="BO94" s="118"/>
      <c r="BQ94" s="107"/>
      <c r="BR94" s="307"/>
      <c r="BS94" s="307"/>
      <c r="BT94" s="307"/>
      <c r="BU94" s="118"/>
      <c r="BW94" t="s">
        <v>133</v>
      </c>
      <c r="BX94">
        <f>IF(ISNUMBER(INDEX($BT$91:$BT$104,BX90,1)),INDEX($BT$91:$BT$104,BX90,1),0)</f>
        <v>0</v>
      </c>
      <c r="BY94">
        <f t="shared" ref="BY94:CJ94" si="196">IF(ISNUMBER(INDEX($BT$91:$BT$104,BY90,1)),INDEX($BT$91:$BT$104,BY90,1),0)</f>
        <v>0</v>
      </c>
      <c r="BZ94">
        <f t="shared" si="196"/>
        <v>-0.54866960319421165</v>
      </c>
      <c r="CA94">
        <f>BZ94</f>
        <v>-0.54866960319421165</v>
      </c>
      <c r="CB94">
        <f t="shared" si="196"/>
        <v>-0.86404498595841617</v>
      </c>
      <c r="CC94">
        <f>CB94</f>
        <v>-0.86404498595841617</v>
      </c>
      <c r="CD94">
        <f t="shared" si="196"/>
        <v>3.9547987052778302E-2</v>
      </c>
      <c r="CE94">
        <f t="shared" si="196"/>
        <v>9.9555237255919221E-2</v>
      </c>
      <c r="CG94">
        <f t="shared" si="196"/>
        <v>-1.4772997272384523</v>
      </c>
      <c r="CH94">
        <f t="shared" si="196"/>
        <v>-2.9162194555450265</v>
      </c>
      <c r="CI94">
        <f t="shared" si="196"/>
        <v>-1.7437436149984988</v>
      </c>
      <c r="CJ94">
        <f t="shared" si="196"/>
        <v>-3.1011948487603469</v>
      </c>
      <c r="CK94" s="312">
        <v>-999</v>
      </c>
    </row>
    <row r="95" spans="1:89" x14ac:dyDescent="0.25">
      <c r="A95">
        <v>5</v>
      </c>
      <c r="B95" s="107" t="s">
        <v>390</v>
      </c>
      <c r="C95" s="113">
        <f>INDEX(TourMode_input!$B$4:$J$172,MATCH(TourMode!$A97,modes,0),MATCH("idisc",modePurpose,0))</f>
        <v>807.40101000000004</v>
      </c>
      <c r="D95" s="113">
        <f>INDEX(TourMode_input!$B$20:$J$33,MATCH(TourMode!$A97,modes,0),MATCH("idisc",modePurpose,0))</f>
        <v>45895.076869999997</v>
      </c>
      <c r="E95" s="113">
        <f>INDEX(TourMode_input!$B$36:$J$49,MATCH(TourMode!$A97,modes,0),MATCH("idisc",modePurpose,0))</f>
        <v>157856.90031999999</v>
      </c>
      <c r="F95" s="116">
        <f t="shared" si="181"/>
        <v>204559.37819999998</v>
      </c>
      <c r="G95" s="300"/>
      <c r="H95" s="300"/>
      <c r="I95" s="300"/>
      <c r="J95" s="115"/>
      <c r="K95">
        <v>5</v>
      </c>
      <c r="L95" s="107" t="s">
        <v>390</v>
      </c>
      <c r="M95" s="113">
        <f t="shared" si="182"/>
        <v>807.40101000000004</v>
      </c>
      <c r="N95" s="113">
        <f t="shared" si="174"/>
        <v>45895.076869999997</v>
      </c>
      <c r="O95" s="113">
        <f t="shared" si="175"/>
        <v>157856.90031999999</v>
      </c>
      <c r="P95" s="116">
        <f t="shared" si="183"/>
        <v>204559.37819999998</v>
      </c>
      <c r="Q95" s="115"/>
      <c r="R95">
        <v>5</v>
      </c>
      <c r="S95" s="107" t="s">
        <v>390</v>
      </c>
      <c r="T95" s="113">
        <f>IF(M105&gt;0,M95/M105*T105,0)</f>
        <v>1685.7908162337476</v>
      </c>
      <c r="U95" s="113">
        <f>IF(N105&gt;0,N95/N105*U105,0)</f>
        <v>142893.19706553614</v>
      </c>
      <c r="V95" s="113">
        <f>IF(O105&gt;0,O95/O105*V105,0)</f>
        <v>242895.85006647665</v>
      </c>
      <c r="W95" s="116">
        <f t="shared" si="184"/>
        <v>387474.83794824651</v>
      </c>
      <c r="X95" s="115"/>
      <c r="Y95" s="115"/>
      <c r="Z95" s="115"/>
      <c r="AA95" s="107" t="s">
        <v>390</v>
      </c>
      <c r="AB95" s="113">
        <f>INDEX(TourMode_input!$L$4:$T$17,MATCH(TourMode!$A97,modes,0),MATCH("idisc",modePurpose,0))*Index!$B$2</f>
        <v>1955</v>
      </c>
      <c r="AC95" s="113">
        <f>INDEX(TourMode_input!$L$20:$T$33,MATCH(TourMode!$A97,modes,0), MATCH("idisc",modePurpose,0))*Index!$B$2</f>
        <v>143105</v>
      </c>
      <c r="AD95" s="113">
        <f>INDEX(TourMode_input!$L$36:$T$49,MATCH(TourMode!$A97,modes,0), MATCH("idisc",modePurpose,0))*Index!$B$2</f>
        <v>249670</v>
      </c>
      <c r="AE95" s="116">
        <f t="shared" si="185"/>
        <v>394730</v>
      </c>
      <c r="AG95" s="107" t="s">
        <v>577</v>
      </c>
      <c r="AH95" s="117">
        <f>(T95+T96)/T$104</f>
        <v>1.0251084318843095E-2</v>
      </c>
      <c r="AI95" s="117">
        <f>(U95+U96)/U$104</f>
        <v>0.15061760799030263</v>
      </c>
      <c r="AJ95" s="117">
        <f>(V95+V96)/V$104</f>
        <v>0.15570801252745883</v>
      </c>
      <c r="AK95" s="117">
        <f>(W95+W96)/W$104</f>
        <v>0.1450747121616994</v>
      </c>
      <c r="AL95" s="115"/>
      <c r="AM95" s="107" t="s">
        <v>577</v>
      </c>
      <c r="AN95" s="117">
        <f>(AB95+AB96)/AB$104</f>
        <v>1.1948920644572819E-2</v>
      </c>
      <c r="AO95" s="117">
        <f>(AC95+AC96)/AC$104</f>
        <v>0.15143299158297716</v>
      </c>
      <c r="AP95" s="117">
        <f>(AD95+AD96)/AD$104</f>
        <v>0.15848563557654466</v>
      </c>
      <c r="AQ95" s="117">
        <f>(AE95+AE96)/AE$104</f>
        <v>0.14709534368070953</v>
      </c>
      <c r="AS95" s="107" t="s">
        <v>390</v>
      </c>
      <c r="AT95" s="113">
        <f t="shared" si="186"/>
        <v>269.20918376625241</v>
      </c>
      <c r="AU95" s="113">
        <f t="shared" si="176"/>
        <v>211.80293446386349</v>
      </c>
      <c r="AV95" s="113">
        <f t="shared" si="177"/>
        <v>6774.149933523353</v>
      </c>
      <c r="AW95" s="116">
        <f t="shared" si="178"/>
        <v>7255.1620517534902</v>
      </c>
      <c r="AX95" s="115"/>
      <c r="AY95" s="107" t="s">
        <v>390</v>
      </c>
      <c r="AZ95" s="117">
        <f t="shared" si="187"/>
        <v>0.33342686029864194</v>
      </c>
      <c r="BA95" s="117">
        <f t="shared" si="188"/>
        <v>4.614938004435758E-3</v>
      </c>
      <c r="BB95" s="117">
        <f t="shared" si="189"/>
        <v>4.2913232933062283E-2</v>
      </c>
      <c r="BC95" s="118">
        <f t="shared" si="190"/>
        <v>3.5467266842491268E-2</v>
      </c>
      <c r="BE95" s="107" t="s">
        <v>577</v>
      </c>
      <c r="BF95" s="307">
        <f t="shared" si="191"/>
        <v>-0.15325746447474575</v>
      </c>
      <c r="BG95" s="307">
        <f t="shared" si="179"/>
        <v>-5.3989998660737516E-3</v>
      </c>
      <c r="BH95" s="307">
        <f t="shared" si="180"/>
        <v>-1.7681423097668868E-2</v>
      </c>
      <c r="BI95" s="118"/>
      <c r="BK95" s="107" t="s">
        <v>577</v>
      </c>
      <c r="BL95" s="307">
        <v>-2.0962514629262436</v>
      </c>
      <c r="BM95" s="307">
        <v>-0.6198677840075929</v>
      </c>
      <c r="BN95" s="307">
        <v>-0.84675112168004141</v>
      </c>
      <c r="BO95" s="118"/>
      <c r="BQ95" s="107" t="s">
        <v>577</v>
      </c>
      <c r="BR95" s="307">
        <f t="shared" ref="BR95:BR103" si="197">(BF95-BF$93)*$BR$1+BL95</f>
        <v>-2.1113174973760978</v>
      </c>
      <c r="BS95" s="307">
        <f t="shared" si="193"/>
        <v>-0.62952881347166367</v>
      </c>
      <c r="BT95" s="307">
        <f t="shared" si="194"/>
        <v>-0.86404498595841617</v>
      </c>
      <c r="BU95" s="118"/>
    </row>
    <row r="96" spans="1:89" x14ac:dyDescent="0.25">
      <c r="A96">
        <v>6</v>
      </c>
      <c r="B96" s="107" t="s">
        <v>391</v>
      </c>
      <c r="C96" s="113">
        <f>INDEX(TourMode_input!$B$4:$J$172,MATCH(TourMode!$A98,modes,0),MATCH("idisc",modePurpose,0))</f>
        <v>0</v>
      </c>
      <c r="D96" s="113">
        <f>INDEX(TourMode_input!$B$20:$J$33,MATCH(TourMode!$A98,modes,0),MATCH("idisc",modePurpose,0))</f>
        <v>227.84692999999999</v>
      </c>
      <c r="E96" s="113">
        <f>INDEX(TourMode_input!$B$36:$J$49,MATCH(TourMode!$A98,modes,0),MATCH("idisc",modePurpose,0))</f>
        <v>2851.70037</v>
      </c>
      <c r="F96" s="116">
        <f t="shared" si="181"/>
        <v>3079.5473000000002</v>
      </c>
      <c r="G96" s="300"/>
      <c r="H96" s="300"/>
      <c r="I96" s="300"/>
      <c r="J96" s="115"/>
      <c r="K96">
        <v>6</v>
      </c>
      <c r="L96" s="107" t="s">
        <v>391</v>
      </c>
      <c r="M96" s="113">
        <f t="shared" si="182"/>
        <v>0</v>
      </c>
      <c r="N96" s="113">
        <f t="shared" si="174"/>
        <v>227.84692999999999</v>
      </c>
      <c r="O96" s="113">
        <f t="shared" si="175"/>
        <v>2851.70037</v>
      </c>
      <c r="P96" s="116">
        <f t="shared" si="183"/>
        <v>3079.5473000000002</v>
      </c>
      <c r="Q96" s="115"/>
      <c r="R96">
        <v>6</v>
      </c>
      <c r="S96" s="107" t="s">
        <v>391</v>
      </c>
      <c r="T96" s="113">
        <f>IF(M105&gt;0,M96/M105*T105,0)</f>
        <v>0</v>
      </c>
      <c r="U96" s="113">
        <f>IF(N105&gt;0,N96/N105*U105,0)</f>
        <v>709.39583261814505</v>
      </c>
      <c r="V96" s="113">
        <f>IF(O105&gt;0,O96/O105*V105,0)</f>
        <v>4387.9373286938744</v>
      </c>
      <c r="W96" s="116">
        <f t="shared" si="184"/>
        <v>5097.333161312019</v>
      </c>
      <c r="X96" s="115"/>
      <c r="Y96" s="115"/>
      <c r="Z96" s="115"/>
      <c r="AA96" s="107" t="s">
        <v>391</v>
      </c>
      <c r="AB96" s="113">
        <f>INDEX(TourMode_input!$L$4:$T$17,MATCH(TourMode!$A98,modes,0),MATCH("idisc",modePurpose,0))*Index!$B$2</f>
        <v>10</v>
      </c>
      <c r="AC96" s="113">
        <f>INDEX(TourMode_input!$L$20:$T$33,MATCH(TourMode!$A98,modes,0), MATCH("idisc",modePurpose,0))*Index!$B$2</f>
        <v>1275</v>
      </c>
      <c r="AD96" s="113">
        <f>INDEX(TourMode_input!$L$36:$T$49,MATCH(TourMode!$A98,modes,0), MATCH("idisc",modePurpose,0))*Index!$B$2</f>
        <v>2025</v>
      </c>
      <c r="AE96" s="116">
        <f t="shared" si="185"/>
        <v>3310</v>
      </c>
      <c r="AG96" s="107"/>
      <c r="AH96" s="117"/>
      <c r="AI96" s="117"/>
      <c r="AJ96" s="117"/>
      <c r="AK96" s="118"/>
      <c r="AL96" s="115"/>
      <c r="AM96" s="107"/>
      <c r="AN96" s="117"/>
      <c r="AO96" s="117"/>
      <c r="AP96" s="117"/>
      <c r="AQ96" s="118"/>
      <c r="AS96" s="107" t="s">
        <v>391</v>
      </c>
      <c r="AT96" s="113">
        <f t="shared" si="186"/>
        <v>10</v>
      </c>
      <c r="AU96" s="113">
        <f t="shared" si="176"/>
        <v>565.60416738185495</v>
      </c>
      <c r="AV96" s="113">
        <f t="shared" si="177"/>
        <v>-2362.9373286938744</v>
      </c>
      <c r="AW96" s="116">
        <f t="shared" si="178"/>
        <v>-1787.333161312019</v>
      </c>
      <c r="AX96" s="115"/>
      <c r="AY96" s="107" t="s">
        <v>391</v>
      </c>
      <c r="AZ96" s="117">
        <f t="shared" si="187"/>
        <v>0</v>
      </c>
      <c r="BA96" s="117">
        <f t="shared" si="188"/>
        <v>2.482386606577736</v>
      </c>
      <c r="BB96" s="117">
        <f t="shared" si="189"/>
        <v>-0.82860645303134506</v>
      </c>
      <c r="BC96" s="118">
        <f t="shared" si="190"/>
        <v>-0.5803882802228818</v>
      </c>
      <c r="BE96" s="107"/>
      <c r="BF96" s="307">
        <f t="shared" si="191"/>
        <v>0</v>
      </c>
      <c r="BG96" s="307">
        <f t="shared" si="179"/>
        <v>0</v>
      </c>
      <c r="BH96" s="307">
        <f t="shared" si="180"/>
        <v>0</v>
      </c>
      <c r="BI96" s="118"/>
      <c r="BK96" s="107"/>
      <c r="BL96" s="307"/>
      <c r="BM96" s="307"/>
      <c r="BN96" s="307"/>
      <c r="BO96" s="118"/>
      <c r="BQ96" s="107"/>
      <c r="BR96" s="307"/>
      <c r="BS96" s="307"/>
      <c r="BT96" s="307"/>
      <c r="BU96" s="118"/>
    </row>
    <row r="97" spans="1:89" x14ac:dyDescent="0.25">
      <c r="A97">
        <v>7</v>
      </c>
      <c r="B97" s="107" t="s">
        <v>392</v>
      </c>
      <c r="C97" s="113">
        <f>INDEX(TourMode_input!$B$4:$J$172,MATCH(TourMode!$A99,modes,0),MATCH("idisc",modePurpose,0))</f>
        <v>36742.162770000003</v>
      </c>
      <c r="D97" s="113">
        <f>INDEX(TourMode_input!$B$20:$J$33,MATCH(TourMode!$A99,modes,0),MATCH("idisc",modePurpose,0))</f>
        <v>66210.473140000002</v>
      </c>
      <c r="E97" s="113">
        <f>INDEX(TourMode_input!$B$36:$J$49,MATCH(TourMode!$A99,modes,0),MATCH("idisc",modePurpose,0))</f>
        <v>83335.96041</v>
      </c>
      <c r="F97" s="116">
        <f t="shared" si="181"/>
        <v>186288.59632000001</v>
      </c>
      <c r="G97" s="300"/>
      <c r="H97" s="300"/>
      <c r="I97" s="300"/>
      <c r="J97" s="115"/>
      <c r="K97">
        <v>7</v>
      </c>
      <c r="L97" s="107" t="s">
        <v>392</v>
      </c>
      <c r="M97" s="113">
        <f t="shared" si="182"/>
        <v>36742.162770000003</v>
      </c>
      <c r="N97" s="113">
        <f t="shared" si="174"/>
        <v>66210.473140000002</v>
      </c>
      <c r="O97" s="113">
        <f t="shared" si="175"/>
        <v>83335.96041</v>
      </c>
      <c r="P97" s="116">
        <f t="shared" si="183"/>
        <v>186288.59632000001</v>
      </c>
      <c r="Q97" s="115"/>
      <c r="R97">
        <v>7</v>
      </c>
      <c r="S97" s="107" t="s">
        <v>392</v>
      </c>
      <c r="T97" s="113">
        <f>IF(M105&gt;0,M97/M105*T105,0)</f>
        <v>76714.792029095333</v>
      </c>
      <c r="U97" s="113">
        <f>IF(N105&gt;0,N97/N105*U105,0)</f>
        <v>206144.68547454925</v>
      </c>
      <c r="V97" s="113">
        <f>IF(O105&gt;0,O97/O105*V105,0)</f>
        <v>128229.80119247026</v>
      </c>
      <c r="W97" s="116">
        <f t="shared" si="184"/>
        <v>411089.27869611484</v>
      </c>
      <c r="X97" s="115"/>
      <c r="Y97" s="115"/>
      <c r="Z97" s="115"/>
      <c r="AA97" s="107" t="s">
        <v>392</v>
      </c>
      <c r="AB97" s="113">
        <f>INDEX(TourMode_input!$L$4:$T$17,MATCH(TourMode!$A99,modes,0),MATCH("idisc",modePurpose,0))*Index!$B$2</f>
        <v>84315</v>
      </c>
      <c r="AC97" s="113">
        <f>INDEX(TourMode_input!$L$20:$T$33,MATCH(TourMode!$A99,modes,0), MATCH("idisc",modePurpose,0))*Index!$B$2</f>
        <v>216160</v>
      </c>
      <c r="AD97" s="113">
        <f>INDEX(TourMode_input!$L$36:$T$49,MATCH(TourMode!$A99,modes,0), MATCH("idisc",modePurpose,0))*Index!$B$2</f>
        <v>138540</v>
      </c>
      <c r="AE97" s="116">
        <f t="shared" si="185"/>
        <v>439015</v>
      </c>
      <c r="AG97" s="107" t="s">
        <v>392</v>
      </c>
      <c r="AH97" s="117">
        <f t="shared" ref="AH97:AH103" si="198">T97/T$104</f>
        <v>0.4664931105448179</v>
      </c>
      <c r="AI97" s="117">
        <f t="shared" ref="AI97:AI103" si="199">U97/U$104</f>
        <v>0.21621489417054224</v>
      </c>
      <c r="AJ97" s="117">
        <f t="shared" ref="AJ97:AJ103" si="200">V97/V$104</f>
        <v>8.0742889377391755E-2</v>
      </c>
      <c r="AK97" s="118">
        <f t="shared" ref="AK97:AK104" si="201">F97/F$104</f>
        <v>0.12856789732990903</v>
      </c>
      <c r="AL97" s="115"/>
      <c r="AM97" s="107" t="s">
        <v>392</v>
      </c>
      <c r="AN97" s="117">
        <f t="shared" ref="AN97:AN104" si="202">AB97/AB$104</f>
        <v>0.51270903010033442</v>
      </c>
      <c r="AO97" s="117">
        <f t="shared" ref="AO97:AO104" si="203">AC97/AC$104</f>
        <v>0.22671945879329786</v>
      </c>
      <c r="AP97" s="117">
        <f t="shared" ref="AP97:AP104" si="204">AD97/AD$104</f>
        <v>8.7234946871310504E-2</v>
      </c>
      <c r="AQ97" s="118">
        <f t="shared" ref="AQ97:AQ104" si="205">AE97/AE$104</f>
        <v>0.16223762010347376</v>
      </c>
      <c r="AS97" s="107" t="s">
        <v>392</v>
      </c>
      <c r="AT97" s="113">
        <f t="shared" si="186"/>
        <v>7600.2079709046666</v>
      </c>
      <c r="AU97" s="113">
        <f t="shared" si="176"/>
        <v>10015.314525450754</v>
      </c>
      <c r="AV97" s="113">
        <f t="shared" si="177"/>
        <v>10310.198807529741</v>
      </c>
      <c r="AW97" s="116">
        <f t="shared" si="178"/>
        <v>27925.721303885162</v>
      </c>
      <c r="AX97" s="115"/>
      <c r="AY97" s="107" t="s">
        <v>392</v>
      </c>
      <c r="AZ97" s="117">
        <f t="shared" si="187"/>
        <v>0.20685249310120199</v>
      </c>
      <c r="BA97" s="117">
        <f t="shared" si="188"/>
        <v>0.15126480827698785</v>
      </c>
      <c r="BB97" s="117">
        <f t="shared" si="189"/>
        <v>0.12371848547499978</v>
      </c>
      <c r="BC97" s="118">
        <f t="shared" si="190"/>
        <v>0.14990569393692429</v>
      </c>
      <c r="BE97" s="107" t="s">
        <v>392</v>
      </c>
      <c r="BF97" s="307">
        <f t="shared" si="191"/>
        <v>-9.4465239683547531E-2</v>
      </c>
      <c r="BG97" s="307">
        <f t="shared" si="179"/>
        <v>-4.7440595286755205E-2</v>
      </c>
      <c r="BH97" s="307">
        <f t="shared" si="180"/>
        <v>-7.7335116522590938E-2</v>
      </c>
      <c r="BI97" s="118"/>
      <c r="BK97" s="107" t="s">
        <v>392</v>
      </c>
      <c r="BL97" s="307">
        <v>1.3196254444422908</v>
      </c>
      <c r="BM97" s="307">
        <v>0.92286346338278991</v>
      </c>
      <c r="BN97" s="307">
        <v>8.6668698043614101E-2</v>
      </c>
      <c r="BO97" s="118"/>
      <c r="BQ97" s="107" t="s">
        <v>392</v>
      </c>
      <c r="BR97" s="307">
        <f t="shared" si="197"/>
        <v>1.3339555223880359</v>
      </c>
      <c r="BS97" s="307">
        <f t="shared" si="193"/>
        <v>0.89218163620837843</v>
      </c>
      <c r="BT97" s="307">
        <f t="shared" si="194"/>
        <v>3.9547987052778302E-2</v>
      </c>
      <c r="BU97" s="118"/>
    </row>
    <row r="98" spans="1:89" x14ac:dyDescent="0.25">
      <c r="A98">
        <v>8</v>
      </c>
      <c r="B98" s="107" t="s">
        <v>393</v>
      </c>
      <c r="C98" s="113">
        <f>INDEX(TourMode_input!$B$4:$J$172,MATCH(TourMode!$A100,modes,0),MATCH("idisc",modePurpose,0))</f>
        <v>8482.99755</v>
      </c>
      <c r="D98" s="113">
        <f>INDEX(TourMode_input!$B$20:$J$33,MATCH(TourMode!$A100,modes,0),MATCH("idisc",modePurpose,0))</f>
        <v>7874.9451099999997</v>
      </c>
      <c r="E98" s="113">
        <f>INDEX(TourMode_input!$B$36:$J$49,MATCH(TourMode!$A100,modes,0),MATCH("idisc",modePurpose,0))</f>
        <v>18874.382079999999</v>
      </c>
      <c r="F98" s="116">
        <f t="shared" si="181"/>
        <v>35232.324739999996</v>
      </c>
      <c r="G98" s="300"/>
      <c r="H98" s="300"/>
      <c r="I98" s="300"/>
      <c r="J98" s="115"/>
      <c r="K98">
        <v>8</v>
      </c>
      <c r="L98" s="107" t="s">
        <v>393</v>
      </c>
      <c r="M98" s="113">
        <f t="shared" si="182"/>
        <v>8482.99755</v>
      </c>
      <c r="N98" s="113">
        <f t="shared" si="174"/>
        <v>7874.9451099999997</v>
      </c>
      <c r="O98" s="113">
        <f t="shared" si="175"/>
        <v>18874.382079999999</v>
      </c>
      <c r="P98" s="116">
        <f t="shared" si="183"/>
        <v>35232.324739999996</v>
      </c>
      <c r="Q98" s="115"/>
      <c r="R98">
        <v>8</v>
      </c>
      <c r="S98" s="107" t="s">
        <v>393</v>
      </c>
      <c r="T98" s="113">
        <f>IF(M105&gt;0,M98/M105*T105,0)</f>
        <v>17711.842302406065</v>
      </c>
      <c r="U98" s="113">
        <f>IF(N105&gt;0,N98/N105*U105,0)</f>
        <v>24518.448605520556</v>
      </c>
      <c r="V98" s="113">
        <f>IF(O105&gt;0,O98/O105*V105,0)</f>
        <v>29042.183588475229</v>
      </c>
      <c r="W98" s="116">
        <f t="shared" si="184"/>
        <v>71272.474496401846</v>
      </c>
      <c r="X98" s="115"/>
      <c r="Y98" s="115"/>
      <c r="Z98" s="115"/>
      <c r="AA98" s="107" t="s">
        <v>393</v>
      </c>
      <c r="AB98" s="113">
        <f>INDEX(TourMode_input!$L$4:$T$17,MATCH(TourMode!$A100,modes,0),MATCH("idisc",modePurpose,0))*Index!$B$2</f>
        <v>21130</v>
      </c>
      <c r="AC98" s="113">
        <f>INDEX(TourMode_input!$L$20:$T$33,MATCH(TourMode!$A100,modes,0), MATCH("idisc",modePurpose,0))*Index!$B$2</f>
        <v>26545</v>
      </c>
      <c r="AD98" s="113">
        <f>INDEX(TourMode_input!$L$36:$T$49,MATCH(TourMode!$A100,modes,0), MATCH("idisc",modePurpose,0))*Index!$B$2</f>
        <v>30800</v>
      </c>
      <c r="AE98" s="116">
        <f t="shared" si="185"/>
        <v>78475</v>
      </c>
      <c r="AG98" s="107" t="s">
        <v>393</v>
      </c>
      <c r="AH98" s="117">
        <f t="shared" si="198"/>
        <v>0.10770351050414144</v>
      </c>
      <c r="AI98" s="117">
        <f t="shared" si="199"/>
        <v>2.5716179673829147E-2</v>
      </c>
      <c r="AJ98" s="117">
        <f t="shared" si="200"/>
        <v>1.8287089233199674E-2</v>
      </c>
      <c r="AK98" s="118">
        <f t="shared" si="201"/>
        <v>2.4315744491870534E-2</v>
      </c>
      <c r="AL98" s="115"/>
      <c r="AM98" s="107" t="s">
        <v>393</v>
      </c>
      <c r="AN98" s="117">
        <f t="shared" si="202"/>
        <v>0.12848890240194588</v>
      </c>
      <c r="AO98" s="117">
        <f t="shared" si="203"/>
        <v>2.7841728505126256E-2</v>
      </c>
      <c r="AP98" s="117">
        <f t="shared" si="204"/>
        <v>1.9393939393939394E-2</v>
      </c>
      <c r="AQ98" s="118">
        <f t="shared" si="205"/>
        <v>2.9000369549150036E-2</v>
      </c>
      <c r="AS98" s="107" t="s">
        <v>393</v>
      </c>
      <c r="AT98" s="113">
        <f t="shared" si="186"/>
        <v>3418.1576975939352</v>
      </c>
      <c r="AU98" s="113">
        <f t="shared" si="176"/>
        <v>2026.5513944794438</v>
      </c>
      <c r="AV98" s="113">
        <f t="shared" si="177"/>
        <v>1757.816411524771</v>
      </c>
      <c r="AW98" s="116">
        <f t="shared" si="178"/>
        <v>7202.5255035981536</v>
      </c>
      <c r="AX98" s="115"/>
      <c r="AY98" s="107" t="s">
        <v>393</v>
      </c>
      <c r="AZ98" s="117">
        <f t="shared" si="187"/>
        <v>0.40294220025961636</v>
      </c>
      <c r="BA98" s="117">
        <f t="shared" si="188"/>
        <v>0.25734165332860892</v>
      </c>
      <c r="BB98" s="117">
        <f t="shared" si="189"/>
        <v>9.3132395226194917E-2</v>
      </c>
      <c r="BC98" s="118">
        <f t="shared" si="190"/>
        <v>0.20442947085523924</v>
      </c>
      <c r="BE98" s="107" t="s">
        <v>393</v>
      </c>
      <c r="BF98" s="307">
        <f t="shared" si="191"/>
        <v>-0.17646035913367888</v>
      </c>
      <c r="BG98" s="307">
        <f t="shared" si="179"/>
        <v>-7.941556754349384E-2</v>
      </c>
      <c r="BH98" s="307">
        <f t="shared" si="180"/>
        <v>-5.8765310409136066E-2</v>
      </c>
      <c r="BI98" s="118"/>
      <c r="BK98" s="107" t="s">
        <v>393</v>
      </c>
      <c r="BL98" s="307">
        <v>1.0850004665072717</v>
      </c>
      <c r="BM98" s="307">
        <v>0.28356961487722498</v>
      </c>
      <c r="BN98" s="307">
        <v>0.13739104519002759</v>
      </c>
      <c r="BO98" s="118"/>
      <c r="BQ98" s="107" t="s">
        <v>393</v>
      </c>
      <c r="BR98" s="307">
        <f t="shared" si="197"/>
        <v>1.0583329847279512</v>
      </c>
      <c r="BS98" s="307">
        <f t="shared" si="193"/>
        <v>0.23690030157444422</v>
      </c>
      <c r="BT98" s="307">
        <f t="shared" si="194"/>
        <v>9.9555237255919221E-2</v>
      </c>
      <c r="BU98" s="118"/>
    </row>
    <row r="99" spans="1:89" x14ac:dyDescent="0.25">
      <c r="A99">
        <v>10</v>
      </c>
      <c r="B99" s="107" t="s">
        <v>555</v>
      </c>
      <c r="C99" s="113">
        <f>INDEX(TourMode_input!$B$4:$J$172,MATCH(TourMode!$A102,modes,0),MATCH("idisc",modePurpose,0))+INDEX(TourMode_input!$B$4:$J$172,MATCH(TourMode!$A101,modes,0),MATCH("idisc",modePurpose,0))</f>
        <v>29379.14201</v>
      </c>
      <c r="D99" s="113">
        <f>INDEX(TourMode_input!$B$20:$J$33,MATCH(TourMode!$A102,modes,0),MATCH("idisc",modePurpose,0))+INDEX(TourMode_input!$B$20:$J$33,MATCH(TourMode!$A101,modes,0),MATCH("idisc",modePurpose,0))</f>
        <v>13026.464180000001</v>
      </c>
      <c r="E99" s="113">
        <f>INDEX(TourMode_input!$B$36:$J$49,MATCH(TourMode!$A102,modes,0),MATCH("idisc",modePurpose,0))+INDEX(TourMode_input!$B$36:$J$49,MATCH(TourMode!$A101,modes,0),MATCH("idisc",modePurpose,0))</f>
        <v>6311.6575700000003</v>
      </c>
      <c r="F99" s="116">
        <f t="shared" si="181"/>
        <v>48717.263760000002</v>
      </c>
      <c r="G99" s="300"/>
      <c r="H99" s="302">
        <f>F99/F$167</f>
        <v>8.2631728048791986E-2</v>
      </c>
      <c r="I99" s="300">
        <f>H99*H$167</f>
        <v>54365.296630628232</v>
      </c>
      <c r="J99" s="115"/>
      <c r="K99">
        <v>10</v>
      </c>
      <c r="L99" s="107" t="s">
        <v>546</v>
      </c>
      <c r="M99" s="113">
        <f t="shared" ref="M99:O101" si="206">IF($F99&gt;0,C99/$F99*$I99,0)</f>
        <v>32785.210967419102</v>
      </c>
      <c r="N99" s="113">
        <f t="shared" si="206"/>
        <v>14536.686474896418</v>
      </c>
      <c r="O99" s="113">
        <f t="shared" si="206"/>
        <v>7043.3991883127101</v>
      </c>
      <c r="P99" s="116">
        <f t="shared" si="183"/>
        <v>54365.296630628225</v>
      </c>
      <c r="Q99" s="115"/>
      <c r="R99">
        <v>10</v>
      </c>
      <c r="S99" s="107" t="s">
        <v>546</v>
      </c>
      <c r="T99" s="113">
        <f t="shared" ref="T99:V101" si="207">M99</f>
        <v>32785.210967419102</v>
      </c>
      <c r="U99" s="113">
        <f t="shared" si="207"/>
        <v>14536.686474896418</v>
      </c>
      <c r="V99" s="113">
        <f t="shared" si="207"/>
        <v>7043.3991883127101</v>
      </c>
      <c r="W99" s="116">
        <f t="shared" si="184"/>
        <v>54365.296630628225</v>
      </c>
      <c r="X99" s="115"/>
      <c r="Y99" s="115"/>
      <c r="Z99" s="115"/>
      <c r="AA99" s="107" t="s">
        <v>546</v>
      </c>
      <c r="AB99" s="113">
        <f>INDEX(TourMode_input!$L$4:$T$17,MATCH(TourMode!$A102,modes,0),MATCH("idisc",modePurpose,0))*Index!$B$2</f>
        <v>18255</v>
      </c>
      <c r="AC99" s="113">
        <f>INDEX(TourMode_input!$L$20:$T$33,MATCH(TourMode!$A102,modes,0), MATCH("idisc",modePurpose,0))*Index!$B$2</f>
        <v>7055</v>
      </c>
      <c r="AD99" s="113">
        <f>INDEX(TourMode_input!$L$36:$T$49,MATCH(TourMode!$A102,modes,0), MATCH("idisc",modePurpose,0))*Index!$B$2</f>
        <v>3225</v>
      </c>
      <c r="AE99" s="116">
        <f t="shared" si="185"/>
        <v>28535</v>
      </c>
      <c r="AG99" s="107" t="s">
        <v>395</v>
      </c>
      <c r="AH99" s="117">
        <f t="shared" si="198"/>
        <v>0.1993627909238011</v>
      </c>
      <c r="AI99" s="117">
        <f t="shared" si="199"/>
        <v>1.5246806487029833E-2</v>
      </c>
      <c r="AJ99" s="117">
        <f t="shared" si="200"/>
        <v>4.4350408112161892E-3</v>
      </c>
      <c r="AK99" s="118">
        <f t="shared" si="201"/>
        <v>3.3622434700890651E-2</v>
      </c>
      <c r="AL99" s="115"/>
      <c r="AM99" s="107" t="s">
        <v>395</v>
      </c>
      <c r="AN99" s="117">
        <f t="shared" si="202"/>
        <v>0.11100638491942839</v>
      </c>
      <c r="AO99" s="117">
        <f t="shared" si="203"/>
        <v>7.3996381466816998E-3</v>
      </c>
      <c r="AP99" s="117">
        <f t="shared" si="204"/>
        <v>2.0306965761511214E-3</v>
      </c>
      <c r="AQ99" s="118">
        <f t="shared" si="205"/>
        <v>1.0545084996304509E-2</v>
      </c>
      <c r="AS99" s="107" t="s">
        <v>395</v>
      </c>
      <c r="AT99" s="113">
        <f t="shared" si="186"/>
        <v>-14530.210967419102</v>
      </c>
      <c r="AU99" s="113">
        <f t="shared" si="176"/>
        <v>-7481.6864748964181</v>
      </c>
      <c r="AV99" s="113">
        <f t="shared" si="177"/>
        <v>-3818.3991883127101</v>
      </c>
      <c r="AW99" s="116">
        <f t="shared" si="178"/>
        <v>-25830.296630628225</v>
      </c>
      <c r="AX99" s="115"/>
      <c r="AY99" s="107" t="s">
        <v>395</v>
      </c>
      <c r="AZ99" s="117">
        <f t="shared" si="187"/>
        <v>-0.49457574228932022</v>
      </c>
      <c r="BA99" s="117">
        <f t="shared" si="188"/>
        <v>-0.57434514627409949</v>
      </c>
      <c r="BB99" s="117">
        <f t="shared" si="189"/>
        <v>-0.60497565749795734</v>
      </c>
      <c r="BC99" s="118">
        <f t="shared" si="190"/>
        <v>-0.53020828012587518</v>
      </c>
      <c r="BE99" s="107" t="s">
        <v>395</v>
      </c>
      <c r="BF99" s="307">
        <f t="shared" si="191"/>
        <v>0.58553851346356656</v>
      </c>
      <c r="BG99" s="307">
        <f t="shared" si="179"/>
        <v>0.72293897051991629</v>
      </c>
      <c r="BH99" s="307">
        <f t="shared" si="180"/>
        <v>0.78115794264181804</v>
      </c>
      <c r="BI99" s="118"/>
      <c r="BK99" s="107" t="s">
        <v>395</v>
      </c>
      <c r="BL99" s="307">
        <v>-1.1444772921455111</v>
      </c>
      <c r="BM99" s="307">
        <v>-2.0746026168252549</v>
      </c>
      <c r="BN99" s="307">
        <v>-1.859425545829821</v>
      </c>
      <c r="BO99" s="118"/>
      <c r="BQ99" s="107" t="s">
        <v>395</v>
      </c>
      <c r="BR99" s="307">
        <f t="shared" si="197"/>
        <v>-0.79014533762620887</v>
      </c>
      <c r="BS99" s="307">
        <f t="shared" si="193"/>
        <v>-1.7200946610963306</v>
      </c>
      <c r="BT99" s="307">
        <f t="shared" si="194"/>
        <v>-1.4772997272384523</v>
      </c>
      <c r="BU99" s="118"/>
    </row>
    <row r="100" spans="1:89" x14ac:dyDescent="0.25">
      <c r="A100">
        <v>11</v>
      </c>
      <c r="B100" s="107" t="s">
        <v>556</v>
      </c>
      <c r="C100" s="113">
        <f>INDEX(TourMode_input!$B$4:$J$172,MATCH(TourMode!$A103,modes,0),MATCH("idisc",modePurpose,0))</f>
        <v>2610.5966699999999</v>
      </c>
      <c r="D100" s="113">
        <f>INDEX(TourMode_input!$B$20:$J$33,MATCH(TourMode!$A103,modes,0),MATCH("idisc",modePurpose,0))</f>
        <v>283.13387999999998</v>
      </c>
      <c r="E100" s="113">
        <f>INDEX(TourMode_input!$B$36:$J$49,MATCH(TourMode!$A103,modes,0),MATCH("idisc",modePurpose,0))</f>
        <v>3247.2015700000002</v>
      </c>
      <c r="F100" s="116">
        <f t="shared" si="181"/>
        <v>6140.9321199999995</v>
      </c>
      <c r="G100" s="300"/>
      <c r="H100" s="302">
        <f>F100/F$168</f>
        <v>7.5892123950158111E-2</v>
      </c>
      <c r="I100" s="300">
        <f>H100*H$168</f>
        <v>2597.4889456526598</v>
      </c>
      <c r="J100" s="115"/>
      <c r="K100">
        <v>11</v>
      </c>
      <c r="L100" s="107" t="s">
        <v>559</v>
      </c>
      <c r="M100" s="113">
        <f t="shared" si="206"/>
        <v>1104.2291071412535</v>
      </c>
      <c r="N100" s="113">
        <f t="shared" si="206"/>
        <v>119.7598522616053</v>
      </c>
      <c r="O100" s="113">
        <f t="shared" si="206"/>
        <v>1373.4999862498012</v>
      </c>
      <c r="P100" s="116">
        <f t="shared" si="183"/>
        <v>2597.4889456526598</v>
      </c>
      <c r="Q100" s="115"/>
      <c r="R100">
        <v>11</v>
      </c>
      <c r="S100" s="107" t="s">
        <v>559</v>
      </c>
      <c r="T100" s="113">
        <f t="shared" si="207"/>
        <v>1104.2291071412535</v>
      </c>
      <c r="U100" s="113">
        <f t="shared" si="207"/>
        <v>119.7598522616053</v>
      </c>
      <c r="V100" s="113">
        <f t="shared" si="207"/>
        <v>1373.4999862498012</v>
      </c>
      <c r="W100" s="116">
        <f t="shared" si="184"/>
        <v>2597.4889456526598</v>
      </c>
      <c r="X100" s="115"/>
      <c r="Y100" s="115"/>
      <c r="Z100" s="115"/>
      <c r="AA100" s="107" t="s">
        <v>559</v>
      </c>
      <c r="AB100" s="113">
        <f>INDEX(TourMode_input!$L$4:$T$17,MATCH(TourMode!$A103,modes,0),MATCH("idisc",modePurpose,0))*Index!$B$2</f>
        <v>570</v>
      </c>
      <c r="AC100" s="113">
        <f>INDEX(TourMode_input!$L$20:$T$33,MATCH(TourMode!$A103,modes,0), MATCH("idisc",modePurpose,0))*Index!$B$2</f>
        <v>70</v>
      </c>
      <c r="AD100" s="113">
        <f>INDEX(TourMode_input!$L$36:$T$49,MATCH(TourMode!$A103,modes,0), MATCH("idisc",modePurpose,0))*Index!$B$2</f>
        <v>555</v>
      </c>
      <c r="AE100" s="116">
        <f t="shared" si="185"/>
        <v>1195</v>
      </c>
      <c r="AG100" s="107" t="s">
        <v>396</v>
      </c>
      <c r="AH100" s="117">
        <f t="shared" si="198"/>
        <v>6.7146798853223054E-3</v>
      </c>
      <c r="AI100" s="117">
        <f t="shared" si="199"/>
        <v>1.2561014475349954E-4</v>
      </c>
      <c r="AJ100" s="117">
        <f t="shared" si="200"/>
        <v>8.6485634710731295E-4</v>
      </c>
      <c r="AK100" s="118">
        <f t="shared" si="201"/>
        <v>4.2381914186409957E-3</v>
      </c>
      <c r="AL100" s="115"/>
      <c r="AM100" s="107" t="s">
        <v>396</v>
      </c>
      <c r="AN100" s="117">
        <f t="shared" si="202"/>
        <v>3.4660991182730314E-3</v>
      </c>
      <c r="AO100" s="117">
        <f t="shared" si="203"/>
        <v>7.3419513857933238E-5</v>
      </c>
      <c r="AP100" s="117">
        <f t="shared" si="204"/>
        <v>3.4946871310507675E-4</v>
      </c>
      <c r="AQ100" s="118">
        <f t="shared" si="205"/>
        <v>4.4161123429416112E-4</v>
      </c>
      <c r="AS100" s="107" t="s">
        <v>396</v>
      </c>
      <c r="AT100" s="113">
        <f t="shared" si="186"/>
        <v>-534.22910714125351</v>
      </c>
      <c r="AU100" s="113">
        <f t="shared" si="176"/>
        <v>-49.759852261605303</v>
      </c>
      <c r="AV100" s="113">
        <f t="shared" si="177"/>
        <v>-818.49998624980117</v>
      </c>
      <c r="AW100" s="116">
        <f t="shared" si="178"/>
        <v>-1402.4889456526598</v>
      </c>
      <c r="AX100" s="115"/>
      <c r="AY100" s="107" t="s">
        <v>396</v>
      </c>
      <c r="AZ100" s="117">
        <f t="shared" si="187"/>
        <v>-0.20463869937490325</v>
      </c>
      <c r="BA100" s="117">
        <f t="shared" si="188"/>
        <v>-0.17574672540638833</v>
      </c>
      <c r="BB100" s="117">
        <f t="shared" si="189"/>
        <v>-0.25206318998232102</v>
      </c>
      <c r="BC100" s="118">
        <f t="shared" si="190"/>
        <v>-0.22838372387882053</v>
      </c>
      <c r="BE100" s="107" t="s">
        <v>396</v>
      </c>
      <c r="BF100" s="307">
        <f t="shared" si="191"/>
        <v>0.66126636906266534</v>
      </c>
      <c r="BG100" s="307">
        <f t="shared" si="179"/>
        <v>0.53699326444072282</v>
      </c>
      <c r="BH100" s="307">
        <f t="shared" si="180"/>
        <v>0.90614938177782833</v>
      </c>
      <c r="BI100" s="118"/>
      <c r="BK100" s="107" t="s">
        <v>396</v>
      </c>
      <c r="BL100" s="307">
        <v>-1.2276938811044467</v>
      </c>
      <c r="BM100" s="307">
        <v>-5.3178949789771961</v>
      </c>
      <c r="BN100" s="307">
        <v>-3.3608409937044001</v>
      </c>
      <c r="BO100" s="118"/>
      <c r="BQ100" s="107" t="s">
        <v>396</v>
      </c>
      <c r="BR100" s="307">
        <f t="shared" si="197"/>
        <v>-0.83549799878559505</v>
      </c>
      <c r="BS100" s="307">
        <f t="shared" si="193"/>
        <v>-5.0563598762878685</v>
      </c>
      <c r="BT100" s="307">
        <f t="shared" si="194"/>
        <v>-2.9162194555450265</v>
      </c>
      <c r="BU100" s="118"/>
    </row>
    <row r="101" spans="1:89" x14ac:dyDescent="0.25">
      <c r="A101">
        <v>12</v>
      </c>
      <c r="B101" s="107" t="s">
        <v>557</v>
      </c>
      <c r="C101" s="297">
        <v>0</v>
      </c>
      <c r="D101" s="113">
        <f>INDEX(TourMode_input!$B$20:$J$33,MATCH(TourMode!$A104,modes,0),MATCH("idisc",modePurpose,0))</f>
        <v>2266.90409</v>
      </c>
      <c r="E101" s="113">
        <f>INDEX(TourMode_input!$B$36:$J$49,MATCH(TourMode!$A104,modes,0),MATCH("idisc",modePurpose,0))</f>
        <v>2810.5017400000002</v>
      </c>
      <c r="F101" s="116">
        <f t="shared" si="181"/>
        <v>5077.4058299999997</v>
      </c>
      <c r="G101" s="300"/>
      <c r="H101" s="302">
        <f>F101/F$169</f>
        <v>3.3577706322928891E-2</v>
      </c>
      <c r="I101" s="300">
        <f>H101*H$169</f>
        <v>3336.609830815125</v>
      </c>
      <c r="J101" s="115"/>
      <c r="K101">
        <v>12</v>
      </c>
      <c r="L101" s="107" t="s">
        <v>560</v>
      </c>
      <c r="M101" s="113">
        <f t="shared" si="206"/>
        <v>0</v>
      </c>
      <c r="N101" s="113">
        <f t="shared" si="206"/>
        <v>1489.692714243607</v>
      </c>
      <c r="O101" s="113">
        <f t="shared" si="206"/>
        <v>1846.9171165715181</v>
      </c>
      <c r="P101" s="116">
        <f t="shared" si="183"/>
        <v>3336.609830815125</v>
      </c>
      <c r="Q101" s="115"/>
      <c r="R101">
        <v>12</v>
      </c>
      <c r="S101" s="107" t="s">
        <v>560</v>
      </c>
      <c r="T101" s="113">
        <f t="shared" si="207"/>
        <v>0</v>
      </c>
      <c r="U101" s="113">
        <f t="shared" si="207"/>
        <v>1489.692714243607</v>
      </c>
      <c r="V101" s="113">
        <f t="shared" si="207"/>
        <v>1846.9171165715181</v>
      </c>
      <c r="W101" s="116">
        <f t="shared" si="184"/>
        <v>3336.609830815125</v>
      </c>
      <c r="X101" s="115"/>
      <c r="Y101" s="115"/>
      <c r="Z101" s="115"/>
      <c r="AA101" s="107" t="s">
        <v>560</v>
      </c>
      <c r="AB101" s="113">
        <f>INDEX(TourMode_input!$L$4:$T$17,MATCH(TourMode!$A104,modes,0),MATCH("idisc",modePurpose,0))*Index!$B$2</f>
        <v>0</v>
      </c>
      <c r="AC101" s="113">
        <f>INDEX(TourMode_input!$L$20:$T$33,MATCH(TourMode!$A104,modes,0), MATCH("idisc",modePurpose,0))*Index!$B$2</f>
        <v>445</v>
      </c>
      <c r="AD101" s="113">
        <f>INDEX(TourMode_input!$L$36:$T$49,MATCH(TourMode!$A104,modes,0), MATCH("idisc",modePurpose,0))*Index!$B$2</f>
        <v>640</v>
      </c>
      <c r="AE101" s="116">
        <f t="shared" si="185"/>
        <v>1085</v>
      </c>
      <c r="AG101" s="107" t="s">
        <v>397</v>
      </c>
      <c r="AH101" s="117">
        <f t="shared" si="198"/>
        <v>0</v>
      </c>
      <c r="AI101" s="117">
        <f t="shared" si="199"/>
        <v>1.5624644982495813E-3</v>
      </c>
      <c r="AJ101" s="117">
        <f t="shared" si="200"/>
        <v>1.1629545007927704E-3</v>
      </c>
      <c r="AK101" s="118">
        <f t="shared" si="201"/>
        <v>3.5041940534694858E-3</v>
      </c>
      <c r="AL101" s="115"/>
      <c r="AM101" s="107" t="s">
        <v>397</v>
      </c>
      <c r="AN101" s="117">
        <f t="shared" si="202"/>
        <v>0</v>
      </c>
      <c r="AO101" s="117">
        <f t="shared" si="203"/>
        <v>4.6673833809686134E-4</v>
      </c>
      <c r="AP101" s="117">
        <f t="shared" si="204"/>
        <v>4.029909484454939E-4</v>
      </c>
      <c r="AQ101" s="118">
        <f t="shared" si="205"/>
        <v>4.0096082779009608E-4</v>
      </c>
      <c r="AS101" s="107" t="s">
        <v>397</v>
      </c>
      <c r="AT101" s="113">
        <f t="shared" si="186"/>
        <v>0</v>
      </c>
      <c r="AU101" s="113">
        <f t="shared" si="176"/>
        <v>-1044.692714243607</v>
      </c>
      <c r="AV101" s="113">
        <f t="shared" si="177"/>
        <v>-1206.9171165715181</v>
      </c>
      <c r="AW101" s="116">
        <f t="shared" si="178"/>
        <v>-2251.609830815125</v>
      </c>
      <c r="AX101" s="115"/>
      <c r="AY101" s="107" t="s">
        <v>397</v>
      </c>
      <c r="AZ101" s="117">
        <f t="shared" si="187"/>
        <v>0</v>
      </c>
      <c r="BA101" s="117">
        <f t="shared" si="188"/>
        <v>-0.46084557297861112</v>
      </c>
      <c r="BB101" s="117">
        <f t="shared" si="189"/>
        <v>-0.4294311935104933</v>
      </c>
      <c r="BC101" s="118">
        <f t="shared" si="190"/>
        <v>-0.44345673877621183</v>
      </c>
      <c r="BE101" s="107" t="s">
        <v>397</v>
      </c>
      <c r="BF101" s="307">
        <f t="shared" si="191"/>
        <v>0</v>
      </c>
      <c r="BG101" s="307">
        <f t="shared" si="179"/>
        <v>1.2082508634532405</v>
      </c>
      <c r="BH101" s="307">
        <f t="shared" si="180"/>
        <v>1.0598049282157345</v>
      </c>
      <c r="BI101" s="118"/>
      <c r="BK101" s="107" t="s">
        <v>397</v>
      </c>
      <c r="BL101" s="307">
        <v>-0.17339594129075125</v>
      </c>
      <c r="BM101" s="307">
        <v>-2.3178151607157451</v>
      </c>
      <c r="BN101" s="307">
        <v>-2.2651929263768258</v>
      </c>
      <c r="BO101" s="118"/>
      <c r="BQ101" s="107" t="s">
        <v>397</v>
      </c>
      <c r="BR101" s="307">
        <f t="shared" si="197"/>
        <v>-0.11183324350323234</v>
      </c>
      <c r="BS101" s="307">
        <f t="shared" si="193"/>
        <v>-1.7206512585201588</v>
      </c>
      <c r="BT101" s="307">
        <f t="shared" si="194"/>
        <v>-1.7437436149984988</v>
      </c>
      <c r="BU101" s="118"/>
    </row>
    <row r="102" spans="1:89" x14ac:dyDescent="0.25">
      <c r="A102">
        <v>13</v>
      </c>
      <c r="B102" s="107" t="s">
        <v>398</v>
      </c>
      <c r="C102" s="113">
        <f>INDEX(TourMode_input!$B$4:$J$172,MATCH(TourMode!$A105,modes,0),MATCH("idisc",modePurpose,0))</f>
        <v>2262.0178000000001</v>
      </c>
      <c r="D102" s="113">
        <f>INDEX(TourMode_input!$B$20:$J$33,MATCH(TourMode!$A105,modes,0),MATCH("idisc",modePurpose,0))</f>
        <v>684.05128999999999</v>
      </c>
      <c r="E102" s="113">
        <f>INDEX(TourMode_input!$B$36:$J$49,MATCH(TourMode!$A105,modes,0),MATCH("idisc",modePurpose,0))</f>
        <v>1885.6934699999999</v>
      </c>
      <c r="F102" s="116">
        <f t="shared" si="181"/>
        <v>4831.7625600000001</v>
      </c>
      <c r="G102" s="300"/>
      <c r="H102" s="300"/>
      <c r="I102" s="300"/>
      <c r="J102" s="115"/>
      <c r="K102">
        <v>13</v>
      </c>
      <c r="L102" s="107" t="s">
        <v>398</v>
      </c>
      <c r="M102" s="113">
        <f t="shared" ref="M102:O103" si="208">C102</f>
        <v>2262.0178000000001</v>
      </c>
      <c r="N102" s="113">
        <f t="shared" si="208"/>
        <v>684.05128999999999</v>
      </c>
      <c r="O102" s="113">
        <f t="shared" si="208"/>
        <v>1885.6934699999999</v>
      </c>
      <c r="P102" s="116">
        <f t="shared" si="183"/>
        <v>4831.7625600000001</v>
      </c>
      <c r="Q102" s="115"/>
      <c r="R102">
        <v>13</v>
      </c>
      <c r="S102" s="107" t="s">
        <v>398</v>
      </c>
      <c r="T102" s="113">
        <f>IF(M105&gt;0,M102/M105*T105,0)</f>
        <v>4722.9180867599689</v>
      </c>
      <c r="U102" s="113">
        <f>IF(N105&gt;0,N102/N105*U105,0)</f>
        <v>2129.7769270934054</v>
      </c>
      <c r="V102" s="113">
        <f>IF(O105&gt;0,O102/O105*V105,0)</f>
        <v>2901.5337145982426</v>
      </c>
      <c r="W102" s="116">
        <f t="shared" si="184"/>
        <v>9754.2287284516169</v>
      </c>
      <c r="X102" s="115"/>
      <c r="Y102" s="115"/>
      <c r="Z102" s="115"/>
      <c r="AA102" s="107" t="s">
        <v>398</v>
      </c>
      <c r="AB102" s="113">
        <f>INDEX(TourMode_input!$L$4:$T$17,MATCH(TourMode!$A105,modes,0),MATCH("idisc",modePurpose,0))*Index!$B$2</f>
        <v>4595</v>
      </c>
      <c r="AC102" s="113">
        <f>INDEX(TourMode_input!$L$20:$T$33,MATCH(TourMode!$A105,modes,0), MATCH("idisc",modePurpose,0))*Index!$B$2</f>
        <v>1565</v>
      </c>
      <c r="AD102" s="113">
        <f>INDEX(TourMode_input!$L$36:$T$49,MATCH(TourMode!$A105,modes,0), MATCH("idisc",modePurpose,0))*Index!$B$2</f>
        <v>2545</v>
      </c>
      <c r="AE102" s="116">
        <f t="shared" si="185"/>
        <v>8705</v>
      </c>
      <c r="AG102" s="107" t="s">
        <v>398</v>
      </c>
      <c r="AH102" s="117">
        <f t="shared" si="198"/>
        <v>2.8719477572271009E-2</v>
      </c>
      <c r="AI102" s="117">
        <f t="shared" si="199"/>
        <v>2.2338169516148681E-3</v>
      </c>
      <c r="AJ102" s="117">
        <f t="shared" si="200"/>
        <v>1.8270184743633172E-3</v>
      </c>
      <c r="AK102" s="118">
        <f t="shared" si="201"/>
        <v>3.3346622660116376E-3</v>
      </c>
      <c r="AL102" s="115"/>
      <c r="AM102" s="107" t="s">
        <v>398</v>
      </c>
      <c r="AN102" s="117">
        <f t="shared" si="202"/>
        <v>2.7941623593797506E-2</v>
      </c>
      <c r="AO102" s="117">
        <f t="shared" si="203"/>
        <v>1.6414505598237933E-3</v>
      </c>
      <c r="AP102" s="117">
        <f t="shared" si="204"/>
        <v>1.6025186934277844E-3</v>
      </c>
      <c r="AQ102" s="118">
        <f t="shared" si="205"/>
        <v>3.2169253510716924E-3</v>
      </c>
      <c r="AS102" s="107" t="s">
        <v>398</v>
      </c>
      <c r="AT102" s="113">
        <f t="shared" si="186"/>
        <v>-127.9180867599689</v>
      </c>
      <c r="AU102" s="113">
        <f t="shared" si="176"/>
        <v>-564.77692709340545</v>
      </c>
      <c r="AV102" s="113">
        <f t="shared" si="177"/>
        <v>-356.53371459824257</v>
      </c>
      <c r="AW102" s="116">
        <f t="shared" si="178"/>
        <v>-1049.2287284516169</v>
      </c>
      <c r="AX102" s="115"/>
      <c r="AY102" s="107" t="s">
        <v>398</v>
      </c>
      <c r="AZ102" s="117">
        <f t="shared" si="187"/>
        <v>-5.655043331664715E-2</v>
      </c>
      <c r="BA102" s="117">
        <f t="shared" si="188"/>
        <v>-0.82563535125181253</v>
      </c>
      <c r="BB102" s="117">
        <f t="shared" si="189"/>
        <v>-0.18907299636469685</v>
      </c>
      <c r="BC102" s="118">
        <f t="shared" si="190"/>
        <v>-0.21715237771361365</v>
      </c>
      <c r="BE102" s="107" t="s">
        <v>398</v>
      </c>
      <c r="BF102" s="307">
        <f t="shared" si="191"/>
        <v>2.7458091479319092E-2</v>
      </c>
      <c r="BG102" s="307">
        <f t="shared" si="179"/>
        <v>0.30813142118061698</v>
      </c>
      <c r="BH102" s="307">
        <f t="shared" si="180"/>
        <v>0.13110881429186694</v>
      </c>
      <c r="BI102" s="118"/>
      <c r="BK102" s="107" t="s">
        <v>398</v>
      </c>
      <c r="BL102" s="307">
        <v>-2.6222458524207961</v>
      </c>
      <c r="BM102" s="307">
        <v>-3.9694696288639535</v>
      </c>
      <c r="BN102" s="307">
        <v>-3.15829610317674</v>
      </c>
      <c r="BO102" s="118"/>
      <c r="BQ102" s="107" t="s">
        <v>398</v>
      </c>
      <c r="BR102" s="307">
        <f t="shared" si="197"/>
        <v>-2.5469541088936176</v>
      </c>
      <c r="BS102" s="307">
        <f t="shared" si="193"/>
        <v>-3.8223654478046787</v>
      </c>
      <c r="BT102" s="307">
        <f t="shared" si="194"/>
        <v>-3.1011948487603469</v>
      </c>
      <c r="BU102" s="118"/>
    </row>
    <row r="103" spans="1:89" x14ac:dyDescent="0.25">
      <c r="A103">
        <v>14</v>
      </c>
      <c r="B103" s="107" t="s">
        <v>399</v>
      </c>
      <c r="C103" s="297">
        <v>0</v>
      </c>
      <c r="D103" s="297">
        <v>0</v>
      </c>
      <c r="E103" s="297">
        <v>0</v>
      </c>
      <c r="F103" s="116">
        <f t="shared" si="181"/>
        <v>0</v>
      </c>
      <c r="G103" s="300"/>
      <c r="H103" s="300"/>
      <c r="I103" s="300"/>
      <c r="J103" s="115"/>
      <c r="K103">
        <v>14</v>
      </c>
      <c r="L103" s="107" t="s">
        <v>399</v>
      </c>
      <c r="M103" s="113">
        <f t="shared" si="208"/>
        <v>0</v>
      </c>
      <c r="N103" s="113">
        <f t="shared" si="208"/>
        <v>0</v>
      </c>
      <c r="O103" s="113">
        <f t="shared" si="208"/>
        <v>0</v>
      </c>
      <c r="P103" s="116">
        <f t="shared" si="183"/>
        <v>0</v>
      </c>
      <c r="Q103" s="115"/>
      <c r="R103">
        <v>14</v>
      </c>
      <c r="S103" s="107" t="s">
        <v>399</v>
      </c>
      <c r="T103" s="113">
        <f>IF(M105&gt;0,M103/M105*T105,0)</f>
        <v>0</v>
      </c>
      <c r="U103" s="113">
        <f>IF(N105&gt;0,N103/N105*U105,0)</f>
        <v>0</v>
      </c>
      <c r="V103" s="113">
        <f>IF(O105&gt;0,O103/O105*V105,0)</f>
        <v>0</v>
      </c>
      <c r="W103" s="116">
        <f t="shared" si="184"/>
        <v>0</v>
      </c>
      <c r="X103" s="115"/>
      <c r="Y103" s="115"/>
      <c r="Z103" s="115"/>
      <c r="AA103" s="107" t="s">
        <v>399</v>
      </c>
      <c r="AB103" s="113">
        <f>INDEX(TourMode_input!$L$4:$T$17,MATCH(TourMode!$A106,modes,0),MATCH("idisc",modePurpose,0))*Index!$B$2</f>
        <v>0</v>
      </c>
      <c r="AC103" s="113">
        <f>INDEX(TourMode_input!$L$20:$T$33,MATCH(TourMode!$A106,modes,0), MATCH("idisc",modePurpose,0))*Index!$B$2</f>
        <v>0</v>
      </c>
      <c r="AD103" s="113">
        <f>INDEX(TourMode_input!$L$36:$T$49,MATCH(TourMode!$A106,modes,0), MATCH("idisc",modePurpose,0))*Index!$B$2</f>
        <v>0</v>
      </c>
      <c r="AE103" s="116">
        <f t="shared" si="185"/>
        <v>0</v>
      </c>
      <c r="AG103" s="107" t="s">
        <v>399</v>
      </c>
      <c r="AH103" s="117">
        <f t="shared" si="198"/>
        <v>0</v>
      </c>
      <c r="AI103" s="117">
        <f t="shared" si="199"/>
        <v>0</v>
      </c>
      <c r="AJ103" s="117">
        <f t="shared" si="200"/>
        <v>0</v>
      </c>
      <c r="AK103" s="118">
        <f t="shared" si="201"/>
        <v>0</v>
      </c>
      <c r="AL103" s="115"/>
      <c r="AM103" s="107" t="s">
        <v>399</v>
      </c>
      <c r="AN103" s="117">
        <f t="shared" si="202"/>
        <v>0</v>
      </c>
      <c r="AO103" s="117">
        <f t="shared" si="203"/>
        <v>0</v>
      </c>
      <c r="AP103" s="117">
        <f t="shared" si="204"/>
        <v>0</v>
      </c>
      <c r="AQ103" s="118">
        <f t="shared" si="205"/>
        <v>0</v>
      </c>
      <c r="AS103" s="107" t="s">
        <v>399</v>
      </c>
      <c r="AT103" s="113">
        <f t="shared" si="186"/>
        <v>0</v>
      </c>
      <c r="AU103" s="113">
        <f t="shared" si="176"/>
        <v>0</v>
      </c>
      <c r="AV103" s="113">
        <f t="shared" si="177"/>
        <v>0</v>
      </c>
      <c r="AW103" s="116">
        <f t="shared" si="178"/>
        <v>0</v>
      </c>
      <c r="AX103" s="115"/>
      <c r="AY103" s="107" t="s">
        <v>399</v>
      </c>
      <c r="AZ103" s="117">
        <f t="shared" si="187"/>
        <v>0</v>
      </c>
      <c r="BA103" s="117">
        <f t="shared" si="188"/>
        <v>0</v>
      </c>
      <c r="BB103" s="117">
        <f t="shared" si="189"/>
        <v>0</v>
      </c>
      <c r="BC103" s="118">
        <f t="shared" si="190"/>
        <v>0</v>
      </c>
      <c r="BE103" s="107" t="s">
        <v>399</v>
      </c>
      <c r="BF103" s="307">
        <f t="shared" si="191"/>
        <v>0</v>
      </c>
      <c r="BG103" s="307">
        <f t="shared" si="179"/>
        <v>0</v>
      </c>
      <c r="BH103" s="307">
        <f t="shared" si="180"/>
        <v>0</v>
      </c>
      <c r="BI103" s="118"/>
      <c r="BK103" s="107" t="s">
        <v>399</v>
      </c>
      <c r="BL103" s="307">
        <v>-0.96809497679508594</v>
      </c>
      <c r="BM103" s="307">
        <v>-0.51611900191574478</v>
      </c>
      <c r="BN103" s="307">
        <v>-0.34955415751159979</v>
      </c>
      <c r="BO103" s="118"/>
      <c r="BQ103" s="107" t="s">
        <v>399</v>
      </c>
      <c r="BR103" s="307">
        <f t="shared" si="197"/>
        <v>-0.90653227900756705</v>
      </c>
      <c r="BS103" s="307">
        <f t="shared" si="193"/>
        <v>-0.52308053144677857</v>
      </c>
      <c r="BT103" s="307">
        <f t="shared" si="194"/>
        <v>-0.35800731024114013</v>
      </c>
      <c r="BU103" s="118"/>
    </row>
    <row r="104" spans="1:89" ht="15.75" thickBot="1" x14ac:dyDescent="0.3">
      <c r="B104" s="108" t="s">
        <v>29</v>
      </c>
      <c r="C104" s="109">
        <f>SUM(C91:C103)</f>
        <v>94521.060440000001</v>
      </c>
      <c r="D104" s="110">
        <f>SUM(D91:D103)</f>
        <v>316615.92358999996</v>
      </c>
      <c r="E104" s="111">
        <f>SUM(E91:E103)</f>
        <v>1037814.1164300001</v>
      </c>
      <c r="F104" s="112">
        <f>SUM(F91:F103)</f>
        <v>1448951.1004600001</v>
      </c>
      <c r="G104" s="301"/>
      <c r="H104" s="301"/>
      <c r="I104" s="301"/>
      <c r="L104" s="108" t="s">
        <v>29</v>
      </c>
      <c r="M104" s="109">
        <f>SUM(M91:M103)</f>
        <v>96420.761834560355</v>
      </c>
      <c r="N104" s="110">
        <f>SUM(N91:N103)</f>
        <v>317185.56048140163</v>
      </c>
      <c r="O104" s="111">
        <f>SUM(O91:O103)</f>
        <v>1035708.5718411341</v>
      </c>
      <c r="P104" s="112">
        <f>SUM(P91:P103)</f>
        <v>1449314.894157096</v>
      </c>
      <c r="S104" s="108" t="s">
        <v>29</v>
      </c>
      <c r="T104" s="109">
        <f>SUM(T91:T103)</f>
        <v>164450.00000000006</v>
      </c>
      <c r="U104" s="110">
        <f>SUM(U91:U103)</f>
        <v>953425</v>
      </c>
      <c r="V104" s="111">
        <f>SUM(V91:V103)</f>
        <v>1588124.9999999998</v>
      </c>
      <c r="W104" s="112">
        <f>SUM(W91:W103)</f>
        <v>2706000</v>
      </c>
      <c r="AA104" s="108" t="s">
        <v>29</v>
      </c>
      <c r="AB104" s="109">
        <f>SUM(AB91:AB103)</f>
        <v>164450</v>
      </c>
      <c r="AC104" s="110">
        <f>SUM(AC91:AC103)</f>
        <v>953425</v>
      </c>
      <c r="AD104" s="111">
        <f>SUM(AD91:AD103)</f>
        <v>1588125</v>
      </c>
      <c r="AE104" s="112">
        <f>SUM(AE91:AE103)</f>
        <v>2706000</v>
      </c>
      <c r="AG104" s="108" t="s">
        <v>29</v>
      </c>
      <c r="AH104" s="120">
        <f>C104/C$104</f>
        <v>1</v>
      </c>
      <c r="AI104" s="121">
        <f>D104/D$104</f>
        <v>1</v>
      </c>
      <c r="AJ104" s="122">
        <f>E104/E$104</f>
        <v>1</v>
      </c>
      <c r="AK104" s="123">
        <f t="shared" si="201"/>
        <v>1</v>
      </c>
      <c r="AM104" s="108" t="s">
        <v>29</v>
      </c>
      <c r="AN104" s="120">
        <f t="shared" si="202"/>
        <v>1</v>
      </c>
      <c r="AO104" s="121">
        <f t="shared" si="203"/>
        <v>1</v>
      </c>
      <c r="AP104" s="122">
        <f t="shared" si="204"/>
        <v>1</v>
      </c>
      <c r="AQ104" s="123">
        <f t="shared" si="205"/>
        <v>1</v>
      </c>
      <c r="AS104" s="108" t="s">
        <v>29</v>
      </c>
      <c r="AT104" s="109">
        <f t="shared" si="186"/>
        <v>0</v>
      </c>
      <c r="AU104" s="110">
        <f t="shared" si="176"/>
        <v>0</v>
      </c>
      <c r="AV104" s="111">
        <f t="shared" si="177"/>
        <v>0</v>
      </c>
      <c r="AW104" s="112">
        <f t="shared" si="178"/>
        <v>0</v>
      </c>
      <c r="AY104" s="108" t="s">
        <v>29</v>
      </c>
      <c r="AZ104" s="117">
        <f t="shared" si="187"/>
        <v>0</v>
      </c>
      <c r="BA104" s="117">
        <f t="shared" si="188"/>
        <v>0</v>
      </c>
      <c r="BB104" s="117">
        <f t="shared" si="189"/>
        <v>0</v>
      </c>
      <c r="BC104" s="118">
        <f t="shared" si="190"/>
        <v>0</v>
      </c>
      <c r="BE104" s="108" t="s">
        <v>29</v>
      </c>
      <c r="BF104" s="117"/>
      <c r="BG104" s="117"/>
      <c r="BH104" s="117"/>
      <c r="BI104" s="118"/>
      <c r="BK104" s="108" t="s">
        <v>29</v>
      </c>
      <c r="BL104" s="117"/>
      <c r="BM104" s="117"/>
      <c r="BN104" s="117"/>
      <c r="BO104" s="118"/>
      <c r="BQ104" s="108" t="s">
        <v>29</v>
      </c>
      <c r="BR104" s="117"/>
      <c r="BS104" s="117"/>
      <c r="BT104" s="117"/>
      <c r="BU104" s="118"/>
    </row>
    <row r="105" spans="1:89" x14ac:dyDescent="0.25">
      <c r="B105" s="304"/>
      <c r="C105" s="301"/>
      <c r="D105" s="301"/>
      <c r="E105" s="301"/>
      <c r="F105" s="301"/>
      <c r="G105" s="301"/>
      <c r="H105" s="301"/>
      <c r="I105" s="301"/>
      <c r="L105" s="304"/>
      <c r="M105" s="286">
        <f>M104-SUM(M99:M101)</f>
        <v>62531.321759999999</v>
      </c>
      <c r="N105" s="286">
        <f>N104-SUM(N99:N101)</f>
        <v>301039.42144000001</v>
      </c>
      <c r="O105" s="286">
        <f>O104-SUM(O99:O101)</f>
        <v>1025444.7555500001</v>
      </c>
      <c r="P105" s="301"/>
      <c r="S105" s="304"/>
      <c r="T105" s="286">
        <f>AB104-SUM(T99:T101)</f>
        <v>130560.55992543965</v>
      </c>
      <c r="U105" s="286">
        <f>AC104-SUM(U99:U101)</f>
        <v>937278.86095859832</v>
      </c>
      <c r="V105" s="286">
        <f>AD104-SUM(V99:V101)</f>
        <v>1577861.1837088659</v>
      </c>
      <c r="W105" s="301"/>
      <c r="AA105" s="304"/>
      <c r="AB105" s="301"/>
      <c r="AC105" s="301"/>
      <c r="AD105" s="301"/>
      <c r="AE105" s="301"/>
      <c r="AG105" s="304"/>
      <c r="AH105" s="305"/>
      <c r="AI105" s="305"/>
      <c r="AJ105" s="305"/>
      <c r="AK105" s="305"/>
      <c r="AM105" s="304"/>
      <c r="AN105" s="305"/>
      <c r="AO105" s="305"/>
      <c r="AP105" s="305"/>
      <c r="AQ105" s="305"/>
      <c r="AS105" s="304"/>
      <c r="AT105" s="301"/>
      <c r="AU105" s="301"/>
      <c r="AV105" s="301"/>
      <c r="AW105" s="301"/>
      <c r="AY105" s="304"/>
      <c r="AZ105" s="306"/>
      <c r="BA105" s="306"/>
      <c r="BB105" s="306"/>
      <c r="BC105" s="306"/>
      <c r="BE105" s="304"/>
      <c r="BF105" s="306"/>
      <c r="BG105" s="306"/>
      <c r="BH105" s="306"/>
      <c r="BI105" s="306"/>
      <c r="BK105" s="304"/>
      <c r="BL105" s="306"/>
      <c r="BM105" s="306"/>
      <c r="BN105" s="306"/>
      <c r="BO105" s="306"/>
      <c r="BQ105" s="304"/>
      <c r="BR105" s="306"/>
      <c r="BS105" s="306"/>
      <c r="BT105" s="306"/>
      <c r="BU105" s="306"/>
    </row>
    <row r="106" spans="1:89" ht="26.25" x14ac:dyDescent="0.4">
      <c r="A106" s="150" t="s">
        <v>152</v>
      </c>
      <c r="K106" s="150" t="s">
        <v>152</v>
      </c>
      <c r="R106" s="150" t="s">
        <v>152</v>
      </c>
    </row>
    <row r="107" spans="1:89" ht="26.25" x14ac:dyDescent="0.25">
      <c r="B107" s="102" t="s">
        <v>134</v>
      </c>
      <c r="C107" s="103" t="s">
        <v>135</v>
      </c>
      <c r="D107" s="104" t="s">
        <v>136</v>
      </c>
      <c r="E107" s="105" t="s">
        <v>137</v>
      </c>
      <c r="F107" s="106" t="s">
        <v>29</v>
      </c>
      <c r="G107" s="299"/>
      <c r="H107" s="299"/>
      <c r="I107" s="299"/>
      <c r="L107" s="102" t="s">
        <v>134</v>
      </c>
      <c r="M107" s="103" t="s">
        <v>135</v>
      </c>
      <c r="N107" s="104" t="s">
        <v>136</v>
      </c>
      <c r="O107" s="105" t="s">
        <v>137</v>
      </c>
      <c r="P107" s="106" t="s">
        <v>29</v>
      </c>
      <c r="S107" s="102" t="s">
        <v>134</v>
      </c>
      <c r="T107" s="103" t="s">
        <v>135</v>
      </c>
      <c r="U107" s="104" t="s">
        <v>136</v>
      </c>
      <c r="V107" s="105" t="s">
        <v>137</v>
      </c>
      <c r="W107" s="106" t="s">
        <v>29</v>
      </c>
      <c r="AA107" s="102" t="s">
        <v>134</v>
      </c>
      <c r="AB107" s="103" t="s">
        <v>135</v>
      </c>
      <c r="AC107" s="104" t="s">
        <v>136</v>
      </c>
      <c r="AD107" s="105" t="s">
        <v>137</v>
      </c>
      <c r="AE107" s="106" t="s">
        <v>29</v>
      </c>
      <c r="AG107" s="102" t="s">
        <v>134</v>
      </c>
      <c r="AH107" s="103" t="s">
        <v>135</v>
      </c>
      <c r="AI107" s="104" t="s">
        <v>136</v>
      </c>
      <c r="AJ107" s="105" t="s">
        <v>137</v>
      </c>
      <c r="AK107" s="106" t="s">
        <v>29</v>
      </c>
      <c r="AM107" s="102" t="s">
        <v>134</v>
      </c>
      <c r="AN107" s="103" t="s">
        <v>135</v>
      </c>
      <c r="AO107" s="104" t="s">
        <v>136</v>
      </c>
      <c r="AP107" s="105" t="s">
        <v>137</v>
      </c>
      <c r="AQ107" s="106" t="s">
        <v>29</v>
      </c>
      <c r="AS107" s="102" t="s">
        <v>134</v>
      </c>
      <c r="AT107" s="103" t="s">
        <v>135</v>
      </c>
      <c r="AU107" s="104" t="s">
        <v>136</v>
      </c>
      <c r="AV107" s="105" t="s">
        <v>137</v>
      </c>
      <c r="AW107" s="106" t="s">
        <v>29</v>
      </c>
      <c r="AY107" s="102" t="s">
        <v>134</v>
      </c>
      <c r="AZ107" s="103" t="s">
        <v>135</v>
      </c>
      <c r="BA107" s="104" t="s">
        <v>136</v>
      </c>
      <c r="BB107" s="105" t="s">
        <v>137</v>
      </c>
      <c r="BC107" s="106" t="s">
        <v>29</v>
      </c>
      <c r="BE107" s="102" t="s">
        <v>134</v>
      </c>
      <c r="BF107" s="103" t="s">
        <v>135</v>
      </c>
      <c r="BG107" s="104" t="s">
        <v>136</v>
      </c>
      <c r="BH107" s="105" t="s">
        <v>137</v>
      </c>
      <c r="BI107" s="106" t="s">
        <v>29</v>
      </c>
      <c r="BK107" s="102" t="s">
        <v>134</v>
      </c>
      <c r="BL107" s="103" t="s">
        <v>135</v>
      </c>
      <c r="BM107" s="104" t="s">
        <v>136</v>
      </c>
      <c r="BN107" s="105" t="s">
        <v>137</v>
      </c>
      <c r="BO107" s="106" t="s">
        <v>29</v>
      </c>
      <c r="BQ107" s="102" t="s">
        <v>134</v>
      </c>
      <c r="BR107" s="103" t="s">
        <v>135</v>
      </c>
      <c r="BS107" s="104" t="s">
        <v>136</v>
      </c>
      <c r="BT107" s="105" t="s">
        <v>137</v>
      </c>
      <c r="BU107" s="106" t="s">
        <v>29</v>
      </c>
      <c r="BX107">
        <v>1</v>
      </c>
      <c r="BY107">
        <v>2</v>
      </c>
      <c r="BZ107">
        <v>3</v>
      </c>
      <c r="CA107">
        <v>4</v>
      </c>
      <c r="CB107">
        <v>5</v>
      </c>
      <c r="CC107">
        <v>6</v>
      </c>
      <c r="CD107">
        <v>7</v>
      </c>
      <c r="CE107">
        <v>8</v>
      </c>
      <c r="CG107">
        <v>9</v>
      </c>
      <c r="CH107">
        <v>10</v>
      </c>
      <c r="CI107">
        <v>11</v>
      </c>
      <c r="CJ107">
        <v>12</v>
      </c>
      <c r="CK107">
        <v>13</v>
      </c>
    </row>
    <row r="108" spans="1:89" x14ac:dyDescent="0.25">
      <c r="A108">
        <v>1</v>
      </c>
      <c r="B108" s="107" t="s">
        <v>386</v>
      </c>
      <c r="C108" s="297">
        <v>0</v>
      </c>
      <c r="D108" s="113">
        <f>INDEX(TourMode_input!$B$20:$J$33,MATCH(TourMode!$A110,modes,0),MATCH("jmain",modePurpose,0))</f>
        <v>0</v>
      </c>
      <c r="E108" s="113">
        <f>INDEX(TourMode_input!$B$36:$J$49,MATCH(TourMode!$A110,modes,0),MATCH("jmain",modePurpose,0))</f>
        <v>39.501289999999997</v>
      </c>
      <c r="F108" s="114">
        <f>SUM(C108:E108)</f>
        <v>39.501289999999997</v>
      </c>
      <c r="G108" s="300"/>
      <c r="H108" s="300"/>
      <c r="I108" s="300"/>
      <c r="J108" s="115"/>
      <c r="K108">
        <v>1</v>
      </c>
      <c r="L108" s="107" t="s">
        <v>386</v>
      </c>
      <c r="M108" s="113">
        <f>C108</f>
        <v>0</v>
      </c>
      <c r="N108" s="113">
        <f t="shared" ref="N108:N115" si="209">D108</f>
        <v>0</v>
      </c>
      <c r="O108" s="113">
        <f t="shared" ref="O108:O115" si="210">E108</f>
        <v>39.501289999999997</v>
      </c>
      <c r="P108" s="114">
        <f>SUM(M108:O108)</f>
        <v>39.501289999999997</v>
      </c>
      <c r="Q108" s="115"/>
      <c r="R108">
        <v>1</v>
      </c>
      <c r="S108" s="107" t="s">
        <v>386</v>
      </c>
      <c r="T108" s="113">
        <f>IF(M122&gt;0,M108/M122*T122,0)</f>
        <v>0</v>
      </c>
      <c r="U108" s="113">
        <f>IF(N122&gt;0,N108/N122*U122,0)</f>
        <v>0</v>
      </c>
      <c r="V108" s="113">
        <f>IF(O122&gt;0,O108/O122*V122,0)</f>
        <v>38.724932162856099</v>
      </c>
      <c r="W108" s="114">
        <f>SUM(T108:V108)</f>
        <v>38.724932162856099</v>
      </c>
      <c r="X108" s="115"/>
      <c r="Y108" s="115"/>
      <c r="Z108" s="115"/>
      <c r="AA108" s="107" t="s">
        <v>386</v>
      </c>
      <c r="AB108" s="113">
        <f>INDEX(TourMode_input!$L$4:$T$17,MATCH(TourMode!$A110,modes,0),MATCH("jmain",modePurpose,0))*Index!$B$2</f>
        <v>0</v>
      </c>
      <c r="AC108" s="113">
        <f>INDEX(TourMode_input!$L$20:$T$33,MATCH(TourMode!$A110,modes,0), MATCH("jmain",modePurpose,0))*Index!$B$2</f>
        <v>0</v>
      </c>
      <c r="AD108" s="113">
        <f>INDEX(TourMode_input!$L$36:$T$49,MATCH(TourMode!$A110,modes,0), MATCH("jmain",modePurpose,0))*Index!$B$2</f>
        <v>0</v>
      </c>
      <c r="AE108" s="114">
        <f>SUM(AB108:AD108)</f>
        <v>0</v>
      </c>
      <c r="AG108" s="107" t="s">
        <v>538</v>
      </c>
      <c r="AH108" s="117">
        <f>(T108+T109)/T$121</f>
        <v>0</v>
      </c>
      <c r="AI108" s="117">
        <f>(U108+U109)/U$121</f>
        <v>0</v>
      </c>
      <c r="AJ108" s="117">
        <f>(V108+V109)/V$121</f>
        <v>1.4111813189095389E-4</v>
      </c>
      <c r="AK108" s="117">
        <f>(W108+W109)/W$121</f>
        <v>7.0739514025274658E-5</v>
      </c>
      <c r="AL108" s="115"/>
      <c r="AM108" s="107" t="s">
        <v>538</v>
      </c>
      <c r="AN108" s="117">
        <f>(AB108+AB109)/AB$121</f>
        <v>0</v>
      </c>
      <c r="AO108" s="117">
        <f>(AC108+AC109)/AC$121</f>
        <v>0</v>
      </c>
      <c r="AP108" s="117">
        <f>(AD108+AD109)/AD$121</f>
        <v>0</v>
      </c>
      <c r="AQ108" s="117">
        <f>(AE108+AE109)/AE$121</f>
        <v>0</v>
      </c>
      <c r="AS108" s="107" t="s">
        <v>386</v>
      </c>
      <c r="AT108" s="113">
        <f>AB108-T108</f>
        <v>0</v>
      </c>
      <c r="AU108" s="113">
        <f t="shared" ref="AU108:AU121" si="211">AC108-U108</f>
        <v>0</v>
      </c>
      <c r="AV108" s="113">
        <f t="shared" ref="AV108:AV121" si="212">AD108-V108</f>
        <v>-38.724932162856099</v>
      </c>
      <c r="AW108" s="114">
        <f t="shared" ref="AW108:AW121" si="213">AE108-W108</f>
        <v>-38.724932162856099</v>
      </c>
      <c r="AX108" s="115"/>
      <c r="AY108" s="107" t="s">
        <v>386</v>
      </c>
      <c r="AZ108" s="117">
        <f>IF(C108=0, 0,AT108/C108)</f>
        <v>0</v>
      </c>
      <c r="BA108" s="117">
        <f>IF(D108=0, 0,AU108/D108)</f>
        <v>0</v>
      </c>
      <c r="BB108" s="117">
        <f>IF(E108=0, 0,AV108/E108)</f>
        <v>-0.98034601307592995</v>
      </c>
      <c r="BC108" s="118">
        <f>IF(F108=0, 0,AW108/F108)</f>
        <v>-0.98034601307592995</v>
      </c>
      <c r="BE108" s="107" t="s">
        <v>538</v>
      </c>
      <c r="BF108" s="307">
        <f>IFERROR(IF(AN108&gt;0,LN(AH108/AN108),0),0)</f>
        <v>0</v>
      </c>
      <c r="BG108" s="307">
        <f t="shared" ref="BG108:BG120" si="214">IFERROR(IF(AO108&gt;0,LN(AI108/AO108),0),0)</f>
        <v>0</v>
      </c>
      <c r="BH108" s="307">
        <f t="shared" ref="BH108:BH120" si="215">IFERROR(IF(AP108&gt;0,LN(AJ108/AP108),0),0)</f>
        <v>0</v>
      </c>
      <c r="BI108" s="118"/>
      <c r="BK108" s="107" t="s">
        <v>538</v>
      </c>
      <c r="BL108" s="307">
        <v>0</v>
      </c>
      <c r="BM108" s="307">
        <v>0</v>
      </c>
      <c r="BN108" s="307">
        <v>0</v>
      </c>
      <c r="BO108" s="118"/>
      <c r="BQ108" s="107" t="s">
        <v>538</v>
      </c>
      <c r="BR108" s="308">
        <v>0</v>
      </c>
      <c r="BS108" s="309">
        <v>0</v>
      </c>
      <c r="BT108" s="309">
        <v>0</v>
      </c>
      <c r="BU108" s="118"/>
      <c r="BX108" s="5" t="s">
        <v>386</v>
      </c>
      <c r="BY108" s="5" t="s">
        <v>387</v>
      </c>
      <c r="BZ108" s="5" t="s">
        <v>388</v>
      </c>
      <c r="CA108" s="5" t="s">
        <v>389</v>
      </c>
      <c r="CB108" s="5" t="s">
        <v>390</v>
      </c>
      <c r="CC108" s="5" t="s">
        <v>391</v>
      </c>
      <c r="CD108" s="5" t="s">
        <v>392</v>
      </c>
      <c r="CE108" s="5" t="s">
        <v>393</v>
      </c>
      <c r="CF108" s="5"/>
      <c r="CG108" s="5" t="s">
        <v>569</v>
      </c>
      <c r="CH108" s="5" t="s">
        <v>396</v>
      </c>
      <c r="CI108" s="5" t="s">
        <v>397</v>
      </c>
      <c r="CJ108" s="5" t="s">
        <v>398</v>
      </c>
      <c r="CK108" s="287" t="s">
        <v>399</v>
      </c>
    </row>
    <row r="109" spans="1:89" x14ac:dyDescent="0.25">
      <c r="A109">
        <v>2</v>
      </c>
      <c r="B109" s="107" t="s">
        <v>387</v>
      </c>
      <c r="C109" s="297">
        <v>0</v>
      </c>
      <c r="D109" s="113">
        <f>INDEX(TourMode_input!$B$20:$J$33,MATCH(TourMode!$A111,modes,0),MATCH("jmain",modePurpose,0))</f>
        <v>0</v>
      </c>
      <c r="E109" s="113">
        <f>INDEX(TourMode_input!$B$36:$J$49,MATCH(TourMode!$A111,modes,0),MATCH("jmain",modePurpose,0))</f>
        <v>0</v>
      </c>
      <c r="F109" s="116">
        <f t="shared" ref="F109:F120" si="216">SUM(C109:E109)</f>
        <v>0</v>
      </c>
      <c r="G109" s="300"/>
      <c r="H109" s="300"/>
      <c r="I109" s="300"/>
      <c r="J109" s="115"/>
      <c r="K109">
        <v>2</v>
      </c>
      <c r="L109" s="107" t="s">
        <v>387</v>
      </c>
      <c r="M109" s="113">
        <f t="shared" ref="M109:M115" si="217">C109</f>
        <v>0</v>
      </c>
      <c r="N109" s="113">
        <f t="shared" si="209"/>
        <v>0</v>
      </c>
      <c r="O109" s="113">
        <f t="shared" si="210"/>
        <v>0</v>
      </c>
      <c r="P109" s="116">
        <f t="shared" ref="P109:P120" si="218">SUM(M109:O109)</f>
        <v>0</v>
      </c>
      <c r="Q109" s="115"/>
      <c r="R109">
        <v>2</v>
      </c>
      <c r="S109" s="107" t="s">
        <v>387</v>
      </c>
      <c r="T109" s="113">
        <f>IF(M122&gt;0,M109/M122*T122,0)</f>
        <v>0</v>
      </c>
      <c r="U109" s="113">
        <f>IF(N122&gt;0,N109/N122*U122,0)</f>
        <v>0</v>
      </c>
      <c r="V109" s="113">
        <f>IF(O122&gt;0,O109/O122*V122,0)</f>
        <v>0</v>
      </c>
      <c r="W109" s="116">
        <f t="shared" ref="W109:W120" si="219">SUM(T109:V109)</f>
        <v>0</v>
      </c>
      <c r="X109" s="115"/>
      <c r="Y109" s="115"/>
      <c r="Z109" s="115"/>
      <c r="AA109" s="107" t="s">
        <v>387</v>
      </c>
      <c r="AB109" s="113">
        <f>INDEX(TourMode_input!$L$4:$T$17,MATCH(TourMode!$A111,modes,0),MATCH("jmain",modePurpose,0))*Index!$B$2</f>
        <v>0</v>
      </c>
      <c r="AC109" s="113">
        <f>INDEX(TourMode_input!$L$20:$T$33,MATCH(TourMode!$A111,modes,0), MATCH("jmain",modePurpose,0))*Index!$B$2</f>
        <v>0</v>
      </c>
      <c r="AD109" s="113">
        <f>INDEX(TourMode_input!$L$36:$T$49,MATCH(TourMode!$A111,modes,0), MATCH("jmain",modePurpose,0))*Index!$B$2</f>
        <v>0</v>
      </c>
      <c r="AE109" s="116">
        <f t="shared" ref="AE109:AE120" si="220">SUM(AB109:AD109)</f>
        <v>0</v>
      </c>
      <c r="AG109" s="107"/>
      <c r="AH109" s="117"/>
      <c r="AI109" s="117"/>
      <c r="AJ109" s="117"/>
      <c r="AK109" s="118"/>
      <c r="AL109" s="115"/>
      <c r="AM109" s="107"/>
      <c r="AN109" s="117"/>
      <c r="AO109" s="117"/>
      <c r="AP109" s="117"/>
      <c r="AQ109" s="118"/>
      <c r="AS109" s="107" t="s">
        <v>387</v>
      </c>
      <c r="AT109" s="113">
        <f t="shared" ref="AT109:AT121" si="221">AB109-T109</f>
        <v>0</v>
      </c>
      <c r="AU109" s="113">
        <f t="shared" si="211"/>
        <v>0</v>
      </c>
      <c r="AV109" s="113">
        <f t="shared" si="212"/>
        <v>0</v>
      </c>
      <c r="AW109" s="116">
        <f t="shared" si="213"/>
        <v>0</v>
      </c>
      <c r="AX109" s="115"/>
      <c r="AY109" s="107" t="s">
        <v>387</v>
      </c>
      <c r="AZ109" s="117">
        <f t="shared" ref="AZ109:AZ121" si="222">IF(C109=0, 0,AT109/C109)</f>
        <v>0</v>
      </c>
      <c r="BA109" s="117">
        <f t="shared" ref="BA109:BA121" si="223">IF(D109=0, 0,AU109/D109)</f>
        <v>0</v>
      </c>
      <c r="BB109" s="117">
        <f t="shared" ref="BB109:BB121" si="224">IF(E109=0, 0,AV109/E109)</f>
        <v>0</v>
      </c>
      <c r="BC109" s="118">
        <f t="shared" ref="BC109:BC121" si="225">IF(F109=0, 0,AW109/F109)</f>
        <v>0</v>
      </c>
      <c r="BE109" s="107"/>
      <c r="BF109" s="307">
        <f t="shared" ref="BF109:BF120" si="226">IFERROR(IF(AN109&gt;0,LN(AH109/AN109),0),0)</f>
        <v>0</v>
      </c>
      <c r="BG109" s="307">
        <f t="shared" si="214"/>
        <v>0</v>
      </c>
      <c r="BH109" s="307">
        <f t="shared" si="215"/>
        <v>0</v>
      </c>
      <c r="BI109" s="118"/>
      <c r="BK109" s="107"/>
      <c r="BL109" s="307"/>
      <c r="BM109" s="307"/>
      <c r="BN109" s="307"/>
      <c r="BO109" s="118"/>
      <c r="BQ109" s="107"/>
      <c r="BR109" s="308"/>
      <c r="BS109" s="307"/>
      <c r="BT109" s="307"/>
      <c r="BU109" s="118"/>
      <c r="BW109" t="s">
        <v>131</v>
      </c>
      <c r="BX109">
        <f>IF(ISNUMBER(INDEX($BR$108:$BR$121,BX107,1)),INDEX($BR$108:$BR$121,BX107,1),0)</f>
        <v>0</v>
      </c>
      <c r="BY109">
        <f t="shared" ref="BY109:CJ109" si="227">IF(ISNUMBER(INDEX($BR$108:$BR$121,BY107,1)),INDEX($BR$108:$BR$121,BY107,1),0)</f>
        <v>0</v>
      </c>
      <c r="BZ109">
        <f t="shared" si="227"/>
        <v>0</v>
      </c>
      <c r="CA109">
        <f>BZ109</f>
        <v>0</v>
      </c>
      <c r="CB109">
        <f t="shared" si="227"/>
        <v>4.0137427603031473</v>
      </c>
      <c r="CC109">
        <f>CB109</f>
        <v>4.0137427603031473</v>
      </c>
      <c r="CD109">
        <f t="shared" si="227"/>
        <v>9.0197376077803195</v>
      </c>
      <c r="CE109">
        <f t="shared" si="227"/>
        <v>4.4443750857996882</v>
      </c>
      <c r="CG109">
        <f t="shared" si="227"/>
        <v>5.9223838421234198</v>
      </c>
      <c r="CH109">
        <f t="shared" si="227"/>
        <v>4.7438311023344522</v>
      </c>
      <c r="CI109">
        <f t="shared" si="227"/>
        <v>3.9066333927891463</v>
      </c>
      <c r="CJ109">
        <f t="shared" si="227"/>
        <v>7.1850392950567192</v>
      </c>
      <c r="CK109" s="312">
        <v>-999</v>
      </c>
    </row>
    <row r="110" spans="1:89" x14ac:dyDescent="0.25">
      <c r="A110">
        <v>3</v>
      </c>
      <c r="B110" s="107" t="s">
        <v>388</v>
      </c>
      <c r="C110" s="113">
        <f>INDEX(TourMode_input!$B$4:$J$172,MATCH(TourMode!$A112,modes,0),MATCH("jmain",modePurpose,0))</f>
        <v>210.98848000000001</v>
      </c>
      <c r="D110" s="113">
        <f>INDEX(TourMode_input!$B$20:$J$33,MATCH(TourMode!$A112,modes,0),MATCH("jmain",modePurpose,0))</f>
        <v>84943.114939999999</v>
      </c>
      <c r="E110" s="113">
        <f>INDEX(TourMode_input!$B$36:$J$49,MATCH(TourMode!$A112,modes,0),MATCH("jmain",modePurpose,0))</f>
        <v>161585.55955999999</v>
      </c>
      <c r="F110" s="116">
        <f t="shared" si="216"/>
        <v>246739.66297999999</v>
      </c>
      <c r="G110" s="300"/>
      <c r="H110" s="300"/>
      <c r="I110" s="300"/>
      <c r="J110" s="115"/>
      <c r="K110">
        <v>3</v>
      </c>
      <c r="L110" s="107" t="s">
        <v>388</v>
      </c>
      <c r="M110" s="113">
        <f t="shared" si="217"/>
        <v>210.98848000000001</v>
      </c>
      <c r="N110" s="113">
        <f t="shared" si="209"/>
        <v>84943.114939999999</v>
      </c>
      <c r="O110" s="113">
        <f t="shared" si="210"/>
        <v>161585.55955999999</v>
      </c>
      <c r="P110" s="116">
        <f t="shared" si="218"/>
        <v>246739.66297999999</v>
      </c>
      <c r="Q110" s="115"/>
      <c r="R110">
        <v>3</v>
      </c>
      <c r="S110" s="107" t="s">
        <v>388</v>
      </c>
      <c r="T110" s="113">
        <f>IF(M122&gt;0,M110/M122*T122,0)</f>
        <v>636.10548825192154</v>
      </c>
      <c r="U110" s="113">
        <f>IF(N122&gt;0,N110/N122*U122,0)</f>
        <v>134525.77175090957</v>
      </c>
      <c r="V110" s="113">
        <f>IF(O122&gt;0,O110/O122*V122,0)</f>
        <v>158409.7590852892</v>
      </c>
      <c r="W110" s="116">
        <f t="shared" si="219"/>
        <v>293571.63632445072</v>
      </c>
      <c r="X110" s="115"/>
      <c r="Y110" s="115"/>
      <c r="Z110" s="115"/>
      <c r="AA110" s="107" t="s">
        <v>388</v>
      </c>
      <c r="AB110" s="113">
        <f>INDEX(TourMode_input!$L$4:$T$17,MATCH(TourMode!$A112,modes,0),MATCH("jmain",modePurpose,0))*Index!$B$2</f>
        <v>595</v>
      </c>
      <c r="AC110" s="113">
        <f>INDEX(TourMode_input!$L$20:$T$33,MATCH(TourMode!$A112,modes,0), MATCH("jmain",modePurpose,0))*Index!$B$2</f>
        <v>123905</v>
      </c>
      <c r="AD110" s="113">
        <f>INDEX(TourMode_input!$L$36:$T$49,MATCH(TourMode!$A112,modes,0), MATCH("jmain",modePurpose,0))*Index!$B$2</f>
        <v>149230</v>
      </c>
      <c r="AE110" s="116">
        <f t="shared" si="220"/>
        <v>273730</v>
      </c>
      <c r="AF110">
        <f>+AE110*2</f>
        <v>547460</v>
      </c>
      <c r="AG110" s="107" t="s">
        <v>576</v>
      </c>
      <c r="AH110" s="117">
        <f>(T110+T111)/T$121</f>
        <v>2.4950205461930636E-2</v>
      </c>
      <c r="AI110" s="117">
        <f>(U110+U111)/U$121</f>
        <v>0.54393620595113135</v>
      </c>
      <c r="AJ110" s="117">
        <f>(V110+V111)/V$121</f>
        <v>0.58269704519838128</v>
      </c>
      <c r="AK110" s="117">
        <f>(W110+W111)/W$121</f>
        <v>0.53919588777266458</v>
      </c>
      <c r="AL110" s="115"/>
      <c r="AM110" s="107" t="s">
        <v>576</v>
      </c>
      <c r="AN110" s="117">
        <f>(AB110+AB111)/AB$121</f>
        <v>2.4122376936654245E-2</v>
      </c>
      <c r="AO110" s="117">
        <f>(AC110+AC111)/AC$121</f>
        <v>0.51240303813833221</v>
      </c>
      <c r="AP110" s="117">
        <f>(AD110+AD111)/AD$121</f>
        <v>0.55731282910919588</v>
      </c>
      <c r="AQ110" s="117">
        <f>(AE110+AE111)/AE$121</f>
        <v>0.51217507261202344</v>
      </c>
      <c r="AS110" s="107" t="s">
        <v>388</v>
      </c>
      <c r="AT110" s="113">
        <f t="shared" si="221"/>
        <v>-41.105488251921543</v>
      </c>
      <c r="AU110" s="113">
        <f t="shared" si="211"/>
        <v>-10620.771750909567</v>
      </c>
      <c r="AV110" s="113">
        <f t="shared" si="212"/>
        <v>-9179.7590852892026</v>
      </c>
      <c r="AW110" s="116">
        <f t="shared" si="213"/>
        <v>-19841.636324450723</v>
      </c>
      <c r="AX110" s="115"/>
      <c r="AY110" s="107" t="s">
        <v>388</v>
      </c>
      <c r="AZ110" s="117">
        <f t="shared" si="222"/>
        <v>-0.19482337733283608</v>
      </c>
      <c r="BA110" s="117">
        <f t="shared" si="223"/>
        <v>-0.1250339331023074</v>
      </c>
      <c r="BB110" s="117">
        <f t="shared" si="224"/>
        <v>-5.6810516424152198E-2</v>
      </c>
      <c r="BC110" s="118">
        <f t="shared" si="225"/>
        <v>-8.0415268809291632E-2</v>
      </c>
      <c r="BE110" s="107" t="s">
        <v>576</v>
      </c>
      <c r="BF110" s="307">
        <f t="shared" si="226"/>
        <v>3.3742143811341677E-2</v>
      </c>
      <c r="BG110" s="307">
        <f t="shared" si="214"/>
        <v>5.9720472270553576E-2</v>
      </c>
      <c r="BH110" s="307">
        <f t="shared" si="215"/>
        <v>4.4540688832513005E-2</v>
      </c>
      <c r="BI110" s="118"/>
      <c r="BK110" s="107" t="s">
        <v>576</v>
      </c>
      <c r="BL110" s="307">
        <v>0</v>
      </c>
      <c r="BM110" s="307">
        <v>1.3466324950861999</v>
      </c>
      <c r="BN110" s="307">
        <v>0.43064307198044649</v>
      </c>
      <c r="BO110" s="118"/>
      <c r="BQ110" s="107" t="s">
        <v>576</v>
      </c>
      <c r="BR110" s="309">
        <v>0</v>
      </c>
      <c r="BS110" s="307">
        <f t="shared" ref="BS110:BS120" si="228">(BG110-BG$108)*$BR$1+BM110</f>
        <v>1.3764927312214768</v>
      </c>
      <c r="BT110" s="307">
        <f t="shared" ref="BT110:BT120" si="229">(BH110-BH$108)*$BR$1+BN110</f>
        <v>0.45291341639670302</v>
      </c>
      <c r="BU110" s="118"/>
      <c r="BW110" t="s">
        <v>132</v>
      </c>
      <c r="BX110">
        <f>IF(ISNUMBER(INDEX($BS$108:$BS$121,BX107,1)),INDEX($BS$108:$BS$121,BX107,1),0)</f>
        <v>0</v>
      </c>
      <c r="BY110">
        <f t="shared" ref="BY110:CJ110" si="230">IF(ISNUMBER(INDEX($BS$108:$BS$121,BY107,1)),INDEX($BS$108:$BS$121,BY107,1),0)</f>
        <v>0</v>
      </c>
      <c r="BZ110">
        <f t="shared" si="230"/>
        <v>1.3764927312214768</v>
      </c>
      <c r="CA110">
        <f>BZ110</f>
        <v>1.3764927312214768</v>
      </c>
      <c r="CB110">
        <f t="shared" si="230"/>
        <v>-3.2356324485102932</v>
      </c>
      <c r="CC110">
        <f>CB110</f>
        <v>-3.2356324485102932</v>
      </c>
      <c r="CD110">
        <f t="shared" si="230"/>
        <v>1.8559670545506257</v>
      </c>
      <c r="CE110">
        <f t="shared" si="230"/>
        <v>-2.3265608492462757</v>
      </c>
      <c r="CG110">
        <f t="shared" si="230"/>
        <v>-1.110344180094E-2</v>
      </c>
      <c r="CH110">
        <f t="shared" si="230"/>
        <v>-3.8218556350218518</v>
      </c>
      <c r="CI110">
        <f t="shared" si="230"/>
        <v>-7.740664774820897</v>
      </c>
      <c r="CJ110">
        <f t="shared" si="230"/>
        <v>-2.0280074322036481</v>
      </c>
      <c r="CK110" s="312">
        <v>-999</v>
      </c>
    </row>
    <row r="111" spans="1:89" x14ac:dyDescent="0.25">
      <c r="A111">
        <v>4</v>
      </c>
      <c r="B111" s="107" t="s">
        <v>389</v>
      </c>
      <c r="C111" s="113">
        <f>INDEX(TourMode_input!$B$4:$J$172,MATCH(TourMode!$A113,modes,0),MATCH("jmain",modePurpose,0))</f>
        <v>0</v>
      </c>
      <c r="D111" s="113">
        <f>INDEX(TourMode_input!$B$20:$J$33,MATCH(TourMode!$A113,modes,0),MATCH("jmain",modePurpose,0))</f>
        <v>69.026229999999998</v>
      </c>
      <c r="E111" s="113">
        <f>INDEX(TourMode_input!$B$36:$J$49,MATCH(TourMode!$A113,modes,0),MATCH("jmain",modePurpose,0))</f>
        <v>1520.94317</v>
      </c>
      <c r="F111" s="116">
        <f t="shared" si="216"/>
        <v>1589.9694</v>
      </c>
      <c r="G111" s="300"/>
      <c r="H111" s="300"/>
      <c r="I111" s="300"/>
      <c r="J111" s="115"/>
      <c r="K111">
        <v>4</v>
      </c>
      <c r="L111" s="107" t="s">
        <v>389</v>
      </c>
      <c r="M111" s="113">
        <f t="shared" si="217"/>
        <v>0</v>
      </c>
      <c r="N111" s="113">
        <f t="shared" si="209"/>
        <v>69.026229999999998</v>
      </c>
      <c r="O111" s="113">
        <f t="shared" si="210"/>
        <v>1520.94317</v>
      </c>
      <c r="P111" s="116">
        <f t="shared" si="218"/>
        <v>1589.9694</v>
      </c>
      <c r="Q111" s="115"/>
      <c r="R111">
        <v>4</v>
      </c>
      <c r="S111" s="107" t="s">
        <v>389</v>
      </c>
      <c r="T111" s="113">
        <f>IF(M122&gt;0,M111/M122*T122,0)</f>
        <v>0</v>
      </c>
      <c r="U111" s="113">
        <f>IF(N122&gt;0,N111/N122*U122,0)</f>
        <v>109.3179461144657</v>
      </c>
      <c r="V111" s="113">
        <f>IF(O122&gt;0,O111/O122*V122,0)</f>
        <v>1491.0505728245664</v>
      </c>
      <c r="W111" s="116">
        <f t="shared" si="219"/>
        <v>1600.3685189390321</v>
      </c>
      <c r="X111" s="115"/>
      <c r="Y111" s="115"/>
      <c r="Z111" s="115"/>
      <c r="AA111" s="107" t="s">
        <v>389</v>
      </c>
      <c r="AB111" s="113">
        <f>INDEX(TourMode_input!$L$4:$T$17,MATCH(TourMode!$A113,modes,0),MATCH("jmain",modePurpose,0))*Index!$B$2</f>
        <v>20</v>
      </c>
      <c r="AC111" s="113">
        <f>INDEX(TourMode_input!$L$20:$T$33,MATCH(TourMode!$A113,modes,0), MATCH("jmain",modePurpose,0))*Index!$B$2</f>
        <v>2925</v>
      </c>
      <c r="AD111" s="113">
        <f>INDEX(TourMode_input!$L$36:$T$49,MATCH(TourMode!$A113,modes,0), MATCH("jmain",modePurpose,0))*Index!$B$2</f>
        <v>3705</v>
      </c>
      <c r="AE111" s="116">
        <f t="shared" si="220"/>
        <v>6650</v>
      </c>
      <c r="AG111" s="107"/>
      <c r="AH111" s="117"/>
      <c r="AI111" s="117"/>
      <c r="AJ111" s="117"/>
      <c r="AK111" s="118"/>
      <c r="AL111" s="115"/>
      <c r="AM111" s="107"/>
      <c r="AN111" s="117"/>
      <c r="AO111" s="117"/>
      <c r="AP111" s="117"/>
      <c r="AQ111" s="118"/>
      <c r="AS111" s="107" t="s">
        <v>389</v>
      </c>
      <c r="AT111" s="113">
        <f t="shared" si="221"/>
        <v>20</v>
      </c>
      <c r="AU111" s="113">
        <f t="shared" si="211"/>
        <v>2815.6820538855345</v>
      </c>
      <c r="AV111" s="113">
        <f t="shared" si="212"/>
        <v>2213.9494271754338</v>
      </c>
      <c r="AW111" s="116">
        <f t="shared" si="213"/>
        <v>5049.6314810609674</v>
      </c>
      <c r="AX111" s="115"/>
      <c r="AY111" s="107" t="s">
        <v>389</v>
      </c>
      <c r="AZ111" s="117">
        <f t="shared" si="222"/>
        <v>0</v>
      </c>
      <c r="BA111" s="117">
        <f t="shared" si="223"/>
        <v>40.79147961413414</v>
      </c>
      <c r="BB111" s="117">
        <f t="shared" si="224"/>
        <v>1.4556424400626577</v>
      </c>
      <c r="BC111" s="118">
        <f t="shared" si="225"/>
        <v>3.1759299776844556</v>
      </c>
      <c r="BE111" s="107"/>
      <c r="BF111" s="307">
        <f t="shared" si="226"/>
        <v>0</v>
      </c>
      <c r="BG111" s="307">
        <f t="shared" si="214"/>
        <v>0</v>
      </c>
      <c r="BH111" s="307">
        <f t="shared" si="215"/>
        <v>0</v>
      </c>
      <c r="BI111" s="118"/>
      <c r="BK111" s="107"/>
      <c r="BL111" s="307"/>
      <c r="BM111" s="307"/>
      <c r="BN111" s="307"/>
      <c r="BO111" s="118"/>
      <c r="BQ111" s="107"/>
      <c r="BR111" s="307"/>
      <c r="BS111" s="307"/>
      <c r="BT111" s="307"/>
      <c r="BU111" s="118"/>
      <c r="BW111" t="s">
        <v>133</v>
      </c>
      <c r="BX111">
        <f>IF(ISNUMBER(INDEX($BT$108:$BT$121,BX107,1)),INDEX($BT$108:$BT$121,BX107,1),0)</f>
        <v>0</v>
      </c>
      <c r="BY111">
        <f t="shared" ref="BY111:CJ111" si="231">IF(ISNUMBER(INDEX($BT$108:$BT$121,BY107,1)),INDEX($BT$108:$BT$121,BY107,1),0)</f>
        <v>0</v>
      </c>
      <c r="BZ111">
        <f t="shared" si="231"/>
        <v>0.45291341639670302</v>
      </c>
      <c r="CA111">
        <f>BZ111</f>
        <v>0.45291341639670302</v>
      </c>
      <c r="CB111">
        <f t="shared" si="231"/>
        <v>-2.5618683718834401</v>
      </c>
      <c r="CC111">
        <f>CB111</f>
        <v>-2.5618683718834401</v>
      </c>
      <c r="CD111">
        <f t="shared" si="231"/>
        <v>0.81632589805816924</v>
      </c>
      <c r="CE111">
        <f t="shared" si="231"/>
        <v>-0.74071029188251081</v>
      </c>
      <c r="CG111">
        <f t="shared" si="231"/>
        <v>-0.7413385146448912</v>
      </c>
      <c r="CH111">
        <f t="shared" si="231"/>
        <v>-1.2140678183330389</v>
      </c>
      <c r="CI111">
        <f t="shared" si="231"/>
        <v>-6.375643945729454</v>
      </c>
      <c r="CJ111">
        <f t="shared" si="231"/>
        <v>-3.3091659239670501</v>
      </c>
      <c r="CK111" s="312">
        <v>-999</v>
      </c>
    </row>
    <row r="112" spans="1:89" x14ac:dyDescent="0.25">
      <c r="A112">
        <v>5</v>
      </c>
      <c r="B112" s="107" t="s">
        <v>390</v>
      </c>
      <c r="C112" s="113">
        <f>INDEX(TourMode_input!$B$4:$J$172,MATCH(TourMode!$A114,modes,0),MATCH("jmain",modePurpose,0))</f>
        <v>1287.4145699999999</v>
      </c>
      <c r="D112" s="113">
        <f>INDEX(TourMode_input!$B$20:$J$33,MATCH(TourMode!$A114,modes,0),MATCH("jmain",modePurpose,0))</f>
        <v>43786.99798</v>
      </c>
      <c r="E112" s="113">
        <f>INDEX(TourMode_input!$B$36:$J$49,MATCH(TourMode!$A114,modes,0),MATCH("jmain",modePurpose,0))</f>
        <v>102949.63266</v>
      </c>
      <c r="F112" s="116">
        <f t="shared" si="216"/>
        <v>148024.04521000001</v>
      </c>
      <c r="G112" s="300"/>
      <c r="H112" s="300"/>
      <c r="I112" s="300"/>
      <c r="J112" s="115"/>
      <c r="K112">
        <v>5</v>
      </c>
      <c r="L112" s="107" t="s">
        <v>390</v>
      </c>
      <c r="M112" s="113">
        <f t="shared" si="217"/>
        <v>1287.4145699999999</v>
      </c>
      <c r="N112" s="113">
        <f t="shared" si="209"/>
        <v>43786.99798</v>
      </c>
      <c r="O112" s="113">
        <f t="shared" si="210"/>
        <v>102949.63266</v>
      </c>
      <c r="P112" s="116">
        <f t="shared" si="218"/>
        <v>148024.04521000001</v>
      </c>
      <c r="Q112" s="115"/>
      <c r="R112">
        <v>5</v>
      </c>
      <c r="S112" s="107" t="s">
        <v>390</v>
      </c>
      <c r="T112" s="113">
        <f>IF(M122&gt;0,M112/M122*T122,0)</f>
        <v>3881.4037317700354</v>
      </c>
      <c r="U112" s="113">
        <f>IF(N122&gt;0,N112/N122*U122,0)</f>
        <v>69346.170081892909</v>
      </c>
      <c r="V112" s="113">
        <f>IF(O122&gt;0,O112/O122*V122,0)</f>
        <v>100926.26192586255</v>
      </c>
      <c r="W112" s="116">
        <f t="shared" si="219"/>
        <v>174153.8357395255</v>
      </c>
      <c r="X112" s="115"/>
      <c r="Y112" s="115"/>
      <c r="Z112" s="115"/>
      <c r="AA112" s="107" t="s">
        <v>390</v>
      </c>
      <c r="AB112" s="113">
        <f>INDEX(TourMode_input!$L$4:$T$17,MATCH(TourMode!$A114,modes,0),MATCH("jmain",modePurpose,0))*Index!$B$2</f>
        <v>4280</v>
      </c>
      <c r="AC112" s="113">
        <f>INDEX(TourMode_input!$L$20:$T$33,MATCH(TourMode!$A114,modes,0), MATCH("jmain",modePurpose,0))*Index!$B$2</f>
        <v>73275</v>
      </c>
      <c r="AD112" s="113">
        <f>INDEX(TourMode_input!$L$36:$T$49,MATCH(TourMode!$A114,modes,0), MATCH("jmain",modePurpose,0))*Index!$B$2</f>
        <v>109040</v>
      </c>
      <c r="AE112" s="116">
        <f t="shared" si="220"/>
        <v>186595</v>
      </c>
      <c r="AG112" s="107" t="s">
        <v>577</v>
      </c>
      <c r="AH112" s="117">
        <f>(T112+T113)/T$121</f>
        <v>0.15224176237576134</v>
      </c>
      <c r="AI112" s="117">
        <f>(U112+U113)/U$121</f>
        <v>0.28057131882306713</v>
      </c>
      <c r="AJ112" s="117">
        <f>(V112+V113)/V$121</f>
        <v>0.38146540396156053</v>
      </c>
      <c r="AK112" s="117">
        <f>(W112+W113)/W$121</f>
        <v>0.32517078968081264</v>
      </c>
      <c r="AL112" s="115"/>
      <c r="AM112" s="107" t="s">
        <v>577</v>
      </c>
      <c r="AN112" s="117">
        <f>(AB112+AB113)/AB$121</f>
        <v>0.17317121004118455</v>
      </c>
      <c r="AO112" s="117">
        <f>(AC112+AC113)/AC$121</f>
        <v>0.30575307045895284</v>
      </c>
      <c r="AP112" s="117">
        <f>(AD112+AD113)/AD$121</f>
        <v>0.4083413807554252</v>
      </c>
      <c r="AQ112" s="117">
        <f>(AE112+AE113)/AE$121</f>
        <v>0.35100378130537235</v>
      </c>
      <c r="AS112" s="107" t="s">
        <v>390</v>
      </c>
      <c r="AT112" s="113">
        <f t="shared" si="221"/>
        <v>398.59626822996461</v>
      </c>
      <c r="AU112" s="113">
        <f t="shared" si="211"/>
        <v>3928.8299181070906</v>
      </c>
      <c r="AV112" s="113">
        <f t="shared" si="212"/>
        <v>8113.7380741374509</v>
      </c>
      <c r="AW112" s="116">
        <f t="shared" si="213"/>
        <v>12441.164260474499</v>
      </c>
      <c r="AX112" s="115"/>
      <c r="AY112" s="107" t="s">
        <v>390</v>
      </c>
      <c r="AZ112" s="117">
        <f t="shared" si="222"/>
        <v>0.30960987821503733</v>
      </c>
      <c r="BA112" s="117">
        <f t="shared" si="223"/>
        <v>8.9725948326067242E-2</v>
      </c>
      <c r="BB112" s="117">
        <f t="shared" si="224"/>
        <v>7.8812695727956281E-2</v>
      </c>
      <c r="BC112" s="118">
        <f t="shared" si="225"/>
        <v>8.4048265555939666E-2</v>
      </c>
      <c r="BE112" s="107" t="s">
        <v>577</v>
      </c>
      <c r="BF112" s="307">
        <f t="shared" si="226"/>
        <v>-0.12881095931104172</v>
      </c>
      <c r="BG112" s="307">
        <f t="shared" si="214"/>
        <v>-8.5949868202130283E-2</v>
      </c>
      <c r="BH112" s="307">
        <f t="shared" si="215"/>
        <v>-6.8083379718846121E-2</v>
      </c>
      <c r="BI112" s="118"/>
      <c r="BK112" s="107" t="s">
        <v>577</v>
      </c>
      <c r="BL112" s="307">
        <v>4.0950193118643385</v>
      </c>
      <c r="BM112" s="307">
        <v>-3.1926575144092282</v>
      </c>
      <c r="BN112" s="307">
        <v>-2.5278266820240169</v>
      </c>
      <c r="BO112" s="118"/>
      <c r="BQ112" s="107" t="s">
        <v>577</v>
      </c>
      <c r="BR112" s="307">
        <f t="shared" ref="BR112:BR120" si="232">(BF112-BF$110)*$BR$1+BL112</f>
        <v>4.0137427603031473</v>
      </c>
      <c r="BS112" s="307">
        <f t="shared" si="228"/>
        <v>-3.2356324485102932</v>
      </c>
      <c r="BT112" s="307">
        <f t="shared" si="229"/>
        <v>-2.5618683718834401</v>
      </c>
      <c r="BU112" s="118"/>
    </row>
    <row r="113" spans="1:89" x14ac:dyDescent="0.25">
      <c r="A113">
        <v>6</v>
      </c>
      <c r="B113" s="107" t="s">
        <v>391</v>
      </c>
      <c r="C113" s="113">
        <f>INDEX(TourMode_input!$B$4:$J$172,MATCH(TourMode!$A115,modes,0),MATCH("jmain",modePurpose,0))</f>
        <v>0</v>
      </c>
      <c r="D113" s="113">
        <f>INDEX(TourMode_input!$B$20:$J$33,MATCH(TourMode!$A115,modes,0),MATCH("jmain",modePurpose,0))</f>
        <v>63.674770000000002</v>
      </c>
      <c r="E113" s="113">
        <f>INDEX(TourMode_input!$B$36:$J$49,MATCH(TourMode!$A115,modes,0),MATCH("jmain",modePurpose,0))</f>
        <v>3828.8184500000002</v>
      </c>
      <c r="F113" s="116">
        <f t="shared" si="216"/>
        <v>3892.4932200000003</v>
      </c>
      <c r="G113" s="300"/>
      <c r="H113" s="300"/>
      <c r="I113" s="300"/>
      <c r="J113" s="115"/>
      <c r="K113">
        <v>6</v>
      </c>
      <c r="L113" s="107" t="s">
        <v>391</v>
      </c>
      <c r="M113" s="113">
        <f t="shared" si="217"/>
        <v>0</v>
      </c>
      <c r="N113" s="113">
        <f t="shared" si="209"/>
        <v>63.674770000000002</v>
      </c>
      <c r="O113" s="113">
        <f t="shared" si="210"/>
        <v>3828.8184500000002</v>
      </c>
      <c r="P113" s="116">
        <f t="shared" si="218"/>
        <v>3892.4932200000003</v>
      </c>
      <c r="Q113" s="115"/>
      <c r="R113">
        <v>6</v>
      </c>
      <c r="S113" s="107" t="s">
        <v>391</v>
      </c>
      <c r="T113" s="113">
        <f>IF(M122&gt;0,M113/M122*T122,0)</f>
        <v>0</v>
      </c>
      <c r="U113" s="113">
        <f>IF(N122&gt;0,N113/N122*U122,0)</f>
        <v>100.84275319267759</v>
      </c>
      <c r="V113" s="113">
        <f>IF(O122&gt;0,O113/O122*V122,0)</f>
        <v>3753.566902249062</v>
      </c>
      <c r="W113" s="116">
        <f t="shared" si="219"/>
        <v>3854.4096554417397</v>
      </c>
      <c r="X113" s="115"/>
      <c r="Y113" s="115"/>
      <c r="Z113" s="115"/>
      <c r="AA113" s="107" t="s">
        <v>391</v>
      </c>
      <c r="AB113" s="113">
        <f>INDEX(TourMode_input!$L$4:$T$17,MATCH(TourMode!$A115,modes,0),MATCH("jmain",modePurpose,0))*Index!$B$2</f>
        <v>135</v>
      </c>
      <c r="AC113" s="113">
        <f>INDEX(TourMode_input!$L$20:$T$33,MATCH(TourMode!$A115,modes,0), MATCH("jmain",modePurpose,0))*Index!$B$2</f>
        <v>2405</v>
      </c>
      <c r="AD113" s="113">
        <f>INDEX(TourMode_input!$L$36:$T$49,MATCH(TourMode!$A115,modes,0), MATCH("jmain",modePurpose,0))*Index!$B$2</f>
        <v>3015</v>
      </c>
      <c r="AE113" s="116">
        <f t="shared" si="220"/>
        <v>5555</v>
      </c>
      <c r="AG113" s="107"/>
      <c r="AH113" s="117"/>
      <c r="AI113" s="117"/>
      <c r="AJ113" s="117"/>
      <c r="AK113" s="118"/>
      <c r="AL113" s="115"/>
      <c r="AM113" s="107"/>
      <c r="AN113" s="117"/>
      <c r="AO113" s="117"/>
      <c r="AP113" s="117"/>
      <c r="AQ113" s="118"/>
      <c r="AS113" s="107" t="s">
        <v>391</v>
      </c>
      <c r="AT113" s="113">
        <f t="shared" si="221"/>
        <v>135</v>
      </c>
      <c r="AU113" s="113">
        <f t="shared" si="211"/>
        <v>2304.1572468073223</v>
      </c>
      <c r="AV113" s="113">
        <f t="shared" si="212"/>
        <v>-738.56690224906197</v>
      </c>
      <c r="AW113" s="116">
        <f t="shared" si="213"/>
        <v>1700.5903445582603</v>
      </c>
      <c r="AX113" s="115"/>
      <c r="AY113" s="107" t="s">
        <v>391</v>
      </c>
      <c r="AZ113" s="117">
        <f t="shared" si="222"/>
        <v>0</v>
      </c>
      <c r="BA113" s="117">
        <f t="shared" si="223"/>
        <v>36.186345813378239</v>
      </c>
      <c r="BB113" s="117">
        <f t="shared" si="224"/>
        <v>-0.19289681970924005</v>
      </c>
      <c r="BC113" s="118">
        <f t="shared" si="225"/>
        <v>0.43688973838681733</v>
      </c>
      <c r="BE113" s="107"/>
      <c r="BF113" s="307">
        <f t="shared" si="226"/>
        <v>0</v>
      </c>
      <c r="BG113" s="307">
        <f t="shared" si="214"/>
        <v>0</v>
      </c>
      <c r="BH113" s="307">
        <f t="shared" si="215"/>
        <v>0</v>
      </c>
      <c r="BI113" s="118"/>
      <c r="BK113" s="107"/>
      <c r="BL113" s="307"/>
      <c r="BM113" s="307"/>
      <c r="BN113" s="307"/>
      <c r="BO113" s="118"/>
      <c r="BQ113" s="107"/>
      <c r="BR113" s="307"/>
      <c r="BS113" s="307"/>
      <c r="BT113" s="307"/>
      <c r="BU113" s="118"/>
    </row>
    <row r="114" spans="1:89" x14ac:dyDescent="0.25">
      <c r="A114">
        <v>7</v>
      </c>
      <c r="B114" s="107" t="s">
        <v>392</v>
      </c>
      <c r="C114" s="113">
        <f>INDEX(TourMode_input!$B$4:$J$172,MATCH(TourMode!$A116,modes,0),MATCH("jmain",modePurpose,0))</f>
        <v>4430.6701899999998</v>
      </c>
      <c r="D114" s="113">
        <f>INDEX(TourMode_input!$B$20:$J$33,MATCH(TourMode!$A116,modes,0),MATCH("jmain",modePurpose,0))</f>
        <v>22354.9483</v>
      </c>
      <c r="E114" s="113">
        <f>INDEX(TourMode_input!$B$36:$J$49,MATCH(TourMode!$A116,modes,0),MATCH("jmain",modePurpose,0))</f>
        <v>7996.3614799999996</v>
      </c>
      <c r="F114" s="116">
        <f t="shared" si="216"/>
        <v>34781.97997</v>
      </c>
      <c r="G114" s="300"/>
      <c r="H114" s="300"/>
      <c r="I114" s="300"/>
      <c r="J114" s="115"/>
      <c r="K114">
        <v>7</v>
      </c>
      <c r="L114" s="107" t="s">
        <v>392</v>
      </c>
      <c r="M114" s="113">
        <f t="shared" si="217"/>
        <v>4430.6701899999998</v>
      </c>
      <c r="N114" s="113">
        <f t="shared" si="209"/>
        <v>22354.9483</v>
      </c>
      <c r="O114" s="113">
        <f t="shared" si="210"/>
        <v>7996.3614799999996</v>
      </c>
      <c r="P114" s="116">
        <f t="shared" si="218"/>
        <v>34781.97997</v>
      </c>
      <c r="Q114" s="115"/>
      <c r="R114">
        <v>7</v>
      </c>
      <c r="S114" s="107" t="s">
        <v>392</v>
      </c>
      <c r="T114" s="113">
        <f>IF(M122&gt;0,M114/M122*T122,0)</f>
        <v>13357.950275262345</v>
      </c>
      <c r="U114" s="113">
        <f>IF(N122&gt;0,N114/N122*U122,0)</f>
        <v>35403.889704697278</v>
      </c>
      <c r="V114" s="113">
        <f>IF(O122&gt;0,O114/O122*V122,0)</f>
        <v>7839.2010960319421</v>
      </c>
      <c r="W114" s="116">
        <f t="shared" si="219"/>
        <v>56601.041075991569</v>
      </c>
      <c r="X114" s="115"/>
      <c r="Y114" s="115"/>
      <c r="Z114" s="115"/>
      <c r="AA114" s="107" t="s">
        <v>392</v>
      </c>
      <c r="AB114" s="113">
        <f>INDEX(TourMode_input!$L$4:$T$17,MATCH(TourMode!$A116,modes,0),MATCH("jmain",modePurpose,0))*Index!$B$2</f>
        <v>13910</v>
      </c>
      <c r="AC114" s="113">
        <f>INDEX(TourMode_input!$L$20:$T$33,MATCH(TourMode!$A116,modes,0), MATCH("jmain",modePurpose,0))*Index!$B$2</f>
        <v>39845</v>
      </c>
      <c r="AD114" s="113">
        <f>INDEX(TourMode_input!$L$36:$T$49,MATCH(TourMode!$A116,modes,0), MATCH("jmain",modePurpose,0))*Index!$B$2</f>
        <v>8275</v>
      </c>
      <c r="AE114" s="116">
        <f t="shared" si="220"/>
        <v>62030</v>
      </c>
      <c r="AG114" s="107" t="s">
        <v>392</v>
      </c>
      <c r="AH114" s="117">
        <f t="shared" ref="AH114:AH121" si="233">T114/T$121</f>
        <v>0.52394392136741885</v>
      </c>
      <c r="AI114" s="117">
        <f t="shared" ref="AI114:AI121" si="234">U114/U$121</f>
        <v>0.14303446066862183</v>
      </c>
      <c r="AJ114" s="117">
        <f t="shared" ref="AJ114:AJ121" si="235">V114/V$121</f>
        <v>2.8566955509108264E-2</v>
      </c>
      <c r="AK114" s="118">
        <f t="shared" ref="AK114:AK121" si="236">W114/W$121</f>
        <v>0.10339411628151833</v>
      </c>
      <c r="AL114" s="115"/>
      <c r="AM114" s="107" t="s">
        <v>392</v>
      </c>
      <c r="AN114" s="117">
        <f t="shared" ref="AN114:AN121" si="237">AB114/AB$121</f>
        <v>0.54559717591684642</v>
      </c>
      <c r="AO114" s="117">
        <f t="shared" ref="AO114:AO121" si="238">AC114/AC$121</f>
        <v>0.16097689075630253</v>
      </c>
      <c r="AP114" s="117">
        <f t="shared" ref="AP114:AP121" si="239">AD114/AD$121</f>
        <v>3.0155057121513038E-2</v>
      </c>
      <c r="AQ114" s="118">
        <f t="shared" ref="AQ114:AQ121" si="240">AE114/AE$121</f>
        <v>0.11331129094130757</v>
      </c>
      <c r="AS114" s="107" t="s">
        <v>392</v>
      </c>
      <c r="AT114" s="113">
        <f t="shared" si="221"/>
        <v>552.0497247376552</v>
      </c>
      <c r="AU114" s="113">
        <f t="shared" si="211"/>
        <v>4441.1102953027221</v>
      </c>
      <c r="AV114" s="113">
        <f t="shared" si="212"/>
        <v>435.79890396805786</v>
      </c>
      <c r="AW114" s="116">
        <f t="shared" si="213"/>
        <v>5428.9589240084315</v>
      </c>
      <c r="AX114" s="115"/>
      <c r="AY114" s="107" t="s">
        <v>392</v>
      </c>
      <c r="AZ114" s="117">
        <f t="shared" si="222"/>
        <v>0.12459734104868123</v>
      </c>
      <c r="BA114" s="117">
        <f t="shared" si="223"/>
        <v>0.1986634115947708</v>
      </c>
      <c r="BB114" s="117">
        <f t="shared" si="224"/>
        <v>5.4499650254437704E-2</v>
      </c>
      <c r="BC114" s="118">
        <f t="shared" si="225"/>
        <v>0.15608539044329831</v>
      </c>
      <c r="BE114" s="107" t="s">
        <v>392</v>
      </c>
      <c r="BF114" s="307">
        <f t="shared" si="226"/>
        <v>-4.0496272107592705E-2</v>
      </c>
      <c r="BG114" s="307">
        <f t="shared" si="214"/>
        <v>-0.11817523408243613</v>
      </c>
      <c r="BH114" s="307">
        <f t="shared" si="215"/>
        <v>-5.4101993109405111E-2</v>
      </c>
      <c r="BI114" s="118"/>
      <c r="BK114" s="107" t="s">
        <v>392</v>
      </c>
      <c r="BL114" s="307">
        <v>9.0568568157397866</v>
      </c>
      <c r="BM114" s="307">
        <v>1.9150546715918437</v>
      </c>
      <c r="BN114" s="307">
        <v>0.8433768946128718</v>
      </c>
      <c r="BO114" s="118"/>
      <c r="BQ114" s="107" t="s">
        <v>392</v>
      </c>
      <c r="BR114" s="307">
        <f t="shared" si="232"/>
        <v>9.0197376077803195</v>
      </c>
      <c r="BS114" s="307">
        <f t="shared" si="228"/>
        <v>1.8559670545506257</v>
      </c>
      <c r="BT114" s="307">
        <f t="shared" si="229"/>
        <v>0.81632589805816924</v>
      </c>
      <c r="BU114" s="118"/>
    </row>
    <row r="115" spans="1:89" x14ac:dyDescent="0.25">
      <c r="A115">
        <v>8</v>
      </c>
      <c r="B115" s="107" t="s">
        <v>393</v>
      </c>
      <c r="C115" s="113">
        <f>INDEX(TourMode_input!$B$4:$J$172,MATCH(TourMode!$A117,modes,0),MATCH("jmain",modePurpose,0))</f>
        <v>0</v>
      </c>
      <c r="D115" s="113">
        <f>INDEX(TourMode_input!$B$20:$J$33,MATCH(TourMode!$A117,modes,0),MATCH("jmain",modePurpose,0))</f>
        <v>84.101759999999999</v>
      </c>
      <c r="E115" s="113">
        <f>INDEX(TourMode_input!$B$36:$J$49,MATCH(TourMode!$A117,modes,0),MATCH("jmain",modePurpose,0))</f>
        <v>819.41144999999995</v>
      </c>
      <c r="F115" s="116">
        <f t="shared" si="216"/>
        <v>903.51320999999996</v>
      </c>
      <c r="G115" s="300"/>
      <c r="H115" s="300"/>
      <c r="I115" s="300"/>
      <c r="J115" s="115"/>
      <c r="K115">
        <v>8</v>
      </c>
      <c r="L115" s="107" t="s">
        <v>393</v>
      </c>
      <c r="M115" s="113">
        <f t="shared" si="217"/>
        <v>0</v>
      </c>
      <c r="N115" s="113">
        <f t="shared" si="209"/>
        <v>84.101759999999999</v>
      </c>
      <c r="O115" s="113">
        <f t="shared" si="210"/>
        <v>819.41144999999995</v>
      </c>
      <c r="P115" s="116">
        <f t="shared" si="218"/>
        <v>903.51320999999996</v>
      </c>
      <c r="Q115" s="115"/>
      <c r="R115">
        <v>8</v>
      </c>
      <c r="S115" s="107" t="s">
        <v>393</v>
      </c>
      <c r="T115" s="113">
        <f>IF(M122&gt;0,M115/M122*T122,0)</f>
        <v>0</v>
      </c>
      <c r="U115" s="113">
        <f>IF(N122&gt;0,N115/N122*U122,0)</f>
        <v>133.19330445559211</v>
      </c>
      <c r="V115" s="113">
        <f>IF(O122&gt;0,O115/O122*V122,0)</f>
        <v>803.30674807626667</v>
      </c>
      <c r="W115" s="116">
        <f t="shared" si="219"/>
        <v>936.50005253185873</v>
      </c>
      <c r="X115" s="115"/>
      <c r="Y115" s="115"/>
      <c r="Z115" s="115"/>
      <c r="AA115" s="107" t="s">
        <v>393</v>
      </c>
      <c r="AB115" s="113">
        <f>INDEX(TourMode_input!$L$4:$T$17,MATCH(TourMode!$A117,modes,0),MATCH("jmain",modePurpose,0))*Index!$B$2</f>
        <v>80</v>
      </c>
      <c r="AC115" s="113">
        <f>INDEX(TourMode_input!$L$20:$T$33,MATCH(TourMode!$A117,modes,0), MATCH("jmain",modePurpose,0))*Index!$B$2</f>
        <v>185</v>
      </c>
      <c r="AD115" s="113">
        <f>INDEX(TourMode_input!$L$36:$T$49,MATCH(TourMode!$A117,modes,0), MATCH("jmain",modePurpose,0))*Index!$B$2</f>
        <v>530</v>
      </c>
      <c r="AE115" s="116">
        <f t="shared" si="220"/>
        <v>795</v>
      </c>
      <c r="AG115" s="107" t="s">
        <v>393</v>
      </c>
      <c r="AH115" s="117">
        <f t="shared" si="233"/>
        <v>0</v>
      </c>
      <c r="AI115" s="117">
        <f t="shared" si="234"/>
        <v>5.3811128173720147E-4</v>
      </c>
      <c r="AJ115" s="117">
        <f t="shared" si="235"/>
        <v>2.9273427038473366E-3</v>
      </c>
      <c r="AK115" s="118">
        <f t="shared" si="236"/>
        <v>1.7107211013862209E-3</v>
      </c>
      <c r="AL115" s="115"/>
      <c r="AM115" s="107" t="s">
        <v>393</v>
      </c>
      <c r="AN115" s="117">
        <f t="shared" si="237"/>
        <v>3.1378701706216905E-3</v>
      </c>
      <c r="AO115" s="117">
        <f t="shared" si="238"/>
        <v>7.4741435035552677E-4</v>
      </c>
      <c r="AP115" s="117">
        <f t="shared" si="239"/>
        <v>1.9313813020425269E-3</v>
      </c>
      <c r="AQ115" s="118">
        <f t="shared" si="240"/>
        <v>1.4522404691010723E-3</v>
      </c>
      <c r="AS115" s="107" t="s">
        <v>393</v>
      </c>
      <c r="AT115" s="113">
        <f t="shared" si="221"/>
        <v>80</v>
      </c>
      <c r="AU115" s="113">
        <f t="shared" si="211"/>
        <v>51.806695544407887</v>
      </c>
      <c r="AV115" s="113">
        <f t="shared" si="212"/>
        <v>-273.30674807626667</v>
      </c>
      <c r="AW115" s="116">
        <f t="shared" si="213"/>
        <v>-141.50005253185873</v>
      </c>
      <c r="AX115" s="115"/>
      <c r="AY115" s="107" t="s">
        <v>393</v>
      </c>
      <c r="AZ115" s="117">
        <f t="shared" si="222"/>
        <v>0</v>
      </c>
      <c r="BA115" s="117">
        <f t="shared" si="223"/>
        <v>0.61600013536468068</v>
      </c>
      <c r="BB115" s="117">
        <f t="shared" si="224"/>
        <v>-0.33354030881099683</v>
      </c>
      <c r="BC115" s="118">
        <f t="shared" si="225"/>
        <v>-0.15661093934847808</v>
      </c>
      <c r="BE115" s="107" t="s">
        <v>393</v>
      </c>
      <c r="BF115" s="307">
        <f t="shared" si="226"/>
        <v>0</v>
      </c>
      <c r="BG115" s="307">
        <f t="shared" si="214"/>
        <v>-0.32855433508536558</v>
      </c>
      <c r="BH115" s="307">
        <f t="shared" si="215"/>
        <v>0.41585963704181989</v>
      </c>
      <c r="BI115" s="118"/>
      <c r="BK115" s="107" t="s">
        <v>393</v>
      </c>
      <c r="BL115" s="307">
        <v>4.461246157705359</v>
      </c>
      <c r="BM115" s="307">
        <v>-2.1622836817035931</v>
      </c>
      <c r="BN115" s="307">
        <v>-0.94864011040342078</v>
      </c>
      <c r="BO115" s="118"/>
      <c r="BQ115" s="107" t="s">
        <v>393</v>
      </c>
      <c r="BR115" s="307">
        <f t="shared" si="232"/>
        <v>4.4443750857996882</v>
      </c>
      <c r="BS115" s="307">
        <f t="shared" si="228"/>
        <v>-2.3265608492462757</v>
      </c>
      <c r="BT115" s="307">
        <f t="shared" si="229"/>
        <v>-0.74071029188251081</v>
      </c>
      <c r="BU115" s="118"/>
    </row>
    <row r="116" spans="1:89" x14ac:dyDescent="0.25">
      <c r="A116">
        <v>10</v>
      </c>
      <c r="B116" s="107" t="s">
        <v>555</v>
      </c>
      <c r="C116" s="113">
        <f>INDEX(TourMode_input!$B$4:$J$172,MATCH(TourMode!$A119,modes,0),MATCH("jmain",modePurpose,0))+INDEX(TourMode_input!$B$4:$J$172,MATCH(TourMode!$A118,modes,0),MATCH("jmain",modePurpose,0))</f>
        <v>5052.8859000000002</v>
      </c>
      <c r="D116" s="113">
        <f>INDEX(TourMode_input!$B$20:$J$33,MATCH(TourMode!$A119,modes,0),MATCH("jmain",modePurpose,0))+INDEX(TourMode_input!$B$20:$J$33,MATCH(TourMode!$A118,modes,0),MATCH("jmain",modePurpose,0))</f>
        <v>6703.7371800000001</v>
      </c>
      <c r="E116" s="113">
        <f>INDEX(TourMode_input!$B$36:$J$49,MATCH(TourMode!$A119,modes,0),MATCH("jmain",modePurpose,0))+INDEX(TourMode_input!$B$36:$J$49,MATCH(TourMode!$A118,modes,0),MATCH("jmain",modePurpose,0))</f>
        <v>481.39607000000001</v>
      </c>
      <c r="F116" s="116">
        <f t="shared" si="216"/>
        <v>12238.019150000002</v>
      </c>
      <c r="G116" s="300"/>
      <c r="H116" s="302">
        <f>F116/F$167</f>
        <v>2.0757501390893156E-2</v>
      </c>
      <c r="I116" s="300">
        <f>H116*H$167</f>
        <v>13656.833120568901</v>
      </c>
      <c r="J116" s="115"/>
      <c r="K116">
        <v>10</v>
      </c>
      <c r="L116" s="107" t="s">
        <v>546</v>
      </c>
      <c r="M116" s="113">
        <f t="shared" ref="M116:O118" si="241">IF($F116&gt;0,C116/$F116*$I116,0)</f>
        <v>5638.6919049375401</v>
      </c>
      <c r="N116" s="113">
        <f t="shared" si="241"/>
        <v>7480.9345229218043</v>
      </c>
      <c r="O116" s="113">
        <f t="shared" si="241"/>
        <v>537.20669270955534</v>
      </c>
      <c r="P116" s="116">
        <f t="shared" si="218"/>
        <v>13656.833120568899</v>
      </c>
      <c r="Q116" s="115"/>
      <c r="R116">
        <v>10</v>
      </c>
      <c r="S116" s="107" t="s">
        <v>546</v>
      </c>
      <c r="T116" s="113">
        <f t="shared" ref="T116:V118" si="242">M116</f>
        <v>5638.6919049375401</v>
      </c>
      <c r="U116" s="113">
        <f t="shared" si="242"/>
        <v>7480.9345229218043</v>
      </c>
      <c r="V116" s="113">
        <f t="shared" si="242"/>
        <v>537.20669270955534</v>
      </c>
      <c r="W116" s="116">
        <f t="shared" si="219"/>
        <v>13656.833120568899</v>
      </c>
      <c r="X116" s="115"/>
      <c r="Y116" s="115"/>
      <c r="Z116" s="115"/>
      <c r="AA116" s="107" t="s">
        <v>546</v>
      </c>
      <c r="AB116" s="113">
        <f>INDEX(TourMode_input!$L$4:$T$17,MATCH(TourMode!$A119,modes,0),MATCH("jmain",modePurpose,0))*Index!$B$2</f>
        <v>4075</v>
      </c>
      <c r="AC116" s="113">
        <f>INDEX(TourMode_input!$L$20:$T$33,MATCH(TourMode!$A119,modes,0), MATCH("jmain",modePurpose,0))*Index!$B$2</f>
        <v>4695</v>
      </c>
      <c r="AD116" s="113">
        <f>INDEX(TourMode_input!$L$36:$T$49,MATCH(TourMode!$A119,modes,0), MATCH("jmain",modePurpose,0))*Index!$B$2</f>
        <v>390</v>
      </c>
      <c r="AE116" s="116">
        <f t="shared" si="220"/>
        <v>9160</v>
      </c>
      <c r="AG116" s="107" t="s">
        <v>395</v>
      </c>
      <c r="AH116" s="117">
        <f t="shared" si="233"/>
        <v>0.2211685391228688</v>
      </c>
      <c r="AI116" s="117">
        <f t="shared" si="234"/>
        <v>3.0223555764874774E-2</v>
      </c>
      <c r="AJ116" s="117">
        <f t="shared" si="235"/>
        <v>1.9576433238327187E-3</v>
      </c>
      <c r="AK116" s="118">
        <f t="shared" si="236"/>
        <v>2.4947177028239047E-2</v>
      </c>
      <c r="AL116" s="115"/>
      <c r="AM116" s="107" t="s">
        <v>395</v>
      </c>
      <c r="AN116" s="117">
        <f t="shared" si="237"/>
        <v>0.15983526181604235</v>
      </c>
      <c r="AO116" s="117">
        <f t="shared" si="238"/>
        <v>1.8968164188752423E-2</v>
      </c>
      <c r="AP116" s="117">
        <f t="shared" si="239"/>
        <v>1.4212051090501613E-3</v>
      </c>
      <c r="AQ116" s="118">
        <f t="shared" si="240"/>
        <v>1.6732732952158266E-2</v>
      </c>
      <c r="AS116" s="107" t="s">
        <v>395</v>
      </c>
      <c r="AT116" s="113">
        <f t="shared" si="221"/>
        <v>-1563.6919049375401</v>
      </c>
      <c r="AU116" s="113">
        <f t="shared" si="211"/>
        <v>-2785.9345229218043</v>
      </c>
      <c r="AV116" s="113">
        <f t="shared" si="212"/>
        <v>-147.20669270955534</v>
      </c>
      <c r="AW116" s="116">
        <f t="shared" si="213"/>
        <v>-4496.8331205688992</v>
      </c>
      <c r="AX116" s="115"/>
      <c r="AY116" s="107" t="s">
        <v>395</v>
      </c>
      <c r="AZ116" s="117">
        <f t="shared" si="222"/>
        <v>-0.30946511278585176</v>
      </c>
      <c r="BA116" s="117">
        <f t="shared" si="223"/>
        <v>-0.41557931764290978</v>
      </c>
      <c r="BB116" s="117">
        <f t="shared" si="224"/>
        <v>-0.30579122241183926</v>
      </c>
      <c r="BC116" s="118">
        <f t="shared" si="225"/>
        <v>-0.36744779244514408</v>
      </c>
      <c r="BE116" s="107" t="s">
        <v>395</v>
      </c>
      <c r="BF116" s="307">
        <f t="shared" si="226"/>
        <v>0.32478136016815107</v>
      </c>
      <c r="BG116" s="307">
        <f t="shared" si="214"/>
        <v>0.46585960774177276</v>
      </c>
      <c r="BH116" s="307">
        <f t="shared" si="215"/>
        <v>0.32023618395403003</v>
      </c>
      <c r="BI116" s="118"/>
      <c r="BK116" s="107" t="s">
        <v>395</v>
      </c>
      <c r="BL116" s="307">
        <v>5.7768642339450151</v>
      </c>
      <c r="BM116" s="307">
        <v>-0.24403324567182638</v>
      </c>
      <c r="BN116" s="307">
        <v>-0.90145660662190619</v>
      </c>
      <c r="BO116" s="118"/>
      <c r="BQ116" s="107" t="s">
        <v>395</v>
      </c>
      <c r="BR116" s="307">
        <f t="shared" si="232"/>
        <v>5.9223838421234198</v>
      </c>
      <c r="BS116" s="307">
        <f t="shared" si="228"/>
        <v>-1.110344180094E-2</v>
      </c>
      <c r="BT116" s="307">
        <f t="shared" si="229"/>
        <v>-0.7413385146448912</v>
      </c>
      <c r="BU116" s="118"/>
    </row>
    <row r="117" spans="1:89" x14ac:dyDescent="0.25">
      <c r="A117">
        <v>11</v>
      </c>
      <c r="B117" s="107" t="s">
        <v>556</v>
      </c>
      <c r="C117" s="113">
        <f>INDEX(TourMode_input!$B$4:$J$172,MATCH(TourMode!$A120,modes,0),MATCH("jmain",modePurpose,0))</f>
        <v>0</v>
      </c>
      <c r="D117" s="113">
        <f>INDEX(TourMode_input!$B$20:$J$33,MATCH(TourMode!$A120,modes,0),MATCH("jmain",modePurpose,0))</f>
        <v>270.39208000000002</v>
      </c>
      <c r="E117" s="113">
        <f>INDEX(TourMode_input!$B$36:$J$49,MATCH(TourMode!$A120,modes,0),MATCH("jmain",modePurpose,0))</f>
        <v>1021.57188</v>
      </c>
      <c r="F117" s="116">
        <f t="shared" si="216"/>
        <v>1291.96396</v>
      </c>
      <c r="G117" s="300"/>
      <c r="H117" s="302">
        <f>F117/F$168</f>
        <v>1.5966613386284609E-2</v>
      </c>
      <c r="I117" s="300">
        <f>H117*H$168</f>
        <v>546.47438511038865</v>
      </c>
      <c r="J117" s="115"/>
      <c r="K117">
        <v>11</v>
      </c>
      <c r="L117" s="107" t="s">
        <v>559</v>
      </c>
      <c r="M117" s="113">
        <f t="shared" si="241"/>
        <v>0</v>
      </c>
      <c r="N117" s="113">
        <f t="shared" si="241"/>
        <v>114.37033093145959</v>
      </c>
      <c r="O117" s="113">
        <f t="shared" si="241"/>
        <v>432.10405417892906</v>
      </c>
      <c r="P117" s="116">
        <f t="shared" si="218"/>
        <v>546.47438511038865</v>
      </c>
      <c r="Q117" s="115"/>
      <c r="R117">
        <v>11</v>
      </c>
      <c r="S117" s="107" t="s">
        <v>559</v>
      </c>
      <c r="T117" s="113">
        <f t="shared" si="242"/>
        <v>0</v>
      </c>
      <c r="U117" s="113">
        <f t="shared" si="242"/>
        <v>114.37033093145959</v>
      </c>
      <c r="V117" s="113">
        <f t="shared" si="242"/>
        <v>432.10405417892906</v>
      </c>
      <c r="W117" s="116">
        <f t="shared" si="219"/>
        <v>546.47438511038865</v>
      </c>
      <c r="X117" s="115"/>
      <c r="Y117" s="115"/>
      <c r="Z117" s="115"/>
      <c r="AA117" s="107" t="s">
        <v>559</v>
      </c>
      <c r="AB117" s="113">
        <f>INDEX(TourMode_input!$L$4:$T$17,MATCH(TourMode!$A120,modes,0),MATCH("jmain",modePurpose,0))*Index!$B$2</f>
        <v>210</v>
      </c>
      <c r="AC117" s="113">
        <f>INDEX(TourMode_input!$L$20:$T$33,MATCH(TourMode!$A120,modes,0), MATCH("jmain",modePurpose,0))*Index!$B$2</f>
        <v>70</v>
      </c>
      <c r="AD117" s="113">
        <f>INDEX(TourMode_input!$L$36:$T$49,MATCH(TourMode!$A120,modes,0), MATCH("jmain",modePurpose,0))*Index!$B$2</f>
        <v>210</v>
      </c>
      <c r="AE117" s="116">
        <f t="shared" si="220"/>
        <v>490</v>
      </c>
      <c r="AG117" s="107" t="s">
        <v>396</v>
      </c>
      <c r="AH117" s="117">
        <f t="shared" si="233"/>
        <v>0</v>
      </c>
      <c r="AI117" s="117">
        <f t="shared" si="234"/>
        <v>4.620650086112621E-4</v>
      </c>
      <c r="AJ117" s="117">
        <f t="shared" si="235"/>
        <v>1.5746371524112354E-3</v>
      </c>
      <c r="AK117" s="118">
        <f t="shared" si="236"/>
        <v>9.9825436148985027E-4</v>
      </c>
      <c r="AL117" s="115"/>
      <c r="AM117" s="107" t="s">
        <v>396</v>
      </c>
      <c r="AN117" s="117">
        <f t="shared" si="237"/>
        <v>8.2369091978819371E-3</v>
      </c>
      <c r="AO117" s="117">
        <f t="shared" si="238"/>
        <v>2.8280542986425342E-4</v>
      </c>
      <c r="AP117" s="117">
        <f t="shared" si="239"/>
        <v>7.6526428948854835E-4</v>
      </c>
      <c r="AQ117" s="118">
        <f t="shared" si="240"/>
        <v>8.9509160988619546E-4</v>
      </c>
      <c r="AS117" s="107" t="s">
        <v>396</v>
      </c>
      <c r="AT117" s="113">
        <f t="shared" si="221"/>
        <v>210</v>
      </c>
      <c r="AU117" s="113">
        <f t="shared" si="211"/>
        <v>-44.370330931459591</v>
      </c>
      <c r="AV117" s="113">
        <f t="shared" si="212"/>
        <v>-222.10405417892906</v>
      </c>
      <c r="AW117" s="116">
        <f t="shared" si="213"/>
        <v>-56.474385110388653</v>
      </c>
      <c r="AX117" s="115"/>
      <c r="AY117" s="107" t="s">
        <v>396</v>
      </c>
      <c r="AZ117" s="117">
        <f t="shared" si="222"/>
        <v>0</v>
      </c>
      <c r="BA117" s="117">
        <f t="shared" si="223"/>
        <v>-0.16409626691528681</v>
      </c>
      <c r="BB117" s="117">
        <f t="shared" si="224"/>
        <v>-0.21741402492297368</v>
      </c>
      <c r="BC117" s="118">
        <f t="shared" si="225"/>
        <v>-4.3712043724802238E-2</v>
      </c>
      <c r="BE117" s="107" t="s">
        <v>396</v>
      </c>
      <c r="BF117" s="307">
        <f t="shared" si="226"/>
        <v>0</v>
      </c>
      <c r="BG117" s="307">
        <f t="shared" si="214"/>
        <v>0.49094645825588318</v>
      </c>
      <c r="BH117" s="307">
        <f t="shared" si="215"/>
        <v>0.72155889467797518</v>
      </c>
      <c r="BI117" s="118"/>
      <c r="BK117" s="107" t="s">
        <v>396</v>
      </c>
      <c r="BL117" s="307">
        <v>4.760702174240123</v>
      </c>
      <c r="BM117" s="307">
        <v>-4.0673288641497933</v>
      </c>
      <c r="BN117" s="307">
        <v>-1.5748472656720265</v>
      </c>
      <c r="BO117" s="118"/>
      <c r="BQ117" s="107" t="s">
        <v>396</v>
      </c>
      <c r="BR117" s="307">
        <f t="shared" si="232"/>
        <v>4.7438311023344522</v>
      </c>
      <c r="BS117" s="307">
        <f t="shared" si="228"/>
        <v>-3.8218556350218518</v>
      </c>
      <c r="BT117" s="307">
        <f t="shared" si="229"/>
        <v>-1.2140678183330389</v>
      </c>
      <c r="BU117" s="118"/>
    </row>
    <row r="118" spans="1:89" x14ac:dyDescent="0.25">
      <c r="A118">
        <v>12</v>
      </c>
      <c r="B118" s="107" t="s">
        <v>557</v>
      </c>
      <c r="C118" s="297">
        <v>0</v>
      </c>
      <c r="D118" s="113">
        <f>INDEX(TourMode_input!$B$20:$J$33,MATCH(TourMode!$A121,modes,0),MATCH("jmain",modePurpose,0))</f>
        <v>195.28697</v>
      </c>
      <c r="E118" s="113">
        <f>INDEX(TourMode_input!$B$36:$J$49,MATCH(TourMode!$A121,modes,0),MATCH("jmain",modePurpose,0))</f>
        <v>279.72061000000002</v>
      </c>
      <c r="F118" s="116">
        <f t="shared" si="216"/>
        <v>475.00758000000002</v>
      </c>
      <c r="G118" s="300"/>
      <c r="H118" s="302">
        <f>F118/F$169</f>
        <v>3.1413019869647001E-3</v>
      </c>
      <c r="I118" s="300">
        <f>H118*H$169</f>
        <v>312.15053793320715</v>
      </c>
      <c r="J118" s="115"/>
      <c r="K118">
        <v>12</v>
      </c>
      <c r="L118" s="107" t="s">
        <v>560</v>
      </c>
      <c r="M118" s="113">
        <f t="shared" si="241"/>
        <v>0</v>
      </c>
      <c r="N118" s="113">
        <f t="shared" si="241"/>
        <v>128.33254731818403</v>
      </c>
      <c r="O118" s="113">
        <f t="shared" si="241"/>
        <v>183.81799061502315</v>
      </c>
      <c r="P118" s="116">
        <f t="shared" si="218"/>
        <v>312.15053793320715</v>
      </c>
      <c r="Q118" s="115"/>
      <c r="R118">
        <v>12</v>
      </c>
      <c r="S118" s="107" t="s">
        <v>560</v>
      </c>
      <c r="T118" s="113">
        <f t="shared" si="242"/>
        <v>0</v>
      </c>
      <c r="U118" s="113">
        <f t="shared" si="242"/>
        <v>128.33254731818403</v>
      </c>
      <c r="V118" s="113">
        <f t="shared" si="242"/>
        <v>183.81799061502315</v>
      </c>
      <c r="W118" s="116">
        <f t="shared" si="219"/>
        <v>312.15053793320715</v>
      </c>
      <c r="X118" s="115"/>
      <c r="Y118" s="115"/>
      <c r="Z118" s="115"/>
      <c r="AA118" s="107" t="s">
        <v>560</v>
      </c>
      <c r="AB118" s="113">
        <f>INDEX(TourMode_input!$L$4:$T$17,MATCH(TourMode!$A121,modes,0),MATCH("jmain",modePurpose,0))*Index!$B$2</f>
        <v>0</v>
      </c>
      <c r="AC118" s="113">
        <f>INDEX(TourMode_input!$L$20:$T$33,MATCH(TourMode!$A121,modes,0), MATCH("jmain",modePurpose,0))*Index!$B$2</f>
        <v>0</v>
      </c>
      <c r="AD118" s="113">
        <f>INDEX(TourMode_input!$L$36:$T$49,MATCH(TourMode!$A121,modes,0), MATCH("jmain",modePurpose,0))*Index!$B$2</f>
        <v>0</v>
      </c>
      <c r="AE118" s="116">
        <f t="shared" si="220"/>
        <v>0</v>
      </c>
      <c r="AG118" s="107" t="s">
        <v>397</v>
      </c>
      <c r="AH118" s="117">
        <f t="shared" si="233"/>
        <v>0</v>
      </c>
      <c r="AI118" s="117">
        <f t="shared" si="234"/>
        <v>5.1847344585562389E-4</v>
      </c>
      <c r="AJ118" s="117">
        <f t="shared" si="235"/>
        <v>6.6985401896770653E-4</v>
      </c>
      <c r="AK118" s="118">
        <f t="shared" si="236"/>
        <v>5.7021087250097222E-4</v>
      </c>
      <c r="AL118" s="115"/>
      <c r="AM118" s="107" t="s">
        <v>397</v>
      </c>
      <c r="AN118" s="117">
        <f t="shared" si="237"/>
        <v>0</v>
      </c>
      <c r="AO118" s="117">
        <f t="shared" si="238"/>
        <v>0</v>
      </c>
      <c r="AP118" s="117">
        <f t="shared" si="239"/>
        <v>0</v>
      </c>
      <c r="AQ118" s="118">
        <f t="shared" si="240"/>
        <v>0</v>
      </c>
      <c r="AS118" s="107" t="s">
        <v>397</v>
      </c>
      <c r="AT118" s="113">
        <f t="shared" si="221"/>
        <v>0</v>
      </c>
      <c r="AU118" s="113">
        <f t="shared" si="211"/>
        <v>-128.33254731818403</v>
      </c>
      <c r="AV118" s="113">
        <f t="shared" si="212"/>
        <v>-183.81799061502315</v>
      </c>
      <c r="AW118" s="116">
        <f t="shared" si="213"/>
        <v>-312.15053793320715</v>
      </c>
      <c r="AX118" s="115"/>
      <c r="AY118" s="107" t="s">
        <v>397</v>
      </c>
      <c r="AZ118" s="117">
        <f t="shared" si="222"/>
        <v>0</v>
      </c>
      <c r="BA118" s="117">
        <f t="shared" si="223"/>
        <v>-0.65714854052056837</v>
      </c>
      <c r="BB118" s="117">
        <f t="shared" si="224"/>
        <v>-0.65714854052056848</v>
      </c>
      <c r="BC118" s="118">
        <f t="shared" si="225"/>
        <v>-0.65714854052056837</v>
      </c>
      <c r="BE118" s="107" t="s">
        <v>397</v>
      </c>
      <c r="BF118" s="307">
        <f t="shared" si="226"/>
        <v>0</v>
      </c>
      <c r="BG118" s="307">
        <f t="shared" si="214"/>
        <v>0</v>
      </c>
      <c r="BH118" s="307">
        <f t="shared" si="215"/>
        <v>0</v>
      </c>
      <c r="BI118" s="118"/>
      <c r="BK118" s="107" t="s">
        <v>397</v>
      </c>
      <c r="BL118" s="307">
        <v>3.9235044646948172</v>
      </c>
      <c r="BM118" s="307">
        <v>-7.740664774820897</v>
      </c>
      <c r="BN118" s="307">
        <v>-6.375643945729454</v>
      </c>
      <c r="BO118" s="118"/>
      <c r="BQ118" s="107" t="s">
        <v>397</v>
      </c>
      <c r="BR118" s="307">
        <f t="shared" si="232"/>
        <v>3.9066333927891463</v>
      </c>
      <c r="BS118" s="307">
        <f t="shared" si="228"/>
        <v>-7.740664774820897</v>
      </c>
      <c r="BT118" s="307">
        <f t="shared" si="229"/>
        <v>-6.375643945729454</v>
      </c>
      <c r="BU118" s="118"/>
    </row>
    <row r="119" spans="1:89" x14ac:dyDescent="0.25">
      <c r="A119">
        <v>13</v>
      </c>
      <c r="B119" s="107" t="s">
        <v>398</v>
      </c>
      <c r="C119" s="113">
        <f>INDEX(TourMode_input!$B$4:$J$172,MATCH(TourMode!$A122,modes,0),MATCH("jmain",modePurpose,0))</f>
        <v>657.02346999999997</v>
      </c>
      <c r="D119" s="113">
        <f>INDEX(TourMode_input!$B$20:$J$33,MATCH(TourMode!$A122,modes,0),MATCH("jmain",modePurpose,0))</f>
        <v>111.87426000000001</v>
      </c>
      <c r="E119" s="113">
        <f>INDEX(TourMode_input!$B$36:$J$49,MATCH(TourMode!$A122,modes,0),MATCH("jmain",modePurpose,0))</f>
        <v>0</v>
      </c>
      <c r="F119" s="116">
        <f t="shared" si="216"/>
        <v>768.89773000000002</v>
      </c>
      <c r="G119" s="300"/>
      <c r="H119" s="300"/>
      <c r="I119" s="300"/>
      <c r="J119" s="115"/>
      <c r="K119">
        <v>13</v>
      </c>
      <c r="L119" s="107" t="s">
        <v>398</v>
      </c>
      <c r="M119" s="113">
        <f t="shared" ref="M119:O120" si="243">C119</f>
        <v>657.02346999999997</v>
      </c>
      <c r="N119" s="113">
        <f t="shared" si="243"/>
        <v>111.87426000000001</v>
      </c>
      <c r="O119" s="113">
        <f t="shared" si="243"/>
        <v>0</v>
      </c>
      <c r="P119" s="116">
        <f t="shared" si="218"/>
        <v>768.89773000000002</v>
      </c>
      <c r="Q119" s="115"/>
      <c r="R119">
        <v>13</v>
      </c>
      <c r="S119" s="107" t="s">
        <v>398</v>
      </c>
      <c r="T119" s="113">
        <f>IF(M122&gt;0,M119/M122*T122,0)</f>
        <v>1980.848599778157</v>
      </c>
      <c r="U119" s="113">
        <f>IF(N122&gt;0,N119/N122*U122,0)</f>
        <v>177.17705756602564</v>
      </c>
      <c r="V119" s="113">
        <f>IF(O122&gt;0,O119/O122*V122,0)</f>
        <v>0</v>
      </c>
      <c r="W119" s="116">
        <f t="shared" si="219"/>
        <v>2158.0256573441825</v>
      </c>
      <c r="X119" s="115"/>
      <c r="Y119" s="115"/>
      <c r="Z119" s="115"/>
      <c r="AA119" s="107" t="s">
        <v>398</v>
      </c>
      <c r="AB119" s="113">
        <f>INDEX(TourMode_input!$L$4:$T$17,MATCH(TourMode!$A122,modes,0),MATCH("jmain",modePurpose,0))*Index!$B$2</f>
        <v>2190</v>
      </c>
      <c r="AC119" s="113">
        <f>INDEX(TourMode_input!$L$20:$T$33,MATCH(TourMode!$A122,modes,0), MATCH("jmain",modePurpose,0))*Index!$B$2</f>
        <v>215</v>
      </c>
      <c r="AD119" s="113">
        <f>INDEX(TourMode_input!$L$36:$T$49,MATCH(TourMode!$A122,modes,0), MATCH("jmain",modePurpose,0))*Index!$B$2</f>
        <v>20</v>
      </c>
      <c r="AE119" s="116">
        <f t="shared" si="220"/>
        <v>2425</v>
      </c>
      <c r="AG119" s="107" t="s">
        <v>398</v>
      </c>
      <c r="AH119" s="117">
        <f t="shared" si="233"/>
        <v>7.7695571672020278E-2</v>
      </c>
      <c r="AI119" s="117">
        <f t="shared" si="234"/>
        <v>7.1580905610062076E-4</v>
      </c>
      <c r="AJ119" s="117">
        <f t="shared" si="235"/>
        <v>0</v>
      </c>
      <c r="AK119" s="118">
        <f t="shared" si="236"/>
        <v>3.9421033873631023E-3</v>
      </c>
      <c r="AL119" s="115"/>
      <c r="AM119" s="107" t="s">
        <v>398</v>
      </c>
      <c r="AN119" s="117">
        <f t="shared" si="237"/>
        <v>8.5899195920768778E-2</v>
      </c>
      <c r="AO119" s="117">
        <f t="shared" si="238"/>
        <v>8.686166774402068E-4</v>
      </c>
      <c r="AP119" s="117">
        <f t="shared" si="239"/>
        <v>7.288231328462365E-5</v>
      </c>
      <c r="AQ119" s="118">
        <f t="shared" si="240"/>
        <v>4.4297901101510691E-3</v>
      </c>
      <c r="AS119" s="107" t="s">
        <v>398</v>
      </c>
      <c r="AT119" s="113">
        <f t="shared" si="221"/>
        <v>209.15140022184301</v>
      </c>
      <c r="AU119" s="113">
        <f t="shared" si="211"/>
        <v>37.822942433974362</v>
      </c>
      <c r="AV119" s="113">
        <f t="shared" si="212"/>
        <v>20</v>
      </c>
      <c r="AW119" s="116">
        <f t="shared" si="213"/>
        <v>266.97434265581751</v>
      </c>
      <c r="AX119" s="115"/>
      <c r="AY119" s="107" t="s">
        <v>398</v>
      </c>
      <c r="AZ119" s="117">
        <f t="shared" si="222"/>
        <v>0.31833170316098908</v>
      </c>
      <c r="BA119" s="117">
        <f t="shared" si="223"/>
        <v>0.33808440327537681</v>
      </c>
      <c r="BB119" s="117">
        <f t="shared" si="224"/>
        <v>0</v>
      </c>
      <c r="BC119" s="118">
        <f t="shared" si="225"/>
        <v>0.34721697338840823</v>
      </c>
      <c r="BE119" s="107" t="s">
        <v>398</v>
      </c>
      <c r="BF119" s="307">
        <f t="shared" si="226"/>
        <v>-0.1003762051920595</v>
      </c>
      <c r="BG119" s="307">
        <f t="shared" si="214"/>
        <v>-0.19348847031392644</v>
      </c>
      <c r="BH119" s="307">
        <f t="shared" si="215"/>
        <v>0</v>
      </c>
      <c r="BI119" s="118"/>
      <c r="BK119" s="107" t="s">
        <v>398</v>
      </c>
      <c r="BL119" s="307">
        <v>7.2520984695584199</v>
      </c>
      <c r="BM119" s="307">
        <v>-1.9312631970466847</v>
      </c>
      <c r="BN119" s="307">
        <v>-3.3091659239670501</v>
      </c>
      <c r="BO119" s="118"/>
      <c r="BQ119" s="107" t="s">
        <v>398</v>
      </c>
      <c r="BR119" s="307">
        <f t="shared" si="232"/>
        <v>7.1850392950567192</v>
      </c>
      <c r="BS119" s="307">
        <f t="shared" si="228"/>
        <v>-2.0280074322036481</v>
      </c>
      <c r="BT119" s="307">
        <f t="shared" si="229"/>
        <v>-3.3091659239670501</v>
      </c>
      <c r="BU119" s="118"/>
    </row>
    <row r="120" spans="1:89" x14ac:dyDescent="0.25">
      <c r="A120">
        <v>14</v>
      </c>
      <c r="B120" s="107" t="s">
        <v>399</v>
      </c>
      <c r="C120" s="297">
        <v>0</v>
      </c>
      <c r="D120" s="297">
        <v>0</v>
      </c>
      <c r="E120" s="297">
        <v>0</v>
      </c>
      <c r="F120" s="116">
        <f t="shared" si="216"/>
        <v>0</v>
      </c>
      <c r="G120" s="300"/>
      <c r="H120" s="300"/>
      <c r="I120" s="300"/>
      <c r="J120" s="115"/>
      <c r="K120">
        <v>14</v>
      </c>
      <c r="L120" s="107" t="s">
        <v>399</v>
      </c>
      <c r="M120" s="113">
        <f t="shared" si="243"/>
        <v>0</v>
      </c>
      <c r="N120" s="113">
        <f t="shared" si="243"/>
        <v>0</v>
      </c>
      <c r="O120" s="113">
        <f t="shared" si="243"/>
        <v>0</v>
      </c>
      <c r="P120" s="116">
        <f t="shared" si="218"/>
        <v>0</v>
      </c>
      <c r="Q120" s="115"/>
      <c r="R120">
        <v>14</v>
      </c>
      <c r="S120" s="107" t="s">
        <v>399</v>
      </c>
      <c r="T120" s="113">
        <f>IF(M122&gt;0,M120/M122*T122,0)</f>
        <v>0</v>
      </c>
      <c r="U120" s="113">
        <f>IF(N122&gt;0,N120/N122*U122,0)</f>
        <v>0</v>
      </c>
      <c r="V120" s="113">
        <f>IF(O122&gt;0,O120/O122*V122,0)</f>
        <v>0</v>
      </c>
      <c r="W120" s="116">
        <f t="shared" si="219"/>
        <v>0</v>
      </c>
      <c r="X120" s="115"/>
      <c r="Y120" s="115"/>
      <c r="Z120" s="115"/>
      <c r="AA120" s="107" t="s">
        <v>399</v>
      </c>
      <c r="AB120" s="113">
        <f>INDEX(TourMode_input!$L$4:$T$17,MATCH(TourMode!$A123,modes,0),MATCH("jmain",modePurpose,0))*Index!$B$2</f>
        <v>0</v>
      </c>
      <c r="AC120" s="113">
        <f>INDEX(TourMode_input!$L$20:$T$33,MATCH(TourMode!$A123,modes,0), MATCH("jmain",modePurpose,0))*Index!$B$2</f>
        <v>0</v>
      </c>
      <c r="AD120" s="113">
        <f>INDEX(TourMode_input!$L$36:$T$49,MATCH(TourMode!$A123,modes,0), MATCH("jmain",modePurpose,0))*Index!$B$2</f>
        <v>0</v>
      </c>
      <c r="AE120" s="116">
        <f t="shared" si="220"/>
        <v>0</v>
      </c>
      <c r="AG120" s="107" t="s">
        <v>399</v>
      </c>
      <c r="AH120" s="117">
        <f t="shared" si="233"/>
        <v>0</v>
      </c>
      <c r="AI120" s="117">
        <f t="shared" si="234"/>
        <v>0</v>
      </c>
      <c r="AJ120" s="117">
        <f t="shared" si="235"/>
        <v>0</v>
      </c>
      <c r="AK120" s="118">
        <f t="shared" si="236"/>
        <v>0</v>
      </c>
      <c r="AL120" s="115"/>
      <c r="AM120" s="107" t="s">
        <v>399</v>
      </c>
      <c r="AN120" s="117">
        <f t="shared" si="237"/>
        <v>0</v>
      </c>
      <c r="AO120" s="117">
        <f t="shared" si="238"/>
        <v>0</v>
      </c>
      <c r="AP120" s="117">
        <f t="shared" si="239"/>
        <v>0</v>
      </c>
      <c r="AQ120" s="118">
        <f t="shared" si="240"/>
        <v>0</v>
      </c>
      <c r="AS120" s="107" t="s">
        <v>399</v>
      </c>
      <c r="AT120" s="113">
        <f t="shared" si="221"/>
        <v>0</v>
      </c>
      <c r="AU120" s="113">
        <f t="shared" si="211"/>
        <v>0</v>
      </c>
      <c r="AV120" s="113">
        <f t="shared" si="212"/>
        <v>0</v>
      </c>
      <c r="AW120" s="116">
        <f t="shared" si="213"/>
        <v>0</v>
      </c>
      <c r="AX120" s="115"/>
      <c r="AY120" s="107" t="s">
        <v>399</v>
      </c>
      <c r="AZ120" s="117">
        <f t="shared" si="222"/>
        <v>0</v>
      </c>
      <c r="BA120" s="117">
        <f t="shared" si="223"/>
        <v>0</v>
      </c>
      <c r="BB120" s="117">
        <f t="shared" si="224"/>
        <v>0</v>
      </c>
      <c r="BC120" s="118">
        <f t="shared" si="225"/>
        <v>0</v>
      </c>
      <c r="BE120" s="107" t="s">
        <v>399</v>
      </c>
      <c r="BF120" s="307">
        <f t="shared" si="226"/>
        <v>0</v>
      </c>
      <c r="BG120" s="307">
        <f t="shared" si="214"/>
        <v>0</v>
      </c>
      <c r="BH120" s="307">
        <f t="shared" si="215"/>
        <v>0</v>
      </c>
      <c r="BI120" s="118"/>
      <c r="BK120" s="107" t="s">
        <v>399</v>
      </c>
      <c r="BL120" s="307">
        <v>3.8385568015406601</v>
      </c>
      <c r="BM120" s="307">
        <v>-0.51559434356966027</v>
      </c>
      <c r="BN120" s="307">
        <v>-0.19181132424035569</v>
      </c>
      <c r="BO120" s="118"/>
      <c r="BQ120" s="107" t="s">
        <v>399</v>
      </c>
      <c r="BR120" s="307">
        <f t="shared" si="232"/>
        <v>3.8216857296349893</v>
      </c>
      <c r="BS120" s="307">
        <f t="shared" si="228"/>
        <v>-0.51559434356966027</v>
      </c>
      <c r="BT120" s="307">
        <f t="shared" si="229"/>
        <v>-0.19181132424035569</v>
      </c>
      <c r="BU120" s="118"/>
    </row>
    <row r="121" spans="1:89" ht="15.75" thickBot="1" x14ac:dyDescent="0.3">
      <c r="B121" s="108" t="s">
        <v>29</v>
      </c>
      <c r="C121" s="109">
        <f>SUM(C108:C120)</f>
        <v>11638.982609999999</v>
      </c>
      <c r="D121" s="110">
        <f>SUM(D108:D120)</f>
        <v>158583.15446999998</v>
      </c>
      <c r="E121" s="111">
        <f>SUM(E108:E120)</f>
        <v>280522.91662000009</v>
      </c>
      <c r="F121" s="112">
        <f>SUM(F108:F120)</f>
        <v>450745.05370000005</v>
      </c>
      <c r="G121" s="301"/>
      <c r="H121" s="301"/>
      <c r="I121" s="301"/>
      <c r="L121" s="108" t="s">
        <v>29</v>
      </c>
      <c r="M121" s="109">
        <f>SUM(M108:M120)</f>
        <v>12224.788614937541</v>
      </c>
      <c r="N121" s="110">
        <f>SUM(N108:N120)</f>
        <v>159137.37564117147</v>
      </c>
      <c r="O121" s="111">
        <f>SUM(O108:O120)</f>
        <v>279893.35679750354</v>
      </c>
      <c r="P121" s="112">
        <f>SUM(P108:P120)</f>
        <v>451255.52105361252</v>
      </c>
      <c r="S121" s="108" t="s">
        <v>29</v>
      </c>
      <c r="T121" s="109">
        <f>SUM(T108:T120)</f>
        <v>25495</v>
      </c>
      <c r="U121" s="110">
        <f>SUM(U108:U120)</f>
        <v>247520</v>
      </c>
      <c r="V121" s="111">
        <f>SUM(V108:V120)</f>
        <v>274414.99999999994</v>
      </c>
      <c r="W121" s="112">
        <f>SUM(W108:W120)</f>
        <v>547429.99999999988</v>
      </c>
      <c r="AA121" s="108" t="s">
        <v>29</v>
      </c>
      <c r="AB121" s="109">
        <f>SUM(AB108:AB120)</f>
        <v>25495</v>
      </c>
      <c r="AC121" s="110">
        <f>SUM(AC108:AC120)</f>
        <v>247520</v>
      </c>
      <c r="AD121" s="111">
        <f>SUM(AD108:AD120)</f>
        <v>274415</v>
      </c>
      <c r="AE121" s="112">
        <f>SUM(AE108:AE120)</f>
        <v>547430</v>
      </c>
      <c r="AG121" s="108" t="s">
        <v>29</v>
      </c>
      <c r="AH121" s="120">
        <f t="shared" si="233"/>
        <v>1</v>
      </c>
      <c r="AI121" s="121">
        <f t="shared" si="234"/>
        <v>1</v>
      </c>
      <c r="AJ121" s="122">
        <f t="shared" si="235"/>
        <v>1</v>
      </c>
      <c r="AK121" s="123">
        <f t="shared" si="236"/>
        <v>1</v>
      </c>
      <c r="AM121" s="108" t="s">
        <v>29</v>
      </c>
      <c r="AN121" s="120">
        <f t="shared" si="237"/>
        <v>1</v>
      </c>
      <c r="AO121" s="121">
        <f t="shared" si="238"/>
        <v>1</v>
      </c>
      <c r="AP121" s="122">
        <f t="shared" si="239"/>
        <v>1</v>
      </c>
      <c r="AQ121" s="123">
        <f t="shared" si="240"/>
        <v>1</v>
      </c>
      <c r="AS121" s="108" t="s">
        <v>29</v>
      </c>
      <c r="AT121" s="109">
        <f t="shared" si="221"/>
        <v>0</v>
      </c>
      <c r="AU121" s="110">
        <f t="shared" si="211"/>
        <v>0</v>
      </c>
      <c r="AV121" s="111">
        <f t="shared" si="212"/>
        <v>0</v>
      </c>
      <c r="AW121" s="112">
        <f t="shared" si="213"/>
        <v>0</v>
      </c>
      <c r="AY121" s="108" t="s">
        <v>29</v>
      </c>
      <c r="AZ121" s="117">
        <f t="shared" si="222"/>
        <v>0</v>
      </c>
      <c r="BA121" s="117">
        <f t="shared" si="223"/>
        <v>0</v>
      </c>
      <c r="BB121" s="117">
        <f t="shared" si="224"/>
        <v>0</v>
      </c>
      <c r="BC121" s="118">
        <f t="shared" si="225"/>
        <v>0</v>
      </c>
      <c r="BE121" s="108" t="s">
        <v>29</v>
      </c>
      <c r="BF121" s="117"/>
      <c r="BG121" s="117"/>
      <c r="BH121" s="117"/>
      <c r="BI121" s="118"/>
      <c r="BK121" s="108" t="s">
        <v>29</v>
      </c>
      <c r="BL121" s="117"/>
      <c r="BM121" s="117"/>
      <c r="BN121" s="117"/>
      <c r="BO121" s="118"/>
      <c r="BQ121" s="108" t="s">
        <v>29</v>
      </c>
      <c r="BR121" s="117"/>
      <c r="BS121" s="117"/>
      <c r="BT121" s="117"/>
      <c r="BU121" s="118"/>
    </row>
    <row r="122" spans="1:89" x14ac:dyDescent="0.25">
      <c r="B122" s="304"/>
      <c r="C122" s="301"/>
      <c r="D122" s="301"/>
      <c r="E122" s="301"/>
      <c r="F122" s="301"/>
      <c r="G122" s="301"/>
      <c r="H122" s="301"/>
      <c r="I122" s="301"/>
      <c r="L122" s="304"/>
      <c r="M122" s="286">
        <f>M121-SUM(M116:M118)</f>
        <v>6586.0967100000007</v>
      </c>
      <c r="N122" s="286">
        <f>N121-SUM(N116:N118)</f>
        <v>151413.73824000004</v>
      </c>
      <c r="O122" s="286">
        <f>O121-SUM(O116:O118)</f>
        <v>278740.22806000005</v>
      </c>
      <c r="P122" s="301"/>
      <c r="S122" s="304"/>
      <c r="T122" s="286">
        <f>AB121-SUM(T116:T118)</f>
        <v>19856.308095062461</v>
      </c>
      <c r="U122" s="286">
        <f>AC121-SUM(U116:U118)</f>
        <v>239796.36259882856</v>
      </c>
      <c r="V122" s="286">
        <f>AD121-SUM(V116:V118)</f>
        <v>273261.87126249651</v>
      </c>
      <c r="W122" s="301"/>
      <c r="AA122" s="304"/>
      <c r="AB122" s="301"/>
      <c r="AC122" s="301"/>
      <c r="AD122" s="301"/>
      <c r="AE122" s="301"/>
      <c r="AG122" s="304"/>
      <c r="AH122" s="305"/>
      <c r="AI122" s="305"/>
      <c r="AJ122" s="305"/>
      <c r="AK122" s="305"/>
      <c r="AM122" s="304"/>
      <c r="AN122" s="305"/>
      <c r="AO122" s="305"/>
      <c r="AP122" s="305"/>
      <c r="AQ122" s="305"/>
      <c r="AS122" s="304"/>
      <c r="AT122" s="301"/>
      <c r="AU122" s="301"/>
      <c r="AV122" s="301"/>
      <c r="AW122" s="301"/>
      <c r="AY122" s="304"/>
      <c r="AZ122" s="306"/>
      <c r="BA122" s="306"/>
      <c r="BB122" s="306"/>
      <c r="BC122" s="306"/>
      <c r="BE122" s="304"/>
      <c r="BF122" s="306"/>
      <c r="BG122" s="306"/>
      <c r="BH122" s="306"/>
      <c r="BI122" s="306"/>
      <c r="BK122" s="304"/>
      <c r="BL122" s="306"/>
      <c r="BM122" s="306"/>
      <c r="BN122" s="306"/>
      <c r="BO122" s="306"/>
      <c r="BQ122" s="304"/>
      <c r="BR122" s="306"/>
      <c r="BS122" s="306"/>
      <c r="BT122" s="306"/>
      <c r="BU122" s="306"/>
    </row>
    <row r="123" spans="1:89" ht="26.25" x14ac:dyDescent="0.4">
      <c r="A123" s="150" t="s">
        <v>153</v>
      </c>
      <c r="K123" s="150" t="s">
        <v>153</v>
      </c>
      <c r="R123" s="150" t="s">
        <v>153</v>
      </c>
    </row>
    <row r="124" spans="1:89" ht="26.25" x14ac:dyDescent="0.25">
      <c r="B124" s="102" t="s">
        <v>134</v>
      </c>
      <c r="C124" s="103" t="s">
        <v>135</v>
      </c>
      <c r="D124" s="104" t="s">
        <v>136</v>
      </c>
      <c r="E124" s="105" t="s">
        <v>137</v>
      </c>
      <c r="F124" s="106" t="s">
        <v>29</v>
      </c>
      <c r="G124" s="299"/>
      <c r="H124" s="299"/>
      <c r="I124" s="299"/>
      <c r="L124" s="102" t="s">
        <v>134</v>
      </c>
      <c r="M124" s="103" t="s">
        <v>135</v>
      </c>
      <c r="N124" s="104" t="s">
        <v>136</v>
      </c>
      <c r="O124" s="105" t="s">
        <v>137</v>
      </c>
      <c r="P124" s="106" t="s">
        <v>29</v>
      </c>
      <c r="S124" s="102" t="s">
        <v>134</v>
      </c>
      <c r="T124" s="103" t="s">
        <v>135</v>
      </c>
      <c r="U124" s="104" t="s">
        <v>136</v>
      </c>
      <c r="V124" s="105" t="s">
        <v>137</v>
      </c>
      <c r="W124" s="106" t="s">
        <v>29</v>
      </c>
      <c r="AA124" s="102" t="s">
        <v>134</v>
      </c>
      <c r="AB124" s="103" t="s">
        <v>135</v>
      </c>
      <c r="AC124" s="104" t="s">
        <v>136</v>
      </c>
      <c r="AD124" s="105" t="s">
        <v>137</v>
      </c>
      <c r="AE124" s="106" t="s">
        <v>29</v>
      </c>
      <c r="AG124" s="102" t="s">
        <v>134</v>
      </c>
      <c r="AH124" s="103" t="s">
        <v>135</v>
      </c>
      <c r="AI124" s="104" t="s">
        <v>136</v>
      </c>
      <c r="AJ124" s="105" t="s">
        <v>137</v>
      </c>
      <c r="AK124" s="106" t="s">
        <v>29</v>
      </c>
      <c r="AM124" s="102" t="s">
        <v>134</v>
      </c>
      <c r="AN124" s="103" t="s">
        <v>135</v>
      </c>
      <c r="AO124" s="104" t="s">
        <v>136</v>
      </c>
      <c r="AP124" s="105" t="s">
        <v>137</v>
      </c>
      <c r="AQ124" s="106" t="s">
        <v>29</v>
      </c>
      <c r="AS124" s="102" t="s">
        <v>134</v>
      </c>
      <c r="AT124" s="103" t="s">
        <v>135</v>
      </c>
      <c r="AU124" s="104" t="s">
        <v>136</v>
      </c>
      <c r="AV124" s="105" t="s">
        <v>137</v>
      </c>
      <c r="AW124" s="106" t="s">
        <v>29</v>
      </c>
      <c r="AY124" s="102" t="s">
        <v>134</v>
      </c>
      <c r="AZ124" s="103" t="s">
        <v>135</v>
      </c>
      <c r="BA124" s="104" t="s">
        <v>136</v>
      </c>
      <c r="BB124" s="105" t="s">
        <v>137</v>
      </c>
      <c r="BC124" s="106" t="s">
        <v>29</v>
      </c>
      <c r="BE124" s="102" t="s">
        <v>134</v>
      </c>
      <c r="BF124" s="103" t="s">
        <v>135</v>
      </c>
      <c r="BG124" s="104" t="s">
        <v>136</v>
      </c>
      <c r="BH124" s="105" t="s">
        <v>137</v>
      </c>
      <c r="BI124" s="106" t="s">
        <v>29</v>
      </c>
      <c r="BK124" s="102" t="s">
        <v>134</v>
      </c>
      <c r="BL124" s="103" t="s">
        <v>135</v>
      </c>
      <c r="BM124" s="104" t="s">
        <v>136</v>
      </c>
      <c r="BN124" s="105" t="s">
        <v>137</v>
      </c>
      <c r="BO124" s="106" t="s">
        <v>29</v>
      </c>
      <c r="BQ124" s="102" t="s">
        <v>134</v>
      </c>
      <c r="BR124" s="103" t="s">
        <v>135</v>
      </c>
      <c r="BS124" s="104" t="s">
        <v>136</v>
      </c>
      <c r="BT124" s="105" t="s">
        <v>137</v>
      </c>
      <c r="BU124" s="106" t="s">
        <v>29</v>
      </c>
      <c r="BX124">
        <v>1</v>
      </c>
      <c r="BY124">
        <v>2</v>
      </c>
      <c r="BZ124">
        <v>3</v>
      </c>
      <c r="CA124">
        <v>4</v>
      </c>
      <c r="CB124">
        <v>5</v>
      </c>
      <c r="CC124">
        <v>6</v>
      </c>
      <c r="CD124">
        <v>7</v>
      </c>
      <c r="CE124">
        <v>8</v>
      </c>
      <c r="CG124">
        <v>9</v>
      </c>
      <c r="CH124">
        <v>10</v>
      </c>
      <c r="CI124">
        <v>11</v>
      </c>
      <c r="CJ124">
        <v>12</v>
      </c>
      <c r="CK124">
        <v>13</v>
      </c>
    </row>
    <row r="125" spans="1:89" x14ac:dyDescent="0.25">
      <c r="A125">
        <v>1</v>
      </c>
      <c r="B125" s="107" t="s">
        <v>386</v>
      </c>
      <c r="C125" s="297">
        <v>0</v>
      </c>
      <c r="D125" s="113">
        <f>INDEX(TourMode_input!$B$20:$J$33,MATCH(TourMode!$A127,modes,0),MATCH("jdisc",modePurpose,0))</f>
        <v>0</v>
      </c>
      <c r="E125" s="113">
        <f>INDEX(TourMode_input!$B$36:$J$49,MATCH(TourMode!$A127,modes,0),MATCH("jdisc",modePurpose,0))</f>
        <v>0</v>
      </c>
      <c r="F125" s="114">
        <f>SUM(C125:E125)</f>
        <v>0</v>
      </c>
      <c r="G125" s="300"/>
      <c r="H125" s="300"/>
      <c r="I125" s="300"/>
      <c r="J125" s="115"/>
      <c r="K125">
        <v>1</v>
      </c>
      <c r="L125" s="107" t="s">
        <v>386</v>
      </c>
      <c r="M125" s="113">
        <f>C125</f>
        <v>0</v>
      </c>
      <c r="N125" s="113">
        <f t="shared" ref="N125:N132" si="244">D125</f>
        <v>0</v>
      </c>
      <c r="O125" s="113">
        <f t="shared" ref="O125:O132" si="245">E125</f>
        <v>0</v>
      </c>
      <c r="P125" s="114">
        <f>SUM(M125:O125)</f>
        <v>0</v>
      </c>
      <c r="Q125" s="115"/>
      <c r="R125">
        <v>1</v>
      </c>
      <c r="S125" s="107" t="s">
        <v>386</v>
      </c>
      <c r="T125" s="113">
        <f>IF(M139&gt;0,M125/M139*T139,0)</f>
        <v>0</v>
      </c>
      <c r="U125" s="113">
        <f>IF(N139&gt;0,N125/N139*U139,0)</f>
        <v>0</v>
      </c>
      <c r="V125" s="113">
        <f>IF(O139&gt;0,O125/O139*V139,0)</f>
        <v>0</v>
      </c>
      <c r="W125" s="114">
        <f>SUM(T125:V125)</f>
        <v>0</v>
      </c>
      <c r="X125" s="115"/>
      <c r="Y125" s="115"/>
      <c r="Z125" s="115"/>
      <c r="AA125" s="107" t="s">
        <v>386</v>
      </c>
      <c r="AB125" s="113">
        <f>INDEX(TourMode_input!$L$4:$T$17,MATCH(TourMode!$A127,modes,0),MATCH("jdisc",modePurpose,0))*Index!$B$2</f>
        <v>0</v>
      </c>
      <c r="AC125" s="113">
        <f>INDEX(TourMode_input!$L$20:$T$33,MATCH(TourMode!$A127,modes,0), MATCH("jdisc",modePurpose,0))*Index!$B$2</f>
        <v>0</v>
      </c>
      <c r="AD125" s="113">
        <f>INDEX(TourMode_input!$L$36:$T$49,MATCH(TourMode!$A127,modes,0), MATCH("jdisc",modePurpose,0))*Index!$B$2</f>
        <v>0</v>
      </c>
      <c r="AE125" s="114">
        <f>SUM(AB125:AD125)</f>
        <v>0</v>
      </c>
      <c r="AG125" s="107" t="s">
        <v>538</v>
      </c>
      <c r="AH125" s="117">
        <f>(T125+T126)/T$138</f>
        <v>0</v>
      </c>
      <c r="AI125" s="117">
        <f>(U125+U126)/U$138</f>
        <v>0</v>
      </c>
      <c r="AJ125" s="117">
        <f>(V125+V126)/V$138</f>
        <v>0</v>
      </c>
      <c r="AK125" s="117">
        <f>(W125+W126)/W$138</f>
        <v>0</v>
      </c>
      <c r="AL125" s="115"/>
      <c r="AM125" s="107" t="s">
        <v>538</v>
      </c>
      <c r="AN125" s="117">
        <f>(AB125+AB126)/AB$138</f>
        <v>0</v>
      </c>
      <c r="AO125" s="117">
        <f>(AC125+AC126)/AC$138</f>
        <v>0</v>
      </c>
      <c r="AP125" s="117">
        <f>(AD125+AD126)/AD$138</f>
        <v>0</v>
      </c>
      <c r="AQ125" s="117">
        <f>(AE125+AE126)/AE$138</f>
        <v>0</v>
      </c>
      <c r="AS125" s="107" t="s">
        <v>386</v>
      </c>
      <c r="AT125" s="113">
        <f>AB125-T125</f>
        <v>0</v>
      </c>
      <c r="AU125" s="113">
        <f t="shared" ref="AU125:AU138" si="246">AC125-U125</f>
        <v>0</v>
      </c>
      <c r="AV125" s="113">
        <f t="shared" ref="AV125:AV138" si="247">AD125-V125</f>
        <v>0</v>
      </c>
      <c r="AW125" s="114">
        <f t="shared" ref="AW125:AW138" si="248">AE125-W125</f>
        <v>0</v>
      </c>
      <c r="AX125" s="115"/>
      <c r="AY125" s="107" t="s">
        <v>386</v>
      </c>
      <c r="AZ125" s="117">
        <f>IF(C125=0, 0,AT125/C125)</f>
        <v>0</v>
      </c>
      <c r="BA125" s="117">
        <f>IF(D125=0, 0,AU125/D125)</f>
        <v>0</v>
      </c>
      <c r="BB125" s="117">
        <f>IF(E125=0, 0,AV125/E125)</f>
        <v>0</v>
      </c>
      <c r="BC125" s="118">
        <f>IF(F125=0, 0,AW125/F125)</f>
        <v>0</v>
      </c>
      <c r="BE125" s="107" t="s">
        <v>538</v>
      </c>
      <c r="BF125" s="307">
        <f>IFERROR(IF(AN125&gt;0,LN(AH125/AN125),0),0)</f>
        <v>0</v>
      </c>
      <c r="BG125" s="307">
        <f t="shared" ref="BG125:BG137" si="249">IFERROR(IF(AO125&gt;0,LN(AI125/AO125),0),0)</f>
        <v>0</v>
      </c>
      <c r="BH125" s="307">
        <f t="shared" ref="BH125:BH137" si="250">IFERROR(IF(AP125&gt;0,LN(AJ125/AP125),0),0)</f>
        <v>0</v>
      </c>
      <c r="BI125" s="118"/>
      <c r="BK125" s="107" t="s">
        <v>538</v>
      </c>
      <c r="BL125" s="307">
        <v>0</v>
      </c>
      <c r="BM125" s="307">
        <v>0</v>
      </c>
      <c r="BN125" s="307">
        <v>0</v>
      </c>
      <c r="BO125" s="118"/>
      <c r="BQ125" s="107" t="s">
        <v>538</v>
      </c>
      <c r="BR125" s="308">
        <v>0</v>
      </c>
      <c r="BS125" s="309">
        <v>0</v>
      </c>
      <c r="BT125" s="309">
        <v>0</v>
      </c>
      <c r="BU125" s="118"/>
      <c r="BX125" s="5" t="s">
        <v>386</v>
      </c>
      <c r="BY125" s="5" t="s">
        <v>387</v>
      </c>
      <c r="BZ125" s="5" t="s">
        <v>388</v>
      </c>
      <c r="CA125" s="5" t="s">
        <v>389</v>
      </c>
      <c r="CB125" s="5" t="s">
        <v>390</v>
      </c>
      <c r="CC125" s="5" t="s">
        <v>391</v>
      </c>
      <c r="CD125" s="5" t="s">
        <v>392</v>
      </c>
      <c r="CE125" s="5" t="s">
        <v>393</v>
      </c>
      <c r="CF125" s="5"/>
      <c r="CG125" s="5" t="s">
        <v>569</v>
      </c>
      <c r="CH125" s="5" t="s">
        <v>396</v>
      </c>
      <c r="CI125" s="5" t="s">
        <v>397</v>
      </c>
      <c r="CJ125" s="5" t="s">
        <v>398</v>
      </c>
      <c r="CK125" s="287" t="s">
        <v>399</v>
      </c>
    </row>
    <row r="126" spans="1:89" x14ac:dyDescent="0.25">
      <c r="A126">
        <v>2</v>
      </c>
      <c r="B126" s="107" t="s">
        <v>387</v>
      </c>
      <c r="C126" s="297">
        <v>0</v>
      </c>
      <c r="D126" s="113">
        <f>INDEX(TourMode_input!$B$20:$J$33,MATCH(TourMode!$A128,modes,0),MATCH("jdisc",modePurpose,0))</f>
        <v>0</v>
      </c>
      <c r="E126" s="113">
        <f>INDEX(TourMode_input!$B$36:$J$49,MATCH(TourMode!$A128,modes,0),MATCH("jdisc",modePurpose,0))</f>
        <v>0</v>
      </c>
      <c r="F126" s="116">
        <f t="shared" ref="F126:F137" si="251">SUM(C126:E126)</f>
        <v>0</v>
      </c>
      <c r="G126" s="300"/>
      <c r="H126" s="300"/>
      <c r="I126" s="300"/>
      <c r="J126" s="115"/>
      <c r="K126">
        <v>2</v>
      </c>
      <c r="L126" s="107" t="s">
        <v>387</v>
      </c>
      <c r="M126" s="113">
        <f t="shared" ref="M126:M132" si="252">C126</f>
        <v>0</v>
      </c>
      <c r="N126" s="113">
        <f t="shared" si="244"/>
        <v>0</v>
      </c>
      <c r="O126" s="113">
        <f t="shared" si="245"/>
        <v>0</v>
      </c>
      <c r="P126" s="116">
        <f t="shared" ref="P126:P137" si="253">SUM(M126:O126)</f>
        <v>0</v>
      </c>
      <c r="Q126" s="115"/>
      <c r="R126">
        <v>2</v>
      </c>
      <c r="S126" s="107" t="s">
        <v>387</v>
      </c>
      <c r="T126" s="113">
        <f>IF(M139&gt;0,M126/M139*T139,0)</f>
        <v>0</v>
      </c>
      <c r="U126" s="113">
        <f>IF(N139&gt;0,N126/N139*U139,0)</f>
        <v>0</v>
      </c>
      <c r="V126" s="113">
        <f>IF(O139&gt;0,O126/O139*V139,0)</f>
        <v>0</v>
      </c>
      <c r="W126" s="116">
        <f t="shared" ref="W126:W137" si="254">SUM(T126:V126)</f>
        <v>0</v>
      </c>
      <c r="X126" s="115"/>
      <c r="Y126" s="115"/>
      <c r="Z126" s="115"/>
      <c r="AA126" s="107" t="s">
        <v>387</v>
      </c>
      <c r="AB126" s="113">
        <f>INDEX(TourMode_input!$L$4:$T$17,MATCH(TourMode!$A128,modes,0),MATCH("jdisc",modePurpose,0))*Index!$B$2</f>
        <v>0</v>
      </c>
      <c r="AC126" s="113">
        <f>INDEX(TourMode_input!$L$20:$T$33,MATCH(TourMode!$A128,modes,0), MATCH("jdisc",modePurpose,0))*Index!$B$2</f>
        <v>0</v>
      </c>
      <c r="AD126" s="113">
        <f>INDEX(TourMode_input!$L$36:$T$49,MATCH(TourMode!$A128,modes,0), MATCH("jdisc",modePurpose,0))*Index!$B$2</f>
        <v>0</v>
      </c>
      <c r="AE126" s="116">
        <f t="shared" ref="AE126:AE137" si="255">SUM(AB126:AD126)</f>
        <v>0</v>
      </c>
      <c r="AG126" s="107"/>
      <c r="AH126" s="117"/>
      <c r="AI126" s="117"/>
      <c r="AJ126" s="117"/>
      <c r="AK126" s="118"/>
      <c r="AL126" s="115"/>
      <c r="AM126" s="107"/>
      <c r="AN126" s="117"/>
      <c r="AO126" s="117"/>
      <c r="AP126" s="117"/>
      <c r="AQ126" s="118"/>
      <c r="AS126" s="107" t="s">
        <v>387</v>
      </c>
      <c r="AT126" s="113">
        <f t="shared" ref="AT126:AT138" si="256">AB126-T126</f>
        <v>0</v>
      </c>
      <c r="AU126" s="113">
        <f t="shared" si="246"/>
        <v>0</v>
      </c>
      <c r="AV126" s="113">
        <f t="shared" si="247"/>
        <v>0</v>
      </c>
      <c r="AW126" s="116">
        <f t="shared" si="248"/>
        <v>0</v>
      </c>
      <c r="AX126" s="115"/>
      <c r="AY126" s="107" t="s">
        <v>387</v>
      </c>
      <c r="AZ126" s="117">
        <f t="shared" ref="AZ126:AZ138" si="257">IF(C126=0, 0,AT126/C126)</f>
        <v>0</v>
      </c>
      <c r="BA126" s="117">
        <f t="shared" ref="BA126:BA138" si="258">IF(D126=0, 0,AU126/D126)</f>
        <v>0</v>
      </c>
      <c r="BB126" s="117">
        <f t="shared" ref="BB126:BB138" si="259">IF(E126=0, 0,AV126/E126)</f>
        <v>0</v>
      </c>
      <c r="BC126" s="118">
        <f t="shared" ref="BC126:BC138" si="260">IF(F126=0, 0,AW126/F126)</f>
        <v>0</v>
      </c>
      <c r="BE126" s="107"/>
      <c r="BF126" s="307">
        <f t="shared" ref="BF126:BF137" si="261">IFERROR(IF(AN126&gt;0,LN(AH126/AN126),0),0)</f>
        <v>0</v>
      </c>
      <c r="BG126" s="307">
        <f t="shared" si="249"/>
        <v>0</v>
      </c>
      <c r="BH126" s="307">
        <f t="shared" si="250"/>
        <v>0</v>
      </c>
      <c r="BI126" s="118"/>
      <c r="BK126" s="107"/>
      <c r="BL126" s="307"/>
      <c r="BM126" s="307"/>
      <c r="BN126" s="307"/>
      <c r="BO126" s="118"/>
      <c r="BQ126" s="107"/>
      <c r="BR126" s="308"/>
      <c r="BS126" s="307"/>
      <c r="BT126" s="307"/>
      <c r="BU126" s="118"/>
      <c r="BW126" t="s">
        <v>131</v>
      </c>
      <c r="BX126">
        <f>IF(ISNUMBER(INDEX($BR$125:$BR$138,BX124,1)),INDEX($BR$125:$BR$138,BX124,1),0)</f>
        <v>0</v>
      </c>
      <c r="BY126">
        <f t="shared" ref="BY126:CJ126" si="262">IF(ISNUMBER(INDEX($BR$125:$BR$138,BY124,1)),INDEX($BR$125:$BR$138,BY124,1),0)</f>
        <v>0</v>
      </c>
      <c r="BZ126">
        <f t="shared" si="262"/>
        <v>0</v>
      </c>
      <c r="CA126">
        <f>BZ126</f>
        <v>0</v>
      </c>
      <c r="CB126">
        <f t="shared" si="262"/>
        <v>4.8701832460172829</v>
      </c>
      <c r="CC126">
        <f>CB126</f>
        <v>4.8701832460172829</v>
      </c>
      <c r="CD126">
        <f t="shared" si="262"/>
        <v>4.4491656130039008</v>
      </c>
      <c r="CE126">
        <f t="shared" si="262"/>
        <v>4.0012234803321318</v>
      </c>
      <c r="CG126">
        <f t="shared" si="262"/>
        <v>4.0674796009280234</v>
      </c>
      <c r="CH126">
        <f t="shared" si="262"/>
        <v>3.1399240516202829</v>
      </c>
      <c r="CI126">
        <f t="shared" si="262"/>
        <v>3.0124777144251542</v>
      </c>
      <c r="CJ126">
        <f t="shared" si="262"/>
        <v>0.24593778186717735</v>
      </c>
      <c r="CK126" s="312">
        <v>-999</v>
      </c>
    </row>
    <row r="127" spans="1:89" x14ac:dyDescent="0.25">
      <c r="A127">
        <v>3</v>
      </c>
      <c r="B127" s="107" t="s">
        <v>388</v>
      </c>
      <c r="C127" s="113">
        <f>INDEX(TourMode_input!$B$4:$J$172,MATCH(TourMode!$A129,modes,0),MATCH("jdisc",modePurpose,0))</f>
        <v>71.817570000000003</v>
      </c>
      <c r="D127" s="113">
        <f>INDEX(TourMode_input!$B$20:$J$33,MATCH(TourMode!$A129,modes,0),MATCH("jdisc",modePurpose,0))</f>
        <v>47185.219960000002</v>
      </c>
      <c r="E127" s="113">
        <f>INDEX(TourMode_input!$B$36:$J$49,MATCH(TourMode!$A129,modes,0),MATCH("jdisc",modePurpose,0))</f>
        <v>125489.67358</v>
      </c>
      <c r="F127" s="116">
        <f t="shared" si="251"/>
        <v>172746.71111</v>
      </c>
      <c r="G127" s="300"/>
      <c r="H127" s="300"/>
      <c r="I127" s="300"/>
      <c r="J127" s="115"/>
      <c r="K127">
        <v>3</v>
      </c>
      <c r="L127" s="107" t="s">
        <v>388</v>
      </c>
      <c r="M127" s="113">
        <f t="shared" si="252"/>
        <v>71.817570000000003</v>
      </c>
      <c r="N127" s="113">
        <f t="shared" si="244"/>
        <v>47185.219960000002</v>
      </c>
      <c r="O127" s="113">
        <f t="shared" si="245"/>
        <v>125489.67358</v>
      </c>
      <c r="P127" s="116">
        <f t="shared" si="253"/>
        <v>172746.71111</v>
      </c>
      <c r="Q127" s="115"/>
      <c r="R127">
        <v>3</v>
      </c>
      <c r="S127" s="107" t="s">
        <v>388</v>
      </c>
      <c r="T127" s="113">
        <f>IF(M139&gt;0,M127/M139*T139,0)</f>
        <v>111.45105706313802</v>
      </c>
      <c r="U127" s="113">
        <f>IF(N139&gt;0,N127/N139*U139,0)</f>
        <v>67013.270469826166</v>
      </c>
      <c r="V127" s="113">
        <f>IF(O139&gt;0,O127/O139*V139,0)</f>
        <v>116248.47740850097</v>
      </c>
      <c r="W127" s="116">
        <f t="shared" si="254"/>
        <v>183373.19893539028</v>
      </c>
      <c r="X127" s="115"/>
      <c r="Y127" s="115"/>
      <c r="Z127" s="115"/>
      <c r="AA127" s="107" t="s">
        <v>388</v>
      </c>
      <c r="AB127" s="113">
        <f>INDEX(TourMode_input!$L$4:$T$17,MATCH(TourMode!$A129,modes,0),MATCH("jdisc",modePurpose,0))*Index!$B$2</f>
        <v>165</v>
      </c>
      <c r="AC127" s="113">
        <f>INDEX(TourMode_input!$L$20:$T$33,MATCH(TourMode!$A129,modes,0), MATCH("jdisc",modePurpose,0))*Index!$B$2</f>
        <v>67225</v>
      </c>
      <c r="AD127" s="113">
        <f>INDEX(TourMode_input!$L$36:$T$49,MATCH(TourMode!$A129,modes,0), MATCH("jdisc",modePurpose,0))*Index!$B$2</f>
        <v>116390</v>
      </c>
      <c r="AE127" s="116">
        <f t="shared" si="255"/>
        <v>183780</v>
      </c>
      <c r="AG127" s="107" t="s">
        <v>576</v>
      </c>
      <c r="AH127" s="117">
        <f>(T127+T128)/T$138</f>
        <v>9.5502191142363326E-3</v>
      </c>
      <c r="AI127" s="117">
        <f>(U127+U128)/U$138</f>
        <v>0.41305865948017856</v>
      </c>
      <c r="AJ127" s="117">
        <f>(V127+V128)/V$138</f>
        <v>0.45227674190986467</v>
      </c>
      <c r="AK127" s="117">
        <f>(W127+W128)/W$138</f>
        <v>0.42575202320325767</v>
      </c>
      <c r="AL127" s="115"/>
      <c r="AM127" s="107" t="s">
        <v>576</v>
      </c>
      <c r="AN127" s="117">
        <f>(AB127+AB128)/AB$138</f>
        <v>1.4138817480719794E-2</v>
      </c>
      <c r="AO127" s="117">
        <f>(AC127+AC128)/AC$138</f>
        <v>0.4121876685241776</v>
      </c>
      <c r="AP127" s="117">
        <f>(AD127+AD128)/AD$138</f>
        <v>0.45433112784242147</v>
      </c>
      <c r="AQ127" s="117">
        <f>(AE127+AE128)/AE$138</f>
        <v>0.42676767676767674</v>
      </c>
      <c r="AS127" s="107" t="s">
        <v>388</v>
      </c>
      <c r="AT127" s="113">
        <f t="shared" si="256"/>
        <v>53.548942936861977</v>
      </c>
      <c r="AU127" s="113">
        <f t="shared" si="246"/>
        <v>211.72953017383406</v>
      </c>
      <c r="AV127" s="113">
        <f t="shared" si="247"/>
        <v>141.52259149902966</v>
      </c>
      <c r="AW127" s="116">
        <f t="shared" si="248"/>
        <v>406.80106460972456</v>
      </c>
      <c r="AX127" s="115"/>
      <c r="AY127" s="107" t="s">
        <v>388</v>
      </c>
      <c r="AZ127" s="117">
        <f t="shared" si="257"/>
        <v>0.74562454475780748</v>
      </c>
      <c r="BA127" s="117">
        <f t="shared" si="258"/>
        <v>4.4872002367123028E-3</v>
      </c>
      <c r="BB127" s="117">
        <f t="shared" si="259"/>
        <v>1.1277628466282417E-3</v>
      </c>
      <c r="BC127" s="118">
        <f t="shared" si="260"/>
        <v>2.3548990426259732E-3</v>
      </c>
      <c r="BE127" s="107" t="s">
        <v>576</v>
      </c>
      <c r="BF127" s="307">
        <f t="shared" si="261"/>
        <v>-0.39235992947359188</v>
      </c>
      <c r="BG127" s="307">
        <f t="shared" si="249"/>
        <v>2.1108637502616854E-3</v>
      </c>
      <c r="BH127" s="307">
        <f t="shared" si="250"/>
        <v>-4.5320353317219514E-3</v>
      </c>
      <c r="BI127" s="118"/>
      <c r="BK127" s="107" t="s">
        <v>576</v>
      </c>
      <c r="BL127" s="307">
        <v>0</v>
      </c>
      <c r="BM127" s="307">
        <v>0.69105068411718684</v>
      </c>
      <c r="BN127" s="307">
        <v>0.43495252339826951</v>
      </c>
      <c r="BO127" s="118"/>
      <c r="BQ127" s="107" t="s">
        <v>576</v>
      </c>
      <c r="BR127" s="309">
        <v>0</v>
      </c>
      <c r="BS127" s="307">
        <f t="shared" ref="BS127:BS137" si="263">(BG127-BG$125)*$BR$1+BM127</f>
        <v>0.69210611599231764</v>
      </c>
      <c r="BT127" s="307">
        <f t="shared" ref="BT127:BT137" si="264">(BH127-BH$125)*$BR$1+BN127</f>
        <v>0.43268650573240852</v>
      </c>
      <c r="BU127" s="118"/>
      <c r="BW127" t="s">
        <v>132</v>
      </c>
      <c r="BX127">
        <f>IF(ISNUMBER(INDEX($BS$125:$BS$138,BX124,1)),INDEX($BS$125:$BS$138,BX124,1),0)</f>
        <v>0</v>
      </c>
      <c r="BY127">
        <f t="shared" ref="BY127:CJ127" si="265">IF(ISNUMBER(INDEX($BS$125:$BS$138,BY124,1)),INDEX($BS$125:$BS$138,BY124,1),0)</f>
        <v>0</v>
      </c>
      <c r="BZ127">
        <f t="shared" si="265"/>
        <v>0.69210611599231764</v>
      </c>
      <c r="CA127">
        <f>BZ127</f>
        <v>0.69210611599231764</v>
      </c>
      <c r="CB127">
        <f t="shared" si="265"/>
        <v>-1.0395784300323778</v>
      </c>
      <c r="CC127">
        <f>CB127</f>
        <v>-1.0395784300323778</v>
      </c>
      <c r="CD127">
        <f t="shared" si="265"/>
        <v>0.37049013290911137</v>
      </c>
      <c r="CE127">
        <f t="shared" si="265"/>
        <v>0.4297272237379805</v>
      </c>
      <c r="CG127">
        <f t="shared" si="265"/>
        <v>-0.95876714373994087</v>
      </c>
      <c r="CH127">
        <f t="shared" si="265"/>
        <v>-3.1741741517234594</v>
      </c>
      <c r="CI127">
        <f t="shared" si="265"/>
        <v>-8.1191244166903207</v>
      </c>
      <c r="CJ127">
        <f t="shared" si="265"/>
        <v>-3.9304877864166068</v>
      </c>
      <c r="CK127" s="312">
        <v>-999</v>
      </c>
    </row>
    <row r="128" spans="1:89" x14ac:dyDescent="0.25">
      <c r="A128">
        <v>4</v>
      </c>
      <c r="B128" s="107" t="s">
        <v>389</v>
      </c>
      <c r="C128" s="113">
        <f>INDEX(TourMode_input!$B$4:$J$172,MATCH(TourMode!$A130,modes,0),MATCH("jdisc",modePurpose,0))</f>
        <v>0</v>
      </c>
      <c r="D128" s="113">
        <f>INDEX(TourMode_input!$B$20:$J$33,MATCH(TourMode!$A130,modes,0),MATCH("jdisc",modePurpose,0))</f>
        <v>1353.3767499999999</v>
      </c>
      <c r="E128" s="113">
        <f>INDEX(TourMode_input!$B$36:$J$49,MATCH(TourMode!$A130,modes,0),MATCH("jdisc",modePurpose,0))</f>
        <v>2905.2024500000002</v>
      </c>
      <c r="F128" s="116">
        <f t="shared" si="251"/>
        <v>4258.5792000000001</v>
      </c>
      <c r="G128" s="300"/>
      <c r="H128" s="300"/>
      <c r="I128" s="300"/>
      <c r="J128" s="115"/>
      <c r="K128">
        <v>4</v>
      </c>
      <c r="L128" s="107" t="s">
        <v>389</v>
      </c>
      <c r="M128" s="113">
        <f t="shared" si="252"/>
        <v>0</v>
      </c>
      <c r="N128" s="113">
        <f t="shared" si="244"/>
        <v>1353.3767499999999</v>
      </c>
      <c r="O128" s="113">
        <f t="shared" si="245"/>
        <v>2905.2024500000002</v>
      </c>
      <c r="P128" s="116">
        <f t="shared" si="253"/>
        <v>4258.5792000000001</v>
      </c>
      <c r="Q128" s="115"/>
      <c r="R128">
        <v>4</v>
      </c>
      <c r="S128" s="107" t="s">
        <v>389</v>
      </c>
      <c r="T128" s="113">
        <f>IF(M139&gt;0,M128/M139*T139,0)</f>
        <v>0</v>
      </c>
      <c r="U128" s="113">
        <f>IF(N139&gt;0,N128/N139*U139,0)</f>
        <v>1922.0892108208434</v>
      </c>
      <c r="V128" s="113">
        <f>IF(O139&gt;0,O128/O139*V139,0)</f>
        <v>2691.26017895525</v>
      </c>
      <c r="W128" s="116">
        <f t="shared" si="254"/>
        <v>4613.3493897760936</v>
      </c>
      <c r="X128" s="115"/>
      <c r="Y128" s="115"/>
      <c r="Z128" s="115"/>
      <c r="AA128" s="107" t="s">
        <v>389</v>
      </c>
      <c r="AB128" s="113">
        <f>INDEX(TourMode_input!$L$4:$T$17,MATCH(TourMode!$A130,modes,0),MATCH("jdisc",modePurpose,0))*Index!$B$2</f>
        <v>0</v>
      </c>
      <c r="AC128" s="113">
        <f>INDEX(TourMode_input!$L$20:$T$33,MATCH(TourMode!$A130,modes,0), MATCH("jdisc",modePurpose,0))*Index!$B$2</f>
        <v>1565</v>
      </c>
      <c r="AD128" s="113">
        <f>INDEX(TourMode_input!$L$36:$T$49,MATCH(TourMode!$A130,modes,0), MATCH("jdisc",modePurpose,0))*Index!$B$2</f>
        <v>3090</v>
      </c>
      <c r="AE128" s="116">
        <f t="shared" si="255"/>
        <v>4655</v>
      </c>
      <c r="AG128" s="107"/>
      <c r="AH128" s="117"/>
      <c r="AI128" s="117"/>
      <c r="AJ128" s="117"/>
      <c r="AK128" s="118"/>
      <c r="AL128" s="115"/>
      <c r="AM128" s="107"/>
      <c r="AN128" s="117"/>
      <c r="AO128" s="117"/>
      <c r="AP128" s="117"/>
      <c r="AQ128" s="118"/>
      <c r="AS128" s="107" t="s">
        <v>389</v>
      </c>
      <c r="AT128" s="113">
        <f t="shared" si="256"/>
        <v>0</v>
      </c>
      <c r="AU128" s="113">
        <f t="shared" si="246"/>
        <v>-357.08921082084339</v>
      </c>
      <c r="AV128" s="113">
        <f t="shared" si="247"/>
        <v>398.73982104474999</v>
      </c>
      <c r="AW128" s="116">
        <f t="shared" si="248"/>
        <v>41.650610223906369</v>
      </c>
      <c r="AX128" s="115"/>
      <c r="AY128" s="107" t="s">
        <v>389</v>
      </c>
      <c r="AZ128" s="117">
        <f t="shared" si="257"/>
        <v>0</v>
      </c>
      <c r="BA128" s="117">
        <f t="shared" si="258"/>
        <v>-0.26385055811018138</v>
      </c>
      <c r="BB128" s="117">
        <f t="shared" si="259"/>
        <v>0.13725027012996976</v>
      </c>
      <c r="BC128" s="118">
        <f t="shared" si="260"/>
        <v>9.7804005204145013E-3</v>
      </c>
      <c r="BE128" s="107"/>
      <c r="BF128" s="307">
        <f t="shared" si="261"/>
        <v>0</v>
      </c>
      <c r="BG128" s="307">
        <f t="shared" si="249"/>
        <v>0</v>
      </c>
      <c r="BH128" s="307">
        <f t="shared" si="250"/>
        <v>0</v>
      </c>
      <c r="BI128" s="118"/>
      <c r="BK128" s="107"/>
      <c r="BL128" s="307"/>
      <c r="BM128" s="307"/>
      <c r="BN128" s="307"/>
      <c r="BO128" s="118"/>
      <c r="BQ128" s="107"/>
      <c r="BR128" s="307"/>
      <c r="BS128" s="307"/>
      <c r="BT128" s="307"/>
      <c r="BU128" s="118"/>
      <c r="BW128" t="s">
        <v>133</v>
      </c>
      <c r="BX128">
        <f>IF(ISNUMBER(INDEX($BT$125:$BT$138,BX124,1)),INDEX($BT$125:$BT$138,BX124,1),0)</f>
        <v>0</v>
      </c>
      <c r="BY128">
        <f t="shared" ref="BY128:CJ128" si="266">IF(ISNUMBER(INDEX($BT$125:$BT$138,BY124,1)),INDEX($BT$125:$BT$138,BY124,1),0)</f>
        <v>0</v>
      </c>
      <c r="BZ128">
        <f t="shared" si="266"/>
        <v>0.43268650573240852</v>
      </c>
      <c r="CA128">
        <f>BZ128</f>
        <v>0.43268650573240852</v>
      </c>
      <c r="CB128">
        <f t="shared" si="266"/>
        <v>-0.73428854231594309</v>
      </c>
      <c r="CC128">
        <f>CB128</f>
        <v>-0.73428854231594309</v>
      </c>
      <c r="CD128">
        <f t="shared" si="266"/>
        <v>-0.16909066401172321</v>
      </c>
      <c r="CE128">
        <f t="shared" si="266"/>
        <v>-1.5376945674222622</v>
      </c>
      <c r="CG128">
        <f t="shared" si="266"/>
        <v>8.9738755196183351E-2</v>
      </c>
      <c r="CH128">
        <f t="shared" si="266"/>
        <v>-3.3171471889491349</v>
      </c>
      <c r="CI128">
        <f t="shared" si="266"/>
        <v>-0.9826634666268006</v>
      </c>
      <c r="CJ128">
        <f t="shared" si="266"/>
        <v>-4.0741675153961285</v>
      </c>
      <c r="CK128" s="312">
        <v>-999</v>
      </c>
    </row>
    <row r="129" spans="1:89" x14ac:dyDescent="0.25">
      <c r="A129">
        <v>5</v>
      </c>
      <c r="B129" s="107" t="s">
        <v>390</v>
      </c>
      <c r="C129" s="113">
        <f>INDEX(TourMode_input!$B$4:$J$172,MATCH(TourMode!$A131,modes,0),MATCH("jdisc",modePurpose,0))</f>
        <v>4010.1069600000001</v>
      </c>
      <c r="D129" s="113">
        <f>INDEX(TourMode_input!$B$20:$J$33,MATCH(TourMode!$A131,modes,0),MATCH("jdisc",modePurpose,0))</f>
        <v>43402.300810000001</v>
      </c>
      <c r="E129" s="113">
        <f>INDEX(TourMode_input!$B$36:$J$49,MATCH(TourMode!$A131,modes,0),MATCH("jdisc",modePurpose,0))</f>
        <v>130264.24066</v>
      </c>
      <c r="F129" s="116">
        <f t="shared" si="251"/>
        <v>177676.64843</v>
      </c>
      <c r="G129" s="300"/>
      <c r="H129" s="300"/>
      <c r="I129" s="300"/>
      <c r="J129" s="115"/>
      <c r="K129">
        <v>5</v>
      </c>
      <c r="L129" s="107" t="s">
        <v>390</v>
      </c>
      <c r="M129" s="113">
        <f t="shared" si="252"/>
        <v>4010.1069600000001</v>
      </c>
      <c r="N129" s="113">
        <f t="shared" si="244"/>
        <v>43402.300810000001</v>
      </c>
      <c r="O129" s="113">
        <f t="shared" si="245"/>
        <v>130264.24066</v>
      </c>
      <c r="P129" s="116">
        <f t="shared" si="253"/>
        <v>177676.64843</v>
      </c>
      <c r="Q129" s="115"/>
      <c r="R129">
        <v>5</v>
      </c>
      <c r="S129" s="107" t="s">
        <v>390</v>
      </c>
      <c r="T129" s="113">
        <f>IF(M139&gt;0,M129/M139*T139,0)</f>
        <v>6223.1381488993147</v>
      </c>
      <c r="U129" s="113">
        <f>IF(N139&gt;0,N129/N139*U139,0)</f>
        <v>61640.702865408144</v>
      </c>
      <c r="V129" s="113">
        <f>IF(O139&gt;0,O129/O139*V139,0)</f>
        <v>120671.44017109764</v>
      </c>
      <c r="W129" s="116">
        <f t="shared" si="254"/>
        <v>188535.2811854051</v>
      </c>
      <c r="X129" s="115"/>
      <c r="Y129" s="115"/>
      <c r="Z129" s="115"/>
      <c r="AA129" s="107" t="s">
        <v>390</v>
      </c>
      <c r="AB129" s="113">
        <f>INDEX(TourMode_input!$L$4:$T$17,MATCH(TourMode!$A131,modes,0),MATCH("jdisc",modePurpose,0))*Index!$B$2</f>
        <v>6910</v>
      </c>
      <c r="AC129" s="113">
        <f>INDEX(TourMode_input!$L$20:$T$33,MATCH(TourMode!$A131,modes,0), MATCH("jdisc",modePurpose,0))*Index!$B$2</f>
        <v>64785</v>
      </c>
      <c r="AD129" s="113">
        <f>INDEX(TourMode_input!$L$36:$T$49,MATCH(TourMode!$A131,modes,0), MATCH("jdisc",modePurpose,0))*Index!$B$2</f>
        <v>123050</v>
      </c>
      <c r="AE129" s="116">
        <f t="shared" si="255"/>
        <v>194745</v>
      </c>
      <c r="AG129" s="107" t="s">
        <v>577</v>
      </c>
      <c r="AH129" s="117">
        <f>(T129+T130)/T$138</f>
        <v>0.53325948148237479</v>
      </c>
      <c r="AI129" s="117">
        <f>(U129+U130)/U$138</f>
        <v>0.39501900469219881</v>
      </c>
      <c r="AJ129" s="117">
        <f>(V129+V130)/V$138</f>
        <v>0.47443191770163001</v>
      </c>
      <c r="AK129" s="117">
        <f>(W129+W130)/W$138</f>
        <v>0.44597084196030951</v>
      </c>
      <c r="AL129" s="115"/>
      <c r="AM129" s="107" t="s">
        <v>577</v>
      </c>
      <c r="AN129" s="117">
        <f>(AB129+AB130)/AB$138</f>
        <v>0.59554413024850039</v>
      </c>
      <c r="AO129" s="117">
        <f>(AC129+AC130)/AC$138</f>
        <v>0.39364251902450714</v>
      </c>
      <c r="AP129" s="117">
        <f>(AD129+AD130)/AD$138</f>
        <v>0.47440870028139021</v>
      </c>
      <c r="AQ129" s="117">
        <f>(AE129+AE130)/AE$138</f>
        <v>0.44708293699325091</v>
      </c>
      <c r="AS129" s="107" t="s">
        <v>390</v>
      </c>
      <c r="AT129" s="113">
        <f t="shared" si="256"/>
        <v>686.86185110068527</v>
      </c>
      <c r="AU129" s="113">
        <f t="shared" si="246"/>
        <v>3144.2971345918559</v>
      </c>
      <c r="AV129" s="113">
        <f t="shared" si="247"/>
        <v>2378.5598289023619</v>
      </c>
      <c r="AW129" s="116">
        <f t="shared" si="248"/>
        <v>6209.718814594904</v>
      </c>
      <c r="AX129" s="115"/>
      <c r="AY129" s="107" t="s">
        <v>390</v>
      </c>
      <c r="AZ129" s="117">
        <f t="shared" si="257"/>
        <v>0.17128267598644931</v>
      </c>
      <c r="BA129" s="117">
        <f t="shared" si="258"/>
        <v>7.2445402107977688E-2</v>
      </c>
      <c r="BB129" s="117">
        <f t="shared" si="259"/>
        <v>1.8259499436308019E-2</v>
      </c>
      <c r="BC129" s="118">
        <f t="shared" si="260"/>
        <v>3.4949549473527873E-2</v>
      </c>
      <c r="BE129" s="107" t="s">
        <v>577</v>
      </c>
      <c r="BF129" s="307">
        <f t="shared" si="261"/>
        <v>-0.11046735450932062</v>
      </c>
      <c r="BG129" s="307">
        <f t="shared" si="249"/>
        <v>3.4906915679178614E-3</v>
      </c>
      <c r="BH129" s="307">
        <f t="shared" si="250"/>
        <v>4.8938504116212565E-5</v>
      </c>
      <c r="BI129" s="118"/>
      <c r="BK129" s="107" t="s">
        <v>577</v>
      </c>
      <c r="BL129" s="307">
        <v>4.7292369585351475</v>
      </c>
      <c r="BM129" s="307">
        <v>-1.0413237758163367</v>
      </c>
      <c r="BN129" s="307">
        <v>-0.73431301156800122</v>
      </c>
      <c r="BO129" s="118"/>
      <c r="BQ129" s="107" t="s">
        <v>577</v>
      </c>
      <c r="BR129" s="307">
        <f t="shared" ref="BR129:BR137" si="267">(BF129-BF$127)*$BR$1+BL129</f>
        <v>4.8701832460172829</v>
      </c>
      <c r="BS129" s="307">
        <f t="shared" si="263"/>
        <v>-1.0395784300323778</v>
      </c>
      <c r="BT129" s="307">
        <f t="shared" si="264"/>
        <v>-0.73428854231594309</v>
      </c>
      <c r="BU129" s="118"/>
    </row>
    <row r="130" spans="1:89" x14ac:dyDescent="0.25">
      <c r="A130">
        <v>6</v>
      </c>
      <c r="B130" s="107" t="s">
        <v>391</v>
      </c>
      <c r="C130" s="113">
        <f>INDEX(TourMode_input!$B$4:$J$172,MATCH(TourMode!$A132,modes,0),MATCH("jdisc",modePurpose,0))</f>
        <v>0</v>
      </c>
      <c r="D130" s="113">
        <f>INDEX(TourMode_input!$B$20:$J$33,MATCH(TourMode!$A132,modes,0),MATCH("jdisc",modePurpose,0))</f>
        <v>3016.4528500000001</v>
      </c>
      <c r="E130" s="113">
        <f>INDEX(TourMode_input!$B$36:$J$49,MATCH(TourMode!$A132,modes,0),MATCH("jdisc",modePurpose,0))</f>
        <v>4420.1718099999998</v>
      </c>
      <c r="F130" s="116">
        <f t="shared" si="251"/>
        <v>7436.6246599999995</v>
      </c>
      <c r="G130" s="300"/>
      <c r="H130" s="300"/>
      <c r="I130" s="300"/>
      <c r="J130" s="115"/>
      <c r="K130">
        <v>6</v>
      </c>
      <c r="L130" s="107" t="s">
        <v>391</v>
      </c>
      <c r="M130" s="113">
        <f t="shared" si="252"/>
        <v>0</v>
      </c>
      <c r="N130" s="113">
        <f t="shared" si="244"/>
        <v>3016.4528500000001</v>
      </c>
      <c r="O130" s="113">
        <f t="shared" si="245"/>
        <v>4420.1718099999998</v>
      </c>
      <c r="P130" s="116">
        <f t="shared" si="253"/>
        <v>7436.6246599999995</v>
      </c>
      <c r="Q130" s="115"/>
      <c r="R130">
        <v>6</v>
      </c>
      <c r="S130" s="107" t="s">
        <v>391</v>
      </c>
      <c r="T130" s="113">
        <f>IF(M139&gt;0,M130/M139*T139,0)</f>
        <v>0</v>
      </c>
      <c r="U130" s="113">
        <f>IF(N139&gt;0,N130/N139*U139,0)</f>
        <v>4284.0188276729186</v>
      </c>
      <c r="V130" s="113">
        <f>IF(O139&gt;0,O130/O139*V139,0)</f>
        <v>4094.6655460770212</v>
      </c>
      <c r="W130" s="116">
        <f t="shared" si="254"/>
        <v>8378.6843737499403</v>
      </c>
      <c r="X130" s="115"/>
      <c r="Y130" s="115"/>
      <c r="Z130" s="115"/>
      <c r="AA130" s="107" t="s">
        <v>391</v>
      </c>
      <c r="AB130" s="113">
        <f>INDEX(TourMode_input!$L$4:$T$17,MATCH(TourMode!$A132,modes,0),MATCH("jdisc",modePurpose,0))*Index!$B$2</f>
        <v>40</v>
      </c>
      <c r="AC130" s="113">
        <f>INDEX(TourMode_input!$L$20:$T$33,MATCH(TourMode!$A132,modes,0), MATCH("jdisc",modePurpose,0))*Index!$B$2</f>
        <v>910</v>
      </c>
      <c r="AD130" s="113">
        <f>INDEX(TourMode_input!$L$36:$T$49,MATCH(TourMode!$A132,modes,0), MATCH("jdisc",modePurpose,0))*Index!$B$2</f>
        <v>1710</v>
      </c>
      <c r="AE130" s="116">
        <f t="shared" si="255"/>
        <v>2660</v>
      </c>
      <c r="AG130" s="107"/>
      <c r="AH130" s="117"/>
      <c r="AI130" s="117"/>
      <c r="AJ130" s="117"/>
      <c r="AK130" s="118"/>
      <c r="AL130" s="115"/>
      <c r="AM130" s="107"/>
      <c r="AN130" s="117"/>
      <c r="AO130" s="117"/>
      <c r="AP130" s="117"/>
      <c r="AQ130" s="118"/>
      <c r="AS130" s="107" t="s">
        <v>391</v>
      </c>
      <c r="AT130" s="113">
        <f t="shared" si="256"/>
        <v>40</v>
      </c>
      <c r="AU130" s="113">
        <f t="shared" si="246"/>
        <v>-3374.0188276729186</v>
      </c>
      <c r="AV130" s="113">
        <f t="shared" si="247"/>
        <v>-2384.6655460770212</v>
      </c>
      <c r="AW130" s="116">
        <f t="shared" si="248"/>
        <v>-5718.6843737499403</v>
      </c>
      <c r="AX130" s="115"/>
      <c r="AY130" s="107" t="s">
        <v>391</v>
      </c>
      <c r="AZ130" s="117">
        <f t="shared" si="257"/>
        <v>0</v>
      </c>
      <c r="BA130" s="117">
        <f t="shared" si="258"/>
        <v>-1.1185385601743845</v>
      </c>
      <c r="BB130" s="117">
        <f t="shared" si="259"/>
        <v>-0.53949612109693568</v>
      </c>
      <c r="BC130" s="118">
        <f t="shared" si="260"/>
        <v>-0.76898924380431766</v>
      </c>
      <c r="BE130" s="107"/>
      <c r="BF130" s="307">
        <f t="shared" si="261"/>
        <v>0</v>
      </c>
      <c r="BG130" s="307">
        <f t="shared" si="249"/>
        <v>0</v>
      </c>
      <c r="BH130" s="307">
        <f t="shared" si="250"/>
        <v>0</v>
      </c>
      <c r="BI130" s="118"/>
      <c r="BK130" s="107"/>
      <c r="BL130" s="307"/>
      <c r="BM130" s="307"/>
      <c r="BN130" s="307"/>
      <c r="BO130" s="118"/>
      <c r="BQ130" s="107"/>
      <c r="BR130" s="307"/>
      <c r="BS130" s="307"/>
      <c r="BT130" s="307"/>
      <c r="BU130" s="118"/>
    </row>
    <row r="131" spans="1:89" x14ac:dyDescent="0.25">
      <c r="A131">
        <v>7</v>
      </c>
      <c r="B131" s="107" t="s">
        <v>392</v>
      </c>
      <c r="C131" s="113">
        <f>INDEX(TourMode_input!$B$4:$J$172,MATCH(TourMode!$A133,modes,0),MATCH("jdisc",modePurpose,0))</f>
        <v>1359.12374</v>
      </c>
      <c r="D131" s="113">
        <f>INDEX(TourMode_input!$B$20:$J$33,MATCH(TourMode!$A133,modes,0),MATCH("jdisc",modePurpose,0))</f>
        <v>15771.55019</v>
      </c>
      <c r="E131" s="113">
        <f>INDEX(TourMode_input!$B$36:$J$49,MATCH(TourMode!$A133,modes,0),MATCH("jdisc",modePurpose,0))</f>
        <v>16565.90653</v>
      </c>
      <c r="F131" s="116">
        <f t="shared" si="251"/>
        <v>33696.580459999997</v>
      </c>
      <c r="G131" s="300"/>
      <c r="H131" s="300"/>
      <c r="I131" s="300"/>
      <c r="J131" s="115"/>
      <c r="K131">
        <v>7</v>
      </c>
      <c r="L131" s="107" t="s">
        <v>392</v>
      </c>
      <c r="M131" s="113">
        <f t="shared" si="252"/>
        <v>1359.12374</v>
      </c>
      <c r="N131" s="113">
        <f t="shared" si="244"/>
        <v>15771.55019</v>
      </c>
      <c r="O131" s="113">
        <f t="shared" si="245"/>
        <v>16565.90653</v>
      </c>
      <c r="P131" s="116">
        <f t="shared" si="253"/>
        <v>33696.580459999997</v>
      </c>
      <c r="Q131" s="115"/>
      <c r="R131">
        <v>7</v>
      </c>
      <c r="S131" s="107" t="s">
        <v>392</v>
      </c>
      <c r="T131" s="113">
        <f>IF(M139&gt;0,M131/M139*T139,0)</f>
        <v>2109.1743636356055</v>
      </c>
      <c r="U131" s="113">
        <f>IF(N139&gt;0,N131/N139*U139,0)</f>
        <v>22399.030024801614</v>
      </c>
      <c r="V131" s="113">
        <f>IF(O139&gt;0,O131/O139*V139,0)</f>
        <v>15345.975139351731</v>
      </c>
      <c r="W131" s="116">
        <f t="shared" si="254"/>
        <v>39854.179527788947</v>
      </c>
      <c r="X131" s="115"/>
      <c r="Y131" s="115"/>
      <c r="Z131" s="115"/>
      <c r="AA131" s="107" t="s">
        <v>392</v>
      </c>
      <c r="AB131" s="113">
        <f>INDEX(TourMode_input!$L$4:$T$17,MATCH(TourMode!$A133,modes,0),MATCH("jdisc",modePurpose,0))*Index!$B$2</f>
        <v>2065</v>
      </c>
      <c r="AC131" s="113">
        <f>INDEX(TourMode_input!$L$20:$T$33,MATCH(TourMode!$A133,modes,0), MATCH("jdisc",modePurpose,0))*Index!$B$2</f>
        <v>24145</v>
      </c>
      <c r="AD131" s="113">
        <f>INDEX(TourMode_input!$L$36:$T$49,MATCH(TourMode!$A133,modes,0), MATCH("jdisc",modePurpose,0))*Index!$B$2</f>
        <v>16610</v>
      </c>
      <c r="AE131" s="116">
        <f t="shared" si="255"/>
        <v>42820</v>
      </c>
      <c r="AG131" s="107" t="s">
        <v>392</v>
      </c>
      <c r="AH131" s="117">
        <f t="shared" ref="AH131:AH138" si="268">T131/T$138</f>
        <v>0.18073473553004329</v>
      </c>
      <c r="AI131" s="117">
        <f t="shared" ref="AI131:AI138" si="269">U131/U$138</f>
        <v>0.13421433294266649</v>
      </c>
      <c r="AJ131" s="117">
        <f t="shared" ref="AJ131:AJ138" si="270">V131/V$138</f>
        <v>5.8354152936921935E-2</v>
      </c>
      <c r="AK131" s="118">
        <f t="shared" ref="AK131:AK138" si="271">W131/W$138</f>
        <v>9.0261764568983452E-2</v>
      </c>
      <c r="AL131" s="115"/>
      <c r="AM131" s="107" t="s">
        <v>392</v>
      </c>
      <c r="AN131" s="117">
        <f t="shared" ref="AN131:AN138" si="272">AB131/AB$138</f>
        <v>0.17694944301628107</v>
      </c>
      <c r="AO131" s="117">
        <f t="shared" ref="AO131:AO138" si="273">AC131/AC$138</f>
        <v>0.14467613398046617</v>
      </c>
      <c r="AP131" s="117">
        <f t="shared" ref="AP131:AP138" si="274">AD131/AD$138</f>
        <v>6.3160696630922497E-2</v>
      </c>
      <c r="AQ131" s="118">
        <f t="shared" ref="AQ131:AQ138" si="275">AE131/AE$138</f>
        <v>9.697875617158129E-2</v>
      </c>
      <c r="AS131" s="107" t="s">
        <v>392</v>
      </c>
      <c r="AT131" s="113">
        <f t="shared" si="256"/>
        <v>-44.174363635605459</v>
      </c>
      <c r="AU131" s="113">
        <f t="shared" si="246"/>
        <v>1745.9699751983862</v>
      </c>
      <c r="AV131" s="113">
        <f t="shared" si="247"/>
        <v>1264.0248606482692</v>
      </c>
      <c r="AW131" s="116">
        <f t="shared" si="248"/>
        <v>2965.8204722110531</v>
      </c>
      <c r="AX131" s="115"/>
      <c r="AY131" s="107" t="s">
        <v>392</v>
      </c>
      <c r="AZ131" s="117">
        <f t="shared" si="257"/>
        <v>-3.2502091116152133E-2</v>
      </c>
      <c r="BA131" s="117">
        <f t="shared" si="258"/>
        <v>0.11070376432022667</v>
      </c>
      <c r="BB131" s="117">
        <f t="shared" si="259"/>
        <v>7.630278840214301E-2</v>
      </c>
      <c r="BC131" s="118">
        <f t="shared" si="260"/>
        <v>8.8015473134779129E-2</v>
      </c>
      <c r="BE131" s="107" t="s">
        <v>392</v>
      </c>
      <c r="BF131" s="307">
        <f t="shared" si="261"/>
        <v>2.1166347643224333E-2</v>
      </c>
      <c r="BG131" s="307">
        <f t="shared" si="249"/>
        <v>-7.5059663866303597E-2</v>
      </c>
      <c r="BH131" s="307">
        <f t="shared" si="250"/>
        <v>-7.9151689879400619E-2</v>
      </c>
      <c r="BI131" s="118"/>
      <c r="BK131" s="107" t="s">
        <v>392</v>
      </c>
      <c r="BL131" s="307">
        <v>4.2424024744454929</v>
      </c>
      <c r="BM131" s="307">
        <v>0.40801996484226316</v>
      </c>
      <c r="BN131" s="307">
        <v>-0.12951481907202289</v>
      </c>
      <c r="BO131" s="118"/>
      <c r="BQ131" s="107" t="s">
        <v>392</v>
      </c>
      <c r="BR131" s="307">
        <f t="shared" si="267"/>
        <v>4.4491656130039008</v>
      </c>
      <c r="BS131" s="307">
        <f t="shared" si="263"/>
        <v>0.37049013290911137</v>
      </c>
      <c r="BT131" s="307">
        <f t="shared" si="264"/>
        <v>-0.16909066401172321</v>
      </c>
      <c r="BU131" s="118"/>
    </row>
    <row r="132" spans="1:89" x14ac:dyDescent="0.25">
      <c r="A132">
        <v>8</v>
      </c>
      <c r="B132" s="107" t="s">
        <v>393</v>
      </c>
      <c r="C132" s="113">
        <f>INDEX(TourMode_input!$B$4:$J$172,MATCH(TourMode!$A134,modes,0),MATCH("jdisc",modePurpose,0))</f>
        <v>0</v>
      </c>
      <c r="D132" s="113">
        <f>INDEX(TourMode_input!$B$20:$J$33,MATCH(TourMode!$A134,modes,0),MATCH("jdisc",modePurpose,0))</f>
        <v>3851.7720800000002</v>
      </c>
      <c r="E132" s="113">
        <f>INDEX(TourMode_input!$B$36:$J$49,MATCH(TourMode!$A134,modes,0),MATCH("jdisc",modePurpose,0))</f>
        <v>937.53458999999998</v>
      </c>
      <c r="F132" s="116">
        <f t="shared" si="251"/>
        <v>4789.3066699999999</v>
      </c>
      <c r="G132" s="300"/>
      <c r="H132" s="300"/>
      <c r="I132" s="300"/>
      <c r="J132" s="115"/>
      <c r="K132">
        <v>8</v>
      </c>
      <c r="L132" s="107" t="s">
        <v>393</v>
      </c>
      <c r="M132" s="113">
        <f t="shared" si="252"/>
        <v>0</v>
      </c>
      <c r="N132" s="113">
        <f t="shared" si="244"/>
        <v>3851.7720800000002</v>
      </c>
      <c r="O132" s="113">
        <f t="shared" si="245"/>
        <v>937.53458999999998</v>
      </c>
      <c r="P132" s="116">
        <f t="shared" si="253"/>
        <v>4789.3066699999999</v>
      </c>
      <c r="Q132" s="115"/>
      <c r="R132">
        <v>8</v>
      </c>
      <c r="S132" s="107" t="s">
        <v>393</v>
      </c>
      <c r="T132" s="113">
        <f>IF(M139&gt;0,M132/M139*T139,0)</f>
        <v>0</v>
      </c>
      <c r="U132" s="113">
        <f>IF(N139&gt;0,N132/N139*U139,0)</f>
        <v>5470.3537337322796</v>
      </c>
      <c r="V132" s="113">
        <f>IF(O139&gt;0,O132/O139*V139,0)</f>
        <v>868.49352218470585</v>
      </c>
      <c r="W132" s="116">
        <f t="shared" si="254"/>
        <v>6338.8472559169859</v>
      </c>
      <c r="X132" s="115"/>
      <c r="Y132" s="115"/>
      <c r="Z132" s="115"/>
      <c r="AA132" s="107" t="s">
        <v>393</v>
      </c>
      <c r="AB132" s="113">
        <f>INDEX(TourMode_input!$L$4:$T$17,MATCH(TourMode!$A134,modes,0),MATCH("jdisc",modePurpose,0))*Index!$B$2</f>
        <v>510</v>
      </c>
      <c r="AC132" s="113">
        <f>INDEX(TourMode_input!$L$20:$T$33,MATCH(TourMode!$A134,modes,0), MATCH("jdisc",modePurpose,0))*Index!$B$2</f>
        <v>6515</v>
      </c>
      <c r="AD132" s="113">
        <f>INDEX(TourMode_input!$L$36:$T$49,MATCH(TourMode!$A134,modes,0), MATCH("jdisc",modePurpose,0))*Index!$B$2</f>
        <v>830</v>
      </c>
      <c r="AE132" s="116">
        <f t="shared" si="255"/>
        <v>7855</v>
      </c>
      <c r="AG132" s="107" t="s">
        <v>393</v>
      </c>
      <c r="AH132" s="117">
        <f t="shared" si="268"/>
        <v>0</v>
      </c>
      <c r="AI132" s="117">
        <f t="shared" si="269"/>
        <v>3.2778199614909694E-2</v>
      </c>
      <c r="AJ132" s="117">
        <f t="shared" si="270"/>
        <v>3.3025078796285112E-3</v>
      </c>
      <c r="AK132" s="118">
        <f t="shared" si="271"/>
        <v>1.4356224251295437E-2</v>
      </c>
      <c r="AL132" s="115"/>
      <c r="AM132" s="107" t="s">
        <v>393</v>
      </c>
      <c r="AN132" s="117">
        <f t="shared" si="272"/>
        <v>4.3701799485861184E-2</v>
      </c>
      <c r="AO132" s="117">
        <f t="shared" si="273"/>
        <v>3.9037689496075258E-2</v>
      </c>
      <c r="AP132" s="117">
        <f t="shared" si="274"/>
        <v>3.1561335462772836E-3</v>
      </c>
      <c r="AQ132" s="118">
        <f t="shared" si="275"/>
        <v>1.7790007700321603E-2</v>
      </c>
      <c r="AS132" s="107" t="s">
        <v>393</v>
      </c>
      <c r="AT132" s="113">
        <f t="shared" si="256"/>
        <v>510</v>
      </c>
      <c r="AU132" s="113">
        <f t="shared" si="246"/>
        <v>1044.6462662677204</v>
      </c>
      <c r="AV132" s="113">
        <f t="shared" si="247"/>
        <v>-38.493522184705853</v>
      </c>
      <c r="AW132" s="116">
        <f t="shared" si="248"/>
        <v>1516.1527440830141</v>
      </c>
      <c r="AX132" s="115"/>
      <c r="AY132" s="107" t="s">
        <v>393</v>
      </c>
      <c r="AZ132" s="117">
        <f t="shared" si="257"/>
        <v>0</v>
      </c>
      <c r="BA132" s="117">
        <f t="shared" si="258"/>
        <v>0.27121185900171962</v>
      </c>
      <c r="BB132" s="117">
        <f t="shared" si="259"/>
        <v>-4.1058242112118608E-2</v>
      </c>
      <c r="BC132" s="118">
        <f t="shared" si="260"/>
        <v>0.31657040330704361</v>
      </c>
      <c r="BE132" s="107" t="s">
        <v>393</v>
      </c>
      <c r="BF132" s="307">
        <f t="shared" si="261"/>
        <v>0</v>
      </c>
      <c r="BG132" s="307">
        <f t="shared" si="249"/>
        <v>-0.17476392827543177</v>
      </c>
      <c r="BH132" s="307">
        <f t="shared" si="250"/>
        <v>4.5334426238297164E-2</v>
      </c>
      <c r="BI132" s="118"/>
      <c r="BK132" s="107" t="s">
        <v>393</v>
      </c>
      <c r="BL132" s="307">
        <v>3.8050435155953357</v>
      </c>
      <c r="BM132" s="307">
        <v>0.51710918787569637</v>
      </c>
      <c r="BN132" s="307">
        <v>-1.5603617805414107</v>
      </c>
      <c r="BO132" s="118"/>
      <c r="BQ132" s="107" t="s">
        <v>393</v>
      </c>
      <c r="BR132" s="307">
        <f t="shared" si="267"/>
        <v>4.0012234803321318</v>
      </c>
      <c r="BS132" s="307">
        <f t="shared" si="263"/>
        <v>0.4297272237379805</v>
      </c>
      <c r="BT132" s="307">
        <f t="shared" si="264"/>
        <v>-1.5376945674222622</v>
      </c>
      <c r="BU132" s="118"/>
    </row>
    <row r="133" spans="1:89" x14ac:dyDescent="0.25">
      <c r="A133">
        <v>10</v>
      </c>
      <c r="B133" s="107" t="s">
        <v>555</v>
      </c>
      <c r="C133" s="113">
        <f>INDEX(TourMode_input!$B$4:$J$172,MATCH(TourMode!$A136,modes,0),MATCH("jdisc",modePurpose,0))+INDEX(TourMode_input!$B$4:$J$172,MATCH(TourMode!$A135,modes,0),MATCH("jdisc",modePurpose,0))</f>
        <v>2891.0614099999998</v>
      </c>
      <c r="D133" s="113">
        <f>INDEX(TourMode_input!$B$20:$J$33,MATCH(TourMode!$A136,modes,0),MATCH("jdisc",modePurpose,0))+INDEX(TourMode_input!$B$20:$J$33,MATCH(TourMode!$A135,modes,0),MATCH("jdisc",modePurpose,0))</f>
        <v>2920.22912</v>
      </c>
      <c r="E133" s="113">
        <f>INDEX(TourMode_input!$B$36:$J$49,MATCH(TourMode!$A136,modes,0),MATCH("jdisc",modePurpose,0))+INDEX(TourMode_input!$B$36:$J$49,MATCH(TourMode!$A135,modes,0),MATCH("jdisc",modePurpose,0))</f>
        <v>1828.94138</v>
      </c>
      <c r="F133" s="116">
        <f t="shared" si="251"/>
        <v>7640.2319100000004</v>
      </c>
      <c r="G133" s="300"/>
      <c r="H133" s="302">
        <f>F133/F$167</f>
        <v>1.2958970120468495E-2</v>
      </c>
      <c r="I133" s="300">
        <f>H133*H$167</f>
        <v>8526.0017097877626</v>
      </c>
      <c r="J133" s="115"/>
      <c r="K133">
        <v>10</v>
      </c>
      <c r="L133" s="107" t="s">
        <v>546</v>
      </c>
      <c r="M133" s="113">
        <f t="shared" ref="M133:O135" si="276">IF($F133&gt;0,C133/$F133*$I133,0)</f>
        <v>3226.2364304019429</v>
      </c>
      <c r="N133" s="113">
        <f t="shared" si="276"/>
        <v>3258.7856970027515</v>
      </c>
      <c r="O133" s="113">
        <f t="shared" si="276"/>
        <v>2040.979582383068</v>
      </c>
      <c r="P133" s="116">
        <f t="shared" si="253"/>
        <v>8526.0017097877626</v>
      </c>
      <c r="Q133" s="115"/>
      <c r="R133">
        <v>10</v>
      </c>
      <c r="S133" s="107" t="s">
        <v>546</v>
      </c>
      <c r="T133" s="113">
        <f t="shared" ref="T133:V135" si="277">M133</f>
        <v>3226.2364304019429</v>
      </c>
      <c r="U133" s="113">
        <f t="shared" si="277"/>
        <v>3258.7856970027515</v>
      </c>
      <c r="V133" s="113">
        <f t="shared" si="277"/>
        <v>2040.979582383068</v>
      </c>
      <c r="W133" s="116">
        <f t="shared" si="254"/>
        <v>8526.0017097877626</v>
      </c>
      <c r="X133" s="115"/>
      <c r="Y133" s="115"/>
      <c r="Z133" s="115"/>
      <c r="AA133" s="107" t="s">
        <v>546</v>
      </c>
      <c r="AB133" s="113">
        <f>INDEX(TourMode_input!$L$4:$T$17,MATCH(TourMode!$A136,modes,0),MATCH("jdisc",modePurpose,0))*Index!$B$2</f>
        <v>1895</v>
      </c>
      <c r="AC133" s="113">
        <f>INDEX(TourMode_input!$L$20:$T$33,MATCH(TourMode!$A136,modes,0), MATCH("jdisc",modePurpose,0))*Index!$B$2</f>
        <v>1285</v>
      </c>
      <c r="AD133" s="113">
        <f>INDEX(TourMode_input!$L$36:$T$49,MATCH(TourMode!$A136,modes,0), MATCH("jdisc",modePurpose,0))*Index!$B$2</f>
        <v>920</v>
      </c>
      <c r="AE133" s="116">
        <f t="shared" si="255"/>
        <v>4100</v>
      </c>
      <c r="AG133" s="107" t="s">
        <v>395</v>
      </c>
      <c r="AH133" s="117">
        <f t="shared" si="268"/>
        <v>0.27645556387334552</v>
      </c>
      <c r="AI133" s="117">
        <f t="shared" si="269"/>
        <v>1.9526548606883281E-2</v>
      </c>
      <c r="AJ133" s="117">
        <f t="shared" si="270"/>
        <v>7.7609688279833746E-3</v>
      </c>
      <c r="AK133" s="118">
        <f t="shared" si="271"/>
        <v>1.9309692688743406E-2</v>
      </c>
      <c r="AL133" s="115"/>
      <c r="AM133" s="107" t="s">
        <v>395</v>
      </c>
      <c r="AN133" s="117">
        <f t="shared" si="272"/>
        <v>0.16238217652099401</v>
      </c>
      <c r="AO133" s="117">
        <f t="shared" si="273"/>
        <v>7.6996824255497632E-3</v>
      </c>
      <c r="AP133" s="117">
        <f t="shared" si="274"/>
        <v>3.498364894668796E-3</v>
      </c>
      <c r="AQ133" s="118">
        <f t="shared" si="275"/>
        <v>9.2856819314218412E-3</v>
      </c>
      <c r="AS133" s="107" t="s">
        <v>395</v>
      </c>
      <c r="AT133" s="113">
        <f t="shared" si="256"/>
        <v>-1331.2364304019429</v>
      </c>
      <c r="AU133" s="113">
        <f t="shared" si="246"/>
        <v>-1973.7856970027515</v>
      </c>
      <c r="AV133" s="113">
        <f t="shared" si="247"/>
        <v>-1120.979582383068</v>
      </c>
      <c r="AW133" s="116">
        <f t="shared" si="248"/>
        <v>-4426.0017097877626</v>
      </c>
      <c r="AX133" s="115"/>
      <c r="AY133" s="107" t="s">
        <v>395</v>
      </c>
      <c r="AZ133" s="117">
        <f t="shared" si="257"/>
        <v>-0.46046632762530737</v>
      </c>
      <c r="BA133" s="117">
        <f t="shared" si="258"/>
        <v>-0.67590097074395017</v>
      </c>
      <c r="BB133" s="117">
        <f t="shared" si="259"/>
        <v>-0.61291170654308669</v>
      </c>
      <c r="BC133" s="118">
        <f t="shared" si="260"/>
        <v>-0.57930201097622991</v>
      </c>
      <c r="BE133" s="107" t="s">
        <v>395</v>
      </c>
      <c r="BF133" s="307">
        <f t="shared" si="261"/>
        <v>0.53209742751037836</v>
      </c>
      <c r="BG133" s="307">
        <f t="shared" si="249"/>
        <v>0.93059592205946884</v>
      </c>
      <c r="BH133" s="307">
        <f t="shared" si="250"/>
        <v>0.79681148898476017</v>
      </c>
      <c r="BI133" s="118"/>
      <c r="BK133" s="107" t="s">
        <v>395</v>
      </c>
      <c r="BL133" s="307">
        <v>3.6052509224360385</v>
      </c>
      <c r="BM133" s="307">
        <v>-1.4240651047696753</v>
      </c>
      <c r="BN133" s="307">
        <v>-0.30866698929619674</v>
      </c>
      <c r="BO133" s="118"/>
      <c r="BQ133" s="107" t="s">
        <v>395</v>
      </c>
      <c r="BR133" s="307">
        <f t="shared" si="267"/>
        <v>4.0674796009280234</v>
      </c>
      <c r="BS133" s="307">
        <f t="shared" si="263"/>
        <v>-0.95876714373994087</v>
      </c>
      <c r="BT133" s="307">
        <f t="shared" si="264"/>
        <v>8.9738755196183351E-2</v>
      </c>
      <c r="BU133" s="118"/>
    </row>
    <row r="134" spans="1:89" x14ac:dyDescent="0.25">
      <c r="A134">
        <v>11</v>
      </c>
      <c r="B134" s="107" t="s">
        <v>556</v>
      </c>
      <c r="C134" s="113">
        <f>INDEX(TourMode_input!$B$4:$J$172,MATCH(TourMode!$A137,modes,0),MATCH("jdisc",modePurpose,0))</f>
        <v>0</v>
      </c>
      <c r="D134" s="113">
        <f>INDEX(TourMode_input!$B$20:$J$33,MATCH(TourMode!$A137,modes,0),MATCH("jdisc",modePurpose,0))</f>
        <v>1295.2637199999999</v>
      </c>
      <c r="E134" s="113">
        <f>INDEX(TourMode_input!$B$36:$J$49,MATCH(TourMode!$A137,modes,0),MATCH("jdisc",modePurpose,0))</f>
        <v>707.29931999999997</v>
      </c>
      <c r="F134" s="116">
        <f t="shared" si="251"/>
        <v>2002.56304</v>
      </c>
      <c r="G134" s="300"/>
      <c r="H134" s="302">
        <f>F134/F$168</f>
        <v>2.4748484347305477E-2</v>
      </c>
      <c r="I134" s="300">
        <f>H134*H$168</f>
        <v>847.0432920812982</v>
      </c>
      <c r="J134" s="115"/>
      <c r="K134">
        <v>11</v>
      </c>
      <c r="L134" s="107" t="s">
        <v>559</v>
      </c>
      <c r="M134" s="113">
        <f t="shared" si="276"/>
        <v>0</v>
      </c>
      <c r="N134" s="113">
        <f t="shared" si="276"/>
        <v>547.87011623977082</v>
      </c>
      <c r="O134" s="113">
        <f t="shared" si="276"/>
        <v>299.17317584152738</v>
      </c>
      <c r="P134" s="116">
        <f t="shared" si="253"/>
        <v>847.0432920812982</v>
      </c>
      <c r="Q134" s="115"/>
      <c r="R134">
        <v>11</v>
      </c>
      <c r="S134" s="107" t="s">
        <v>559</v>
      </c>
      <c r="T134" s="113">
        <f t="shared" si="277"/>
        <v>0</v>
      </c>
      <c r="U134" s="113">
        <f t="shared" si="277"/>
        <v>547.87011623977082</v>
      </c>
      <c r="V134" s="113">
        <f t="shared" si="277"/>
        <v>299.17317584152738</v>
      </c>
      <c r="W134" s="116">
        <f t="shared" si="254"/>
        <v>847.0432920812982</v>
      </c>
      <c r="X134" s="115"/>
      <c r="Y134" s="115"/>
      <c r="Z134" s="115"/>
      <c r="AA134" s="107" t="s">
        <v>559</v>
      </c>
      <c r="AB134" s="113">
        <f>INDEX(TourMode_input!$L$4:$T$17,MATCH(TourMode!$A137,modes,0),MATCH("jdisc",modePurpose,0))*Index!$B$2</f>
        <v>25</v>
      </c>
      <c r="AC134" s="113">
        <f>INDEX(TourMode_input!$L$20:$T$33,MATCH(TourMode!$A137,modes,0), MATCH("jdisc",modePurpose,0))*Index!$B$2</f>
        <v>135</v>
      </c>
      <c r="AD134" s="113">
        <f>INDEX(TourMode_input!$L$36:$T$49,MATCH(TourMode!$A137,modes,0), MATCH("jdisc",modePurpose,0))*Index!$B$2</f>
        <v>105</v>
      </c>
      <c r="AE134" s="116">
        <f t="shared" si="255"/>
        <v>265</v>
      </c>
      <c r="AG134" s="107" t="s">
        <v>396</v>
      </c>
      <c r="AH134" s="117">
        <f t="shared" si="268"/>
        <v>0</v>
      </c>
      <c r="AI134" s="117">
        <f t="shared" si="269"/>
        <v>3.2828217163387305E-3</v>
      </c>
      <c r="AJ134" s="117">
        <f t="shared" si="270"/>
        <v>1.1376271041201892E-3</v>
      </c>
      <c r="AK134" s="118">
        <f t="shared" si="271"/>
        <v>1.9183840469296062E-3</v>
      </c>
      <c r="AL134" s="115"/>
      <c r="AM134" s="107" t="s">
        <v>396</v>
      </c>
      <c r="AN134" s="117">
        <f t="shared" si="272"/>
        <v>2.1422450728363325E-3</v>
      </c>
      <c r="AO134" s="117">
        <f t="shared" si="273"/>
        <v>8.0891605248966389E-4</v>
      </c>
      <c r="AP134" s="117">
        <f t="shared" si="274"/>
        <v>3.9926990645676479E-4</v>
      </c>
      <c r="AQ134" s="118">
        <f t="shared" si="275"/>
        <v>6.0017212483580201E-4</v>
      </c>
      <c r="AS134" s="107" t="s">
        <v>396</v>
      </c>
      <c r="AT134" s="113">
        <f t="shared" si="256"/>
        <v>25</v>
      </c>
      <c r="AU134" s="113">
        <f t="shared" si="246"/>
        <v>-412.87011623977082</v>
      </c>
      <c r="AV134" s="113">
        <f t="shared" si="247"/>
        <v>-194.17317584152738</v>
      </c>
      <c r="AW134" s="116">
        <f t="shared" si="248"/>
        <v>-582.0432920812982</v>
      </c>
      <c r="AX134" s="115"/>
      <c r="AY134" s="107" t="s">
        <v>396</v>
      </c>
      <c r="AZ134" s="117">
        <f t="shared" si="257"/>
        <v>0</v>
      </c>
      <c r="BA134" s="117">
        <f t="shared" si="258"/>
        <v>-0.31875371004738007</v>
      </c>
      <c r="BB134" s="117">
        <f t="shared" si="259"/>
        <v>-0.27452758733251348</v>
      </c>
      <c r="BC134" s="118">
        <f t="shared" si="260"/>
        <v>-0.29064917331206624</v>
      </c>
      <c r="BE134" s="107" t="s">
        <v>396</v>
      </c>
      <c r="BF134" s="307">
        <f t="shared" si="261"/>
        <v>0</v>
      </c>
      <c r="BG134" s="307">
        <f t="shared" si="249"/>
        <v>1.4007634662562887</v>
      </c>
      <c r="BH134" s="307">
        <f t="shared" si="250"/>
        <v>1.0470622389876625</v>
      </c>
      <c r="BI134" s="118"/>
      <c r="BK134" s="107" t="s">
        <v>396</v>
      </c>
      <c r="BL134" s="307">
        <v>2.9437440868834868</v>
      </c>
      <c r="BM134" s="307">
        <v>-3.874555884851604</v>
      </c>
      <c r="BN134" s="307">
        <v>-3.8406783084429663</v>
      </c>
      <c r="BO134" s="118"/>
      <c r="BQ134" s="107" t="s">
        <v>396</v>
      </c>
      <c r="BR134" s="307">
        <f t="shared" si="267"/>
        <v>3.1399240516202829</v>
      </c>
      <c r="BS134" s="307">
        <f t="shared" si="263"/>
        <v>-3.1741741517234594</v>
      </c>
      <c r="BT134" s="307">
        <f t="shared" si="264"/>
        <v>-3.3171471889491349</v>
      </c>
      <c r="BU134" s="118"/>
    </row>
    <row r="135" spans="1:89" x14ac:dyDescent="0.25">
      <c r="A135">
        <v>12</v>
      </c>
      <c r="B135" s="107" t="s">
        <v>557</v>
      </c>
      <c r="C135" s="297">
        <v>0</v>
      </c>
      <c r="D135" s="113">
        <f>INDEX(TourMode_input!$B$20:$J$33,MATCH(TourMode!$A138,modes,0),MATCH("jdisc",modePurpose,0))</f>
        <v>84.663349999999994</v>
      </c>
      <c r="E135" s="113">
        <f>INDEX(TourMode_input!$B$36:$J$49,MATCH(TourMode!$A138,modes,0),MATCH("jdisc",modePurpose,0))</f>
        <v>804.24068</v>
      </c>
      <c r="F135" s="116">
        <f t="shared" si="251"/>
        <v>888.90403000000003</v>
      </c>
      <c r="G135" s="300"/>
      <c r="H135" s="302">
        <f>F135/F$169</f>
        <v>5.8784661829184475E-3</v>
      </c>
      <c r="I135" s="300">
        <f>H135*H$169</f>
        <v>584.14198597735151</v>
      </c>
      <c r="J135" s="115"/>
      <c r="K135">
        <v>12</v>
      </c>
      <c r="L135" s="107" t="s">
        <v>560</v>
      </c>
      <c r="M135" s="113">
        <f t="shared" si="276"/>
        <v>0</v>
      </c>
      <c r="N135" s="113">
        <f t="shared" si="276"/>
        <v>55.636396888082054</v>
      </c>
      <c r="O135" s="113">
        <f t="shared" si="276"/>
        <v>528.50558908926939</v>
      </c>
      <c r="P135" s="116">
        <f t="shared" si="253"/>
        <v>584.1419859773514</v>
      </c>
      <c r="Q135" s="115"/>
      <c r="R135">
        <v>12</v>
      </c>
      <c r="S135" s="107" t="s">
        <v>560</v>
      </c>
      <c r="T135" s="113">
        <f t="shared" si="277"/>
        <v>0</v>
      </c>
      <c r="U135" s="113">
        <f t="shared" si="277"/>
        <v>55.636396888082054</v>
      </c>
      <c r="V135" s="113">
        <f t="shared" si="277"/>
        <v>528.50558908926939</v>
      </c>
      <c r="W135" s="116">
        <f t="shared" si="254"/>
        <v>584.1419859773514</v>
      </c>
      <c r="X135" s="115"/>
      <c r="Y135" s="115"/>
      <c r="Z135" s="115"/>
      <c r="AA135" s="107" t="s">
        <v>560</v>
      </c>
      <c r="AB135" s="113">
        <f>INDEX(TourMode_input!$L$4:$T$17,MATCH(TourMode!$A138,modes,0),MATCH("jdisc",modePurpose,0))*Index!$B$2</f>
        <v>0</v>
      </c>
      <c r="AC135" s="113">
        <f>INDEX(TourMode_input!$L$20:$T$33,MATCH(TourMode!$A138,modes,0), MATCH("jdisc",modePurpose,0))*Index!$B$2</f>
        <v>0</v>
      </c>
      <c r="AD135" s="113">
        <f>INDEX(TourMode_input!$L$36:$T$49,MATCH(TourMode!$A138,modes,0), MATCH("jdisc",modePurpose,0))*Index!$B$2</f>
        <v>105</v>
      </c>
      <c r="AE135" s="116">
        <f t="shared" si="255"/>
        <v>105</v>
      </c>
      <c r="AG135" s="107" t="s">
        <v>397</v>
      </c>
      <c r="AH135" s="117">
        <f t="shared" si="268"/>
        <v>0</v>
      </c>
      <c r="AI135" s="117">
        <f t="shared" si="269"/>
        <v>3.3337166329967073E-4</v>
      </c>
      <c r="AJ135" s="117">
        <f t="shared" si="270"/>
        <v>2.0096797820719041E-3</v>
      </c>
      <c r="AK135" s="118">
        <f t="shared" si="271"/>
        <v>1.322965045018235E-3</v>
      </c>
      <c r="AL135" s="115"/>
      <c r="AM135" s="107" t="s">
        <v>397</v>
      </c>
      <c r="AN135" s="117">
        <f t="shared" si="272"/>
        <v>0</v>
      </c>
      <c r="AO135" s="117">
        <f t="shared" si="273"/>
        <v>0</v>
      </c>
      <c r="AP135" s="117">
        <f t="shared" si="274"/>
        <v>3.9926990645676479E-4</v>
      </c>
      <c r="AQ135" s="118">
        <f t="shared" si="275"/>
        <v>2.378040494632423E-4</v>
      </c>
      <c r="AS135" s="107" t="s">
        <v>397</v>
      </c>
      <c r="AT135" s="113">
        <f t="shared" si="256"/>
        <v>0</v>
      </c>
      <c r="AU135" s="113">
        <f t="shared" si="246"/>
        <v>-55.636396888082054</v>
      </c>
      <c r="AV135" s="113">
        <f t="shared" si="247"/>
        <v>-423.50558908926939</v>
      </c>
      <c r="AW135" s="116">
        <f t="shared" si="248"/>
        <v>-479.1419859773514</v>
      </c>
      <c r="AX135" s="115"/>
      <c r="AY135" s="107" t="s">
        <v>397</v>
      </c>
      <c r="AZ135" s="117">
        <f t="shared" si="257"/>
        <v>0</v>
      </c>
      <c r="BA135" s="117">
        <f t="shared" si="258"/>
        <v>-0.65714854052056837</v>
      </c>
      <c r="BB135" s="117">
        <f t="shared" si="259"/>
        <v>-0.52659060853433748</v>
      </c>
      <c r="BC135" s="118">
        <f t="shared" si="260"/>
        <v>-0.53902555259801377</v>
      </c>
      <c r="BE135" s="107" t="s">
        <v>397</v>
      </c>
      <c r="BF135" s="307">
        <f t="shared" si="261"/>
        <v>0</v>
      </c>
      <c r="BG135" s="307">
        <f t="shared" si="249"/>
        <v>0</v>
      </c>
      <c r="BH135" s="307">
        <f t="shared" si="250"/>
        <v>1.6160930304786274</v>
      </c>
      <c r="BI135" s="118"/>
      <c r="BK135" s="107" t="s">
        <v>397</v>
      </c>
      <c r="BL135" s="307">
        <v>2.8162977496883581</v>
      </c>
      <c r="BM135" s="307">
        <v>-8.1191244166903207</v>
      </c>
      <c r="BN135" s="307">
        <v>-1.7907099818661143</v>
      </c>
      <c r="BO135" s="118"/>
      <c r="BQ135" s="107" t="s">
        <v>397</v>
      </c>
      <c r="BR135" s="307">
        <f t="shared" si="267"/>
        <v>3.0124777144251542</v>
      </c>
      <c r="BS135" s="307">
        <f t="shared" si="263"/>
        <v>-8.1191244166903207</v>
      </c>
      <c r="BT135" s="307">
        <f t="shared" si="264"/>
        <v>-0.9826634666268006</v>
      </c>
      <c r="BU135" s="118"/>
    </row>
    <row r="136" spans="1:89" x14ac:dyDescent="0.25">
      <c r="A136">
        <v>13</v>
      </c>
      <c r="B136" s="107" t="s">
        <v>398</v>
      </c>
      <c r="C136" s="113">
        <f>INDEX(TourMode_input!$B$4:$J$172,MATCH(TourMode!$A139,modes,0),MATCH("jdisc",modePurpose,0))</f>
        <v>0</v>
      </c>
      <c r="D136" s="113">
        <f>INDEX(TourMode_input!$B$20:$J$33,MATCH(TourMode!$A139,modes,0),MATCH("jdisc",modePurpose,0))</f>
        <v>209.99789000000001</v>
      </c>
      <c r="E136" s="113">
        <f>INDEX(TourMode_input!$B$36:$J$49,MATCH(TourMode!$A139,modes,0),MATCH("jdisc",modePurpose,0))</f>
        <v>206.21563</v>
      </c>
      <c r="F136" s="116">
        <f t="shared" si="251"/>
        <v>416.21352000000002</v>
      </c>
      <c r="G136" s="300"/>
      <c r="H136" s="300"/>
      <c r="I136" s="300"/>
      <c r="J136" s="115"/>
      <c r="K136">
        <v>13</v>
      </c>
      <c r="L136" s="107" t="s">
        <v>398</v>
      </c>
      <c r="M136" s="113">
        <f t="shared" ref="M136:O137" si="278">C136</f>
        <v>0</v>
      </c>
      <c r="N136" s="113">
        <f t="shared" si="278"/>
        <v>209.99789000000001</v>
      </c>
      <c r="O136" s="113">
        <f t="shared" si="278"/>
        <v>206.21563</v>
      </c>
      <c r="P136" s="116">
        <f t="shared" si="253"/>
        <v>416.21352000000002</v>
      </c>
      <c r="Q136" s="115"/>
      <c r="R136">
        <v>13</v>
      </c>
      <c r="S136" s="107" t="s">
        <v>398</v>
      </c>
      <c r="T136" s="113">
        <f>IF(M139&gt;0,M136/M139*T139,0)</f>
        <v>0</v>
      </c>
      <c r="U136" s="113">
        <f>IF(N139&gt;0,N136/N139*U139,0)</f>
        <v>298.24265760745652</v>
      </c>
      <c r="V136" s="113">
        <f>IF(O139&gt;0,O136/O139*V139,0)</f>
        <v>191.02968651880684</v>
      </c>
      <c r="W136" s="116">
        <f t="shared" si="254"/>
        <v>489.27234412626336</v>
      </c>
      <c r="X136" s="115"/>
      <c r="Y136" s="115"/>
      <c r="Z136" s="115"/>
      <c r="AA136" s="107" t="s">
        <v>398</v>
      </c>
      <c r="AB136" s="113">
        <f>INDEX(TourMode_input!$L$4:$T$17,MATCH(TourMode!$A139,modes,0),MATCH("jdisc",modePurpose,0))*Index!$B$2</f>
        <v>60</v>
      </c>
      <c r="AC136" s="113">
        <f>INDEX(TourMode_input!$L$20:$T$33,MATCH(TourMode!$A139,modes,0), MATCH("jdisc",modePurpose,0))*Index!$B$2</f>
        <v>325</v>
      </c>
      <c r="AD136" s="113">
        <f>INDEX(TourMode_input!$L$36:$T$49,MATCH(TourMode!$A139,modes,0), MATCH("jdisc",modePurpose,0))*Index!$B$2</f>
        <v>170</v>
      </c>
      <c r="AE136" s="116">
        <f t="shared" si="255"/>
        <v>555</v>
      </c>
      <c r="AG136" s="107" t="s">
        <v>398</v>
      </c>
      <c r="AH136" s="117">
        <f t="shared" si="268"/>
        <v>0</v>
      </c>
      <c r="AI136" s="117">
        <f t="shared" si="269"/>
        <v>1.7870612835248155E-3</v>
      </c>
      <c r="AJ136" s="117">
        <f t="shared" si="270"/>
        <v>7.2640385777932481E-4</v>
      </c>
      <c r="AK136" s="118">
        <f t="shared" si="271"/>
        <v>1.1081042354628423E-3</v>
      </c>
      <c r="AL136" s="115"/>
      <c r="AM136" s="107" t="s">
        <v>398</v>
      </c>
      <c r="AN136" s="117">
        <f t="shared" si="272"/>
        <v>5.1413881748071976E-3</v>
      </c>
      <c r="AO136" s="117">
        <f t="shared" si="273"/>
        <v>1.9473904967343759E-3</v>
      </c>
      <c r="AP136" s="117">
        <f t="shared" si="274"/>
        <v>6.4643699140619056E-4</v>
      </c>
      <c r="AQ136" s="118">
        <f t="shared" si="275"/>
        <v>1.2569642614485663E-3</v>
      </c>
      <c r="AS136" s="107" t="s">
        <v>398</v>
      </c>
      <c r="AT136" s="113">
        <f t="shared" si="256"/>
        <v>60</v>
      </c>
      <c r="AU136" s="113">
        <f t="shared" si="246"/>
        <v>26.757342392543478</v>
      </c>
      <c r="AV136" s="113">
        <f t="shared" si="247"/>
        <v>-21.029686518806841</v>
      </c>
      <c r="AW136" s="116">
        <f t="shared" si="248"/>
        <v>65.727655873736637</v>
      </c>
      <c r="AX136" s="115"/>
      <c r="AY136" s="107" t="s">
        <v>398</v>
      </c>
      <c r="AZ136" s="117">
        <f t="shared" si="257"/>
        <v>0</v>
      </c>
      <c r="BA136" s="117">
        <f t="shared" si="258"/>
        <v>0.12741719639441842</v>
      </c>
      <c r="BB136" s="117">
        <f t="shared" si="259"/>
        <v>-0.10197911050101702</v>
      </c>
      <c r="BC136" s="118">
        <f t="shared" si="260"/>
        <v>0.15791811826232036</v>
      </c>
      <c r="BE136" s="107" t="s">
        <v>398</v>
      </c>
      <c r="BF136" s="307">
        <f t="shared" si="261"/>
        <v>0</v>
      </c>
      <c r="BG136" s="307">
        <f t="shared" si="249"/>
        <v>-8.5917739903005969E-2</v>
      </c>
      <c r="BH136" s="307">
        <f t="shared" si="250"/>
        <v>0.11663040571891035</v>
      </c>
      <c r="BI136" s="118"/>
      <c r="BK136" s="107" t="s">
        <v>398</v>
      </c>
      <c r="BL136" s="307">
        <v>4.975781713038141E-2</v>
      </c>
      <c r="BM136" s="307">
        <v>-3.8875289164651039</v>
      </c>
      <c r="BN136" s="307">
        <v>-4.1324827182555834</v>
      </c>
      <c r="BO136" s="118"/>
      <c r="BQ136" s="107" t="s">
        <v>398</v>
      </c>
      <c r="BR136" s="307">
        <f t="shared" si="267"/>
        <v>0.24593778186717735</v>
      </c>
      <c r="BS136" s="307">
        <f t="shared" si="263"/>
        <v>-3.9304877864166068</v>
      </c>
      <c r="BT136" s="307">
        <f t="shared" si="264"/>
        <v>-4.0741675153961285</v>
      </c>
      <c r="BU136" s="118"/>
    </row>
    <row r="137" spans="1:89" x14ac:dyDescent="0.25">
      <c r="A137">
        <v>14</v>
      </c>
      <c r="B137" s="107" t="s">
        <v>399</v>
      </c>
      <c r="C137" s="297">
        <v>0</v>
      </c>
      <c r="D137" s="297">
        <v>0</v>
      </c>
      <c r="E137" s="297">
        <v>0</v>
      </c>
      <c r="F137" s="116">
        <f t="shared" si="251"/>
        <v>0</v>
      </c>
      <c r="G137" s="300"/>
      <c r="H137" s="300"/>
      <c r="I137" s="300"/>
      <c r="J137" s="115"/>
      <c r="K137">
        <v>14</v>
      </c>
      <c r="L137" s="107" t="s">
        <v>399</v>
      </c>
      <c r="M137" s="113">
        <f t="shared" si="278"/>
        <v>0</v>
      </c>
      <c r="N137" s="113">
        <f t="shared" si="278"/>
        <v>0</v>
      </c>
      <c r="O137" s="113">
        <f t="shared" si="278"/>
        <v>0</v>
      </c>
      <c r="P137" s="116">
        <f t="shared" si="253"/>
        <v>0</v>
      </c>
      <c r="Q137" s="115"/>
      <c r="R137">
        <v>14</v>
      </c>
      <c r="S137" s="107" t="s">
        <v>399</v>
      </c>
      <c r="T137" s="113">
        <f>IF(M139&gt;0,M137/M139*T139,0)</f>
        <v>0</v>
      </c>
      <c r="U137" s="113">
        <f>IF(N139&gt;0,N137/N139*U139,0)</f>
        <v>0</v>
      </c>
      <c r="V137" s="113">
        <f>IF(O139&gt;0,O137/O139*V139,0)</f>
        <v>0</v>
      </c>
      <c r="W137" s="116">
        <f t="shared" si="254"/>
        <v>0</v>
      </c>
      <c r="X137" s="115"/>
      <c r="Y137" s="115"/>
      <c r="Z137" s="115"/>
      <c r="AA137" s="107" t="s">
        <v>399</v>
      </c>
      <c r="AB137" s="113">
        <f>INDEX(TourMode_input!$L$4:$T$17,MATCH(TourMode!$A140,modes,0),MATCH("jdisc",modePurpose,0))*Index!$B$2</f>
        <v>0</v>
      </c>
      <c r="AC137" s="113">
        <f>INDEX(TourMode_input!$L$20:$T$33,MATCH(TourMode!$A140,modes,0), MATCH("jdisc",modePurpose,0))*Index!$B$2</f>
        <v>0</v>
      </c>
      <c r="AD137" s="113">
        <f>INDEX(TourMode_input!$L$36:$T$49,MATCH(TourMode!$A140,modes,0), MATCH("jdisc",modePurpose,0))*Index!$B$2</f>
        <v>0</v>
      </c>
      <c r="AE137" s="116">
        <f t="shared" si="255"/>
        <v>0</v>
      </c>
      <c r="AG137" s="107" t="s">
        <v>399</v>
      </c>
      <c r="AH137" s="117">
        <f t="shared" si="268"/>
        <v>0</v>
      </c>
      <c r="AI137" s="117">
        <f t="shared" si="269"/>
        <v>0</v>
      </c>
      <c r="AJ137" s="117">
        <f t="shared" si="270"/>
        <v>0</v>
      </c>
      <c r="AK137" s="118">
        <f t="shared" si="271"/>
        <v>0</v>
      </c>
      <c r="AL137" s="115"/>
      <c r="AM137" s="107" t="s">
        <v>399</v>
      </c>
      <c r="AN137" s="117">
        <f t="shared" si="272"/>
        <v>0</v>
      </c>
      <c r="AO137" s="117">
        <f t="shared" si="273"/>
        <v>0</v>
      </c>
      <c r="AP137" s="117">
        <f t="shared" si="274"/>
        <v>0</v>
      </c>
      <c r="AQ137" s="118">
        <f t="shared" si="275"/>
        <v>0</v>
      </c>
      <c r="AS137" s="107" t="s">
        <v>399</v>
      </c>
      <c r="AT137" s="113">
        <f t="shared" si="256"/>
        <v>0</v>
      </c>
      <c r="AU137" s="113">
        <f t="shared" si="246"/>
        <v>0</v>
      </c>
      <c r="AV137" s="113">
        <f t="shared" si="247"/>
        <v>0</v>
      </c>
      <c r="AW137" s="116">
        <f t="shared" si="248"/>
        <v>0</v>
      </c>
      <c r="AX137" s="115"/>
      <c r="AY137" s="107" t="s">
        <v>399</v>
      </c>
      <c r="AZ137" s="117">
        <f t="shared" si="257"/>
        <v>0</v>
      </c>
      <c r="BA137" s="117">
        <f t="shared" si="258"/>
        <v>0</v>
      </c>
      <c r="BB137" s="117">
        <f t="shared" si="259"/>
        <v>0</v>
      </c>
      <c r="BC137" s="118">
        <f t="shared" si="260"/>
        <v>0</v>
      </c>
      <c r="BE137" s="107" t="s">
        <v>399</v>
      </c>
      <c r="BF137" s="307">
        <f t="shared" si="261"/>
        <v>0</v>
      </c>
      <c r="BG137" s="307">
        <f t="shared" si="249"/>
        <v>0</v>
      </c>
      <c r="BH137" s="307">
        <f t="shared" si="250"/>
        <v>0</v>
      </c>
      <c r="BI137" s="118"/>
      <c r="BK137" s="107" t="s">
        <v>399</v>
      </c>
      <c r="BL137" s="307">
        <v>2.021598714184023</v>
      </c>
      <c r="BM137" s="307">
        <v>-0.51559434356966027</v>
      </c>
      <c r="BN137" s="307">
        <v>-0.19181132424035569</v>
      </c>
      <c r="BO137" s="118"/>
      <c r="BQ137" s="107" t="s">
        <v>399</v>
      </c>
      <c r="BR137" s="307">
        <f t="shared" si="267"/>
        <v>2.2177786789208191</v>
      </c>
      <c r="BS137" s="307">
        <f t="shared" si="263"/>
        <v>-0.51559434356966027</v>
      </c>
      <c r="BT137" s="307">
        <f t="shared" si="264"/>
        <v>-0.19181132424035569</v>
      </c>
      <c r="BU137" s="118"/>
    </row>
    <row r="138" spans="1:89" ht="15.75" thickBot="1" x14ac:dyDescent="0.3">
      <c r="B138" s="108" t="s">
        <v>29</v>
      </c>
      <c r="C138" s="109">
        <f>SUM(C125:C137)</f>
        <v>8332.1096799999996</v>
      </c>
      <c r="D138" s="110">
        <f>SUM(D125:D137)</f>
        <v>119090.82672</v>
      </c>
      <c r="E138" s="111">
        <f>SUM(E125:E137)</f>
        <v>284129.42662999994</v>
      </c>
      <c r="F138" s="112">
        <f>SUM(F125:F137)</f>
        <v>411552.36302999989</v>
      </c>
      <c r="G138" s="301"/>
      <c r="H138" s="301"/>
      <c r="I138" s="301"/>
      <c r="L138" s="108" t="s">
        <v>29</v>
      </c>
      <c r="M138" s="109">
        <f>SUM(M125:M137)</f>
        <v>8667.2847004019422</v>
      </c>
      <c r="N138" s="110">
        <f>SUM(N125:N137)</f>
        <v>118652.96274013059</v>
      </c>
      <c r="O138" s="111">
        <f>SUM(O125:O137)</f>
        <v>283657.60359731386</v>
      </c>
      <c r="P138" s="112">
        <f>SUM(P125:P137)</f>
        <v>410977.85103784635</v>
      </c>
      <c r="S138" s="108" t="s">
        <v>29</v>
      </c>
      <c r="T138" s="109">
        <f>SUM(T125:T137)</f>
        <v>11670.000000000002</v>
      </c>
      <c r="U138" s="110">
        <f>SUM(U125:U137)</f>
        <v>166890.00000000003</v>
      </c>
      <c r="V138" s="111">
        <f>SUM(V125:V137)</f>
        <v>262980</v>
      </c>
      <c r="W138" s="112">
        <f>SUM(W125:W137)</f>
        <v>441539.99999999994</v>
      </c>
      <c r="AA138" s="108" t="s">
        <v>29</v>
      </c>
      <c r="AB138" s="109">
        <f>SUM(AB125:AB137)</f>
        <v>11670</v>
      </c>
      <c r="AC138" s="110">
        <f>SUM(AC125:AC137)</f>
        <v>166890</v>
      </c>
      <c r="AD138" s="111">
        <f>SUM(AD125:AD137)</f>
        <v>262980</v>
      </c>
      <c r="AE138" s="112">
        <f>SUM(AE125:AE137)</f>
        <v>441540</v>
      </c>
      <c r="AG138" s="108" t="s">
        <v>29</v>
      </c>
      <c r="AH138" s="120">
        <f t="shared" si="268"/>
        <v>1</v>
      </c>
      <c r="AI138" s="121">
        <f t="shared" si="269"/>
        <v>1</v>
      </c>
      <c r="AJ138" s="122">
        <f t="shared" si="270"/>
        <v>1</v>
      </c>
      <c r="AK138" s="123">
        <f t="shared" si="271"/>
        <v>1</v>
      </c>
      <c r="AM138" s="108" t="s">
        <v>29</v>
      </c>
      <c r="AN138" s="120">
        <f t="shared" si="272"/>
        <v>1</v>
      </c>
      <c r="AO138" s="121">
        <f t="shared" si="273"/>
        <v>1</v>
      </c>
      <c r="AP138" s="122">
        <f t="shared" si="274"/>
        <v>1</v>
      </c>
      <c r="AQ138" s="123">
        <f t="shared" si="275"/>
        <v>1</v>
      </c>
      <c r="AS138" s="108" t="s">
        <v>29</v>
      </c>
      <c r="AT138" s="109">
        <f t="shared" si="256"/>
        <v>0</v>
      </c>
      <c r="AU138" s="110">
        <f t="shared" si="246"/>
        <v>0</v>
      </c>
      <c r="AV138" s="111">
        <f t="shared" si="247"/>
        <v>0</v>
      </c>
      <c r="AW138" s="112">
        <f t="shared" si="248"/>
        <v>0</v>
      </c>
      <c r="AY138" s="108" t="s">
        <v>29</v>
      </c>
      <c r="AZ138" s="117">
        <f t="shared" si="257"/>
        <v>0</v>
      </c>
      <c r="BA138" s="117">
        <f t="shared" si="258"/>
        <v>0</v>
      </c>
      <c r="BB138" s="117">
        <f t="shared" si="259"/>
        <v>0</v>
      </c>
      <c r="BC138" s="118">
        <f t="shared" si="260"/>
        <v>0</v>
      </c>
      <c r="BE138" s="108" t="s">
        <v>29</v>
      </c>
      <c r="BF138" s="117"/>
      <c r="BG138" s="117"/>
      <c r="BH138" s="117"/>
      <c r="BI138" s="118"/>
      <c r="BK138" s="108" t="s">
        <v>29</v>
      </c>
      <c r="BL138" s="117"/>
      <c r="BM138" s="117"/>
      <c r="BN138" s="117"/>
      <c r="BO138" s="118"/>
      <c r="BQ138" s="108" t="s">
        <v>29</v>
      </c>
      <c r="BR138" s="117"/>
      <c r="BS138" s="117"/>
      <c r="BT138" s="117"/>
      <c r="BU138" s="118"/>
    </row>
    <row r="139" spans="1:89" x14ac:dyDescent="0.25">
      <c r="B139" s="304"/>
      <c r="C139" s="301"/>
      <c r="D139" s="301"/>
      <c r="E139" s="301"/>
      <c r="F139" s="301"/>
      <c r="G139" s="301"/>
      <c r="H139" s="301"/>
      <c r="I139" s="301"/>
      <c r="L139" s="304"/>
      <c r="M139" s="286">
        <f>M138-SUM(M133:M135)</f>
        <v>5441.0482699999993</v>
      </c>
      <c r="N139" s="286">
        <f>N138-SUM(N133:N135)</f>
        <v>114790.67052999999</v>
      </c>
      <c r="O139" s="286">
        <f>O138-SUM(O133:O135)</f>
        <v>280788.94524999999</v>
      </c>
      <c r="P139" s="301"/>
      <c r="S139" s="304"/>
      <c r="T139" s="286">
        <f>AB138-SUM(T133:T135)</f>
        <v>8443.7635695980571</v>
      </c>
      <c r="U139" s="286">
        <f>AC138-SUM(U133:U135)</f>
        <v>163027.7077898694</v>
      </c>
      <c r="V139" s="286">
        <f>AD138-SUM(V133:V135)</f>
        <v>260111.34165268613</v>
      </c>
      <c r="W139" s="301"/>
      <c r="AA139" s="304"/>
      <c r="AB139" s="301"/>
      <c r="AC139" s="301"/>
      <c r="AD139" s="301"/>
      <c r="AE139" s="301"/>
      <c r="AG139" s="304"/>
      <c r="AH139" s="305"/>
      <c r="AI139" s="305"/>
      <c r="AJ139" s="305"/>
      <c r="AK139" s="305"/>
      <c r="AM139" s="304"/>
      <c r="AN139" s="305"/>
      <c r="AO139" s="305"/>
      <c r="AP139" s="305"/>
      <c r="AQ139" s="305"/>
      <c r="AS139" s="304"/>
      <c r="AT139" s="301"/>
      <c r="AU139" s="301"/>
      <c r="AV139" s="301"/>
      <c r="AW139" s="301"/>
      <c r="AY139" s="304"/>
      <c r="AZ139" s="306"/>
      <c r="BA139" s="306"/>
      <c r="BB139" s="306"/>
      <c r="BC139" s="306"/>
      <c r="BE139" s="304"/>
      <c r="BF139" s="306"/>
      <c r="BG139" s="306"/>
      <c r="BH139" s="306"/>
      <c r="BI139" s="306"/>
      <c r="BK139" s="304"/>
      <c r="BL139" s="306"/>
      <c r="BM139" s="306"/>
      <c r="BN139" s="306"/>
      <c r="BO139" s="306"/>
      <c r="BQ139" s="304"/>
      <c r="BR139" s="306"/>
      <c r="BS139" s="306"/>
      <c r="BT139" s="306"/>
      <c r="BU139" s="306"/>
    </row>
    <row r="140" spans="1:89" ht="26.25" x14ac:dyDescent="0.4">
      <c r="A140" s="150" t="s">
        <v>163</v>
      </c>
      <c r="K140" s="150" t="s">
        <v>163</v>
      </c>
      <c r="R140" s="150" t="s">
        <v>163</v>
      </c>
    </row>
    <row r="141" spans="1:89" ht="26.25" x14ac:dyDescent="0.25">
      <c r="B141" s="102" t="s">
        <v>134</v>
      </c>
      <c r="C141" s="103" t="s">
        <v>135</v>
      </c>
      <c r="D141" s="104" t="s">
        <v>136</v>
      </c>
      <c r="E141" s="105" t="s">
        <v>137</v>
      </c>
      <c r="F141" s="106" t="s">
        <v>29</v>
      </c>
      <c r="G141" s="299"/>
      <c r="H141" s="299"/>
      <c r="I141" s="299"/>
      <c r="L141" s="102" t="s">
        <v>134</v>
      </c>
      <c r="M141" s="103" t="s">
        <v>135</v>
      </c>
      <c r="N141" s="104" t="s">
        <v>136</v>
      </c>
      <c r="O141" s="105" t="s">
        <v>137</v>
      </c>
      <c r="P141" s="106" t="s">
        <v>29</v>
      </c>
      <c r="S141" s="102" t="s">
        <v>134</v>
      </c>
      <c r="T141" s="103" t="s">
        <v>135</v>
      </c>
      <c r="U141" s="104" t="s">
        <v>136</v>
      </c>
      <c r="V141" s="105" t="s">
        <v>137</v>
      </c>
      <c r="W141" s="106" t="s">
        <v>29</v>
      </c>
      <c r="AA141" s="102" t="s">
        <v>134</v>
      </c>
      <c r="AB141" s="103" t="s">
        <v>135</v>
      </c>
      <c r="AC141" s="104" t="s">
        <v>136</v>
      </c>
      <c r="AD141" s="105" t="s">
        <v>137</v>
      </c>
      <c r="AE141" s="106" t="s">
        <v>29</v>
      </c>
      <c r="AG141" s="102" t="s">
        <v>134</v>
      </c>
      <c r="AH141" s="103" t="s">
        <v>135</v>
      </c>
      <c r="AI141" s="104" t="s">
        <v>136</v>
      </c>
      <c r="AJ141" s="105" t="s">
        <v>137</v>
      </c>
      <c r="AK141" s="106" t="s">
        <v>29</v>
      </c>
      <c r="AM141" s="102" t="s">
        <v>134</v>
      </c>
      <c r="AN141" s="103" t="s">
        <v>135</v>
      </c>
      <c r="AO141" s="104" t="s">
        <v>136</v>
      </c>
      <c r="AP141" s="105" t="s">
        <v>137</v>
      </c>
      <c r="AQ141" s="106" t="s">
        <v>29</v>
      </c>
      <c r="AS141" s="102" t="s">
        <v>134</v>
      </c>
      <c r="AT141" s="103" t="s">
        <v>135</v>
      </c>
      <c r="AU141" s="104" t="s">
        <v>136</v>
      </c>
      <c r="AV141" s="105" t="s">
        <v>137</v>
      </c>
      <c r="AW141" s="106" t="s">
        <v>29</v>
      </c>
      <c r="AY141" s="102" t="s">
        <v>134</v>
      </c>
      <c r="AZ141" s="103" t="s">
        <v>135</v>
      </c>
      <c r="BA141" s="104" t="s">
        <v>136</v>
      </c>
      <c r="BB141" s="105" t="s">
        <v>137</v>
      </c>
      <c r="BC141" s="106" t="s">
        <v>29</v>
      </c>
      <c r="BE141" s="102" t="s">
        <v>134</v>
      </c>
      <c r="BF141" s="103" t="s">
        <v>135</v>
      </c>
      <c r="BG141" s="104" t="s">
        <v>136</v>
      </c>
      <c r="BH141" s="105" t="s">
        <v>137</v>
      </c>
      <c r="BI141" s="106" t="s">
        <v>29</v>
      </c>
      <c r="BK141" s="102" t="s">
        <v>134</v>
      </c>
      <c r="BL141" s="103" t="s">
        <v>135</v>
      </c>
      <c r="BM141" s="104" t="s">
        <v>136</v>
      </c>
      <c r="BN141" s="105" t="s">
        <v>137</v>
      </c>
      <c r="BO141" s="106" t="s">
        <v>29</v>
      </c>
      <c r="BQ141" s="102" t="s">
        <v>134</v>
      </c>
      <c r="BR141" s="103" t="s">
        <v>135</v>
      </c>
      <c r="BS141" s="104" t="s">
        <v>136</v>
      </c>
      <c r="BT141" s="105" t="s">
        <v>137</v>
      </c>
      <c r="BU141" s="106" t="s">
        <v>29</v>
      </c>
      <c r="BX141">
        <v>1</v>
      </c>
      <c r="BY141">
        <v>2</v>
      </c>
      <c r="BZ141">
        <v>3</v>
      </c>
      <c r="CA141">
        <v>4</v>
      </c>
      <c r="CB141">
        <v>5</v>
      </c>
      <c r="CC141">
        <v>6</v>
      </c>
      <c r="CD141">
        <v>7</v>
      </c>
      <c r="CE141">
        <v>8</v>
      </c>
      <c r="CG141">
        <v>9</v>
      </c>
      <c r="CH141">
        <v>10</v>
      </c>
      <c r="CI141">
        <v>11</v>
      </c>
      <c r="CJ141">
        <v>12</v>
      </c>
      <c r="CK141">
        <v>13</v>
      </c>
    </row>
    <row r="142" spans="1:89" x14ac:dyDescent="0.25">
      <c r="A142">
        <v>1</v>
      </c>
      <c r="B142" s="107" t="s">
        <v>386</v>
      </c>
      <c r="C142" s="297">
        <v>0</v>
      </c>
      <c r="D142" s="113">
        <f>INDEX(TourMode_input!$B$20:$J$33,MATCH(TourMode!$A144,modes,0),MATCH("atwork",modePurpose,0))</f>
        <v>32730.917219999999</v>
      </c>
      <c r="E142" s="113">
        <f>INDEX(TourMode_input!$B$36:$J$49,MATCH(TourMode!$A144,modes,0),MATCH("atwork",modePurpose,0))</f>
        <v>201725.86804</v>
      </c>
      <c r="F142" s="114">
        <f>SUM(C142:E142)</f>
        <v>234456.78526</v>
      </c>
      <c r="G142" s="300"/>
      <c r="H142" s="300"/>
      <c r="I142" s="300"/>
      <c r="J142" s="115"/>
      <c r="K142">
        <v>1</v>
      </c>
      <c r="L142" s="107" t="s">
        <v>386</v>
      </c>
      <c r="M142" s="113">
        <f>C142</f>
        <v>0</v>
      </c>
      <c r="N142" s="113">
        <f t="shared" ref="N142:N149" si="279">D142</f>
        <v>32730.917219999999</v>
      </c>
      <c r="O142" s="113">
        <f t="shared" ref="O142:O149" si="280">E142</f>
        <v>201725.86804</v>
      </c>
      <c r="P142" s="114">
        <f>SUM(M142:O142)</f>
        <v>234456.78526</v>
      </c>
      <c r="Q142" s="115"/>
      <c r="R142">
        <v>1</v>
      </c>
      <c r="S142" s="107" t="s">
        <v>386</v>
      </c>
      <c r="T142" s="113">
        <f>IF(M156&gt;0,M142/M156*T156,0)</f>
        <v>0</v>
      </c>
      <c r="U142" s="113">
        <f>IF(N156&gt;0,N142/N156*U156,0)</f>
        <v>173437.33159646933</v>
      </c>
      <c r="V142" s="113">
        <f>IF(O156&gt;0,O142/O156*V156,0)</f>
        <v>524019.62949600397</v>
      </c>
      <c r="W142" s="114">
        <f>SUM(T142:V142)</f>
        <v>697456.96109247324</v>
      </c>
      <c r="X142" s="115"/>
      <c r="Y142" s="115"/>
      <c r="Z142" s="115"/>
      <c r="AA142" s="107" t="s">
        <v>386</v>
      </c>
      <c r="AB142" s="113">
        <f>INDEX(TourMode_input!$L$4:$T$17,MATCH(TourMode!$A144,modes,0),MATCH("atwork",modePurpose,0))*Index!$B$2</f>
        <v>0</v>
      </c>
      <c r="AC142" s="113">
        <f>INDEX(TourMode_input!$L$20:$T$33,MATCH(TourMode!$A144,modes,0), MATCH("atwork",modePurpose,0))*Index!$B$2</f>
        <v>163180</v>
      </c>
      <c r="AD142" s="113">
        <f>INDEX(TourMode_input!$L$36:$T$49,MATCH(TourMode!$A144,modes,0), MATCH("atwork",modePurpose,0))*Index!$B$2</f>
        <v>508765</v>
      </c>
      <c r="AE142" s="114">
        <f>SUM(AB142:AD142)</f>
        <v>671945</v>
      </c>
      <c r="AG142" s="107" t="s">
        <v>538</v>
      </c>
      <c r="AH142" s="117">
        <f>(T142+T143)/T$155</f>
        <v>0</v>
      </c>
      <c r="AI142" s="117">
        <f>(U142+U143)/U$155</f>
        <v>0.42177103082849088</v>
      </c>
      <c r="AJ142" s="117">
        <f>(V142+V143)/V$155</f>
        <v>0.65123214435287902</v>
      </c>
      <c r="AK142" s="117">
        <f>(W142+W143)/W$155</f>
        <v>0.56032863974581593</v>
      </c>
      <c r="AL142" s="115"/>
      <c r="AM142" s="107" t="s">
        <v>538</v>
      </c>
      <c r="AN142" s="117">
        <f>(AB142+AB143)/AB$155</f>
        <v>0</v>
      </c>
      <c r="AO142" s="117">
        <f>(AC142+AC143)/AC$155</f>
        <v>0.42632448320256516</v>
      </c>
      <c r="AP142" s="117">
        <f>(AD142+AD143)/AD$155</f>
        <v>0.65073790329918291</v>
      </c>
      <c r="AQ142" s="117">
        <f>(AE142+AE143)/AE$155</f>
        <v>0.56148576972067876</v>
      </c>
      <c r="AS142" s="107" t="s">
        <v>386</v>
      </c>
      <c r="AT142" s="113">
        <f>AB142-T142</f>
        <v>0</v>
      </c>
      <c r="AU142" s="113">
        <f t="shared" ref="AU142:AU155" si="281">AC142-U142</f>
        <v>-10257.331596469332</v>
      </c>
      <c r="AV142" s="113">
        <f t="shared" ref="AV142:AV155" si="282">AD142-V142</f>
        <v>-15254.629496003967</v>
      </c>
      <c r="AW142" s="114">
        <f t="shared" ref="AW142:AW155" si="283">AE142-W142</f>
        <v>-25511.961092473241</v>
      </c>
      <c r="AX142" s="115"/>
      <c r="AY142" s="107" t="s">
        <v>386</v>
      </c>
      <c r="AZ142" s="117">
        <f>IF(C142=0, 0,AT142/C142)</f>
        <v>0</v>
      </c>
      <c r="BA142" s="117">
        <f>IF(D142=0, 0,AU142/D142)</f>
        <v>-0.31338356721032129</v>
      </c>
      <c r="BB142" s="117">
        <f>IF(E142=0, 0,AV142/E142)</f>
        <v>-7.5620591668388026E-2</v>
      </c>
      <c r="BC142" s="118">
        <f>IF(F142=0, 0,AW142/F142)</f>
        <v>-0.10881306362783165</v>
      </c>
      <c r="BE142" s="107" t="s">
        <v>538</v>
      </c>
      <c r="BF142" s="307">
        <f>IFERROR(IF(AN142&gt;0,LN(AH142/AN142),0),0)</f>
        <v>0</v>
      </c>
      <c r="BG142" s="307">
        <f t="shared" ref="BG142:BG154" si="284">IFERROR(IF(AO142&gt;0,LN(AI142/AO142),0),0)</f>
        <v>-1.0738168172988024E-2</v>
      </c>
      <c r="BH142" s="307">
        <f t="shared" ref="BH142:BH154" si="285">IFERROR(IF(AP142&gt;0,LN(AJ142/AP142),0),0)</f>
        <v>7.592203496971263E-4</v>
      </c>
      <c r="BI142" s="118"/>
      <c r="BK142" s="107" t="s">
        <v>538</v>
      </c>
      <c r="BL142" s="307">
        <v>0</v>
      </c>
      <c r="BM142" s="307">
        <v>0</v>
      </c>
      <c r="BN142" s="307">
        <v>0</v>
      </c>
      <c r="BO142" s="118"/>
      <c r="BQ142" s="107" t="s">
        <v>538</v>
      </c>
      <c r="BR142" s="308">
        <v>0</v>
      </c>
      <c r="BS142" s="309">
        <v>0</v>
      </c>
      <c r="BT142" s="309">
        <v>0</v>
      </c>
      <c r="BU142" s="118"/>
      <c r="BX142" s="5" t="s">
        <v>386</v>
      </c>
      <c r="BY142" s="5" t="s">
        <v>387</v>
      </c>
      <c r="BZ142" s="5" t="s">
        <v>388</v>
      </c>
      <c r="CA142" s="5" t="s">
        <v>389</v>
      </c>
      <c r="CB142" s="5" t="s">
        <v>390</v>
      </c>
      <c r="CC142" s="5" t="s">
        <v>391</v>
      </c>
      <c r="CD142" s="5" t="s">
        <v>392</v>
      </c>
      <c r="CE142" s="5" t="s">
        <v>393</v>
      </c>
      <c r="CF142" s="5"/>
      <c r="CG142" s="5" t="s">
        <v>569</v>
      </c>
      <c r="CH142" s="5" t="s">
        <v>396</v>
      </c>
      <c r="CI142" s="5" t="s">
        <v>397</v>
      </c>
      <c r="CJ142" s="5" t="s">
        <v>398</v>
      </c>
      <c r="CK142" s="287" t="s">
        <v>399</v>
      </c>
    </row>
    <row r="143" spans="1:89" x14ac:dyDescent="0.25">
      <c r="A143">
        <v>2</v>
      </c>
      <c r="B143" s="107" t="s">
        <v>387</v>
      </c>
      <c r="C143" s="297">
        <v>0</v>
      </c>
      <c r="D143" s="113">
        <f>INDEX(TourMode_input!$B$20:$J$33,MATCH(TourMode!$A145,modes,0),MATCH("atwork",modePurpose,0))</f>
        <v>36.45082</v>
      </c>
      <c r="E143" s="113">
        <f>INDEX(TourMode_input!$B$36:$J$49,MATCH(TourMode!$A145,modes,0),MATCH("atwork",modePurpose,0))</f>
        <v>4922.7625200000002</v>
      </c>
      <c r="F143" s="116">
        <f t="shared" ref="F143:F154" si="286">SUM(C143:E143)</f>
        <v>4959.2133400000002</v>
      </c>
      <c r="G143" s="300"/>
      <c r="H143" s="300"/>
      <c r="I143" s="300"/>
      <c r="J143" s="115"/>
      <c r="K143">
        <v>2</v>
      </c>
      <c r="L143" s="107" t="s">
        <v>387</v>
      </c>
      <c r="M143" s="113">
        <f t="shared" ref="M143:M149" si="287">C143</f>
        <v>0</v>
      </c>
      <c r="N143" s="113">
        <f t="shared" si="279"/>
        <v>36.45082</v>
      </c>
      <c r="O143" s="113">
        <f t="shared" si="280"/>
        <v>4922.7625200000002</v>
      </c>
      <c r="P143" s="116">
        <f t="shared" ref="P143:P154" si="288">SUM(M143:O143)</f>
        <v>4959.2133400000002</v>
      </c>
      <c r="Q143" s="115"/>
      <c r="R143">
        <v>2</v>
      </c>
      <c r="S143" s="107" t="s">
        <v>387</v>
      </c>
      <c r="T143" s="113">
        <f>IF(M156&gt;0,M143/M156*T156,0)</f>
        <v>0</v>
      </c>
      <c r="U143" s="113">
        <f>IF(N156&gt;0,N143/N156*U156,0)</f>
        <v>193.14866469553877</v>
      </c>
      <c r="V143" s="113">
        <f>IF(O156&gt;0,O143/O156*V156,0)</f>
        <v>12787.770933352505</v>
      </c>
      <c r="W143" s="116">
        <f t="shared" ref="W143:W154" si="289">SUM(T143:V143)</f>
        <v>12980.919598048044</v>
      </c>
      <c r="X143" s="115"/>
      <c r="Y143" s="115"/>
      <c r="Z143" s="115"/>
      <c r="AA143" s="107" t="s">
        <v>387</v>
      </c>
      <c r="AB143" s="113">
        <f>INDEX(TourMode_input!$L$4:$T$17,MATCH(TourMode!$A145,modes,0),MATCH("atwork",modePurpose,0))*Index!$B$2</f>
        <v>0</v>
      </c>
      <c r="AC143" s="113">
        <f>INDEX(TourMode_input!$L$20:$T$33,MATCH(TourMode!$A145,modes,0), MATCH("atwork",modePurpose,0))*Index!$B$2</f>
        <v>12325</v>
      </c>
      <c r="AD143" s="113">
        <f>INDEX(TourMode_input!$L$36:$T$49,MATCH(TourMode!$A145,modes,0), MATCH("atwork",modePurpose,0))*Index!$B$2</f>
        <v>27635</v>
      </c>
      <c r="AE143" s="116">
        <f t="shared" ref="AE143:AE154" si="290">SUM(AB143:AD143)</f>
        <v>39960</v>
      </c>
      <c r="AG143" s="107"/>
      <c r="AH143" s="117"/>
      <c r="AI143" s="117"/>
      <c r="AJ143" s="117"/>
      <c r="AK143" s="118"/>
      <c r="AL143" s="115"/>
      <c r="AM143" s="107"/>
      <c r="AN143" s="117"/>
      <c r="AO143" s="117"/>
      <c r="AP143" s="117"/>
      <c r="AQ143" s="118"/>
      <c r="AS143" s="107" t="s">
        <v>387</v>
      </c>
      <c r="AT143" s="113">
        <f t="shared" ref="AT143:AT155" si="291">AB143-T143</f>
        <v>0</v>
      </c>
      <c r="AU143" s="113">
        <f t="shared" si="281"/>
        <v>12131.851335304462</v>
      </c>
      <c r="AV143" s="113">
        <f t="shared" si="282"/>
        <v>14847.229066647495</v>
      </c>
      <c r="AW143" s="116">
        <f t="shared" si="283"/>
        <v>26979.080401951956</v>
      </c>
      <c r="AX143" s="115"/>
      <c r="AY143" s="107" t="s">
        <v>387</v>
      </c>
      <c r="AZ143" s="117">
        <f t="shared" ref="AZ143:AZ155" si="292">IF(C143=0, 0,AT143/C143)</f>
        <v>0</v>
      </c>
      <c r="BA143" s="117">
        <f t="shared" ref="BA143:BA155" si="293">IF(D143=0, 0,AU143/D143)</f>
        <v>332.82794009310248</v>
      </c>
      <c r="BB143" s="117">
        <f t="shared" ref="BB143:BB155" si="294">IF(E143=0, 0,AV143/E143)</f>
        <v>3.0160360176479717</v>
      </c>
      <c r="BC143" s="118">
        <f t="shared" ref="BC143:BC155" si="295">IF(F143=0, 0,AW143/F143)</f>
        <v>5.4401935452835257</v>
      </c>
      <c r="BE143" s="107"/>
      <c r="BF143" s="307">
        <f t="shared" ref="BF143:BF154" si="296">IFERROR(IF(AN143&gt;0,LN(AH143/AN143),0),0)</f>
        <v>0</v>
      </c>
      <c r="BG143" s="307">
        <f t="shared" si="284"/>
        <v>0</v>
      </c>
      <c r="BH143" s="307">
        <f t="shared" si="285"/>
        <v>0</v>
      </c>
      <c r="BI143" s="118"/>
      <c r="BK143" s="107"/>
      <c r="BL143" s="307"/>
      <c r="BM143" s="307"/>
      <c r="BN143" s="307"/>
      <c r="BO143" s="118"/>
      <c r="BQ143" s="107"/>
      <c r="BR143" s="308"/>
      <c r="BS143" s="307"/>
      <c r="BT143" s="307"/>
      <c r="BU143" s="118"/>
      <c r="BW143" t="s">
        <v>131</v>
      </c>
      <c r="BX143">
        <f>IF(ISNUMBER(INDEX($BR$142:$BR$155,BX141,1)),INDEX($BR$142:$BR$155,BX141,1),0)</f>
        <v>0</v>
      </c>
      <c r="BY143">
        <f t="shared" ref="BY143:CJ143" si="297">IF(ISNUMBER(INDEX($BR$142:$BR$155,BY141,1)),INDEX($BR$142:$BR$155,BY141,1),0)</f>
        <v>0</v>
      </c>
      <c r="BZ143">
        <f t="shared" si="297"/>
        <v>0</v>
      </c>
      <c r="CA143">
        <f>BZ143</f>
        <v>0</v>
      </c>
      <c r="CB143">
        <f t="shared" si="297"/>
        <v>8.1178560813897214</v>
      </c>
      <c r="CC143">
        <f>CB143</f>
        <v>8.1178560813897214</v>
      </c>
      <c r="CD143">
        <f t="shared" si="297"/>
        <v>13.065845885369322</v>
      </c>
      <c r="CE143">
        <f t="shared" si="297"/>
        <v>6.4145486198869168</v>
      </c>
      <c r="CG143">
        <f t="shared" si="297"/>
        <v>3.6086181704602063</v>
      </c>
      <c r="CH143">
        <f t="shared" si="297"/>
        <v>7.1957107086902594</v>
      </c>
      <c r="CI143">
        <f t="shared" si="297"/>
        <v>7.1957107086902594</v>
      </c>
      <c r="CJ143">
        <f t="shared" si="297"/>
        <v>3.6067100367747864</v>
      </c>
      <c r="CK143" s="312">
        <v>-999</v>
      </c>
    </row>
    <row r="144" spans="1:89" x14ac:dyDescent="0.25">
      <c r="A144">
        <v>3</v>
      </c>
      <c r="B144" s="107" t="s">
        <v>388</v>
      </c>
      <c r="C144" s="113">
        <f>INDEX(TourMode_input!$B$4:$J$172,MATCH(TourMode!$A146,modes,0),MATCH("atwork",modePurpose,0))</f>
        <v>127.13596</v>
      </c>
      <c r="D144" s="113">
        <f>INDEX(TourMode_input!$B$20:$J$33,MATCH(TourMode!$A146,modes,0),MATCH("atwork",modePurpose,0))</f>
        <v>2763.90398</v>
      </c>
      <c r="E144" s="113">
        <f>INDEX(TourMode_input!$B$36:$J$49,MATCH(TourMode!$A146,modes,0),MATCH("atwork",modePurpose,0))</f>
        <v>27026.5425</v>
      </c>
      <c r="F144" s="116">
        <f t="shared" si="286"/>
        <v>29917.582439999998</v>
      </c>
      <c r="G144" s="300"/>
      <c r="H144" s="300"/>
      <c r="I144" s="300"/>
      <c r="J144" s="115"/>
      <c r="K144">
        <v>3</v>
      </c>
      <c r="L144" s="107" t="s">
        <v>388</v>
      </c>
      <c r="M144" s="113">
        <f t="shared" si="287"/>
        <v>127.13596</v>
      </c>
      <c r="N144" s="113">
        <f t="shared" si="279"/>
        <v>2763.90398</v>
      </c>
      <c r="O144" s="113">
        <f t="shared" si="280"/>
        <v>27026.5425</v>
      </c>
      <c r="P144" s="116">
        <f t="shared" si="288"/>
        <v>29917.582439999998</v>
      </c>
      <c r="Q144" s="115"/>
      <c r="R144">
        <v>3</v>
      </c>
      <c r="S144" s="107" t="s">
        <v>388</v>
      </c>
      <c r="T144" s="113">
        <f>IF(M156&gt;0,M144/M156*T156,0)</f>
        <v>238.10834070244798</v>
      </c>
      <c r="U144" s="113">
        <f>IF(N156&gt;0,N144/N156*U156,0)</f>
        <v>14645.606411150286</v>
      </c>
      <c r="V144" s="113">
        <f>IF(O156&gt;0,O144/O156*V156,0)</f>
        <v>70206.359377765824</v>
      </c>
      <c r="W144" s="116">
        <f t="shared" si="289"/>
        <v>85090.074129618559</v>
      </c>
      <c r="X144" s="115"/>
      <c r="Y144" s="115"/>
      <c r="Z144" s="115"/>
      <c r="AA144" s="107" t="s">
        <v>388</v>
      </c>
      <c r="AB144" s="113">
        <f>INDEX(TourMode_input!$L$4:$T$17,MATCH(TourMode!$A146,modes,0),MATCH("atwork",modePurpose,0))*Index!$B$2</f>
        <v>195</v>
      </c>
      <c r="AC144" s="113">
        <f>INDEX(TourMode_input!$L$20:$T$33,MATCH(TourMode!$A146,modes,0), MATCH("atwork",modePurpose,0))*Index!$B$2</f>
        <v>13495</v>
      </c>
      <c r="AD144" s="113">
        <f>INDEX(TourMode_input!$L$36:$T$49,MATCH(TourMode!$A146,modes,0), MATCH("atwork",modePurpose,0))*Index!$B$2</f>
        <v>69255</v>
      </c>
      <c r="AE144" s="116">
        <f t="shared" si="290"/>
        <v>82945</v>
      </c>
      <c r="AG144" s="107" t="s">
        <v>576</v>
      </c>
      <c r="AH144" s="117">
        <f>(T144+T145)/T$155</f>
        <v>7.4571982681631063E-3</v>
      </c>
      <c r="AI144" s="117">
        <f>(U144+U145)/U$155</f>
        <v>3.5576083783492321E-2</v>
      </c>
      <c r="AJ144" s="117">
        <f>(V144+V145)/V$155</f>
        <v>8.5994138242955986E-2</v>
      </c>
      <c r="AK144" s="117">
        <f>(W144+W145)/W$155</f>
        <v>6.7646179640135931E-2</v>
      </c>
      <c r="AL144" s="115"/>
      <c r="AM144" s="107" t="s">
        <v>576</v>
      </c>
      <c r="AN144" s="117">
        <f>(AB144+AB145)/AB$155</f>
        <v>7.0466645787660509E-3</v>
      </c>
      <c r="AO144" s="117">
        <f>(AC144+AC145)/AC$155</f>
        <v>3.4542230427283993E-2</v>
      </c>
      <c r="AP144" s="117">
        <f>(AD144+AD145)/AD$155</f>
        <v>8.6704395877689425E-2</v>
      </c>
      <c r="AQ144" s="117">
        <f>(AE144+AE145)/AE$155</f>
        <v>6.7761920348293828E-2</v>
      </c>
      <c r="AS144" s="107" t="s">
        <v>388</v>
      </c>
      <c r="AT144" s="113">
        <f t="shared" si="291"/>
        <v>-43.108340702447975</v>
      </c>
      <c r="AU144" s="113">
        <f t="shared" si="281"/>
        <v>-1150.6064111502856</v>
      </c>
      <c r="AV144" s="113">
        <f t="shared" si="282"/>
        <v>-951.35937776582432</v>
      </c>
      <c r="AW144" s="116">
        <f t="shared" si="283"/>
        <v>-2145.0741296185588</v>
      </c>
      <c r="AX144" s="115"/>
      <c r="AY144" s="107" t="s">
        <v>388</v>
      </c>
      <c r="AZ144" s="117">
        <f t="shared" si="292"/>
        <v>-0.33907275882014792</v>
      </c>
      <c r="BA144" s="117">
        <f t="shared" si="293"/>
        <v>-0.41629753402297481</v>
      </c>
      <c r="BB144" s="117">
        <f t="shared" si="294"/>
        <v>-3.5200928041972973E-2</v>
      </c>
      <c r="BC144" s="118">
        <f t="shared" si="295"/>
        <v>-7.1699447437657299E-2</v>
      </c>
      <c r="BE144" s="107" t="s">
        <v>576</v>
      </c>
      <c r="BF144" s="307">
        <f t="shared" si="296"/>
        <v>5.6625380924528686E-2</v>
      </c>
      <c r="BG144" s="307">
        <f t="shared" si="284"/>
        <v>2.9490962432132114E-2</v>
      </c>
      <c r="BH144" s="307">
        <f t="shared" si="285"/>
        <v>-8.2254507011157961E-3</v>
      </c>
      <c r="BI144" s="118"/>
      <c r="BK144" s="107" t="s">
        <v>576</v>
      </c>
      <c r="BL144" s="307">
        <v>0</v>
      </c>
      <c r="BM144" s="307">
        <v>-2.3665458008299503</v>
      </c>
      <c r="BN144" s="307">
        <v>-1.9343815879058852</v>
      </c>
      <c r="BO144" s="118"/>
      <c r="BQ144" s="107" t="s">
        <v>576</v>
      </c>
      <c r="BR144" s="309">
        <v>0</v>
      </c>
      <c r="BS144" s="307">
        <f t="shared" ref="BS144:BS154" si="298">(BG144-BG$142)*$BR$1+BM144</f>
        <v>-2.34643123552739</v>
      </c>
      <c r="BT144" s="307">
        <f t="shared" ref="BT144:BT154" si="299">(BH144-BH$142)*$BR$1+BN144</f>
        <v>-1.9388739234312917</v>
      </c>
      <c r="BU144" s="118"/>
      <c r="BW144" t="s">
        <v>132</v>
      </c>
      <c r="BX144">
        <f>IF(ISNUMBER(INDEX($BS$142:$BS$155,BX141,1)),INDEX($BS$142:$BS$155,BX141,1),0)</f>
        <v>0</v>
      </c>
      <c r="BY144">
        <f t="shared" ref="BY144:CJ144" si="300">IF(ISNUMBER(INDEX($BS$142:$BS$155,BY141,1)),INDEX($BS$142:$BS$155,BY141,1),0)</f>
        <v>0</v>
      </c>
      <c r="BZ144">
        <f t="shared" si="300"/>
        <v>-2.34643123552739</v>
      </c>
      <c r="CA144">
        <f>BZ144</f>
        <v>-2.34643123552739</v>
      </c>
      <c r="CB144">
        <f t="shared" si="300"/>
        <v>2.4005045234573354</v>
      </c>
      <c r="CC144">
        <f>CB144</f>
        <v>2.4005045234573354</v>
      </c>
      <c r="CD144">
        <f t="shared" si="300"/>
        <v>2.9126674442538421</v>
      </c>
      <c r="CE144">
        <f t="shared" si="300"/>
        <v>0.29822293529708099</v>
      </c>
      <c r="CG144">
        <f t="shared" si="300"/>
        <v>-2.5859906442323943</v>
      </c>
      <c r="CH144">
        <f t="shared" si="300"/>
        <v>-0.21737140827257936</v>
      </c>
      <c r="CI144">
        <f t="shared" si="300"/>
        <v>-0.21737140827257936</v>
      </c>
      <c r="CJ144">
        <f t="shared" si="300"/>
        <v>-1.0224887014752655</v>
      </c>
      <c r="CK144" s="312">
        <v>-999</v>
      </c>
    </row>
    <row r="145" spans="1:89" x14ac:dyDescent="0.25">
      <c r="A145">
        <v>4</v>
      </c>
      <c r="B145" s="107" t="s">
        <v>389</v>
      </c>
      <c r="C145" s="113">
        <f>INDEX(TourMode_input!$B$4:$J$172,MATCH(TourMode!$A147,modes,0),MATCH("atwork",modePurpose,0))</f>
        <v>0</v>
      </c>
      <c r="D145" s="113">
        <f>INDEX(TourMode_input!$B$20:$J$33,MATCH(TourMode!$A147,modes,0),MATCH("atwork",modePurpose,0))</f>
        <v>0</v>
      </c>
      <c r="E145" s="113">
        <f>INDEX(TourMode_input!$B$36:$J$49,MATCH(TourMode!$A147,modes,0),MATCH("atwork",modePurpose,0))</f>
        <v>261.07076999999998</v>
      </c>
      <c r="F145" s="116">
        <f t="shared" si="286"/>
        <v>261.07076999999998</v>
      </c>
      <c r="G145" s="300"/>
      <c r="H145" s="300"/>
      <c r="I145" s="300"/>
      <c r="J145" s="115"/>
      <c r="K145">
        <v>4</v>
      </c>
      <c r="L145" s="107" t="s">
        <v>389</v>
      </c>
      <c r="M145" s="113">
        <f t="shared" si="287"/>
        <v>0</v>
      </c>
      <c r="N145" s="113">
        <f t="shared" si="279"/>
        <v>0</v>
      </c>
      <c r="O145" s="113">
        <f t="shared" si="280"/>
        <v>261.07076999999998</v>
      </c>
      <c r="P145" s="116">
        <f t="shared" si="288"/>
        <v>261.07076999999998</v>
      </c>
      <c r="Q145" s="115"/>
      <c r="R145">
        <v>4</v>
      </c>
      <c r="S145" s="107" t="s">
        <v>389</v>
      </c>
      <c r="T145" s="113">
        <f>IF(M156&gt;0,M145/M156*T156,0)</f>
        <v>0</v>
      </c>
      <c r="U145" s="113">
        <f>IF(N156&gt;0,N145/N156*U156,0)</f>
        <v>0</v>
      </c>
      <c r="V145" s="113">
        <f>IF(O156&gt;0,O145/O156*V156,0)</f>
        <v>678.17880521158202</v>
      </c>
      <c r="W145" s="116">
        <f t="shared" si="289"/>
        <v>678.17880521158202</v>
      </c>
      <c r="X145" s="115"/>
      <c r="Y145" s="115"/>
      <c r="Z145" s="115"/>
      <c r="AA145" s="107" t="s">
        <v>389</v>
      </c>
      <c r="AB145" s="113">
        <f>INDEX(TourMode_input!$L$4:$T$17,MATCH(TourMode!$A147,modes,0),MATCH("atwork",modePurpose,0))*Index!$B$2</f>
        <v>30</v>
      </c>
      <c r="AC145" s="113">
        <f>INDEX(TourMode_input!$L$20:$T$33,MATCH(TourMode!$A147,modes,0), MATCH("atwork",modePurpose,0))*Index!$B$2</f>
        <v>725</v>
      </c>
      <c r="AD145" s="113">
        <f>INDEX(TourMode_input!$L$36:$T$49,MATCH(TourMode!$A147,modes,0), MATCH("atwork",modePurpose,0))*Index!$B$2</f>
        <v>2215</v>
      </c>
      <c r="AE145" s="116">
        <f t="shared" si="290"/>
        <v>2970</v>
      </c>
      <c r="AG145" s="107"/>
      <c r="AH145" s="117"/>
      <c r="AI145" s="117"/>
      <c r="AJ145" s="117"/>
      <c r="AK145" s="118"/>
      <c r="AL145" s="115"/>
      <c r="AM145" s="107"/>
      <c r="AN145" s="117"/>
      <c r="AO145" s="117"/>
      <c r="AP145" s="117"/>
      <c r="AQ145" s="118"/>
      <c r="AS145" s="107" t="s">
        <v>389</v>
      </c>
      <c r="AT145" s="113">
        <f t="shared" si="291"/>
        <v>30</v>
      </c>
      <c r="AU145" s="113">
        <f t="shared" si="281"/>
        <v>725</v>
      </c>
      <c r="AV145" s="113">
        <f t="shared" si="282"/>
        <v>1536.8211947884179</v>
      </c>
      <c r="AW145" s="116">
        <f t="shared" si="283"/>
        <v>2291.8211947884179</v>
      </c>
      <c r="AX145" s="115"/>
      <c r="AY145" s="107" t="s">
        <v>389</v>
      </c>
      <c r="AZ145" s="117">
        <f t="shared" si="292"/>
        <v>0</v>
      </c>
      <c r="BA145" s="117">
        <f t="shared" si="293"/>
        <v>0</v>
      </c>
      <c r="BB145" s="117">
        <f t="shared" si="294"/>
        <v>5.8866076611656597</v>
      </c>
      <c r="BC145" s="118">
        <f t="shared" si="295"/>
        <v>8.7785438208514037</v>
      </c>
      <c r="BE145" s="107"/>
      <c r="BF145" s="307">
        <f t="shared" si="296"/>
        <v>0</v>
      </c>
      <c r="BG145" s="307">
        <f t="shared" si="284"/>
        <v>0</v>
      </c>
      <c r="BH145" s="307">
        <f t="shared" si="285"/>
        <v>0</v>
      </c>
      <c r="BI145" s="118"/>
      <c r="BK145" s="107"/>
      <c r="BL145" s="307"/>
      <c r="BM145" s="307"/>
      <c r="BN145" s="307"/>
      <c r="BO145" s="118"/>
      <c r="BQ145" s="107"/>
      <c r="BR145" s="307"/>
      <c r="BS145" s="307"/>
      <c r="BT145" s="307"/>
      <c r="BU145" s="118"/>
      <c r="BW145" t="s">
        <v>133</v>
      </c>
      <c r="BX145">
        <f>IF(ISNUMBER(INDEX($BT$142:$BT$155,BX141,1)),INDEX($BT$142:$BT$155,BX141,1),0)</f>
        <v>0</v>
      </c>
      <c r="BY145">
        <f t="shared" ref="BY145:CJ145" si="301">IF(ISNUMBER(INDEX($BT$142:$BT$155,BY141,1)),INDEX($BT$142:$BT$155,BY141,1),0)</f>
        <v>0</v>
      </c>
      <c r="BZ145">
        <f t="shared" si="301"/>
        <v>-1.9388739234312917</v>
      </c>
      <c r="CA145">
        <f>BZ145</f>
        <v>-1.9388739234312917</v>
      </c>
      <c r="CB145">
        <f t="shared" si="301"/>
        <v>1.7364288212007379</v>
      </c>
      <c r="CC145">
        <f>CB145</f>
        <v>1.7364288212007379</v>
      </c>
      <c r="CD145">
        <f t="shared" si="301"/>
        <v>0.84118494003757371</v>
      </c>
      <c r="CE145">
        <f t="shared" si="301"/>
        <v>-5.1879580234115832E-2</v>
      </c>
      <c r="CG145">
        <f t="shared" si="301"/>
        <v>-3.710470616352719</v>
      </c>
      <c r="CH145">
        <f t="shared" si="301"/>
        <v>-0.16792964286447423</v>
      </c>
      <c r="CI145">
        <f t="shared" si="301"/>
        <v>-0.16792964286447423</v>
      </c>
      <c r="CJ145">
        <f t="shared" si="301"/>
        <v>-2.6282723481895069</v>
      </c>
      <c r="CK145" s="312">
        <v>-999</v>
      </c>
    </row>
    <row r="146" spans="1:89" x14ac:dyDescent="0.25">
      <c r="A146">
        <v>5</v>
      </c>
      <c r="B146" s="107" t="s">
        <v>390</v>
      </c>
      <c r="C146" s="113">
        <f>INDEX(TourMode_input!$B$4:$J$172,MATCH(TourMode!$A148,modes,0),MATCH("atwork",modePurpose,0))</f>
        <v>0</v>
      </c>
      <c r="D146" s="113">
        <f>INDEX(TourMode_input!$B$20:$J$33,MATCH(TourMode!$A148,modes,0),MATCH("atwork",modePurpose,0))</f>
        <v>940.36594000000002</v>
      </c>
      <c r="E146" s="113">
        <f>INDEX(TourMode_input!$B$36:$J$49,MATCH(TourMode!$A148,modes,0),MATCH("atwork",modePurpose,0))</f>
        <v>2912.4227599999999</v>
      </c>
      <c r="F146" s="116">
        <f t="shared" si="286"/>
        <v>3852.7887000000001</v>
      </c>
      <c r="G146" s="300"/>
      <c r="H146" s="300"/>
      <c r="I146" s="300"/>
      <c r="J146" s="115"/>
      <c r="K146">
        <v>5</v>
      </c>
      <c r="L146" s="107" t="s">
        <v>390</v>
      </c>
      <c r="M146" s="113">
        <f t="shared" si="287"/>
        <v>0</v>
      </c>
      <c r="N146" s="113">
        <f t="shared" si="279"/>
        <v>940.36594000000002</v>
      </c>
      <c r="O146" s="113">
        <f t="shared" si="280"/>
        <v>2912.4227599999999</v>
      </c>
      <c r="P146" s="116">
        <f t="shared" si="288"/>
        <v>3852.7887000000001</v>
      </c>
      <c r="Q146" s="115"/>
      <c r="R146">
        <v>5</v>
      </c>
      <c r="S146" s="107" t="s">
        <v>390</v>
      </c>
      <c r="T146" s="113">
        <f>IF(M156&gt;0,M146/M156*T156,0)</f>
        <v>0</v>
      </c>
      <c r="U146" s="113">
        <f>IF(N156&gt;0,N146/N156*U156,0)</f>
        <v>4982.8899771298729</v>
      </c>
      <c r="V146" s="113">
        <f>IF(O156&gt;0,O146/O156*V156,0)</f>
        <v>7565.5477924542001</v>
      </c>
      <c r="W146" s="116">
        <f t="shared" si="289"/>
        <v>12548.437769584074</v>
      </c>
      <c r="X146" s="115"/>
      <c r="Y146" s="115"/>
      <c r="Z146" s="115"/>
      <c r="AA146" s="107" t="s">
        <v>390</v>
      </c>
      <c r="AB146" s="113">
        <f>INDEX(TourMode_input!$L$4:$T$17,MATCH(TourMode!$A148,modes,0),MATCH("atwork",modePurpose,0))*Index!$B$2</f>
        <v>3865</v>
      </c>
      <c r="AC146" s="113">
        <f>INDEX(TourMode_input!$L$20:$T$33,MATCH(TourMode!$A148,modes,0), MATCH("atwork",modePurpose,0))*Index!$B$2</f>
        <v>4975</v>
      </c>
      <c r="AD146" s="113">
        <f>INDEX(TourMode_input!$L$36:$T$49,MATCH(TourMode!$A148,modes,0), MATCH("atwork",modePurpose,0))*Index!$B$2</f>
        <v>7810</v>
      </c>
      <c r="AE146" s="116">
        <f t="shared" si="290"/>
        <v>16650</v>
      </c>
      <c r="AG146" s="107" t="s">
        <v>577</v>
      </c>
      <c r="AH146" s="117">
        <f>(T146+T147)/T$155</f>
        <v>0</v>
      </c>
      <c r="AI146" s="117">
        <f>(U146+U147)/U$155</f>
        <v>1.2104088170451751E-2</v>
      </c>
      <c r="AJ146" s="117">
        <f>(V146+V147)/V$155</f>
        <v>9.1782041531905442E-3</v>
      </c>
      <c r="AK146" s="117">
        <f>(W146+W147)/W$155</f>
        <v>9.897063849596436E-3</v>
      </c>
      <c r="AL146" s="115"/>
      <c r="AM146" s="107" t="s">
        <v>577</v>
      </c>
      <c r="AN146" s="117">
        <f>(AB146+AB147)/AB$155</f>
        <v>0.12245537112433448</v>
      </c>
      <c r="AO146" s="117">
        <f>(AC146+AC147)/AC$155</f>
        <v>1.2157796293147423E-2</v>
      </c>
      <c r="AP146" s="117">
        <f>(AD146+AD147)/AD$155</f>
        <v>9.5475527572046418E-3</v>
      </c>
      <c r="AQ146" s="117">
        <f>(AE146+AE147)/AE$155</f>
        <v>1.3238477949672488E-2</v>
      </c>
      <c r="AS146" s="107" t="s">
        <v>390</v>
      </c>
      <c r="AT146" s="113">
        <f t="shared" si="291"/>
        <v>3865</v>
      </c>
      <c r="AU146" s="113">
        <f t="shared" si="281"/>
        <v>-7.889977129872932</v>
      </c>
      <c r="AV146" s="113">
        <f t="shared" si="282"/>
        <v>244.45220754579987</v>
      </c>
      <c r="AW146" s="116">
        <f t="shared" si="283"/>
        <v>4101.562230415926</v>
      </c>
      <c r="AX146" s="115"/>
      <c r="AY146" s="107" t="s">
        <v>390</v>
      </c>
      <c r="AZ146" s="117">
        <f t="shared" si="292"/>
        <v>0</v>
      </c>
      <c r="BA146" s="117">
        <f t="shared" si="293"/>
        <v>-8.3903263551558787E-3</v>
      </c>
      <c r="BB146" s="117">
        <f t="shared" si="294"/>
        <v>8.3934314380169128E-2</v>
      </c>
      <c r="BC146" s="118">
        <f t="shared" si="295"/>
        <v>1.0645697311186377</v>
      </c>
      <c r="BE146" s="107" t="s">
        <v>577</v>
      </c>
      <c r="BF146" s="307">
        <f t="shared" si="296"/>
        <v>0</v>
      </c>
      <c r="BG146" s="307">
        <f t="shared" si="284"/>
        <v>-4.4273733564931849E-3</v>
      </c>
      <c r="BH146" s="307">
        <f t="shared" si="285"/>
        <v>-3.9453306382391175E-2</v>
      </c>
      <c r="BI146" s="118"/>
      <c r="BK146" s="107" t="s">
        <v>577</v>
      </c>
      <c r="BL146" s="307">
        <v>8.1461687718519862</v>
      </c>
      <c r="BM146" s="307">
        <v>2.3973491260490882</v>
      </c>
      <c r="BN146" s="307">
        <v>1.756535084566782</v>
      </c>
      <c r="BO146" s="118"/>
      <c r="BQ146" s="107" t="s">
        <v>577</v>
      </c>
      <c r="BR146" s="307">
        <f t="shared" ref="BR146:BR154" si="302">(BF146-BF$144)*$BR$1+BL146</f>
        <v>8.1178560813897214</v>
      </c>
      <c r="BS146" s="307">
        <f t="shared" si="298"/>
        <v>2.4005045234573354</v>
      </c>
      <c r="BT146" s="307">
        <f t="shared" si="299"/>
        <v>1.7364288212007379</v>
      </c>
      <c r="BU146" s="118"/>
    </row>
    <row r="147" spans="1:89" x14ac:dyDescent="0.25">
      <c r="A147">
        <v>6</v>
      </c>
      <c r="B147" s="107" t="s">
        <v>391</v>
      </c>
      <c r="C147" s="113">
        <f>INDEX(TourMode_input!$B$4:$J$172,MATCH(TourMode!$A149,modes,0),MATCH("atwork",modePurpose,0))</f>
        <v>0</v>
      </c>
      <c r="D147" s="113">
        <f>INDEX(TourMode_input!$B$20:$J$33,MATCH(TourMode!$A149,modes,0),MATCH("atwork",modePurpose,0))</f>
        <v>0</v>
      </c>
      <c r="E147" s="113">
        <f>INDEX(TourMode_input!$B$36:$J$49,MATCH(TourMode!$A149,modes,0),MATCH("atwork",modePurpose,0))</f>
        <v>0</v>
      </c>
      <c r="F147" s="116">
        <f t="shared" si="286"/>
        <v>0</v>
      </c>
      <c r="G147" s="300"/>
      <c r="H147" s="300"/>
      <c r="I147" s="300"/>
      <c r="J147" s="115"/>
      <c r="K147">
        <v>6</v>
      </c>
      <c r="L147" s="107" t="s">
        <v>391</v>
      </c>
      <c r="M147" s="113">
        <f t="shared" si="287"/>
        <v>0</v>
      </c>
      <c r="N147" s="113">
        <f t="shared" si="279"/>
        <v>0</v>
      </c>
      <c r="O147" s="113">
        <f t="shared" si="280"/>
        <v>0</v>
      </c>
      <c r="P147" s="116">
        <f t="shared" si="288"/>
        <v>0</v>
      </c>
      <c r="Q147" s="115"/>
      <c r="R147">
        <v>6</v>
      </c>
      <c r="S147" s="107" t="s">
        <v>391</v>
      </c>
      <c r="T147" s="113">
        <f>IF(M156&gt;0,M147/M156*T156,0)</f>
        <v>0</v>
      </c>
      <c r="U147" s="113">
        <f>IF(N156&gt;0,N147/N156*U156,0)</f>
        <v>0</v>
      </c>
      <c r="V147" s="113">
        <f>IF(O156&gt;0,O147/O156*V156,0)</f>
        <v>0</v>
      </c>
      <c r="W147" s="116">
        <f t="shared" si="289"/>
        <v>0</v>
      </c>
      <c r="X147" s="115"/>
      <c r="Y147" s="115"/>
      <c r="Z147" s="115"/>
      <c r="AA147" s="107" t="s">
        <v>391</v>
      </c>
      <c r="AB147" s="113">
        <f>INDEX(TourMode_input!$L$4:$T$17,MATCH(TourMode!$A149,modes,0),MATCH("atwork",modePurpose,0))*Index!$B$2</f>
        <v>45</v>
      </c>
      <c r="AC147" s="113">
        <f>INDEX(TourMode_input!$L$20:$T$33,MATCH(TourMode!$A149,modes,0), MATCH("atwork",modePurpose,0))*Index!$B$2</f>
        <v>30</v>
      </c>
      <c r="AD147" s="113">
        <f>INDEX(TourMode_input!$L$36:$T$49,MATCH(TourMode!$A149,modes,0), MATCH("atwork",modePurpose,0))*Index!$B$2</f>
        <v>60</v>
      </c>
      <c r="AE147" s="116">
        <f t="shared" si="290"/>
        <v>135</v>
      </c>
      <c r="AG147" s="107"/>
      <c r="AH147" s="117"/>
      <c r="AI147" s="117"/>
      <c r="AJ147" s="117"/>
      <c r="AK147" s="118"/>
      <c r="AL147" s="115"/>
      <c r="AM147" s="107"/>
      <c r="AN147" s="117"/>
      <c r="AO147" s="117"/>
      <c r="AP147" s="117"/>
      <c r="AQ147" s="118"/>
      <c r="AS147" s="107" t="s">
        <v>391</v>
      </c>
      <c r="AT147" s="113">
        <f t="shared" si="291"/>
        <v>45</v>
      </c>
      <c r="AU147" s="113">
        <f t="shared" si="281"/>
        <v>30</v>
      </c>
      <c r="AV147" s="113">
        <f t="shared" si="282"/>
        <v>60</v>
      </c>
      <c r="AW147" s="116">
        <f t="shared" si="283"/>
        <v>135</v>
      </c>
      <c r="AX147" s="115"/>
      <c r="AY147" s="107" t="s">
        <v>391</v>
      </c>
      <c r="AZ147" s="117">
        <f t="shared" si="292"/>
        <v>0</v>
      </c>
      <c r="BA147" s="117">
        <f t="shared" si="293"/>
        <v>0</v>
      </c>
      <c r="BB147" s="117">
        <f t="shared" si="294"/>
        <v>0</v>
      </c>
      <c r="BC147" s="118">
        <f t="shared" si="295"/>
        <v>0</v>
      </c>
      <c r="BE147" s="107"/>
      <c r="BF147" s="307">
        <f t="shared" si="296"/>
        <v>0</v>
      </c>
      <c r="BG147" s="307">
        <f t="shared" si="284"/>
        <v>0</v>
      </c>
      <c r="BH147" s="307">
        <f t="shared" si="285"/>
        <v>0</v>
      </c>
      <c r="BI147" s="118"/>
      <c r="BK147" s="107"/>
      <c r="BL147" s="307"/>
      <c r="BM147" s="307"/>
      <c r="BN147" s="307"/>
      <c r="BO147" s="118"/>
      <c r="BQ147" s="107"/>
      <c r="BR147" s="307"/>
      <c r="BS147" s="307"/>
      <c r="BT147" s="307"/>
      <c r="BU147" s="118"/>
    </row>
    <row r="148" spans="1:89" x14ac:dyDescent="0.25">
      <c r="A148">
        <v>7</v>
      </c>
      <c r="B148" s="107" t="s">
        <v>392</v>
      </c>
      <c r="C148" s="113">
        <f>INDEX(TourMode_input!$B$4:$J$172,MATCH(TourMode!$A150,modes,0),MATCH("atwork",modePurpose,0))</f>
        <v>15298.07634</v>
      </c>
      <c r="D148" s="113">
        <f>INDEX(TourMode_input!$B$20:$J$33,MATCH(TourMode!$A150,modes,0),MATCH("atwork",modePurpose,0))</f>
        <v>39827.719980000002</v>
      </c>
      <c r="E148" s="113">
        <f>INDEX(TourMode_input!$B$36:$J$49,MATCH(TourMode!$A150,modes,0),MATCH("atwork",modePurpose,0))</f>
        <v>75827.395780000006</v>
      </c>
      <c r="F148" s="116">
        <f t="shared" si="286"/>
        <v>130953.19210000001</v>
      </c>
      <c r="G148" s="300"/>
      <c r="H148" s="300"/>
      <c r="I148" s="300"/>
      <c r="J148" s="115"/>
      <c r="K148">
        <v>7</v>
      </c>
      <c r="L148" s="107" t="s">
        <v>392</v>
      </c>
      <c r="M148" s="113">
        <f t="shared" si="287"/>
        <v>15298.07634</v>
      </c>
      <c r="N148" s="113">
        <f t="shared" si="279"/>
        <v>39827.719980000002</v>
      </c>
      <c r="O148" s="113">
        <f t="shared" si="280"/>
        <v>75827.395780000006</v>
      </c>
      <c r="P148" s="116">
        <f t="shared" si="288"/>
        <v>130953.19210000001</v>
      </c>
      <c r="Q148" s="115"/>
      <c r="R148">
        <v>7</v>
      </c>
      <c r="S148" s="107" t="s">
        <v>392</v>
      </c>
      <c r="T148" s="113">
        <f>IF(M156&gt;0,M148/M156*T156,0)</f>
        <v>28651.213812809365</v>
      </c>
      <c r="U148" s="113">
        <f>IF(N156&gt;0,N148/N156*U156,0)</f>
        <v>211042.46576633476</v>
      </c>
      <c r="V148" s="113">
        <f>IF(O156&gt;0,O148/O156*V156,0)</f>
        <v>196975.45103339668</v>
      </c>
      <c r="W148" s="116">
        <f t="shared" si="289"/>
        <v>436669.13061254076</v>
      </c>
      <c r="X148" s="115"/>
      <c r="Y148" s="115"/>
      <c r="Z148" s="115"/>
      <c r="AA148" s="107" t="s">
        <v>392</v>
      </c>
      <c r="AB148" s="113">
        <f>INDEX(TourMode_input!$L$4:$T$17,MATCH(TourMode!$A150,modes,0),MATCH("atwork",modePurpose,0))*Index!$B$2</f>
        <v>25020</v>
      </c>
      <c r="AC148" s="113">
        <f>INDEX(TourMode_input!$L$20:$T$33,MATCH(TourMode!$A150,modes,0), MATCH("atwork",modePurpose,0))*Index!$B$2</f>
        <v>208380</v>
      </c>
      <c r="AD148" s="113">
        <f>INDEX(TourMode_input!$L$36:$T$49,MATCH(TourMode!$A150,modes,0), MATCH("atwork",modePurpose,0))*Index!$B$2</f>
        <v>197090</v>
      </c>
      <c r="AE148" s="116">
        <f t="shared" si="290"/>
        <v>430490</v>
      </c>
      <c r="AG148" s="107" t="s">
        <v>392</v>
      </c>
      <c r="AH148" s="117">
        <f t="shared" ref="AH148:AH155" si="303">T148/T$155</f>
        <v>0.8973133045038949</v>
      </c>
      <c r="AI148" s="117">
        <f t="shared" ref="AI148:AI155" si="304">U148/U$155</f>
        <v>0.51264961198614112</v>
      </c>
      <c r="AJ148" s="117">
        <f t="shared" ref="AJ148:AJ155" si="305">V148/V$155</f>
        <v>0.23896232663475656</v>
      </c>
      <c r="AK148" s="118">
        <f t="shared" ref="AK148:AK155" si="306">W148/W$155</f>
        <v>0.34440480529739509</v>
      </c>
      <c r="AL148" s="115"/>
      <c r="AM148" s="107" t="s">
        <v>392</v>
      </c>
      <c r="AN148" s="117">
        <f t="shared" ref="AN148:AN155" si="307">AB148/AB$155</f>
        <v>0.78358910115878488</v>
      </c>
      <c r="AO148" s="117">
        <f t="shared" ref="AO148:AO155" si="308">AC148/AC$155</f>
        <v>0.506182136177035</v>
      </c>
      <c r="AP148" s="117">
        <f t="shared" ref="AP148:AP155" si="309">AD148/AD$155</f>
        <v>0.23910129261975385</v>
      </c>
      <c r="AQ148" s="118">
        <f t="shared" ref="AQ148:AQ155" si="310">AE148/AE$155</f>
        <v>0.3395312703338999</v>
      </c>
      <c r="AS148" s="107" t="s">
        <v>392</v>
      </c>
      <c r="AT148" s="113">
        <f t="shared" si="291"/>
        <v>-3631.2138128093648</v>
      </c>
      <c r="AU148" s="113">
        <f t="shared" si="281"/>
        <v>-2662.4657663347607</v>
      </c>
      <c r="AV148" s="113">
        <f t="shared" si="282"/>
        <v>114.54896660332452</v>
      </c>
      <c r="AW148" s="116">
        <f t="shared" si="283"/>
        <v>-6179.1306125407573</v>
      </c>
      <c r="AX148" s="115"/>
      <c r="AY148" s="107" t="s">
        <v>392</v>
      </c>
      <c r="AZ148" s="117">
        <f t="shared" si="292"/>
        <v>-0.23736407977745552</v>
      </c>
      <c r="BA148" s="117">
        <f t="shared" si="293"/>
        <v>-6.6849565269409147E-2</v>
      </c>
      <c r="BB148" s="117">
        <f t="shared" si="294"/>
        <v>1.5106541036391176E-3</v>
      </c>
      <c r="BC148" s="118">
        <f t="shared" si="295"/>
        <v>-4.7185796034831876E-2</v>
      </c>
      <c r="BE148" s="107" t="s">
        <v>392</v>
      </c>
      <c r="BF148" s="307">
        <f t="shared" si="296"/>
        <v>0.13552030416377489</v>
      </c>
      <c r="BG148" s="307">
        <f t="shared" si="284"/>
        <v>1.2696036798130078E-2</v>
      </c>
      <c r="BH148" s="307">
        <f t="shared" si="285"/>
        <v>-5.8137027506135618E-4</v>
      </c>
      <c r="BI148" s="118"/>
      <c r="BK148" s="107" t="s">
        <v>392</v>
      </c>
      <c r="BL148" s="307">
        <v>13.026398423749699</v>
      </c>
      <c r="BM148" s="307">
        <v>2.9009503417682829</v>
      </c>
      <c r="BN148" s="307">
        <v>0.84185523534995299</v>
      </c>
      <c r="BO148" s="118"/>
      <c r="BQ148" s="107" t="s">
        <v>392</v>
      </c>
      <c r="BR148" s="307">
        <f t="shared" si="302"/>
        <v>13.065845885369322</v>
      </c>
      <c r="BS148" s="307">
        <f t="shared" si="298"/>
        <v>2.9126674442538421</v>
      </c>
      <c r="BT148" s="307">
        <f t="shared" si="299"/>
        <v>0.84118494003757371</v>
      </c>
      <c r="BU148" s="118"/>
    </row>
    <row r="149" spans="1:89" x14ac:dyDescent="0.25">
      <c r="A149">
        <v>8</v>
      </c>
      <c r="B149" s="107" t="s">
        <v>393</v>
      </c>
      <c r="C149" s="113">
        <f>INDEX(TourMode_input!$B$4:$J$172,MATCH(TourMode!$A151,modes,0),MATCH("atwork",modePurpose,0))</f>
        <v>709.41787999999997</v>
      </c>
      <c r="D149" s="113">
        <f>INDEX(TourMode_input!$B$20:$J$33,MATCH(TourMode!$A151,modes,0),MATCH("atwork",modePurpose,0))</f>
        <v>0</v>
      </c>
      <c r="E149" s="113">
        <f>INDEX(TourMode_input!$B$36:$J$49,MATCH(TourMode!$A151,modes,0),MATCH("atwork",modePurpose,0))</f>
        <v>1034.8491300000001</v>
      </c>
      <c r="F149" s="116">
        <f t="shared" si="286"/>
        <v>1744.26701</v>
      </c>
      <c r="G149" s="300"/>
      <c r="H149" s="300"/>
      <c r="I149" s="300"/>
      <c r="J149" s="115"/>
      <c r="K149">
        <v>8</v>
      </c>
      <c r="L149" s="107" t="s">
        <v>393</v>
      </c>
      <c r="M149" s="113">
        <f t="shared" si="287"/>
        <v>709.41787999999997</v>
      </c>
      <c r="N149" s="113">
        <f t="shared" si="279"/>
        <v>0</v>
      </c>
      <c r="O149" s="113">
        <f t="shared" si="280"/>
        <v>1034.8491300000001</v>
      </c>
      <c r="P149" s="116">
        <f t="shared" si="288"/>
        <v>1744.26701</v>
      </c>
      <c r="Q149" s="115"/>
      <c r="R149">
        <v>8</v>
      </c>
      <c r="S149" s="107" t="s">
        <v>393</v>
      </c>
      <c r="T149" s="113">
        <f>IF(M156&gt;0,M149/M156*T156,0)</f>
        <v>1328.6430862790382</v>
      </c>
      <c r="U149" s="113">
        <f>IF(N156&gt;0,N149/N156*U156,0)</f>
        <v>0</v>
      </c>
      <c r="V149" s="113">
        <f>IF(O156&gt;0,O149/O156*V156,0)</f>
        <v>2688.208819997908</v>
      </c>
      <c r="W149" s="116">
        <f t="shared" si="289"/>
        <v>4016.8519062769465</v>
      </c>
      <c r="X149" s="115"/>
      <c r="Y149" s="115"/>
      <c r="Z149" s="115"/>
      <c r="AA149" s="107" t="s">
        <v>393</v>
      </c>
      <c r="AB149" s="113">
        <f>INDEX(TourMode_input!$L$4:$T$17,MATCH(TourMode!$A151,modes,0),MATCH("atwork",modePurpose,0))*Index!$B$2</f>
        <v>1640</v>
      </c>
      <c r="AC149" s="113">
        <f>INDEX(TourMode_input!$L$20:$T$33,MATCH(TourMode!$A151,modes,0), MATCH("atwork",modePurpose,0))*Index!$B$2</f>
        <v>1245</v>
      </c>
      <c r="AD149" s="113">
        <f>INDEX(TourMode_input!$L$36:$T$49,MATCH(TourMode!$A151,modes,0), MATCH("atwork",modePurpose,0))*Index!$B$2</f>
        <v>2505</v>
      </c>
      <c r="AE149" s="116">
        <f t="shared" si="290"/>
        <v>5390</v>
      </c>
      <c r="AG149" s="107" t="s">
        <v>393</v>
      </c>
      <c r="AH149" s="117">
        <f t="shared" si="303"/>
        <v>4.1611120772910688E-2</v>
      </c>
      <c r="AI149" s="117">
        <f t="shared" si="304"/>
        <v>0</v>
      </c>
      <c r="AJ149" s="117">
        <f t="shared" si="305"/>
        <v>3.261221795592485E-3</v>
      </c>
      <c r="AK149" s="118">
        <f t="shared" si="306"/>
        <v>3.1681266242685291E-3</v>
      </c>
      <c r="AL149" s="115"/>
      <c r="AM149" s="107" t="s">
        <v>393</v>
      </c>
      <c r="AN149" s="117">
        <f t="shared" si="307"/>
        <v>5.1362355151894773E-2</v>
      </c>
      <c r="AO149" s="117">
        <f t="shared" si="308"/>
        <v>3.024267009983725E-3</v>
      </c>
      <c r="AP149" s="117">
        <f t="shared" si="309"/>
        <v>3.0389605663021127E-3</v>
      </c>
      <c r="AQ149" s="118">
        <f t="shared" si="310"/>
        <v>4.251140670165905E-3</v>
      </c>
      <c r="AS149" s="107" t="s">
        <v>393</v>
      </c>
      <c r="AT149" s="113">
        <f t="shared" si="291"/>
        <v>311.35691372096176</v>
      </c>
      <c r="AU149" s="113">
        <f t="shared" si="281"/>
        <v>1245</v>
      </c>
      <c r="AV149" s="113">
        <f t="shared" si="282"/>
        <v>-183.20881999790799</v>
      </c>
      <c r="AW149" s="116">
        <f t="shared" si="283"/>
        <v>1373.1480937230535</v>
      </c>
      <c r="AX149" s="115"/>
      <c r="AY149" s="107" t="s">
        <v>393</v>
      </c>
      <c r="AZ149" s="117">
        <f t="shared" si="292"/>
        <v>0.43889070532161067</v>
      </c>
      <c r="BA149" s="117">
        <f t="shared" si="293"/>
        <v>0</v>
      </c>
      <c r="BB149" s="117">
        <f t="shared" si="294"/>
        <v>-0.17703915931968556</v>
      </c>
      <c r="BC149" s="118">
        <f t="shared" si="295"/>
        <v>0.78723503101916348</v>
      </c>
      <c r="BE149" s="107" t="s">
        <v>393</v>
      </c>
      <c r="BF149" s="307">
        <f t="shared" si="296"/>
        <v>-0.21053805627774541</v>
      </c>
      <c r="BG149" s="307">
        <f t="shared" si="284"/>
        <v>0</v>
      </c>
      <c r="BH149" s="307">
        <f t="shared" si="285"/>
        <v>7.0586371117799349E-2</v>
      </c>
      <c r="BI149" s="118"/>
      <c r="BK149" s="107" t="s">
        <v>393</v>
      </c>
      <c r="BL149" s="307">
        <v>6.548130338488054</v>
      </c>
      <c r="BM149" s="307">
        <v>0.29285385121058699</v>
      </c>
      <c r="BN149" s="307">
        <v>-8.6793155618166945E-2</v>
      </c>
      <c r="BO149" s="118"/>
      <c r="BQ149" s="107" t="s">
        <v>393</v>
      </c>
      <c r="BR149" s="307">
        <f t="shared" si="302"/>
        <v>6.4145486198869168</v>
      </c>
      <c r="BS149" s="307">
        <f t="shared" si="298"/>
        <v>0.29822293529708099</v>
      </c>
      <c r="BT149" s="307">
        <f t="shared" si="299"/>
        <v>-5.1879580234115832E-2</v>
      </c>
      <c r="BU149" s="118"/>
    </row>
    <row r="150" spans="1:89" x14ac:dyDescent="0.25">
      <c r="A150">
        <v>10</v>
      </c>
      <c r="B150" s="107" t="s">
        <v>555</v>
      </c>
      <c r="C150" s="113">
        <f>INDEX(TourMode_input!$B$4:$J$172,MATCH(TourMode!$A153,modes,0),MATCH("atwork",modePurpose,0))+INDEX(TourMode_input!$B$4:$J$172,MATCH(TourMode!$A152,modes,0),MATCH("atwork",modePurpose,0))</f>
        <v>688.59136999999998</v>
      </c>
      <c r="D150" s="113">
        <f>INDEX(TourMode_input!$B$20:$J$33,MATCH(TourMode!$A153,modes,0),MATCH("atwork",modePurpose,0))+INDEX(TourMode_input!$B$20:$J$33,MATCH(TourMode!$A152,modes,0),MATCH("atwork",modePurpose,0))</f>
        <v>841.59259999999995</v>
      </c>
      <c r="E150" s="113">
        <f>INDEX(TourMode_input!$B$36:$J$49,MATCH(TourMode!$A153,modes,0),MATCH("atwork",modePurpose,0))+INDEX(TourMode_input!$B$36:$J$49,MATCH(TourMode!$A152,modes,0),MATCH("atwork",modePurpose,0))</f>
        <v>1298.2262900000001</v>
      </c>
      <c r="F150" s="116">
        <f t="shared" si="286"/>
        <v>2828.4102600000001</v>
      </c>
      <c r="G150" s="300"/>
      <c r="H150" s="302">
        <f>F150/F$167</f>
        <v>4.7974046441957444E-3</v>
      </c>
      <c r="I150" s="300">
        <f>H150*H$167</f>
        <v>3156.3218233176963</v>
      </c>
      <c r="J150" s="115"/>
      <c r="K150">
        <v>10</v>
      </c>
      <c r="L150" s="107" t="s">
        <v>546</v>
      </c>
      <c r="M150" s="113">
        <f t="shared" ref="M150:O152" si="311">IF($F150&gt;0,C150/$F150*$I150,0)</f>
        <v>768.42316661629923</v>
      </c>
      <c r="N150" s="113">
        <f t="shared" si="311"/>
        <v>939.16258446986421</v>
      </c>
      <c r="O150" s="113">
        <f t="shared" si="311"/>
        <v>1448.7360722315327</v>
      </c>
      <c r="P150" s="116">
        <f t="shared" si="288"/>
        <v>3156.3218233176958</v>
      </c>
      <c r="Q150" s="115"/>
      <c r="R150">
        <v>10</v>
      </c>
      <c r="S150" s="107" t="s">
        <v>546</v>
      </c>
      <c r="T150" s="113">
        <f t="shared" ref="T150:V152" si="312">M150</f>
        <v>768.42316661629923</v>
      </c>
      <c r="U150" s="113">
        <f t="shared" si="312"/>
        <v>939.16258446986421</v>
      </c>
      <c r="V150" s="113">
        <f t="shared" si="312"/>
        <v>1448.7360722315327</v>
      </c>
      <c r="W150" s="116">
        <f t="shared" si="289"/>
        <v>3156.3218233176958</v>
      </c>
      <c r="X150" s="115"/>
      <c r="Y150" s="115"/>
      <c r="Z150" s="115"/>
      <c r="AA150" s="107" t="s">
        <v>546</v>
      </c>
      <c r="AB150" s="113">
        <f>INDEX(TourMode_input!$L$4:$T$17,MATCH(TourMode!$A153,modes,0),MATCH("atwork",modePurpose,0))*Index!$B$2</f>
        <v>380</v>
      </c>
      <c r="AC150" s="113">
        <f>INDEX(TourMode_input!$L$20:$T$33,MATCH(TourMode!$A153,modes,0), MATCH("atwork",modePurpose,0))*Index!$B$2</f>
        <v>375</v>
      </c>
      <c r="AD150" s="113">
        <f>INDEX(TourMode_input!$L$36:$T$49,MATCH(TourMode!$A153,modes,0), MATCH("atwork",modePurpose,0))*Index!$B$2</f>
        <v>595</v>
      </c>
      <c r="AE150" s="116">
        <f t="shared" si="290"/>
        <v>1350</v>
      </c>
      <c r="AG150" s="107" t="s">
        <v>395</v>
      </c>
      <c r="AH150" s="117">
        <f t="shared" si="303"/>
        <v>2.4065868043103639E-2</v>
      </c>
      <c r="AI150" s="117">
        <f t="shared" si="304"/>
        <v>2.2813481294965969E-3</v>
      </c>
      <c r="AJ150" s="117">
        <f t="shared" si="305"/>
        <v>1.757545626543328E-3</v>
      </c>
      <c r="AK150" s="118">
        <f t="shared" si="306"/>
        <v>2.4894189371499186E-3</v>
      </c>
      <c r="AL150" s="115"/>
      <c r="AM150" s="107" t="s">
        <v>395</v>
      </c>
      <c r="AN150" s="117">
        <f t="shared" si="307"/>
        <v>1.1901033510804886E-2</v>
      </c>
      <c r="AO150" s="117">
        <f t="shared" si="308"/>
        <v>9.1092379818786889E-4</v>
      </c>
      <c r="AP150" s="117">
        <f t="shared" si="309"/>
        <v>7.2182895686617049E-4</v>
      </c>
      <c r="AQ150" s="118">
        <f t="shared" si="310"/>
        <v>1.0647569396519429E-3</v>
      </c>
      <c r="AS150" s="107" t="s">
        <v>395</v>
      </c>
      <c r="AT150" s="113">
        <f t="shared" si="291"/>
        <v>-388.42316661629923</v>
      </c>
      <c r="AU150" s="113">
        <f t="shared" si="281"/>
        <v>-564.16258446986421</v>
      </c>
      <c r="AV150" s="113">
        <f t="shared" si="282"/>
        <v>-853.73607223153272</v>
      </c>
      <c r="AW150" s="116">
        <f t="shared" si="283"/>
        <v>-1806.3218233176958</v>
      </c>
      <c r="AX150" s="115"/>
      <c r="AY150" s="107" t="s">
        <v>395</v>
      </c>
      <c r="AZ150" s="117">
        <f t="shared" si="292"/>
        <v>-0.56408369831341221</v>
      </c>
      <c r="BA150" s="117">
        <f t="shared" si="293"/>
        <v>-0.670351170471157</v>
      </c>
      <c r="BB150" s="117">
        <f t="shared" si="294"/>
        <v>-0.65761730355309067</v>
      </c>
      <c r="BC150" s="118">
        <f t="shared" si="295"/>
        <v>-0.6386350130541868</v>
      </c>
      <c r="BE150" s="107" t="s">
        <v>395</v>
      </c>
      <c r="BF150" s="307">
        <f t="shared" si="296"/>
        <v>0.70416932688177758</v>
      </c>
      <c r="BG150" s="307">
        <f t="shared" si="284"/>
        <v>0.91806258465002555</v>
      </c>
      <c r="BH150" s="307">
        <f t="shared" si="285"/>
        <v>0.88988537541693136</v>
      </c>
      <c r="BI150" s="118"/>
      <c r="BK150" s="107" t="s">
        <v>395</v>
      </c>
      <c r="BL150" s="307">
        <v>3.2848461974815817</v>
      </c>
      <c r="BM150" s="307">
        <v>-3.0503910206439011</v>
      </c>
      <c r="BN150" s="307">
        <v>-4.1550336938863364</v>
      </c>
      <c r="BO150" s="118"/>
      <c r="BQ150" s="107" t="s">
        <v>395</v>
      </c>
      <c r="BR150" s="307">
        <f t="shared" si="302"/>
        <v>3.6086181704602063</v>
      </c>
      <c r="BS150" s="307">
        <f t="shared" si="298"/>
        <v>-2.5859906442323943</v>
      </c>
      <c r="BT150" s="307">
        <f t="shared" si="299"/>
        <v>-3.710470616352719</v>
      </c>
      <c r="BU150" s="118"/>
    </row>
    <row r="151" spans="1:89" x14ac:dyDescent="0.25">
      <c r="A151">
        <v>11</v>
      </c>
      <c r="B151" s="107" t="s">
        <v>556</v>
      </c>
      <c r="C151" s="113">
        <f>INDEX(TourMode_input!$B$4:$J$172,MATCH(TourMode!$A154,modes,0),MATCH("atwork",modePurpose,0))</f>
        <v>0</v>
      </c>
      <c r="D151" s="297">
        <v>0</v>
      </c>
      <c r="E151" s="297">
        <v>0</v>
      </c>
      <c r="F151" s="116">
        <f t="shared" si="286"/>
        <v>0</v>
      </c>
      <c r="G151" s="300"/>
      <c r="H151" s="302">
        <f>F151/F$168</f>
        <v>0</v>
      </c>
      <c r="I151" s="300">
        <f>H151*H$168</f>
        <v>0</v>
      </c>
      <c r="J151" s="115"/>
      <c r="K151">
        <v>11</v>
      </c>
      <c r="L151" s="107" t="s">
        <v>559</v>
      </c>
      <c r="M151" s="113">
        <f t="shared" si="311"/>
        <v>0</v>
      </c>
      <c r="N151" s="113">
        <f t="shared" si="311"/>
        <v>0</v>
      </c>
      <c r="O151" s="113">
        <f t="shared" si="311"/>
        <v>0</v>
      </c>
      <c r="P151" s="116">
        <f t="shared" si="288"/>
        <v>0</v>
      </c>
      <c r="Q151" s="115"/>
      <c r="R151">
        <v>11</v>
      </c>
      <c r="S151" s="107" t="s">
        <v>559</v>
      </c>
      <c r="T151" s="113">
        <f t="shared" si="312"/>
        <v>0</v>
      </c>
      <c r="U151" s="113">
        <f t="shared" si="312"/>
        <v>0</v>
      </c>
      <c r="V151" s="113">
        <f t="shared" si="312"/>
        <v>0</v>
      </c>
      <c r="W151" s="116">
        <f t="shared" si="289"/>
        <v>0</v>
      </c>
      <c r="X151" s="115"/>
      <c r="Y151" s="115"/>
      <c r="Z151" s="115"/>
      <c r="AA151" s="107" t="s">
        <v>559</v>
      </c>
      <c r="AB151" s="113">
        <f>INDEX(TourMode_input!$L$4:$T$17,MATCH(TourMode!$A154,modes,0),MATCH("atwork",modePurpose,0))*Index!$B$2</f>
        <v>0</v>
      </c>
      <c r="AC151" s="113">
        <f>INDEX(TourMode_input!$L$20:$T$33,MATCH(TourMode!$A154,modes,0), MATCH("atwork",modePurpose,0))*Index!$B$2</f>
        <v>0</v>
      </c>
      <c r="AD151" s="113">
        <f>INDEX(TourMode_input!$L$36:$T$49,MATCH(TourMode!$A154,modes,0), MATCH("atwork",modePurpose,0))*Index!$B$2</f>
        <v>0</v>
      </c>
      <c r="AE151" s="116">
        <f t="shared" si="290"/>
        <v>0</v>
      </c>
      <c r="AG151" s="107" t="s">
        <v>396</v>
      </c>
      <c r="AH151" s="117">
        <f t="shared" si="303"/>
        <v>0</v>
      </c>
      <c r="AI151" s="117">
        <f t="shared" si="304"/>
        <v>0</v>
      </c>
      <c r="AJ151" s="117">
        <f t="shared" si="305"/>
        <v>0</v>
      </c>
      <c r="AK151" s="118">
        <f t="shared" si="306"/>
        <v>0</v>
      </c>
      <c r="AL151" s="115"/>
      <c r="AM151" s="107" t="s">
        <v>396</v>
      </c>
      <c r="AN151" s="117">
        <f t="shared" si="307"/>
        <v>0</v>
      </c>
      <c r="AO151" s="117">
        <f t="shared" si="308"/>
        <v>0</v>
      </c>
      <c r="AP151" s="117">
        <f t="shared" si="309"/>
        <v>0</v>
      </c>
      <c r="AQ151" s="118">
        <f t="shared" si="310"/>
        <v>0</v>
      </c>
      <c r="AS151" s="107" t="s">
        <v>396</v>
      </c>
      <c r="AT151" s="113">
        <f t="shared" si="291"/>
        <v>0</v>
      </c>
      <c r="AU151" s="113">
        <f t="shared" si="281"/>
        <v>0</v>
      </c>
      <c r="AV151" s="113">
        <f t="shared" si="282"/>
        <v>0</v>
      </c>
      <c r="AW151" s="116">
        <f t="shared" si="283"/>
        <v>0</v>
      </c>
      <c r="AX151" s="115"/>
      <c r="AY151" s="107" t="s">
        <v>396</v>
      </c>
      <c r="AZ151" s="117">
        <f t="shared" si="292"/>
        <v>0</v>
      </c>
      <c r="BA151" s="117">
        <f t="shared" si="293"/>
        <v>0</v>
      </c>
      <c r="BB151" s="117">
        <f t="shared" si="294"/>
        <v>0</v>
      </c>
      <c r="BC151" s="118">
        <f t="shared" si="295"/>
        <v>0</v>
      </c>
      <c r="BE151" s="107" t="s">
        <v>396</v>
      </c>
      <c r="BF151" s="307">
        <f t="shared" si="296"/>
        <v>0</v>
      </c>
      <c r="BG151" s="307">
        <f t="shared" si="284"/>
        <v>0</v>
      </c>
      <c r="BH151" s="307">
        <f t="shared" si="285"/>
        <v>0</v>
      </c>
      <c r="BI151" s="118"/>
      <c r="BK151" s="107" t="s">
        <v>396</v>
      </c>
      <c r="BL151" s="307">
        <v>7.2240233991525233</v>
      </c>
      <c r="BM151" s="307">
        <v>-0.22274049235907337</v>
      </c>
      <c r="BN151" s="307">
        <v>-0.16755003268962568</v>
      </c>
      <c r="BO151" s="118"/>
      <c r="BQ151" s="107" t="s">
        <v>396</v>
      </c>
      <c r="BR151" s="307">
        <f t="shared" si="302"/>
        <v>7.1957107086902594</v>
      </c>
      <c r="BS151" s="307">
        <f t="shared" si="298"/>
        <v>-0.21737140827257936</v>
      </c>
      <c r="BT151" s="307">
        <f t="shared" si="299"/>
        <v>-0.16792964286447423</v>
      </c>
      <c r="BU151" s="118"/>
    </row>
    <row r="152" spans="1:89" x14ac:dyDescent="0.25">
      <c r="A152">
        <v>12</v>
      </c>
      <c r="B152" s="107" t="s">
        <v>557</v>
      </c>
      <c r="C152" s="297">
        <v>0</v>
      </c>
      <c r="D152" s="297">
        <v>0</v>
      </c>
      <c r="E152" s="297">
        <v>0</v>
      </c>
      <c r="F152" s="116">
        <f t="shared" si="286"/>
        <v>0</v>
      </c>
      <c r="G152" s="300"/>
      <c r="H152" s="302">
        <f>F152/F$169</f>
        <v>0</v>
      </c>
      <c r="I152" s="300">
        <f>H152*H$169</f>
        <v>0</v>
      </c>
      <c r="J152" s="115"/>
      <c r="K152">
        <v>12</v>
      </c>
      <c r="L152" s="107" t="s">
        <v>560</v>
      </c>
      <c r="M152" s="113">
        <f t="shared" si="311"/>
        <v>0</v>
      </c>
      <c r="N152" s="113">
        <f t="shared" si="311"/>
        <v>0</v>
      </c>
      <c r="O152" s="113">
        <f t="shared" si="311"/>
        <v>0</v>
      </c>
      <c r="P152" s="116">
        <f t="shared" si="288"/>
        <v>0</v>
      </c>
      <c r="Q152" s="115"/>
      <c r="R152">
        <v>12</v>
      </c>
      <c r="S152" s="107" t="s">
        <v>560</v>
      </c>
      <c r="T152" s="113">
        <f t="shared" si="312"/>
        <v>0</v>
      </c>
      <c r="U152" s="113">
        <f t="shared" si="312"/>
        <v>0</v>
      </c>
      <c r="V152" s="113">
        <f t="shared" si="312"/>
        <v>0</v>
      </c>
      <c r="W152" s="116">
        <f t="shared" si="289"/>
        <v>0</v>
      </c>
      <c r="X152" s="115"/>
      <c r="Y152" s="115"/>
      <c r="Z152" s="115"/>
      <c r="AA152" s="107" t="s">
        <v>560</v>
      </c>
      <c r="AB152" s="113">
        <f>INDEX(TourMode_input!$L$4:$T$17,MATCH(TourMode!$A155,modes,0),MATCH("atwork",modePurpose,0))*Index!$B$2</f>
        <v>0</v>
      </c>
      <c r="AC152" s="113">
        <f>INDEX(TourMode_input!$L$20:$T$33,MATCH(TourMode!$A155,modes,0), MATCH("atwork",modePurpose,0))*Index!$B$2</f>
        <v>0</v>
      </c>
      <c r="AD152" s="113">
        <f>INDEX(TourMode_input!$L$36:$T$49,MATCH(TourMode!$A155,modes,0), MATCH("atwork",modePurpose,0))*Index!$B$2</f>
        <v>0</v>
      </c>
      <c r="AE152" s="116">
        <f t="shared" si="290"/>
        <v>0</v>
      </c>
      <c r="AG152" s="107" t="s">
        <v>397</v>
      </c>
      <c r="AH152" s="117">
        <f t="shared" si="303"/>
        <v>0</v>
      </c>
      <c r="AI152" s="117">
        <f t="shared" si="304"/>
        <v>0</v>
      </c>
      <c r="AJ152" s="117">
        <f t="shared" si="305"/>
        <v>0</v>
      </c>
      <c r="AK152" s="118">
        <f t="shared" si="306"/>
        <v>0</v>
      </c>
      <c r="AL152" s="115"/>
      <c r="AM152" s="107" t="s">
        <v>397</v>
      </c>
      <c r="AN152" s="117">
        <f t="shared" si="307"/>
        <v>0</v>
      </c>
      <c r="AO152" s="117">
        <f t="shared" si="308"/>
        <v>0</v>
      </c>
      <c r="AP152" s="117">
        <f t="shared" si="309"/>
        <v>0</v>
      </c>
      <c r="AQ152" s="118">
        <f t="shared" si="310"/>
        <v>0</v>
      </c>
      <c r="AS152" s="107" t="s">
        <v>397</v>
      </c>
      <c r="AT152" s="113">
        <f t="shared" si="291"/>
        <v>0</v>
      </c>
      <c r="AU152" s="113">
        <f t="shared" si="281"/>
        <v>0</v>
      </c>
      <c r="AV152" s="113">
        <f t="shared" si="282"/>
        <v>0</v>
      </c>
      <c r="AW152" s="116">
        <f t="shared" si="283"/>
        <v>0</v>
      </c>
      <c r="AX152" s="115"/>
      <c r="AY152" s="107" t="s">
        <v>397</v>
      </c>
      <c r="AZ152" s="117">
        <f t="shared" si="292"/>
        <v>0</v>
      </c>
      <c r="BA152" s="117">
        <f t="shared" si="293"/>
        <v>0</v>
      </c>
      <c r="BB152" s="117">
        <f t="shared" si="294"/>
        <v>0</v>
      </c>
      <c r="BC152" s="118">
        <f t="shared" si="295"/>
        <v>0</v>
      </c>
      <c r="BE152" s="107" t="s">
        <v>397</v>
      </c>
      <c r="BF152" s="307">
        <f t="shared" si="296"/>
        <v>0</v>
      </c>
      <c r="BG152" s="307">
        <f t="shared" si="284"/>
        <v>0</v>
      </c>
      <c r="BH152" s="307">
        <f t="shared" si="285"/>
        <v>0</v>
      </c>
      <c r="BI152" s="118"/>
      <c r="BK152" s="107" t="s">
        <v>397</v>
      </c>
      <c r="BL152" s="307">
        <v>7.2240233991525233</v>
      </c>
      <c r="BM152" s="307">
        <v>-0.22274049235907337</v>
      </c>
      <c r="BN152" s="307">
        <v>-0.16755003268962568</v>
      </c>
      <c r="BO152" s="118"/>
      <c r="BQ152" s="107" t="s">
        <v>397</v>
      </c>
      <c r="BR152" s="307">
        <f t="shared" si="302"/>
        <v>7.1957107086902594</v>
      </c>
      <c r="BS152" s="307">
        <f t="shared" si="298"/>
        <v>-0.21737140827257936</v>
      </c>
      <c r="BT152" s="307">
        <f t="shared" si="299"/>
        <v>-0.16792964286447423</v>
      </c>
      <c r="BU152" s="118"/>
    </row>
    <row r="153" spans="1:89" x14ac:dyDescent="0.25">
      <c r="A153">
        <v>13</v>
      </c>
      <c r="B153" s="107" t="s">
        <v>398</v>
      </c>
      <c r="C153" s="113">
        <f>INDEX(TourMode_input!$B$4:$J$172,MATCH(TourMode!$A156,modes,0),MATCH("atwork",modePurpose,0))</f>
        <v>503.83353</v>
      </c>
      <c r="D153" s="113">
        <f>INDEX(TourMode_input!$B$20:$J$33,MATCH(TourMode!$A156,modes,0),MATCH("atwork",modePurpose,0))</f>
        <v>1213.3489</v>
      </c>
      <c r="E153" s="113">
        <f>INDEX(TourMode_input!$B$36:$J$49,MATCH(TourMode!$A156,modes,0),MATCH("atwork",modePurpose,0))</f>
        <v>3050.8422799999998</v>
      </c>
      <c r="F153" s="116">
        <f t="shared" si="286"/>
        <v>4768.0247099999997</v>
      </c>
      <c r="G153" s="300"/>
      <c r="H153" s="300"/>
      <c r="I153" s="300"/>
      <c r="J153" s="115"/>
      <c r="K153">
        <v>13</v>
      </c>
      <c r="L153" s="107" t="s">
        <v>398</v>
      </c>
      <c r="M153" s="113">
        <f t="shared" ref="M153:O154" si="313">C153</f>
        <v>503.83353</v>
      </c>
      <c r="N153" s="113">
        <f t="shared" si="313"/>
        <v>1213.3489</v>
      </c>
      <c r="O153" s="113">
        <f t="shared" si="313"/>
        <v>3050.8422799999998</v>
      </c>
      <c r="P153" s="116">
        <f t="shared" si="288"/>
        <v>4768.0247099999997</v>
      </c>
      <c r="Q153" s="115"/>
      <c r="R153">
        <v>13</v>
      </c>
      <c r="S153" s="107" t="s">
        <v>398</v>
      </c>
      <c r="T153" s="113">
        <f>IF(M156&gt;0,M153/M156*T156,0)</f>
        <v>943.6115935928517</v>
      </c>
      <c r="U153" s="113">
        <f>IF(N156&gt;0,N153/N156*U156,0)</f>
        <v>6429.3949997503696</v>
      </c>
      <c r="V153" s="113">
        <f>IF(O156&gt;0,O153/O156*V156,0)</f>
        <v>7925.117669585833</v>
      </c>
      <c r="W153" s="116">
        <f t="shared" si="289"/>
        <v>15298.124262929054</v>
      </c>
      <c r="X153" s="115"/>
      <c r="Y153" s="115"/>
      <c r="Z153" s="115"/>
      <c r="AA153" s="107" t="s">
        <v>398</v>
      </c>
      <c r="AB153" s="113">
        <f>INDEX(TourMode_input!$L$4:$T$17,MATCH(TourMode!$A156,modes,0),MATCH("atwork",modePurpose,0))*Index!$B$2</f>
        <v>755</v>
      </c>
      <c r="AC153" s="113">
        <f>INDEX(TourMode_input!$L$20:$T$33,MATCH(TourMode!$A156,modes,0), MATCH("atwork",modePurpose,0))*Index!$B$2</f>
        <v>6940</v>
      </c>
      <c r="AD153" s="113">
        <f>INDEX(TourMode_input!$L$36:$T$49,MATCH(TourMode!$A156,modes,0), MATCH("atwork",modePurpose,0))*Index!$B$2</f>
        <v>8365</v>
      </c>
      <c r="AE153" s="116">
        <f t="shared" si="290"/>
        <v>16060</v>
      </c>
      <c r="AG153" s="107" t="s">
        <v>398</v>
      </c>
      <c r="AH153" s="117">
        <f t="shared" si="303"/>
        <v>2.9552508411927709E-2</v>
      </c>
      <c r="AI153" s="117">
        <f t="shared" si="304"/>
        <v>1.5617837101927197E-2</v>
      </c>
      <c r="AJ153" s="117">
        <f t="shared" si="305"/>
        <v>9.6144191940820117E-3</v>
      </c>
      <c r="AK153" s="118">
        <f t="shared" si="306"/>
        <v>1.2065765905638128E-2</v>
      </c>
      <c r="AL153" s="115"/>
      <c r="AM153" s="107" t="s">
        <v>398</v>
      </c>
      <c r="AN153" s="117">
        <f t="shared" si="307"/>
        <v>2.3645474475414971E-2</v>
      </c>
      <c r="AO153" s="117">
        <f t="shared" si="308"/>
        <v>1.6858163091796826E-2</v>
      </c>
      <c r="AP153" s="117">
        <f t="shared" si="309"/>
        <v>1.0148065923000868E-2</v>
      </c>
      <c r="AQ153" s="118">
        <f t="shared" si="310"/>
        <v>1.2666664037637186E-2</v>
      </c>
      <c r="AS153" s="107" t="s">
        <v>398</v>
      </c>
      <c r="AT153" s="113">
        <f t="shared" si="291"/>
        <v>-188.6115935928517</v>
      </c>
      <c r="AU153" s="113">
        <f t="shared" si="281"/>
        <v>510.60500024963039</v>
      </c>
      <c r="AV153" s="113">
        <f t="shared" si="282"/>
        <v>439.88233041416697</v>
      </c>
      <c r="AW153" s="116">
        <f t="shared" si="283"/>
        <v>761.87573707094634</v>
      </c>
      <c r="AX153" s="115"/>
      <c r="AY153" s="107" t="s">
        <v>398</v>
      </c>
      <c r="AZ153" s="117">
        <f t="shared" si="292"/>
        <v>-0.37435300027144225</v>
      </c>
      <c r="BA153" s="117">
        <f t="shared" si="293"/>
        <v>0.42082289788998894</v>
      </c>
      <c r="BB153" s="117">
        <f t="shared" si="294"/>
        <v>0.14418389744296023</v>
      </c>
      <c r="BC153" s="118">
        <f t="shared" si="295"/>
        <v>0.15978854628690597</v>
      </c>
      <c r="BE153" s="107" t="s">
        <v>398</v>
      </c>
      <c r="BF153" s="307">
        <f t="shared" si="296"/>
        <v>0.22299688476354318</v>
      </c>
      <c r="BG153" s="307">
        <f t="shared" si="284"/>
        <v>-7.6421330936949597E-2</v>
      </c>
      <c r="BH153" s="307">
        <f t="shared" si="285"/>
        <v>-5.4019166888406175E-2</v>
      </c>
      <c r="BI153" s="118"/>
      <c r="BK153" s="107" t="s">
        <v>398</v>
      </c>
      <c r="BL153" s="307">
        <v>3.523524284855279</v>
      </c>
      <c r="BM153" s="307">
        <v>-0.98964712009328482</v>
      </c>
      <c r="BN153" s="307">
        <v>-2.6008831545704552</v>
      </c>
      <c r="BO153" s="118"/>
      <c r="BQ153" s="107" t="s">
        <v>398</v>
      </c>
      <c r="BR153" s="307">
        <f t="shared" si="302"/>
        <v>3.6067100367747864</v>
      </c>
      <c r="BS153" s="307">
        <f t="shared" si="298"/>
        <v>-1.0224887014752655</v>
      </c>
      <c r="BT153" s="307">
        <f t="shared" si="299"/>
        <v>-2.6282723481895069</v>
      </c>
      <c r="BU153" s="118"/>
    </row>
    <row r="154" spans="1:89" x14ac:dyDescent="0.25">
      <c r="A154">
        <v>14</v>
      </c>
      <c r="B154" s="107" t="s">
        <v>399</v>
      </c>
      <c r="C154" s="297">
        <v>0</v>
      </c>
      <c r="D154" s="297">
        <v>0</v>
      </c>
      <c r="E154" s="297">
        <v>0</v>
      </c>
      <c r="F154" s="116">
        <f t="shared" si="286"/>
        <v>0</v>
      </c>
      <c r="G154" s="300"/>
      <c r="H154" s="300"/>
      <c r="I154" s="300"/>
      <c r="J154" s="115"/>
      <c r="K154">
        <v>14</v>
      </c>
      <c r="L154" s="107" t="s">
        <v>399</v>
      </c>
      <c r="M154" s="113">
        <f t="shared" si="313"/>
        <v>0</v>
      </c>
      <c r="N154" s="113">
        <f t="shared" si="313"/>
        <v>0</v>
      </c>
      <c r="O154" s="113">
        <f t="shared" si="313"/>
        <v>0</v>
      </c>
      <c r="P154" s="116">
        <f t="shared" si="288"/>
        <v>0</v>
      </c>
      <c r="Q154" s="115"/>
      <c r="R154">
        <v>14</v>
      </c>
      <c r="S154" s="107" t="s">
        <v>399</v>
      </c>
      <c r="T154" s="113">
        <f>IF(M156&gt;0,M154/M156*T156,0)</f>
        <v>0</v>
      </c>
      <c r="U154" s="113">
        <f>IF(N156&gt;0,N154/N156*U156,0)</f>
        <v>0</v>
      </c>
      <c r="V154" s="113">
        <f>IF(O156&gt;0,O154/O156*V156,0)</f>
        <v>0</v>
      </c>
      <c r="W154" s="116">
        <f t="shared" si="289"/>
        <v>0</v>
      </c>
      <c r="X154" s="115"/>
      <c r="Y154" s="115"/>
      <c r="Z154" s="115"/>
      <c r="AA154" s="107" t="s">
        <v>399</v>
      </c>
      <c r="AB154" s="113">
        <f>INDEX(TourMode_input!$L$4:$T$17,MATCH(TourMode!$A157,modes,0),MATCH("atwork",modePurpose,0))*Index!$B$2</f>
        <v>0</v>
      </c>
      <c r="AC154" s="113">
        <f>INDEX(TourMode_input!$L$20:$T$33,MATCH(TourMode!$A157,modes,0), MATCH("atwork",modePurpose,0))*Index!$B$2</f>
        <v>0</v>
      </c>
      <c r="AD154" s="113">
        <f>INDEX(TourMode_input!$L$36:$T$49,MATCH(TourMode!$A157,modes,0), MATCH("atwork",modePurpose,0))*Index!$B$2</f>
        <v>0</v>
      </c>
      <c r="AE154" s="116">
        <f t="shared" si="290"/>
        <v>0</v>
      </c>
      <c r="AG154" s="107" t="s">
        <v>399</v>
      </c>
      <c r="AH154" s="117">
        <f t="shared" si="303"/>
        <v>0</v>
      </c>
      <c r="AI154" s="117">
        <f t="shared" si="304"/>
        <v>0</v>
      </c>
      <c r="AJ154" s="117">
        <f t="shared" si="305"/>
        <v>0</v>
      </c>
      <c r="AK154" s="118">
        <f t="shared" si="306"/>
        <v>0</v>
      </c>
      <c r="AL154" s="115"/>
      <c r="AM154" s="107" t="s">
        <v>399</v>
      </c>
      <c r="AN154" s="117">
        <f t="shared" si="307"/>
        <v>0</v>
      </c>
      <c r="AO154" s="117">
        <f t="shared" si="308"/>
        <v>0</v>
      </c>
      <c r="AP154" s="117">
        <f t="shared" si="309"/>
        <v>0</v>
      </c>
      <c r="AQ154" s="118">
        <f t="shared" si="310"/>
        <v>0</v>
      </c>
      <c r="AS154" s="107" t="s">
        <v>399</v>
      </c>
      <c r="AT154" s="113">
        <f t="shared" si="291"/>
        <v>0</v>
      </c>
      <c r="AU154" s="113">
        <f t="shared" si="281"/>
        <v>0</v>
      </c>
      <c r="AV154" s="113">
        <f t="shared" si="282"/>
        <v>0</v>
      </c>
      <c r="AW154" s="116">
        <f t="shared" si="283"/>
        <v>0</v>
      </c>
      <c r="AX154" s="115"/>
      <c r="AY154" s="107" t="s">
        <v>399</v>
      </c>
      <c r="AZ154" s="117">
        <f t="shared" si="292"/>
        <v>0</v>
      </c>
      <c r="BA154" s="117">
        <f t="shared" si="293"/>
        <v>0</v>
      </c>
      <c r="BB154" s="117">
        <f t="shared" si="294"/>
        <v>0</v>
      </c>
      <c r="BC154" s="118">
        <f t="shared" si="295"/>
        <v>0</v>
      </c>
      <c r="BE154" s="107" t="s">
        <v>399</v>
      </c>
      <c r="BF154" s="307">
        <f t="shared" si="296"/>
        <v>0</v>
      </c>
      <c r="BG154" s="307">
        <f t="shared" si="284"/>
        <v>0</v>
      </c>
      <c r="BH154" s="307">
        <f t="shared" si="285"/>
        <v>0</v>
      </c>
      <c r="BI154" s="118"/>
      <c r="BK154" s="107" t="s">
        <v>399</v>
      </c>
      <c r="BL154" s="307">
        <v>7.2240233991525233</v>
      </c>
      <c r="BM154" s="307">
        <v>-0.22274049235907337</v>
      </c>
      <c r="BN154" s="307">
        <v>-0.16755003268962568</v>
      </c>
      <c r="BO154" s="118"/>
      <c r="BQ154" s="107" t="s">
        <v>399</v>
      </c>
      <c r="BR154" s="307">
        <f t="shared" si="302"/>
        <v>7.1957107086902594</v>
      </c>
      <c r="BS154" s="307">
        <f t="shared" si="298"/>
        <v>-0.21737140827257936</v>
      </c>
      <c r="BT154" s="307">
        <f t="shared" si="299"/>
        <v>-0.16792964286447423</v>
      </c>
      <c r="BU154" s="118"/>
    </row>
    <row r="155" spans="1:89" ht="15.75" thickBot="1" x14ac:dyDescent="0.3">
      <c r="B155" s="108" t="s">
        <v>29</v>
      </c>
      <c r="C155" s="109">
        <f>SUM(C142:C154)</f>
        <v>17327.055079999998</v>
      </c>
      <c r="D155" s="110">
        <f>SUM(D142:D154)</f>
        <v>78354.299440000003</v>
      </c>
      <c r="E155" s="111">
        <f>SUM(E142:E154)</f>
        <v>318059.98006999999</v>
      </c>
      <c r="F155" s="112">
        <f>SUM(F142:F154)</f>
        <v>413741.33458999998</v>
      </c>
      <c r="G155" s="301"/>
      <c r="H155" s="301"/>
      <c r="I155" s="301"/>
      <c r="L155" s="108" t="s">
        <v>29</v>
      </c>
      <c r="M155" s="109">
        <f>SUM(M142:M154)</f>
        <v>17406.8868766163</v>
      </c>
      <c r="N155" s="110">
        <f>SUM(N142:N154)</f>
        <v>78451.869424469856</v>
      </c>
      <c r="O155" s="111">
        <f>SUM(O142:O154)</f>
        <v>318210.48985223152</v>
      </c>
      <c r="P155" s="112">
        <f>SUM(P142:P154)</f>
        <v>414069.24615331768</v>
      </c>
      <c r="S155" s="108" t="s">
        <v>29</v>
      </c>
      <c r="T155" s="109">
        <f>SUM(T142:T154)</f>
        <v>31930</v>
      </c>
      <c r="U155" s="110">
        <f>SUM(U142:U154)</f>
        <v>411670.00000000006</v>
      </c>
      <c r="V155" s="111">
        <f>SUM(V142:V154)</f>
        <v>824295.00000000012</v>
      </c>
      <c r="W155" s="112">
        <f>SUM(W142:W154)</f>
        <v>1267895</v>
      </c>
      <c r="AA155" s="108" t="s">
        <v>29</v>
      </c>
      <c r="AB155" s="109">
        <f>SUM(AB142:AB154)</f>
        <v>31930</v>
      </c>
      <c r="AC155" s="110">
        <f>SUM(AC142:AC154)</f>
        <v>411670</v>
      </c>
      <c r="AD155" s="111">
        <f>SUM(AD142:AD154)</f>
        <v>824295</v>
      </c>
      <c r="AE155" s="112">
        <f>SUM(AE142:AE154)</f>
        <v>1267895</v>
      </c>
      <c r="AG155" s="108" t="s">
        <v>29</v>
      </c>
      <c r="AH155" s="120">
        <f t="shared" si="303"/>
        <v>1</v>
      </c>
      <c r="AI155" s="121">
        <f t="shared" si="304"/>
        <v>1</v>
      </c>
      <c r="AJ155" s="122">
        <f t="shared" si="305"/>
        <v>1</v>
      </c>
      <c r="AK155" s="123">
        <f t="shared" si="306"/>
        <v>1</v>
      </c>
      <c r="AM155" s="108" t="s">
        <v>29</v>
      </c>
      <c r="AN155" s="120">
        <f t="shared" si="307"/>
        <v>1</v>
      </c>
      <c r="AO155" s="121">
        <f t="shared" si="308"/>
        <v>1</v>
      </c>
      <c r="AP155" s="122">
        <f t="shared" si="309"/>
        <v>1</v>
      </c>
      <c r="AQ155" s="123">
        <f t="shared" si="310"/>
        <v>1</v>
      </c>
      <c r="AS155" s="108" t="s">
        <v>29</v>
      </c>
      <c r="AT155" s="109">
        <f t="shared" si="291"/>
        <v>0</v>
      </c>
      <c r="AU155" s="110">
        <f t="shared" si="281"/>
        <v>0</v>
      </c>
      <c r="AV155" s="111">
        <f t="shared" si="282"/>
        <v>0</v>
      </c>
      <c r="AW155" s="112">
        <f t="shared" si="283"/>
        <v>0</v>
      </c>
      <c r="AY155" s="108" t="s">
        <v>29</v>
      </c>
      <c r="AZ155" s="117">
        <f t="shared" si="292"/>
        <v>0</v>
      </c>
      <c r="BA155" s="117">
        <f t="shared" si="293"/>
        <v>0</v>
      </c>
      <c r="BB155" s="117">
        <f t="shared" si="294"/>
        <v>0</v>
      </c>
      <c r="BC155" s="118">
        <f t="shared" si="295"/>
        <v>0</v>
      </c>
      <c r="BE155" s="108" t="s">
        <v>29</v>
      </c>
      <c r="BF155" s="117"/>
      <c r="BG155" s="117"/>
      <c r="BH155" s="117"/>
      <c r="BI155" s="118"/>
      <c r="BK155" s="108" t="s">
        <v>29</v>
      </c>
      <c r="BL155" s="117"/>
      <c r="BM155" s="117"/>
      <c r="BN155" s="117"/>
      <c r="BO155" s="118"/>
      <c r="BQ155" s="108" t="s">
        <v>29</v>
      </c>
      <c r="BR155" s="117"/>
      <c r="BS155" s="117"/>
      <c r="BT155" s="117"/>
      <c r="BU155" s="118"/>
    </row>
    <row r="156" spans="1:89" x14ac:dyDescent="0.25">
      <c r="M156" s="286">
        <f>M155-SUM(M150:M152)</f>
        <v>16638.46371</v>
      </c>
      <c r="N156" s="286">
        <f>N155-SUM(N150:N152)</f>
        <v>77512.706839999999</v>
      </c>
      <c r="O156" s="286">
        <f>O155-SUM(O150:O152)</f>
        <v>316761.75377999997</v>
      </c>
      <c r="T156" s="286">
        <f>AB155-SUM(T150:T152)</f>
        <v>31161.5768333837</v>
      </c>
      <c r="U156" s="286">
        <f>AC155-SUM(U150:U152)</f>
        <v>410730.83741553011</v>
      </c>
      <c r="V156" s="286">
        <f>AD155-SUM(V150:V152)</f>
        <v>822846.26392776845</v>
      </c>
    </row>
    <row r="157" spans="1:89" ht="26.25" x14ac:dyDescent="0.4">
      <c r="A157" s="150" t="s">
        <v>29</v>
      </c>
      <c r="K157" s="150" t="s">
        <v>29</v>
      </c>
      <c r="R157" s="150" t="s">
        <v>29</v>
      </c>
    </row>
    <row r="158" spans="1:89" ht="26.25" x14ac:dyDescent="0.25">
      <c r="B158" s="102" t="s">
        <v>134</v>
      </c>
      <c r="C158" s="103" t="s">
        <v>135</v>
      </c>
      <c r="D158" s="104" t="s">
        <v>136</v>
      </c>
      <c r="E158" s="105" t="s">
        <v>137</v>
      </c>
      <c r="F158" s="106" t="s">
        <v>29</v>
      </c>
      <c r="G158" s="299"/>
      <c r="H158" s="299"/>
      <c r="I158" s="299"/>
      <c r="L158" s="102" t="s">
        <v>134</v>
      </c>
      <c r="M158" s="103" t="s">
        <v>135</v>
      </c>
      <c r="N158" s="104" t="s">
        <v>136</v>
      </c>
      <c r="O158" s="105" t="s">
        <v>137</v>
      </c>
      <c r="P158" s="106" t="s">
        <v>29</v>
      </c>
      <c r="S158" s="102" t="s">
        <v>134</v>
      </c>
      <c r="T158" s="103" t="s">
        <v>135</v>
      </c>
      <c r="U158" s="104" t="s">
        <v>136</v>
      </c>
      <c r="V158" s="105" t="s">
        <v>137</v>
      </c>
      <c r="W158" s="106" t="s">
        <v>29</v>
      </c>
      <c r="AA158" s="102" t="s">
        <v>134</v>
      </c>
      <c r="AB158" s="103" t="s">
        <v>135</v>
      </c>
      <c r="AC158" s="104" t="s">
        <v>136</v>
      </c>
      <c r="AD158" s="105" t="s">
        <v>137</v>
      </c>
      <c r="AE158" s="106" t="s">
        <v>29</v>
      </c>
      <c r="AG158" s="102" t="s">
        <v>134</v>
      </c>
      <c r="AH158" s="103" t="s">
        <v>135</v>
      </c>
      <c r="AI158" s="104" t="s">
        <v>136</v>
      </c>
      <c r="AJ158" s="105" t="s">
        <v>137</v>
      </c>
      <c r="AK158" s="106" t="s">
        <v>29</v>
      </c>
      <c r="AM158" s="102" t="s">
        <v>134</v>
      </c>
      <c r="AN158" s="103" t="s">
        <v>135</v>
      </c>
      <c r="AO158" s="104" t="s">
        <v>136</v>
      </c>
      <c r="AP158" s="105" t="s">
        <v>137</v>
      </c>
      <c r="AQ158" s="106" t="s">
        <v>29</v>
      </c>
      <c r="AS158" s="102" t="s">
        <v>134</v>
      </c>
      <c r="AT158" s="103" t="s">
        <v>135</v>
      </c>
      <c r="AU158" s="104" t="s">
        <v>136</v>
      </c>
      <c r="AV158" s="105" t="s">
        <v>137</v>
      </c>
      <c r="AW158" s="106" t="s">
        <v>29</v>
      </c>
      <c r="AY158" s="102" t="s">
        <v>134</v>
      </c>
      <c r="AZ158" s="103" t="s">
        <v>135</v>
      </c>
      <c r="BA158" s="104" t="s">
        <v>136</v>
      </c>
      <c r="BB158" s="105" t="s">
        <v>137</v>
      </c>
      <c r="BC158" s="106" t="s">
        <v>29</v>
      </c>
      <c r="BE158" s="102" t="s">
        <v>134</v>
      </c>
      <c r="BF158" s="103" t="s">
        <v>135</v>
      </c>
      <c r="BG158" s="104" t="s">
        <v>136</v>
      </c>
      <c r="BH158" s="105" t="s">
        <v>137</v>
      </c>
      <c r="BI158" s="106" t="s">
        <v>29</v>
      </c>
      <c r="BK158" s="102" t="s">
        <v>134</v>
      </c>
      <c r="BL158" s="103" t="s">
        <v>135</v>
      </c>
      <c r="BM158" s="104" t="s">
        <v>136</v>
      </c>
      <c r="BN158" s="105" t="s">
        <v>137</v>
      </c>
      <c r="BO158" s="106" t="s">
        <v>29</v>
      </c>
      <c r="BQ158" s="102" t="s">
        <v>134</v>
      </c>
      <c r="BR158" s="103" t="s">
        <v>135</v>
      </c>
      <c r="BS158" s="104" t="s">
        <v>136</v>
      </c>
      <c r="BT158" s="105" t="s">
        <v>137</v>
      </c>
      <c r="BU158" s="106" t="s">
        <v>29</v>
      </c>
      <c r="BX158">
        <v>1</v>
      </c>
      <c r="BY158">
        <v>2</v>
      </c>
      <c r="BZ158">
        <v>3</v>
      </c>
      <c r="CA158">
        <v>4</v>
      </c>
      <c r="CB158">
        <v>5</v>
      </c>
      <c r="CC158">
        <v>6</v>
      </c>
      <c r="CD158">
        <v>7</v>
      </c>
      <c r="CE158">
        <v>8</v>
      </c>
      <c r="CG158">
        <v>9</v>
      </c>
      <c r="CH158">
        <v>10</v>
      </c>
      <c r="CI158">
        <v>11</v>
      </c>
      <c r="CJ158">
        <v>12</v>
      </c>
      <c r="CK158">
        <v>13</v>
      </c>
    </row>
    <row r="159" spans="1:89" x14ac:dyDescent="0.25">
      <c r="A159">
        <v>1</v>
      </c>
      <c r="B159" s="107" t="s">
        <v>386</v>
      </c>
      <c r="C159" s="113">
        <f t="shared" ref="C159:E171" si="314">C6+C23+C40+C74+C91+C108+C125+C142+C57</f>
        <v>0</v>
      </c>
      <c r="D159" s="113">
        <f t="shared" si="314"/>
        <v>779556.79033999995</v>
      </c>
      <c r="E159" s="113">
        <f t="shared" si="314"/>
        <v>3827577.8150000004</v>
      </c>
      <c r="F159" s="114">
        <f>SUM(C159:E159)</f>
        <v>4607134.6053400002</v>
      </c>
      <c r="G159" s="300"/>
      <c r="H159" s="300"/>
      <c r="I159" s="300"/>
      <c r="J159" s="115"/>
      <c r="K159">
        <v>1</v>
      </c>
      <c r="L159" s="107" t="s">
        <v>386</v>
      </c>
      <c r="M159" s="113">
        <f t="shared" ref="M159:O171" si="315">M6+M23+M40+M74+M91+M108+M125+M142+M57</f>
        <v>0</v>
      </c>
      <c r="N159" s="113">
        <f t="shared" si="315"/>
        <v>779556.79033999995</v>
      </c>
      <c r="O159" s="113">
        <f t="shared" si="315"/>
        <v>3827577.8150000004</v>
      </c>
      <c r="P159" s="114">
        <f>SUM(M159:O159)</f>
        <v>4607134.6053400002</v>
      </c>
      <c r="Q159" s="115"/>
      <c r="R159">
        <v>1</v>
      </c>
      <c r="S159" s="107" t="s">
        <v>386</v>
      </c>
      <c r="T159" s="113">
        <f t="shared" ref="T159:V171" si="316">T6+T23+T40+T74+T91+T108+T125+T142+T57</f>
        <v>0</v>
      </c>
      <c r="U159" s="113">
        <f t="shared" si="316"/>
        <v>1680388.6988259496</v>
      </c>
      <c r="V159" s="113">
        <f t="shared" si="316"/>
        <v>4329014.216491635</v>
      </c>
      <c r="W159" s="114">
        <f>SUM(T159:V159)</f>
        <v>6009402.9153175848</v>
      </c>
      <c r="X159" s="115"/>
      <c r="Y159" s="115"/>
      <c r="Z159" s="115"/>
      <c r="AA159" s="107" t="s">
        <v>386</v>
      </c>
      <c r="AB159" s="113">
        <f t="shared" ref="AB159:AD171" si="317">AB6+AB23+AB40+AB74+AB91+AB108+AB125+AB142+AB57</f>
        <v>0</v>
      </c>
      <c r="AC159" s="113">
        <f t="shared" si="317"/>
        <v>1578595</v>
      </c>
      <c r="AD159" s="113">
        <f t="shared" si="317"/>
        <v>4132315</v>
      </c>
      <c r="AE159" s="114">
        <f>SUM(AB159:AD159)</f>
        <v>5710910</v>
      </c>
      <c r="AG159" s="107" t="s">
        <v>538</v>
      </c>
      <c r="AH159" s="117">
        <f>(T159+T160)/T$172</f>
        <v>0</v>
      </c>
      <c r="AI159" s="117">
        <f>(U159+U160)/U$172</f>
        <v>0.33761483492576178</v>
      </c>
      <c r="AJ159" s="117">
        <f>(V159+V160)/V$172</f>
        <v>0.52000172765480435</v>
      </c>
      <c r="AK159" s="117">
        <f>(W159+W160)/W$172</f>
        <v>0.42740168992066452</v>
      </c>
      <c r="AL159" s="115"/>
      <c r="AM159" s="107" t="s">
        <v>538</v>
      </c>
      <c r="AN159" s="117">
        <f>(AB159+AB160)/AB$172</f>
        <v>0</v>
      </c>
      <c r="AO159" s="117">
        <f>(AC159+AC160)/AC$172</f>
        <v>0.34109971948954998</v>
      </c>
      <c r="AP159" s="117">
        <f>(AD159+AD160)/AD$172</f>
        <v>0.52147881880248548</v>
      </c>
      <c r="AQ159" s="117">
        <f>(AE159+AE160)/AE$172</f>
        <v>0.42949728227147504</v>
      </c>
      <c r="AS159" s="107" t="s">
        <v>386</v>
      </c>
      <c r="AT159" s="113">
        <f>AB159-T159</f>
        <v>0</v>
      </c>
      <c r="AU159" s="113">
        <f t="shared" ref="AU159:AU172" si="318">AC159-U159</f>
        <v>-101793.69882594957</v>
      </c>
      <c r="AV159" s="113">
        <f t="shared" ref="AV159:AV172" si="319">AD159-V159</f>
        <v>-196699.21649163496</v>
      </c>
      <c r="AW159" s="114">
        <f t="shared" ref="AW159:AW172" si="320">AE159-W159</f>
        <v>-298492.91531758476</v>
      </c>
      <c r="AX159" s="115"/>
      <c r="AY159" s="107" t="s">
        <v>386</v>
      </c>
      <c r="AZ159" s="117">
        <f>IF(C159=0, 0,AT159/C159)</f>
        <v>0</v>
      </c>
      <c r="BA159" s="117">
        <f>IF(D159=0, 0,AU159/D159)</f>
        <v>-0.13057893932468054</v>
      </c>
      <c r="BB159" s="117">
        <f>IF(E159=0, 0,AV159/E159)</f>
        <v>-5.138999806111974E-2</v>
      </c>
      <c r="BC159" s="118">
        <f>IF(F159=0, 0,AW159/F159)</f>
        <v>-6.4789275957253339E-2</v>
      </c>
      <c r="BE159" s="107" t="s">
        <v>538</v>
      </c>
      <c r="BF159" s="307">
        <f>IFERROR(IF(AN159&gt;0,LN(AH159/AN159),0),0)</f>
        <v>0</v>
      </c>
      <c r="BG159" s="307">
        <f t="shared" ref="BG159:BG171" si="321">IFERROR(IF(AO159&gt;0,LN(AI159/AO159),0),0)</f>
        <v>-1.0269162982123946E-2</v>
      </c>
      <c r="BH159" s="307">
        <f t="shared" ref="BH159:BH171" si="322">IFERROR(IF(AP159&gt;0,LN(AJ159/AP159),0),0)</f>
        <v>-2.8365237220776083E-3</v>
      </c>
      <c r="BI159" s="118"/>
      <c r="BK159" s="107" t="s">
        <v>538</v>
      </c>
      <c r="BL159" s="307">
        <v>0</v>
      </c>
      <c r="BM159" s="307">
        <v>0</v>
      </c>
      <c r="BN159" s="307">
        <v>0</v>
      </c>
      <c r="BO159" s="118"/>
      <c r="BQ159" s="107" t="s">
        <v>538</v>
      </c>
      <c r="BR159" s="308">
        <v>0</v>
      </c>
      <c r="BS159" s="309">
        <v>0</v>
      </c>
      <c r="BT159" s="309">
        <v>0</v>
      </c>
      <c r="BU159" s="118"/>
      <c r="BX159" s="5" t="s">
        <v>386</v>
      </c>
      <c r="BY159" s="5" t="s">
        <v>387</v>
      </c>
      <c r="BZ159" s="5" t="s">
        <v>388</v>
      </c>
      <c r="CA159" s="5" t="s">
        <v>389</v>
      </c>
      <c r="CB159" s="5" t="s">
        <v>390</v>
      </c>
      <c r="CC159" s="5" t="s">
        <v>391</v>
      </c>
      <c r="CD159" s="5" t="s">
        <v>392</v>
      </c>
      <c r="CE159" s="5" t="s">
        <v>393</v>
      </c>
      <c r="CF159" s="5"/>
      <c r="CG159" s="5" t="s">
        <v>569</v>
      </c>
      <c r="CH159" s="5" t="s">
        <v>396</v>
      </c>
      <c r="CI159" s="5" t="s">
        <v>397</v>
      </c>
      <c r="CJ159" s="5" t="s">
        <v>398</v>
      </c>
      <c r="CK159" s="287" t="s">
        <v>399</v>
      </c>
    </row>
    <row r="160" spans="1:89" x14ac:dyDescent="0.25">
      <c r="A160">
        <v>2</v>
      </c>
      <c r="B160" s="107" t="s">
        <v>387</v>
      </c>
      <c r="C160" s="113">
        <f t="shared" si="314"/>
        <v>0</v>
      </c>
      <c r="D160" s="113">
        <f t="shared" si="314"/>
        <v>16968.35341</v>
      </c>
      <c r="E160" s="113">
        <f t="shared" si="314"/>
        <v>177164.67748999997</v>
      </c>
      <c r="F160" s="116">
        <f t="shared" ref="F160:F171" si="323">SUM(C160:E160)</f>
        <v>194133.03089999998</v>
      </c>
      <c r="G160" s="300"/>
      <c r="H160" s="300"/>
      <c r="I160" s="300"/>
      <c r="J160" s="115"/>
      <c r="K160">
        <v>2</v>
      </c>
      <c r="L160" s="107" t="s">
        <v>387</v>
      </c>
      <c r="M160" s="113">
        <f t="shared" si="315"/>
        <v>0</v>
      </c>
      <c r="N160" s="113">
        <f t="shared" si="315"/>
        <v>16968.35341</v>
      </c>
      <c r="O160" s="113">
        <f t="shared" si="315"/>
        <v>177164.67748999997</v>
      </c>
      <c r="P160" s="116">
        <f t="shared" ref="P160:P171" si="324">SUM(M160:O160)</f>
        <v>194133.03089999998</v>
      </c>
      <c r="Q160" s="115"/>
      <c r="R160">
        <v>2</v>
      </c>
      <c r="S160" s="107" t="s">
        <v>387</v>
      </c>
      <c r="T160" s="113">
        <f t="shared" si="316"/>
        <v>0</v>
      </c>
      <c r="U160" s="113">
        <f t="shared" si="316"/>
        <v>28685.118535241287</v>
      </c>
      <c r="V160" s="113">
        <f t="shared" si="316"/>
        <v>161270.90204083375</v>
      </c>
      <c r="W160" s="116">
        <f t="shared" ref="W160:W171" si="325">SUM(T160:V160)</f>
        <v>189956.02057607504</v>
      </c>
      <c r="X160" s="115"/>
      <c r="Y160" s="115"/>
      <c r="Z160" s="115"/>
      <c r="AA160" s="107" t="s">
        <v>387</v>
      </c>
      <c r="AB160" s="113">
        <f t="shared" si="317"/>
        <v>0</v>
      </c>
      <c r="AC160" s="113">
        <f t="shared" si="317"/>
        <v>148120</v>
      </c>
      <c r="AD160" s="113">
        <f t="shared" si="317"/>
        <v>370725</v>
      </c>
      <c r="AE160" s="116">
        <f t="shared" ref="AE160:AE171" si="326">SUM(AB160:AD160)</f>
        <v>518845</v>
      </c>
      <c r="AG160" s="107"/>
      <c r="AH160" s="117"/>
      <c r="AI160" s="117"/>
      <c r="AJ160" s="117"/>
      <c r="AK160" s="118"/>
      <c r="AL160" s="115"/>
      <c r="AM160" s="107"/>
      <c r="AN160" s="117"/>
      <c r="AO160" s="117"/>
      <c r="AP160" s="117"/>
      <c r="AQ160" s="118"/>
      <c r="AS160" s="107" t="s">
        <v>387</v>
      </c>
      <c r="AT160" s="113">
        <f t="shared" ref="AT160:AT172" si="327">AB160-T160</f>
        <v>0</v>
      </c>
      <c r="AU160" s="113">
        <f t="shared" si="318"/>
        <v>119434.88146475871</v>
      </c>
      <c r="AV160" s="113">
        <f t="shared" si="319"/>
        <v>209454.09795916625</v>
      </c>
      <c r="AW160" s="116">
        <f t="shared" si="320"/>
        <v>328888.97942392493</v>
      </c>
      <c r="AX160" s="115"/>
      <c r="AY160" s="107" t="s">
        <v>387</v>
      </c>
      <c r="AZ160" s="117">
        <f t="shared" ref="AZ160:AZ172" si="328">IF(C160=0, 0,AT160/C160)</f>
        <v>0</v>
      </c>
      <c r="BA160" s="117">
        <f t="shared" ref="BA160:BA172" si="329">IF(D160=0, 0,AU160/D160)</f>
        <v>7.0386842246208685</v>
      </c>
      <c r="BB160" s="117">
        <f t="shared" ref="BB160:BB172" si="330">IF(E160=0, 0,AV160/E160)</f>
        <v>1.1822565362725244</v>
      </c>
      <c r="BC160" s="118">
        <f t="shared" ref="BC160:BC172" si="331">IF(F160=0, 0,AW160/F160)</f>
        <v>1.6941422997374371</v>
      </c>
      <c r="BE160" s="107"/>
      <c r="BF160" s="307">
        <f t="shared" ref="BF160:BF171" si="332">IFERROR(IF(AN160&gt;0,LN(AH160/AN160),0),0)</f>
        <v>0</v>
      </c>
      <c r="BG160" s="307">
        <f t="shared" si="321"/>
        <v>0</v>
      </c>
      <c r="BH160" s="307">
        <f t="shared" si="322"/>
        <v>0</v>
      </c>
      <c r="BI160" s="118"/>
      <c r="BK160" s="107"/>
      <c r="BL160" s="307"/>
      <c r="BM160" s="307"/>
      <c r="BN160" s="307"/>
      <c r="BO160" s="118"/>
      <c r="BQ160" s="107"/>
      <c r="BR160" s="308"/>
      <c r="BS160" s="307"/>
      <c r="BT160" s="307"/>
      <c r="BU160" s="118"/>
      <c r="BW160" t="s">
        <v>131</v>
      </c>
      <c r="BX160">
        <f>IF(ISNUMBER(INDEX($BR$159:$BR$172,BX158,1)),INDEX($BR$159:$BR$172,BX158,1),0)</f>
        <v>0</v>
      </c>
      <c r="BY160">
        <f t="shared" ref="BY160:CK160" si="333">IF(ISNUMBER(INDEX($BR$159:$BR$172,BY158,1)),INDEX($BR$159:$BR$172,BY158,1),0)</f>
        <v>0</v>
      </c>
      <c r="BZ160">
        <f t="shared" si="333"/>
        <v>0</v>
      </c>
      <c r="CA160">
        <f>BZ160</f>
        <v>0</v>
      </c>
      <c r="CB160">
        <f t="shared" si="333"/>
        <v>-0.5691420585089908</v>
      </c>
      <c r="CC160">
        <f>CB160</f>
        <v>-0.5691420585089908</v>
      </c>
      <c r="CD160">
        <f t="shared" si="333"/>
        <v>1.6794014436896318</v>
      </c>
      <c r="CE160">
        <f t="shared" si="333"/>
        <v>0.47597091102681621</v>
      </c>
      <c r="CG160">
        <f t="shared" si="333"/>
        <v>1.6327047440849605</v>
      </c>
      <c r="CH160">
        <f t="shared" si="333"/>
        <v>-2.8926270980473996</v>
      </c>
      <c r="CI160">
        <f t="shared" si="333"/>
        <v>0.98027675489744337</v>
      </c>
      <c r="CJ160">
        <f t="shared" si="333"/>
        <v>-0.83227914243378998</v>
      </c>
      <c r="CK160">
        <f t="shared" si="333"/>
        <v>-0.36915490862133982</v>
      </c>
    </row>
    <row r="161" spans="1:89" x14ac:dyDescent="0.25">
      <c r="A161">
        <v>3</v>
      </c>
      <c r="B161" s="107" t="s">
        <v>388</v>
      </c>
      <c r="C161" s="113">
        <f t="shared" si="314"/>
        <v>61304.621469999998</v>
      </c>
      <c r="D161" s="113">
        <f t="shared" si="314"/>
        <v>564466.08261000004</v>
      </c>
      <c r="E161" s="113">
        <f t="shared" si="314"/>
        <v>1288651.9312800001</v>
      </c>
      <c r="F161" s="116">
        <f t="shared" si="323"/>
        <v>1914422.6353600002</v>
      </c>
      <c r="G161" s="300"/>
      <c r="H161" s="300"/>
      <c r="I161" s="300"/>
      <c r="J161" s="115"/>
      <c r="K161">
        <v>3</v>
      </c>
      <c r="L161" s="107" t="s">
        <v>388</v>
      </c>
      <c r="M161" s="113">
        <f t="shared" si="315"/>
        <v>61304.621469999998</v>
      </c>
      <c r="N161" s="113">
        <f t="shared" si="315"/>
        <v>564466.08261000004</v>
      </c>
      <c r="O161" s="113">
        <f t="shared" si="315"/>
        <v>1288651.9312800001</v>
      </c>
      <c r="P161" s="116">
        <f t="shared" si="324"/>
        <v>1914422.6353600002</v>
      </c>
      <c r="Q161" s="115"/>
      <c r="R161">
        <v>3</v>
      </c>
      <c r="S161" s="107" t="s">
        <v>388</v>
      </c>
      <c r="T161" s="113">
        <f t="shared" si="316"/>
        <v>97396.482361378788</v>
      </c>
      <c r="U161" s="113">
        <f t="shared" si="316"/>
        <v>1055434.7577405316</v>
      </c>
      <c r="V161" s="113">
        <f t="shared" si="316"/>
        <v>1435890.8240806111</v>
      </c>
      <c r="W161" s="116">
        <f t="shared" si="325"/>
        <v>2588722.0641825218</v>
      </c>
      <c r="X161" s="115"/>
      <c r="Y161" s="115"/>
      <c r="Z161" s="115"/>
      <c r="AA161" s="107" t="s">
        <v>388</v>
      </c>
      <c r="AB161" s="113">
        <f t="shared" si="317"/>
        <v>109015</v>
      </c>
      <c r="AC161" s="113">
        <f t="shared" si="317"/>
        <v>1035560</v>
      </c>
      <c r="AD161" s="113">
        <f t="shared" si="317"/>
        <v>1431770</v>
      </c>
      <c r="AE161" s="116">
        <f t="shared" si="326"/>
        <v>2576345</v>
      </c>
      <c r="AG161" s="107" t="s">
        <v>576</v>
      </c>
      <c r="AH161" s="117">
        <f>(T161+T162)/T$172</f>
        <v>0.12088623455715393</v>
      </c>
      <c r="AI161" s="117">
        <f>(U161+U162)/U$172</f>
        <v>0.21152201805986712</v>
      </c>
      <c r="AJ161" s="117">
        <f>(V161+V162)/V$172</f>
        <v>0.16919877023434562</v>
      </c>
      <c r="AK161" s="117">
        <f>(W161+W162)/W$172</f>
        <v>0.18128032111993062</v>
      </c>
      <c r="AL161" s="115"/>
      <c r="AM161" s="107" t="s">
        <v>576</v>
      </c>
      <c r="AN161" s="117">
        <f>(AB161+AB162)/AB$172</f>
        <v>0.13847725794965476</v>
      </c>
      <c r="AO161" s="117">
        <f>(AC161+AC162)/AC$172</f>
        <v>0.21226047963336098</v>
      </c>
      <c r="AP161" s="117">
        <f>(AD161+AD162)/AD$172</f>
        <v>0.17102685713657054</v>
      </c>
      <c r="AQ161" s="117">
        <f>(AE161+AE162)/AE$172</f>
        <v>0.18360558878602609</v>
      </c>
      <c r="AS161" s="107" t="s">
        <v>388</v>
      </c>
      <c r="AT161" s="113">
        <f t="shared" si="327"/>
        <v>11618.517638621212</v>
      </c>
      <c r="AU161" s="113">
        <f t="shared" si="318"/>
        <v>-19874.757740531582</v>
      </c>
      <c r="AV161" s="113">
        <f t="shared" si="319"/>
        <v>-4120.8240806111135</v>
      </c>
      <c r="AW161" s="116">
        <f t="shared" si="320"/>
        <v>-12377.064182521775</v>
      </c>
      <c r="AX161" s="115"/>
      <c r="AY161" s="107" t="s">
        <v>388</v>
      </c>
      <c r="AZ161" s="117">
        <f t="shared" si="328"/>
        <v>0.18952107296359125</v>
      </c>
      <c r="BA161" s="117">
        <f t="shared" si="329"/>
        <v>-3.5209835192637103E-2</v>
      </c>
      <c r="BB161" s="117">
        <f t="shared" si="330"/>
        <v>-3.1977789972486644E-3</v>
      </c>
      <c r="BC161" s="118">
        <f t="shared" si="331"/>
        <v>-6.4651681159183082E-3</v>
      </c>
      <c r="BE161" s="107" t="s">
        <v>576</v>
      </c>
      <c r="BF161" s="307">
        <f t="shared" si="332"/>
        <v>-0.13585621656474736</v>
      </c>
      <c r="BG161" s="307">
        <f t="shared" si="321"/>
        <v>-3.4851006115402903E-3</v>
      </c>
      <c r="BH161" s="307">
        <f t="shared" si="322"/>
        <v>-1.0746424421147684E-2</v>
      </c>
      <c r="BI161" s="118"/>
      <c r="BK161" s="107" t="s">
        <v>576</v>
      </c>
      <c r="BL161" s="307">
        <v>0</v>
      </c>
      <c r="BM161" s="307">
        <v>5.8452336633036901E-2</v>
      </c>
      <c r="BN161" s="307">
        <v>-0.15584194699487167</v>
      </c>
      <c r="BO161" s="118"/>
      <c r="BQ161" s="107" t="s">
        <v>576</v>
      </c>
      <c r="BR161" s="309">
        <v>0</v>
      </c>
      <c r="BS161" s="307">
        <f t="shared" ref="BS161:BS171" si="334">(BG161-BG$159)*$BR$1+BM161</f>
        <v>6.1844367818328728E-2</v>
      </c>
      <c r="BT161" s="307">
        <f t="shared" ref="BT161:BT171" si="335">(BH161-BH$159)*$BR$1+BN161</f>
        <v>-0.15979689734440669</v>
      </c>
      <c r="BU161" s="118"/>
      <c r="BW161" t="s">
        <v>132</v>
      </c>
      <c r="BX161">
        <f>IF(ISNUMBER(INDEX($BS$159:$BS$172,BX158,1)),INDEX($BS$159:$BS$172,BX158,1),0)</f>
        <v>0</v>
      </c>
      <c r="BY161">
        <f t="shared" ref="BY161:CK161" si="336">IF(ISNUMBER(INDEX($BS$159:$BS$172,BY158,1)),INDEX($BS$159:$BS$172,BY158,1),0)</f>
        <v>0</v>
      </c>
      <c r="BZ161">
        <f t="shared" si="336"/>
        <v>6.1844367818328728E-2</v>
      </c>
      <c r="CA161">
        <f>BZ161</f>
        <v>6.1844367818328728E-2</v>
      </c>
      <c r="CB161">
        <f t="shared" si="336"/>
        <v>2.0564928873913636E-2</v>
      </c>
      <c r="CC161">
        <f>CB161</f>
        <v>2.0564928873913636E-2</v>
      </c>
      <c r="CD161">
        <f t="shared" si="336"/>
        <v>0.16432063794281304</v>
      </c>
      <c r="CE161">
        <f t="shared" si="336"/>
        <v>-0.28450790962157213</v>
      </c>
      <c r="CG161">
        <f t="shared" si="336"/>
        <v>1.0026893647281043E-2</v>
      </c>
      <c r="CH161">
        <f t="shared" si="336"/>
        <v>-3.7720980658959826</v>
      </c>
      <c r="CI161">
        <f t="shared" si="336"/>
        <v>-2.2721237905370524</v>
      </c>
      <c r="CJ161">
        <f t="shared" si="336"/>
        <v>-3.4773344278729637</v>
      </c>
      <c r="CK161">
        <f t="shared" si="336"/>
        <v>-0.58038292712260431</v>
      </c>
    </row>
    <row r="162" spans="1:89" x14ac:dyDescent="0.25">
      <c r="A162">
        <v>4</v>
      </c>
      <c r="B162" s="107" t="s">
        <v>389</v>
      </c>
      <c r="C162" s="113">
        <f t="shared" si="314"/>
        <v>164.38015999999999</v>
      </c>
      <c r="D162" s="113">
        <f t="shared" si="314"/>
        <v>8123.5293500000007</v>
      </c>
      <c r="E162" s="113">
        <f t="shared" si="314"/>
        <v>27393.11391</v>
      </c>
      <c r="F162" s="116">
        <f t="shared" si="323"/>
        <v>35681.023419999998</v>
      </c>
      <c r="G162" s="300"/>
      <c r="H162" s="300"/>
      <c r="I162" s="300"/>
      <c r="J162" s="115"/>
      <c r="K162">
        <v>4</v>
      </c>
      <c r="L162" s="107" t="s">
        <v>389</v>
      </c>
      <c r="M162" s="113">
        <f t="shared" si="315"/>
        <v>164.38015999999999</v>
      </c>
      <c r="N162" s="113">
        <f t="shared" si="315"/>
        <v>8123.5293500000007</v>
      </c>
      <c r="O162" s="113">
        <f t="shared" si="315"/>
        <v>27393.11391</v>
      </c>
      <c r="P162" s="116">
        <f t="shared" si="324"/>
        <v>35681.023419999998</v>
      </c>
      <c r="Q162" s="115"/>
      <c r="R162">
        <v>4</v>
      </c>
      <c r="S162" s="107" t="s">
        <v>389</v>
      </c>
      <c r="T162" s="113">
        <f t="shared" si="316"/>
        <v>210.08557593120372</v>
      </c>
      <c r="U162" s="113">
        <f t="shared" si="316"/>
        <v>15332.002082127596</v>
      </c>
      <c r="V162" s="113">
        <f t="shared" si="316"/>
        <v>25163.398726945059</v>
      </c>
      <c r="W162" s="116">
        <f t="shared" si="325"/>
        <v>40705.48638500386</v>
      </c>
      <c r="X162" s="115"/>
      <c r="Y162" s="115"/>
      <c r="Z162" s="115"/>
      <c r="AA162" s="107" t="s">
        <v>389</v>
      </c>
      <c r="AB162" s="113">
        <f t="shared" si="317"/>
        <v>2795</v>
      </c>
      <c r="AC162" s="113">
        <f t="shared" si="317"/>
        <v>38945</v>
      </c>
      <c r="AD162" s="113">
        <f t="shared" si="317"/>
        <v>45070</v>
      </c>
      <c r="AE162" s="116">
        <f t="shared" si="326"/>
        <v>86810</v>
      </c>
      <c r="AG162" s="107"/>
      <c r="AH162" s="117"/>
      <c r="AI162" s="117"/>
      <c r="AJ162" s="117"/>
      <c r="AK162" s="118"/>
      <c r="AL162" s="115"/>
      <c r="AM162" s="107"/>
      <c r="AN162" s="117"/>
      <c r="AO162" s="117"/>
      <c r="AP162" s="117"/>
      <c r="AQ162" s="118"/>
      <c r="AS162" s="107" t="s">
        <v>389</v>
      </c>
      <c r="AT162" s="113">
        <f t="shared" si="327"/>
        <v>2584.9144240687965</v>
      </c>
      <c r="AU162" s="113">
        <f t="shared" si="318"/>
        <v>23612.997917872402</v>
      </c>
      <c r="AV162" s="113">
        <f t="shared" si="319"/>
        <v>19906.601273054941</v>
      </c>
      <c r="AW162" s="116">
        <f t="shared" si="320"/>
        <v>46104.51361499614</v>
      </c>
      <c r="AX162" s="115"/>
      <c r="AY162" s="107" t="s">
        <v>389</v>
      </c>
      <c r="AZ162" s="117">
        <f t="shared" si="328"/>
        <v>15.725221487001818</v>
      </c>
      <c r="BA162" s="117">
        <f t="shared" si="329"/>
        <v>2.9067412574649465</v>
      </c>
      <c r="BB162" s="117">
        <f t="shared" si="330"/>
        <v>0.72670092704531597</v>
      </c>
      <c r="BC162" s="118">
        <f t="shared" si="331"/>
        <v>1.2921297988653977</v>
      </c>
      <c r="BE162" s="107"/>
      <c r="BF162" s="307">
        <f t="shared" si="332"/>
        <v>0</v>
      </c>
      <c r="BG162" s="307">
        <f t="shared" si="321"/>
        <v>0</v>
      </c>
      <c r="BH162" s="307">
        <f t="shared" si="322"/>
        <v>0</v>
      </c>
      <c r="BI162" s="118"/>
      <c r="BK162" s="107"/>
      <c r="BL162" s="307"/>
      <c r="BM162" s="307"/>
      <c r="BN162" s="307"/>
      <c r="BO162" s="118"/>
      <c r="BQ162" s="107"/>
      <c r="BR162" s="307"/>
      <c r="BS162" s="307"/>
      <c r="BT162" s="307"/>
      <c r="BU162" s="118"/>
      <c r="BW162" t="s">
        <v>133</v>
      </c>
      <c r="BX162">
        <f>IF(ISNUMBER(INDEX($BT$159:$BT$172,BX158,1)),INDEX($BT$159:$BT$172,BX158,1),0)</f>
        <v>0</v>
      </c>
      <c r="BY162">
        <f t="shared" ref="BY162:CK162" si="337">IF(ISNUMBER(INDEX($BT$159:$BT$172,BY158,1)),INDEX($BT$159:$BT$172,BY158,1),0)</f>
        <v>0</v>
      </c>
      <c r="BZ162">
        <f t="shared" si="337"/>
        <v>-0.15979689734440669</v>
      </c>
      <c r="CA162">
        <f>BZ162</f>
        <v>-0.15979689734440669</v>
      </c>
      <c r="CB162">
        <f t="shared" si="337"/>
        <v>-1.3502753636680874E-2</v>
      </c>
      <c r="CC162">
        <f>CB162</f>
        <v>-1.3502753636680874E-2</v>
      </c>
      <c r="CD162">
        <f t="shared" si="337"/>
        <v>-0.22483567313003786</v>
      </c>
      <c r="CE162">
        <f t="shared" si="337"/>
        <v>-0.41969177850588835</v>
      </c>
      <c r="CG162">
        <f t="shared" si="337"/>
        <v>0.73546166022743709</v>
      </c>
      <c r="CH162">
        <f t="shared" si="337"/>
        <v>-4.5354502919128361</v>
      </c>
      <c r="CI162">
        <f t="shared" si="337"/>
        <v>1.3992645970401578</v>
      </c>
      <c r="CJ162">
        <f t="shared" si="337"/>
        <v>-3.1030059847282914</v>
      </c>
      <c r="CK162">
        <f t="shared" si="337"/>
        <v>-0.68966784751000842</v>
      </c>
    </row>
    <row r="163" spans="1:89" x14ac:dyDescent="0.25">
      <c r="A163">
        <v>5</v>
      </c>
      <c r="B163" s="107" t="s">
        <v>390</v>
      </c>
      <c r="C163" s="113">
        <f t="shared" si="314"/>
        <v>23016.56637</v>
      </c>
      <c r="D163" s="113">
        <f t="shared" si="314"/>
        <v>402111.02718999994</v>
      </c>
      <c r="E163" s="113">
        <f t="shared" si="314"/>
        <v>1233347.0750500001</v>
      </c>
      <c r="F163" s="116">
        <f t="shared" si="323"/>
        <v>1658474.6686100001</v>
      </c>
      <c r="G163" s="300"/>
      <c r="H163" s="300"/>
      <c r="I163" s="300"/>
      <c r="J163" s="115"/>
      <c r="K163">
        <v>5</v>
      </c>
      <c r="L163" s="107" t="s">
        <v>390</v>
      </c>
      <c r="M163" s="113">
        <f t="shared" si="315"/>
        <v>23016.56637</v>
      </c>
      <c r="N163" s="113">
        <f t="shared" si="315"/>
        <v>402111.02718999994</v>
      </c>
      <c r="O163" s="113">
        <f t="shared" si="315"/>
        <v>1233347.0750500001</v>
      </c>
      <c r="P163" s="116">
        <f t="shared" si="324"/>
        <v>1658474.6686100001</v>
      </c>
      <c r="Q163" s="115"/>
      <c r="R163">
        <v>5</v>
      </c>
      <c r="S163" s="107" t="s">
        <v>390</v>
      </c>
      <c r="T163" s="113">
        <f t="shared" si="316"/>
        <v>31131.175462844127</v>
      </c>
      <c r="U163" s="113">
        <f t="shared" si="316"/>
        <v>742660.95534957107</v>
      </c>
      <c r="V163" s="113">
        <f t="shared" si="316"/>
        <v>1331971.0807398814</v>
      </c>
      <c r="W163" s="116">
        <f t="shared" si="325"/>
        <v>2105763.2115522968</v>
      </c>
      <c r="X163" s="115"/>
      <c r="Y163" s="115"/>
      <c r="Z163" s="115"/>
      <c r="AA163" s="107" t="s">
        <v>390</v>
      </c>
      <c r="AB163" s="113">
        <f t="shared" si="317"/>
        <v>42560</v>
      </c>
      <c r="AC163" s="113">
        <f t="shared" si="317"/>
        <v>747920</v>
      </c>
      <c r="AD163" s="113">
        <f t="shared" si="317"/>
        <v>1347245</v>
      </c>
      <c r="AE163" s="116">
        <f t="shared" si="326"/>
        <v>2137725</v>
      </c>
      <c r="AG163" s="107" t="s">
        <v>577</v>
      </c>
      <c r="AH163" s="117">
        <f>(T163+T164)/T$172</f>
        <v>3.855612033668035E-2</v>
      </c>
      <c r="AI163" s="117">
        <f>(U163+U164)/U$172</f>
        <v>0.14877472230125055</v>
      </c>
      <c r="AJ163" s="117">
        <f>(V163+V164)/V$172</f>
        <v>0.15679601235057192</v>
      </c>
      <c r="AK163" s="117">
        <f>(W163+W164)/W$172</f>
        <v>0.14741459416116431</v>
      </c>
      <c r="AL163" s="115"/>
      <c r="AM163" s="107" t="s">
        <v>577</v>
      </c>
      <c r="AN163" s="117">
        <f>(AB163+AB164)/AB$172</f>
        <v>5.4432300213642135E-2</v>
      </c>
      <c r="AO163" s="117">
        <f>(AC163+AC164)/AC$172</f>
        <v>0.15238137568646043</v>
      </c>
      <c r="AP163" s="117">
        <f>(AD163+AD164)/AD$172</f>
        <v>0.16095000251877939</v>
      </c>
      <c r="AQ163" s="117">
        <f>(AE163+AE164)/AE$172</f>
        <v>0.15203009219042576</v>
      </c>
      <c r="AS163" s="107" t="s">
        <v>390</v>
      </c>
      <c r="AT163" s="113">
        <f t="shared" si="327"/>
        <v>11428.824537155873</v>
      </c>
      <c r="AU163" s="113">
        <f t="shared" si="318"/>
        <v>5259.0446504289284</v>
      </c>
      <c r="AV163" s="113">
        <f t="shared" si="319"/>
        <v>15273.919260118622</v>
      </c>
      <c r="AW163" s="116">
        <f t="shared" si="320"/>
        <v>31961.788447703235</v>
      </c>
      <c r="AX163" s="115"/>
      <c r="AY163" s="107" t="s">
        <v>390</v>
      </c>
      <c r="AZ163" s="117">
        <f t="shared" si="328"/>
        <v>0.49654776274763146</v>
      </c>
      <c r="BA163" s="117">
        <f t="shared" si="329"/>
        <v>1.3078588486318724E-2</v>
      </c>
      <c r="BB163" s="117">
        <f t="shared" si="330"/>
        <v>1.2384120876517598E-2</v>
      </c>
      <c r="BC163" s="118">
        <f t="shared" si="331"/>
        <v>1.9271797786631878E-2</v>
      </c>
      <c r="BE163" s="107" t="s">
        <v>577</v>
      </c>
      <c r="BF163" s="307">
        <f t="shared" si="332"/>
        <v>-0.34484288058187529</v>
      </c>
      <c r="BG163" s="307">
        <f t="shared" si="321"/>
        <v>-2.3953198042399568E-2</v>
      </c>
      <c r="BH163" s="307">
        <f t="shared" si="322"/>
        <v>-2.6148097239025718E-2</v>
      </c>
      <c r="BI163" s="118"/>
      <c r="BK163" s="107" t="s">
        <v>577</v>
      </c>
      <c r="BL163" s="307">
        <v>-0.46464872650042688</v>
      </c>
      <c r="BM163" s="307">
        <v>2.7406946404051447E-2</v>
      </c>
      <c r="BN163" s="307">
        <v>-1.8469668782068183E-3</v>
      </c>
      <c r="BO163" s="118"/>
      <c r="BQ163" s="107" t="s">
        <v>577</v>
      </c>
      <c r="BR163" s="307">
        <f t="shared" ref="BR163:BR171" si="338">(BF163-BF$161)*$BR$1+BL163</f>
        <v>-0.5691420585089908</v>
      </c>
      <c r="BS163" s="307">
        <f t="shared" si="334"/>
        <v>2.0564928873913636E-2</v>
      </c>
      <c r="BT163" s="307">
        <f t="shared" si="335"/>
        <v>-1.3502753636680874E-2</v>
      </c>
      <c r="BU163" s="118"/>
    </row>
    <row r="164" spans="1:89" x14ac:dyDescent="0.25">
      <c r="A164">
        <v>6</v>
      </c>
      <c r="B164" s="107" t="s">
        <v>391</v>
      </c>
      <c r="C164" s="113">
        <f t="shared" si="314"/>
        <v>0</v>
      </c>
      <c r="D164" s="113">
        <f t="shared" si="314"/>
        <v>6717.1272599999993</v>
      </c>
      <c r="E164" s="113">
        <f t="shared" si="314"/>
        <v>22482.914819999998</v>
      </c>
      <c r="F164" s="116">
        <f t="shared" si="323"/>
        <v>29200.042079999999</v>
      </c>
      <c r="G164" s="300"/>
      <c r="H164" s="300"/>
      <c r="I164" s="300"/>
      <c r="J164" s="115"/>
      <c r="K164">
        <v>6</v>
      </c>
      <c r="L164" s="107" t="s">
        <v>391</v>
      </c>
      <c r="M164" s="113">
        <f t="shared" si="315"/>
        <v>0</v>
      </c>
      <c r="N164" s="113">
        <f t="shared" si="315"/>
        <v>6717.1272599999993</v>
      </c>
      <c r="O164" s="113">
        <f t="shared" si="315"/>
        <v>22482.914819999998</v>
      </c>
      <c r="P164" s="116">
        <f t="shared" si="324"/>
        <v>29200.042079999999</v>
      </c>
      <c r="Q164" s="115"/>
      <c r="R164">
        <v>6</v>
      </c>
      <c r="S164" s="107" t="s">
        <v>391</v>
      </c>
      <c r="T164" s="113">
        <f t="shared" si="316"/>
        <v>0</v>
      </c>
      <c r="U164" s="113">
        <f t="shared" si="316"/>
        <v>10466.443883819404</v>
      </c>
      <c r="V164" s="113">
        <f t="shared" si="316"/>
        <v>21983.653368974359</v>
      </c>
      <c r="W164" s="116">
        <f t="shared" si="325"/>
        <v>32450.097252793763</v>
      </c>
      <c r="X164" s="115"/>
      <c r="Y164" s="115"/>
      <c r="Z164" s="115"/>
      <c r="AA164" s="107" t="s">
        <v>391</v>
      </c>
      <c r="AB164" s="113">
        <f t="shared" si="317"/>
        <v>1390</v>
      </c>
      <c r="AC164" s="113">
        <f t="shared" si="317"/>
        <v>23465</v>
      </c>
      <c r="AD164" s="113">
        <f t="shared" si="317"/>
        <v>42580</v>
      </c>
      <c r="AE164" s="116">
        <f t="shared" si="326"/>
        <v>67435</v>
      </c>
      <c r="AG164" s="107"/>
      <c r="AH164" s="117"/>
      <c r="AI164" s="117"/>
      <c r="AJ164" s="117"/>
      <c r="AK164" s="118"/>
      <c r="AL164" s="115"/>
      <c r="AM164" s="107"/>
      <c r="AN164" s="117"/>
      <c r="AO164" s="117"/>
      <c r="AP164" s="117"/>
      <c r="AQ164" s="118"/>
      <c r="AS164" s="107" t="s">
        <v>391</v>
      </c>
      <c r="AT164" s="113">
        <f t="shared" si="327"/>
        <v>1390</v>
      </c>
      <c r="AU164" s="113">
        <f t="shared" si="318"/>
        <v>12998.556116180596</v>
      </c>
      <c r="AV164" s="113">
        <f t="shared" si="319"/>
        <v>20596.346631025641</v>
      </c>
      <c r="AW164" s="116">
        <f t="shared" si="320"/>
        <v>34984.902747206237</v>
      </c>
      <c r="AX164" s="115"/>
      <c r="AY164" s="107" t="s">
        <v>391</v>
      </c>
      <c r="AZ164" s="117">
        <f t="shared" si="328"/>
        <v>0</v>
      </c>
      <c r="BA164" s="117">
        <f t="shared" si="329"/>
        <v>1.9351361993074101</v>
      </c>
      <c r="BB164" s="117">
        <f t="shared" si="330"/>
        <v>0.91608880769782863</v>
      </c>
      <c r="BC164" s="118">
        <f t="shared" si="331"/>
        <v>1.1981113811876478</v>
      </c>
      <c r="BE164" s="107"/>
      <c r="BF164" s="307">
        <f t="shared" si="332"/>
        <v>0</v>
      </c>
      <c r="BG164" s="307">
        <f t="shared" si="321"/>
        <v>0</v>
      </c>
      <c r="BH164" s="307">
        <f t="shared" si="322"/>
        <v>0</v>
      </c>
      <c r="BI164" s="118"/>
      <c r="BK164" s="107"/>
      <c r="BL164" s="307"/>
      <c r="BM164" s="307"/>
      <c r="BN164" s="307"/>
      <c r="BO164" s="118"/>
      <c r="BQ164" s="107"/>
      <c r="BR164" s="307"/>
      <c r="BS164" s="307"/>
      <c r="BT164" s="307"/>
      <c r="BU164" s="118"/>
    </row>
    <row r="165" spans="1:89" x14ac:dyDescent="0.25">
      <c r="A165">
        <v>7</v>
      </c>
      <c r="B165" s="107" t="s">
        <v>392</v>
      </c>
      <c r="C165" s="113">
        <f t="shared" si="314"/>
        <v>191755.45868000001</v>
      </c>
      <c r="D165" s="113">
        <f t="shared" si="314"/>
        <v>393917.98089999997</v>
      </c>
      <c r="E165" s="113">
        <f t="shared" si="314"/>
        <v>429041.80814000004</v>
      </c>
      <c r="F165" s="116">
        <f t="shared" si="323"/>
        <v>1014715.2477200001</v>
      </c>
      <c r="G165" s="300"/>
      <c r="H165" s="300"/>
      <c r="I165" s="300"/>
      <c r="J165" s="115"/>
      <c r="K165">
        <v>7</v>
      </c>
      <c r="L165" s="107" t="s">
        <v>392</v>
      </c>
      <c r="M165" s="113">
        <f t="shared" si="315"/>
        <v>191755.45868000001</v>
      </c>
      <c r="N165" s="113">
        <f t="shared" si="315"/>
        <v>393917.98089999997</v>
      </c>
      <c r="O165" s="113">
        <f t="shared" si="315"/>
        <v>429041.80814000004</v>
      </c>
      <c r="P165" s="116">
        <f t="shared" si="324"/>
        <v>1014715.2477200001</v>
      </c>
      <c r="Q165" s="115"/>
      <c r="R165">
        <v>7</v>
      </c>
      <c r="S165" s="107" t="s">
        <v>392</v>
      </c>
      <c r="T165" s="113">
        <f t="shared" si="316"/>
        <v>342223.14837526687</v>
      </c>
      <c r="U165" s="113">
        <f t="shared" si="316"/>
        <v>946748.63431489223</v>
      </c>
      <c r="V165" s="113">
        <f t="shared" si="316"/>
        <v>611831.3046283751</v>
      </c>
      <c r="W165" s="116">
        <f t="shared" si="325"/>
        <v>1900803.087318534</v>
      </c>
      <c r="X165" s="115"/>
      <c r="Y165" s="115"/>
      <c r="Z165" s="115"/>
      <c r="AA165" s="107" t="s">
        <v>392</v>
      </c>
      <c r="AB165" s="113">
        <f t="shared" si="317"/>
        <v>373630</v>
      </c>
      <c r="AC165" s="113">
        <f t="shared" si="317"/>
        <v>996540</v>
      </c>
      <c r="AD165" s="113">
        <f t="shared" si="317"/>
        <v>650670</v>
      </c>
      <c r="AE165" s="116">
        <f t="shared" si="326"/>
        <v>2020840</v>
      </c>
      <c r="AG165" s="107" t="s">
        <v>392</v>
      </c>
      <c r="AH165" s="117">
        <f t="shared" ref="AH165:AH172" si="339">T165/T$172</f>
        <v>0.42384512292196419</v>
      </c>
      <c r="AI165" s="117">
        <f t="shared" ref="AI165:AI172" si="340">U165/U$172</f>
        <v>0.18702315876790573</v>
      </c>
      <c r="AJ165" s="117">
        <f t="shared" ref="AJ165:AJ172" si="341">V165/V$172</f>
        <v>7.0853704618210958E-2</v>
      </c>
      <c r="AK165" s="118">
        <f t="shared" ref="AK165:AK172" si="342">W165/W$172</f>
        <v>0.13104684857374638</v>
      </c>
      <c r="AL165" s="115"/>
      <c r="AM165" s="107" t="s">
        <v>392</v>
      </c>
      <c r="AN165" s="117">
        <f t="shared" ref="AN165:AN172" si="343">AB165/AB$172</f>
        <v>0.46274266959779548</v>
      </c>
      <c r="AO165" s="117">
        <f t="shared" ref="AO165:AO172" si="344">AC165/AC$172</f>
        <v>0.19685907313025958</v>
      </c>
      <c r="AP165" s="117">
        <f t="shared" ref="AP165:AP172" si="345">AD165/AD$172</f>
        <v>7.5351456578270054E-2</v>
      </c>
      <c r="AQ165" s="118">
        <f t="shared" ref="AQ165:AQ172" si="346">AE165/AE$172</f>
        <v>0.13932253963526456</v>
      </c>
      <c r="AS165" s="107" t="s">
        <v>392</v>
      </c>
      <c r="AT165" s="113">
        <f t="shared" si="327"/>
        <v>31406.851624733128</v>
      </c>
      <c r="AU165" s="113">
        <f t="shared" si="318"/>
        <v>49791.365685107769</v>
      </c>
      <c r="AV165" s="113">
        <f t="shared" si="319"/>
        <v>38838.695371624897</v>
      </c>
      <c r="AW165" s="116">
        <f t="shared" si="320"/>
        <v>120036.91268146597</v>
      </c>
      <c r="AX165" s="115"/>
      <c r="AY165" s="107" t="s">
        <v>392</v>
      </c>
      <c r="AZ165" s="117">
        <f t="shared" si="328"/>
        <v>0.16378595864196302</v>
      </c>
      <c r="BA165" s="117">
        <f t="shared" si="329"/>
        <v>0.1264003373782214</v>
      </c>
      <c r="BB165" s="117">
        <f t="shared" si="330"/>
        <v>9.052426741347197E-2</v>
      </c>
      <c r="BC165" s="118">
        <f t="shared" si="331"/>
        <v>0.1182961554497</v>
      </c>
      <c r="BE165" s="107" t="s">
        <v>392</v>
      </c>
      <c r="BF165" s="307">
        <f t="shared" si="332"/>
        <v>-8.7802997997596444E-2</v>
      </c>
      <c r="BG165" s="307">
        <f t="shared" si="321"/>
        <v>-5.1255655056231898E-2</v>
      </c>
      <c r="BH165" s="307">
        <f t="shared" si="322"/>
        <v>-6.1546002759716507E-2</v>
      </c>
      <c r="BI165" s="118"/>
      <c r="BK165" s="107" t="s">
        <v>392</v>
      </c>
      <c r="BL165" s="307">
        <v>1.6553748344060564</v>
      </c>
      <c r="BM165" s="307">
        <v>0.18481388397986703</v>
      </c>
      <c r="BN165" s="307">
        <v>-0.1954809336112184</v>
      </c>
      <c r="BO165" s="118"/>
      <c r="BQ165" s="107" t="s">
        <v>392</v>
      </c>
      <c r="BR165" s="307">
        <f t="shared" si="338"/>
        <v>1.6794014436896318</v>
      </c>
      <c r="BS165" s="307">
        <f t="shared" si="334"/>
        <v>0.16432063794281304</v>
      </c>
      <c r="BT165" s="307">
        <f t="shared" si="335"/>
        <v>-0.22483567313003786</v>
      </c>
      <c r="BU165" s="118"/>
    </row>
    <row r="166" spans="1:89" x14ac:dyDescent="0.25">
      <c r="A166">
        <v>8</v>
      </c>
      <c r="B166" s="107" t="s">
        <v>393</v>
      </c>
      <c r="C166" s="113">
        <f t="shared" si="314"/>
        <v>25218.371569999999</v>
      </c>
      <c r="D166" s="113">
        <f t="shared" si="314"/>
        <v>56643.957100000007</v>
      </c>
      <c r="E166" s="113">
        <f t="shared" si="314"/>
        <v>59726.509209999997</v>
      </c>
      <c r="F166" s="116">
        <f t="shared" si="323"/>
        <v>141588.83788000001</v>
      </c>
      <c r="G166" s="300"/>
      <c r="H166" s="300"/>
      <c r="I166" s="300"/>
      <c r="J166" s="115"/>
      <c r="K166">
        <v>8</v>
      </c>
      <c r="L166" s="107" t="s">
        <v>393</v>
      </c>
      <c r="M166" s="113">
        <f t="shared" si="315"/>
        <v>25218.371569999999</v>
      </c>
      <c r="N166" s="113">
        <f t="shared" si="315"/>
        <v>56643.957100000007</v>
      </c>
      <c r="O166" s="113">
        <f t="shared" si="315"/>
        <v>59726.509209999997</v>
      </c>
      <c r="P166" s="116">
        <f t="shared" si="324"/>
        <v>141588.83788000001</v>
      </c>
      <c r="Q166" s="115"/>
      <c r="R166">
        <v>8</v>
      </c>
      <c r="S166" s="107" t="s">
        <v>393</v>
      </c>
      <c r="T166" s="113">
        <f t="shared" si="316"/>
        <v>41257.839192260064</v>
      </c>
      <c r="U166" s="113">
        <f t="shared" si="316"/>
        <v>103047.53948239237</v>
      </c>
      <c r="V166" s="113">
        <f t="shared" si="316"/>
        <v>71835.270156572617</v>
      </c>
      <c r="W166" s="116">
        <f t="shared" si="325"/>
        <v>216140.64883122506</v>
      </c>
      <c r="X166" s="115"/>
      <c r="Y166" s="115"/>
      <c r="Z166" s="115"/>
      <c r="AA166" s="107" t="s">
        <v>393</v>
      </c>
      <c r="AB166" s="113">
        <f t="shared" si="317"/>
        <v>55260</v>
      </c>
      <c r="AC166" s="113">
        <f t="shared" si="317"/>
        <v>121100</v>
      </c>
      <c r="AD166" s="113">
        <f t="shared" si="317"/>
        <v>77355</v>
      </c>
      <c r="AE166" s="116">
        <f t="shared" si="326"/>
        <v>253715</v>
      </c>
      <c r="AG166" s="107" t="s">
        <v>393</v>
      </c>
      <c r="AH166" s="117">
        <f t="shared" si="339"/>
        <v>5.1098045257776351E-2</v>
      </c>
      <c r="AI166" s="117">
        <f t="shared" si="340"/>
        <v>2.0356275825212829E-2</v>
      </c>
      <c r="AJ166" s="117">
        <f t="shared" si="341"/>
        <v>8.3189516037181378E-3</v>
      </c>
      <c r="AK166" s="118">
        <f t="shared" si="342"/>
        <v>1.4901359886769929E-2</v>
      </c>
      <c r="AL166" s="115"/>
      <c r="AM166" s="107" t="s">
        <v>393</v>
      </c>
      <c r="AN166" s="117">
        <f t="shared" si="343"/>
        <v>6.8439793169644242E-2</v>
      </c>
      <c r="AO166" s="117">
        <f t="shared" si="344"/>
        <v>2.3922405278337482E-2</v>
      </c>
      <c r="AP166" s="117">
        <f t="shared" si="345"/>
        <v>8.9581691542749472E-3</v>
      </c>
      <c r="AQ166" s="118">
        <f t="shared" si="346"/>
        <v>1.7491844056709661E-2</v>
      </c>
      <c r="AS166" s="107" t="s">
        <v>393</v>
      </c>
      <c r="AT166" s="113">
        <f t="shared" si="327"/>
        <v>14002.160807739936</v>
      </c>
      <c r="AU166" s="113">
        <f t="shared" si="318"/>
        <v>18052.460517607629</v>
      </c>
      <c r="AV166" s="113">
        <f t="shared" si="319"/>
        <v>5519.7298434273835</v>
      </c>
      <c r="AW166" s="116">
        <f t="shared" si="320"/>
        <v>37574.351168774941</v>
      </c>
      <c r="AX166" s="115"/>
      <c r="AY166" s="107" t="s">
        <v>393</v>
      </c>
      <c r="AZ166" s="117">
        <f t="shared" si="328"/>
        <v>0.5552365175076186</v>
      </c>
      <c r="BA166" s="117">
        <f t="shared" si="329"/>
        <v>0.31870055416039478</v>
      </c>
      <c r="BB166" s="117">
        <f t="shared" si="330"/>
        <v>9.2416749554538102E-2</v>
      </c>
      <c r="BC166" s="118">
        <f t="shared" si="331"/>
        <v>0.26537650659030143</v>
      </c>
      <c r="BE166" s="107" t="s">
        <v>393</v>
      </c>
      <c r="BF166" s="307">
        <f t="shared" si="332"/>
        <v>-0.29220818374560203</v>
      </c>
      <c r="BG166" s="307">
        <f t="shared" si="321"/>
        <v>-0.16142622043735672</v>
      </c>
      <c r="BH166" s="307">
        <f t="shared" si="322"/>
        <v>-7.4029632922317345E-2</v>
      </c>
      <c r="BI166" s="118"/>
      <c r="BK166" s="107" t="s">
        <v>393</v>
      </c>
      <c r="BL166" s="307">
        <v>0.55414689461724354</v>
      </c>
      <c r="BM166" s="307">
        <v>-0.20892938089395571</v>
      </c>
      <c r="BN166" s="307">
        <v>-0.3840952239057685</v>
      </c>
      <c r="BO166" s="118"/>
      <c r="BQ166" s="107" t="s">
        <v>393</v>
      </c>
      <c r="BR166" s="307">
        <f t="shared" si="338"/>
        <v>0.47597091102681621</v>
      </c>
      <c r="BS166" s="307">
        <f t="shared" si="334"/>
        <v>-0.28450790962157213</v>
      </c>
      <c r="BT166" s="307">
        <f t="shared" si="335"/>
        <v>-0.41969177850588835</v>
      </c>
      <c r="BU166" s="118"/>
    </row>
    <row r="167" spans="1:89" x14ac:dyDescent="0.25">
      <c r="A167">
        <v>10</v>
      </c>
      <c r="B167" s="107" t="s">
        <v>555</v>
      </c>
      <c r="C167" s="113">
        <f t="shared" si="314"/>
        <v>234634.70817</v>
      </c>
      <c r="D167" s="113">
        <f t="shared" si="314"/>
        <v>222329.37116000001</v>
      </c>
      <c r="E167" s="113">
        <f t="shared" si="314"/>
        <v>132606.83864999999</v>
      </c>
      <c r="F167" s="116">
        <f t="shared" si="323"/>
        <v>589570.91797999991</v>
      </c>
      <c r="G167" s="300"/>
      <c r="H167" s="300">
        <f>TripMode2!AH169</f>
        <v>657922.78479916183</v>
      </c>
      <c r="I167" s="286">
        <f>I14+I31+I48+I65+I82+I99+I116+I133+I150</f>
        <v>657922.78479916183</v>
      </c>
      <c r="K167">
        <v>10</v>
      </c>
      <c r="L167" s="107" t="s">
        <v>546</v>
      </c>
      <c r="M167" s="113">
        <f t="shared" si="315"/>
        <v>261837.0681149876</v>
      </c>
      <c r="N167" s="113">
        <f t="shared" si="315"/>
        <v>248105.11264260791</v>
      </c>
      <c r="O167" s="113">
        <f t="shared" si="315"/>
        <v>147980.60404156626</v>
      </c>
      <c r="P167" s="116">
        <f t="shared" si="324"/>
        <v>657922.78479916183</v>
      </c>
      <c r="Q167" s="115"/>
      <c r="R167">
        <v>10</v>
      </c>
      <c r="S167" s="107" t="s">
        <v>546</v>
      </c>
      <c r="T167" s="113">
        <f t="shared" si="316"/>
        <v>261837.0681149876</v>
      </c>
      <c r="U167" s="113">
        <f t="shared" si="316"/>
        <v>248105.11264260791</v>
      </c>
      <c r="V167" s="113">
        <f t="shared" si="316"/>
        <v>147980.60404156626</v>
      </c>
      <c r="W167" s="116">
        <f t="shared" si="325"/>
        <v>657922.78479916183</v>
      </c>
      <c r="X167" s="115"/>
      <c r="Y167" s="115"/>
      <c r="Z167" s="115"/>
      <c r="AA167" s="107" t="s">
        <v>546</v>
      </c>
      <c r="AB167" s="113">
        <f t="shared" si="317"/>
        <v>182855</v>
      </c>
      <c r="AC167" s="113">
        <f t="shared" si="317"/>
        <v>147050</v>
      </c>
      <c r="AD167" s="113">
        <f t="shared" si="317"/>
        <v>88670</v>
      </c>
      <c r="AE167" s="116">
        <f t="shared" si="326"/>
        <v>418575</v>
      </c>
      <c r="AG167" s="107" t="s">
        <v>395</v>
      </c>
      <c r="AH167" s="117">
        <f t="shared" si="339"/>
        <v>0.3242865505960153</v>
      </c>
      <c r="AI167" s="117">
        <f t="shared" si="340"/>
        <v>4.9011321686738565E-2</v>
      </c>
      <c r="AJ167" s="117">
        <f t="shared" si="341"/>
        <v>1.7137034226050462E-2</v>
      </c>
      <c r="AK167" s="118">
        <f t="shared" si="342"/>
        <v>4.5359094862594186E-2</v>
      </c>
      <c r="AL167" s="115"/>
      <c r="AM167" s="107" t="s">
        <v>395</v>
      </c>
      <c r="AN167" s="117">
        <f t="shared" si="343"/>
        <v>0.22646685450661053</v>
      </c>
      <c r="AO167" s="117">
        <f t="shared" si="344"/>
        <v>2.9048634980838369E-2</v>
      </c>
      <c r="AP167" s="117">
        <f t="shared" si="345"/>
        <v>1.0268513462731041E-2</v>
      </c>
      <c r="AQ167" s="118">
        <f t="shared" si="346"/>
        <v>2.8857768070619575E-2</v>
      </c>
      <c r="AS167" s="107" t="s">
        <v>395</v>
      </c>
      <c r="AT167" s="113">
        <f t="shared" si="327"/>
        <v>-78982.068114987604</v>
      </c>
      <c r="AU167" s="113">
        <f t="shared" si="318"/>
        <v>-101055.11264260791</v>
      </c>
      <c r="AV167" s="113">
        <f t="shared" si="319"/>
        <v>-59310.604041566257</v>
      </c>
      <c r="AW167" s="116">
        <f t="shared" si="320"/>
        <v>-239347.78479916183</v>
      </c>
      <c r="AX167" s="115"/>
      <c r="AY167" s="107" t="s">
        <v>395</v>
      </c>
      <c r="AZ167" s="117">
        <f t="shared" si="328"/>
        <v>-0.33661715579505264</v>
      </c>
      <c r="BA167" s="117">
        <f t="shared" si="329"/>
        <v>-0.45452884661776555</v>
      </c>
      <c r="BB167" s="117">
        <f t="shared" si="330"/>
        <v>-0.44726655612467736</v>
      </c>
      <c r="BC167" s="118">
        <f t="shared" si="331"/>
        <v>-0.40596945592096056</v>
      </c>
      <c r="BE167" s="107" t="s">
        <v>395</v>
      </c>
      <c r="BF167" s="307">
        <f t="shared" si="332"/>
        <v>0.35902894385173217</v>
      </c>
      <c r="BG167" s="307">
        <f t="shared" si="321"/>
        <v>0.52307983267046432</v>
      </c>
      <c r="BH167" s="307">
        <f t="shared" si="322"/>
        <v>0.51215959801070221</v>
      </c>
      <c r="BI167" s="118"/>
      <c r="BK167" s="107" t="s">
        <v>395</v>
      </c>
      <c r="BL167" s="307">
        <v>1.3852621638767206</v>
      </c>
      <c r="BM167" s="307">
        <v>-0.25664760417901311</v>
      </c>
      <c r="BN167" s="307">
        <v>0.47796359936104715</v>
      </c>
      <c r="BO167" s="118"/>
      <c r="BQ167" s="107" t="s">
        <v>395</v>
      </c>
      <c r="BR167" s="307">
        <f t="shared" si="338"/>
        <v>1.6327047440849605</v>
      </c>
      <c r="BS167" s="307">
        <f t="shared" si="334"/>
        <v>1.0026893647281043E-2</v>
      </c>
      <c r="BT167" s="307">
        <f t="shared" si="335"/>
        <v>0.73546166022743709</v>
      </c>
      <c r="BU167" s="118"/>
    </row>
    <row r="168" spans="1:89" x14ac:dyDescent="0.25">
      <c r="A168">
        <v>11</v>
      </c>
      <c r="B168" s="107" t="s">
        <v>556</v>
      </c>
      <c r="C168" s="113">
        <f t="shared" si="314"/>
        <v>14689.28024</v>
      </c>
      <c r="D168" s="113">
        <f t="shared" si="314"/>
        <v>27278.334020000002</v>
      </c>
      <c r="E168" s="113">
        <f t="shared" si="314"/>
        <v>38948.978929999997</v>
      </c>
      <c r="F168" s="116">
        <f t="shared" si="323"/>
        <v>80916.59319</v>
      </c>
      <c r="G168" s="300"/>
      <c r="H168" s="300">
        <f>TripMode2!AI169</f>
        <v>34226.067350000005</v>
      </c>
      <c r="I168" s="286">
        <f>I15+I32+I49+I66+I83+I100+I117+I134+I151</f>
        <v>34226.067350000005</v>
      </c>
      <c r="J168" s="115"/>
      <c r="K168">
        <v>11</v>
      </c>
      <c r="L168" s="107" t="s">
        <v>559</v>
      </c>
      <c r="M168" s="113">
        <f t="shared" si="315"/>
        <v>6213.2657221089839</v>
      </c>
      <c r="N168" s="113">
        <f t="shared" si="315"/>
        <v>11538.178518861543</v>
      </c>
      <c r="O168" s="113">
        <f t="shared" si="315"/>
        <v>16474.623109029475</v>
      </c>
      <c r="P168" s="116">
        <f t="shared" si="324"/>
        <v>34226.067349999998</v>
      </c>
      <c r="Q168" s="115"/>
      <c r="R168">
        <v>11</v>
      </c>
      <c r="S168" s="107" t="s">
        <v>559</v>
      </c>
      <c r="T168" s="113">
        <f t="shared" si="316"/>
        <v>6213.2657221089839</v>
      </c>
      <c r="U168" s="113">
        <f t="shared" si="316"/>
        <v>11538.178518861543</v>
      </c>
      <c r="V168" s="113">
        <f t="shared" si="316"/>
        <v>16474.623109029475</v>
      </c>
      <c r="W168" s="116">
        <f t="shared" si="325"/>
        <v>34226.067349999998</v>
      </c>
      <c r="X168" s="115"/>
      <c r="Y168" s="115"/>
      <c r="Z168" s="115"/>
      <c r="AA168" s="107" t="s">
        <v>559</v>
      </c>
      <c r="AB168" s="113">
        <f t="shared" si="317"/>
        <v>4305</v>
      </c>
      <c r="AC168" s="113">
        <f t="shared" si="317"/>
        <v>6120</v>
      </c>
      <c r="AD168" s="113">
        <f t="shared" si="317"/>
        <v>8850</v>
      </c>
      <c r="AE168" s="116">
        <f t="shared" si="326"/>
        <v>19275</v>
      </c>
      <c r="AG168" s="107" t="s">
        <v>396</v>
      </c>
      <c r="AH168" s="117">
        <f t="shared" si="339"/>
        <v>7.6951614355624176E-3</v>
      </c>
      <c r="AI168" s="117">
        <f t="shared" si="340"/>
        <v>2.279281442626041E-3</v>
      </c>
      <c r="AJ168" s="117">
        <f t="shared" si="341"/>
        <v>1.907859357037206E-3</v>
      </c>
      <c r="AK168" s="118">
        <f t="shared" si="342"/>
        <v>2.3596438238205932E-3</v>
      </c>
      <c r="AL168" s="115"/>
      <c r="AM168" s="107" t="s">
        <v>396</v>
      </c>
      <c r="AN168" s="117">
        <f t="shared" si="343"/>
        <v>5.3317645601758676E-3</v>
      </c>
      <c r="AO168" s="117">
        <f t="shared" si="344"/>
        <v>1.2089605309944292E-3</v>
      </c>
      <c r="AP168" s="117">
        <f t="shared" si="345"/>
        <v>1.0248826451468333E-3</v>
      </c>
      <c r="AQ168" s="118">
        <f t="shared" si="346"/>
        <v>1.3288741075343543E-3</v>
      </c>
      <c r="AS168" s="107" t="s">
        <v>396</v>
      </c>
      <c r="AT168" s="113">
        <f t="shared" si="327"/>
        <v>-1908.2657221089839</v>
      </c>
      <c r="AU168" s="113">
        <f t="shared" si="318"/>
        <v>-5418.1785188615431</v>
      </c>
      <c r="AV168" s="113">
        <f t="shared" si="319"/>
        <v>-7624.623109029475</v>
      </c>
      <c r="AW168" s="116">
        <f t="shared" si="320"/>
        <v>-14951.067349999998</v>
      </c>
      <c r="AX168" s="115"/>
      <c r="AY168" s="107" t="s">
        <v>396</v>
      </c>
      <c r="AZ168" s="117">
        <f t="shared" si="328"/>
        <v>-0.12990872874170067</v>
      </c>
      <c r="BA168" s="117">
        <f t="shared" si="329"/>
        <v>-0.19862571207204327</v>
      </c>
      <c r="BB168" s="117">
        <f t="shared" si="330"/>
        <v>-0.19575925527425567</v>
      </c>
      <c r="BC168" s="118">
        <f t="shared" si="331"/>
        <v>-0.18477133997588657</v>
      </c>
      <c r="BE168" s="107" t="s">
        <v>396</v>
      </c>
      <c r="BF168" s="307">
        <f t="shared" si="332"/>
        <v>0.36690950101561587</v>
      </c>
      <c r="BG168" s="307">
        <f t="shared" si="321"/>
        <v>0.6340993114443263</v>
      </c>
      <c r="BH168" s="307">
        <f t="shared" si="322"/>
        <v>0.62140374456863734</v>
      </c>
      <c r="BI168" s="118"/>
      <c r="BK168" s="107" t="s">
        <v>396</v>
      </c>
      <c r="BL168" s="307">
        <v>-3.1440099568375812</v>
      </c>
      <c r="BM168" s="307">
        <v>-4.0942823031092077</v>
      </c>
      <c r="BN168" s="307">
        <v>-4.8475704260581933</v>
      </c>
      <c r="BO168" s="118"/>
      <c r="BQ168" s="107" t="s">
        <v>396</v>
      </c>
      <c r="BR168" s="307">
        <f t="shared" si="338"/>
        <v>-2.8926270980473996</v>
      </c>
      <c r="BS168" s="307">
        <f t="shared" si="334"/>
        <v>-3.7720980658959826</v>
      </c>
      <c r="BT168" s="307">
        <f t="shared" si="335"/>
        <v>-4.5354502919128361</v>
      </c>
      <c r="BU168" s="118"/>
    </row>
    <row r="169" spans="1:89" x14ac:dyDescent="0.25">
      <c r="A169">
        <v>12</v>
      </c>
      <c r="B169" s="107" t="s">
        <v>557</v>
      </c>
      <c r="C169" s="113">
        <f t="shared" si="314"/>
        <v>0</v>
      </c>
      <c r="D169" s="113">
        <f t="shared" si="314"/>
        <v>27594.818140000003</v>
      </c>
      <c r="E169" s="113">
        <f t="shared" si="314"/>
        <v>123618.78118000001</v>
      </c>
      <c r="F169" s="116">
        <f t="shared" si="323"/>
        <v>151213.59932000001</v>
      </c>
      <c r="G169" s="300"/>
      <c r="H169" s="300">
        <f>TripMode2!AJ169</f>
        <v>99369.796100000007</v>
      </c>
      <c r="I169" s="286">
        <f>I16+I33+I50+I67+I84+I101+I118+I135+I152</f>
        <v>99369.796099999978</v>
      </c>
      <c r="J169" s="115"/>
      <c r="K169">
        <v>12</v>
      </c>
      <c r="L169" s="107" t="s">
        <v>560</v>
      </c>
      <c r="M169" s="113">
        <f t="shared" si="315"/>
        <v>0</v>
      </c>
      <c r="N169" s="113">
        <f t="shared" si="315"/>
        <v>18133.894466631504</v>
      </c>
      <c r="O169" s="113">
        <f t="shared" si="315"/>
        <v>81235.901633368499</v>
      </c>
      <c r="P169" s="116">
        <f t="shared" si="324"/>
        <v>99369.796100000007</v>
      </c>
      <c r="Q169" s="115"/>
      <c r="R169">
        <v>12</v>
      </c>
      <c r="S169" s="107" t="s">
        <v>560</v>
      </c>
      <c r="T169" s="113">
        <f t="shared" si="316"/>
        <v>0</v>
      </c>
      <c r="U169" s="113">
        <f t="shared" si="316"/>
        <v>18133.894466631504</v>
      </c>
      <c r="V169" s="113">
        <f t="shared" si="316"/>
        <v>81235.901633368499</v>
      </c>
      <c r="W169" s="116">
        <f t="shared" si="325"/>
        <v>99369.796100000007</v>
      </c>
      <c r="X169" s="115"/>
      <c r="Y169" s="115"/>
      <c r="Z169" s="115"/>
      <c r="AA169" s="107" t="s">
        <v>560</v>
      </c>
      <c r="AB169" s="113">
        <f t="shared" si="317"/>
        <v>0</v>
      </c>
      <c r="AC169" s="113">
        <f t="shared" si="317"/>
        <v>6950</v>
      </c>
      <c r="AD169" s="113">
        <f t="shared" si="317"/>
        <v>29750</v>
      </c>
      <c r="AE169" s="116">
        <f t="shared" si="326"/>
        <v>36700</v>
      </c>
      <c r="AG169" s="107" t="s">
        <v>397</v>
      </c>
      <c r="AH169" s="117">
        <f t="shared" si="339"/>
        <v>0</v>
      </c>
      <c r="AI169" s="117">
        <f t="shared" si="340"/>
        <v>3.5822161247346029E-3</v>
      </c>
      <c r="AJ169" s="117">
        <f t="shared" si="341"/>
        <v>9.4076006493666285E-3</v>
      </c>
      <c r="AK169" s="118">
        <f t="shared" si="342"/>
        <v>6.8508404206619059E-3</v>
      </c>
      <c r="AL169" s="115"/>
      <c r="AM169" s="107" t="s">
        <v>397</v>
      </c>
      <c r="AN169" s="117">
        <f t="shared" si="343"/>
        <v>0</v>
      </c>
      <c r="AO169" s="117">
        <f t="shared" si="344"/>
        <v>1.3729208644462881E-3</v>
      </c>
      <c r="AP169" s="117">
        <f t="shared" si="345"/>
        <v>3.4452269709738179E-3</v>
      </c>
      <c r="AQ169" s="118">
        <f t="shared" si="346"/>
        <v>2.5302038778993929E-3</v>
      </c>
      <c r="AS169" s="107" t="s">
        <v>397</v>
      </c>
      <c r="AT169" s="113">
        <f t="shared" si="327"/>
        <v>0</v>
      </c>
      <c r="AU169" s="113">
        <f t="shared" si="318"/>
        <v>-11183.894466631504</v>
      </c>
      <c r="AV169" s="113">
        <f t="shared" si="319"/>
        <v>-51485.901633368499</v>
      </c>
      <c r="AW169" s="116">
        <f t="shared" si="320"/>
        <v>-62669.796100000007</v>
      </c>
      <c r="AX169" s="115"/>
      <c r="AY169" s="107" t="s">
        <v>397</v>
      </c>
      <c r="AZ169" s="117">
        <f t="shared" si="328"/>
        <v>0</v>
      </c>
      <c r="BA169" s="117">
        <f t="shared" si="329"/>
        <v>-0.40528966017789825</v>
      </c>
      <c r="BB169" s="117">
        <f t="shared" si="330"/>
        <v>-0.41648931612098988</v>
      </c>
      <c r="BC169" s="118">
        <f t="shared" si="331"/>
        <v>-0.41444550213620301</v>
      </c>
      <c r="BE169" s="107" t="s">
        <v>397</v>
      </c>
      <c r="BF169" s="307">
        <f t="shared" si="332"/>
        <v>0</v>
      </c>
      <c r="BG169" s="307">
        <f t="shared" si="321"/>
        <v>0.95904114998930667</v>
      </c>
      <c r="BH169" s="307">
        <f t="shared" si="322"/>
        <v>1.0045281558036145</v>
      </c>
      <c r="BI169" s="118"/>
      <c r="BK169" s="107" t="s">
        <v>397</v>
      </c>
      <c r="BL169" s="307">
        <v>0.91234864661506965</v>
      </c>
      <c r="BM169" s="307">
        <v>-2.7567789470227679</v>
      </c>
      <c r="BN169" s="307">
        <v>0.89558225727731178</v>
      </c>
      <c r="BO169" s="118"/>
      <c r="BQ169" s="107" t="s">
        <v>397</v>
      </c>
      <c r="BR169" s="307">
        <f t="shared" si="338"/>
        <v>0.98027675489744337</v>
      </c>
      <c r="BS169" s="307">
        <f t="shared" si="334"/>
        <v>-2.2721237905370524</v>
      </c>
      <c r="BT169" s="307">
        <f t="shared" si="335"/>
        <v>1.3992645970401578</v>
      </c>
      <c r="BU169" s="118"/>
    </row>
    <row r="170" spans="1:89" x14ac:dyDescent="0.25">
      <c r="A170">
        <v>13</v>
      </c>
      <c r="B170" s="107" t="s">
        <v>398</v>
      </c>
      <c r="C170" s="113">
        <f t="shared" si="314"/>
        <v>11134.87768</v>
      </c>
      <c r="D170" s="113">
        <f t="shared" si="314"/>
        <v>8120.4556400000001</v>
      </c>
      <c r="E170" s="113">
        <f t="shared" si="314"/>
        <v>12222.942340000001</v>
      </c>
      <c r="F170" s="116">
        <f t="shared" si="323"/>
        <v>31478.275659999999</v>
      </c>
      <c r="G170" s="300"/>
      <c r="H170" s="300"/>
      <c r="I170" s="300"/>
      <c r="J170" s="115"/>
      <c r="K170">
        <v>13</v>
      </c>
      <c r="L170" s="107" t="s">
        <v>398</v>
      </c>
      <c r="M170" s="113">
        <f t="shared" si="315"/>
        <v>11134.87768</v>
      </c>
      <c r="N170" s="113">
        <f t="shared" si="315"/>
        <v>8120.4556400000001</v>
      </c>
      <c r="O170" s="113">
        <f t="shared" si="315"/>
        <v>12222.942340000001</v>
      </c>
      <c r="P170" s="116">
        <f t="shared" si="324"/>
        <v>31478.275659999999</v>
      </c>
      <c r="Q170" s="115"/>
      <c r="R170">
        <v>13</v>
      </c>
      <c r="S170" s="107" t="s">
        <v>398</v>
      </c>
      <c r="T170" s="113">
        <f t="shared" si="316"/>
        <v>17353.244440167709</v>
      </c>
      <c r="U170" s="113">
        <f t="shared" si="316"/>
        <v>19776.234833448863</v>
      </c>
      <c r="V170" s="113">
        <f t="shared" si="316"/>
        <v>17328.731842781213</v>
      </c>
      <c r="W170" s="116">
        <f t="shared" si="325"/>
        <v>54458.211116397782</v>
      </c>
      <c r="X170" s="115"/>
      <c r="Y170" s="115"/>
      <c r="Z170" s="115"/>
      <c r="AA170" s="107" t="s">
        <v>398</v>
      </c>
      <c r="AB170" s="113">
        <f t="shared" si="317"/>
        <v>23390</v>
      </c>
      <c r="AC170" s="113">
        <f t="shared" si="317"/>
        <v>26210</v>
      </c>
      <c r="AD170" s="113">
        <f t="shared" si="317"/>
        <v>17710</v>
      </c>
      <c r="AE170" s="116">
        <f t="shared" si="326"/>
        <v>67310</v>
      </c>
      <c r="AG170" s="107" t="s">
        <v>398</v>
      </c>
      <c r="AH170" s="117">
        <f t="shared" si="339"/>
        <v>2.1492082162637659E-2</v>
      </c>
      <c r="AI170" s="117">
        <f t="shared" si="340"/>
        <v>3.9066482623066785E-3</v>
      </c>
      <c r="AJ170" s="117">
        <f t="shared" si="341"/>
        <v>2.0067702291604256E-3</v>
      </c>
      <c r="AK170" s="118">
        <f t="shared" si="342"/>
        <v>3.7545061839284323E-3</v>
      </c>
      <c r="AL170" s="115"/>
      <c r="AM170" s="107" t="s">
        <v>398</v>
      </c>
      <c r="AN170" s="117">
        <f t="shared" si="343"/>
        <v>2.8968634857726723E-2</v>
      </c>
      <c r="AO170" s="117">
        <f t="shared" si="344"/>
        <v>5.1775907708111095E-3</v>
      </c>
      <c r="AP170" s="117">
        <f t="shared" si="345"/>
        <v>2.0509233497797083E-3</v>
      </c>
      <c r="AQ170" s="118">
        <f t="shared" si="346"/>
        <v>4.6405455864143913E-3</v>
      </c>
      <c r="AS170" s="107" t="s">
        <v>398</v>
      </c>
      <c r="AT170" s="113">
        <f t="shared" si="327"/>
        <v>6036.7555598322906</v>
      </c>
      <c r="AU170" s="113">
        <f t="shared" si="318"/>
        <v>6433.7651665511366</v>
      </c>
      <c r="AV170" s="113">
        <f t="shared" si="319"/>
        <v>381.26815721878665</v>
      </c>
      <c r="AW170" s="116">
        <f t="shared" si="320"/>
        <v>12851.788883602218</v>
      </c>
      <c r="AX170" s="115"/>
      <c r="AY170" s="107" t="s">
        <v>398</v>
      </c>
      <c r="AZ170" s="117">
        <f t="shared" si="328"/>
        <v>0.54214834983551352</v>
      </c>
      <c r="BA170" s="117">
        <f t="shared" si="329"/>
        <v>0.79229115357265056</v>
      </c>
      <c r="BB170" s="117">
        <f t="shared" si="330"/>
        <v>3.1192829566991691E-2</v>
      </c>
      <c r="BC170" s="118">
        <f t="shared" si="331"/>
        <v>0.4082748693866104</v>
      </c>
      <c r="BE170" s="107" t="s">
        <v>398</v>
      </c>
      <c r="BF170" s="307">
        <f t="shared" si="332"/>
        <v>-0.29852909225213647</v>
      </c>
      <c r="BG170" s="307">
        <f t="shared" si="321"/>
        <v>-0.28166006146180472</v>
      </c>
      <c r="BH170" s="307">
        <f t="shared" si="322"/>
        <v>-2.1763527733760477E-2</v>
      </c>
      <c r="BI170" s="118"/>
      <c r="BK170" s="107" t="s">
        <v>398</v>
      </c>
      <c r="BL170" s="307">
        <v>-0.75094270459009538</v>
      </c>
      <c r="BM170" s="307">
        <v>-3.3416389786331231</v>
      </c>
      <c r="BN170" s="307">
        <v>-3.0935424827224498</v>
      </c>
      <c r="BO170" s="118"/>
      <c r="BQ170" s="107" t="s">
        <v>398</v>
      </c>
      <c r="BR170" s="307">
        <f t="shared" si="338"/>
        <v>-0.83227914243378998</v>
      </c>
      <c r="BS170" s="307">
        <f t="shared" si="334"/>
        <v>-3.4773344278729637</v>
      </c>
      <c r="BT170" s="307">
        <f t="shared" si="335"/>
        <v>-3.1030059847282914</v>
      </c>
      <c r="BU170" s="118"/>
    </row>
    <row r="171" spans="1:89" x14ac:dyDescent="0.25">
      <c r="A171">
        <v>14</v>
      </c>
      <c r="B171" s="107" t="s">
        <v>399</v>
      </c>
      <c r="C171" s="113">
        <f t="shared" si="314"/>
        <v>8054.97552</v>
      </c>
      <c r="D171" s="113">
        <f t="shared" si="314"/>
        <v>102397.38869000001</v>
      </c>
      <c r="E171" s="113">
        <f t="shared" si="314"/>
        <v>393627.35983999999</v>
      </c>
      <c r="F171" s="116">
        <f t="shared" si="323"/>
        <v>504079.72404999996</v>
      </c>
      <c r="G171" s="300"/>
      <c r="H171" s="300"/>
      <c r="I171" s="300"/>
      <c r="J171" s="115"/>
      <c r="K171">
        <v>14</v>
      </c>
      <c r="L171" s="107" t="s">
        <v>399</v>
      </c>
      <c r="M171" s="113">
        <f t="shared" si="315"/>
        <v>8054.97552</v>
      </c>
      <c r="N171" s="113">
        <f t="shared" si="315"/>
        <v>102397.38869000001</v>
      </c>
      <c r="O171" s="113">
        <f t="shared" si="315"/>
        <v>393627.35983999999</v>
      </c>
      <c r="P171" s="116">
        <f t="shared" si="324"/>
        <v>504079.72404999996</v>
      </c>
      <c r="Q171" s="115"/>
      <c r="R171">
        <v>14</v>
      </c>
      <c r="S171" s="107" t="s">
        <v>399</v>
      </c>
      <c r="T171" s="113">
        <f t="shared" si="316"/>
        <v>9802.6907550545875</v>
      </c>
      <c r="U171" s="113">
        <f t="shared" si="316"/>
        <v>181882.42932392476</v>
      </c>
      <c r="V171" s="113">
        <f t="shared" si="316"/>
        <v>383154.48913942603</v>
      </c>
      <c r="W171" s="116">
        <f t="shared" si="325"/>
        <v>574839.60921840533</v>
      </c>
      <c r="X171" s="115"/>
      <c r="Y171" s="115"/>
      <c r="Z171" s="115"/>
      <c r="AA171" s="107" t="s">
        <v>399</v>
      </c>
      <c r="AB171" s="113">
        <f t="shared" si="317"/>
        <v>12225</v>
      </c>
      <c r="AC171" s="113">
        <f t="shared" si="317"/>
        <v>185625</v>
      </c>
      <c r="AD171" s="113">
        <f t="shared" si="317"/>
        <v>392425</v>
      </c>
      <c r="AE171" s="116">
        <f t="shared" si="326"/>
        <v>590275</v>
      </c>
      <c r="AG171" s="107" t="s">
        <v>399</v>
      </c>
      <c r="AH171" s="117">
        <f t="shared" si="339"/>
        <v>1.2140682732209912E-2</v>
      </c>
      <c r="AI171" s="117">
        <f t="shared" si="340"/>
        <v>3.592952260359622E-2</v>
      </c>
      <c r="AJ171" s="117">
        <f t="shared" si="341"/>
        <v>4.4371569076734299E-2</v>
      </c>
      <c r="AK171" s="118">
        <f t="shared" si="342"/>
        <v>3.9631101046718811E-2</v>
      </c>
      <c r="AL171" s="115"/>
      <c r="AM171" s="107" t="s">
        <v>399</v>
      </c>
      <c r="AN171" s="117">
        <f t="shared" si="343"/>
        <v>1.5140725144750287E-2</v>
      </c>
      <c r="AO171" s="117">
        <f t="shared" si="344"/>
        <v>3.666883963494133E-2</v>
      </c>
      <c r="AP171" s="117">
        <f t="shared" si="345"/>
        <v>4.5445149380988252E-2</v>
      </c>
      <c r="AQ171" s="118">
        <f t="shared" si="346"/>
        <v>4.0695261417631176E-2</v>
      </c>
      <c r="AS171" s="107" t="s">
        <v>399</v>
      </c>
      <c r="AT171" s="113">
        <f t="shared" si="327"/>
        <v>2422.3092449454125</v>
      </c>
      <c r="AU171" s="113">
        <f t="shared" si="318"/>
        <v>3742.5706760752364</v>
      </c>
      <c r="AV171" s="113">
        <f t="shared" si="319"/>
        <v>9270.5108605739661</v>
      </c>
      <c r="AW171" s="116">
        <f t="shared" si="320"/>
        <v>15435.390781594673</v>
      </c>
      <c r="AX171" s="115"/>
      <c r="AY171" s="107" t="s">
        <v>399</v>
      </c>
      <c r="AZ171" s="117">
        <f t="shared" si="328"/>
        <v>0.30072211131256332</v>
      </c>
      <c r="BA171" s="117">
        <f t="shared" si="329"/>
        <v>3.6549473809391497E-2</v>
      </c>
      <c r="BB171" s="117">
        <f t="shared" si="330"/>
        <v>2.3551490080217504E-2</v>
      </c>
      <c r="BC171" s="118">
        <f t="shared" si="331"/>
        <v>3.0620931660531595E-2</v>
      </c>
      <c r="BE171" s="107" t="s">
        <v>399</v>
      </c>
      <c r="BF171" s="307">
        <f t="shared" si="332"/>
        <v>-0.22082612052868186</v>
      </c>
      <c r="BG171" s="307">
        <f t="shared" si="321"/>
        <v>-2.0368023949060142E-2</v>
      </c>
      <c r="BH171" s="307">
        <f t="shared" si="322"/>
        <v>-2.3907162411494542E-2</v>
      </c>
      <c r="BI171" s="118"/>
      <c r="BK171" s="107" t="s">
        <v>399</v>
      </c>
      <c r="BL171" s="307">
        <v>-0.32666995663937254</v>
      </c>
      <c r="BM171" s="307">
        <v>-0.57533349663913624</v>
      </c>
      <c r="BN171" s="307">
        <v>-0.67913252816530001</v>
      </c>
      <c r="BO171" s="118"/>
      <c r="BQ171" s="107" t="s">
        <v>399</v>
      </c>
      <c r="BR171" s="307">
        <f t="shared" si="338"/>
        <v>-0.36915490862133982</v>
      </c>
      <c r="BS171" s="307">
        <f t="shared" si="334"/>
        <v>-0.58038292712260431</v>
      </c>
      <c r="BT171" s="307">
        <f t="shared" si="335"/>
        <v>-0.68966784751000842</v>
      </c>
      <c r="BU171" s="118"/>
    </row>
    <row r="172" spans="1:89" ht="15.75" thickBot="1" x14ac:dyDescent="0.3">
      <c r="B172" s="108" t="s">
        <v>29</v>
      </c>
      <c r="C172" s="109">
        <f>SUM(C159:C171)</f>
        <v>569973.23986000009</v>
      </c>
      <c r="D172" s="110">
        <f>SUM(D159:D171)</f>
        <v>2616225.21581</v>
      </c>
      <c r="E172" s="111">
        <f>SUM(E159:E171)</f>
        <v>7766410.7458400009</v>
      </c>
      <c r="F172" s="112">
        <f>SUM(F159:F171)</f>
        <v>10952609.201510003</v>
      </c>
      <c r="G172" s="301"/>
      <c r="H172" s="301"/>
      <c r="I172" s="301"/>
      <c r="L172" s="108" t="s">
        <v>29</v>
      </c>
      <c r="M172" s="109">
        <f>SUM(M159:M171)</f>
        <v>588699.58528709668</v>
      </c>
      <c r="N172" s="110">
        <f>SUM(N159:N171)</f>
        <v>2616799.878118101</v>
      </c>
      <c r="O172" s="111">
        <f>SUM(O159:O171)</f>
        <v>7716927.275863965</v>
      </c>
      <c r="P172" s="112">
        <f>SUM(P159:P171)</f>
        <v>10922426.739269165</v>
      </c>
      <c r="S172" s="108" t="s">
        <v>29</v>
      </c>
      <c r="T172" s="109">
        <f>SUM(T159:T171)</f>
        <v>807424.99999999988</v>
      </c>
      <c r="U172" s="110">
        <f>SUM(U159:U171)</f>
        <v>5062199.9999999991</v>
      </c>
      <c r="V172" s="111">
        <f>SUM(V159:V171)</f>
        <v>8635135</v>
      </c>
      <c r="W172" s="112">
        <f>SUM(W159:W171)</f>
        <v>14504760.000000004</v>
      </c>
      <c r="AA172" s="108" t="s">
        <v>29</v>
      </c>
      <c r="AB172" s="109">
        <f>SUM(AB159:AB171)</f>
        <v>807425</v>
      </c>
      <c r="AC172" s="110">
        <f>SUM(AC159:AC171)</f>
        <v>5062200</v>
      </c>
      <c r="AD172" s="111">
        <f>SUM(AD159:AD171)</f>
        <v>8635135</v>
      </c>
      <c r="AE172" s="112">
        <f>SUM(AE159:AE171)</f>
        <v>14504760</v>
      </c>
      <c r="AG172" s="108" t="s">
        <v>29</v>
      </c>
      <c r="AH172" s="120">
        <f t="shared" si="339"/>
        <v>1</v>
      </c>
      <c r="AI172" s="121">
        <f t="shared" si="340"/>
        <v>1</v>
      </c>
      <c r="AJ172" s="122">
        <f t="shared" si="341"/>
        <v>1</v>
      </c>
      <c r="AK172" s="123">
        <f t="shared" si="342"/>
        <v>1</v>
      </c>
      <c r="AM172" s="108" t="s">
        <v>29</v>
      </c>
      <c r="AN172" s="120">
        <f t="shared" si="343"/>
        <v>1</v>
      </c>
      <c r="AO172" s="121">
        <f t="shared" si="344"/>
        <v>1</v>
      </c>
      <c r="AP172" s="122">
        <f t="shared" si="345"/>
        <v>1</v>
      </c>
      <c r="AQ172" s="123">
        <f t="shared" si="346"/>
        <v>1</v>
      </c>
      <c r="AS172" s="108" t="s">
        <v>29</v>
      </c>
      <c r="AT172" s="109">
        <f t="shared" si="327"/>
        <v>0</v>
      </c>
      <c r="AU172" s="110">
        <f t="shared" si="318"/>
        <v>0</v>
      </c>
      <c r="AV172" s="111">
        <f t="shared" si="319"/>
        <v>0</v>
      </c>
      <c r="AW172" s="112">
        <f t="shared" si="320"/>
        <v>0</v>
      </c>
      <c r="AY172" s="108" t="s">
        <v>29</v>
      </c>
      <c r="AZ172" s="117">
        <f t="shared" si="328"/>
        <v>0</v>
      </c>
      <c r="BA172" s="117">
        <f t="shared" si="329"/>
        <v>0</v>
      </c>
      <c r="BB172" s="117">
        <f t="shared" si="330"/>
        <v>0</v>
      </c>
      <c r="BC172" s="118">
        <f t="shared" si="331"/>
        <v>0</v>
      </c>
      <c r="BE172" s="108" t="s">
        <v>29</v>
      </c>
      <c r="BF172" s="117"/>
      <c r="BG172" s="117"/>
      <c r="BH172" s="117"/>
      <c r="BI172" s="118"/>
      <c r="BK172" s="108" t="s">
        <v>29</v>
      </c>
      <c r="BL172" s="117"/>
      <c r="BM172" s="117"/>
      <c r="BN172" s="117"/>
      <c r="BO172" s="118"/>
      <c r="BQ172" s="108" t="s">
        <v>29</v>
      </c>
      <c r="BR172" s="117"/>
      <c r="BS172" s="117"/>
      <c r="BT172" s="117"/>
      <c r="BU172" s="118"/>
    </row>
    <row r="174" spans="1:89" ht="26.25" x14ac:dyDescent="0.4">
      <c r="A174" s="150" t="s">
        <v>523</v>
      </c>
      <c r="K174" s="150" t="s">
        <v>523</v>
      </c>
      <c r="R174" s="150" t="s">
        <v>523</v>
      </c>
    </row>
    <row r="175" spans="1:89" ht="26.25" x14ac:dyDescent="0.25">
      <c r="B175" s="102" t="s">
        <v>134</v>
      </c>
      <c r="C175" s="103" t="s">
        <v>135</v>
      </c>
      <c r="D175" s="104" t="s">
        <v>136</v>
      </c>
      <c r="E175" s="105" t="s">
        <v>137</v>
      </c>
      <c r="F175" s="106" t="s">
        <v>29</v>
      </c>
      <c r="G175" s="299"/>
      <c r="H175" s="299"/>
      <c r="I175" s="299"/>
      <c r="L175" s="102" t="s">
        <v>134</v>
      </c>
      <c r="M175" s="103" t="s">
        <v>135</v>
      </c>
      <c r="N175" s="104" t="s">
        <v>136</v>
      </c>
      <c r="O175" s="105" t="s">
        <v>137</v>
      </c>
      <c r="P175" s="106" t="s">
        <v>29</v>
      </c>
      <c r="S175" s="102" t="s">
        <v>134</v>
      </c>
      <c r="T175" s="103" t="s">
        <v>135</v>
      </c>
      <c r="U175" s="104" t="s">
        <v>136</v>
      </c>
      <c r="V175" s="105" t="s">
        <v>137</v>
      </c>
      <c r="W175" s="106" t="s">
        <v>29</v>
      </c>
      <c r="AA175" s="102" t="s">
        <v>134</v>
      </c>
      <c r="AB175" s="103" t="s">
        <v>135</v>
      </c>
      <c r="AC175" s="104" t="s">
        <v>136</v>
      </c>
      <c r="AD175" s="105" t="s">
        <v>137</v>
      </c>
      <c r="AE175" s="106" t="s">
        <v>29</v>
      </c>
      <c r="AG175" s="102" t="s">
        <v>134</v>
      </c>
      <c r="AH175" s="103" t="s">
        <v>135</v>
      </c>
      <c r="AI175" s="104" t="s">
        <v>136</v>
      </c>
      <c r="AJ175" s="105" t="s">
        <v>137</v>
      </c>
      <c r="AK175" s="106" t="s">
        <v>29</v>
      </c>
      <c r="AM175" s="102" t="s">
        <v>134</v>
      </c>
      <c r="AN175" s="103" t="s">
        <v>135</v>
      </c>
      <c r="AO175" s="104" t="s">
        <v>136</v>
      </c>
      <c r="AP175" s="105" t="s">
        <v>137</v>
      </c>
      <c r="AQ175" s="106" t="s">
        <v>29</v>
      </c>
      <c r="AS175" s="102" t="s">
        <v>134</v>
      </c>
      <c r="AT175" s="103" t="s">
        <v>135</v>
      </c>
      <c r="AU175" s="104" t="s">
        <v>136</v>
      </c>
      <c r="AV175" s="105" t="s">
        <v>137</v>
      </c>
      <c r="AW175" s="106" t="s">
        <v>29</v>
      </c>
      <c r="AY175" s="102" t="s">
        <v>134</v>
      </c>
      <c r="AZ175" s="103" t="s">
        <v>135</v>
      </c>
      <c r="BA175" s="104" t="s">
        <v>136</v>
      </c>
      <c r="BB175" s="105" t="s">
        <v>137</v>
      </c>
      <c r="BC175" s="106" t="s">
        <v>29</v>
      </c>
      <c r="BE175" s="102" t="s">
        <v>134</v>
      </c>
      <c r="BF175" s="103" t="s">
        <v>135</v>
      </c>
      <c r="BG175" s="104" t="s">
        <v>136</v>
      </c>
      <c r="BH175" s="105" t="s">
        <v>137</v>
      </c>
      <c r="BI175" s="106" t="s">
        <v>29</v>
      </c>
      <c r="BK175" s="102" t="s">
        <v>134</v>
      </c>
      <c r="BL175" s="103" t="s">
        <v>135</v>
      </c>
      <c r="BM175" s="104" t="s">
        <v>136</v>
      </c>
      <c r="BN175" s="105" t="s">
        <v>137</v>
      </c>
      <c r="BO175" s="106" t="s">
        <v>29</v>
      </c>
      <c r="BQ175" s="102" t="s">
        <v>134</v>
      </c>
      <c r="BR175" s="103" t="s">
        <v>135</v>
      </c>
      <c r="BS175" s="104" t="s">
        <v>136</v>
      </c>
      <c r="BT175" s="105" t="s">
        <v>137</v>
      </c>
      <c r="BU175" s="106" t="s">
        <v>29</v>
      </c>
      <c r="BX175">
        <v>1</v>
      </c>
      <c r="BY175">
        <v>2</v>
      </c>
      <c r="BZ175">
        <v>3</v>
      </c>
      <c r="CA175">
        <v>4</v>
      </c>
      <c r="CB175">
        <v>5</v>
      </c>
      <c r="CC175">
        <v>6</v>
      </c>
      <c r="CD175">
        <v>7</v>
      </c>
      <c r="CE175">
        <v>8</v>
      </c>
      <c r="CG175">
        <v>9</v>
      </c>
      <c r="CH175">
        <v>10</v>
      </c>
      <c r="CI175">
        <v>11</v>
      </c>
      <c r="CJ175">
        <v>12</v>
      </c>
      <c r="CK175">
        <v>13</v>
      </c>
    </row>
    <row r="176" spans="1:89" x14ac:dyDescent="0.25">
      <c r="A176">
        <v>1</v>
      </c>
      <c r="B176" s="107" t="s">
        <v>386</v>
      </c>
      <c r="C176" s="113">
        <f t="shared" ref="C176:E188" si="347">C74+C108</f>
        <v>0</v>
      </c>
      <c r="D176" s="113">
        <f t="shared" si="347"/>
        <v>214493.17788</v>
      </c>
      <c r="E176" s="113">
        <f t="shared" si="347"/>
        <v>954414.36924000003</v>
      </c>
      <c r="F176" s="114">
        <f>SUM(C176:E176)</f>
        <v>1168907.54712</v>
      </c>
      <c r="G176" s="300"/>
      <c r="H176" s="300"/>
      <c r="I176" s="300"/>
      <c r="J176" s="115"/>
      <c r="K176">
        <v>1</v>
      </c>
      <c r="L176" s="107" t="s">
        <v>386</v>
      </c>
      <c r="M176" s="113">
        <f t="shared" ref="M176:O188" si="348">M74+M108</f>
        <v>0</v>
      </c>
      <c r="N176" s="113">
        <f t="shared" si="348"/>
        <v>214493.17788</v>
      </c>
      <c r="O176" s="113">
        <f t="shared" si="348"/>
        <v>954414.36924000003</v>
      </c>
      <c r="P176" s="114">
        <f>SUM(M176:O176)</f>
        <v>1168907.54712</v>
      </c>
      <c r="Q176" s="115"/>
      <c r="R176">
        <v>1</v>
      </c>
      <c r="S176" s="107" t="s">
        <v>386</v>
      </c>
      <c r="T176" s="113">
        <f t="shared" ref="T176:V183" si="349">T74+T108</f>
        <v>0</v>
      </c>
      <c r="U176" s="113">
        <f t="shared" si="349"/>
        <v>555623.81635544274</v>
      </c>
      <c r="V176" s="113">
        <f t="shared" si="349"/>
        <v>1318375.2186241932</v>
      </c>
      <c r="W176" s="114">
        <f>SUM(T176:V176)</f>
        <v>1873999.0349796358</v>
      </c>
      <c r="X176" s="115"/>
      <c r="Y176" s="115"/>
      <c r="Z176" s="115"/>
      <c r="AA176" s="107" t="s">
        <v>386</v>
      </c>
      <c r="AB176" s="113">
        <f t="shared" ref="AB176:AD188" si="350">AB74+AB108</f>
        <v>0</v>
      </c>
      <c r="AC176" s="113">
        <f t="shared" si="350"/>
        <v>529095</v>
      </c>
      <c r="AD176" s="113">
        <f t="shared" si="350"/>
        <v>1254205</v>
      </c>
      <c r="AE176" s="114">
        <f>SUM(AB176:AD176)</f>
        <v>1783300</v>
      </c>
      <c r="AG176" s="107" t="s">
        <v>386</v>
      </c>
      <c r="AH176" s="117">
        <f>C176/C$87</f>
        <v>0</v>
      </c>
      <c r="AI176" s="117">
        <f>D176/D$87</f>
        <v>0.49950819137933766</v>
      </c>
      <c r="AJ176" s="117">
        <f>E176/E$87</f>
        <v>0.78205189312202539</v>
      </c>
      <c r="AK176" s="118">
        <f>F176/F$87</f>
        <v>0.64778320029671266</v>
      </c>
      <c r="AL176" s="115"/>
      <c r="AM176" s="107" t="s">
        <v>386</v>
      </c>
      <c r="AN176" s="117">
        <f>AB176/AB$87</f>
        <v>0</v>
      </c>
      <c r="AO176" s="117">
        <f t="shared" ref="AO176:AQ189" si="351">AC176/AC$87</f>
        <v>0.49404036584170202</v>
      </c>
      <c r="AP176" s="117">
        <f t="shared" si="351"/>
        <v>0.74749608880280116</v>
      </c>
      <c r="AQ176" s="118">
        <f t="shared" si="351"/>
        <v>0.60740859323243346</v>
      </c>
      <c r="AS176" s="107" t="s">
        <v>386</v>
      </c>
      <c r="AT176" s="113">
        <f>AB176-C176</f>
        <v>0</v>
      </c>
      <c r="AU176" s="113">
        <f>AC176-D176</f>
        <v>314601.82212000003</v>
      </c>
      <c r="AV176" s="113">
        <f>AD176-E176</f>
        <v>299790.63075999997</v>
      </c>
      <c r="AW176" s="114">
        <f>AE176-F176</f>
        <v>614392.45288</v>
      </c>
      <c r="AX176" s="115"/>
      <c r="AY176" s="107" t="s">
        <v>386</v>
      </c>
      <c r="AZ176" s="117">
        <f>IF(C176=0, 0,AT176/C176)</f>
        <v>0</v>
      </c>
      <c r="BA176" s="117">
        <f>IF(D176=0, 0,AU176/D176)</f>
        <v>1.4667218101267847</v>
      </c>
      <c r="BB176" s="117">
        <f>IF(E176=0, 0,AV176/E176)</f>
        <v>0.314109510944102</v>
      </c>
      <c r="BC176" s="118">
        <f>IF(F176=0, 0,AW176/F176)</f>
        <v>0.52561252974520023</v>
      </c>
      <c r="BE176" s="107" t="s">
        <v>386</v>
      </c>
      <c r="BF176" s="307">
        <f>IFERROR(IF(AN176&gt;0,LN(AH176/AN176),0),0)</f>
        <v>0</v>
      </c>
      <c r="BG176" s="307">
        <f t="shared" ref="BG176:BG188" si="352">IFERROR(IF(AO176&gt;0,LN(AI176/AO176),0),0)</f>
        <v>1.1006771032150638E-2</v>
      </c>
      <c r="BH176" s="307">
        <f t="shared" ref="BH176:BH188" si="353">IFERROR(IF(AP176&gt;0,LN(AJ176/AP176),0),0)</f>
        <v>4.5192024954380579E-2</v>
      </c>
      <c r="BI176" s="118"/>
      <c r="BK176" s="107" t="s">
        <v>386</v>
      </c>
      <c r="BL176" s="307">
        <v>0</v>
      </c>
      <c r="BM176" s="307">
        <v>0</v>
      </c>
      <c r="BN176" s="307">
        <v>0</v>
      </c>
      <c r="BO176" s="118"/>
      <c r="BQ176" s="107" t="s">
        <v>386</v>
      </c>
      <c r="BR176" s="308">
        <v>0</v>
      </c>
      <c r="BS176" s="309">
        <v>0</v>
      </c>
      <c r="BT176" s="309">
        <v>0</v>
      </c>
      <c r="BU176" s="118"/>
      <c r="BX176" s="5" t="s">
        <v>386</v>
      </c>
      <c r="BY176" s="5" t="s">
        <v>387</v>
      </c>
      <c r="BZ176" s="5" t="s">
        <v>388</v>
      </c>
      <c r="CA176" s="5" t="s">
        <v>389</v>
      </c>
      <c r="CB176" s="5" t="s">
        <v>390</v>
      </c>
      <c r="CC176" s="5" t="s">
        <v>391</v>
      </c>
      <c r="CD176" s="5" t="s">
        <v>392</v>
      </c>
      <c r="CE176" s="5" t="s">
        <v>393</v>
      </c>
      <c r="CF176" s="5"/>
      <c r="CG176" s="5" t="s">
        <v>569</v>
      </c>
      <c r="CH176" s="5" t="s">
        <v>396</v>
      </c>
      <c r="CI176" s="5" t="s">
        <v>397</v>
      </c>
      <c r="CJ176" s="5" t="s">
        <v>398</v>
      </c>
      <c r="CK176" s="287" t="s">
        <v>399</v>
      </c>
    </row>
    <row r="177" spans="1:89" x14ac:dyDescent="0.25">
      <c r="A177">
        <v>2</v>
      </c>
      <c r="B177" s="107" t="s">
        <v>387</v>
      </c>
      <c r="C177" s="113">
        <f t="shared" si="347"/>
        <v>0</v>
      </c>
      <c r="D177" s="113">
        <f t="shared" si="347"/>
        <v>2125.3165100000001</v>
      </c>
      <c r="E177" s="113">
        <f t="shared" si="347"/>
        <v>12389.024659999999</v>
      </c>
      <c r="F177" s="116">
        <f t="shared" ref="F177:F188" si="354">SUM(C177:E177)</f>
        <v>14514.34117</v>
      </c>
      <c r="G177" s="300"/>
      <c r="H177" s="300"/>
      <c r="I177" s="300"/>
      <c r="J177" s="115"/>
      <c r="K177">
        <v>2</v>
      </c>
      <c r="L177" s="107" t="s">
        <v>387</v>
      </c>
      <c r="M177" s="113">
        <f t="shared" si="348"/>
        <v>0</v>
      </c>
      <c r="N177" s="113">
        <f t="shared" si="348"/>
        <v>2125.3165100000001</v>
      </c>
      <c r="O177" s="113">
        <f t="shared" si="348"/>
        <v>12389.024659999999</v>
      </c>
      <c r="P177" s="116">
        <f t="shared" ref="P177:P188" si="355">SUM(M177:O177)</f>
        <v>14514.34117</v>
      </c>
      <c r="Q177" s="115"/>
      <c r="R177">
        <v>2</v>
      </c>
      <c r="S177" s="107" t="s">
        <v>387</v>
      </c>
      <c r="T177" s="113">
        <f t="shared" si="349"/>
        <v>0</v>
      </c>
      <c r="U177" s="113">
        <f t="shared" si="349"/>
        <v>5505.4267083034301</v>
      </c>
      <c r="V177" s="113">
        <f t="shared" si="349"/>
        <v>17113.719020715227</v>
      </c>
      <c r="W177" s="116">
        <f t="shared" ref="W177:W188" si="356">SUM(T177:V177)</f>
        <v>22619.145729018659</v>
      </c>
      <c r="X177" s="115"/>
      <c r="Y177" s="115"/>
      <c r="Z177" s="115"/>
      <c r="AA177" s="107" t="s">
        <v>387</v>
      </c>
      <c r="AB177" s="113">
        <f t="shared" si="350"/>
        <v>0</v>
      </c>
      <c r="AC177" s="113">
        <f t="shared" si="350"/>
        <v>24740</v>
      </c>
      <c r="AD177" s="113">
        <f t="shared" si="350"/>
        <v>56700</v>
      </c>
      <c r="AE177" s="116">
        <f t="shared" ref="AE177:AE188" si="357">SUM(AB177:AD177)</f>
        <v>81440</v>
      </c>
      <c r="AG177" s="107" t="s">
        <v>387</v>
      </c>
      <c r="AH177" s="117">
        <f t="shared" ref="AH177:AH189" si="358">C177/C$87</f>
        <v>0</v>
      </c>
      <c r="AI177" s="117">
        <f t="shared" ref="AI177:AI189" si="359">D177/D$87</f>
        <v>4.949402197829687E-3</v>
      </c>
      <c r="AJ177" s="117">
        <f t="shared" ref="AJ177:AJ189" si="360">E177/E$87</f>
        <v>1.0151628581413431E-2</v>
      </c>
      <c r="AK177" s="118">
        <f t="shared" ref="AK177:AK189" si="361">F177/F$87</f>
        <v>8.0435329521708603E-3</v>
      </c>
      <c r="AL177" s="115"/>
      <c r="AM177" s="107" t="s">
        <v>387</v>
      </c>
      <c r="AN177" s="117">
        <f t="shared" ref="AN177:AN189" si="362">AB177/AB$87</f>
        <v>0</v>
      </c>
      <c r="AO177" s="117">
        <f t="shared" si="351"/>
        <v>2.3100877254413118E-2</v>
      </c>
      <c r="AP177" s="117">
        <f t="shared" si="351"/>
        <v>3.3792743797958727E-2</v>
      </c>
      <c r="AQ177" s="118">
        <f t="shared" si="351"/>
        <v>2.7739222695479945E-2</v>
      </c>
      <c r="AS177" s="107" t="s">
        <v>387</v>
      </c>
      <c r="AT177" s="113">
        <f t="shared" ref="AT177:AT189" si="363">AB177-C177</f>
        <v>0</v>
      </c>
      <c r="AU177" s="113">
        <f t="shared" ref="AU177:AU189" si="364">AC177-D177</f>
        <v>22614.683489999999</v>
      </c>
      <c r="AV177" s="113">
        <f t="shared" ref="AV177:AV189" si="365">AD177-E177</f>
        <v>44310.975340000005</v>
      </c>
      <c r="AW177" s="116">
        <f t="shared" ref="AW177:AW189" si="366">AE177-F177</f>
        <v>66925.65883</v>
      </c>
      <c r="AX177" s="115"/>
      <c r="AY177" s="107" t="s">
        <v>387</v>
      </c>
      <c r="AZ177" s="117">
        <f t="shared" ref="AZ177:AZ189" si="367">IF(C177=0, 0,AT177/C177)</f>
        <v>0</v>
      </c>
      <c r="BA177" s="117">
        <f t="shared" ref="BA177:BA189" si="368">IF(D177=0, 0,AU177/D177)</f>
        <v>10.640619118890672</v>
      </c>
      <c r="BB177" s="117">
        <f t="shared" ref="BB177:BB189" si="369">IF(E177=0, 0,AV177/E177)</f>
        <v>3.5766314585735928</v>
      </c>
      <c r="BC177" s="118">
        <f t="shared" ref="BC177:BC189" si="370">IF(F177=0, 0,AW177/F177)</f>
        <v>4.6110021837112436</v>
      </c>
      <c r="BE177" s="107" t="s">
        <v>387</v>
      </c>
      <c r="BF177" s="307">
        <f t="shared" ref="BF177:BF188" si="371">IFERROR(IF(AN177&gt;0,LN(AH177/AN177),0),0)</f>
        <v>0</v>
      </c>
      <c r="BG177" s="307">
        <f t="shared" si="352"/>
        <v>-1.5406037920158555</v>
      </c>
      <c r="BH177" s="307">
        <f t="shared" si="353"/>
        <v>-1.20261195492041</v>
      </c>
      <c r="BI177" s="118"/>
      <c r="BK177" s="107" t="s">
        <v>387</v>
      </c>
      <c r="BL177" s="307">
        <v>0</v>
      </c>
      <c r="BM177" s="307">
        <v>-1.1495924933955588</v>
      </c>
      <c r="BN177" s="307">
        <v>-0.78287487124629718</v>
      </c>
      <c r="BO177" s="118"/>
      <c r="BQ177" s="107" t="s">
        <v>387</v>
      </c>
      <c r="BR177" s="308">
        <v>0</v>
      </c>
      <c r="BS177" s="307">
        <f>(BG177-BG$176)*$BR$1+BM177</f>
        <v>-1.9253977749195619</v>
      </c>
      <c r="BT177" s="307">
        <f>(BH177-BH$176)*$BR$1+BN177</f>
        <v>-1.4067768611836926</v>
      </c>
      <c r="BU177" s="118"/>
      <c r="BW177" t="s">
        <v>131</v>
      </c>
      <c r="BX177">
        <f>IF(ISNUMBER(INDEX($BR$176:$BR$189,BX175,1)),INDEX($BR$176:$BR$189,BX175,1),0)</f>
        <v>0</v>
      </c>
      <c r="BY177">
        <f t="shared" ref="BY177:CK177" si="372">IF(ISNUMBER(INDEX($BR$176:$BR$189,BY175,1)),INDEX($BR$176:$BR$189,BY175,1),0)</f>
        <v>0</v>
      </c>
      <c r="BZ177">
        <f t="shared" si="372"/>
        <v>0</v>
      </c>
      <c r="CA177">
        <f t="shared" si="372"/>
        <v>-3.8295282932009047</v>
      </c>
      <c r="CB177">
        <f t="shared" si="372"/>
        <v>-0.49546303937421621</v>
      </c>
      <c r="CC177">
        <f t="shared" si="372"/>
        <v>-6.2533395563227803E-2</v>
      </c>
      <c r="CD177">
        <f t="shared" si="372"/>
        <v>-6.7948199784242935E-4</v>
      </c>
      <c r="CE177">
        <f t="shared" si="372"/>
        <v>-2.9365993380270086E-2</v>
      </c>
      <c r="CG177">
        <f t="shared" si="372"/>
        <v>0.28636075844360143</v>
      </c>
      <c r="CH177">
        <f t="shared" si="372"/>
        <v>-1.8135627728551964</v>
      </c>
      <c r="CI177">
        <f t="shared" si="372"/>
        <v>-6.2533395563227803E-2</v>
      </c>
      <c r="CJ177">
        <f t="shared" si="372"/>
        <v>-0.16710906892696509</v>
      </c>
      <c r="CK177">
        <f t="shared" si="372"/>
        <v>-6.2533395563227803E-2</v>
      </c>
    </row>
    <row r="178" spans="1:89" x14ac:dyDescent="0.25">
      <c r="A178">
        <v>3</v>
      </c>
      <c r="B178" s="107" t="s">
        <v>388</v>
      </c>
      <c r="C178" s="113">
        <f t="shared" si="347"/>
        <v>27680.713349999998</v>
      </c>
      <c r="D178" s="113">
        <f t="shared" si="347"/>
        <v>155681.43932</v>
      </c>
      <c r="E178" s="113">
        <f t="shared" si="347"/>
        <v>276814.86056</v>
      </c>
      <c r="F178" s="116">
        <f t="shared" si="354"/>
        <v>460177.01323000004</v>
      </c>
      <c r="G178" s="300"/>
      <c r="H178" s="300"/>
      <c r="I178" s="300"/>
      <c r="J178" s="115"/>
      <c r="K178">
        <v>3</v>
      </c>
      <c r="L178" s="107" t="s">
        <v>388</v>
      </c>
      <c r="M178" s="113">
        <f t="shared" si="348"/>
        <v>27680.713349999998</v>
      </c>
      <c r="N178" s="113">
        <f t="shared" si="348"/>
        <v>155681.43932</v>
      </c>
      <c r="O178" s="113">
        <f t="shared" si="348"/>
        <v>276814.86056</v>
      </c>
      <c r="P178" s="116">
        <f t="shared" si="355"/>
        <v>460177.01323000004</v>
      </c>
      <c r="Q178" s="115"/>
      <c r="R178">
        <v>3</v>
      </c>
      <c r="S178" s="107" t="s">
        <v>388</v>
      </c>
      <c r="T178" s="113">
        <f t="shared" si="349"/>
        <v>35743.705882275513</v>
      </c>
      <c r="U178" s="113">
        <f t="shared" si="349"/>
        <v>317766.5542460701</v>
      </c>
      <c r="V178" s="113">
        <f t="shared" si="349"/>
        <v>317583.05435157055</v>
      </c>
      <c r="W178" s="116">
        <f t="shared" si="356"/>
        <v>671093.31447991612</v>
      </c>
      <c r="X178" s="115"/>
      <c r="Y178" s="115"/>
      <c r="Z178" s="115"/>
      <c r="AA178" s="107" t="s">
        <v>388</v>
      </c>
      <c r="AB178" s="113">
        <f t="shared" si="350"/>
        <v>40925</v>
      </c>
      <c r="AC178" s="113">
        <f t="shared" si="350"/>
        <v>301155</v>
      </c>
      <c r="AD178" s="113">
        <f t="shared" si="350"/>
        <v>315995</v>
      </c>
      <c r="AE178" s="116">
        <f t="shared" si="357"/>
        <v>658075</v>
      </c>
      <c r="AG178" s="107" t="s">
        <v>388</v>
      </c>
      <c r="AH178" s="117">
        <f t="shared" si="358"/>
        <v>0.1789698456853272</v>
      </c>
      <c r="AI178" s="117">
        <f t="shared" si="359"/>
        <v>0.36254838011477974</v>
      </c>
      <c r="AJ178" s="117">
        <f t="shared" si="360"/>
        <v>0.22682347701621813</v>
      </c>
      <c r="AK178" s="118">
        <f t="shared" si="361"/>
        <v>0.25502011606270319</v>
      </c>
      <c r="AL178" s="115"/>
      <c r="AM178" s="107" t="s">
        <v>388</v>
      </c>
      <c r="AN178" s="117">
        <f t="shared" si="362"/>
        <v>0.21875083518186919</v>
      </c>
      <c r="AO178" s="117">
        <f t="shared" si="351"/>
        <v>0.28120229141280445</v>
      </c>
      <c r="AP178" s="117">
        <f t="shared" si="351"/>
        <v>0.18833047753855323</v>
      </c>
      <c r="AQ178" s="118">
        <f t="shared" si="351"/>
        <v>0.22414647563025497</v>
      </c>
      <c r="AS178" s="107" t="s">
        <v>388</v>
      </c>
      <c r="AT178" s="113">
        <f t="shared" si="363"/>
        <v>13244.286650000002</v>
      </c>
      <c r="AU178" s="113">
        <f t="shared" si="364"/>
        <v>145473.56068</v>
      </c>
      <c r="AV178" s="113">
        <f t="shared" si="365"/>
        <v>39180.139439999999</v>
      </c>
      <c r="AW178" s="116">
        <f t="shared" si="366"/>
        <v>197897.98676999996</v>
      </c>
      <c r="AX178" s="115"/>
      <c r="AY178" s="107" t="s">
        <v>388</v>
      </c>
      <c r="AZ178" s="117">
        <f t="shared" si="367"/>
        <v>0.47846623324105925</v>
      </c>
      <c r="BA178" s="117">
        <f t="shared" si="368"/>
        <v>0.93443098493573196</v>
      </c>
      <c r="BB178" s="117">
        <f t="shared" si="369"/>
        <v>0.14153914772038639</v>
      </c>
      <c r="BC178" s="118">
        <f t="shared" si="370"/>
        <v>0.43004752753934061</v>
      </c>
      <c r="BE178" s="107" t="s">
        <v>388</v>
      </c>
      <c r="BF178" s="307">
        <f t="shared" si="371"/>
        <v>-0.20071601141340248</v>
      </c>
      <c r="BG178" s="307">
        <f t="shared" si="352"/>
        <v>0.25408361917752381</v>
      </c>
      <c r="BH178" s="307">
        <f t="shared" si="353"/>
        <v>0.18597380182597256</v>
      </c>
      <c r="BI178" s="118"/>
      <c r="BK178" s="107" t="s">
        <v>388</v>
      </c>
      <c r="BL178" s="307">
        <v>0</v>
      </c>
      <c r="BM178" s="307">
        <v>0.11826546816450122</v>
      </c>
      <c r="BN178" s="307">
        <v>-9.988376031642833E-2</v>
      </c>
      <c r="BO178" s="118"/>
      <c r="BQ178" s="107" t="s">
        <v>388</v>
      </c>
      <c r="BR178" s="309">
        <v>0</v>
      </c>
      <c r="BS178" s="307">
        <f t="shared" ref="BS178:BS188" si="373">(BG178-BG$176)*$BR$1+BM178</f>
        <v>0.23980389223718779</v>
      </c>
      <c r="BT178" s="307">
        <f t="shared" ref="BT178:BT188" si="374">(BH178-BH$176)*$BR$1+BN178</f>
        <v>-2.9492871880632335E-2</v>
      </c>
      <c r="BU178" s="118"/>
      <c r="BW178" t="s">
        <v>132</v>
      </c>
      <c r="BX178">
        <f>IF(ISNUMBER(INDEX($BS$176:$BS$189,BX175,1)),INDEX($BS$176:$BS$189,BX175,1),0)</f>
        <v>0</v>
      </c>
      <c r="BY178">
        <f t="shared" ref="BY178:CK178" si="375">IF(ISNUMBER(INDEX($BS$176:$BS$189,BY175,1)),INDEX($BS$176:$BS$189,BY175,1),0)</f>
        <v>-1.9253977749195619</v>
      </c>
      <c r="BZ178">
        <f t="shared" si="375"/>
        <v>0.23980389223718779</v>
      </c>
      <c r="CA178">
        <f t="shared" si="375"/>
        <v>-2.2780184967710579</v>
      </c>
      <c r="CB178">
        <f t="shared" si="375"/>
        <v>0.1878505555452965</v>
      </c>
      <c r="CC178">
        <f t="shared" si="375"/>
        <v>1.7535015810985062</v>
      </c>
      <c r="CD178">
        <f t="shared" si="375"/>
        <v>7.9983791123169556E-2</v>
      </c>
      <c r="CE178">
        <f t="shared" si="375"/>
        <v>4.1951580116517645E-2</v>
      </c>
      <c r="CG178">
        <f t="shared" si="375"/>
        <v>0.80236038122159359</v>
      </c>
      <c r="CH178">
        <f t="shared" si="375"/>
        <v>0.85365649243943409</v>
      </c>
      <c r="CI178">
        <f t="shared" si="375"/>
        <v>-0.46211211788315854</v>
      </c>
      <c r="CJ178">
        <f t="shared" si="375"/>
        <v>0.20022064729530836</v>
      </c>
      <c r="CK178">
        <f t="shared" si="375"/>
        <v>-6.6266454174921233E-2</v>
      </c>
    </row>
    <row r="179" spans="1:89" x14ac:dyDescent="0.25">
      <c r="A179">
        <v>4</v>
      </c>
      <c r="B179" s="107" t="s">
        <v>389</v>
      </c>
      <c r="C179" s="113">
        <f t="shared" si="347"/>
        <v>164.38015999999999</v>
      </c>
      <c r="D179" s="113">
        <f t="shared" si="347"/>
        <v>69.026229999999998</v>
      </c>
      <c r="E179" s="113">
        <f t="shared" si="347"/>
        <v>2716.5501100000001</v>
      </c>
      <c r="F179" s="116">
        <f t="shared" si="354"/>
        <v>2949.9565000000002</v>
      </c>
      <c r="G179" s="300"/>
      <c r="H179" s="300"/>
      <c r="I179" s="300"/>
      <c r="J179" s="115"/>
      <c r="K179">
        <v>4</v>
      </c>
      <c r="L179" s="107" t="s">
        <v>389</v>
      </c>
      <c r="M179" s="113">
        <f t="shared" si="348"/>
        <v>164.38015999999999</v>
      </c>
      <c r="N179" s="113">
        <f t="shared" si="348"/>
        <v>69.026229999999998</v>
      </c>
      <c r="O179" s="113">
        <f t="shared" si="348"/>
        <v>2716.5501100000001</v>
      </c>
      <c r="P179" s="116">
        <f t="shared" si="355"/>
        <v>2949.9565000000002</v>
      </c>
      <c r="Q179" s="115"/>
      <c r="R179">
        <v>4</v>
      </c>
      <c r="S179" s="107" t="s">
        <v>389</v>
      </c>
      <c r="T179" s="113">
        <f t="shared" si="349"/>
        <v>210.08557593120372</v>
      </c>
      <c r="U179" s="113">
        <f t="shared" si="349"/>
        <v>109.3179461144657</v>
      </c>
      <c r="V179" s="113">
        <f t="shared" si="349"/>
        <v>3142.6157114782764</v>
      </c>
      <c r="W179" s="116">
        <f t="shared" si="356"/>
        <v>3462.0192335239458</v>
      </c>
      <c r="X179" s="115"/>
      <c r="Y179" s="115"/>
      <c r="Z179" s="115"/>
      <c r="AA179" s="107" t="s">
        <v>389</v>
      </c>
      <c r="AB179" s="113">
        <f t="shared" si="350"/>
        <v>1145</v>
      </c>
      <c r="AC179" s="113">
        <f t="shared" si="350"/>
        <v>8010</v>
      </c>
      <c r="AD179" s="113">
        <f t="shared" si="350"/>
        <v>8740</v>
      </c>
      <c r="AE179" s="116">
        <f t="shared" si="357"/>
        <v>17895</v>
      </c>
      <c r="AG179" s="107" t="s">
        <v>389</v>
      </c>
      <c r="AH179" s="117">
        <f t="shared" si="358"/>
        <v>1.0628010736915996E-3</v>
      </c>
      <c r="AI179" s="117">
        <f t="shared" si="359"/>
        <v>1.6074715124190958E-4</v>
      </c>
      <c r="AJ179" s="117">
        <f t="shared" si="360"/>
        <v>2.225954705583563E-3</v>
      </c>
      <c r="AK179" s="118">
        <f t="shared" si="361"/>
        <v>1.6348018857559085E-3</v>
      </c>
      <c r="AL179" s="115"/>
      <c r="AM179" s="107" t="s">
        <v>389</v>
      </c>
      <c r="AN179" s="117">
        <f t="shared" si="362"/>
        <v>6.1202127375257235E-3</v>
      </c>
      <c r="AO179" s="117">
        <f t="shared" si="351"/>
        <v>7.479305853187109E-3</v>
      </c>
      <c r="AP179" s="117">
        <f t="shared" si="351"/>
        <v>5.2089696789093349E-3</v>
      </c>
      <c r="AQ179" s="118">
        <f t="shared" si="351"/>
        <v>6.0952037099166701E-3</v>
      </c>
      <c r="AS179" s="107" t="s">
        <v>389</v>
      </c>
      <c r="AT179" s="113">
        <f t="shared" si="363"/>
        <v>980.61984000000007</v>
      </c>
      <c r="AU179" s="113">
        <f t="shared" si="364"/>
        <v>7940.9737699999996</v>
      </c>
      <c r="AV179" s="113">
        <f t="shared" si="365"/>
        <v>6023.4498899999999</v>
      </c>
      <c r="AW179" s="116">
        <f t="shared" si="366"/>
        <v>14945.0435</v>
      </c>
      <c r="AX179" s="115"/>
      <c r="AY179" s="107" t="s">
        <v>389</v>
      </c>
      <c r="AZ179" s="117">
        <f t="shared" si="367"/>
        <v>5.9655608073383073</v>
      </c>
      <c r="BA179" s="117">
        <f t="shared" si="368"/>
        <v>115.04284342343483</v>
      </c>
      <c r="BB179" s="117">
        <f t="shared" si="369"/>
        <v>2.217315950781412</v>
      </c>
      <c r="BC179" s="118">
        <f t="shared" si="370"/>
        <v>5.0661911455304507</v>
      </c>
      <c r="BE179" s="107" t="s">
        <v>389</v>
      </c>
      <c r="BF179" s="307">
        <f t="shared" si="371"/>
        <v>-1.7506889118026641</v>
      </c>
      <c r="BG179" s="307">
        <f t="shared" si="352"/>
        <v>-3.8400626249932963</v>
      </c>
      <c r="BH179" s="307">
        <f t="shared" si="353"/>
        <v>-0.8501961730914227</v>
      </c>
      <c r="BI179" s="118"/>
      <c r="BK179" s="107" t="s">
        <v>389</v>
      </c>
      <c r="BL179" s="307">
        <v>-3.0545418430062741</v>
      </c>
      <c r="BM179" s="307">
        <v>-0.35248379875833435</v>
      </c>
      <c r="BN179" s="307">
        <v>0.93864365075012568</v>
      </c>
      <c r="BO179" s="118"/>
      <c r="BQ179" s="107" t="s">
        <v>389</v>
      </c>
      <c r="BR179" s="307">
        <f>(BF179-BF$178)*$BR$1+BL179</f>
        <v>-3.8295282932009047</v>
      </c>
      <c r="BS179" s="307">
        <f t="shared" si="373"/>
        <v>-2.2780184967710579</v>
      </c>
      <c r="BT179" s="307">
        <f t="shared" si="374"/>
        <v>0.49094955172722404</v>
      </c>
      <c r="BU179" s="118"/>
      <c r="BW179" t="s">
        <v>133</v>
      </c>
      <c r="BX179">
        <f>IF(ISNUMBER(INDEX($BT$176:$BT$189,BX175,1)),INDEX($BT$176:$BT$189,BX175,1),0)</f>
        <v>0</v>
      </c>
      <c r="BY179">
        <f t="shared" ref="BY179:CK179" si="376">IF(ISNUMBER(INDEX($BT$176:$BT$189,BY175,1)),INDEX($BT$176:$BT$189,BY175,1),0)</f>
        <v>-1.4067768611836926</v>
      </c>
      <c r="BZ179">
        <f t="shared" si="376"/>
        <v>-2.9492871880632335E-2</v>
      </c>
      <c r="CA179">
        <f t="shared" si="376"/>
        <v>0.49094955172722404</v>
      </c>
      <c r="CB179">
        <f t="shared" si="376"/>
        <v>-0.10408736714850297</v>
      </c>
      <c r="CC179">
        <f t="shared" si="376"/>
        <v>0.19594678552723307</v>
      </c>
      <c r="CD179">
        <f t="shared" si="376"/>
        <v>-0.12283112555105336</v>
      </c>
      <c r="CE179">
        <f t="shared" si="376"/>
        <v>-8.2132953072771298E-2</v>
      </c>
      <c r="CG179">
        <f t="shared" si="376"/>
        <v>0.25834459599674753</v>
      </c>
      <c r="CH179">
        <f t="shared" si="376"/>
        <v>0.62827030690587349</v>
      </c>
      <c r="CI179">
        <f t="shared" si="376"/>
        <v>0.7277929263729489</v>
      </c>
      <c r="CJ179">
        <f t="shared" si="376"/>
        <v>-6.2940653867225957E-2</v>
      </c>
      <c r="CK179">
        <f t="shared" si="376"/>
        <v>-0.12659735828279495</v>
      </c>
    </row>
    <row r="180" spans="1:89" x14ac:dyDescent="0.25">
      <c r="A180">
        <v>5</v>
      </c>
      <c r="B180" s="107" t="s">
        <v>390</v>
      </c>
      <c r="C180" s="113">
        <f t="shared" si="347"/>
        <v>1408.67788</v>
      </c>
      <c r="D180" s="113">
        <f t="shared" si="347"/>
        <v>74262.523270000005</v>
      </c>
      <c r="E180" s="113">
        <f t="shared" si="347"/>
        <v>154553.56599</v>
      </c>
      <c r="F180" s="116">
        <f t="shared" si="354"/>
        <v>230224.76714000001</v>
      </c>
      <c r="G180" s="300"/>
      <c r="H180" s="300"/>
      <c r="I180" s="300"/>
      <c r="J180" s="115"/>
      <c r="K180">
        <v>5</v>
      </c>
      <c r="L180" s="107" t="s">
        <v>390</v>
      </c>
      <c r="M180" s="113">
        <f t="shared" si="348"/>
        <v>1408.67788</v>
      </c>
      <c r="N180" s="113">
        <f t="shared" si="348"/>
        <v>74262.523270000005</v>
      </c>
      <c r="O180" s="113">
        <f t="shared" si="348"/>
        <v>154553.56599</v>
      </c>
      <c r="P180" s="116">
        <f t="shared" si="355"/>
        <v>230224.76714000001</v>
      </c>
      <c r="Q180" s="115"/>
      <c r="R180">
        <v>5</v>
      </c>
      <c r="S180" s="107" t="s">
        <v>390</v>
      </c>
      <c r="T180" s="113">
        <f t="shared" si="349"/>
        <v>4036.3839454446911</v>
      </c>
      <c r="U180" s="113">
        <f t="shared" si="349"/>
        <v>148290.06859851559</v>
      </c>
      <c r="V180" s="113">
        <f t="shared" si="349"/>
        <v>172209.93756698776</v>
      </c>
      <c r="W180" s="116">
        <f t="shared" si="356"/>
        <v>324536.39011094801</v>
      </c>
      <c r="X180" s="115"/>
      <c r="Y180" s="115"/>
      <c r="Z180" s="115"/>
      <c r="AA180" s="107" t="s">
        <v>390</v>
      </c>
      <c r="AB180" s="113">
        <f t="shared" si="350"/>
        <v>4400</v>
      </c>
      <c r="AC180" s="113">
        <f t="shared" si="350"/>
        <v>154640</v>
      </c>
      <c r="AD180" s="113">
        <f t="shared" si="350"/>
        <v>188230</v>
      </c>
      <c r="AE180" s="116">
        <f t="shared" si="357"/>
        <v>347270</v>
      </c>
      <c r="AG180" s="107" t="s">
        <v>390</v>
      </c>
      <c r="AH180" s="117">
        <f t="shared" si="358"/>
        <v>9.1078166814633002E-3</v>
      </c>
      <c r="AI180" s="117">
        <f t="shared" si="359"/>
        <v>0.17294134504649206</v>
      </c>
      <c r="AJ180" s="117">
        <f t="shared" si="360"/>
        <v>0.12664196261785882</v>
      </c>
      <c r="AK180" s="118">
        <f t="shared" si="361"/>
        <v>0.12758557065780018</v>
      </c>
      <c r="AL180" s="115"/>
      <c r="AM180" s="107" t="s">
        <v>390</v>
      </c>
      <c r="AN180" s="117">
        <f t="shared" si="362"/>
        <v>2.3518721436780073E-2</v>
      </c>
      <c r="AO180" s="117">
        <f t="shared" si="351"/>
        <v>0.14439448903081828</v>
      </c>
      <c r="AP180" s="117">
        <f t="shared" si="351"/>
        <v>0.11218356552186545</v>
      </c>
      <c r="AQ180" s="118">
        <f t="shared" si="351"/>
        <v>0.11828339716919598</v>
      </c>
      <c r="AS180" s="107" t="s">
        <v>390</v>
      </c>
      <c r="AT180" s="113">
        <f t="shared" si="363"/>
        <v>2991.3221199999998</v>
      </c>
      <c r="AU180" s="113">
        <f t="shared" si="364"/>
        <v>80377.476729999995</v>
      </c>
      <c r="AV180" s="113">
        <f t="shared" si="365"/>
        <v>33676.434009999997</v>
      </c>
      <c r="AW180" s="116">
        <f t="shared" si="366"/>
        <v>117045.23285999999</v>
      </c>
      <c r="AX180" s="115"/>
      <c r="AY180" s="107" t="s">
        <v>390</v>
      </c>
      <c r="AZ180" s="117">
        <f t="shared" si="367"/>
        <v>2.123496196305716</v>
      </c>
      <c r="BA180" s="117">
        <f t="shared" si="368"/>
        <v>1.0823423873946154</v>
      </c>
      <c r="BB180" s="117">
        <f t="shared" si="369"/>
        <v>0.21789490131970779</v>
      </c>
      <c r="BC180" s="118">
        <f t="shared" si="370"/>
        <v>0.50839548808762447</v>
      </c>
      <c r="BE180" s="107" t="s">
        <v>390</v>
      </c>
      <c r="BF180" s="307">
        <f t="shared" si="371"/>
        <v>-0.94866374007267429</v>
      </c>
      <c r="BG180" s="307">
        <f t="shared" si="352"/>
        <v>0.18040342991074648</v>
      </c>
      <c r="BH180" s="307">
        <f t="shared" si="353"/>
        <v>0.1212274055564191</v>
      </c>
      <c r="BI180" s="118"/>
      <c r="BK180" s="107" t="s">
        <v>390</v>
      </c>
      <c r="BL180" s="307">
        <v>-0.12148917504458026</v>
      </c>
      <c r="BM180" s="307">
        <v>0.10315222610599857</v>
      </c>
      <c r="BN180" s="307">
        <v>-0.14210505744952223</v>
      </c>
      <c r="BO180" s="118"/>
      <c r="BQ180" s="107" t="s">
        <v>390</v>
      </c>
      <c r="BR180" s="307">
        <f t="shared" ref="BR180:BR188" si="377">(BF180-BF$178)*$BR$1+BL180</f>
        <v>-0.49546303937421621</v>
      </c>
      <c r="BS180" s="307">
        <f t="shared" si="373"/>
        <v>0.1878505555452965</v>
      </c>
      <c r="BT180" s="307">
        <f t="shared" si="374"/>
        <v>-0.10408736714850297</v>
      </c>
      <c r="BU180" s="118"/>
    </row>
    <row r="181" spans="1:89" x14ac:dyDescent="0.25">
      <c r="A181">
        <v>6</v>
      </c>
      <c r="B181" s="107" t="s">
        <v>391</v>
      </c>
      <c r="C181" s="113">
        <f t="shared" si="347"/>
        <v>0</v>
      </c>
      <c r="D181" s="113">
        <f t="shared" si="347"/>
        <v>63.674770000000002</v>
      </c>
      <c r="E181" s="113">
        <f t="shared" si="347"/>
        <v>4148.9556900000007</v>
      </c>
      <c r="F181" s="116">
        <f t="shared" si="354"/>
        <v>4212.6304600000003</v>
      </c>
      <c r="G181" s="300"/>
      <c r="H181" s="300"/>
      <c r="I181" s="300"/>
      <c r="J181" s="115"/>
      <c r="K181">
        <v>6</v>
      </c>
      <c r="L181" s="107" t="s">
        <v>391</v>
      </c>
      <c r="M181" s="113">
        <f t="shared" si="348"/>
        <v>0</v>
      </c>
      <c r="N181" s="113">
        <f t="shared" si="348"/>
        <v>63.674770000000002</v>
      </c>
      <c r="O181" s="113">
        <f t="shared" si="348"/>
        <v>4148.9556900000007</v>
      </c>
      <c r="P181" s="116">
        <f t="shared" si="355"/>
        <v>4212.6304600000003</v>
      </c>
      <c r="Q181" s="115"/>
      <c r="R181">
        <v>6</v>
      </c>
      <c r="S181" s="107" t="s">
        <v>391</v>
      </c>
      <c r="T181" s="113">
        <f t="shared" si="349"/>
        <v>0</v>
      </c>
      <c r="U181" s="113">
        <f t="shared" si="349"/>
        <v>100.84275319267759</v>
      </c>
      <c r="V181" s="113">
        <f t="shared" si="349"/>
        <v>4195.7920913808812</v>
      </c>
      <c r="W181" s="116">
        <f t="shared" si="356"/>
        <v>4296.6348445735584</v>
      </c>
      <c r="X181" s="115"/>
      <c r="Y181" s="115"/>
      <c r="Z181" s="115"/>
      <c r="AA181" s="107" t="s">
        <v>391</v>
      </c>
      <c r="AB181" s="113">
        <f t="shared" si="350"/>
        <v>145</v>
      </c>
      <c r="AC181" s="113">
        <f t="shared" si="350"/>
        <v>4755</v>
      </c>
      <c r="AD181" s="113">
        <f t="shared" si="350"/>
        <v>5330</v>
      </c>
      <c r="AE181" s="116">
        <f t="shared" si="357"/>
        <v>10230</v>
      </c>
      <c r="AG181" s="107" t="s">
        <v>391</v>
      </c>
      <c r="AH181" s="117">
        <f t="shared" si="358"/>
        <v>0</v>
      </c>
      <c r="AI181" s="117">
        <f t="shared" si="359"/>
        <v>1.4828475904715943E-4</v>
      </c>
      <c r="AJ181" s="117">
        <f t="shared" si="360"/>
        <v>3.3996749801950828E-3</v>
      </c>
      <c r="AK181" s="118">
        <f t="shared" si="361"/>
        <v>2.3345483975783306E-3</v>
      </c>
      <c r="AL181" s="115"/>
      <c r="AM181" s="107" t="s">
        <v>391</v>
      </c>
      <c r="AN181" s="117">
        <f t="shared" si="362"/>
        <v>7.7504877462116145E-4</v>
      </c>
      <c r="AO181" s="117">
        <f t="shared" si="351"/>
        <v>4.4399624634088265E-3</v>
      </c>
      <c r="AP181" s="117">
        <f t="shared" si="351"/>
        <v>3.1766371153989421E-3</v>
      </c>
      <c r="AQ181" s="118">
        <f t="shared" si="351"/>
        <v>3.484433302735263E-3</v>
      </c>
      <c r="AS181" s="107" t="s">
        <v>391</v>
      </c>
      <c r="AT181" s="113">
        <f t="shared" si="363"/>
        <v>145</v>
      </c>
      <c r="AU181" s="113">
        <f t="shared" si="364"/>
        <v>4691.3252300000004</v>
      </c>
      <c r="AV181" s="113">
        <f t="shared" si="365"/>
        <v>1181.0443099999993</v>
      </c>
      <c r="AW181" s="116">
        <f t="shared" si="366"/>
        <v>6017.3695399999997</v>
      </c>
      <c r="AX181" s="115"/>
      <c r="AY181" s="107" t="s">
        <v>391</v>
      </c>
      <c r="AZ181" s="117">
        <f t="shared" si="367"/>
        <v>0</v>
      </c>
      <c r="BA181" s="117">
        <f t="shared" si="368"/>
        <v>73.67635925500791</v>
      </c>
      <c r="BB181" s="117">
        <f t="shared" si="369"/>
        <v>0.28466062263489711</v>
      </c>
      <c r="BC181" s="118">
        <f t="shared" si="370"/>
        <v>1.4284114396305247</v>
      </c>
      <c r="BE181" s="107" t="s">
        <v>391</v>
      </c>
      <c r="BF181" s="307">
        <f t="shared" si="371"/>
        <v>0</v>
      </c>
      <c r="BG181" s="307">
        <f t="shared" si="352"/>
        <v>-3.3992667284320617</v>
      </c>
      <c r="BH181" s="307">
        <f t="shared" si="353"/>
        <v>6.7856706640352565E-2</v>
      </c>
      <c r="BI181" s="118"/>
      <c r="BK181" s="107" t="s">
        <v>391</v>
      </c>
      <c r="BL181" s="307">
        <v>-0.16289140126992904</v>
      </c>
      <c r="BM181" s="307">
        <v>3.4586383308306123</v>
      </c>
      <c r="BN181" s="307">
        <v>0.18461444468424709</v>
      </c>
      <c r="BO181" s="118"/>
      <c r="BQ181" s="107" t="s">
        <v>391</v>
      </c>
      <c r="BR181" s="307">
        <f t="shared" si="377"/>
        <v>-6.2533395563227803E-2</v>
      </c>
      <c r="BS181" s="307">
        <f t="shared" si="373"/>
        <v>1.7535015810985062</v>
      </c>
      <c r="BT181" s="307">
        <f t="shared" si="374"/>
        <v>0.19594678552723307</v>
      </c>
      <c r="BU181" s="118"/>
    </row>
    <row r="182" spans="1:89" x14ac:dyDescent="0.25">
      <c r="A182">
        <v>7</v>
      </c>
      <c r="B182" s="107" t="s">
        <v>392</v>
      </c>
      <c r="C182" s="113">
        <f t="shared" si="347"/>
        <v>67047.327439999994</v>
      </c>
      <c r="D182" s="113">
        <f t="shared" si="347"/>
        <v>96950.207750000001</v>
      </c>
      <c r="E182" s="113">
        <f t="shared" si="347"/>
        <v>62992.536489999999</v>
      </c>
      <c r="F182" s="116">
        <f t="shared" si="354"/>
        <v>226990.07167999999</v>
      </c>
      <c r="G182" s="300"/>
      <c r="H182" s="300"/>
      <c r="I182" s="300"/>
      <c r="J182" s="115"/>
      <c r="K182">
        <v>7</v>
      </c>
      <c r="L182" s="107" t="s">
        <v>392</v>
      </c>
      <c r="M182" s="113">
        <f t="shared" si="348"/>
        <v>67047.327439999994</v>
      </c>
      <c r="N182" s="113">
        <f t="shared" si="348"/>
        <v>96950.207750000001</v>
      </c>
      <c r="O182" s="113">
        <f t="shared" si="348"/>
        <v>62992.536489999999</v>
      </c>
      <c r="P182" s="116">
        <f t="shared" si="355"/>
        <v>226990.07167999999</v>
      </c>
      <c r="Q182" s="115"/>
      <c r="R182">
        <v>7</v>
      </c>
      <c r="S182" s="107" t="s">
        <v>392</v>
      </c>
      <c r="T182" s="113">
        <f t="shared" si="349"/>
        <v>93384.98335062273</v>
      </c>
      <c r="U182" s="113">
        <f t="shared" si="349"/>
        <v>228635.6891832859</v>
      </c>
      <c r="V182" s="113">
        <f t="shared" si="349"/>
        <v>83808.788062308959</v>
      </c>
      <c r="W182" s="116">
        <f t="shared" si="356"/>
        <v>405829.4605962176</v>
      </c>
      <c r="X182" s="115"/>
      <c r="Y182" s="115"/>
      <c r="Z182" s="115"/>
      <c r="AA182" s="107" t="s">
        <v>392</v>
      </c>
      <c r="AB182" s="113">
        <f t="shared" si="350"/>
        <v>101020</v>
      </c>
      <c r="AC182" s="113">
        <f t="shared" si="350"/>
        <v>246875</v>
      </c>
      <c r="AD182" s="113">
        <f t="shared" si="350"/>
        <v>93455</v>
      </c>
      <c r="AE182" s="116">
        <f t="shared" si="357"/>
        <v>441350</v>
      </c>
      <c r="AG182" s="107" t="s">
        <v>392</v>
      </c>
      <c r="AH182" s="117">
        <f t="shared" si="358"/>
        <v>0.43349496430338214</v>
      </c>
      <c r="AI182" s="117">
        <f t="shared" si="359"/>
        <v>0.22577605220687566</v>
      </c>
      <c r="AJ182" s="117">
        <f t="shared" si="360"/>
        <v>5.1616398497637057E-2</v>
      </c>
      <c r="AK182" s="118">
        <f t="shared" si="361"/>
        <v>0.12579297261852262</v>
      </c>
      <c r="AL182" s="115"/>
      <c r="AM182" s="107" t="s">
        <v>392</v>
      </c>
      <c r="AN182" s="117">
        <f t="shared" si="362"/>
        <v>0.53996846353261885</v>
      </c>
      <c r="AO182" s="117">
        <f t="shared" si="351"/>
        <v>0.23051855586836048</v>
      </c>
      <c r="AP182" s="117">
        <f t="shared" si="351"/>
        <v>5.5698428071221037E-2</v>
      </c>
      <c r="AQ182" s="118">
        <f t="shared" si="351"/>
        <v>0.1503279216189842</v>
      </c>
      <c r="AS182" s="107" t="s">
        <v>392</v>
      </c>
      <c r="AT182" s="113">
        <f t="shared" si="363"/>
        <v>33972.672560000006</v>
      </c>
      <c r="AU182" s="113">
        <f t="shared" si="364"/>
        <v>149924.79225</v>
      </c>
      <c r="AV182" s="113">
        <f t="shared" si="365"/>
        <v>30462.463510000001</v>
      </c>
      <c r="AW182" s="116">
        <f t="shared" si="366"/>
        <v>214359.92832000001</v>
      </c>
      <c r="AX182" s="115"/>
      <c r="AY182" s="107" t="s">
        <v>392</v>
      </c>
      <c r="AZ182" s="117">
        <f t="shared" si="367"/>
        <v>0.50669689392767847</v>
      </c>
      <c r="BA182" s="117">
        <f t="shared" si="368"/>
        <v>1.5464102215912992</v>
      </c>
      <c r="BB182" s="117">
        <f t="shared" si="369"/>
        <v>0.48358845678227114</v>
      </c>
      <c r="BC182" s="118">
        <f t="shared" si="370"/>
        <v>0.94435816832638664</v>
      </c>
      <c r="BE182" s="107" t="s">
        <v>392</v>
      </c>
      <c r="BF182" s="307">
        <f t="shared" si="371"/>
        <v>-0.21963055720479061</v>
      </c>
      <c r="BG182" s="307">
        <f t="shared" si="352"/>
        <v>-2.0787773330788552E-2</v>
      </c>
      <c r="BH182" s="307">
        <f t="shared" si="353"/>
        <v>-7.6112502850989749E-2</v>
      </c>
      <c r="BI182" s="118"/>
      <c r="BK182" s="107" t="s">
        <v>392</v>
      </c>
      <c r="BL182" s="307">
        <v>8.7777908978516339E-3</v>
      </c>
      <c r="BM182" s="307">
        <v>9.588106330463915E-2</v>
      </c>
      <c r="BN182" s="307">
        <v>-6.2178861648368201E-2</v>
      </c>
      <c r="BO182" s="118"/>
      <c r="BQ182" s="107" t="s">
        <v>392</v>
      </c>
      <c r="BR182" s="307">
        <f t="shared" si="377"/>
        <v>-6.7948199784242935E-4</v>
      </c>
      <c r="BS182" s="307">
        <f t="shared" si="373"/>
        <v>7.9983791123169556E-2</v>
      </c>
      <c r="BT182" s="307">
        <f t="shared" si="374"/>
        <v>-0.12283112555105336</v>
      </c>
      <c r="BU182" s="118"/>
    </row>
    <row r="183" spans="1:89" x14ac:dyDescent="0.25">
      <c r="A183">
        <v>8</v>
      </c>
      <c r="B183" s="107" t="s">
        <v>393</v>
      </c>
      <c r="C183" s="113">
        <f t="shared" si="347"/>
        <v>4627.8921300000002</v>
      </c>
      <c r="D183" s="113">
        <f t="shared" si="347"/>
        <v>8297.1982200000002</v>
      </c>
      <c r="E183" s="113">
        <f t="shared" si="347"/>
        <v>10857.544689999999</v>
      </c>
      <c r="F183" s="116">
        <f t="shared" si="354"/>
        <v>23782.635040000001</v>
      </c>
      <c r="G183" s="300"/>
      <c r="H183" s="300"/>
      <c r="I183" s="300"/>
      <c r="J183" s="115"/>
      <c r="K183">
        <v>8</v>
      </c>
      <c r="L183" s="107" t="s">
        <v>393</v>
      </c>
      <c r="M183" s="113">
        <f t="shared" si="348"/>
        <v>4627.8921300000002</v>
      </c>
      <c r="N183" s="113">
        <f t="shared" si="348"/>
        <v>8297.1982200000002</v>
      </c>
      <c r="O183" s="113">
        <f t="shared" si="348"/>
        <v>10857.544689999999</v>
      </c>
      <c r="P183" s="116">
        <f t="shared" si="355"/>
        <v>23782.635040000001</v>
      </c>
      <c r="Q183" s="115"/>
      <c r="R183">
        <v>8</v>
      </c>
      <c r="S183" s="107" t="s">
        <v>393</v>
      </c>
      <c r="T183" s="113">
        <f t="shared" si="349"/>
        <v>5914.6638102708703</v>
      </c>
      <c r="U183" s="113">
        <f t="shared" si="349"/>
        <v>21408.424732811811</v>
      </c>
      <c r="V183" s="113">
        <f t="shared" si="349"/>
        <v>14669.595376632584</v>
      </c>
      <c r="W183" s="116">
        <f t="shared" si="356"/>
        <v>41992.683919715266</v>
      </c>
      <c r="X183" s="115"/>
      <c r="Y183" s="115"/>
      <c r="Z183" s="115"/>
      <c r="AA183" s="107" t="s">
        <v>393</v>
      </c>
      <c r="AB183" s="113">
        <f t="shared" si="350"/>
        <v>7730</v>
      </c>
      <c r="AC183" s="113">
        <f t="shared" si="350"/>
        <v>23900</v>
      </c>
      <c r="AD183" s="113">
        <f t="shared" si="350"/>
        <v>15835</v>
      </c>
      <c r="AE183" s="116">
        <f t="shared" si="357"/>
        <v>47465</v>
      </c>
      <c r="AG183" s="107" t="s">
        <v>393</v>
      </c>
      <c r="AH183" s="117">
        <f t="shared" si="358"/>
        <v>2.9921668920950707E-2</v>
      </c>
      <c r="AI183" s="117">
        <f t="shared" si="359"/>
        <v>1.9322379002220506E-2</v>
      </c>
      <c r="AJ183" s="117">
        <f t="shared" si="360"/>
        <v>8.896726257624353E-3</v>
      </c>
      <c r="AK183" s="118">
        <f t="shared" si="361"/>
        <v>1.3179820316549259E-2</v>
      </c>
      <c r="AL183" s="115"/>
      <c r="AM183" s="107" t="s">
        <v>393</v>
      </c>
      <c r="AN183" s="117">
        <f t="shared" si="362"/>
        <v>4.1318117433252262E-2</v>
      </c>
      <c r="AO183" s="117">
        <f t="shared" si="351"/>
        <v>2.2316530573180011E-2</v>
      </c>
      <c r="AP183" s="117">
        <f t="shared" si="351"/>
        <v>9.4375325933099899E-3</v>
      </c>
      <c r="AQ183" s="118">
        <f t="shared" si="351"/>
        <v>1.6167021184196408E-2</v>
      </c>
      <c r="AS183" s="107" t="s">
        <v>393</v>
      </c>
      <c r="AT183" s="113">
        <f t="shared" si="363"/>
        <v>3102.1078699999998</v>
      </c>
      <c r="AU183" s="113">
        <f t="shared" si="364"/>
        <v>15602.80178</v>
      </c>
      <c r="AV183" s="113">
        <f t="shared" si="365"/>
        <v>4977.4553100000012</v>
      </c>
      <c r="AW183" s="116">
        <f t="shared" si="366"/>
        <v>23682.364959999999</v>
      </c>
      <c r="AX183" s="115"/>
      <c r="AY183" s="107" t="s">
        <v>393</v>
      </c>
      <c r="AZ183" s="117">
        <f t="shared" si="367"/>
        <v>0.67030686603319767</v>
      </c>
      <c r="BA183" s="117">
        <f t="shared" si="368"/>
        <v>1.8804904217414249</v>
      </c>
      <c r="BB183" s="117">
        <f t="shared" si="369"/>
        <v>0.45843286416166729</v>
      </c>
      <c r="BC183" s="118">
        <f t="shared" si="370"/>
        <v>0.99578389527353228</v>
      </c>
      <c r="BE183" s="107" t="s">
        <v>393</v>
      </c>
      <c r="BF183" s="307">
        <f t="shared" si="371"/>
        <v>-0.32271815155262568</v>
      </c>
      <c r="BG183" s="307">
        <f t="shared" si="352"/>
        <v>-0.14406372719674768</v>
      </c>
      <c r="BH183" s="307">
        <f t="shared" si="353"/>
        <v>-5.9011195317166094E-2</v>
      </c>
      <c r="BI183" s="118"/>
      <c r="BK183" s="107" t="s">
        <v>393</v>
      </c>
      <c r="BL183" s="307">
        <v>3.1635076689341513E-2</v>
      </c>
      <c r="BM183" s="307">
        <v>0.1194868292309668</v>
      </c>
      <c r="BN183" s="307">
        <v>-3.0031342936997954E-2</v>
      </c>
      <c r="BO183" s="118"/>
      <c r="BQ183" s="107" t="s">
        <v>393</v>
      </c>
      <c r="BR183" s="307">
        <f t="shared" si="377"/>
        <v>-2.9365993380270086E-2</v>
      </c>
      <c r="BS183" s="307">
        <f t="shared" si="373"/>
        <v>4.1951580116517645E-2</v>
      </c>
      <c r="BT183" s="307">
        <f t="shared" si="374"/>
        <v>-8.2132953072771298E-2</v>
      </c>
      <c r="BU183" s="118"/>
    </row>
    <row r="184" spans="1:89" x14ac:dyDescent="0.25">
      <c r="A184">
        <v>10</v>
      </c>
      <c r="B184" s="107" t="s">
        <v>395</v>
      </c>
      <c r="C184" s="113">
        <f t="shared" si="347"/>
        <v>55199.987000000001</v>
      </c>
      <c r="D184" s="113">
        <f t="shared" si="347"/>
        <v>31081.072169999999</v>
      </c>
      <c r="E184" s="113">
        <f t="shared" si="347"/>
        <v>13468.657139999999</v>
      </c>
      <c r="F184" s="116">
        <f t="shared" si="354"/>
        <v>99749.716309999989</v>
      </c>
      <c r="G184" s="300"/>
      <c r="H184" s="300"/>
      <c r="I184" s="300"/>
      <c r="J184" s="115"/>
      <c r="K184">
        <v>10</v>
      </c>
      <c r="L184" s="107" t="s">
        <v>395</v>
      </c>
      <c r="M184" s="113">
        <f t="shared" si="348"/>
        <v>61599.593976495176</v>
      </c>
      <c r="N184" s="113">
        <f t="shared" si="348"/>
        <v>34684.454292102346</v>
      </c>
      <c r="O184" s="113">
        <f t="shared" si="348"/>
        <v>15030.145047545439</v>
      </c>
      <c r="P184" s="116">
        <f t="shared" si="355"/>
        <v>111314.19331614295</v>
      </c>
      <c r="Q184" s="115"/>
      <c r="R184">
        <v>10</v>
      </c>
      <c r="S184" s="107" t="s">
        <v>395</v>
      </c>
      <c r="T184" s="113">
        <f t="shared" ref="T184:V188" si="378">T82+T116</f>
        <v>61599.593976495176</v>
      </c>
      <c r="U184" s="113">
        <f t="shared" si="378"/>
        <v>34684.454292102346</v>
      </c>
      <c r="V184" s="113">
        <f t="shared" si="378"/>
        <v>15030.145047545439</v>
      </c>
      <c r="W184" s="116">
        <f t="shared" si="356"/>
        <v>111314.19331614295</v>
      </c>
      <c r="X184" s="115"/>
      <c r="Y184" s="115"/>
      <c r="Z184" s="115"/>
      <c r="AA184" s="107" t="s">
        <v>546</v>
      </c>
      <c r="AB184" s="113">
        <f t="shared" si="350"/>
        <v>43565</v>
      </c>
      <c r="AC184" s="113">
        <f t="shared" si="350"/>
        <v>20620</v>
      </c>
      <c r="AD184" s="113">
        <f t="shared" si="350"/>
        <v>9555</v>
      </c>
      <c r="AE184" s="116">
        <f t="shared" si="357"/>
        <v>73740</v>
      </c>
      <c r="AG184" s="107" t="s">
        <v>395</v>
      </c>
      <c r="AH184" s="117">
        <f t="shared" si="358"/>
        <v>0.3568959018616501</v>
      </c>
      <c r="AI184" s="117">
        <f t="shared" si="359"/>
        <v>7.2381090621227565E-2</v>
      </c>
      <c r="AJ184" s="117">
        <f t="shared" si="360"/>
        <v>1.1036284818863382E-2</v>
      </c>
      <c r="AK184" s="118">
        <f t="shared" si="361"/>
        <v>5.5279128464167139E-2</v>
      </c>
      <c r="AL184" s="115"/>
      <c r="AM184" s="107" t="s">
        <v>395</v>
      </c>
      <c r="AN184" s="117">
        <f t="shared" si="362"/>
        <v>0.23286206804393725</v>
      </c>
      <c r="AO184" s="117">
        <f t="shared" si="351"/>
        <v>1.9253843532174554E-2</v>
      </c>
      <c r="AP184" s="117">
        <f t="shared" si="351"/>
        <v>5.6947031215078599E-3</v>
      </c>
      <c r="AQ184" s="118">
        <f t="shared" si="351"/>
        <v>2.511653096223835E-2</v>
      </c>
      <c r="AS184" s="107" t="s">
        <v>395</v>
      </c>
      <c r="AT184" s="113">
        <f t="shared" si="363"/>
        <v>-11634.987000000001</v>
      </c>
      <c r="AU184" s="113">
        <f t="shared" si="364"/>
        <v>-10461.072169999999</v>
      </c>
      <c r="AV184" s="113">
        <f t="shared" si="365"/>
        <v>-3913.6571399999993</v>
      </c>
      <c r="AW184" s="116">
        <f t="shared" si="366"/>
        <v>-26009.716309999989</v>
      </c>
      <c r="AX184" s="115"/>
      <c r="AY184" s="107" t="s">
        <v>395</v>
      </c>
      <c r="AZ184" s="117">
        <f t="shared" si="367"/>
        <v>-0.21077879963993471</v>
      </c>
      <c r="BA184" s="117">
        <f t="shared" si="368"/>
        <v>-0.33657372283628012</v>
      </c>
      <c r="BB184" s="117">
        <f t="shared" si="369"/>
        <v>-0.29057515528975736</v>
      </c>
      <c r="BC184" s="118">
        <f t="shared" si="370"/>
        <v>-0.26074977726420356</v>
      </c>
      <c r="BE184" s="107" t="s">
        <v>395</v>
      </c>
      <c r="BF184" s="307">
        <f t="shared" si="371"/>
        <v>0.4269978522038983</v>
      </c>
      <c r="BG184" s="307">
        <f t="shared" si="352"/>
        <v>1.3242343812009583</v>
      </c>
      <c r="BH184" s="307">
        <f t="shared" si="353"/>
        <v>0.66165199831631338</v>
      </c>
      <c r="BI184" s="118"/>
      <c r="BK184" s="107" t="s">
        <v>395</v>
      </c>
      <c r="BL184" s="307">
        <v>-2.749617336504892E-2</v>
      </c>
      <c r="BM184" s="307">
        <v>0.14574657613718983</v>
      </c>
      <c r="BN184" s="307">
        <v>-4.9885390684218864E-2</v>
      </c>
      <c r="BO184" s="118"/>
      <c r="BQ184" s="107" t="s">
        <v>395</v>
      </c>
      <c r="BR184" s="307">
        <f t="shared" si="377"/>
        <v>0.28636075844360143</v>
      </c>
      <c r="BS184" s="307">
        <f t="shared" si="373"/>
        <v>0.80236038122159359</v>
      </c>
      <c r="BT184" s="307">
        <f t="shared" si="374"/>
        <v>0.25834459599674753</v>
      </c>
      <c r="BU184" s="118"/>
    </row>
    <row r="185" spans="1:89" x14ac:dyDescent="0.25">
      <c r="A185">
        <v>11</v>
      </c>
      <c r="B185" s="107" t="s">
        <v>396</v>
      </c>
      <c r="C185" s="113">
        <f t="shared" si="347"/>
        <v>2873.6168499999999</v>
      </c>
      <c r="D185" s="113">
        <f t="shared" si="347"/>
        <v>1289.2507499999999</v>
      </c>
      <c r="E185" s="113">
        <f t="shared" si="347"/>
        <v>3111.9368799999997</v>
      </c>
      <c r="F185" s="116">
        <f t="shared" si="354"/>
        <v>7274.8044799999989</v>
      </c>
      <c r="G185" s="300"/>
      <c r="H185" s="300"/>
      <c r="I185" s="300"/>
      <c r="J185" s="115"/>
      <c r="K185">
        <v>11</v>
      </c>
      <c r="L185" s="107" t="s">
        <v>396</v>
      </c>
      <c r="M185" s="113">
        <f t="shared" si="348"/>
        <v>1215.4812748388135</v>
      </c>
      <c r="N185" s="113">
        <f t="shared" si="348"/>
        <v>545.32675265907369</v>
      </c>
      <c r="O185" s="113">
        <f t="shared" si="348"/>
        <v>1316.2857832352699</v>
      </c>
      <c r="P185" s="116">
        <f t="shared" si="355"/>
        <v>3077.0938107331572</v>
      </c>
      <c r="Q185" s="115"/>
      <c r="R185">
        <v>11</v>
      </c>
      <c r="S185" s="107" t="s">
        <v>396</v>
      </c>
      <c r="T185" s="113">
        <f t="shared" si="378"/>
        <v>1215.4812748388135</v>
      </c>
      <c r="U185" s="113">
        <f t="shared" si="378"/>
        <v>545.32675265907369</v>
      </c>
      <c r="V185" s="113">
        <f t="shared" si="378"/>
        <v>1316.2857832352699</v>
      </c>
      <c r="W185" s="116">
        <f t="shared" si="356"/>
        <v>3077.0938107331572</v>
      </c>
      <c r="X185" s="115"/>
      <c r="Y185" s="115"/>
      <c r="Z185" s="115"/>
      <c r="AA185" s="107" t="s">
        <v>559</v>
      </c>
      <c r="AB185" s="113">
        <f t="shared" si="350"/>
        <v>1150</v>
      </c>
      <c r="AC185" s="113">
        <f t="shared" si="350"/>
        <v>355</v>
      </c>
      <c r="AD185" s="113">
        <f t="shared" si="350"/>
        <v>785</v>
      </c>
      <c r="AE185" s="116">
        <f t="shared" si="357"/>
        <v>2290</v>
      </c>
      <c r="AG185" s="107" t="s">
        <v>396</v>
      </c>
      <c r="AH185" s="117">
        <f t="shared" si="358"/>
        <v>1.8579389833653114E-2</v>
      </c>
      <c r="AI185" s="117">
        <f t="shared" si="359"/>
        <v>3.0023859813725212E-3</v>
      </c>
      <c r="AJ185" s="117">
        <f t="shared" si="360"/>
        <v>2.5499365964263515E-3</v>
      </c>
      <c r="AK185" s="118">
        <f t="shared" si="361"/>
        <v>4.031538798083812E-3</v>
      </c>
      <c r="AL185" s="115"/>
      <c r="AM185" s="107" t="s">
        <v>396</v>
      </c>
      <c r="AN185" s="117">
        <f t="shared" si="362"/>
        <v>6.1469385573402462E-3</v>
      </c>
      <c r="AO185" s="117">
        <f t="shared" si="351"/>
        <v>3.314798474258956E-4</v>
      </c>
      <c r="AP185" s="117">
        <f t="shared" si="351"/>
        <v>4.6785368397526635E-4</v>
      </c>
      <c r="AQ185" s="118">
        <f t="shared" si="351"/>
        <v>7.7999533365237072E-4</v>
      </c>
      <c r="AS185" s="107" t="s">
        <v>396</v>
      </c>
      <c r="AT185" s="113">
        <f t="shared" si="363"/>
        <v>-1723.6168499999999</v>
      </c>
      <c r="AU185" s="113">
        <f t="shared" si="364"/>
        <v>-934.25074999999993</v>
      </c>
      <c r="AV185" s="113">
        <f t="shared" si="365"/>
        <v>-2326.9368799999997</v>
      </c>
      <c r="AW185" s="116">
        <f t="shared" si="366"/>
        <v>-4984.8044799999989</v>
      </c>
      <c r="AX185" s="115"/>
      <c r="AY185" s="107" t="s">
        <v>396</v>
      </c>
      <c r="AZ185" s="117">
        <f t="shared" si="367"/>
        <v>-0.59980746911335792</v>
      </c>
      <c r="BA185" s="117">
        <f t="shared" si="368"/>
        <v>-0.72464627226317302</v>
      </c>
      <c r="BB185" s="117">
        <f t="shared" si="369"/>
        <v>-0.74774552625244761</v>
      </c>
      <c r="BC185" s="118">
        <f t="shared" si="370"/>
        <v>-0.685214907658934</v>
      </c>
      <c r="BE185" s="107" t="s">
        <v>396</v>
      </c>
      <c r="BF185" s="307">
        <f t="shared" si="371"/>
        <v>1.1060987305697105</v>
      </c>
      <c r="BG185" s="307">
        <f t="shared" si="352"/>
        <v>2.2035955629701394</v>
      </c>
      <c r="BH185" s="307">
        <f t="shared" si="353"/>
        <v>1.6956681677400798</v>
      </c>
      <c r="BI185" s="118"/>
      <c r="BK185" s="107" t="s">
        <v>396</v>
      </c>
      <c r="BL185" s="307">
        <v>-2.4669701438467531</v>
      </c>
      <c r="BM185" s="307">
        <v>-0.24263790352956033</v>
      </c>
      <c r="BN185" s="307">
        <v>-0.196967764486976</v>
      </c>
      <c r="BO185" s="118"/>
      <c r="BQ185" s="107" t="s">
        <v>396</v>
      </c>
      <c r="BR185" s="307">
        <f t="shared" si="377"/>
        <v>-1.8135627728551964</v>
      </c>
      <c r="BS185" s="307">
        <f t="shared" si="373"/>
        <v>0.85365649243943409</v>
      </c>
      <c r="BT185" s="307">
        <f t="shared" si="374"/>
        <v>0.62827030690587349</v>
      </c>
      <c r="BU185" s="118"/>
    </row>
    <row r="186" spans="1:89" x14ac:dyDescent="0.25">
      <c r="A186">
        <v>12</v>
      </c>
      <c r="B186" s="107" t="s">
        <v>397</v>
      </c>
      <c r="C186" s="113">
        <f t="shared" si="347"/>
        <v>0</v>
      </c>
      <c r="D186" s="113">
        <f t="shared" si="347"/>
        <v>1868.5511900000001</v>
      </c>
      <c r="E186" s="113">
        <f t="shared" si="347"/>
        <v>3710.5802899999999</v>
      </c>
      <c r="F186" s="116">
        <f t="shared" si="354"/>
        <v>5579.13148</v>
      </c>
      <c r="G186" s="300"/>
      <c r="H186" s="300"/>
      <c r="I186" s="300"/>
      <c r="J186" s="115"/>
      <c r="K186">
        <v>12</v>
      </c>
      <c r="L186" s="107" t="s">
        <v>397</v>
      </c>
      <c r="M186" s="113">
        <f t="shared" si="348"/>
        <v>0</v>
      </c>
      <c r="N186" s="113">
        <f t="shared" si="348"/>
        <v>1227.915687396471</v>
      </c>
      <c r="O186" s="113">
        <f t="shared" si="348"/>
        <v>2438.4024220578872</v>
      </c>
      <c r="P186" s="116">
        <f t="shared" si="355"/>
        <v>3666.3181094543579</v>
      </c>
      <c r="Q186" s="115"/>
      <c r="R186">
        <v>12</v>
      </c>
      <c r="S186" s="107" t="s">
        <v>397</v>
      </c>
      <c r="T186" s="113">
        <f t="shared" si="378"/>
        <v>0</v>
      </c>
      <c r="U186" s="113">
        <f t="shared" si="378"/>
        <v>1227.915687396471</v>
      </c>
      <c r="V186" s="113">
        <f t="shared" si="378"/>
        <v>2438.4024220578872</v>
      </c>
      <c r="W186" s="116">
        <f t="shared" si="356"/>
        <v>3666.3181094543579</v>
      </c>
      <c r="X186" s="115"/>
      <c r="Y186" s="115"/>
      <c r="Z186" s="115"/>
      <c r="AA186" s="107" t="s">
        <v>560</v>
      </c>
      <c r="AB186" s="113">
        <f t="shared" si="350"/>
        <v>0</v>
      </c>
      <c r="AC186" s="113">
        <f t="shared" si="350"/>
        <v>0</v>
      </c>
      <c r="AD186" s="113">
        <f t="shared" si="350"/>
        <v>1020</v>
      </c>
      <c r="AE186" s="116">
        <f t="shared" si="357"/>
        <v>1020</v>
      </c>
      <c r="AG186" s="107" t="s">
        <v>397</v>
      </c>
      <c r="AH186" s="117">
        <f t="shared" si="358"/>
        <v>0</v>
      </c>
      <c r="AI186" s="117">
        <f t="shared" si="359"/>
        <v>4.3514513358498671E-3</v>
      </c>
      <c r="AJ186" s="117">
        <f t="shared" si="360"/>
        <v>3.0404679915774207E-3</v>
      </c>
      <c r="AK186" s="118">
        <f t="shared" si="361"/>
        <v>3.0918336132699422E-3</v>
      </c>
      <c r="AL186" s="115"/>
      <c r="AM186" s="107" t="s">
        <v>397</v>
      </c>
      <c r="AN186" s="117">
        <f t="shared" si="362"/>
        <v>0</v>
      </c>
      <c r="AO186" s="117">
        <f t="shared" si="351"/>
        <v>0</v>
      </c>
      <c r="AP186" s="117">
        <f t="shared" si="351"/>
        <v>6.0791179319079195E-4</v>
      </c>
      <c r="AQ186" s="118">
        <f t="shared" si="351"/>
        <v>3.4742150232551012E-4</v>
      </c>
      <c r="AS186" s="107" t="s">
        <v>397</v>
      </c>
      <c r="AT186" s="113">
        <f t="shared" si="363"/>
        <v>0</v>
      </c>
      <c r="AU186" s="113">
        <f t="shared" si="364"/>
        <v>-1868.5511900000001</v>
      </c>
      <c r="AV186" s="113">
        <f t="shared" si="365"/>
        <v>-2690.5802899999999</v>
      </c>
      <c r="AW186" s="116">
        <f t="shared" si="366"/>
        <v>-4559.13148</v>
      </c>
      <c r="AX186" s="115"/>
      <c r="AY186" s="107" t="s">
        <v>397</v>
      </c>
      <c r="AZ186" s="117">
        <f t="shared" si="367"/>
        <v>0</v>
      </c>
      <c r="BA186" s="117">
        <f t="shared" si="368"/>
        <v>-1</v>
      </c>
      <c r="BB186" s="117">
        <f t="shared" si="369"/>
        <v>-0.72511038158939822</v>
      </c>
      <c r="BC186" s="118">
        <f t="shared" si="370"/>
        <v>-0.8171758447248495</v>
      </c>
      <c r="BE186" s="107" t="s">
        <v>397</v>
      </c>
      <c r="BF186" s="307">
        <f t="shared" si="371"/>
        <v>0</v>
      </c>
      <c r="BG186" s="307">
        <f t="shared" si="352"/>
        <v>0</v>
      </c>
      <c r="BH186" s="307">
        <f t="shared" si="353"/>
        <v>1.609736932697196</v>
      </c>
      <c r="BI186" s="118"/>
      <c r="BK186" s="107" t="s">
        <v>397</v>
      </c>
      <c r="BL186" s="307">
        <v>-0.16289140126992904</v>
      </c>
      <c r="BM186" s="307">
        <v>-0.45660873236708321</v>
      </c>
      <c r="BN186" s="307">
        <v>-5.4479527498458705E-2</v>
      </c>
      <c r="BO186" s="118"/>
      <c r="BQ186" s="107" t="s">
        <v>397</v>
      </c>
      <c r="BR186" s="307">
        <f t="shared" si="377"/>
        <v>-6.2533395563227803E-2</v>
      </c>
      <c r="BS186" s="307">
        <f t="shared" si="373"/>
        <v>-0.46211211788315854</v>
      </c>
      <c r="BT186" s="307">
        <f t="shared" si="374"/>
        <v>0.7277929263729489</v>
      </c>
      <c r="BU186" s="118"/>
    </row>
    <row r="187" spans="1:89" x14ac:dyDescent="0.25">
      <c r="A187">
        <v>13</v>
      </c>
      <c r="B187" s="107" t="s">
        <v>398</v>
      </c>
      <c r="C187" s="113">
        <f t="shared" si="347"/>
        <v>7303.2996700000003</v>
      </c>
      <c r="D187" s="113">
        <f t="shared" si="347"/>
        <v>1810.4460000000001</v>
      </c>
      <c r="E187" s="113">
        <f t="shared" si="347"/>
        <v>1742.08295</v>
      </c>
      <c r="F187" s="116">
        <f t="shared" si="354"/>
        <v>10855.82862</v>
      </c>
      <c r="G187" s="300"/>
      <c r="H187" s="300"/>
      <c r="I187" s="300"/>
      <c r="J187" s="115"/>
      <c r="K187">
        <v>13</v>
      </c>
      <c r="L187" s="107" t="s">
        <v>398</v>
      </c>
      <c r="M187" s="113">
        <f t="shared" si="348"/>
        <v>7303.2996700000003</v>
      </c>
      <c r="N187" s="113">
        <f t="shared" si="348"/>
        <v>1810.4460000000001</v>
      </c>
      <c r="O187" s="113">
        <f t="shared" si="348"/>
        <v>1742.08295</v>
      </c>
      <c r="P187" s="116">
        <f t="shared" si="355"/>
        <v>10855.82862</v>
      </c>
      <c r="Q187" s="115"/>
      <c r="R187">
        <v>13</v>
      </c>
      <c r="S187" s="107" t="s">
        <v>398</v>
      </c>
      <c r="T187" s="113">
        <f t="shared" si="378"/>
        <v>10475.102184121015</v>
      </c>
      <c r="U187" s="113">
        <f t="shared" si="378"/>
        <v>4577.1627441052178</v>
      </c>
      <c r="V187" s="113">
        <f t="shared" si="378"/>
        <v>2406.4459418937581</v>
      </c>
      <c r="W187" s="116">
        <f t="shared" si="356"/>
        <v>17458.71087011999</v>
      </c>
      <c r="X187" s="115"/>
      <c r="Y187" s="115"/>
      <c r="Z187" s="115"/>
      <c r="AA187" s="107" t="s">
        <v>398</v>
      </c>
      <c r="AB187" s="113">
        <f t="shared" si="350"/>
        <v>12500</v>
      </c>
      <c r="AC187" s="113">
        <f t="shared" si="350"/>
        <v>4330</v>
      </c>
      <c r="AD187" s="113">
        <f t="shared" si="350"/>
        <v>2440</v>
      </c>
      <c r="AE187" s="116">
        <f t="shared" si="357"/>
        <v>19270</v>
      </c>
      <c r="AG187" s="107" t="s">
        <v>398</v>
      </c>
      <c r="AH187" s="117">
        <f t="shared" si="358"/>
        <v>4.7219535075081483E-2</v>
      </c>
      <c r="AI187" s="117">
        <f t="shared" si="359"/>
        <v>4.2161369232726498E-3</v>
      </c>
      <c r="AJ187" s="117">
        <f t="shared" si="360"/>
        <v>1.427471455724185E-3</v>
      </c>
      <c r="AK187" s="118">
        <f t="shared" si="361"/>
        <v>6.0160646773669245E-3</v>
      </c>
      <c r="AL187" s="115"/>
      <c r="AM187" s="107" t="s">
        <v>398</v>
      </c>
      <c r="AN187" s="117">
        <f t="shared" si="362"/>
        <v>6.6814549536307027E-2</v>
      </c>
      <c r="AO187" s="117">
        <f t="shared" si="351"/>
        <v>4.0431203925468387E-3</v>
      </c>
      <c r="AP187" s="117">
        <f t="shared" si="351"/>
        <v>1.4542203680250317E-3</v>
      </c>
      <c r="AQ187" s="118">
        <f t="shared" si="351"/>
        <v>6.5635415194240975E-3</v>
      </c>
      <c r="AS187" s="107" t="s">
        <v>398</v>
      </c>
      <c r="AT187" s="113">
        <f t="shared" si="363"/>
        <v>5196.7003299999997</v>
      </c>
      <c r="AU187" s="113">
        <f t="shared" si="364"/>
        <v>2519.5540000000001</v>
      </c>
      <c r="AV187" s="113">
        <f t="shared" si="365"/>
        <v>697.91705000000002</v>
      </c>
      <c r="AW187" s="116">
        <f t="shared" si="366"/>
        <v>8414.1713799999998</v>
      </c>
      <c r="AX187" s="115"/>
      <c r="AY187" s="107" t="s">
        <v>398</v>
      </c>
      <c r="AZ187" s="117">
        <f t="shared" si="367"/>
        <v>0.7115551277933525</v>
      </c>
      <c r="BA187" s="117">
        <f t="shared" si="368"/>
        <v>1.3916758632955635</v>
      </c>
      <c r="BB187" s="117">
        <f t="shared" si="369"/>
        <v>0.40062216899602859</v>
      </c>
      <c r="BC187" s="118">
        <f t="shared" si="370"/>
        <v>0.77508329161519129</v>
      </c>
      <c r="BE187" s="107" t="s">
        <v>398</v>
      </c>
      <c r="BF187" s="307">
        <f t="shared" si="371"/>
        <v>-0.34711317857905682</v>
      </c>
      <c r="BG187" s="307">
        <f t="shared" si="352"/>
        <v>4.1902519530532922E-2</v>
      </c>
      <c r="BH187" s="307">
        <f t="shared" si="353"/>
        <v>-1.8565261121404688E-2</v>
      </c>
      <c r="BI187" s="118"/>
      <c r="BK187" s="107" t="s">
        <v>398</v>
      </c>
      <c r="BL187" s="307">
        <v>-9.3910485344137901E-2</v>
      </c>
      <c r="BM187" s="307">
        <v>0.18477277304611722</v>
      </c>
      <c r="BN187" s="307">
        <v>-3.1062010829333325E-2</v>
      </c>
      <c r="BO187" s="118"/>
      <c r="BQ187" s="107" t="s">
        <v>398</v>
      </c>
      <c r="BR187" s="307">
        <f t="shared" si="377"/>
        <v>-0.16710906892696509</v>
      </c>
      <c r="BS187" s="307">
        <f t="shared" si="373"/>
        <v>0.20022064729530836</v>
      </c>
      <c r="BT187" s="307">
        <f t="shared" si="374"/>
        <v>-6.2940653867225957E-2</v>
      </c>
      <c r="BU187" s="118"/>
    </row>
    <row r="188" spans="1:89" x14ac:dyDescent="0.25">
      <c r="A188">
        <v>14</v>
      </c>
      <c r="B188" s="107" t="s">
        <v>399</v>
      </c>
      <c r="C188" s="113">
        <f t="shared" si="347"/>
        <v>0</v>
      </c>
      <c r="D188" s="113">
        <f t="shared" si="347"/>
        <v>0</v>
      </c>
      <c r="E188" s="113">
        <f t="shared" si="347"/>
        <v>0</v>
      </c>
      <c r="F188" s="116">
        <f t="shared" si="354"/>
        <v>0</v>
      </c>
      <c r="G188" s="300"/>
      <c r="H188" s="300"/>
      <c r="I188" s="300"/>
      <c r="J188" s="115"/>
      <c r="K188">
        <v>14</v>
      </c>
      <c r="L188" s="107" t="s">
        <v>399</v>
      </c>
      <c r="M188" s="113">
        <f t="shared" si="348"/>
        <v>0</v>
      </c>
      <c r="N188" s="113">
        <f t="shared" si="348"/>
        <v>0</v>
      </c>
      <c r="O188" s="113">
        <f t="shared" si="348"/>
        <v>0</v>
      </c>
      <c r="P188" s="116">
        <f t="shared" si="355"/>
        <v>0</v>
      </c>
      <c r="Q188" s="115"/>
      <c r="R188">
        <v>14</v>
      </c>
      <c r="S188" s="107" t="s">
        <v>399</v>
      </c>
      <c r="T188" s="113">
        <f t="shared" si="378"/>
        <v>0</v>
      </c>
      <c r="U188" s="113">
        <f t="shared" si="378"/>
        <v>0</v>
      </c>
      <c r="V188" s="113">
        <f t="shared" si="378"/>
        <v>0</v>
      </c>
      <c r="W188" s="116">
        <f t="shared" si="356"/>
        <v>0</v>
      </c>
      <c r="X188" s="115"/>
      <c r="Y188" s="115"/>
      <c r="Z188" s="115"/>
      <c r="AA188" s="107" t="s">
        <v>399</v>
      </c>
      <c r="AB188" s="113">
        <f t="shared" si="350"/>
        <v>0</v>
      </c>
      <c r="AC188" s="113">
        <f t="shared" si="350"/>
        <v>0</v>
      </c>
      <c r="AD188" s="113">
        <f t="shared" si="350"/>
        <v>0</v>
      </c>
      <c r="AE188" s="116">
        <f t="shared" si="357"/>
        <v>0</v>
      </c>
      <c r="AG188" s="107" t="s">
        <v>399</v>
      </c>
      <c r="AH188" s="117">
        <f t="shared" si="358"/>
        <v>0</v>
      </c>
      <c r="AI188" s="117">
        <f t="shared" si="359"/>
        <v>0</v>
      </c>
      <c r="AJ188" s="117">
        <f t="shared" si="360"/>
        <v>0</v>
      </c>
      <c r="AK188" s="118">
        <f t="shared" si="361"/>
        <v>0</v>
      </c>
      <c r="AL188" s="115"/>
      <c r="AM188" s="107" t="s">
        <v>399</v>
      </c>
      <c r="AN188" s="117">
        <f t="shared" si="362"/>
        <v>0</v>
      </c>
      <c r="AO188" s="117">
        <f t="shared" si="351"/>
        <v>0</v>
      </c>
      <c r="AP188" s="117">
        <f t="shared" si="351"/>
        <v>0</v>
      </c>
      <c r="AQ188" s="118">
        <f t="shared" si="351"/>
        <v>0</v>
      </c>
      <c r="AS188" s="107" t="s">
        <v>399</v>
      </c>
      <c r="AT188" s="113">
        <f t="shared" si="363"/>
        <v>0</v>
      </c>
      <c r="AU188" s="113">
        <f t="shared" si="364"/>
        <v>0</v>
      </c>
      <c r="AV188" s="113">
        <f t="shared" si="365"/>
        <v>0</v>
      </c>
      <c r="AW188" s="116">
        <f t="shared" si="366"/>
        <v>0</v>
      </c>
      <c r="AX188" s="115"/>
      <c r="AY188" s="107" t="s">
        <v>399</v>
      </c>
      <c r="AZ188" s="117">
        <f t="shared" si="367"/>
        <v>0</v>
      </c>
      <c r="BA188" s="117">
        <f t="shared" si="368"/>
        <v>0</v>
      </c>
      <c r="BB188" s="117">
        <f t="shared" si="369"/>
        <v>0</v>
      </c>
      <c r="BC188" s="118">
        <f t="shared" si="370"/>
        <v>0</v>
      </c>
      <c r="BE188" s="107" t="s">
        <v>399</v>
      </c>
      <c r="BF188" s="307">
        <f t="shared" si="371"/>
        <v>0</v>
      </c>
      <c r="BG188" s="307">
        <f t="shared" si="352"/>
        <v>0</v>
      </c>
      <c r="BH188" s="307">
        <f t="shared" si="353"/>
        <v>0</v>
      </c>
      <c r="BI188" s="118"/>
      <c r="BK188" s="107" t="s">
        <v>399</v>
      </c>
      <c r="BL188" s="307">
        <v>-0.16289140126992904</v>
      </c>
      <c r="BM188" s="307">
        <v>-6.0763068658845912E-2</v>
      </c>
      <c r="BN188" s="307">
        <v>-0.10400134580560466</v>
      </c>
      <c r="BO188" s="118"/>
      <c r="BQ188" s="107" t="s">
        <v>399</v>
      </c>
      <c r="BR188" s="307">
        <f t="shared" si="377"/>
        <v>-6.2533395563227803E-2</v>
      </c>
      <c r="BS188" s="307">
        <f t="shared" si="373"/>
        <v>-6.6266454174921233E-2</v>
      </c>
      <c r="BT188" s="307">
        <f t="shared" si="374"/>
        <v>-0.12659735828279495</v>
      </c>
      <c r="BU188" s="118"/>
    </row>
    <row r="189" spans="1:89" ht="15.75" thickBot="1" x14ac:dyDescent="0.3">
      <c r="B189" s="108" t="s">
        <v>29</v>
      </c>
      <c r="C189" s="109">
        <f>SUM(C176:C188)</f>
        <v>166305.89447999999</v>
      </c>
      <c r="D189" s="110">
        <f>SUM(D176:D188)</f>
        <v>587991.88405999995</v>
      </c>
      <c r="E189" s="111">
        <f>SUM(E176:E188)</f>
        <v>1500920.6646899998</v>
      </c>
      <c r="F189" s="112">
        <f>SUM(F176:F188)</f>
        <v>2255218.4432299994</v>
      </c>
      <c r="G189" s="301"/>
      <c r="H189" s="301"/>
      <c r="I189" s="301"/>
      <c r="L189" s="108" t="s">
        <v>29</v>
      </c>
      <c r="M189" s="109">
        <f>SUM(M176:M188)</f>
        <v>171047.365881334</v>
      </c>
      <c r="N189" s="110">
        <f>SUM(N176:N188)</f>
        <v>590210.70668215782</v>
      </c>
      <c r="O189" s="111">
        <f>SUM(O176:O188)</f>
        <v>1499414.3236328384</v>
      </c>
      <c r="P189" s="112">
        <f>SUM(P176:P188)</f>
        <v>2260672.39619633</v>
      </c>
      <c r="S189" s="108" t="s">
        <v>29</v>
      </c>
      <c r="T189" s="109">
        <f>SUM(T176:T188)</f>
        <v>212580</v>
      </c>
      <c r="U189" s="110">
        <f>SUM(U176:U188)</f>
        <v>1318474.9999999998</v>
      </c>
      <c r="V189" s="111">
        <f>SUM(V176:V188)</f>
        <v>1952289.9999999998</v>
      </c>
      <c r="W189" s="112">
        <f>SUM(W176:W188)</f>
        <v>3483345</v>
      </c>
      <c r="AA189" s="108" t="s">
        <v>29</v>
      </c>
      <c r="AB189" s="109">
        <f>SUM(AB176:AB188)</f>
        <v>212580</v>
      </c>
      <c r="AC189" s="110">
        <f>SUM(AC176:AC188)</f>
        <v>1318475</v>
      </c>
      <c r="AD189" s="111">
        <f>SUM(AD176:AD188)</f>
        <v>1952290</v>
      </c>
      <c r="AE189" s="112">
        <f>SUM(AE176:AE188)</f>
        <v>3483345</v>
      </c>
      <c r="AG189" s="108" t="s">
        <v>29</v>
      </c>
      <c r="AH189" s="120">
        <f t="shared" si="358"/>
        <v>1.0752519234351996</v>
      </c>
      <c r="AI189" s="121">
        <f t="shared" si="359"/>
        <v>1.3693058467195469</v>
      </c>
      <c r="AJ189" s="122">
        <f t="shared" si="360"/>
        <v>1.2298618766411469</v>
      </c>
      <c r="AK189" s="123">
        <f t="shared" si="361"/>
        <v>1.2497931287406805</v>
      </c>
      <c r="AM189" s="108" t="s">
        <v>29</v>
      </c>
      <c r="AN189" s="120">
        <f t="shared" si="362"/>
        <v>1.1362749552342517</v>
      </c>
      <c r="AO189" s="121">
        <f t="shared" si="351"/>
        <v>1.2311208220700216</v>
      </c>
      <c r="AP189" s="122">
        <f t="shared" si="351"/>
        <v>1.1635491320867168</v>
      </c>
      <c r="AQ189" s="123">
        <f t="shared" si="351"/>
        <v>1.1864597578608373</v>
      </c>
      <c r="AS189" s="108" t="s">
        <v>29</v>
      </c>
      <c r="AT189" s="109">
        <f t="shared" si="363"/>
        <v>46274.105520000012</v>
      </c>
      <c r="AU189" s="110">
        <f t="shared" si="364"/>
        <v>730483.11594000005</v>
      </c>
      <c r="AV189" s="111">
        <f t="shared" si="365"/>
        <v>451369.33531000023</v>
      </c>
      <c r="AW189" s="112">
        <f t="shared" si="366"/>
        <v>1228126.5567700006</v>
      </c>
      <c r="AY189" s="108" t="s">
        <v>29</v>
      </c>
      <c r="AZ189" s="117">
        <f t="shared" si="367"/>
        <v>0.2782469356524519</v>
      </c>
      <c r="BA189" s="117">
        <f t="shared" si="368"/>
        <v>1.2423353718696226</v>
      </c>
      <c r="BB189" s="117">
        <f t="shared" si="369"/>
        <v>0.30072831024898045</v>
      </c>
      <c r="BC189" s="118">
        <f t="shared" si="370"/>
        <v>0.54457099730482716</v>
      </c>
      <c r="BE189" s="108" t="s">
        <v>29</v>
      </c>
      <c r="BF189" s="117"/>
      <c r="BG189" s="117"/>
      <c r="BH189" s="117"/>
      <c r="BI189" s="118"/>
      <c r="BK189" s="108" t="s">
        <v>29</v>
      </c>
      <c r="BL189" s="117"/>
      <c r="BM189" s="117"/>
      <c r="BN189" s="117"/>
      <c r="BO189" s="118"/>
      <c r="BQ189" s="108" t="s">
        <v>29</v>
      </c>
      <c r="BR189" s="117"/>
      <c r="BS189" s="117"/>
      <c r="BT189" s="117"/>
      <c r="BU189" s="118"/>
    </row>
    <row r="191" spans="1:89" ht="26.25" x14ac:dyDescent="0.4">
      <c r="A191" s="150" t="s">
        <v>524</v>
      </c>
      <c r="K191" s="150" t="s">
        <v>524</v>
      </c>
      <c r="R191" s="150" t="s">
        <v>524</v>
      </c>
    </row>
    <row r="192" spans="1:89" ht="26.25" x14ac:dyDescent="0.25">
      <c r="B192" s="102" t="s">
        <v>134</v>
      </c>
      <c r="C192" s="103" t="s">
        <v>135</v>
      </c>
      <c r="D192" s="104" t="s">
        <v>136</v>
      </c>
      <c r="E192" s="105" t="s">
        <v>137</v>
      </c>
      <c r="F192" s="106" t="s">
        <v>29</v>
      </c>
      <c r="G192" s="299"/>
      <c r="H192" s="299"/>
      <c r="I192" s="299"/>
      <c r="L192" s="102" t="s">
        <v>134</v>
      </c>
      <c r="M192" s="103" t="s">
        <v>135</v>
      </c>
      <c r="N192" s="104" t="s">
        <v>136</v>
      </c>
      <c r="O192" s="105" t="s">
        <v>137</v>
      </c>
      <c r="P192" s="106" t="s">
        <v>29</v>
      </c>
      <c r="S192" s="102" t="s">
        <v>134</v>
      </c>
      <c r="T192" s="103" t="s">
        <v>135</v>
      </c>
      <c r="U192" s="104" t="s">
        <v>136</v>
      </c>
      <c r="V192" s="105" t="s">
        <v>137</v>
      </c>
      <c r="W192" s="106" t="s">
        <v>29</v>
      </c>
      <c r="AA192" s="102" t="s">
        <v>134</v>
      </c>
      <c r="AB192" s="103" t="s">
        <v>135</v>
      </c>
      <c r="AC192" s="104" t="s">
        <v>136</v>
      </c>
      <c r="AD192" s="105" t="s">
        <v>137</v>
      </c>
      <c r="AE192" s="106" t="s">
        <v>29</v>
      </c>
      <c r="AG192" s="102" t="s">
        <v>134</v>
      </c>
      <c r="AH192" s="103" t="s">
        <v>135</v>
      </c>
      <c r="AI192" s="104" t="s">
        <v>136</v>
      </c>
      <c r="AJ192" s="105" t="s">
        <v>137</v>
      </c>
      <c r="AK192" s="106" t="s">
        <v>29</v>
      </c>
      <c r="AM192" s="102" t="s">
        <v>134</v>
      </c>
      <c r="AN192" s="103" t="s">
        <v>135</v>
      </c>
      <c r="AO192" s="104" t="s">
        <v>136</v>
      </c>
      <c r="AP192" s="105" t="s">
        <v>137</v>
      </c>
      <c r="AQ192" s="106" t="s">
        <v>29</v>
      </c>
      <c r="AS192" s="102" t="s">
        <v>134</v>
      </c>
      <c r="AT192" s="103" t="s">
        <v>135</v>
      </c>
      <c r="AU192" s="104" t="s">
        <v>136</v>
      </c>
      <c r="AV192" s="105" t="s">
        <v>137</v>
      </c>
      <c r="AW192" s="106" t="s">
        <v>29</v>
      </c>
      <c r="AY192" s="102" t="s">
        <v>134</v>
      </c>
      <c r="AZ192" s="103" t="s">
        <v>135</v>
      </c>
      <c r="BA192" s="104" t="s">
        <v>136</v>
      </c>
      <c r="BB192" s="105" t="s">
        <v>137</v>
      </c>
      <c r="BC192" s="106" t="s">
        <v>29</v>
      </c>
      <c r="BE192" s="102" t="s">
        <v>134</v>
      </c>
      <c r="BF192" s="103" t="s">
        <v>135</v>
      </c>
      <c r="BG192" s="104" t="s">
        <v>136</v>
      </c>
      <c r="BH192" s="105" t="s">
        <v>137</v>
      </c>
      <c r="BI192" s="106" t="s">
        <v>29</v>
      </c>
      <c r="BK192" s="102" t="s">
        <v>134</v>
      </c>
      <c r="BL192" s="103" t="s">
        <v>135</v>
      </c>
      <c r="BM192" s="104" t="s">
        <v>136</v>
      </c>
      <c r="BN192" s="105" t="s">
        <v>137</v>
      </c>
      <c r="BO192" s="106" t="s">
        <v>29</v>
      </c>
      <c r="BQ192" s="102" t="s">
        <v>134</v>
      </c>
      <c r="BR192" s="103" t="s">
        <v>135</v>
      </c>
      <c r="BS192" s="104" t="s">
        <v>136</v>
      </c>
      <c r="BT192" s="105" t="s">
        <v>137</v>
      </c>
      <c r="BU192" s="106" t="s">
        <v>29</v>
      </c>
      <c r="BX192">
        <v>1</v>
      </c>
      <c r="BY192">
        <v>2</v>
      </c>
      <c r="BZ192">
        <v>3</v>
      </c>
      <c r="CA192">
        <v>4</v>
      </c>
      <c r="CB192">
        <v>5</v>
      </c>
      <c r="CC192">
        <v>6</v>
      </c>
      <c r="CD192">
        <v>7</v>
      </c>
      <c r="CE192">
        <v>8</v>
      </c>
      <c r="CG192">
        <v>9</v>
      </c>
      <c r="CH192">
        <v>10</v>
      </c>
      <c r="CI192">
        <v>11</v>
      </c>
      <c r="CJ192">
        <v>12</v>
      </c>
      <c r="CK192">
        <v>13</v>
      </c>
    </row>
    <row r="193" spans="1:89" x14ac:dyDescent="0.25">
      <c r="A193">
        <v>1</v>
      </c>
      <c r="B193" s="107" t="s">
        <v>386</v>
      </c>
      <c r="C193" s="113">
        <f t="shared" ref="C193:E205" si="379">C91+C125</f>
        <v>0</v>
      </c>
      <c r="D193" s="113">
        <f t="shared" si="379"/>
        <v>106682.22534</v>
      </c>
      <c r="E193" s="113">
        <f t="shared" si="379"/>
        <v>564511.13792000001</v>
      </c>
      <c r="F193" s="114">
        <f>SUM(C193:E193)</f>
        <v>671193.36326000001</v>
      </c>
      <c r="G193" s="300"/>
      <c r="H193" s="300"/>
      <c r="I193" s="300"/>
      <c r="J193" s="115"/>
      <c r="K193">
        <v>1</v>
      </c>
      <c r="L193" s="107" t="s">
        <v>386</v>
      </c>
      <c r="M193" s="113">
        <f t="shared" ref="M193:O205" si="380">M91+M125</f>
        <v>0</v>
      </c>
      <c r="N193" s="113">
        <f t="shared" si="380"/>
        <v>106682.22534</v>
      </c>
      <c r="O193" s="113">
        <f t="shared" si="380"/>
        <v>564511.13792000001</v>
      </c>
      <c r="P193" s="114">
        <f>SUM(M193:O193)</f>
        <v>671193.36326000001</v>
      </c>
      <c r="Q193" s="115"/>
      <c r="R193">
        <v>1</v>
      </c>
      <c r="S193" s="107" t="s">
        <v>386</v>
      </c>
      <c r="T193" s="113">
        <f t="shared" ref="T193:V200" si="381">T91+T125</f>
        <v>0</v>
      </c>
      <c r="U193" s="113">
        <f t="shared" si="381"/>
        <v>332152.49409165129</v>
      </c>
      <c r="V193" s="113">
        <f t="shared" si="381"/>
        <v>868618.42871052551</v>
      </c>
      <c r="W193" s="114">
        <f>SUM(T193:V193)</f>
        <v>1200770.9228021768</v>
      </c>
      <c r="X193" s="115"/>
      <c r="Y193" s="115"/>
      <c r="Z193" s="115"/>
      <c r="AA193" s="107" t="s">
        <v>386</v>
      </c>
      <c r="AB193" s="113">
        <f t="shared" ref="AB193:AD205" si="382">AB91+AB125</f>
        <v>0</v>
      </c>
      <c r="AC193" s="113">
        <f t="shared" si="382"/>
        <v>306855</v>
      </c>
      <c r="AD193" s="113">
        <f t="shared" si="382"/>
        <v>813810</v>
      </c>
      <c r="AE193" s="114">
        <f>SUM(AB193:AD193)</f>
        <v>1120665</v>
      </c>
      <c r="AG193" s="107" t="s">
        <v>386</v>
      </c>
      <c r="AH193" s="117">
        <f>C193/C$87</f>
        <v>0</v>
      </c>
      <c r="AI193" s="117">
        <f>D193/D$87</f>
        <v>0.24843981500297005</v>
      </c>
      <c r="AJ193" s="117">
        <f>E193/E$87</f>
        <v>0.46256324121602738</v>
      </c>
      <c r="AK193" s="118">
        <f>F193/F$87</f>
        <v>0.37196079873187909</v>
      </c>
      <c r="AL193" s="115"/>
      <c r="AM193" s="107" t="s">
        <v>386</v>
      </c>
      <c r="AN193" s="117">
        <f>AB193/AB$87</f>
        <v>0</v>
      </c>
      <c r="AO193" s="117">
        <f t="shared" ref="AO193:AQ206" si="383">AC193/AC$87</f>
        <v>0.28652464389260052</v>
      </c>
      <c r="AP193" s="117">
        <f t="shared" si="383"/>
        <v>0.48502421217313568</v>
      </c>
      <c r="AQ193" s="118">
        <f t="shared" si="383"/>
        <v>0.38170893912119391</v>
      </c>
      <c r="AS193" s="107" t="s">
        <v>386</v>
      </c>
      <c r="AT193" s="113">
        <f>AB193-C193</f>
        <v>0</v>
      </c>
      <c r="AU193" s="113">
        <f>AC193-D193</f>
        <v>200172.77466</v>
      </c>
      <c r="AV193" s="113">
        <f>AD193-E193</f>
        <v>249298.86207999999</v>
      </c>
      <c r="AW193" s="114">
        <f>AE193-F193</f>
        <v>449471.63673999999</v>
      </c>
      <c r="AX193" s="115"/>
      <c r="AY193" s="107" t="s">
        <v>386</v>
      </c>
      <c r="AZ193" s="117">
        <f>IF(C193=0, 0,AT193/C193)</f>
        <v>0</v>
      </c>
      <c r="BA193" s="117">
        <f>IF(D193=0, 0,AU193/D193)</f>
        <v>1.8763460737910398</v>
      </c>
      <c r="BB193" s="117">
        <f>IF(E193=0, 0,AV193/E193)</f>
        <v>0.44161903164314448</v>
      </c>
      <c r="BC193" s="118">
        <f>IF(F193=0, 0,AW193/F193)</f>
        <v>0.66966043072432502</v>
      </c>
      <c r="BE193" s="107" t="s">
        <v>386</v>
      </c>
      <c r="BF193" s="307">
        <f>IFERROR(IF(AN193&gt;0,LN(AH193/AN193),0),0)</f>
        <v>0</v>
      </c>
      <c r="BG193" s="307">
        <f t="shared" ref="BG193:BG205" si="384">IFERROR(IF(AO193&gt;0,LN(AI193/AO193),0),0)</f>
        <v>-0.14262392647649227</v>
      </c>
      <c r="BH193" s="307">
        <f t="shared" ref="BH193:BH205" si="385">IFERROR(IF(AP193&gt;0,LN(AJ193/AP193),0),0)</f>
        <v>-4.7415526328779267E-2</v>
      </c>
      <c r="BI193" s="118"/>
      <c r="BK193" s="107" t="s">
        <v>386</v>
      </c>
      <c r="BL193" s="307">
        <v>0</v>
      </c>
      <c r="BM193" s="307">
        <v>0</v>
      </c>
      <c r="BN193" s="307">
        <v>0</v>
      </c>
      <c r="BO193" s="118"/>
      <c r="BQ193" s="107" t="s">
        <v>386</v>
      </c>
      <c r="BR193" s="308">
        <v>0</v>
      </c>
      <c r="BS193" s="309">
        <v>0</v>
      </c>
      <c r="BT193" s="309">
        <v>0</v>
      </c>
      <c r="BU193" s="118"/>
      <c r="BX193" s="5" t="s">
        <v>386</v>
      </c>
      <c r="BY193" s="5" t="s">
        <v>387</v>
      </c>
      <c r="BZ193" s="5" t="s">
        <v>388</v>
      </c>
      <c r="CA193" s="5" t="s">
        <v>389</v>
      </c>
      <c r="CB193" s="5" t="s">
        <v>390</v>
      </c>
      <c r="CC193" s="5" t="s">
        <v>391</v>
      </c>
      <c r="CD193" s="5" t="s">
        <v>392</v>
      </c>
      <c r="CE193" s="5" t="s">
        <v>393</v>
      </c>
      <c r="CF193" s="5"/>
      <c r="CG193" s="5" t="s">
        <v>569</v>
      </c>
      <c r="CH193" s="5" t="s">
        <v>396</v>
      </c>
      <c r="CI193" s="5" t="s">
        <v>397</v>
      </c>
      <c r="CJ193" s="5" t="s">
        <v>398</v>
      </c>
      <c r="CK193" s="287" t="s">
        <v>399</v>
      </c>
    </row>
    <row r="194" spans="1:89" x14ac:dyDescent="0.25">
      <c r="A194">
        <v>2</v>
      </c>
      <c r="B194" s="107" t="s">
        <v>387</v>
      </c>
      <c r="C194" s="113">
        <f t="shared" si="379"/>
        <v>0</v>
      </c>
      <c r="D194" s="113">
        <f t="shared" si="379"/>
        <v>701.86968000000002</v>
      </c>
      <c r="E194" s="113">
        <f t="shared" si="379"/>
        <v>11850.152819999999</v>
      </c>
      <c r="F194" s="116">
        <f t="shared" ref="F194:F205" si="386">SUM(C194:E194)</f>
        <v>12552.022499999999</v>
      </c>
      <c r="G194" s="300"/>
      <c r="H194" s="300"/>
      <c r="I194" s="300"/>
      <c r="J194" s="115"/>
      <c r="K194">
        <v>2</v>
      </c>
      <c r="L194" s="107" t="s">
        <v>387</v>
      </c>
      <c r="M194" s="113">
        <f t="shared" si="380"/>
        <v>0</v>
      </c>
      <c r="N194" s="113">
        <f t="shared" si="380"/>
        <v>701.86968000000002</v>
      </c>
      <c r="O194" s="113">
        <f t="shared" si="380"/>
        <v>11850.152819999999</v>
      </c>
      <c r="P194" s="116">
        <f t="shared" ref="P194:P205" si="387">SUM(M194:O194)</f>
        <v>12552.022499999999</v>
      </c>
      <c r="Q194" s="115"/>
      <c r="R194">
        <v>2</v>
      </c>
      <c r="S194" s="107" t="s">
        <v>387</v>
      </c>
      <c r="T194" s="113">
        <f t="shared" si="381"/>
        <v>0</v>
      </c>
      <c r="U194" s="113">
        <f t="shared" si="381"/>
        <v>2185.2540476759159</v>
      </c>
      <c r="V194" s="113">
        <f t="shared" si="381"/>
        <v>18233.938059069293</v>
      </c>
      <c r="W194" s="116">
        <f t="shared" ref="W194:W205" si="388">SUM(T194:V194)</f>
        <v>20419.192106745209</v>
      </c>
      <c r="X194" s="115"/>
      <c r="Y194" s="115"/>
      <c r="Z194" s="115"/>
      <c r="AA194" s="107" t="s">
        <v>387</v>
      </c>
      <c r="AB194" s="113">
        <f t="shared" si="382"/>
        <v>0</v>
      </c>
      <c r="AC194" s="113">
        <f t="shared" si="382"/>
        <v>22860</v>
      </c>
      <c r="AD194" s="113">
        <f t="shared" si="382"/>
        <v>58175</v>
      </c>
      <c r="AE194" s="116">
        <f t="shared" ref="AE194:AE205" si="389">SUM(AB194:AD194)</f>
        <v>81035</v>
      </c>
      <c r="AG194" s="107" t="s">
        <v>387</v>
      </c>
      <c r="AH194" s="117">
        <f t="shared" ref="AH194:AH206" si="390">C194/C$87</f>
        <v>0</v>
      </c>
      <c r="AI194" s="117">
        <f t="shared" ref="AI194:AI206" si="391">D194/D$87</f>
        <v>1.6345025884083586E-3</v>
      </c>
      <c r="AJ194" s="117">
        <f t="shared" ref="AJ194:AJ206" si="392">E194/E$87</f>
        <v>9.7100743087574874E-3</v>
      </c>
      <c r="AK194" s="118">
        <f t="shared" ref="AK194:AK206" si="393">F194/F$87</f>
        <v>6.9560585225750243E-3</v>
      </c>
      <c r="AL194" s="115"/>
      <c r="AM194" s="107" t="s">
        <v>387</v>
      </c>
      <c r="AN194" s="117">
        <f t="shared" ref="AN194:AN206" si="394">AB194/AB$87</f>
        <v>0</v>
      </c>
      <c r="AO194" s="117">
        <f t="shared" si="383"/>
        <v>2.1345434682129502E-2</v>
      </c>
      <c r="AP194" s="117">
        <f t="shared" si="383"/>
        <v>3.4671831930268938E-2</v>
      </c>
      <c r="AQ194" s="118">
        <f t="shared" si="383"/>
        <v>2.7601275922497757E-2</v>
      </c>
      <c r="AS194" s="107" t="s">
        <v>387</v>
      </c>
      <c r="AT194" s="113">
        <f t="shared" ref="AT194:AT206" si="395">AB194-C194</f>
        <v>0</v>
      </c>
      <c r="AU194" s="113">
        <f t="shared" ref="AU194:AU206" si="396">AC194-D194</f>
        <v>22158.13032</v>
      </c>
      <c r="AV194" s="113">
        <f t="shared" ref="AV194:AV206" si="397">AD194-E194</f>
        <v>46324.847179999997</v>
      </c>
      <c r="AW194" s="116">
        <f t="shared" ref="AW194:AW206" si="398">AE194-F194</f>
        <v>68482.977500000008</v>
      </c>
      <c r="AX194" s="115"/>
      <c r="AY194" s="107" t="s">
        <v>387</v>
      </c>
      <c r="AZ194" s="117">
        <f t="shared" ref="AZ194:AZ206" si="399">IF(C194=0, 0,AT194/C194)</f>
        <v>0</v>
      </c>
      <c r="BA194" s="117">
        <f t="shared" ref="BA194:BA206" si="400">IF(D194=0, 0,AU194/D194)</f>
        <v>31.570148919953343</v>
      </c>
      <c r="BB194" s="117">
        <f t="shared" ref="BB194:BB206" si="401">IF(E194=0, 0,AV194/E194)</f>
        <v>3.9092193901344134</v>
      </c>
      <c r="BC194" s="118">
        <f t="shared" ref="BC194:BC206" si="402">IF(F194=0, 0,AW194/F194)</f>
        <v>5.4559317034366384</v>
      </c>
      <c r="BE194" s="107" t="s">
        <v>387</v>
      </c>
      <c r="BF194" s="307">
        <f t="shared" ref="BF194:BF205" si="403">IFERROR(IF(AN194&gt;0,LN(AH194/AN194),0),0)</f>
        <v>0</v>
      </c>
      <c r="BG194" s="307">
        <f t="shared" si="384"/>
        <v>-2.5694993538009698</v>
      </c>
      <c r="BH194" s="307">
        <f t="shared" si="385"/>
        <v>-1.272763662281585</v>
      </c>
      <c r="BI194" s="118"/>
      <c r="BK194" s="107" t="s">
        <v>387</v>
      </c>
      <c r="BL194" s="307">
        <v>0</v>
      </c>
      <c r="BM194" s="307">
        <v>0.26046116383600382</v>
      </c>
      <c r="BN194" s="307">
        <v>3.6064856321346178E-2</v>
      </c>
      <c r="BO194" s="118"/>
      <c r="BQ194" s="107" t="s">
        <v>387</v>
      </c>
      <c r="BR194" s="308">
        <v>0</v>
      </c>
      <c r="BS194" s="307">
        <f>(BG194-BG$193)*$BR$1+BM194</f>
        <v>-0.95297654982623492</v>
      </c>
      <c r="BT194" s="307">
        <f>(BH194-BH$193)*$BR$1+BN194</f>
        <v>-0.57660921165505674</v>
      </c>
      <c r="BU194" s="118"/>
      <c r="BW194" t="s">
        <v>131</v>
      </c>
      <c r="BX194">
        <f>IF(ISNUMBER(INDEX($BR$193:$BR$206,BX192,1)),INDEX($BR$193:$BR$206,BX192,1),0)</f>
        <v>0</v>
      </c>
      <c r="BY194">
        <f t="shared" ref="BY194:CK194" si="404">IF(ISNUMBER(INDEX($BR$193:$BR$206,BY192,1)),INDEX($BR$193:$BR$206,BY192,1),0)</f>
        <v>0</v>
      </c>
      <c r="BZ194">
        <f t="shared" si="404"/>
        <v>0</v>
      </c>
      <c r="CA194">
        <f t="shared" si="404"/>
        <v>1.0397665260428208</v>
      </c>
      <c r="CB194">
        <f t="shared" si="404"/>
        <v>0.65151819761428564</v>
      </c>
      <c r="CC194">
        <f t="shared" si="404"/>
        <v>1.0397665260428208</v>
      </c>
      <c r="CD194">
        <f t="shared" si="404"/>
        <v>0.55138133383772459</v>
      </c>
      <c r="CE194">
        <f t="shared" si="404"/>
        <v>0.40475687242391922</v>
      </c>
      <c r="CG194">
        <f t="shared" si="404"/>
        <v>1.2238338284234458</v>
      </c>
      <c r="CH194">
        <f t="shared" si="404"/>
        <v>0.93265393889949799</v>
      </c>
      <c r="CI194">
        <f t="shared" si="404"/>
        <v>1.0397665260428208</v>
      </c>
      <c r="CJ194">
        <f t="shared" si="404"/>
        <v>0.52935501024453613</v>
      </c>
      <c r="CK194">
        <f t="shared" si="404"/>
        <v>1.0397665260428208</v>
      </c>
    </row>
    <row r="195" spans="1:89" x14ac:dyDescent="0.25">
      <c r="A195">
        <v>3</v>
      </c>
      <c r="B195" s="107" t="s">
        <v>388</v>
      </c>
      <c r="C195" s="113">
        <f t="shared" si="379"/>
        <v>14308.5602</v>
      </c>
      <c r="D195" s="113">
        <f t="shared" si="379"/>
        <v>117935.42185</v>
      </c>
      <c r="E195" s="113">
        <f t="shared" si="379"/>
        <v>307043.50924000004</v>
      </c>
      <c r="F195" s="116">
        <f t="shared" si="386"/>
        <v>439287.49129000003</v>
      </c>
      <c r="G195" s="300"/>
      <c r="H195" s="300"/>
      <c r="I195" s="300"/>
      <c r="J195" s="115"/>
      <c r="K195">
        <v>3</v>
      </c>
      <c r="L195" s="107" t="s">
        <v>388</v>
      </c>
      <c r="M195" s="113">
        <f t="shared" si="380"/>
        <v>14308.5602</v>
      </c>
      <c r="N195" s="113">
        <f t="shared" si="380"/>
        <v>117935.42185</v>
      </c>
      <c r="O195" s="113">
        <f t="shared" si="380"/>
        <v>307043.50924000004</v>
      </c>
      <c r="P195" s="116">
        <f t="shared" si="387"/>
        <v>439287.49129000003</v>
      </c>
      <c r="Q195" s="115"/>
      <c r="R195">
        <v>3</v>
      </c>
      <c r="S195" s="107" t="s">
        <v>388</v>
      </c>
      <c r="T195" s="113">
        <f t="shared" si="381"/>
        <v>29836.667748007694</v>
      </c>
      <c r="U195" s="113">
        <f t="shared" si="381"/>
        <v>287292.29015053203</v>
      </c>
      <c r="V195" s="113">
        <f t="shared" si="381"/>
        <v>395607.01768181415</v>
      </c>
      <c r="W195" s="116">
        <f t="shared" si="388"/>
        <v>712735.97558035387</v>
      </c>
      <c r="X195" s="115"/>
      <c r="Y195" s="115"/>
      <c r="Z195" s="115"/>
      <c r="AA195" s="107" t="s">
        <v>388</v>
      </c>
      <c r="AB195" s="113">
        <f t="shared" si="382"/>
        <v>33395</v>
      </c>
      <c r="AC195" s="113">
        <f t="shared" si="382"/>
        <v>290930</v>
      </c>
      <c r="AD195" s="113">
        <f t="shared" si="382"/>
        <v>399605</v>
      </c>
      <c r="AE195" s="116">
        <f t="shared" si="389"/>
        <v>723930</v>
      </c>
      <c r="AG195" s="107" t="s">
        <v>388</v>
      </c>
      <c r="AH195" s="117">
        <f t="shared" si="390"/>
        <v>9.2512096006847108E-2</v>
      </c>
      <c r="AI195" s="117">
        <f t="shared" si="391"/>
        <v>0.27464607429524052</v>
      </c>
      <c r="AJ195" s="117">
        <f t="shared" si="392"/>
        <v>0.25159298247278356</v>
      </c>
      <c r="AK195" s="118">
        <f t="shared" si="393"/>
        <v>0.24344359625298687</v>
      </c>
      <c r="AL195" s="115"/>
      <c r="AM195" s="107" t="s">
        <v>388</v>
      </c>
      <c r="AN195" s="117">
        <f t="shared" si="394"/>
        <v>0.17850175054119785</v>
      </c>
      <c r="AO195" s="117">
        <f t="shared" si="383"/>
        <v>0.27165473806088958</v>
      </c>
      <c r="AP195" s="117">
        <f t="shared" si="383"/>
        <v>0.23816136482157491</v>
      </c>
      <c r="AQ195" s="118">
        <f t="shared" si="383"/>
        <v>0.24657730213579071</v>
      </c>
      <c r="AS195" s="107" t="s">
        <v>388</v>
      </c>
      <c r="AT195" s="113">
        <f t="shared" si="395"/>
        <v>19086.4398</v>
      </c>
      <c r="AU195" s="113">
        <f t="shared" si="396"/>
        <v>172994.57815000002</v>
      </c>
      <c r="AV195" s="113">
        <f t="shared" si="397"/>
        <v>92561.490759999957</v>
      </c>
      <c r="AW195" s="116">
        <f t="shared" si="398"/>
        <v>284642.50870999997</v>
      </c>
      <c r="AX195" s="115"/>
      <c r="AY195" s="107" t="s">
        <v>388</v>
      </c>
      <c r="AZ195" s="117">
        <f t="shared" si="399"/>
        <v>1.3339175663530423</v>
      </c>
      <c r="BA195" s="117">
        <f t="shared" si="400"/>
        <v>1.4668585183001999</v>
      </c>
      <c r="BB195" s="117">
        <f t="shared" si="401"/>
        <v>0.30146050307042777</v>
      </c>
      <c r="BC195" s="118">
        <f t="shared" si="402"/>
        <v>0.64796406534164286</v>
      </c>
      <c r="BE195" s="107" t="s">
        <v>388</v>
      </c>
      <c r="BF195" s="307">
        <f t="shared" si="403"/>
        <v>-0.65725900451446817</v>
      </c>
      <c r="BG195" s="307">
        <f t="shared" si="384"/>
        <v>1.0951351574333039E-2</v>
      </c>
      <c r="BH195" s="307">
        <f t="shared" si="385"/>
        <v>5.4864185451731315E-2</v>
      </c>
      <c r="BI195" s="118"/>
      <c r="BK195" s="107" t="s">
        <v>388</v>
      </c>
      <c r="BL195" s="307">
        <v>0</v>
      </c>
      <c r="BM195" s="307">
        <v>0.26714747249221088</v>
      </c>
      <c r="BN195" s="307">
        <v>4.1814542800038823E-2</v>
      </c>
      <c r="BO195" s="118"/>
      <c r="BQ195" s="107" t="s">
        <v>388</v>
      </c>
      <c r="BR195" s="309">
        <v>0</v>
      </c>
      <c r="BS195" s="307">
        <f t="shared" ref="BS195:BS205" si="405">(BG195-BG$193)*$BR$1+BM195</f>
        <v>0.34393511151762357</v>
      </c>
      <c r="BT195" s="307">
        <f t="shared" ref="BT195:BT205" si="406">(BH195-BH$193)*$BR$1+BN195</f>
        <v>9.2954398690294121E-2</v>
      </c>
      <c r="BU195" s="118"/>
      <c r="BW195" t="s">
        <v>132</v>
      </c>
      <c r="BX195">
        <f>IF(ISNUMBER(INDEX($BS$193:$BS$206,BX192,1)),INDEX($BS$193:$BS$206,BX192,1),0)</f>
        <v>0</v>
      </c>
      <c r="BY195">
        <f t="shared" ref="BY195:CK195" si="407">IF(ISNUMBER(INDEX($BS$193:$BS$206,BY192,1)),INDEX($BS$193:$BS$206,BY192,1),0)</f>
        <v>-0.95297654982623492</v>
      </c>
      <c r="BZ195">
        <f t="shared" si="407"/>
        <v>0.34393511151762357</v>
      </c>
      <c r="CA195">
        <f t="shared" si="407"/>
        <v>0.6395366924034217</v>
      </c>
      <c r="CB195">
        <f t="shared" si="407"/>
        <v>0.37885364318124076</v>
      </c>
      <c r="CC195">
        <f t="shared" si="407"/>
        <v>0.98142498599582906</v>
      </c>
      <c r="CD195">
        <f t="shared" si="407"/>
        <v>0.25188454886640499</v>
      </c>
      <c r="CE195">
        <f t="shared" si="407"/>
        <v>0.25760460900830112</v>
      </c>
      <c r="CG195">
        <f t="shared" si="407"/>
        <v>1.1228077222850781</v>
      </c>
      <c r="CH195">
        <f t="shared" si="407"/>
        <v>1.4588382845049384</v>
      </c>
      <c r="CI195">
        <f t="shared" si="407"/>
        <v>1.9399362924167824</v>
      </c>
      <c r="CJ195">
        <f t="shared" si="407"/>
        <v>0.43442331522754507</v>
      </c>
      <c r="CK195">
        <f t="shared" si="407"/>
        <v>0.29294537698508882</v>
      </c>
    </row>
    <row r="196" spans="1:89" x14ac:dyDescent="0.25">
      <c r="A196">
        <v>4</v>
      </c>
      <c r="B196" s="107" t="s">
        <v>389</v>
      </c>
      <c r="C196" s="113">
        <f t="shared" si="379"/>
        <v>0</v>
      </c>
      <c r="D196" s="113">
        <f t="shared" si="379"/>
        <v>3366.1079399999999</v>
      </c>
      <c r="E196" s="113">
        <f t="shared" si="379"/>
        <v>5630.1949500000001</v>
      </c>
      <c r="F196" s="116">
        <f t="shared" si="386"/>
        <v>8996.302889999999</v>
      </c>
      <c r="G196" s="300"/>
      <c r="H196" s="300"/>
      <c r="I196" s="300"/>
      <c r="J196" s="115"/>
      <c r="K196">
        <v>4</v>
      </c>
      <c r="L196" s="107" t="s">
        <v>389</v>
      </c>
      <c r="M196" s="113">
        <f t="shared" si="380"/>
        <v>0</v>
      </c>
      <c r="N196" s="113">
        <f t="shared" si="380"/>
        <v>3366.1079399999999</v>
      </c>
      <c r="O196" s="113">
        <f t="shared" si="380"/>
        <v>5630.1949500000001</v>
      </c>
      <c r="P196" s="116">
        <f t="shared" si="387"/>
        <v>8996.302889999999</v>
      </c>
      <c r="Q196" s="115"/>
      <c r="R196">
        <v>4</v>
      </c>
      <c r="S196" s="107" t="s">
        <v>389</v>
      </c>
      <c r="T196" s="113">
        <f t="shared" si="381"/>
        <v>0</v>
      </c>
      <c r="U196" s="113">
        <f t="shared" si="381"/>
        <v>8188.6784440686215</v>
      </c>
      <c r="V196" s="113">
        <f t="shared" si="381"/>
        <v>6884.2309541986688</v>
      </c>
      <c r="W196" s="116">
        <f t="shared" si="388"/>
        <v>15072.909398267289</v>
      </c>
      <c r="X196" s="115"/>
      <c r="Y196" s="115"/>
      <c r="Z196" s="115"/>
      <c r="AA196" s="107" t="s">
        <v>389</v>
      </c>
      <c r="AB196" s="113">
        <f t="shared" si="382"/>
        <v>390</v>
      </c>
      <c r="AC196" s="113">
        <f t="shared" si="382"/>
        <v>5350</v>
      </c>
      <c r="AD196" s="113">
        <f t="shared" si="382"/>
        <v>8015</v>
      </c>
      <c r="AE196" s="116">
        <f t="shared" si="389"/>
        <v>13755</v>
      </c>
      <c r="AG196" s="107" t="s">
        <v>389</v>
      </c>
      <c r="AH196" s="117">
        <f t="shared" si="390"/>
        <v>0</v>
      </c>
      <c r="AI196" s="117">
        <f t="shared" si="391"/>
        <v>7.8389369103277519E-3</v>
      </c>
      <c r="AJ196" s="117">
        <f t="shared" si="392"/>
        <v>4.6134098156964658E-3</v>
      </c>
      <c r="AK196" s="118">
        <f t="shared" si="393"/>
        <v>4.9855558647740493E-3</v>
      </c>
      <c r="AL196" s="115"/>
      <c r="AM196" s="107" t="s">
        <v>389</v>
      </c>
      <c r="AN196" s="117">
        <f t="shared" si="394"/>
        <v>2.0846139455327792E-3</v>
      </c>
      <c r="AO196" s="117">
        <f t="shared" si="383"/>
        <v>4.9955413626156095E-3</v>
      </c>
      <c r="AP196" s="117">
        <f t="shared" si="383"/>
        <v>4.7768755121805851E-3</v>
      </c>
      <c r="AQ196" s="118">
        <f t="shared" si="383"/>
        <v>4.6850811416543053E-3</v>
      </c>
      <c r="AS196" s="107" t="s">
        <v>389</v>
      </c>
      <c r="AT196" s="113">
        <f t="shared" si="395"/>
        <v>390</v>
      </c>
      <c r="AU196" s="113">
        <f t="shared" si="396"/>
        <v>1983.8920600000001</v>
      </c>
      <c r="AV196" s="113">
        <f t="shared" si="397"/>
        <v>2384.8050499999999</v>
      </c>
      <c r="AW196" s="116">
        <f t="shared" si="398"/>
        <v>4758.697110000001</v>
      </c>
      <c r="AX196" s="115"/>
      <c r="AY196" s="107" t="s">
        <v>389</v>
      </c>
      <c r="AZ196" s="117">
        <f t="shared" si="399"/>
        <v>0</v>
      </c>
      <c r="BA196" s="117">
        <f t="shared" si="400"/>
        <v>0.58937268066335391</v>
      </c>
      <c r="BB196" s="117">
        <f t="shared" si="401"/>
        <v>0.42357415172630919</v>
      </c>
      <c r="BC196" s="118">
        <f t="shared" si="402"/>
        <v>0.52896141539316288</v>
      </c>
      <c r="BE196" s="107" t="s">
        <v>389</v>
      </c>
      <c r="BF196" s="307">
        <f t="shared" si="403"/>
        <v>0</v>
      </c>
      <c r="BG196" s="307">
        <f t="shared" si="384"/>
        <v>0.45055743986381558</v>
      </c>
      <c r="BH196" s="307">
        <f t="shared" si="385"/>
        <v>-3.4819434304940118E-2</v>
      </c>
      <c r="BI196" s="118"/>
      <c r="BK196" s="107" t="s">
        <v>389</v>
      </c>
      <c r="BL196" s="307">
        <v>0.71113702378558674</v>
      </c>
      <c r="BM196" s="307">
        <v>0.34294600923326779</v>
      </c>
      <c r="BN196" s="307">
        <v>-3.6184813376456161E-2</v>
      </c>
      <c r="BO196" s="118"/>
      <c r="BQ196" s="107" t="s">
        <v>389</v>
      </c>
      <c r="BR196" s="307">
        <f>(BF196-BF$195)*$BR$1+BL196</f>
        <v>1.0397665260428208</v>
      </c>
      <c r="BS196" s="307">
        <f t="shared" si="405"/>
        <v>0.6395366924034217</v>
      </c>
      <c r="BT196" s="307">
        <f t="shared" si="406"/>
        <v>-2.9886767364536587E-2</v>
      </c>
      <c r="BU196" s="118"/>
      <c r="BW196" t="s">
        <v>133</v>
      </c>
      <c r="BX196">
        <f>IF(ISNUMBER(INDEX($BT$193:$BT$206,BX192,1)),INDEX($BT$193:$BT$206,BX192,1),0)</f>
        <v>0</v>
      </c>
      <c r="BY196">
        <f t="shared" ref="BY196:CK196" si="408">IF(ISNUMBER(INDEX($BT$193:$BT$206,BY192,1)),INDEX($BT$193:$BT$206,BY192,1),0)</f>
        <v>-0.57660921165505674</v>
      </c>
      <c r="BZ196">
        <f t="shared" si="408"/>
        <v>9.2954398690294121E-2</v>
      </c>
      <c r="CA196">
        <f t="shared" si="408"/>
        <v>-2.9886767364536587E-2</v>
      </c>
      <c r="CB196">
        <f t="shared" si="408"/>
        <v>0.10000020785969348</v>
      </c>
      <c r="CC196">
        <f t="shared" si="408"/>
        <v>0.59844121845501275</v>
      </c>
      <c r="CD196">
        <f t="shared" si="408"/>
        <v>2.9190467908244755E-2</v>
      </c>
      <c r="CE196">
        <f t="shared" si="408"/>
        <v>8.4947563678011082E-3</v>
      </c>
      <c r="CG196">
        <f t="shared" si="408"/>
        <v>0.53758475501610481</v>
      </c>
      <c r="CH196">
        <f t="shared" si="408"/>
        <v>1.3748681401498057</v>
      </c>
      <c r="CI196">
        <f t="shared" si="408"/>
        <v>0.9917213594204709</v>
      </c>
      <c r="CJ196">
        <f t="shared" si="408"/>
        <v>0.13007231287198501</v>
      </c>
      <c r="CK196">
        <f t="shared" si="408"/>
        <v>7.1934943964225923E-2</v>
      </c>
    </row>
    <row r="197" spans="1:89" x14ac:dyDescent="0.25">
      <c r="A197">
        <v>5</v>
      </c>
      <c r="B197" s="107" t="s">
        <v>390</v>
      </c>
      <c r="C197" s="113">
        <f t="shared" si="379"/>
        <v>4817.5079700000006</v>
      </c>
      <c r="D197" s="113">
        <f t="shared" si="379"/>
        <v>89297.377680000005</v>
      </c>
      <c r="E197" s="113">
        <f t="shared" si="379"/>
        <v>288121.14097999997</v>
      </c>
      <c r="F197" s="116">
        <f t="shared" si="386"/>
        <v>382236.02662999998</v>
      </c>
      <c r="G197" s="300"/>
      <c r="H197" s="300"/>
      <c r="I197" s="300"/>
      <c r="J197" s="115"/>
      <c r="K197">
        <v>5</v>
      </c>
      <c r="L197" s="107" t="s">
        <v>390</v>
      </c>
      <c r="M197" s="113">
        <f t="shared" si="380"/>
        <v>4817.5079700000006</v>
      </c>
      <c r="N197" s="113">
        <f t="shared" si="380"/>
        <v>89297.377680000005</v>
      </c>
      <c r="O197" s="113">
        <f t="shared" si="380"/>
        <v>288121.14097999997</v>
      </c>
      <c r="P197" s="116">
        <f t="shared" si="387"/>
        <v>382236.02662999998</v>
      </c>
      <c r="Q197" s="115"/>
      <c r="R197">
        <v>5</v>
      </c>
      <c r="S197" s="107" t="s">
        <v>390</v>
      </c>
      <c r="T197" s="113">
        <f t="shared" si="381"/>
        <v>7908.9289651330619</v>
      </c>
      <c r="U197" s="113">
        <f t="shared" si="381"/>
        <v>204533.89993094429</v>
      </c>
      <c r="V197" s="113">
        <f t="shared" si="381"/>
        <v>363567.29023757426</v>
      </c>
      <c r="W197" s="116">
        <f t="shared" si="388"/>
        <v>576010.11913365161</v>
      </c>
      <c r="X197" s="115"/>
      <c r="Y197" s="115"/>
      <c r="Z197" s="115"/>
      <c r="AA197" s="107" t="s">
        <v>390</v>
      </c>
      <c r="AB197" s="113">
        <f t="shared" si="382"/>
        <v>8865</v>
      </c>
      <c r="AC197" s="113">
        <f t="shared" si="382"/>
        <v>207890</v>
      </c>
      <c r="AD197" s="113">
        <f t="shared" si="382"/>
        <v>372720</v>
      </c>
      <c r="AE197" s="116">
        <f t="shared" si="389"/>
        <v>589475</v>
      </c>
      <c r="AG197" s="107" t="s">
        <v>390</v>
      </c>
      <c r="AH197" s="117">
        <f t="shared" si="390"/>
        <v>3.1147631460109536E-2</v>
      </c>
      <c r="AI197" s="117">
        <f t="shared" si="391"/>
        <v>0.20795426717398419</v>
      </c>
      <c r="AJ197" s="117">
        <f t="shared" si="392"/>
        <v>0.2360878995685215</v>
      </c>
      <c r="AK197" s="118">
        <f t="shared" si="393"/>
        <v>0.21182691240991844</v>
      </c>
      <c r="AL197" s="115"/>
      <c r="AM197" s="107" t="s">
        <v>390</v>
      </c>
      <c r="AN197" s="117">
        <f t="shared" si="394"/>
        <v>4.7384878531148943E-2</v>
      </c>
      <c r="AO197" s="117">
        <f t="shared" si="383"/>
        <v>0.19411646614470263</v>
      </c>
      <c r="AP197" s="117">
        <f t="shared" si="383"/>
        <v>0.22213812113536469</v>
      </c>
      <c r="AQ197" s="118">
        <f t="shared" si="383"/>
        <v>0.20078067655228438</v>
      </c>
      <c r="AS197" s="107" t="s">
        <v>390</v>
      </c>
      <c r="AT197" s="113">
        <f t="shared" si="395"/>
        <v>4047.4920299999994</v>
      </c>
      <c r="AU197" s="113">
        <f t="shared" si="396"/>
        <v>118592.62231999999</v>
      </c>
      <c r="AV197" s="113">
        <f t="shared" si="397"/>
        <v>84598.859020000033</v>
      </c>
      <c r="AW197" s="116">
        <f t="shared" si="398"/>
        <v>207238.97337000002</v>
      </c>
      <c r="AX197" s="115"/>
      <c r="AY197" s="107" t="s">
        <v>390</v>
      </c>
      <c r="AZ197" s="117">
        <f t="shared" si="399"/>
        <v>0.84016301689688722</v>
      </c>
      <c r="BA197" s="117">
        <f t="shared" si="400"/>
        <v>1.3280638849774562</v>
      </c>
      <c r="BB197" s="117">
        <f t="shared" si="401"/>
        <v>0.29362253228711355</v>
      </c>
      <c r="BC197" s="118">
        <f t="shared" si="402"/>
        <v>0.54217540716172452</v>
      </c>
      <c r="BE197" s="107" t="s">
        <v>390</v>
      </c>
      <c r="BF197" s="307">
        <f t="shared" si="403"/>
        <v>-0.41956495372472774</v>
      </c>
      <c r="BG197" s="307">
        <f t="shared" si="384"/>
        <v>6.885986628779768E-2</v>
      </c>
      <c r="BH197" s="307">
        <f t="shared" si="385"/>
        <v>6.0904835797108668E-2</v>
      </c>
      <c r="BI197" s="118"/>
      <c r="BK197" s="107" t="s">
        <v>390</v>
      </c>
      <c r="BL197" s="307">
        <v>0.5326711722194154</v>
      </c>
      <c r="BM197" s="307">
        <v>0.27311174679909578</v>
      </c>
      <c r="BN197" s="307">
        <v>4.5840026796749506E-2</v>
      </c>
      <c r="BO197" s="118"/>
      <c r="BQ197" s="107" t="s">
        <v>390</v>
      </c>
      <c r="BR197" s="307">
        <f t="shared" ref="BR197:BR205" si="409">(BF197-BF$195)*$BR$1+BL197</f>
        <v>0.65151819761428564</v>
      </c>
      <c r="BS197" s="307">
        <f t="shared" si="405"/>
        <v>0.37885364318124076</v>
      </c>
      <c r="BT197" s="307">
        <f t="shared" si="406"/>
        <v>0.10000020785969348</v>
      </c>
      <c r="BU197" s="118"/>
    </row>
    <row r="198" spans="1:89" x14ac:dyDescent="0.25">
      <c r="A198">
        <v>6</v>
      </c>
      <c r="B198" s="107" t="s">
        <v>391</v>
      </c>
      <c r="C198" s="113">
        <f t="shared" si="379"/>
        <v>0</v>
      </c>
      <c r="D198" s="113">
        <f t="shared" si="379"/>
        <v>3244.2997800000003</v>
      </c>
      <c r="E198" s="113">
        <f t="shared" si="379"/>
        <v>7271.8721800000003</v>
      </c>
      <c r="F198" s="116">
        <f t="shared" si="386"/>
        <v>10516.17196</v>
      </c>
      <c r="G198" s="300"/>
      <c r="H198" s="300"/>
      <c r="I198" s="300"/>
      <c r="J198" s="115"/>
      <c r="K198">
        <v>6</v>
      </c>
      <c r="L198" s="107" t="s">
        <v>391</v>
      </c>
      <c r="M198" s="113">
        <f t="shared" si="380"/>
        <v>0</v>
      </c>
      <c r="N198" s="113">
        <f t="shared" si="380"/>
        <v>3244.2997800000003</v>
      </c>
      <c r="O198" s="113">
        <f t="shared" si="380"/>
        <v>7271.8721800000003</v>
      </c>
      <c r="P198" s="116">
        <f t="shared" si="387"/>
        <v>10516.17196</v>
      </c>
      <c r="Q198" s="115"/>
      <c r="R198">
        <v>6</v>
      </c>
      <c r="S198" s="107" t="s">
        <v>391</v>
      </c>
      <c r="T198" s="113">
        <f t="shared" si="381"/>
        <v>0</v>
      </c>
      <c r="U198" s="113">
        <f t="shared" si="381"/>
        <v>4993.4146602910641</v>
      </c>
      <c r="V198" s="113">
        <f t="shared" si="381"/>
        <v>8482.6028747708951</v>
      </c>
      <c r="W198" s="116">
        <f t="shared" si="388"/>
        <v>13476.017535061959</v>
      </c>
      <c r="X198" s="115"/>
      <c r="Y198" s="115"/>
      <c r="Z198" s="115"/>
      <c r="AA198" s="107" t="s">
        <v>391</v>
      </c>
      <c r="AB198" s="113">
        <f t="shared" si="382"/>
        <v>50</v>
      </c>
      <c r="AC198" s="113">
        <f t="shared" si="382"/>
        <v>2185</v>
      </c>
      <c r="AD198" s="113">
        <f t="shared" si="382"/>
        <v>3735</v>
      </c>
      <c r="AE198" s="116">
        <f t="shared" si="389"/>
        <v>5970</v>
      </c>
      <c r="AG198" s="107" t="s">
        <v>391</v>
      </c>
      <c r="AH198" s="117">
        <f t="shared" si="390"/>
        <v>0</v>
      </c>
      <c r="AI198" s="117">
        <f t="shared" si="391"/>
        <v>7.5552720670063259E-3</v>
      </c>
      <c r="AJ198" s="117">
        <f t="shared" si="392"/>
        <v>5.9586083238027231E-3</v>
      </c>
      <c r="AK198" s="118">
        <f t="shared" si="393"/>
        <v>5.8278343260795224E-3</v>
      </c>
      <c r="AL198" s="115"/>
      <c r="AM198" s="107" t="s">
        <v>391</v>
      </c>
      <c r="AN198" s="117">
        <f t="shared" si="394"/>
        <v>2.6725819814522813E-4</v>
      </c>
      <c r="AO198" s="117">
        <f t="shared" si="383"/>
        <v>2.0402351172551601E-3</v>
      </c>
      <c r="AP198" s="117">
        <f t="shared" si="383"/>
        <v>2.2260299485956938E-3</v>
      </c>
      <c r="AQ198" s="118">
        <f t="shared" si="383"/>
        <v>2.0334376165522501E-3</v>
      </c>
      <c r="AS198" s="107" t="s">
        <v>391</v>
      </c>
      <c r="AT198" s="113">
        <f t="shared" si="395"/>
        <v>50</v>
      </c>
      <c r="AU198" s="113">
        <f t="shared" si="396"/>
        <v>-1059.2997800000003</v>
      </c>
      <c r="AV198" s="113">
        <f t="shared" si="397"/>
        <v>-3536.8721800000003</v>
      </c>
      <c r="AW198" s="116">
        <f t="shared" si="398"/>
        <v>-4546.1719599999997</v>
      </c>
      <c r="AX198" s="115"/>
      <c r="AY198" s="107" t="s">
        <v>391</v>
      </c>
      <c r="AZ198" s="117">
        <f t="shared" si="399"/>
        <v>0</v>
      </c>
      <c r="BA198" s="117">
        <f t="shared" si="400"/>
        <v>-0.32651106612595465</v>
      </c>
      <c r="BB198" s="117">
        <f t="shared" si="401"/>
        <v>-0.4863771106603802</v>
      </c>
      <c r="BC198" s="118">
        <f t="shared" si="402"/>
        <v>-0.43230293088512789</v>
      </c>
      <c r="BE198" s="107" t="s">
        <v>391</v>
      </c>
      <c r="BF198" s="307">
        <f t="shared" si="403"/>
        <v>0</v>
      </c>
      <c r="BG198" s="307">
        <f t="shared" si="384"/>
        <v>1.3091805518212987</v>
      </c>
      <c r="BH198" s="307">
        <f t="shared" si="385"/>
        <v>0.98461724433447295</v>
      </c>
      <c r="BI198" s="118"/>
      <c r="BK198" s="107" t="s">
        <v>391</v>
      </c>
      <c r="BL198" s="307">
        <v>0.71113702378558674</v>
      </c>
      <c r="BM198" s="307">
        <v>0.25552274684693349</v>
      </c>
      <c r="BN198" s="307">
        <v>8.242483312338672E-2</v>
      </c>
      <c r="BO198" s="118"/>
      <c r="BQ198" s="107" t="s">
        <v>391</v>
      </c>
      <c r="BR198" s="307">
        <f t="shared" si="409"/>
        <v>1.0397665260428208</v>
      </c>
      <c r="BS198" s="307">
        <f t="shared" si="405"/>
        <v>0.98142498599582906</v>
      </c>
      <c r="BT198" s="307">
        <f t="shared" si="406"/>
        <v>0.59844121845501275</v>
      </c>
      <c r="BU198" s="118"/>
    </row>
    <row r="199" spans="1:89" x14ac:dyDescent="0.25">
      <c r="A199">
        <v>7</v>
      </c>
      <c r="B199" s="107" t="s">
        <v>392</v>
      </c>
      <c r="C199" s="113">
        <f t="shared" si="379"/>
        <v>38101.286510000005</v>
      </c>
      <c r="D199" s="113">
        <f t="shared" si="379"/>
        <v>81982.023329999996</v>
      </c>
      <c r="E199" s="113">
        <f t="shared" si="379"/>
        <v>99901.866940000007</v>
      </c>
      <c r="F199" s="116">
        <f t="shared" si="386"/>
        <v>219985.17678000001</v>
      </c>
      <c r="G199" s="300"/>
      <c r="H199" s="300"/>
      <c r="I199" s="300"/>
      <c r="J199" s="115"/>
      <c r="K199">
        <v>7</v>
      </c>
      <c r="L199" s="107" t="s">
        <v>392</v>
      </c>
      <c r="M199" s="113">
        <f t="shared" si="380"/>
        <v>38101.286510000005</v>
      </c>
      <c r="N199" s="113">
        <f t="shared" si="380"/>
        <v>81982.023329999996</v>
      </c>
      <c r="O199" s="113">
        <f t="shared" si="380"/>
        <v>99901.866940000007</v>
      </c>
      <c r="P199" s="116">
        <f t="shared" si="387"/>
        <v>219985.17678000001</v>
      </c>
      <c r="Q199" s="115"/>
      <c r="R199">
        <v>7</v>
      </c>
      <c r="S199" s="107" t="s">
        <v>392</v>
      </c>
      <c r="T199" s="113">
        <f t="shared" si="381"/>
        <v>78823.966392730945</v>
      </c>
      <c r="U199" s="113">
        <f t="shared" si="381"/>
        <v>228543.71549935086</v>
      </c>
      <c r="V199" s="113">
        <f t="shared" si="381"/>
        <v>143575.77633182198</v>
      </c>
      <c r="W199" s="116">
        <f t="shared" si="388"/>
        <v>450943.45822390378</v>
      </c>
      <c r="X199" s="115"/>
      <c r="Y199" s="115"/>
      <c r="Z199" s="115"/>
      <c r="AA199" s="107" t="s">
        <v>392</v>
      </c>
      <c r="AB199" s="113">
        <f t="shared" si="382"/>
        <v>86380</v>
      </c>
      <c r="AC199" s="113">
        <f t="shared" si="382"/>
        <v>240305</v>
      </c>
      <c r="AD199" s="113">
        <f t="shared" si="382"/>
        <v>155150</v>
      </c>
      <c r="AE199" s="116">
        <f t="shared" si="389"/>
        <v>481835</v>
      </c>
      <c r="AG199" s="107" t="s">
        <v>392</v>
      </c>
      <c r="AH199" s="117">
        <f t="shared" si="390"/>
        <v>0.24634413430342972</v>
      </c>
      <c r="AI199" s="117">
        <f t="shared" si="391"/>
        <v>0.19091839005759506</v>
      </c>
      <c r="AJ199" s="117">
        <f t="shared" si="392"/>
        <v>8.1860087908216791E-2</v>
      </c>
      <c r="AK199" s="118">
        <f t="shared" si="393"/>
        <v>0.12191101185332424</v>
      </c>
      <c r="AL199" s="115"/>
      <c r="AM199" s="107" t="s">
        <v>392</v>
      </c>
      <c r="AN199" s="117">
        <f t="shared" si="394"/>
        <v>0.46171526311569605</v>
      </c>
      <c r="AO199" s="117">
        <f t="shared" si="383"/>
        <v>0.2243838443258587</v>
      </c>
      <c r="AP199" s="117">
        <f t="shared" si="383"/>
        <v>9.2468151679952315E-2</v>
      </c>
      <c r="AQ199" s="118">
        <f t="shared" si="383"/>
        <v>0.1641174897774629</v>
      </c>
      <c r="AS199" s="107" t="s">
        <v>392</v>
      </c>
      <c r="AT199" s="113">
        <f t="shared" si="395"/>
        <v>48278.713489999995</v>
      </c>
      <c r="AU199" s="113">
        <f t="shared" si="396"/>
        <v>158322.97667</v>
      </c>
      <c r="AV199" s="113">
        <f t="shared" si="397"/>
        <v>55248.133059999993</v>
      </c>
      <c r="AW199" s="116">
        <f t="shared" si="398"/>
        <v>261849.82321999999</v>
      </c>
      <c r="AX199" s="115"/>
      <c r="AY199" s="107" t="s">
        <v>392</v>
      </c>
      <c r="AZ199" s="117">
        <f t="shared" si="399"/>
        <v>1.2671150481317432</v>
      </c>
      <c r="BA199" s="117">
        <f t="shared" si="400"/>
        <v>1.9311913787819905</v>
      </c>
      <c r="BB199" s="117">
        <f t="shared" si="401"/>
        <v>0.55302403000317735</v>
      </c>
      <c r="BC199" s="118">
        <f t="shared" si="402"/>
        <v>1.1903066699892577</v>
      </c>
      <c r="BE199" s="107" t="s">
        <v>392</v>
      </c>
      <c r="BF199" s="307">
        <f t="shared" si="403"/>
        <v>-0.62821890919194101</v>
      </c>
      <c r="BG199" s="307">
        <f t="shared" si="384"/>
        <v>-0.16151211652161704</v>
      </c>
      <c r="BH199" s="307">
        <f t="shared" si="385"/>
        <v>-0.12185273412015937</v>
      </c>
      <c r="BI199" s="118"/>
      <c r="BK199" s="107" t="s">
        <v>392</v>
      </c>
      <c r="BL199" s="307">
        <v>0.53686128617646101</v>
      </c>
      <c r="BM199" s="307">
        <v>0.26132864388896737</v>
      </c>
      <c r="BN199" s="307">
        <v>6.6409071803934808E-2</v>
      </c>
      <c r="BO199" s="118"/>
      <c r="BQ199" s="107" t="s">
        <v>392</v>
      </c>
      <c r="BR199" s="307">
        <f t="shared" si="409"/>
        <v>0.55138133383772459</v>
      </c>
      <c r="BS199" s="307">
        <f t="shared" si="405"/>
        <v>0.25188454886640499</v>
      </c>
      <c r="BT199" s="307">
        <f t="shared" si="406"/>
        <v>2.9190467908244755E-2</v>
      </c>
      <c r="BU199" s="118"/>
    </row>
    <row r="200" spans="1:89" x14ac:dyDescent="0.25">
      <c r="A200">
        <v>8</v>
      </c>
      <c r="B200" s="107" t="s">
        <v>393</v>
      </c>
      <c r="C200" s="113">
        <f t="shared" si="379"/>
        <v>8482.99755</v>
      </c>
      <c r="D200" s="113">
        <f t="shared" si="379"/>
        <v>11726.717189999999</v>
      </c>
      <c r="E200" s="113">
        <f t="shared" si="379"/>
        <v>19811.916669999999</v>
      </c>
      <c r="F200" s="116">
        <f t="shared" si="386"/>
        <v>40021.631410000002</v>
      </c>
      <c r="G200" s="300"/>
      <c r="H200" s="300"/>
      <c r="I200" s="300"/>
      <c r="J200" s="115"/>
      <c r="K200">
        <v>8</v>
      </c>
      <c r="L200" s="107" t="s">
        <v>393</v>
      </c>
      <c r="M200" s="113">
        <f t="shared" si="380"/>
        <v>8482.99755</v>
      </c>
      <c r="N200" s="113">
        <f t="shared" si="380"/>
        <v>11726.717189999999</v>
      </c>
      <c r="O200" s="113">
        <f t="shared" si="380"/>
        <v>19811.916669999999</v>
      </c>
      <c r="P200" s="116">
        <f t="shared" si="387"/>
        <v>40021.631410000002</v>
      </c>
      <c r="Q200" s="115"/>
      <c r="R200">
        <v>8</v>
      </c>
      <c r="S200" s="107" t="s">
        <v>393</v>
      </c>
      <c r="T200" s="113">
        <f t="shared" si="381"/>
        <v>17711.842302406065</v>
      </c>
      <c r="U200" s="113">
        <f t="shared" si="381"/>
        <v>29988.802339252834</v>
      </c>
      <c r="V200" s="113">
        <f t="shared" si="381"/>
        <v>29910.677110659934</v>
      </c>
      <c r="W200" s="116">
        <f t="shared" si="388"/>
        <v>77611.321752318836</v>
      </c>
      <c r="X200" s="115"/>
      <c r="Y200" s="115"/>
      <c r="Z200" s="115"/>
      <c r="AA200" s="107" t="s">
        <v>393</v>
      </c>
      <c r="AB200" s="113">
        <f t="shared" si="382"/>
        <v>21640</v>
      </c>
      <c r="AC200" s="113">
        <f t="shared" si="382"/>
        <v>33060</v>
      </c>
      <c r="AD200" s="113">
        <f t="shared" si="382"/>
        <v>31630</v>
      </c>
      <c r="AE200" s="116">
        <f t="shared" si="389"/>
        <v>86330</v>
      </c>
      <c r="AG200" s="107" t="s">
        <v>393</v>
      </c>
      <c r="AH200" s="117">
        <f t="shared" si="390"/>
        <v>5.4846879965703949E-2</v>
      </c>
      <c r="AI200" s="117">
        <f t="shared" si="391"/>
        <v>2.7308986478213153E-2</v>
      </c>
      <c r="AJ200" s="117">
        <f t="shared" si="392"/>
        <v>1.6233983306943648E-2</v>
      </c>
      <c r="AK200" s="118">
        <f t="shared" si="393"/>
        <v>2.2179119759934054E-2</v>
      </c>
      <c r="AL200" s="115"/>
      <c r="AM200" s="107" t="s">
        <v>393</v>
      </c>
      <c r="AN200" s="117">
        <f t="shared" si="394"/>
        <v>0.11566934815725473</v>
      </c>
      <c r="AO200" s="117">
        <f t="shared" si="383"/>
        <v>3.0869644382817207E-2</v>
      </c>
      <c r="AP200" s="117">
        <f t="shared" si="383"/>
        <v>1.8851225508455634E-2</v>
      </c>
      <c r="AQ200" s="118">
        <f t="shared" si="383"/>
        <v>2.9404802250746362E-2</v>
      </c>
      <c r="AS200" s="107" t="s">
        <v>393</v>
      </c>
      <c r="AT200" s="113">
        <f t="shared" si="395"/>
        <v>13157.00245</v>
      </c>
      <c r="AU200" s="113">
        <f t="shared" si="396"/>
        <v>21333.282810000001</v>
      </c>
      <c r="AV200" s="113">
        <f t="shared" si="397"/>
        <v>11818.083330000001</v>
      </c>
      <c r="AW200" s="116">
        <f t="shared" si="398"/>
        <v>46308.368589999998</v>
      </c>
      <c r="AX200" s="115"/>
      <c r="AY200" s="107" t="s">
        <v>393</v>
      </c>
      <c r="AZ200" s="117">
        <f t="shared" si="399"/>
        <v>1.5509850583417886</v>
      </c>
      <c r="BA200" s="117">
        <f t="shared" si="400"/>
        <v>1.8192033170367607</v>
      </c>
      <c r="BB200" s="117">
        <f t="shared" si="401"/>
        <v>0.59651388236936298</v>
      </c>
      <c r="BC200" s="118">
        <f t="shared" si="402"/>
        <v>1.1570834810704185</v>
      </c>
      <c r="BE200" s="107" t="s">
        <v>393</v>
      </c>
      <c r="BF200" s="307">
        <f t="shared" si="403"/>
        <v>-0.74619037185427184</v>
      </c>
      <c r="BG200" s="307">
        <f t="shared" si="384"/>
        <v>-0.12255749556589546</v>
      </c>
      <c r="BH200" s="307">
        <f t="shared" si="385"/>
        <v>-0.14947114543090309</v>
      </c>
      <c r="BI200" s="118"/>
      <c r="BK200" s="107" t="s">
        <v>393</v>
      </c>
      <c r="BL200" s="307">
        <v>0.44922255609382106</v>
      </c>
      <c r="BM200" s="307">
        <v>0.24757139355300273</v>
      </c>
      <c r="BN200" s="307">
        <v>5.952256591886302E-2</v>
      </c>
      <c r="BO200" s="118"/>
      <c r="BQ200" s="107" t="s">
        <v>393</v>
      </c>
      <c r="BR200" s="307">
        <f t="shared" si="409"/>
        <v>0.40475687242391922</v>
      </c>
      <c r="BS200" s="307">
        <f t="shared" si="405"/>
        <v>0.25760460900830112</v>
      </c>
      <c r="BT200" s="307">
        <f t="shared" si="406"/>
        <v>8.4947563678011082E-3</v>
      </c>
      <c r="BU200" s="118"/>
    </row>
    <row r="201" spans="1:89" x14ac:dyDescent="0.25">
      <c r="A201">
        <v>10</v>
      </c>
      <c r="B201" s="107" t="s">
        <v>395</v>
      </c>
      <c r="C201" s="113">
        <f t="shared" si="379"/>
        <v>32270.203419999998</v>
      </c>
      <c r="D201" s="113">
        <f t="shared" si="379"/>
        <v>15946.693300000001</v>
      </c>
      <c r="E201" s="113">
        <f t="shared" si="379"/>
        <v>8140.5989500000005</v>
      </c>
      <c r="F201" s="116">
        <f t="shared" si="386"/>
        <v>56357.495669999997</v>
      </c>
      <c r="G201" s="300"/>
      <c r="H201" s="300"/>
      <c r="I201" s="300"/>
      <c r="J201" s="115"/>
      <c r="K201">
        <v>10</v>
      </c>
      <c r="L201" s="107" t="s">
        <v>395</v>
      </c>
      <c r="M201" s="113">
        <f t="shared" si="380"/>
        <v>36011.447397821044</v>
      </c>
      <c r="N201" s="113">
        <f t="shared" si="380"/>
        <v>17795.472171899171</v>
      </c>
      <c r="O201" s="113">
        <f t="shared" si="380"/>
        <v>9084.3787706957773</v>
      </c>
      <c r="P201" s="116">
        <f t="shared" si="387"/>
        <v>62891.29834041599</v>
      </c>
      <c r="Q201" s="115"/>
      <c r="R201">
        <v>10</v>
      </c>
      <c r="S201" s="107" t="s">
        <v>395</v>
      </c>
      <c r="T201" s="113">
        <f t="shared" ref="T201:V205" si="410">T99+T133</f>
        <v>36011.447397821044</v>
      </c>
      <c r="U201" s="113">
        <f t="shared" si="410"/>
        <v>17795.472171899171</v>
      </c>
      <c r="V201" s="113">
        <f t="shared" si="410"/>
        <v>9084.3787706957773</v>
      </c>
      <c r="W201" s="116">
        <f t="shared" si="388"/>
        <v>62891.29834041599</v>
      </c>
      <c r="X201" s="115"/>
      <c r="Y201" s="115"/>
      <c r="Z201" s="115"/>
      <c r="AA201" s="107" t="s">
        <v>546</v>
      </c>
      <c r="AB201" s="113">
        <f t="shared" si="382"/>
        <v>20150</v>
      </c>
      <c r="AC201" s="113">
        <f t="shared" si="382"/>
        <v>8340</v>
      </c>
      <c r="AD201" s="113">
        <f t="shared" si="382"/>
        <v>4145</v>
      </c>
      <c r="AE201" s="116">
        <f t="shared" si="389"/>
        <v>32635</v>
      </c>
      <c r="AG201" s="107" t="s">
        <v>395</v>
      </c>
      <c r="AH201" s="117">
        <f t="shared" si="390"/>
        <v>0.20864322581887212</v>
      </c>
      <c r="AI201" s="117">
        <f t="shared" si="391"/>
        <v>3.7136397565149457E-2</v>
      </c>
      <c r="AJ201" s="117">
        <f t="shared" si="392"/>
        <v>6.6704473708460738E-3</v>
      </c>
      <c r="AK201" s="118">
        <f t="shared" si="393"/>
        <v>3.1232101286170301E-2</v>
      </c>
      <c r="AL201" s="115"/>
      <c r="AM201" s="107" t="s">
        <v>395</v>
      </c>
      <c r="AN201" s="117">
        <f t="shared" si="394"/>
        <v>0.10770505385252693</v>
      </c>
      <c r="AO201" s="117">
        <f t="shared" si="383"/>
        <v>7.7874420493858282E-3</v>
      </c>
      <c r="AP201" s="117">
        <f t="shared" si="383"/>
        <v>2.4703866497802281E-3</v>
      </c>
      <c r="AQ201" s="118">
        <f t="shared" si="383"/>
        <v>1.1115785027836297E-2</v>
      </c>
      <c r="AS201" s="107" t="s">
        <v>395</v>
      </c>
      <c r="AT201" s="113">
        <f t="shared" si="395"/>
        <v>-12120.203419999998</v>
      </c>
      <c r="AU201" s="113">
        <f t="shared" si="396"/>
        <v>-7606.6933000000008</v>
      </c>
      <c r="AV201" s="113">
        <f t="shared" si="397"/>
        <v>-3995.5989500000005</v>
      </c>
      <c r="AW201" s="116">
        <f t="shared" si="398"/>
        <v>-23722.495669999997</v>
      </c>
      <c r="AX201" s="115"/>
      <c r="AY201" s="107" t="s">
        <v>395</v>
      </c>
      <c r="AZ201" s="117">
        <f t="shared" si="399"/>
        <v>-0.37558497113434058</v>
      </c>
      <c r="BA201" s="117">
        <f t="shared" si="400"/>
        <v>-0.47700756243929271</v>
      </c>
      <c r="BB201" s="117">
        <f t="shared" si="401"/>
        <v>-0.49082370652837531</v>
      </c>
      <c r="BC201" s="118">
        <f t="shared" si="402"/>
        <v>-0.42092884696130783</v>
      </c>
      <c r="BE201" s="107" t="s">
        <v>395</v>
      </c>
      <c r="BF201" s="307">
        <f t="shared" si="403"/>
        <v>0.66122923145031876</v>
      </c>
      <c r="BG201" s="307">
        <f t="shared" si="384"/>
        <v>1.5620851125338082</v>
      </c>
      <c r="BH201" s="307">
        <f t="shared" si="385"/>
        <v>0.99331225300757076</v>
      </c>
      <c r="BI201" s="118"/>
      <c r="BK201" s="107" t="s">
        <v>395</v>
      </c>
      <c r="BL201" s="307">
        <v>0.56458971044105244</v>
      </c>
      <c r="BM201" s="307">
        <v>0.27045320277992779</v>
      </c>
      <c r="BN201" s="307">
        <v>1.722086534792977E-2</v>
      </c>
      <c r="BO201" s="118"/>
      <c r="BQ201" s="107" t="s">
        <v>395</v>
      </c>
      <c r="BR201" s="307">
        <f t="shared" si="409"/>
        <v>1.2238338284234458</v>
      </c>
      <c r="BS201" s="307">
        <f t="shared" si="405"/>
        <v>1.1228077222850781</v>
      </c>
      <c r="BT201" s="307">
        <f t="shared" si="406"/>
        <v>0.53758475501610481</v>
      </c>
      <c r="BU201" s="118"/>
    </row>
    <row r="202" spans="1:89" x14ac:dyDescent="0.25">
      <c r="A202">
        <v>11</v>
      </c>
      <c r="B202" s="107" t="s">
        <v>396</v>
      </c>
      <c r="C202" s="113">
        <f t="shared" si="379"/>
        <v>2610.5966699999999</v>
      </c>
      <c r="D202" s="113">
        <f t="shared" si="379"/>
        <v>1578.3975999999998</v>
      </c>
      <c r="E202" s="113">
        <f t="shared" si="379"/>
        <v>3954.5008900000003</v>
      </c>
      <c r="F202" s="116">
        <f t="shared" si="386"/>
        <v>8143.4951599999995</v>
      </c>
      <c r="G202" s="300"/>
      <c r="H202" s="300"/>
      <c r="I202" s="300"/>
      <c r="J202" s="115"/>
      <c r="K202">
        <v>11</v>
      </c>
      <c r="L202" s="107" t="s">
        <v>396</v>
      </c>
      <c r="M202" s="113">
        <f t="shared" si="380"/>
        <v>1104.2291071412535</v>
      </c>
      <c r="N202" s="113">
        <f t="shared" si="380"/>
        <v>667.62996850137608</v>
      </c>
      <c r="O202" s="113">
        <f t="shared" si="380"/>
        <v>1672.6731620913285</v>
      </c>
      <c r="P202" s="116">
        <f t="shared" si="387"/>
        <v>3444.532237733958</v>
      </c>
      <c r="Q202" s="115"/>
      <c r="R202">
        <v>11</v>
      </c>
      <c r="S202" s="107" t="s">
        <v>396</v>
      </c>
      <c r="T202" s="113">
        <f t="shared" si="410"/>
        <v>1104.2291071412535</v>
      </c>
      <c r="U202" s="113">
        <f t="shared" si="410"/>
        <v>667.62996850137608</v>
      </c>
      <c r="V202" s="113">
        <f t="shared" si="410"/>
        <v>1672.6731620913285</v>
      </c>
      <c r="W202" s="116">
        <f t="shared" si="388"/>
        <v>3444.532237733958</v>
      </c>
      <c r="X202" s="115"/>
      <c r="Y202" s="115"/>
      <c r="Z202" s="115"/>
      <c r="AA202" s="107" t="s">
        <v>559</v>
      </c>
      <c r="AB202" s="113">
        <f t="shared" si="382"/>
        <v>595</v>
      </c>
      <c r="AC202" s="113">
        <f t="shared" si="382"/>
        <v>205</v>
      </c>
      <c r="AD202" s="113">
        <f t="shared" si="382"/>
        <v>660</v>
      </c>
      <c r="AE202" s="116">
        <f t="shared" si="389"/>
        <v>1460</v>
      </c>
      <c r="AG202" s="107" t="s">
        <v>396</v>
      </c>
      <c r="AH202" s="117">
        <f t="shared" si="390"/>
        <v>1.6878831021041193E-2</v>
      </c>
      <c r="AI202" s="117">
        <f t="shared" si="391"/>
        <v>3.6757464188188621E-3</v>
      </c>
      <c r="AJ202" s="117">
        <f t="shared" si="392"/>
        <v>3.2403377474711438E-3</v>
      </c>
      <c r="AK202" s="118">
        <f t="shared" si="393"/>
        <v>4.5129483245641465E-3</v>
      </c>
      <c r="AL202" s="115"/>
      <c r="AM202" s="107" t="s">
        <v>396</v>
      </c>
      <c r="AN202" s="117">
        <f t="shared" si="394"/>
        <v>3.1803725579282144E-3</v>
      </c>
      <c r="AO202" s="117">
        <f t="shared" si="383"/>
        <v>1.9141794006284112E-4</v>
      </c>
      <c r="AP202" s="117">
        <f t="shared" si="383"/>
        <v>3.9335468971168891E-4</v>
      </c>
      <c r="AQ202" s="118">
        <f t="shared" si="383"/>
        <v>4.9728960136788706E-4</v>
      </c>
      <c r="AS202" s="107" t="s">
        <v>396</v>
      </c>
      <c r="AT202" s="113">
        <f t="shared" si="395"/>
        <v>-2015.5966699999999</v>
      </c>
      <c r="AU202" s="113">
        <f t="shared" si="396"/>
        <v>-1373.3975999999998</v>
      </c>
      <c r="AV202" s="113">
        <f t="shared" si="397"/>
        <v>-3294.5008900000003</v>
      </c>
      <c r="AW202" s="116">
        <f t="shared" si="398"/>
        <v>-6683.4951599999995</v>
      </c>
      <c r="AX202" s="115"/>
      <c r="AY202" s="107" t="s">
        <v>396</v>
      </c>
      <c r="AZ202" s="117">
        <f t="shared" si="399"/>
        <v>-0.77208275531892101</v>
      </c>
      <c r="BA202" s="117">
        <f t="shared" si="400"/>
        <v>-0.87012144468542019</v>
      </c>
      <c r="BB202" s="117">
        <f t="shared" si="401"/>
        <v>-0.83310156746481345</v>
      </c>
      <c r="BC202" s="118">
        <f t="shared" si="402"/>
        <v>-0.82071580183759818</v>
      </c>
      <c r="BE202" s="107" t="s">
        <v>396</v>
      </c>
      <c r="BF202" s="307">
        <f t="shared" si="403"/>
        <v>1.6690618879507844</v>
      </c>
      <c r="BG202" s="307">
        <f t="shared" si="384"/>
        <v>2.9550522928228151</v>
      </c>
      <c r="BH202" s="307">
        <f t="shared" si="385"/>
        <v>2.1087211232052874</v>
      </c>
      <c r="BI202" s="118"/>
      <c r="BK202" s="107" t="s">
        <v>396</v>
      </c>
      <c r="BL202" s="307">
        <v>-0.23050650733312839</v>
      </c>
      <c r="BM202" s="307">
        <v>-8.9999825144715329E-2</v>
      </c>
      <c r="BN202" s="307">
        <v>0.29679981538277245</v>
      </c>
      <c r="BO202" s="118"/>
      <c r="BQ202" s="107" t="s">
        <v>396</v>
      </c>
      <c r="BR202" s="307">
        <f t="shared" si="409"/>
        <v>0.93265393889949799</v>
      </c>
      <c r="BS202" s="307">
        <f t="shared" si="405"/>
        <v>1.4588382845049384</v>
      </c>
      <c r="BT202" s="307">
        <f t="shared" si="406"/>
        <v>1.3748681401498057</v>
      </c>
      <c r="BU202" s="118"/>
    </row>
    <row r="203" spans="1:89" x14ac:dyDescent="0.25">
      <c r="A203">
        <v>12</v>
      </c>
      <c r="B203" s="107" t="s">
        <v>397</v>
      </c>
      <c r="C203" s="113">
        <f t="shared" si="379"/>
        <v>0</v>
      </c>
      <c r="D203" s="113">
        <f t="shared" si="379"/>
        <v>2351.5674399999998</v>
      </c>
      <c r="E203" s="113">
        <f t="shared" si="379"/>
        <v>3614.74242</v>
      </c>
      <c r="F203" s="116">
        <f t="shared" si="386"/>
        <v>5966.3098599999994</v>
      </c>
      <c r="G203" s="300"/>
      <c r="H203" s="300"/>
      <c r="I203" s="300"/>
      <c r="J203" s="115"/>
      <c r="K203">
        <v>12</v>
      </c>
      <c r="L203" s="107" t="s">
        <v>397</v>
      </c>
      <c r="M203" s="113">
        <f t="shared" si="380"/>
        <v>0</v>
      </c>
      <c r="N203" s="113">
        <f t="shared" si="380"/>
        <v>1545.3291111316892</v>
      </c>
      <c r="O203" s="113">
        <f t="shared" si="380"/>
        <v>2375.4227056607874</v>
      </c>
      <c r="P203" s="116">
        <f t="shared" si="387"/>
        <v>3920.7518167924763</v>
      </c>
      <c r="Q203" s="115"/>
      <c r="R203">
        <v>12</v>
      </c>
      <c r="S203" s="107" t="s">
        <v>397</v>
      </c>
      <c r="T203" s="113">
        <f t="shared" si="410"/>
        <v>0</v>
      </c>
      <c r="U203" s="113">
        <f t="shared" si="410"/>
        <v>1545.3291111316892</v>
      </c>
      <c r="V203" s="113">
        <f t="shared" si="410"/>
        <v>2375.4227056607874</v>
      </c>
      <c r="W203" s="116">
        <f t="shared" si="388"/>
        <v>3920.7518167924763</v>
      </c>
      <c r="X203" s="115"/>
      <c r="Y203" s="115"/>
      <c r="Z203" s="115"/>
      <c r="AA203" s="107" t="s">
        <v>560</v>
      </c>
      <c r="AB203" s="113">
        <f t="shared" si="382"/>
        <v>0</v>
      </c>
      <c r="AC203" s="113">
        <f t="shared" si="382"/>
        <v>445</v>
      </c>
      <c r="AD203" s="113">
        <f t="shared" si="382"/>
        <v>745</v>
      </c>
      <c r="AE203" s="116">
        <f t="shared" si="389"/>
        <v>1190</v>
      </c>
      <c r="AG203" s="107" t="s">
        <v>397</v>
      </c>
      <c r="AH203" s="117">
        <f t="shared" si="390"/>
        <v>0</v>
      </c>
      <c r="AI203" s="117">
        <f t="shared" si="391"/>
        <v>5.4762916493227305E-3</v>
      </c>
      <c r="AJ203" s="117">
        <f t="shared" si="392"/>
        <v>2.9619379630260218E-3</v>
      </c>
      <c r="AK203" s="118">
        <f t="shared" si="393"/>
        <v>3.3063994706810317E-3</v>
      </c>
      <c r="AL203" s="115"/>
      <c r="AM203" s="107" t="s">
        <v>397</v>
      </c>
      <c r="AN203" s="117">
        <f t="shared" si="394"/>
        <v>0</v>
      </c>
      <c r="AO203" s="117">
        <f t="shared" si="383"/>
        <v>4.1551699184372824E-4</v>
      </c>
      <c r="AP203" s="117">
        <f t="shared" si="383"/>
        <v>4.4401400581092158E-4</v>
      </c>
      <c r="AQ203" s="118">
        <f t="shared" si="383"/>
        <v>4.0532508604642845E-4</v>
      </c>
      <c r="AS203" s="107" t="s">
        <v>397</v>
      </c>
      <c r="AT203" s="113">
        <f t="shared" si="395"/>
        <v>0</v>
      </c>
      <c r="AU203" s="113">
        <f t="shared" si="396"/>
        <v>-1906.5674399999998</v>
      </c>
      <c r="AV203" s="113">
        <f t="shared" si="397"/>
        <v>-2869.74242</v>
      </c>
      <c r="AW203" s="116">
        <f t="shared" si="398"/>
        <v>-4776.3098599999994</v>
      </c>
      <c r="AX203" s="115"/>
      <c r="AY203" s="107" t="s">
        <v>397</v>
      </c>
      <c r="AZ203" s="117">
        <f t="shared" si="399"/>
        <v>0</v>
      </c>
      <c r="BA203" s="117">
        <f t="shared" si="400"/>
        <v>-0.81076451713415454</v>
      </c>
      <c r="BB203" s="117">
        <f t="shared" si="401"/>
        <v>-0.79389956089872649</v>
      </c>
      <c r="BC203" s="118">
        <f t="shared" si="402"/>
        <v>-0.80054673191244541</v>
      </c>
      <c r="BE203" s="107" t="s">
        <v>397</v>
      </c>
      <c r="BF203" s="307">
        <f t="shared" si="403"/>
        <v>0</v>
      </c>
      <c r="BG203" s="307">
        <f t="shared" si="384"/>
        <v>2.5786599361549358</v>
      </c>
      <c r="BH203" s="307">
        <f t="shared" si="385"/>
        <v>1.8977429437689026</v>
      </c>
      <c r="BI203" s="118"/>
      <c r="BK203" s="107" t="s">
        <v>397</v>
      </c>
      <c r="BL203" s="307">
        <v>0.71113702378558674</v>
      </c>
      <c r="BM203" s="307">
        <v>0.57929436110106836</v>
      </c>
      <c r="BN203" s="307">
        <v>1.9142124371630001E-2</v>
      </c>
      <c r="BO203" s="118"/>
      <c r="BQ203" s="107" t="s">
        <v>397</v>
      </c>
      <c r="BR203" s="307">
        <f t="shared" si="409"/>
        <v>1.0397665260428208</v>
      </c>
      <c r="BS203" s="307">
        <f t="shared" si="405"/>
        <v>1.9399362924167824</v>
      </c>
      <c r="BT203" s="307">
        <f t="shared" si="406"/>
        <v>0.9917213594204709</v>
      </c>
      <c r="BU203" s="118"/>
    </row>
    <row r="204" spans="1:89" x14ac:dyDescent="0.25">
      <c r="A204">
        <v>13</v>
      </c>
      <c r="B204" s="107" t="s">
        <v>398</v>
      </c>
      <c r="C204" s="113">
        <f t="shared" si="379"/>
        <v>2262.0178000000001</v>
      </c>
      <c r="D204" s="113">
        <f t="shared" si="379"/>
        <v>894.04917999999998</v>
      </c>
      <c r="E204" s="113">
        <f t="shared" si="379"/>
        <v>2091.9090999999999</v>
      </c>
      <c r="F204" s="116">
        <f t="shared" si="386"/>
        <v>5247.9760800000004</v>
      </c>
      <c r="G204" s="300"/>
      <c r="H204" s="300"/>
      <c r="I204" s="300"/>
      <c r="J204" s="115"/>
      <c r="K204">
        <v>13</v>
      </c>
      <c r="L204" s="107" t="s">
        <v>398</v>
      </c>
      <c r="M204" s="113">
        <f t="shared" si="380"/>
        <v>2262.0178000000001</v>
      </c>
      <c r="N204" s="113">
        <f t="shared" si="380"/>
        <v>894.04917999999998</v>
      </c>
      <c r="O204" s="113">
        <f t="shared" si="380"/>
        <v>2091.9090999999999</v>
      </c>
      <c r="P204" s="116">
        <f t="shared" si="387"/>
        <v>5247.9760800000004</v>
      </c>
      <c r="Q204" s="115"/>
      <c r="R204">
        <v>13</v>
      </c>
      <c r="S204" s="107" t="s">
        <v>398</v>
      </c>
      <c r="T204" s="113">
        <f t="shared" si="410"/>
        <v>4722.9180867599689</v>
      </c>
      <c r="U204" s="113">
        <f t="shared" si="410"/>
        <v>2428.0195847008617</v>
      </c>
      <c r="V204" s="113">
        <f t="shared" si="410"/>
        <v>3092.5634011170496</v>
      </c>
      <c r="W204" s="116">
        <f t="shared" si="388"/>
        <v>10243.501072577881</v>
      </c>
      <c r="X204" s="115"/>
      <c r="Y204" s="115"/>
      <c r="Z204" s="115"/>
      <c r="AA204" s="107" t="s">
        <v>398</v>
      </c>
      <c r="AB204" s="113">
        <f t="shared" si="382"/>
        <v>4655</v>
      </c>
      <c r="AC204" s="113">
        <f t="shared" si="382"/>
        <v>1890</v>
      </c>
      <c r="AD204" s="113">
        <f t="shared" si="382"/>
        <v>2715</v>
      </c>
      <c r="AE204" s="116">
        <f t="shared" si="389"/>
        <v>9260</v>
      </c>
      <c r="AG204" s="107" t="s">
        <v>398</v>
      </c>
      <c r="AH204" s="117">
        <f t="shared" si="390"/>
        <v>1.4625091900077906E-2</v>
      </c>
      <c r="AI204" s="117">
        <f t="shared" si="391"/>
        <v>2.0820470530574426E-3</v>
      </c>
      <c r="AJ204" s="117">
        <f t="shared" si="392"/>
        <v>1.7141207473614672E-3</v>
      </c>
      <c r="AK204" s="118">
        <f t="shared" si="393"/>
        <v>2.9083144758188469E-3</v>
      </c>
      <c r="AL204" s="115"/>
      <c r="AM204" s="107" t="s">
        <v>398</v>
      </c>
      <c r="AN204" s="117">
        <f t="shared" si="394"/>
        <v>2.4881738247320737E-2</v>
      </c>
      <c r="AO204" s="117">
        <f t="shared" si="383"/>
        <v>1.7647800327744863E-3</v>
      </c>
      <c r="AP204" s="117">
        <f t="shared" si="383"/>
        <v>1.618118155404902E-3</v>
      </c>
      <c r="AQ204" s="118">
        <f t="shared" si="383"/>
        <v>3.1540422662100229E-3</v>
      </c>
      <c r="AS204" s="107" t="s">
        <v>398</v>
      </c>
      <c r="AT204" s="113">
        <f t="shared" si="395"/>
        <v>2392.9821999999999</v>
      </c>
      <c r="AU204" s="113">
        <f t="shared" si="396"/>
        <v>995.95082000000002</v>
      </c>
      <c r="AV204" s="113">
        <f t="shared" si="397"/>
        <v>623.09090000000015</v>
      </c>
      <c r="AW204" s="116">
        <f t="shared" si="398"/>
        <v>4012.0239199999996</v>
      </c>
      <c r="AX204" s="115"/>
      <c r="AY204" s="107" t="s">
        <v>398</v>
      </c>
      <c r="AZ204" s="117">
        <f t="shared" si="399"/>
        <v>1.0578971571311242</v>
      </c>
      <c r="BA204" s="117">
        <f t="shared" si="400"/>
        <v>1.1139776673135589</v>
      </c>
      <c r="BB204" s="117">
        <f t="shared" si="401"/>
        <v>0.29785754075069526</v>
      </c>
      <c r="BC204" s="118">
        <f t="shared" si="402"/>
        <v>0.76448974973224337</v>
      </c>
      <c r="BE204" s="107" t="s">
        <v>398</v>
      </c>
      <c r="BF204" s="307">
        <f t="shared" si="403"/>
        <v>-0.53139545381233833</v>
      </c>
      <c r="BG204" s="307">
        <f t="shared" si="384"/>
        <v>0.16532551457353839</v>
      </c>
      <c r="BH204" s="307">
        <f t="shared" si="385"/>
        <v>5.7636423836169168E-2</v>
      </c>
      <c r="BI204" s="118"/>
      <c r="BK204" s="107" t="s">
        <v>398</v>
      </c>
      <c r="BL204" s="307">
        <v>0.46642323489347121</v>
      </c>
      <c r="BM204" s="307">
        <v>0.28044859470252975</v>
      </c>
      <c r="BN204" s="307">
        <v>7.7546337789510797E-2</v>
      </c>
      <c r="BO204" s="118"/>
      <c r="BQ204" s="107" t="s">
        <v>398</v>
      </c>
      <c r="BR204" s="307">
        <f t="shared" si="409"/>
        <v>0.52935501024453613</v>
      </c>
      <c r="BS204" s="307">
        <f t="shared" si="405"/>
        <v>0.43442331522754507</v>
      </c>
      <c r="BT204" s="307">
        <f t="shared" si="406"/>
        <v>0.13007231287198501</v>
      </c>
      <c r="BU204" s="118"/>
    </row>
    <row r="205" spans="1:89" x14ac:dyDescent="0.25">
      <c r="A205">
        <v>14</v>
      </c>
      <c r="B205" s="107" t="s">
        <v>399</v>
      </c>
      <c r="C205" s="113">
        <f t="shared" si="379"/>
        <v>0</v>
      </c>
      <c r="D205" s="113">
        <f t="shared" si="379"/>
        <v>0</v>
      </c>
      <c r="E205" s="113">
        <f t="shared" si="379"/>
        <v>0</v>
      </c>
      <c r="F205" s="116">
        <f t="shared" si="386"/>
        <v>0</v>
      </c>
      <c r="G205" s="300"/>
      <c r="H205" s="300"/>
      <c r="I205" s="300"/>
      <c r="J205" s="115"/>
      <c r="K205">
        <v>14</v>
      </c>
      <c r="L205" s="107" t="s">
        <v>399</v>
      </c>
      <c r="M205" s="113">
        <f t="shared" si="380"/>
        <v>0</v>
      </c>
      <c r="N205" s="113">
        <f t="shared" si="380"/>
        <v>0</v>
      </c>
      <c r="O205" s="113">
        <f t="shared" si="380"/>
        <v>0</v>
      </c>
      <c r="P205" s="116">
        <f t="shared" si="387"/>
        <v>0</v>
      </c>
      <c r="Q205" s="115"/>
      <c r="R205">
        <v>14</v>
      </c>
      <c r="S205" s="107" t="s">
        <v>399</v>
      </c>
      <c r="T205" s="113">
        <f t="shared" si="410"/>
        <v>0</v>
      </c>
      <c r="U205" s="113">
        <f t="shared" si="410"/>
        <v>0</v>
      </c>
      <c r="V205" s="113">
        <f t="shared" si="410"/>
        <v>0</v>
      </c>
      <c r="W205" s="116">
        <f t="shared" si="388"/>
        <v>0</v>
      </c>
      <c r="X205" s="115"/>
      <c r="Y205" s="115"/>
      <c r="Z205" s="115"/>
      <c r="AA205" s="107" t="s">
        <v>399</v>
      </c>
      <c r="AB205" s="113">
        <f t="shared" si="382"/>
        <v>0</v>
      </c>
      <c r="AC205" s="113">
        <f t="shared" si="382"/>
        <v>0</v>
      </c>
      <c r="AD205" s="113">
        <f t="shared" si="382"/>
        <v>0</v>
      </c>
      <c r="AE205" s="116">
        <f t="shared" si="389"/>
        <v>0</v>
      </c>
      <c r="AG205" s="107" t="s">
        <v>399</v>
      </c>
      <c r="AH205" s="117">
        <f t="shared" si="390"/>
        <v>0</v>
      </c>
      <c r="AI205" s="117">
        <f t="shared" si="391"/>
        <v>0</v>
      </c>
      <c r="AJ205" s="117">
        <f t="shared" si="392"/>
        <v>0</v>
      </c>
      <c r="AK205" s="118">
        <f t="shared" si="393"/>
        <v>0</v>
      </c>
      <c r="AL205" s="115"/>
      <c r="AM205" s="107" t="s">
        <v>399</v>
      </c>
      <c r="AN205" s="117">
        <f t="shared" si="394"/>
        <v>0</v>
      </c>
      <c r="AO205" s="117">
        <f t="shared" si="383"/>
        <v>0</v>
      </c>
      <c r="AP205" s="117">
        <f t="shared" si="383"/>
        <v>0</v>
      </c>
      <c r="AQ205" s="118">
        <f t="shared" si="383"/>
        <v>0</v>
      </c>
      <c r="AS205" s="107" t="s">
        <v>399</v>
      </c>
      <c r="AT205" s="113">
        <f t="shared" si="395"/>
        <v>0</v>
      </c>
      <c r="AU205" s="113">
        <f t="shared" si="396"/>
        <v>0</v>
      </c>
      <c r="AV205" s="113">
        <f t="shared" si="397"/>
        <v>0</v>
      </c>
      <c r="AW205" s="116">
        <f t="shared" si="398"/>
        <v>0</v>
      </c>
      <c r="AX205" s="115"/>
      <c r="AY205" s="107" t="s">
        <v>399</v>
      </c>
      <c r="AZ205" s="117">
        <f t="shared" si="399"/>
        <v>0</v>
      </c>
      <c r="BA205" s="117">
        <f t="shared" si="400"/>
        <v>0</v>
      </c>
      <c r="BB205" s="117">
        <f t="shared" si="401"/>
        <v>0</v>
      </c>
      <c r="BC205" s="118">
        <f t="shared" si="402"/>
        <v>0</v>
      </c>
      <c r="BE205" s="107" t="s">
        <v>399</v>
      </c>
      <c r="BF205" s="307">
        <f t="shared" si="403"/>
        <v>0</v>
      </c>
      <c r="BG205" s="307">
        <f t="shared" si="384"/>
        <v>0</v>
      </c>
      <c r="BH205" s="307">
        <f t="shared" si="385"/>
        <v>0</v>
      </c>
      <c r="BI205" s="118"/>
      <c r="BK205" s="107" t="s">
        <v>399</v>
      </c>
      <c r="BL205" s="307">
        <v>0.71113702378558674</v>
      </c>
      <c r="BM205" s="307">
        <v>0.2216334137468427</v>
      </c>
      <c r="BN205" s="307">
        <v>4.8227180799836282E-2</v>
      </c>
      <c r="BO205" s="118"/>
      <c r="BQ205" s="107" t="s">
        <v>399</v>
      </c>
      <c r="BR205" s="307">
        <f t="shared" si="409"/>
        <v>1.0397665260428208</v>
      </c>
      <c r="BS205" s="307">
        <f t="shared" si="405"/>
        <v>0.29294537698508882</v>
      </c>
      <c r="BT205" s="307">
        <f t="shared" si="406"/>
        <v>7.1934943964225923E-2</v>
      </c>
      <c r="BU205" s="118"/>
    </row>
    <row r="206" spans="1:89" ht="15.75" thickBot="1" x14ac:dyDescent="0.3">
      <c r="B206" s="108" t="s">
        <v>29</v>
      </c>
      <c r="C206" s="109">
        <f>SUM(C193:C205)</f>
        <v>102853.17012</v>
      </c>
      <c r="D206" s="110">
        <f>SUM(D193:D205)</f>
        <v>435706.75030999997</v>
      </c>
      <c r="E206" s="111">
        <f>SUM(E193:E205)</f>
        <v>1321943.5430600001</v>
      </c>
      <c r="F206" s="112">
        <f>SUM(F193:F205)</f>
        <v>1860503.4634899998</v>
      </c>
      <c r="G206" s="301"/>
      <c r="H206" s="301"/>
      <c r="I206" s="301"/>
      <c r="L206" s="108" t="s">
        <v>29</v>
      </c>
      <c r="M206" s="109">
        <f>SUM(M193:M205)</f>
        <v>105088.0465349623</v>
      </c>
      <c r="N206" s="110">
        <f>SUM(N193:N205)</f>
        <v>435838.52322153217</v>
      </c>
      <c r="O206" s="111">
        <f>SUM(O193:O205)</f>
        <v>1319366.1754384479</v>
      </c>
      <c r="P206" s="112">
        <f>SUM(P193:P205)</f>
        <v>1860292.7451949422</v>
      </c>
      <c r="S206" s="108" t="s">
        <v>29</v>
      </c>
      <c r="T206" s="109">
        <f>SUM(T193:T205)</f>
        <v>176120.00000000006</v>
      </c>
      <c r="U206" s="110">
        <f>SUM(U193:U205)</f>
        <v>1120315</v>
      </c>
      <c r="V206" s="111">
        <f>SUM(V193:V205)</f>
        <v>1851104.9999999995</v>
      </c>
      <c r="W206" s="112">
        <f>SUM(W193:W205)</f>
        <v>3147539.9999999991</v>
      </c>
      <c r="AA206" s="108" t="s">
        <v>29</v>
      </c>
      <c r="AB206" s="109">
        <f>SUM(AB193:AB205)</f>
        <v>176120</v>
      </c>
      <c r="AC206" s="110">
        <f>SUM(AC193:AC205)</f>
        <v>1120315</v>
      </c>
      <c r="AD206" s="111">
        <f>SUM(AD193:AD205)</f>
        <v>1851105</v>
      </c>
      <c r="AE206" s="112">
        <f>SUM(AE193:AE205)</f>
        <v>3147540</v>
      </c>
      <c r="AG206" s="108" t="s">
        <v>29</v>
      </c>
      <c r="AH206" s="120">
        <f t="shared" si="390"/>
        <v>0.66499789047608149</v>
      </c>
      <c r="AI206" s="121">
        <f t="shared" si="391"/>
        <v>1.0146667272600938</v>
      </c>
      <c r="AJ206" s="122">
        <f t="shared" si="392"/>
        <v>1.0832071307494544</v>
      </c>
      <c r="AK206" s="123">
        <f t="shared" si="393"/>
        <v>1.0310506512787054</v>
      </c>
      <c r="AM206" s="108" t="s">
        <v>29</v>
      </c>
      <c r="AN206" s="120">
        <f t="shared" si="394"/>
        <v>0.9413902771467515</v>
      </c>
      <c r="AO206" s="121">
        <f t="shared" si="383"/>
        <v>1.0460897049829359</v>
      </c>
      <c r="AP206" s="122">
        <f t="shared" si="383"/>
        <v>1.1032436862102362</v>
      </c>
      <c r="AQ206" s="123">
        <f t="shared" si="383"/>
        <v>1.0720814464996433</v>
      </c>
      <c r="AS206" s="108" t="s">
        <v>29</v>
      </c>
      <c r="AT206" s="109">
        <f t="shared" si="395"/>
        <v>73266.829880000005</v>
      </c>
      <c r="AU206" s="110">
        <f t="shared" si="396"/>
        <v>684608.24968999997</v>
      </c>
      <c r="AV206" s="111">
        <f t="shared" si="397"/>
        <v>529161.45693999995</v>
      </c>
      <c r="AW206" s="112">
        <f t="shared" si="398"/>
        <v>1287036.5365100002</v>
      </c>
      <c r="AY206" s="108" t="s">
        <v>29</v>
      </c>
      <c r="AZ206" s="117">
        <f t="shared" si="399"/>
        <v>0.7123439150637626</v>
      </c>
      <c r="BA206" s="117">
        <f t="shared" si="400"/>
        <v>1.5712592224079835</v>
      </c>
      <c r="BB206" s="117">
        <f t="shared" si="401"/>
        <v>0.40029051143523947</v>
      </c>
      <c r="BC206" s="118">
        <f t="shared" si="402"/>
        <v>0.69176787991339206</v>
      </c>
      <c r="BE206" s="108" t="s">
        <v>29</v>
      </c>
      <c r="BF206" s="117"/>
      <c r="BG206" s="117"/>
      <c r="BH206" s="117"/>
      <c r="BI206" s="118"/>
      <c r="BK206" s="108" t="s">
        <v>29</v>
      </c>
      <c r="BL206" s="117"/>
      <c r="BM206" s="117"/>
      <c r="BN206" s="117"/>
      <c r="BO206" s="118"/>
      <c r="BQ206" s="108" t="s">
        <v>29</v>
      </c>
      <c r="BR206" s="117"/>
      <c r="BS206" s="117"/>
      <c r="BT206" s="117"/>
      <c r="BU206" s="118"/>
    </row>
  </sheetData>
  <mergeCells count="23">
    <mergeCell ref="BQ3:BU3"/>
    <mergeCell ref="BQ4:BU4"/>
    <mergeCell ref="AS4:AW4"/>
    <mergeCell ref="BE3:BI3"/>
    <mergeCell ref="BE4:BI4"/>
    <mergeCell ref="BK3:BO3"/>
    <mergeCell ref="BK4:BO4"/>
    <mergeCell ref="BP1:BQ1"/>
    <mergeCell ref="AY4:BC4"/>
    <mergeCell ref="L4:P4"/>
    <mergeCell ref="B3:F3"/>
    <mergeCell ref="AA3:AE3"/>
    <mergeCell ref="AG3:AK3"/>
    <mergeCell ref="AM3:AQ3"/>
    <mergeCell ref="AS3:AW3"/>
    <mergeCell ref="AY3:BC3"/>
    <mergeCell ref="L3:P3"/>
    <mergeCell ref="S3:W3"/>
    <mergeCell ref="S4:W4"/>
    <mergeCell ref="B4:F4"/>
    <mergeCell ref="AA4:AE4"/>
    <mergeCell ref="AG4:AK4"/>
    <mergeCell ref="AM4:AQ4"/>
  </mergeCells>
  <hyperlinks>
    <hyperlink ref="A1" location="Index!A1" display="Index"/>
    <hyperlink ref="K1" location="Index!A1" display="Index"/>
    <hyperlink ref="R1" location="Index!A1" display="Index"/>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V46"/>
  <sheetViews>
    <sheetView zoomScale="90" zoomScaleNormal="90" workbookViewId="0">
      <pane ySplit="1" topLeftCell="A2" activePane="bottomLeft" state="frozen"/>
      <selection pane="bottomLeft" activeCell="E6" sqref="E6"/>
    </sheetView>
  </sheetViews>
  <sheetFormatPr defaultRowHeight="15" x14ac:dyDescent="0.25"/>
  <cols>
    <col min="2" max="2" width="18.42578125" bestFit="1" customWidth="1"/>
    <col min="10" max="10" width="19.140625" bestFit="1" customWidth="1"/>
  </cols>
  <sheetData>
    <row r="1" spans="1:22" ht="28.5" x14ac:dyDescent="0.45">
      <c r="A1" s="174" t="s">
        <v>371</v>
      </c>
    </row>
    <row r="2" spans="1:22" ht="19.5" thickBot="1" x14ac:dyDescent="0.35">
      <c r="B2" s="59" t="s">
        <v>125</v>
      </c>
      <c r="J2" s="73" t="s">
        <v>229</v>
      </c>
    </row>
    <row r="3" spans="1:22" ht="23.25" customHeight="1" thickTop="1" x14ac:dyDescent="0.25">
      <c r="B3" t="s">
        <v>120</v>
      </c>
      <c r="J3" t="s">
        <v>7</v>
      </c>
      <c r="K3" s="5">
        <f>INDEX(nonMandDC_input!$R$12:$S$17, MATCH($B$3,nonMandPurposes,0),1)</f>
        <v>8.67</v>
      </c>
    </row>
    <row r="4" spans="1:22" ht="21" customHeight="1" x14ac:dyDescent="0.25">
      <c r="C4" s="86"/>
      <c r="D4" s="396" t="s">
        <v>10</v>
      </c>
      <c r="E4" s="396"/>
      <c r="F4" s="396" t="s">
        <v>11</v>
      </c>
      <c r="G4" s="396"/>
      <c r="J4" t="s">
        <v>3</v>
      </c>
      <c r="K4" s="253">
        <f>INDEX(nonMandDC_input!$R$12:$S$17, MATCH($B$3,nonMandPurposes,0),2)</f>
        <v>10.576879999999999</v>
      </c>
    </row>
    <row r="5" spans="1:22" ht="21.75" thickBot="1" x14ac:dyDescent="0.4">
      <c r="C5" s="54" t="s">
        <v>181</v>
      </c>
      <c r="D5" s="54" t="s">
        <v>7</v>
      </c>
      <c r="E5" s="54" t="s">
        <v>3</v>
      </c>
      <c r="F5" s="54" t="s">
        <v>7</v>
      </c>
      <c r="G5" s="54" t="s">
        <v>3</v>
      </c>
      <c r="I5" s="404" t="str">
        <f>CONCATENATE("Trip Length Distribution: ",B3)</f>
        <v>Trip Length Distribution: jdisc</v>
      </c>
      <c r="J5" s="404"/>
      <c r="K5" s="404"/>
      <c r="L5" s="404"/>
      <c r="M5" s="404"/>
      <c r="N5" s="404"/>
      <c r="O5" s="404"/>
      <c r="P5" s="404"/>
      <c r="Q5" s="404"/>
      <c r="R5" s="404"/>
      <c r="S5" s="404"/>
      <c r="T5" s="404"/>
      <c r="U5" s="404"/>
      <c r="V5" s="404"/>
    </row>
    <row r="6" spans="1:22" ht="15.75" thickTop="1" x14ac:dyDescent="0.25">
      <c r="B6">
        <v>1</v>
      </c>
      <c r="C6">
        <v>0</v>
      </c>
      <c r="D6">
        <f>INDEX(nonMandDC_input!$B$3:$G$23,MATCH(B6,distBins,0), MATCH($B$3,nonMandPurposes,0))</f>
        <v>101023.7804</v>
      </c>
      <c r="E6">
        <f>INDEX(nonMandDC_input!$J$3:$O$23,MATCH(B6,distBins,0), MATCH($B$3,nonMandPurposes,0))*Index!$B$2</f>
        <v>59450</v>
      </c>
      <c r="F6" s="2">
        <f>D6/SUM($D$6:$D$45)</f>
        <v>0.23599753103090482</v>
      </c>
      <c r="G6" s="2">
        <f>E6/SUM($E$6:$E$45)</f>
        <v>0.13454183357095978</v>
      </c>
    </row>
    <row r="7" spans="1:22" x14ac:dyDescent="0.25">
      <c r="B7">
        <v>2</v>
      </c>
      <c r="C7">
        <v>2.5</v>
      </c>
      <c r="D7">
        <f>INDEX(nonMandDC_input!$B$3:$G$23,MATCH(B7,distBins,0), MATCH($B$3,nonMandPurposes,0))</f>
        <v>105206.89679</v>
      </c>
      <c r="E7">
        <f>INDEX(nonMandDC_input!$J$3:$O$23,MATCH(B7,distBins,0), MATCH($B$3,nonMandPurposes,0))*Index!$B$2</f>
        <v>111540</v>
      </c>
      <c r="F7" s="2">
        <f t="shared" ref="F7:F26" si="0">D7/SUM($D$6:$D$45)</f>
        <v>0.2457695385339512</v>
      </c>
      <c r="G7" s="2">
        <f t="shared" ref="G7:G26" si="1">E7/SUM($E$6:$E$45)</f>
        <v>0.25242718446601942</v>
      </c>
    </row>
    <row r="8" spans="1:22" x14ac:dyDescent="0.25">
      <c r="B8">
        <v>3</v>
      </c>
      <c r="C8">
        <v>5</v>
      </c>
      <c r="D8">
        <f>INDEX(nonMandDC_input!$B$3:$G$23,MATCH(B8,distBins,0), MATCH($B$3,nonMandPurposes,0))</f>
        <v>72905.833830000003</v>
      </c>
      <c r="E8">
        <f>INDEX(nonMandDC_input!$J$3:$O$23,MATCH(B8,distBins,0), MATCH($B$3,nonMandPurposes,0))*Index!$B$2</f>
        <v>87795</v>
      </c>
      <c r="F8" s="2">
        <f t="shared" si="0"/>
        <v>0.17031234342552296</v>
      </c>
      <c r="G8" s="2">
        <f t="shared" si="1"/>
        <v>0.19868965985470841</v>
      </c>
    </row>
    <row r="9" spans="1:22" x14ac:dyDescent="0.25">
      <c r="B9">
        <v>4</v>
      </c>
      <c r="C9">
        <v>7.5</v>
      </c>
      <c r="D9">
        <f>INDEX(nonMandDC_input!$B$3:$G$23,MATCH(B9,distBins,0), MATCH($B$3,nonMandPurposes,0))</f>
        <v>31605.577600000001</v>
      </c>
      <c r="E9">
        <f>INDEX(nonMandDC_input!$J$3:$O$23,MATCH(B9,distBins,0), MATCH($B$3,nonMandPurposes,0))*Index!$B$2</f>
        <v>45850</v>
      </c>
      <c r="F9" s="2">
        <f t="shared" si="0"/>
        <v>7.3832500138805643E-2</v>
      </c>
      <c r="G9" s="2">
        <f t="shared" si="1"/>
        <v>0.10376355036549212</v>
      </c>
    </row>
    <row r="10" spans="1:22" x14ac:dyDescent="0.25">
      <c r="B10">
        <v>5</v>
      </c>
      <c r="C10">
        <v>10</v>
      </c>
      <c r="D10">
        <f>INDEX(nonMandDC_input!$B$3:$G$23,MATCH(B10,distBins,0), MATCH($B$3,nonMandPurposes,0))</f>
        <v>22545.960650000001</v>
      </c>
      <c r="E10">
        <f>INDEX(nonMandDC_input!$J$3:$O$23,MATCH(B10,distBins,0), MATCH($B$3,nonMandPurposes,0))*Index!$B$2</f>
        <v>28655</v>
      </c>
      <c r="F10" s="2">
        <f t="shared" si="0"/>
        <v>5.2668698667308375E-2</v>
      </c>
      <c r="G10" s="2">
        <f t="shared" si="1"/>
        <v>6.4849390092108536E-2</v>
      </c>
    </row>
    <row r="11" spans="1:22" x14ac:dyDescent="0.25">
      <c r="B11">
        <v>6</v>
      </c>
      <c r="C11">
        <v>12.5</v>
      </c>
      <c r="D11">
        <f>INDEX(nonMandDC_input!$B$3:$G$23,MATCH(B11,distBins,0), MATCH($B$3,nonMandPurposes,0))</f>
        <v>16381.2878</v>
      </c>
      <c r="E11">
        <f>INDEX(nonMandDC_input!$J$3:$O$23,MATCH(B11,distBins,0), MATCH($B$3,nonMandPurposes,0))*Index!$B$2</f>
        <v>18780</v>
      </c>
      <c r="F11" s="2">
        <f t="shared" si="0"/>
        <v>3.826765797715765E-2</v>
      </c>
      <c r="G11" s="2">
        <f t="shared" si="1"/>
        <v>4.250118813225609E-2</v>
      </c>
    </row>
    <row r="12" spans="1:22" x14ac:dyDescent="0.25">
      <c r="B12">
        <v>7</v>
      </c>
      <c r="C12">
        <v>15</v>
      </c>
      <c r="D12">
        <f>INDEX(nonMandDC_input!$B$3:$G$23,MATCH(B12,distBins,0), MATCH($B$3,nonMandPurposes,0))</f>
        <v>24389.401389999999</v>
      </c>
      <c r="E12">
        <f>INDEX(nonMandDC_input!$J$3:$O$23,MATCH(B12,distBins,0), MATCH($B$3,nonMandPurposes,0))*Index!$B$2</f>
        <v>14100</v>
      </c>
      <c r="F12" s="2">
        <f t="shared" si="0"/>
        <v>5.6975085356850474E-2</v>
      </c>
      <c r="G12" s="2">
        <f t="shared" si="1"/>
        <v>3.1909837735080451E-2</v>
      </c>
    </row>
    <row r="13" spans="1:22" x14ac:dyDescent="0.25">
      <c r="B13">
        <v>8</v>
      </c>
      <c r="C13">
        <v>17.5</v>
      </c>
      <c r="D13">
        <f>INDEX(nonMandDC_input!$B$3:$G$23,MATCH(B13,distBins,0), MATCH($B$3,nonMandPurposes,0))</f>
        <v>8438.4366100000007</v>
      </c>
      <c r="E13">
        <f>INDEX(nonMandDC_input!$J$3:$O$23,MATCH(B13,distBins,0), MATCH($B$3,nonMandPurposes,0))*Index!$B$2</f>
        <v>10770</v>
      </c>
      <c r="F13" s="2">
        <f t="shared" si="0"/>
        <v>1.9712687427016921E-2</v>
      </c>
      <c r="G13" s="2">
        <f t="shared" si="1"/>
        <v>2.4373684567859325E-2</v>
      </c>
    </row>
    <row r="14" spans="1:22" x14ac:dyDescent="0.25">
      <c r="B14">
        <v>9</v>
      </c>
      <c r="C14">
        <v>20</v>
      </c>
      <c r="D14">
        <f>INDEX(nonMandDC_input!$B$3:$G$23,MATCH(B14,distBins,0), MATCH($B$3,nonMandPurposes,0))</f>
        <v>12382.59895</v>
      </c>
      <c r="E14">
        <f>INDEX(nonMandDC_input!$J$3:$O$23,MATCH(B14,distBins,0), MATCH($B$3,nonMandPurposes,0))*Index!$B$2</f>
        <v>8890</v>
      </c>
      <c r="F14" s="2">
        <f t="shared" si="0"/>
        <v>2.8926484124582159E-2</v>
      </c>
      <c r="G14" s="2">
        <f t="shared" si="1"/>
        <v>2.0119039536515265E-2</v>
      </c>
    </row>
    <row r="15" spans="1:22" x14ac:dyDescent="0.25">
      <c r="B15">
        <v>10</v>
      </c>
      <c r="C15">
        <v>22.5</v>
      </c>
      <c r="D15">
        <f>INDEX(nonMandDC_input!$B$3:$G$23,MATCH(B15,distBins,0), MATCH($B$3,nonMandPurposes,0))</f>
        <v>5385.7124999999996</v>
      </c>
      <c r="E15">
        <f>INDEX(nonMandDC_input!$J$3:$O$23,MATCH(B15,distBins,0), MATCH($B$3,nonMandPurposes,0))*Index!$B$2</f>
        <v>7065</v>
      </c>
      <c r="F15" s="2">
        <f t="shared" si="0"/>
        <v>1.2581343202657282E-2</v>
      </c>
      <c r="G15" s="2">
        <f t="shared" si="1"/>
        <v>1.5988865503428609E-2</v>
      </c>
    </row>
    <row r="16" spans="1:22" x14ac:dyDescent="0.25">
      <c r="B16">
        <v>11</v>
      </c>
      <c r="C16">
        <v>25</v>
      </c>
      <c r="D16">
        <f>INDEX(nonMandDC_input!$B$3:$G$23,MATCH(B16,distBins,0), MATCH($B$3,nonMandPurposes,0))</f>
        <v>7215.5560500000001</v>
      </c>
      <c r="E16">
        <f>INDEX(nonMandDC_input!$J$3:$O$23,MATCH(B16,distBins,0), MATCH($B$3,nonMandPurposes,0))*Index!$B$2</f>
        <v>6535</v>
      </c>
      <c r="F16" s="2">
        <f t="shared" si="0"/>
        <v>1.6855966051485319E-2</v>
      </c>
      <c r="G16" s="2">
        <f t="shared" si="1"/>
        <v>1.4789417702039061E-2</v>
      </c>
    </row>
    <row r="17" spans="2:7" x14ac:dyDescent="0.25">
      <c r="B17">
        <v>12</v>
      </c>
      <c r="C17">
        <v>27.5</v>
      </c>
      <c r="D17">
        <f>INDEX(nonMandDC_input!$B$3:$G$23,MATCH(B17,distBins,0), MATCH($B$3,nonMandPurposes,0))</f>
        <v>2973.1649299999999</v>
      </c>
      <c r="E17">
        <f>INDEX(nonMandDC_input!$J$3:$O$23,MATCH(B17,distBins,0), MATCH($B$3,nonMandPurposes,0))*Index!$B$2</f>
        <v>6260</v>
      </c>
      <c r="F17" s="2">
        <f t="shared" si="0"/>
        <v>6.9454892704418425E-3</v>
      </c>
      <c r="G17" s="2">
        <f t="shared" si="1"/>
        <v>1.4167062710752031E-2</v>
      </c>
    </row>
    <row r="18" spans="2:7" x14ac:dyDescent="0.25">
      <c r="B18">
        <v>13</v>
      </c>
      <c r="C18">
        <v>30</v>
      </c>
      <c r="D18">
        <f>INDEX(nonMandDC_input!$B$3:$G$23,MATCH(B18,distBins,0), MATCH($B$3,nonMandPurposes,0))</f>
        <v>2782.3461000000002</v>
      </c>
      <c r="E18">
        <f>INDEX(nonMandDC_input!$J$3:$O$23,MATCH(B18,distBins,0), MATCH($B$3,nonMandPurposes,0))*Index!$B$2</f>
        <v>6325</v>
      </c>
      <c r="F18" s="2">
        <f t="shared" si="0"/>
        <v>6.4997251882039754E-3</v>
      </c>
      <c r="G18" s="2">
        <f t="shared" si="1"/>
        <v>1.4314164799601693E-2</v>
      </c>
    </row>
    <row r="19" spans="2:7" x14ac:dyDescent="0.25">
      <c r="B19">
        <v>14</v>
      </c>
      <c r="C19">
        <v>32.5</v>
      </c>
      <c r="D19">
        <f>INDEX(nonMandDC_input!$B$3:$G$23,MATCH(B19,distBins,0), MATCH($B$3,nonMandPurposes,0))</f>
        <v>3016.9526900000001</v>
      </c>
      <c r="E19">
        <f>INDEX(nonMandDC_input!$J$3:$O$23,MATCH(B19,distBins,0), MATCH($B$3,nonMandPurposes,0))*Index!$B$2</f>
        <v>5250</v>
      </c>
      <c r="F19" s="2">
        <f t="shared" si="0"/>
        <v>7.0477800697809441E-3</v>
      </c>
      <c r="G19" s="2">
        <f t="shared" si="1"/>
        <v>1.1881322560934212E-2</v>
      </c>
    </row>
    <row r="20" spans="2:7" x14ac:dyDescent="0.25">
      <c r="B20">
        <v>15</v>
      </c>
      <c r="C20">
        <v>35</v>
      </c>
      <c r="D20">
        <f>INDEX(nonMandDC_input!$B$3:$G$23,MATCH(B20,distBins,0), MATCH($B$3,nonMandPurposes,0))</f>
        <v>2076.9143199999999</v>
      </c>
      <c r="E20">
        <f>INDEX(nonMandDC_input!$J$3:$O$23,MATCH(B20,distBins,0), MATCH($B$3,nonMandPurposes,0))*Index!$B$2</f>
        <v>4335</v>
      </c>
      <c r="F20" s="2">
        <f t="shared" si="0"/>
        <v>4.8517947926915092E-3</v>
      </c>
      <c r="G20" s="2">
        <f t="shared" si="1"/>
        <v>9.8105777717428198E-3</v>
      </c>
    </row>
    <row r="21" spans="2:7" x14ac:dyDescent="0.25">
      <c r="B21">
        <v>16</v>
      </c>
      <c r="C21">
        <v>37.5</v>
      </c>
      <c r="D21">
        <f>INDEX(nonMandDC_input!$B$3:$G$23,MATCH(B21,distBins,0), MATCH($B$3,nonMandPurposes,0))</f>
        <v>764.26338999999996</v>
      </c>
      <c r="E21">
        <f>INDEX(nonMandDC_input!$J$3:$O$23,MATCH(B21,distBins,0), MATCH($B$3,nonMandPurposes,0))*Index!$B$2</f>
        <v>3635</v>
      </c>
      <c r="F21" s="2">
        <f t="shared" si="0"/>
        <v>1.785364518959434E-3</v>
      </c>
      <c r="G21" s="2">
        <f t="shared" si="1"/>
        <v>8.2264014302849253E-3</v>
      </c>
    </row>
    <row r="22" spans="2:7" x14ac:dyDescent="0.25">
      <c r="B22">
        <v>17</v>
      </c>
      <c r="C22">
        <v>40</v>
      </c>
      <c r="D22">
        <f>INDEX(nonMandDC_input!$B$3:$G$23,MATCH(B22,distBins,0), MATCH($B$3,nonMandPurposes,0))</f>
        <v>1362.71306</v>
      </c>
      <c r="E22">
        <f>INDEX(nonMandDC_input!$J$3:$O$23,MATCH(B22,distBins,0), MATCH($B$3,nonMandPurposes,0))*Index!$B$2</f>
        <v>3230</v>
      </c>
      <c r="F22" s="2">
        <f t="shared" si="0"/>
        <v>3.1833783727971566E-3</v>
      </c>
      <c r="G22" s="2">
        <f t="shared" si="1"/>
        <v>7.3098422612985717E-3</v>
      </c>
    </row>
    <row r="23" spans="2:7" x14ac:dyDescent="0.25">
      <c r="B23">
        <v>18</v>
      </c>
      <c r="C23">
        <v>42.5</v>
      </c>
      <c r="D23">
        <f>INDEX(nonMandDC_input!$B$3:$G$23,MATCH(B23,distBins,0), MATCH($B$3,nonMandPurposes,0))</f>
        <v>1338.5353299999999</v>
      </c>
      <c r="E23">
        <f>INDEX(nonMandDC_input!$J$3:$O$23,MATCH(B23,distBins,0), MATCH($B$3,nonMandPurposes,0))*Index!$B$2</f>
        <v>2690</v>
      </c>
      <c r="F23" s="2">
        <f t="shared" si="0"/>
        <v>3.1268977643370533E-3</v>
      </c>
      <c r="G23" s="2">
        <f t="shared" si="1"/>
        <v>6.0877633693167676E-3</v>
      </c>
    </row>
    <row r="24" spans="2:7" x14ac:dyDescent="0.25">
      <c r="B24">
        <v>19</v>
      </c>
      <c r="C24">
        <v>45</v>
      </c>
      <c r="D24">
        <f>INDEX(nonMandDC_input!$B$3:$G$23,MATCH(B24,distBins,0), MATCH($B$3,nonMandPurposes,0))</f>
        <v>1423.1418699999999</v>
      </c>
      <c r="E24">
        <f>INDEX(nonMandDC_input!$J$3:$O$23,MATCH(B24,distBins,0), MATCH($B$3,nonMandPurposes,0))*Index!$B$2</f>
        <v>2155</v>
      </c>
      <c r="F24" s="2">
        <f t="shared" si="0"/>
        <v>3.3245436499890167E-3</v>
      </c>
      <c r="G24" s="2">
        <f t="shared" si="1"/>
        <v>4.8770000226310908E-3</v>
      </c>
    </row>
    <row r="25" spans="2:7" x14ac:dyDescent="0.25">
      <c r="B25">
        <v>20</v>
      </c>
      <c r="C25">
        <v>47.5</v>
      </c>
      <c r="D25">
        <f>INDEX(nonMandDC_input!$B$3:$G$23,MATCH(B25,distBins,0), MATCH($B$3,nonMandPurposes,0))</f>
        <v>1879.85022</v>
      </c>
      <c r="E25">
        <f>INDEX(nonMandDC_input!$J$3:$O$23,MATCH(B25,distBins,0), MATCH($B$3,nonMandPurposes,0))*Index!$B$2</f>
        <v>1635</v>
      </c>
      <c r="F25" s="2">
        <f t="shared" si="0"/>
        <v>4.3914413900502111E-3</v>
      </c>
      <c r="G25" s="2">
        <f t="shared" si="1"/>
        <v>3.7001833118337972E-3</v>
      </c>
    </row>
    <row r="26" spans="2:7" x14ac:dyDescent="0.25">
      <c r="B26">
        <v>21</v>
      </c>
      <c r="C26">
        <v>50</v>
      </c>
      <c r="D26">
        <f>INDEX(nonMandDC_input!$B$3:$G$23,MATCH(B26,distBins,0), MATCH($B$3,nonMandPurposes,0))</f>
        <v>2972.4199899999999</v>
      </c>
      <c r="E26">
        <f>INDEX(nonMandDC_input!$J$3:$O$23,MATCH(B26,distBins,0), MATCH($B$3,nonMandPurposes,0))*Index!$B$2</f>
        <v>6925</v>
      </c>
      <c r="F26" s="2">
        <f t="shared" si="0"/>
        <v>6.9437490465057549E-3</v>
      </c>
      <c r="G26" s="2">
        <f t="shared" si="1"/>
        <v>1.5672030235137031E-2</v>
      </c>
    </row>
    <row r="27" spans="2:7" x14ac:dyDescent="0.25">
      <c r="F27" s="2"/>
      <c r="G27" s="2"/>
    </row>
    <row r="28" spans="2:7" x14ac:dyDescent="0.25">
      <c r="F28" s="2"/>
      <c r="G28" s="2"/>
    </row>
    <row r="29" spans="2:7" x14ac:dyDescent="0.25">
      <c r="F29" s="2"/>
      <c r="G29" s="2"/>
    </row>
    <row r="30" spans="2:7" x14ac:dyDescent="0.25">
      <c r="F30" s="2"/>
      <c r="G30" s="2"/>
    </row>
    <row r="31" spans="2:7" x14ac:dyDescent="0.25">
      <c r="F31" s="2"/>
      <c r="G31" s="2"/>
    </row>
    <row r="32" spans="2:7" x14ac:dyDescent="0.25">
      <c r="F32" s="2"/>
      <c r="G32" s="2"/>
    </row>
    <row r="33" spans="6:7" x14ac:dyDescent="0.25">
      <c r="F33" s="2"/>
      <c r="G33" s="2"/>
    </row>
    <row r="34" spans="6:7" x14ac:dyDescent="0.25">
      <c r="F34" s="2"/>
      <c r="G34" s="2"/>
    </row>
    <row r="35" spans="6:7" x14ac:dyDescent="0.25">
      <c r="F35" s="2"/>
      <c r="G35" s="2"/>
    </row>
    <row r="36" spans="6:7" x14ac:dyDescent="0.25">
      <c r="F36" s="2"/>
      <c r="G36" s="2"/>
    </row>
    <row r="37" spans="6:7" x14ac:dyDescent="0.25">
      <c r="F37" s="2"/>
      <c r="G37" s="2"/>
    </row>
    <row r="38" spans="6:7" x14ac:dyDescent="0.25">
      <c r="F38" s="2"/>
      <c r="G38" s="2"/>
    </row>
    <row r="39" spans="6:7" x14ac:dyDescent="0.25">
      <c r="F39" s="2"/>
      <c r="G39" s="2"/>
    </row>
    <row r="40" spans="6:7" x14ac:dyDescent="0.25">
      <c r="F40" s="2"/>
      <c r="G40" s="2"/>
    </row>
    <row r="41" spans="6:7" x14ac:dyDescent="0.25">
      <c r="F41" s="2"/>
      <c r="G41" s="2"/>
    </row>
    <row r="42" spans="6:7" x14ac:dyDescent="0.25">
      <c r="F42" s="2"/>
      <c r="G42" s="2"/>
    </row>
    <row r="43" spans="6:7" x14ac:dyDescent="0.25">
      <c r="F43" s="2"/>
      <c r="G43" s="2"/>
    </row>
    <row r="44" spans="6:7" x14ac:dyDescent="0.25">
      <c r="F44" s="2"/>
      <c r="G44" s="2"/>
    </row>
    <row r="45" spans="6:7" x14ac:dyDescent="0.25">
      <c r="F45" s="2"/>
      <c r="G45" s="2"/>
    </row>
    <row r="46" spans="6:7" x14ac:dyDescent="0.25">
      <c r="F46" s="2"/>
      <c r="G46" s="2"/>
    </row>
  </sheetData>
  <mergeCells count="3">
    <mergeCell ref="D4:E4"/>
    <mergeCell ref="F4:G4"/>
    <mergeCell ref="I5:V5"/>
  </mergeCells>
  <hyperlinks>
    <hyperlink ref="A1" location="Index!A1" display="Index"/>
  </hyperlinks>
  <pageMargins left="0.7" right="0.7" top="0.75" bottom="0.75" header="0.3" footer="0.3"/>
  <pageSetup orientation="portrait" r:id="rId1"/>
  <drawing r:id="rId2"/>
  <legacyDrawing r:id="rId3"/>
  <controls>
    <mc:AlternateContent xmlns:mc="http://schemas.openxmlformats.org/markup-compatibility/2006">
      <mc:Choice Requires="x14">
        <control shapeId="10241" r:id="rId4" name="ComboBox1">
          <controlPr defaultSize="0" autoLine="0" linkedCell="B3" listFillRange="nonMandPurposes" r:id="rId5">
            <anchor moveWithCells="1">
              <from>
                <xdr:col>0</xdr:col>
                <xdr:colOff>590550</xdr:colOff>
                <xdr:row>2</xdr:row>
                <xdr:rowOff>0</xdr:rowOff>
              </from>
              <to>
                <xdr:col>2</xdr:col>
                <xdr:colOff>38100</xdr:colOff>
                <xdr:row>3</xdr:row>
                <xdr:rowOff>28575</xdr:rowOff>
              </to>
            </anchor>
          </controlPr>
        </control>
      </mc:Choice>
      <mc:Fallback>
        <control shapeId="10241" r:id="rId4" name="ComboBox1"/>
      </mc:Fallback>
    </mc:AlternateContent>
  </control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A23"/>
  <sheetViews>
    <sheetView workbookViewId="0">
      <selection activeCell="P40" sqref="P40"/>
    </sheetView>
  </sheetViews>
  <sheetFormatPr defaultRowHeight="15" x14ac:dyDescent="0.25"/>
  <sheetData>
    <row r="1" spans="1:27" x14ac:dyDescent="0.25">
      <c r="A1" t="s">
        <v>7</v>
      </c>
      <c r="I1" t="s">
        <v>3</v>
      </c>
    </row>
    <row r="2" spans="1:27" x14ac:dyDescent="0.25">
      <c r="B2" t="s">
        <v>180</v>
      </c>
      <c r="C2" t="s">
        <v>117</v>
      </c>
      <c r="D2" t="s">
        <v>118</v>
      </c>
      <c r="E2" t="s">
        <v>119</v>
      </c>
      <c r="F2" t="s">
        <v>120</v>
      </c>
      <c r="G2" t="s">
        <v>121</v>
      </c>
      <c r="J2" t="s">
        <v>180</v>
      </c>
      <c r="K2" t="s">
        <v>117</v>
      </c>
      <c r="L2" t="s">
        <v>118</v>
      </c>
      <c r="M2" t="s">
        <v>119</v>
      </c>
      <c r="N2" t="s">
        <v>120</v>
      </c>
      <c r="O2" t="s">
        <v>121</v>
      </c>
      <c r="R2" t="s">
        <v>180</v>
      </c>
      <c r="V2" t="s">
        <v>180</v>
      </c>
      <c r="W2" t="s">
        <v>117</v>
      </c>
      <c r="X2" t="s">
        <v>118</v>
      </c>
      <c r="Y2" t="s">
        <v>119</v>
      </c>
      <c r="Z2" t="s">
        <v>120</v>
      </c>
      <c r="AA2" t="s">
        <v>121</v>
      </c>
    </row>
    <row r="3" spans="1:27" x14ac:dyDescent="0.25">
      <c r="A3">
        <v>1</v>
      </c>
      <c r="B3">
        <v>511828.50971999997</v>
      </c>
      <c r="C3">
        <v>486255.15367999999</v>
      </c>
      <c r="D3">
        <v>493082.03659999999</v>
      </c>
      <c r="E3">
        <v>114631.91472</v>
      </c>
      <c r="F3">
        <v>101023.7804</v>
      </c>
      <c r="G3">
        <v>196403.22677000001</v>
      </c>
      <c r="I3">
        <v>1</v>
      </c>
      <c r="J3">
        <v>64868</v>
      </c>
      <c r="K3">
        <v>83791</v>
      </c>
      <c r="L3">
        <v>88050</v>
      </c>
      <c r="M3">
        <v>14969</v>
      </c>
      <c r="N3">
        <v>11890</v>
      </c>
      <c r="O3">
        <v>94637</v>
      </c>
      <c r="R3" t="s">
        <v>117</v>
      </c>
      <c r="U3">
        <v>1</v>
      </c>
      <c r="V3">
        <v>64868</v>
      </c>
      <c r="W3">
        <v>83791</v>
      </c>
      <c r="X3">
        <v>88050</v>
      </c>
      <c r="Y3">
        <v>14969</v>
      </c>
      <c r="Z3">
        <v>11890</v>
      </c>
      <c r="AA3">
        <v>94637</v>
      </c>
    </row>
    <row r="4" spans="1:27" x14ac:dyDescent="0.25">
      <c r="A4">
        <v>2</v>
      </c>
      <c r="B4">
        <v>349383.53681999998</v>
      </c>
      <c r="C4">
        <v>497808.22593999997</v>
      </c>
      <c r="D4">
        <v>395294.18079999997</v>
      </c>
      <c r="E4">
        <v>137715.76558000001</v>
      </c>
      <c r="F4">
        <v>105206.89679</v>
      </c>
      <c r="G4">
        <v>93593.135689999996</v>
      </c>
      <c r="I4">
        <v>2</v>
      </c>
      <c r="J4">
        <v>85410</v>
      </c>
      <c r="K4">
        <v>186595</v>
      </c>
      <c r="L4">
        <v>149966</v>
      </c>
      <c r="M4">
        <v>33880</v>
      </c>
      <c r="N4">
        <v>22308</v>
      </c>
      <c r="O4">
        <v>84005</v>
      </c>
      <c r="R4" t="s">
        <v>118</v>
      </c>
      <c r="U4">
        <v>2</v>
      </c>
      <c r="V4">
        <v>85410</v>
      </c>
      <c r="W4">
        <v>186595</v>
      </c>
      <c r="X4">
        <v>149966</v>
      </c>
      <c r="Y4">
        <v>33880</v>
      </c>
      <c r="Z4">
        <v>22308</v>
      </c>
      <c r="AA4">
        <v>84005</v>
      </c>
    </row>
    <row r="5" spans="1:27" x14ac:dyDescent="0.25">
      <c r="A5">
        <v>3</v>
      </c>
      <c r="B5">
        <v>132648.23263000001</v>
      </c>
      <c r="C5">
        <v>326298.82387999998</v>
      </c>
      <c r="D5">
        <v>208150.31182999999</v>
      </c>
      <c r="E5">
        <v>97731.677299999996</v>
      </c>
      <c r="F5">
        <v>72905.833830000003</v>
      </c>
      <c r="G5">
        <v>54403.777849999999</v>
      </c>
      <c r="I5">
        <v>3</v>
      </c>
      <c r="J5">
        <v>51350</v>
      </c>
      <c r="K5">
        <v>143853</v>
      </c>
      <c r="L5">
        <v>104062</v>
      </c>
      <c r="M5">
        <v>26324</v>
      </c>
      <c r="N5">
        <v>17559</v>
      </c>
      <c r="O5">
        <v>43156</v>
      </c>
      <c r="R5" t="s">
        <v>119</v>
      </c>
      <c r="U5">
        <v>3</v>
      </c>
      <c r="V5">
        <v>51350</v>
      </c>
      <c r="W5">
        <v>143853</v>
      </c>
      <c r="X5">
        <v>104062</v>
      </c>
      <c r="Y5">
        <v>26324</v>
      </c>
      <c r="Z5">
        <v>17559</v>
      </c>
      <c r="AA5">
        <v>43156</v>
      </c>
    </row>
    <row r="6" spans="1:27" x14ac:dyDescent="0.25">
      <c r="A6">
        <v>4</v>
      </c>
      <c r="B6">
        <v>59357.341410000001</v>
      </c>
      <c r="C6">
        <v>149713.43859999999</v>
      </c>
      <c r="D6">
        <v>90426.61434</v>
      </c>
      <c r="E6">
        <v>43903.79178</v>
      </c>
      <c r="F6">
        <v>31605.577600000001</v>
      </c>
      <c r="G6">
        <v>18502.96459</v>
      </c>
      <c r="I6">
        <v>4</v>
      </c>
      <c r="J6">
        <v>21267</v>
      </c>
      <c r="K6">
        <v>67091</v>
      </c>
      <c r="L6">
        <v>52646</v>
      </c>
      <c r="M6">
        <v>12705</v>
      </c>
      <c r="N6">
        <v>9170</v>
      </c>
      <c r="O6">
        <v>14501</v>
      </c>
      <c r="R6" t="s">
        <v>120</v>
      </c>
      <c r="U6">
        <v>4</v>
      </c>
      <c r="V6">
        <v>21267</v>
      </c>
      <c r="W6">
        <v>67091</v>
      </c>
      <c r="X6">
        <v>52646</v>
      </c>
      <c r="Y6">
        <v>12705</v>
      </c>
      <c r="Z6">
        <v>9170</v>
      </c>
      <c r="AA6">
        <v>14501</v>
      </c>
    </row>
    <row r="7" spans="1:27" x14ac:dyDescent="0.25">
      <c r="A7">
        <v>5</v>
      </c>
      <c r="B7">
        <v>33931.557390000002</v>
      </c>
      <c r="C7">
        <v>183470.12925999999</v>
      </c>
      <c r="D7">
        <v>63951.738960000002</v>
      </c>
      <c r="E7">
        <v>26757.385139999999</v>
      </c>
      <c r="F7">
        <v>22545.960650000001</v>
      </c>
      <c r="G7">
        <v>8999.5206300000009</v>
      </c>
      <c r="I7">
        <v>5</v>
      </c>
      <c r="J7">
        <v>12013</v>
      </c>
      <c r="K7">
        <v>38096</v>
      </c>
      <c r="L7">
        <v>32888</v>
      </c>
      <c r="M7">
        <v>7346</v>
      </c>
      <c r="N7">
        <v>5731</v>
      </c>
      <c r="O7">
        <v>5655</v>
      </c>
      <c r="R7" t="s">
        <v>121</v>
      </c>
      <c r="U7">
        <v>5</v>
      </c>
      <c r="V7">
        <v>12013</v>
      </c>
      <c r="W7">
        <v>38096</v>
      </c>
      <c r="X7">
        <v>32888</v>
      </c>
      <c r="Y7">
        <v>7346</v>
      </c>
      <c r="Z7">
        <v>5731</v>
      </c>
      <c r="AA7">
        <v>5655</v>
      </c>
    </row>
    <row r="8" spans="1:27" x14ac:dyDescent="0.25">
      <c r="A8">
        <v>6</v>
      </c>
      <c r="B8">
        <v>24784.147990000001</v>
      </c>
      <c r="C8">
        <v>50749.039579999997</v>
      </c>
      <c r="D8">
        <v>48103.489479999997</v>
      </c>
      <c r="E8">
        <v>13291.352290000001</v>
      </c>
      <c r="F8">
        <v>16381.2878</v>
      </c>
      <c r="G8">
        <v>14242.458210000001</v>
      </c>
      <c r="I8">
        <v>6</v>
      </c>
      <c r="J8">
        <v>7312</v>
      </c>
      <c r="K8">
        <v>21892</v>
      </c>
      <c r="L8">
        <v>21405</v>
      </c>
      <c r="M8">
        <v>4616</v>
      </c>
      <c r="N8">
        <v>3756</v>
      </c>
      <c r="O8">
        <v>2664</v>
      </c>
      <c r="U8">
        <v>6</v>
      </c>
      <c r="V8">
        <v>7312</v>
      </c>
      <c r="W8">
        <v>21892</v>
      </c>
      <c r="X8">
        <v>21405</v>
      </c>
      <c r="Y8">
        <v>4616</v>
      </c>
      <c r="Z8">
        <v>3756</v>
      </c>
      <c r="AA8">
        <v>2664</v>
      </c>
    </row>
    <row r="9" spans="1:27" x14ac:dyDescent="0.25">
      <c r="A9">
        <v>7</v>
      </c>
      <c r="B9">
        <v>13175.39452</v>
      </c>
      <c r="C9">
        <v>65984.279500000004</v>
      </c>
      <c r="D9">
        <v>39506.521000000001</v>
      </c>
      <c r="E9">
        <v>8833.3417300000001</v>
      </c>
      <c r="F9">
        <v>24389.401389999999</v>
      </c>
      <c r="G9">
        <v>3891.2173400000001</v>
      </c>
      <c r="I9">
        <v>7</v>
      </c>
      <c r="J9">
        <v>5057</v>
      </c>
      <c r="K9">
        <v>13102</v>
      </c>
      <c r="L9">
        <v>15135</v>
      </c>
      <c r="M9">
        <v>2775</v>
      </c>
      <c r="N9">
        <v>2820</v>
      </c>
      <c r="O9">
        <v>1469</v>
      </c>
      <c r="U9">
        <v>7</v>
      </c>
      <c r="V9">
        <v>5057</v>
      </c>
      <c r="W9">
        <v>13102</v>
      </c>
      <c r="X9">
        <v>15135</v>
      </c>
      <c r="Y9">
        <v>2775</v>
      </c>
      <c r="Z9">
        <v>2820</v>
      </c>
      <c r="AA9">
        <v>1469</v>
      </c>
    </row>
    <row r="10" spans="1:27" x14ac:dyDescent="0.25">
      <c r="A10">
        <v>8</v>
      </c>
      <c r="B10">
        <v>8396.2492199999997</v>
      </c>
      <c r="C10">
        <v>31233.12369</v>
      </c>
      <c r="D10">
        <v>39103.285340000002</v>
      </c>
      <c r="E10">
        <v>6825.6275900000001</v>
      </c>
      <c r="F10">
        <v>8438.4366100000007</v>
      </c>
      <c r="G10">
        <v>7486.76674</v>
      </c>
      <c r="I10">
        <v>8</v>
      </c>
      <c r="J10">
        <v>3613</v>
      </c>
      <c r="K10">
        <v>8639</v>
      </c>
      <c r="L10">
        <v>11378</v>
      </c>
      <c r="M10">
        <v>1769</v>
      </c>
      <c r="N10">
        <v>2154</v>
      </c>
      <c r="O10">
        <v>770</v>
      </c>
      <c r="R10" t="s">
        <v>182</v>
      </c>
      <c r="U10">
        <v>8</v>
      </c>
      <c r="V10">
        <v>3613</v>
      </c>
      <c r="W10">
        <v>8639</v>
      </c>
      <c r="X10">
        <v>11378</v>
      </c>
      <c r="Y10">
        <v>1769</v>
      </c>
      <c r="Z10">
        <v>2154</v>
      </c>
      <c r="AA10">
        <v>770</v>
      </c>
    </row>
    <row r="11" spans="1:27" x14ac:dyDescent="0.25">
      <c r="A11">
        <v>9</v>
      </c>
      <c r="B11">
        <v>10711.834000000001</v>
      </c>
      <c r="C11">
        <v>14380.014069999999</v>
      </c>
      <c r="D11">
        <v>18400.106899999999</v>
      </c>
      <c r="E11">
        <v>2597.5874600000002</v>
      </c>
      <c r="F11">
        <v>12382.59895</v>
      </c>
      <c r="G11">
        <v>3649.3921099999998</v>
      </c>
      <c r="I11">
        <v>9</v>
      </c>
      <c r="J11">
        <v>2777</v>
      </c>
      <c r="K11">
        <v>5661</v>
      </c>
      <c r="L11">
        <v>9013</v>
      </c>
      <c r="M11">
        <v>1205</v>
      </c>
      <c r="N11">
        <v>1778</v>
      </c>
      <c r="O11">
        <v>548</v>
      </c>
      <c r="R11" t="s">
        <v>7</v>
      </c>
      <c r="S11" t="s">
        <v>3</v>
      </c>
      <c r="U11">
        <v>9</v>
      </c>
      <c r="V11">
        <v>2777</v>
      </c>
      <c r="W11">
        <v>5661</v>
      </c>
      <c r="X11">
        <v>9013</v>
      </c>
      <c r="Y11">
        <v>1205</v>
      </c>
      <c r="Z11">
        <v>1778</v>
      </c>
      <c r="AA11">
        <v>548</v>
      </c>
    </row>
    <row r="12" spans="1:27" x14ac:dyDescent="0.25">
      <c r="A12">
        <v>10</v>
      </c>
      <c r="B12">
        <v>7659.2650800000001</v>
      </c>
      <c r="C12">
        <v>13798.2484</v>
      </c>
      <c r="D12">
        <v>15348.929179999999</v>
      </c>
      <c r="E12">
        <v>2259.89903</v>
      </c>
      <c r="F12">
        <v>5385.7124999999996</v>
      </c>
      <c r="G12">
        <v>6057.2693799999997</v>
      </c>
      <c r="I12">
        <v>10</v>
      </c>
      <c r="J12">
        <v>2215</v>
      </c>
      <c r="K12">
        <v>3955</v>
      </c>
      <c r="L12">
        <v>7616</v>
      </c>
      <c r="M12">
        <v>836</v>
      </c>
      <c r="N12">
        <v>1413</v>
      </c>
      <c r="O12">
        <v>544</v>
      </c>
      <c r="Q12" t="s">
        <v>180</v>
      </c>
      <c r="R12" s="157">
        <v>5.24</v>
      </c>
      <c r="S12" s="157">
        <v>6.7226699999999999</v>
      </c>
      <c r="U12">
        <v>10</v>
      </c>
      <c r="V12">
        <v>2215</v>
      </c>
      <c r="W12">
        <v>3955</v>
      </c>
      <c r="X12">
        <v>7616</v>
      </c>
      <c r="Y12">
        <v>836</v>
      </c>
      <c r="Z12">
        <v>1413</v>
      </c>
      <c r="AA12">
        <v>544</v>
      </c>
    </row>
    <row r="13" spans="1:27" x14ac:dyDescent="0.25">
      <c r="A13">
        <v>11</v>
      </c>
      <c r="B13">
        <v>5382.9634100000003</v>
      </c>
      <c r="C13">
        <v>20760.412069999998</v>
      </c>
      <c r="D13">
        <v>9549.9555</v>
      </c>
      <c r="E13">
        <v>4700.1565199999995</v>
      </c>
      <c r="F13">
        <v>7215.5560500000001</v>
      </c>
      <c r="G13">
        <v>2703.3159799999999</v>
      </c>
      <c r="I13">
        <v>11</v>
      </c>
      <c r="J13">
        <v>1766</v>
      </c>
      <c r="K13">
        <v>2764</v>
      </c>
      <c r="L13">
        <v>6743</v>
      </c>
      <c r="M13">
        <v>624</v>
      </c>
      <c r="N13">
        <v>1307</v>
      </c>
      <c r="O13">
        <v>637</v>
      </c>
      <c r="Q13" t="s">
        <v>117</v>
      </c>
      <c r="R13" s="157">
        <v>6.77</v>
      </c>
      <c r="S13" s="157">
        <v>7.1120270000000003</v>
      </c>
      <c r="U13">
        <v>11</v>
      </c>
      <c r="V13">
        <v>1766</v>
      </c>
      <c r="W13">
        <v>2764</v>
      </c>
      <c r="X13">
        <v>6743</v>
      </c>
      <c r="Y13">
        <v>624</v>
      </c>
      <c r="Z13">
        <v>1307</v>
      </c>
      <c r="AA13">
        <v>637</v>
      </c>
    </row>
    <row r="14" spans="1:27" x14ac:dyDescent="0.25">
      <c r="A14">
        <v>12</v>
      </c>
      <c r="B14">
        <v>1000.04066</v>
      </c>
      <c r="C14">
        <v>4076.9741899999999</v>
      </c>
      <c r="D14">
        <v>7736.58493</v>
      </c>
      <c r="E14">
        <v>2150.5848299999998</v>
      </c>
      <c r="F14">
        <v>2973.1649299999999</v>
      </c>
      <c r="G14">
        <v>2399.2737900000002</v>
      </c>
      <c r="I14">
        <v>12</v>
      </c>
      <c r="J14">
        <v>1390</v>
      </c>
      <c r="K14">
        <v>2054</v>
      </c>
      <c r="L14">
        <v>6508</v>
      </c>
      <c r="M14">
        <v>409</v>
      </c>
      <c r="N14">
        <v>1252</v>
      </c>
      <c r="O14">
        <v>599</v>
      </c>
      <c r="Q14" t="s">
        <v>118</v>
      </c>
      <c r="R14" s="157">
        <v>6.97</v>
      </c>
      <c r="S14" s="157">
        <v>9.4861540000000009</v>
      </c>
      <c r="U14">
        <v>12</v>
      </c>
      <c r="V14">
        <v>1390</v>
      </c>
      <c r="W14">
        <v>2054</v>
      </c>
      <c r="X14">
        <v>6508</v>
      </c>
      <c r="Y14">
        <v>409</v>
      </c>
      <c r="Z14">
        <v>1252</v>
      </c>
      <c r="AA14">
        <v>599</v>
      </c>
    </row>
    <row r="15" spans="1:27" x14ac:dyDescent="0.25">
      <c r="A15">
        <v>13</v>
      </c>
      <c r="B15">
        <v>1440.48741</v>
      </c>
      <c r="C15">
        <v>4604.49028</v>
      </c>
      <c r="D15">
        <v>7934.0223699999997</v>
      </c>
      <c r="E15">
        <v>3183.9062300000001</v>
      </c>
      <c r="F15">
        <v>2782.3461000000002</v>
      </c>
      <c r="G15">
        <v>2698.7641199999998</v>
      </c>
      <c r="I15">
        <v>13</v>
      </c>
      <c r="J15">
        <v>1195</v>
      </c>
      <c r="K15">
        <v>1509</v>
      </c>
      <c r="L15">
        <v>6078</v>
      </c>
      <c r="M15">
        <v>300</v>
      </c>
      <c r="N15">
        <v>1265</v>
      </c>
      <c r="O15">
        <v>593</v>
      </c>
      <c r="Q15" t="s">
        <v>119</v>
      </c>
      <c r="R15" s="157">
        <v>6.82</v>
      </c>
      <c r="S15" s="157">
        <v>7.409389</v>
      </c>
      <c r="U15">
        <v>13</v>
      </c>
      <c r="V15">
        <v>1195</v>
      </c>
      <c r="W15">
        <v>1509</v>
      </c>
      <c r="X15">
        <v>6078</v>
      </c>
      <c r="Y15">
        <v>300</v>
      </c>
      <c r="Z15">
        <v>1265</v>
      </c>
      <c r="AA15">
        <v>593</v>
      </c>
    </row>
    <row r="16" spans="1:27" x14ac:dyDescent="0.25">
      <c r="A16">
        <v>14</v>
      </c>
      <c r="B16">
        <v>4377.5203700000002</v>
      </c>
      <c r="C16">
        <v>3359.7273100000002</v>
      </c>
      <c r="D16">
        <v>4190.7936300000001</v>
      </c>
      <c r="E16">
        <v>1370.5625199999999</v>
      </c>
      <c r="F16">
        <v>3016.9526900000001</v>
      </c>
      <c r="G16">
        <v>467.46573999999998</v>
      </c>
      <c r="I16">
        <v>14</v>
      </c>
      <c r="J16">
        <v>1030</v>
      </c>
      <c r="K16">
        <v>1168</v>
      </c>
      <c r="L16">
        <v>5256</v>
      </c>
      <c r="M16">
        <v>254</v>
      </c>
      <c r="N16">
        <v>1050</v>
      </c>
      <c r="O16">
        <v>591</v>
      </c>
      <c r="Q16" t="s">
        <v>120</v>
      </c>
      <c r="R16" s="157">
        <v>8.67</v>
      </c>
      <c r="S16" s="157">
        <v>10.576879999999999</v>
      </c>
      <c r="U16">
        <v>14</v>
      </c>
      <c r="V16">
        <v>1030</v>
      </c>
      <c r="W16">
        <v>1168</v>
      </c>
      <c r="X16">
        <v>5256</v>
      </c>
      <c r="Y16">
        <v>254</v>
      </c>
      <c r="Z16">
        <v>1050</v>
      </c>
      <c r="AA16">
        <v>591</v>
      </c>
    </row>
    <row r="17" spans="1:27" x14ac:dyDescent="0.25">
      <c r="A17">
        <v>15</v>
      </c>
      <c r="B17">
        <v>9625.0503100000005</v>
      </c>
      <c r="C17">
        <v>3167.0179499999999</v>
      </c>
      <c r="D17">
        <v>2610.9205400000001</v>
      </c>
      <c r="E17">
        <v>1492.20254</v>
      </c>
      <c r="F17">
        <v>2076.9143199999999</v>
      </c>
      <c r="G17">
        <v>1501.1182899999999</v>
      </c>
      <c r="I17">
        <v>15</v>
      </c>
      <c r="J17">
        <v>851</v>
      </c>
      <c r="K17">
        <v>909</v>
      </c>
      <c r="L17">
        <v>4408</v>
      </c>
      <c r="M17">
        <v>203</v>
      </c>
      <c r="N17">
        <v>867</v>
      </c>
      <c r="O17">
        <v>544</v>
      </c>
      <c r="Q17" t="s">
        <v>121</v>
      </c>
      <c r="R17" s="157">
        <v>5.35</v>
      </c>
      <c r="S17" s="157">
        <v>4.7425870000000003</v>
      </c>
      <c r="U17">
        <v>15</v>
      </c>
      <c r="V17">
        <v>851</v>
      </c>
      <c r="W17">
        <v>909</v>
      </c>
      <c r="X17">
        <v>4408</v>
      </c>
      <c r="Y17">
        <v>203</v>
      </c>
      <c r="Z17">
        <v>867</v>
      </c>
      <c r="AA17">
        <v>544</v>
      </c>
    </row>
    <row r="18" spans="1:27" x14ac:dyDescent="0.25">
      <c r="A18">
        <v>16</v>
      </c>
      <c r="B18">
        <v>2106.5023500000002</v>
      </c>
      <c r="C18">
        <v>3469.7913199999998</v>
      </c>
      <c r="D18">
        <v>3366.0198799999998</v>
      </c>
      <c r="E18">
        <v>137.57767999999999</v>
      </c>
      <c r="F18">
        <v>764.26338999999996</v>
      </c>
      <c r="G18">
        <v>904.63009999999997</v>
      </c>
      <c r="I18">
        <v>16</v>
      </c>
      <c r="J18">
        <v>709</v>
      </c>
      <c r="K18">
        <v>778</v>
      </c>
      <c r="L18">
        <v>3679</v>
      </c>
      <c r="M18">
        <v>162</v>
      </c>
      <c r="N18">
        <v>727</v>
      </c>
      <c r="O18">
        <v>493</v>
      </c>
      <c r="U18">
        <v>16</v>
      </c>
      <c r="V18">
        <v>709</v>
      </c>
      <c r="W18">
        <v>778</v>
      </c>
      <c r="X18">
        <v>3679</v>
      </c>
      <c r="Y18">
        <v>162</v>
      </c>
      <c r="Z18">
        <v>727</v>
      </c>
      <c r="AA18">
        <v>493</v>
      </c>
    </row>
    <row r="19" spans="1:27" x14ac:dyDescent="0.25">
      <c r="A19">
        <v>17</v>
      </c>
      <c r="B19">
        <v>1539.7255700000001</v>
      </c>
      <c r="C19">
        <v>3528.8029900000001</v>
      </c>
      <c r="D19">
        <v>5701.53647</v>
      </c>
      <c r="E19">
        <v>313.61173000000002</v>
      </c>
      <c r="F19">
        <v>1362.71306</v>
      </c>
      <c r="G19">
        <v>824.00127999999995</v>
      </c>
      <c r="I19">
        <v>17</v>
      </c>
      <c r="J19">
        <v>644</v>
      </c>
      <c r="K19">
        <v>650</v>
      </c>
      <c r="L19">
        <v>3154</v>
      </c>
      <c r="M19">
        <v>145</v>
      </c>
      <c r="N19">
        <v>646</v>
      </c>
      <c r="O19">
        <v>436</v>
      </c>
      <c r="U19">
        <v>17</v>
      </c>
      <c r="V19">
        <v>644</v>
      </c>
      <c r="W19">
        <v>650</v>
      </c>
      <c r="X19">
        <v>3154</v>
      </c>
      <c r="Y19">
        <v>145</v>
      </c>
      <c r="Z19">
        <v>646</v>
      </c>
      <c r="AA19">
        <v>436</v>
      </c>
    </row>
    <row r="20" spans="1:27" x14ac:dyDescent="0.25">
      <c r="A20">
        <v>18</v>
      </c>
      <c r="B20">
        <v>888.01441999999997</v>
      </c>
      <c r="C20">
        <v>3148.9666900000002</v>
      </c>
      <c r="D20">
        <v>4180.9953100000002</v>
      </c>
      <c r="E20">
        <v>2937.3691899999999</v>
      </c>
      <c r="F20">
        <v>1338.5353299999999</v>
      </c>
      <c r="G20">
        <v>1665.2651499999999</v>
      </c>
      <c r="I20">
        <v>18</v>
      </c>
      <c r="J20">
        <v>519</v>
      </c>
      <c r="K20">
        <v>576</v>
      </c>
      <c r="L20">
        <v>2621</v>
      </c>
      <c r="M20">
        <v>124</v>
      </c>
      <c r="N20">
        <v>538</v>
      </c>
      <c r="O20">
        <v>394</v>
      </c>
      <c r="U20">
        <v>18</v>
      </c>
      <c r="V20">
        <v>519</v>
      </c>
      <c r="W20">
        <v>576</v>
      </c>
      <c r="X20">
        <v>2621</v>
      </c>
      <c r="Y20">
        <v>124</v>
      </c>
      <c r="Z20">
        <v>538</v>
      </c>
      <c r="AA20">
        <v>394</v>
      </c>
    </row>
    <row r="21" spans="1:27" x14ac:dyDescent="0.25">
      <c r="A21">
        <v>19</v>
      </c>
      <c r="B21">
        <v>2588.3699299999998</v>
      </c>
      <c r="C21">
        <v>1720.4924000000001</v>
      </c>
      <c r="D21">
        <v>4923.3213100000003</v>
      </c>
      <c r="E21">
        <v>0</v>
      </c>
      <c r="F21">
        <v>1423.1418699999999</v>
      </c>
      <c r="G21">
        <v>504.59478000000001</v>
      </c>
      <c r="I21">
        <v>19</v>
      </c>
      <c r="J21">
        <v>432</v>
      </c>
      <c r="K21">
        <v>563</v>
      </c>
      <c r="L21">
        <v>2180</v>
      </c>
      <c r="M21">
        <v>120</v>
      </c>
      <c r="N21">
        <v>431</v>
      </c>
      <c r="O21">
        <v>289</v>
      </c>
      <c r="U21">
        <v>19</v>
      </c>
      <c r="V21">
        <v>432</v>
      </c>
      <c r="W21">
        <v>563</v>
      </c>
      <c r="X21">
        <v>2180</v>
      </c>
      <c r="Y21">
        <v>120</v>
      </c>
      <c r="Z21">
        <v>431</v>
      </c>
      <c r="AA21">
        <v>289</v>
      </c>
    </row>
    <row r="22" spans="1:27" x14ac:dyDescent="0.25">
      <c r="A22">
        <v>20</v>
      </c>
      <c r="B22">
        <v>436.93860000000001</v>
      </c>
      <c r="C22">
        <v>1066.94282</v>
      </c>
      <c r="D22">
        <v>2025.01008</v>
      </c>
      <c r="E22">
        <v>533.68766000000005</v>
      </c>
      <c r="F22">
        <v>1879.85022</v>
      </c>
      <c r="G22">
        <v>244.66345000000001</v>
      </c>
      <c r="I22">
        <v>20</v>
      </c>
      <c r="J22">
        <v>325</v>
      </c>
      <c r="K22">
        <v>490</v>
      </c>
      <c r="L22">
        <v>1841</v>
      </c>
      <c r="M22">
        <v>109</v>
      </c>
      <c r="N22">
        <v>327</v>
      </c>
      <c r="O22">
        <v>250</v>
      </c>
      <c r="U22">
        <v>20</v>
      </c>
      <c r="V22">
        <v>325</v>
      </c>
      <c r="W22">
        <v>490</v>
      </c>
      <c r="X22">
        <v>1841</v>
      </c>
      <c r="Y22">
        <v>109</v>
      </c>
      <c r="Z22">
        <v>327</v>
      </c>
      <c r="AA22">
        <v>250</v>
      </c>
    </row>
    <row r="23" spans="1:27" x14ac:dyDescent="0.25">
      <c r="A23">
        <v>21</v>
      </c>
      <c r="B23">
        <v>5827.0676199999998</v>
      </c>
      <c r="C23">
        <v>7692.3135199999997</v>
      </c>
      <c r="D23">
        <v>13215.396280000001</v>
      </c>
      <c r="E23">
        <v>2148.2035999999998</v>
      </c>
      <c r="F23">
        <v>2972.4199899999999</v>
      </c>
      <c r="G23">
        <v>843.12864000000002</v>
      </c>
      <c r="I23">
        <v>21</v>
      </c>
      <c r="J23">
        <v>1348</v>
      </c>
      <c r="K23">
        <v>3047</v>
      </c>
      <c r="L23">
        <v>6573</v>
      </c>
      <c r="M23">
        <v>637</v>
      </c>
      <c r="N23">
        <v>1385</v>
      </c>
      <c r="O23">
        <v>804</v>
      </c>
      <c r="U23">
        <v>21</v>
      </c>
      <c r="V23">
        <v>1348</v>
      </c>
      <c r="W23">
        <v>3047</v>
      </c>
      <c r="X23">
        <v>6573</v>
      </c>
      <c r="Y23">
        <v>637</v>
      </c>
      <c r="Z23">
        <v>1385</v>
      </c>
      <c r="AA23">
        <v>804</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G10"/>
  <sheetViews>
    <sheetView zoomScale="160" zoomScaleNormal="160" workbookViewId="0">
      <selection activeCell="F7" sqref="F7"/>
    </sheetView>
  </sheetViews>
  <sheetFormatPr defaultRowHeight="15" x14ac:dyDescent="0.25"/>
  <cols>
    <col min="2" max="2" width="21.85546875" bestFit="1" customWidth="1"/>
    <col min="3" max="3" width="15.140625" customWidth="1"/>
    <col min="4" max="4" width="15" bestFit="1" customWidth="1"/>
    <col min="7" max="7" width="14.42578125" bestFit="1" customWidth="1"/>
  </cols>
  <sheetData>
    <row r="1" spans="1:7" ht="15.75" x14ac:dyDescent="0.25">
      <c r="A1" s="200" t="s">
        <v>371</v>
      </c>
    </row>
    <row r="4" spans="1:7" ht="19.5" thickBot="1" x14ac:dyDescent="0.35">
      <c r="C4" s="175" t="s">
        <v>7</v>
      </c>
      <c r="D4" s="175" t="s">
        <v>3</v>
      </c>
    </row>
    <row r="5" spans="1:7" ht="16.5" thickTop="1" x14ac:dyDescent="0.25">
      <c r="B5" s="176" t="s">
        <v>376</v>
      </c>
      <c r="C5" s="198">
        <v>8296655</v>
      </c>
      <c r="D5" s="198">
        <v>6866955</v>
      </c>
      <c r="F5" t="s">
        <v>673</v>
      </c>
      <c r="G5" s="157"/>
    </row>
    <row r="6" spans="1:7" ht="15.75" x14ac:dyDescent="0.25">
      <c r="B6" s="176" t="s">
        <v>377</v>
      </c>
      <c r="C6" s="198">
        <v>34969625</v>
      </c>
      <c r="D6" s="198">
        <v>35877395</v>
      </c>
      <c r="G6" s="157"/>
    </row>
    <row r="7" spans="1:7" ht="15.75" x14ac:dyDescent="0.25">
      <c r="B7" s="176" t="s">
        <v>178</v>
      </c>
      <c r="C7" s="198">
        <v>12016334</v>
      </c>
      <c r="D7" s="198">
        <v>14505220</v>
      </c>
      <c r="F7" s="89"/>
      <c r="G7" s="157"/>
    </row>
    <row r="8" spans="1:7" x14ac:dyDescent="0.25">
      <c r="B8" s="177"/>
    </row>
    <row r="9" spans="1:7" ht="15.75" x14ac:dyDescent="0.25">
      <c r="B9" s="176" t="s">
        <v>378</v>
      </c>
      <c r="C9" s="199">
        <f>C5/C7</f>
        <v>0.69044810172553461</v>
      </c>
      <c r="D9" s="199">
        <f>D5/D7</f>
        <v>0.47341267488531713</v>
      </c>
    </row>
    <row r="10" spans="1:7" ht="15.75" x14ac:dyDescent="0.25">
      <c r="B10" s="176" t="s">
        <v>379</v>
      </c>
      <c r="C10" s="199">
        <f>C6/C7</f>
        <v>2.9101741845724329</v>
      </c>
      <c r="D10" s="199">
        <f>D6/D7</f>
        <v>2.4734126748853171</v>
      </c>
    </row>
  </sheetData>
  <hyperlinks>
    <hyperlink ref="A1" location="Index!A1" display="Index"/>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dimension ref="A1:AJ62"/>
  <sheetViews>
    <sheetView zoomScale="90" zoomScaleNormal="90" workbookViewId="0">
      <pane ySplit="1" topLeftCell="A2" activePane="bottomLeft" state="frozen"/>
      <selection pane="bottomLeft" activeCell="O15" sqref="O15"/>
    </sheetView>
  </sheetViews>
  <sheetFormatPr defaultRowHeight="15" x14ac:dyDescent="0.25"/>
  <cols>
    <col min="2" max="2" width="11" bestFit="1" customWidth="1"/>
    <col min="3" max="3" width="11.140625" bestFit="1" customWidth="1"/>
    <col min="4" max="4" width="9.42578125" bestFit="1" customWidth="1"/>
    <col min="5" max="8" width="11.140625" bestFit="1" customWidth="1"/>
    <col min="9" max="11" width="9.42578125" bestFit="1" customWidth="1"/>
    <col min="12" max="12" width="12.28515625" bestFit="1" customWidth="1"/>
    <col min="13" max="13" width="6.28515625" customWidth="1"/>
    <col min="14" max="14" width="12.85546875" customWidth="1"/>
    <col min="15" max="15" width="11.140625" bestFit="1" customWidth="1"/>
    <col min="16" max="16" width="9.42578125" customWidth="1"/>
    <col min="17" max="17" width="11.42578125" customWidth="1"/>
    <col min="18" max="18" width="11.28515625" customWidth="1"/>
    <col min="19" max="20" width="11.140625" bestFit="1" customWidth="1"/>
    <col min="21" max="22" width="9.42578125" bestFit="1" customWidth="1"/>
    <col min="23" max="23" width="11.5703125" customWidth="1"/>
    <col min="24" max="24" width="12.85546875" customWidth="1"/>
    <col min="25" max="25" width="11.140625" bestFit="1" customWidth="1"/>
  </cols>
  <sheetData>
    <row r="1" spans="1:24" ht="28.5" x14ac:dyDescent="0.45">
      <c r="A1" s="174" t="s">
        <v>371</v>
      </c>
    </row>
    <row r="3" spans="1:24" ht="18.75" x14ac:dyDescent="0.3">
      <c r="B3" s="59" t="s">
        <v>191</v>
      </c>
      <c r="N3" s="59" t="s">
        <v>200</v>
      </c>
    </row>
    <row r="4" spans="1:24" x14ac:dyDescent="0.25">
      <c r="B4" s="383" t="s">
        <v>188</v>
      </c>
      <c r="C4" s="383"/>
      <c r="D4" s="383"/>
      <c r="E4" s="383"/>
      <c r="F4" s="383"/>
      <c r="G4" s="383"/>
      <c r="H4" s="383"/>
      <c r="I4" s="383"/>
      <c r="J4" s="383"/>
      <c r="K4" s="383"/>
      <c r="L4" s="383"/>
      <c r="N4" s="383" t="s">
        <v>188</v>
      </c>
      <c r="O4" s="383"/>
      <c r="P4" s="383"/>
      <c r="Q4" s="383"/>
      <c r="R4" s="383"/>
      <c r="S4" s="383"/>
      <c r="T4" s="383"/>
      <c r="U4" s="383"/>
      <c r="V4" s="383"/>
      <c r="W4" s="383"/>
      <c r="X4" s="383"/>
    </row>
    <row r="5" spans="1:24" ht="15.75" thickBot="1" x14ac:dyDescent="0.3">
      <c r="B5" s="158" t="s">
        <v>187</v>
      </c>
      <c r="C5" s="158" t="s">
        <v>4</v>
      </c>
      <c r="D5" s="158" t="s">
        <v>189</v>
      </c>
      <c r="E5" s="158" t="s">
        <v>190</v>
      </c>
      <c r="F5" s="158" t="s">
        <v>170</v>
      </c>
      <c r="G5" s="158" t="s">
        <v>194</v>
      </c>
      <c r="H5" s="158" t="s">
        <v>195</v>
      </c>
      <c r="I5" s="158" t="s">
        <v>196</v>
      </c>
      <c r="J5" s="158" t="s">
        <v>197</v>
      </c>
      <c r="K5" s="158" t="s">
        <v>198</v>
      </c>
      <c r="L5" s="158" t="s">
        <v>29</v>
      </c>
      <c r="N5" s="158" t="s">
        <v>187</v>
      </c>
      <c r="O5" s="158" t="s">
        <v>4</v>
      </c>
      <c r="P5" s="158" t="s">
        <v>189</v>
      </c>
      <c r="Q5" s="158" t="s">
        <v>190</v>
      </c>
      <c r="R5" s="158" t="s">
        <v>170</v>
      </c>
      <c r="S5" s="158" t="s">
        <v>194</v>
      </c>
      <c r="T5" s="158" t="s">
        <v>195</v>
      </c>
      <c r="U5" s="158" t="s">
        <v>196</v>
      </c>
      <c r="V5" s="158" t="s">
        <v>197</v>
      </c>
      <c r="W5" s="158" t="s">
        <v>198</v>
      </c>
      <c r="X5" s="158" t="s">
        <v>29</v>
      </c>
    </row>
    <row r="6" spans="1:24" ht="15.75" thickTop="1" x14ac:dyDescent="0.25">
      <c r="B6" s="6">
        <v>0</v>
      </c>
      <c r="C6" s="29">
        <f>StopFreq_input!B4</f>
        <v>3527129.4413700001</v>
      </c>
      <c r="D6" s="29">
        <f>StopFreq_input!C4</f>
        <v>181897.46494000001</v>
      </c>
      <c r="E6" s="29">
        <f>StopFreq_input!D4</f>
        <v>1494725.1107699999</v>
      </c>
      <c r="F6" s="29">
        <f>StopFreq_input!E4</f>
        <v>1144351.8013800001</v>
      </c>
      <c r="G6" s="29">
        <f>StopFreq_input!F4</f>
        <v>1528194.65145</v>
      </c>
      <c r="H6" s="29">
        <f>StopFreq_input!G4</f>
        <v>1332077.1277300001</v>
      </c>
      <c r="I6" s="29">
        <f>StopFreq_input!H4</f>
        <v>357344.52479</v>
      </c>
      <c r="J6" s="29">
        <f>StopFreq_input!I4</f>
        <v>389137.02493000001</v>
      </c>
      <c r="K6" s="29">
        <f>StopFreq_input!J4</f>
        <v>440743.09998</v>
      </c>
      <c r="L6" s="29">
        <f>SUM(C6:K6)</f>
        <v>10395600.247340001</v>
      </c>
      <c r="N6" s="6">
        <v>0</v>
      </c>
      <c r="O6" s="29">
        <f>StopFreq_input!M4*Index!$B$2</f>
        <v>0</v>
      </c>
      <c r="P6" s="29">
        <f>StopFreq_input!N4*Index!$B$2</f>
        <v>0</v>
      </c>
      <c r="Q6" s="29">
        <f>StopFreq_input!O4*Index!$B$2</f>
        <v>0</v>
      </c>
      <c r="R6" s="29">
        <f>StopFreq_input!P4*Index!$B$2</f>
        <v>0</v>
      </c>
      <c r="S6" s="29">
        <f>StopFreq_input!Q4*Index!$B$2</f>
        <v>0</v>
      </c>
      <c r="T6" s="29">
        <f>StopFreq_input!R4*Index!$B$2</f>
        <v>0</v>
      </c>
      <c r="U6" s="29">
        <f>StopFreq_input!S4*Index!$B$2</f>
        <v>0</v>
      </c>
      <c r="V6" s="29">
        <f>StopFreq_input!T4*Index!$B$2</f>
        <v>0</v>
      </c>
      <c r="W6" s="29">
        <f>StopFreq_input!U4*Index!$B$2</f>
        <v>0</v>
      </c>
      <c r="X6" s="29">
        <f>SUM(O6:W6)</f>
        <v>0</v>
      </c>
    </row>
    <row r="7" spans="1:24" x14ac:dyDescent="0.25">
      <c r="B7" s="6">
        <v>1</v>
      </c>
      <c r="C7" s="29">
        <f>StopFreq_input!B5</f>
        <v>468481.37492999999</v>
      </c>
      <c r="D7" s="29">
        <f>StopFreq_input!C5</f>
        <v>10692.756069999999</v>
      </c>
      <c r="E7" s="29">
        <f>StopFreq_input!D5</f>
        <v>44573.231800000001</v>
      </c>
      <c r="F7" s="29">
        <f>StopFreq_input!E5</f>
        <v>52390.38854</v>
      </c>
      <c r="G7" s="29">
        <f>StopFreq_input!F5</f>
        <v>303481.03726999997</v>
      </c>
      <c r="H7" s="29">
        <f>StopFreq_input!G5</f>
        <v>157861.11486</v>
      </c>
      <c r="I7" s="29">
        <f>StopFreq_input!H5</f>
        <v>91501.845480000004</v>
      </c>
      <c r="J7" s="29">
        <f>StopFreq_input!I5</f>
        <v>47531.73083</v>
      </c>
      <c r="K7" s="29">
        <f>StopFreq_input!J5</f>
        <v>0</v>
      </c>
      <c r="L7" s="29">
        <f>SUM(C7:K7)</f>
        <v>1176513.4797799999</v>
      </c>
      <c r="N7" s="6">
        <v>1</v>
      </c>
      <c r="O7" s="29">
        <f>StopFreq_input!M5*Index!$B$2</f>
        <v>2605430</v>
      </c>
      <c r="P7" s="29">
        <f>StopFreq_input!N5*Index!$B$2</f>
        <v>128255</v>
      </c>
      <c r="Q7" s="29">
        <f>StopFreq_input!O5*Index!$B$2</f>
        <v>1469410</v>
      </c>
      <c r="R7" s="29">
        <f>StopFreq_input!P5*Index!$B$2</f>
        <v>1193485</v>
      </c>
      <c r="S7" s="29">
        <f>StopFreq_input!Q5*Index!$B$2</f>
        <v>2378990</v>
      </c>
      <c r="T7" s="29">
        <f>StopFreq_input!R5*Index!$B$2</f>
        <v>2400415</v>
      </c>
      <c r="U7" s="29">
        <f>StopFreq_input!S5*Index!$B$2</f>
        <v>547560</v>
      </c>
      <c r="V7" s="29">
        <f>StopFreq_input!T5*Index!$B$2</f>
        <v>441870</v>
      </c>
      <c r="W7" s="29">
        <f>StopFreq_input!U5*Index!$B$2</f>
        <v>1103370</v>
      </c>
      <c r="X7" s="29">
        <f>SUM(O7:W7)</f>
        <v>12268785</v>
      </c>
    </row>
    <row r="8" spans="1:24" x14ac:dyDescent="0.25">
      <c r="B8" s="6">
        <v>2</v>
      </c>
      <c r="C8" s="29">
        <f>StopFreq_input!B6</f>
        <v>74288.881760000004</v>
      </c>
      <c r="D8" s="29">
        <f>StopFreq_input!C6</f>
        <v>3079.5040399999998</v>
      </c>
      <c r="E8" s="29">
        <f>StopFreq_input!D6</f>
        <v>1772.0734500000001</v>
      </c>
      <c r="F8" s="29">
        <f>StopFreq_input!E6</f>
        <v>12914.710279999999</v>
      </c>
      <c r="G8" s="29">
        <f>StopFreq_input!F6</f>
        <v>69470.726420000006</v>
      </c>
      <c r="H8" s="29">
        <f>StopFreq_input!G6</f>
        <v>46905.937089999999</v>
      </c>
      <c r="I8" s="29">
        <f>StopFreq_input!H6</f>
        <v>25432.940470000001</v>
      </c>
      <c r="J8" s="29">
        <f>StopFreq_input!I6</f>
        <v>9231.7752500000006</v>
      </c>
      <c r="K8" s="29">
        <f>StopFreq_input!J6</f>
        <v>0</v>
      </c>
      <c r="L8" s="29">
        <f>SUM(C8:K8)</f>
        <v>243096.54876000001</v>
      </c>
      <c r="N8" s="6">
        <v>2</v>
      </c>
      <c r="O8" s="29">
        <f>StopFreq_input!M6*Index!$B$2</f>
        <v>687725</v>
      </c>
      <c r="P8" s="29">
        <f>StopFreq_input!N6*Index!$B$2</f>
        <v>16245</v>
      </c>
      <c r="Q8" s="29">
        <f>StopFreq_input!O6*Index!$B$2</f>
        <v>146425</v>
      </c>
      <c r="R8" s="29">
        <f>StopFreq_input!P6*Index!$B$2</f>
        <v>100825</v>
      </c>
      <c r="S8" s="29">
        <f>StopFreq_input!Q6*Index!$B$2</f>
        <v>376615</v>
      </c>
      <c r="T8" s="29">
        <f>StopFreq_input!R6*Index!$B$2</f>
        <v>305585</v>
      </c>
      <c r="U8" s="29">
        <f>StopFreq_input!S6*Index!$B$2</f>
        <v>0</v>
      </c>
      <c r="V8" s="29">
        <f>StopFreq_input!T6*Index!$B$2</f>
        <v>0</v>
      </c>
      <c r="W8" s="29">
        <f>StopFreq_input!U6*Index!$B$2</f>
        <v>164525</v>
      </c>
      <c r="X8" s="29">
        <f>SUM(O8:W8)</f>
        <v>1797945</v>
      </c>
    </row>
    <row r="9" spans="1:24" x14ac:dyDescent="0.25">
      <c r="B9" s="159" t="s">
        <v>23</v>
      </c>
      <c r="C9" s="19">
        <f>StopFreq_input!B7</f>
        <v>42780.365890000001</v>
      </c>
      <c r="D9" s="19">
        <f>StopFreq_input!C7</f>
        <v>285.40640999999999</v>
      </c>
      <c r="E9" s="19">
        <f>StopFreq_input!D7</f>
        <v>388.73286999999999</v>
      </c>
      <c r="F9" s="19">
        <f>StopFreq_input!E7</f>
        <v>6831.9921599999998</v>
      </c>
      <c r="G9" s="19">
        <f>StopFreq_input!F7</f>
        <v>43935.373520000001</v>
      </c>
      <c r="H9" s="19">
        <f>StopFreq_input!G7</f>
        <v>17522.5952</v>
      </c>
      <c r="I9" s="19">
        <f>StopFreq_input!H7</f>
        <v>12428.80636</v>
      </c>
      <c r="J9" s="19">
        <f>StopFreq_input!I7</f>
        <v>4610.0248099999999</v>
      </c>
      <c r="K9" s="19">
        <f>StopFreq_input!J7</f>
        <v>0</v>
      </c>
      <c r="L9" s="19">
        <f>SUM(C9:K9)</f>
        <v>128783.29722000001</v>
      </c>
      <c r="N9" s="159" t="s">
        <v>23</v>
      </c>
      <c r="O9" s="19">
        <f>StopFreq_input!M7*Index!$B$2</f>
        <v>222035</v>
      </c>
      <c r="P9" s="19">
        <f>StopFreq_input!N7*Index!$B$2</f>
        <v>0</v>
      </c>
      <c r="Q9" s="19">
        <f>StopFreq_input!O7*Index!$B$2</f>
        <v>0</v>
      </c>
      <c r="R9" s="19">
        <f>StopFreq_input!P7*Index!$B$2</f>
        <v>36145</v>
      </c>
      <c r="S9" s="19">
        <f>StopFreq_input!Q7*Index!$B$2</f>
        <v>180310</v>
      </c>
      <c r="T9" s="19">
        <f>StopFreq_input!R7*Index!$B$2</f>
        <v>0</v>
      </c>
      <c r="U9" s="19">
        <f>StopFreq_input!S7*Index!$B$2</f>
        <v>0</v>
      </c>
      <c r="V9" s="19">
        <f>StopFreq_input!T7*Index!$B$2</f>
        <v>0</v>
      </c>
      <c r="W9" s="19">
        <f>StopFreq_input!U7*Index!$B$2</f>
        <v>0</v>
      </c>
      <c r="X9" s="19">
        <f>SUM(O9:W9)</f>
        <v>438490</v>
      </c>
    </row>
    <row r="10" spans="1:24" x14ac:dyDescent="0.25">
      <c r="B10" s="6" t="s">
        <v>29</v>
      </c>
      <c r="C10" s="29">
        <f>SUM(C6:C9)</f>
        <v>4112680.0639499999</v>
      </c>
      <c r="D10" s="29">
        <f t="shared" ref="D10:K10" si="0">SUM(D6:D9)</f>
        <v>195955.13146</v>
      </c>
      <c r="E10" s="29">
        <f t="shared" si="0"/>
        <v>1541459.1488899998</v>
      </c>
      <c r="F10" s="29">
        <f t="shared" si="0"/>
        <v>1216488.8923599999</v>
      </c>
      <c r="G10" s="29">
        <f t="shared" si="0"/>
        <v>1945081.7886599998</v>
      </c>
      <c r="H10" s="29">
        <f t="shared" si="0"/>
        <v>1554366.7748800002</v>
      </c>
      <c r="I10" s="29">
        <f t="shared" si="0"/>
        <v>486708.11709999997</v>
      </c>
      <c r="J10" s="29">
        <f t="shared" si="0"/>
        <v>450510.55582000001</v>
      </c>
      <c r="K10" s="29">
        <f t="shared" si="0"/>
        <v>440743.09998</v>
      </c>
      <c r="L10" s="29">
        <f>SUM(L6:L9)</f>
        <v>11943993.573100001</v>
      </c>
      <c r="N10" s="6" t="s">
        <v>29</v>
      </c>
      <c r="O10" s="29">
        <f t="shared" ref="O10:W10" si="1">SUM(O6:O9)</f>
        <v>3515190</v>
      </c>
      <c r="P10" s="29">
        <f t="shared" si="1"/>
        <v>144500</v>
      </c>
      <c r="Q10" s="29">
        <f t="shared" si="1"/>
        <v>1615835</v>
      </c>
      <c r="R10" s="29">
        <f t="shared" si="1"/>
        <v>1330455</v>
      </c>
      <c r="S10" s="29">
        <f t="shared" si="1"/>
        <v>2935915</v>
      </c>
      <c r="T10" s="29">
        <f t="shared" si="1"/>
        <v>2706000</v>
      </c>
      <c r="U10" s="29">
        <f t="shared" si="1"/>
        <v>547560</v>
      </c>
      <c r="V10" s="29">
        <f t="shared" si="1"/>
        <v>441870</v>
      </c>
      <c r="W10" s="29">
        <f t="shared" si="1"/>
        <v>1267895</v>
      </c>
      <c r="X10" s="29">
        <f>SUM(O10:W10)</f>
        <v>14505220</v>
      </c>
    </row>
    <row r="11" spans="1:24" x14ac:dyDescent="0.25">
      <c r="L11" s="89"/>
      <c r="X11" s="89"/>
    </row>
    <row r="13" spans="1:24" x14ac:dyDescent="0.25">
      <c r="B13" s="383" t="s">
        <v>185</v>
      </c>
      <c r="C13" s="383"/>
      <c r="D13" s="383"/>
      <c r="E13" s="383"/>
      <c r="F13" s="383"/>
      <c r="G13" s="383"/>
      <c r="H13" s="383"/>
      <c r="I13" s="383"/>
      <c r="J13" s="383"/>
      <c r="K13" s="383"/>
      <c r="L13" s="383"/>
      <c r="N13" s="383" t="s">
        <v>185</v>
      </c>
      <c r="O13" s="383"/>
      <c r="P13" s="383"/>
      <c r="Q13" s="383"/>
      <c r="R13" s="383"/>
      <c r="S13" s="383"/>
      <c r="T13" s="383"/>
      <c r="U13" s="383"/>
      <c r="V13" s="383"/>
      <c r="W13" s="383"/>
      <c r="X13" s="383"/>
    </row>
    <row r="14" spans="1:24" ht="15.75" thickBot="1" x14ac:dyDescent="0.3">
      <c r="B14" s="158" t="s">
        <v>186</v>
      </c>
      <c r="C14" s="158" t="s">
        <v>4</v>
      </c>
      <c r="D14" s="158" t="s">
        <v>189</v>
      </c>
      <c r="E14" s="158" t="s">
        <v>190</v>
      </c>
      <c r="F14" s="158" t="s">
        <v>170</v>
      </c>
      <c r="G14" s="158" t="s">
        <v>194</v>
      </c>
      <c r="H14" s="158" t="s">
        <v>195</v>
      </c>
      <c r="I14" s="158" t="s">
        <v>196</v>
      </c>
      <c r="J14" s="158" t="s">
        <v>197</v>
      </c>
      <c r="K14" s="158" t="s">
        <v>198</v>
      </c>
      <c r="L14" s="158" t="s">
        <v>29</v>
      </c>
      <c r="N14" s="158" t="s">
        <v>186</v>
      </c>
      <c r="O14" s="158" t="s">
        <v>4</v>
      </c>
      <c r="P14" s="158" t="s">
        <v>189</v>
      </c>
      <c r="Q14" s="158" t="s">
        <v>190</v>
      </c>
      <c r="R14" s="158" t="s">
        <v>170</v>
      </c>
      <c r="S14" s="158" t="s">
        <v>194</v>
      </c>
      <c r="T14" s="158" t="s">
        <v>195</v>
      </c>
      <c r="U14" s="158" t="s">
        <v>196</v>
      </c>
      <c r="V14" s="158" t="s">
        <v>197</v>
      </c>
      <c r="W14" s="158" t="s">
        <v>198</v>
      </c>
      <c r="X14" s="158" t="s">
        <v>29</v>
      </c>
    </row>
    <row r="15" spans="1:24" ht="15.75" thickTop="1" x14ac:dyDescent="0.25">
      <c r="B15" s="6">
        <v>0</v>
      </c>
      <c r="C15" s="29">
        <f>StopFreq_input!B11</f>
        <v>3071251.60482</v>
      </c>
      <c r="D15" s="29">
        <f>StopFreq_input!C11</f>
        <v>161215.39743000001</v>
      </c>
      <c r="E15" s="29">
        <f>StopFreq_input!D11</f>
        <v>1307187.12307</v>
      </c>
      <c r="F15" s="29">
        <f>StopFreq_input!E11</f>
        <v>1072383.9103099999</v>
      </c>
      <c r="G15" s="29">
        <f>StopFreq_input!F11</f>
        <v>1477999.83078</v>
      </c>
      <c r="H15" s="29">
        <f>StopFreq_input!G11</f>
        <v>1325218.9518800001</v>
      </c>
      <c r="I15" s="29">
        <f>StopFreq_input!H11</f>
        <v>339383.85548000003</v>
      </c>
      <c r="J15" s="29">
        <f>StopFreq_input!I11</f>
        <v>357886.52549000003</v>
      </c>
      <c r="K15" s="29">
        <f>StopFreq_input!J11</f>
        <v>396895.31222000002</v>
      </c>
      <c r="L15" s="29">
        <f>SUM(C15:K15)</f>
        <v>9509422.5114800017</v>
      </c>
      <c r="N15" s="6">
        <v>0</v>
      </c>
      <c r="O15" s="215">
        <f>StopFreq_input!M11*Index!$B$2</f>
        <v>0</v>
      </c>
      <c r="P15" s="215">
        <f>StopFreq_input!N11*Index!$B$2</f>
        <v>0</v>
      </c>
      <c r="Q15" s="215">
        <f>StopFreq_input!O11*Index!$B$2</f>
        <v>0</v>
      </c>
      <c r="R15" s="215">
        <f>StopFreq_input!P11*Index!$B$2</f>
        <v>0</v>
      </c>
      <c r="S15" s="215">
        <f>StopFreq_input!Q11*Index!$B$2</f>
        <v>0</v>
      </c>
      <c r="T15" s="215">
        <f>StopFreq_input!R11*Index!$B$2</f>
        <v>0</v>
      </c>
      <c r="U15" s="215">
        <f>StopFreq_input!S11*Index!$B$2</f>
        <v>0</v>
      </c>
      <c r="V15" s="215">
        <f>StopFreq_input!T11*Index!$B$2</f>
        <v>0</v>
      </c>
      <c r="W15" s="215">
        <f>StopFreq_input!U11*Index!$B$2</f>
        <v>0</v>
      </c>
      <c r="X15" s="29">
        <f>SUM(O15:W15)</f>
        <v>0</v>
      </c>
    </row>
    <row r="16" spans="1:24" x14ac:dyDescent="0.25">
      <c r="B16" s="6">
        <v>1</v>
      </c>
      <c r="C16" s="29">
        <f>StopFreq_input!B12</f>
        <v>698951.88673000003</v>
      </c>
      <c r="D16" s="29">
        <f>StopFreq_input!C12</f>
        <v>25599.968649999999</v>
      </c>
      <c r="E16" s="29">
        <f>StopFreq_input!D12</f>
        <v>163055.28774</v>
      </c>
      <c r="F16" s="29">
        <f>StopFreq_input!E12</f>
        <v>109712.71225</v>
      </c>
      <c r="G16" s="29">
        <f>StopFreq_input!F12</f>
        <v>306301.76861000003</v>
      </c>
      <c r="H16" s="29">
        <f>StopFreq_input!G12</f>
        <v>172367.06357</v>
      </c>
      <c r="I16" s="29">
        <f>StopFreq_input!H12</f>
        <v>104204.67582</v>
      </c>
      <c r="J16" s="29">
        <f>StopFreq_input!I12</f>
        <v>72413.530859999999</v>
      </c>
      <c r="K16" s="29">
        <f>StopFreq_input!J12</f>
        <v>35167.826710000001</v>
      </c>
      <c r="L16" s="29">
        <f>SUM(C16:K16)</f>
        <v>1687774.7209400001</v>
      </c>
      <c r="N16" s="6">
        <v>1</v>
      </c>
      <c r="O16" s="18">
        <f>StopFreq_input!M12*Index!$B$2</f>
        <v>2144180</v>
      </c>
      <c r="P16" s="18">
        <f>StopFreq_input!N12*Index!$B$2</f>
        <v>114165</v>
      </c>
      <c r="Q16" s="18">
        <f>StopFreq_input!O12*Index!$B$2</f>
        <v>1233420</v>
      </c>
      <c r="R16" s="18">
        <f>StopFreq_input!P12*Index!$B$2</f>
        <v>1149510</v>
      </c>
      <c r="S16" s="18">
        <f>StopFreq_input!Q12*Index!$B$2</f>
        <v>2297135</v>
      </c>
      <c r="T16" s="18">
        <f>StopFreq_input!R12*Index!$B$2</f>
        <v>2313615</v>
      </c>
      <c r="U16" s="18">
        <f>StopFreq_input!S12*Index!$B$2</f>
        <v>547560</v>
      </c>
      <c r="V16" s="18">
        <f>StopFreq_input!T12*Index!$B$2</f>
        <v>441870</v>
      </c>
      <c r="W16" s="18">
        <f>StopFreq_input!U12*Index!$B$2</f>
        <v>1088890</v>
      </c>
      <c r="X16" s="29">
        <f>SUM(O16:W16)</f>
        <v>11330345</v>
      </c>
    </row>
    <row r="17" spans="2:25" x14ac:dyDescent="0.25">
      <c r="B17" s="6">
        <v>2</v>
      </c>
      <c r="C17" s="29">
        <f>StopFreq_input!B13</f>
        <v>215713.70188000001</v>
      </c>
      <c r="D17" s="29">
        <f>StopFreq_input!C13</f>
        <v>7127.27376</v>
      </c>
      <c r="E17" s="29">
        <f>StopFreq_input!D13</f>
        <v>42206.24149</v>
      </c>
      <c r="F17" s="29">
        <f>StopFreq_input!E13</f>
        <v>22765.276259999999</v>
      </c>
      <c r="G17" s="29">
        <f>StopFreq_input!F13</f>
        <v>99039.747700000007</v>
      </c>
      <c r="H17" s="29">
        <f>StopFreq_input!G13</f>
        <v>37749.795850000002</v>
      </c>
      <c r="I17" s="29">
        <f>StopFreq_input!H13</f>
        <v>29625.110789999999</v>
      </c>
      <c r="J17" s="29">
        <f>StopFreq_input!I13</f>
        <v>14667.06112</v>
      </c>
      <c r="K17" s="29">
        <f>StopFreq_input!J13</f>
        <v>5278.38573</v>
      </c>
      <c r="L17" s="29">
        <f>SUM(C17:K17)</f>
        <v>474172.59458000003</v>
      </c>
      <c r="N17" s="6">
        <v>2</v>
      </c>
      <c r="O17" s="18">
        <f>StopFreq_input!M13*Index!$B$2</f>
        <v>922695</v>
      </c>
      <c r="P17" s="18">
        <f>StopFreq_input!N13*Index!$B$2</f>
        <v>30335</v>
      </c>
      <c r="Q17" s="18">
        <f>StopFreq_input!O13*Index!$B$2</f>
        <v>382415</v>
      </c>
      <c r="R17" s="18">
        <f>StopFreq_input!P13*Index!$B$2</f>
        <v>143180</v>
      </c>
      <c r="S17" s="18">
        <f>StopFreq_input!Q13*Index!$B$2</f>
        <v>459225</v>
      </c>
      <c r="T17" s="18">
        <f>StopFreq_input!R13*Index!$B$2</f>
        <v>392385</v>
      </c>
      <c r="U17" s="18">
        <f>StopFreq_input!S13*Index!$B$2</f>
        <v>0</v>
      </c>
      <c r="V17" s="18">
        <f>StopFreq_input!T13*Index!$B$2</f>
        <v>0</v>
      </c>
      <c r="W17" s="18">
        <f>StopFreq_input!U13*Index!$B$2</f>
        <v>179005</v>
      </c>
      <c r="X17" s="29">
        <f>SUM(O17:W17)</f>
        <v>2509240</v>
      </c>
    </row>
    <row r="18" spans="2:25" x14ac:dyDescent="0.25">
      <c r="B18" s="159" t="s">
        <v>23</v>
      </c>
      <c r="C18" s="19">
        <f>StopFreq_input!B14</f>
        <v>126762.87052</v>
      </c>
      <c r="D18" s="19">
        <f>StopFreq_input!C14</f>
        <v>2012.49162</v>
      </c>
      <c r="E18" s="19">
        <f>StopFreq_input!D14</f>
        <v>29010.496589999999</v>
      </c>
      <c r="F18" s="19">
        <f>StopFreq_input!E14</f>
        <v>11626.993539999999</v>
      </c>
      <c r="G18" s="19">
        <f>StopFreq_input!F14</f>
        <v>61740.441570000003</v>
      </c>
      <c r="H18" s="19">
        <f>StopFreq_input!G14</f>
        <v>19030.96358</v>
      </c>
      <c r="I18" s="19">
        <f>StopFreq_input!H14</f>
        <v>13494.47501</v>
      </c>
      <c r="J18" s="19">
        <f>StopFreq_input!I14</f>
        <v>5543.4383500000004</v>
      </c>
      <c r="K18" s="19">
        <f>StopFreq_input!J14</f>
        <v>3401.5753199999999</v>
      </c>
      <c r="L18" s="19">
        <f>SUM(C18:K18)</f>
        <v>272623.74610000005</v>
      </c>
      <c r="N18" s="159" t="s">
        <v>23</v>
      </c>
      <c r="O18" s="19">
        <f>StopFreq_input!M14*Index!$B$2</f>
        <v>448315</v>
      </c>
      <c r="P18" s="19">
        <f>StopFreq_input!N14*Index!$B$2</f>
        <v>0</v>
      </c>
      <c r="Q18" s="19">
        <f>StopFreq_input!O14*Index!$B$2</f>
        <v>0</v>
      </c>
      <c r="R18" s="19">
        <f>StopFreq_input!P14*Index!$B$2</f>
        <v>37765</v>
      </c>
      <c r="S18" s="19">
        <f>StopFreq_input!Q14*Index!$B$2</f>
        <v>179555</v>
      </c>
      <c r="T18" s="19">
        <f>StopFreq_input!R14*Index!$B$2</f>
        <v>0</v>
      </c>
      <c r="U18" s="19">
        <f>StopFreq_input!S14*Index!$B$2</f>
        <v>0</v>
      </c>
      <c r="V18" s="19">
        <f>StopFreq_input!T14*Index!$B$2</f>
        <v>0</v>
      </c>
      <c r="W18" s="19">
        <f>StopFreq_input!U14*Index!$B$2</f>
        <v>0</v>
      </c>
      <c r="X18" s="19">
        <f>SUM(O18:W18)</f>
        <v>665635</v>
      </c>
    </row>
    <row r="19" spans="2:25" x14ac:dyDescent="0.25">
      <c r="B19" s="6" t="s">
        <v>29</v>
      </c>
      <c r="C19" s="29">
        <f t="shared" ref="C19:L19" si="2">SUM(C15:C18)</f>
        <v>4112680.0639499999</v>
      </c>
      <c r="D19" s="29">
        <f t="shared" si="2"/>
        <v>195955.13146</v>
      </c>
      <c r="E19" s="29">
        <f t="shared" si="2"/>
        <v>1541459.1488900001</v>
      </c>
      <c r="F19" s="29">
        <f t="shared" si="2"/>
        <v>1216488.8923599999</v>
      </c>
      <c r="G19" s="29">
        <f t="shared" si="2"/>
        <v>1945081.7886600001</v>
      </c>
      <c r="H19" s="29">
        <f t="shared" si="2"/>
        <v>1554366.7748800002</v>
      </c>
      <c r="I19" s="29">
        <f t="shared" si="2"/>
        <v>486708.11710000003</v>
      </c>
      <c r="J19" s="29">
        <f t="shared" si="2"/>
        <v>450510.55582000007</v>
      </c>
      <c r="K19" s="29">
        <f t="shared" si="2"/>
        <v>440743.09998</v>
      </c>
      <c r="L19" s="29">
        <f t="shared" si="2"/>
        <v>11943993.573100001</v>
      </c>
      <c r="N19" s="6" t="s">
        <v>29</v>
      </c>
      <c r="O19" s="29">
        <f t="shared" ref="O19:W19" si="3">SUM(O15:O18)</f>
        <v>3515190</v>
      </c>
      <c r="P19" s="29">
        <f t="shared" si="3"/>
        <v>144500</v>
      </c>
      <c r="Q19" s="29">
        <f t="shared" si="3"/>
        <v>1615835</v>
      </c>
      <c r="R19" s="29">
        <f t="shared" si="3"/>
        <v>1330455</v>
      </c>
      <c r="S19" s="29">
        <f t="shared" si="3"/>
        <v>2935915</v>
      </c>
      <c r="T19" s="29">
        <f t="shared" si="3"/>
        <v>2706000</v>
      </c>
      <c r="U19" s="29">
        <f t="shared" si="3"/>
        <v>547560</v>
      </c>
      <c r="V19" s="29">
        <f t="shared" si="3"/>
        <v>441870</v>
      </c>
      <c r="W19" s="29">
        <f t="shared" si="3"/>
        <v>1267895</v>
      </c>
      <c r="X19" s="29">
        <f>SUM(O19:W19)</f>
        <v>14505220</v>
      </c>
    </row>
    <row r="22" spans="2:25" x14ac:dyDescent="0.25">
      <c r="B22" s="383" t="s">
        <v>192</v>
      </c>
      <c r="C22" s="383"/>
      <c r="D22" s="383"/>
      <c r="E22" s="383"/>
      <c r="F22" s="383"/>
      <c r="G22" s="383"/>
      <c r="H22" s="383"/>
      <c r="I22" s="383"/>
      <c r="J22" s="383"/>
      <c r="K22" s="383"/>
      <c r="L22" s="383"/>
      <c r="N22" s="383" t="s">
        <v>192</v>
      </c>
      <c r="O22" s="383"/>
      <c r="P22" s="383"/>
      <c r="Q22" s="383"/>
      <c r="R22" s="383"/>
      <c r="S22" s="383"/>
      <c r="T22" s="383"/>
      <c r="U22" s="383"/>
      <c r="V22" s="383"/>
      <c r="W22" s="383"/>
      <c r="X22" s="383"/>
    </row>
    <row r="23" spans="2:25" ht="15.75" thickBot="1" x14ac:dyDescent="0.3">
      <c r="B23" s="158" t="s">
        <v>193</v>
      </c>
      <c r="C23" s="158" t="s">
        <v>4</v>
      </c>
      <c r="D23" s="158" t="s">
        <v>189</v>
      </c>
      <c r="E23" s="158" t="s">
        <v>190</v>
      </c>
      <c r="F23" s="158" t="s">
        <v>170</v>
      </c>
      <c r="G23" s="158" t="s">
        <v>194</v>
      </c>
      <c r="H23" s="158" t="s">
        <v>195</v>
      </c>
      <c r="I23" s="158" t="s">
        <v>196</v>
      </c>
      <c r="J23" s="158" t="s">
        <v>197</v>
      </c>
      <c r="K23" s="158" t="s">
        <v>198</v>
      </c>
      <c r="L23" s="158" t="s">
        <v>29</v>
      </c>
      <c r="N23" s="158" t="s">
        <v>193</v>
      </c>
      <c r="O23" s="158" t="s">
        <v>4</v>
      </c>
      <c r="P23" s="158" t="s">
        <v>189</v>
      </c>
      <c r="Q23" s="158" t="s">
        <v>190</v>
      </c>
      <c r="R23" s="158" t="s">
        <v>170</v>
      </c>
      <c r="S23" s="158" t="s">
        <v>194</v>
      </c>
      <c r="T23" s="158" t="s">
        <v>195</v>
      </c>
      <c r="U23" s="158" t="s">
        <v>196</v>
      </c>
      <c r="V23" s="158" t="s">
        <v>197</v>
      </c>
      <c r="W23" s="158" t="s">
        <v>198</v>
      </c>
      <c r="X23" s="158" t="s">
        <v>29</v>
      </c>
    </row>
    <row r="24" spans="2:25" ht="15.75" thickTop="1" x14ac:dyDescent="0.25">
      <c r="B24" s="6">
        <v>0</v>
      </c>
      <c r="C24" s="29">
        <f>StopFreq_input!B18</f>
        <v>2750264.5493600001</v>
      </c>
      <c r="D24" s="29">
        <f>StopFreq_input!C18</f>
        <v>150750.13724000001</v>
      </c>
      <c r="E24" s="29">
        <f>StopFreq_input!D18</f>
        <v>1284954.3956299999</v>
      </c>
      <c r="F24" s="29">
        <f>StopFreq_input!E18</f>
        <v>1010262.22401</v>
      </c>
      <c r="G24" s="29">
        <f>StopFreq_input!F18</f>
        <v>1186613.1966200001</v>
      </c>
      <c r="H24" s="29">
        <f>StopFreq_input!G18</f>
        <v>1158349.2935599999</v>
      </c>
      <c r="I24" s="29">
        <f>StopFreq_input!H18</f>
        <v>253026.90002</v>
      </c>
      <c r="J24" s="29">
        <f>StopFreq_input!I18</f>
        <v>312703.00917999999</v>
      </c>
      <c r="K24" s="29">
        <f>StopFreq_input!J18</f>
        <v>396895.31222000002</v>
      </c>
      <c r="L24" s="29">
        <f>SUM(C24:K24)</f>
        <v>8503819.0178399999</v>
      </c>
      <c r="N24" s="6">
        <v>0</v>
      </c>
      <c r="O24" s="215">
        <f>StopFreq_input!M18*Index!$B$2</f>
        <v>0</v>
      </c>
      <c r="P24" s="215">
        <f>StopFreq_input!N18*Index!$B$2</f>
        <v>0</v>
      </c>
      <c r="Q24" s="215">
        <f>StopFreq_input!O18*Index!$B$2</f>
        <v>0</v>
      </c>
      <c r="R24" s="215">
        <f>StopFreq_input!P18*Index!$B$2</f>
        <v>0</v>
      </c>
      <c r="S24" s="215">
        <f>StopFreq_input!Q18*Index!$B$2</f>
        <v>0</v>
      </c>
      <c r="T24" s="215">
        <f>StopFreq_input!R18*Index!$B$2</f>
        <v>0</v>
      </c>
      <c r="U24" s="215">
        <f>StopFreq_input!S18*Index!$B$2</f>
        <v>0</v>
      </c>
      <c r="V24" s="215">
        <f>StopFreq_input!T18*Index!$B$2</f>
        <v>0</v>
      </c>
      <c r="W24" s="215">
        <f>StopFreq_input!U18*Index!$B$2</f>
        <v>0</v>
      </c>
      <c r="X24" s="29">
        <f>SUM(O24:W24)</f>
        <v>0</v>
      </c>
    </row>
    <row r="25" spans="2:25" x14ac:dyDescent="0.25">
      <c r="B25" s="6">
        <v>1</v>
      </c>
      <c r="C25" s="29">
        <f>StopFreq_input!B19</f>
        <v>775097.96808000002</v>
      </c>
      <c r="D25" s="29">
        <f>StopFreq_input!C19</f>
        <v>30998.263190000001</v>
      </c>
      <c r="E25" s="29">
        <f>StopFreq_input!D19</f>
        <v>163966.95349000001</v>
      </c>
      <c r="F25" s="29">
        <f>StopFreq_input!E19</f>
        <v>146394.41396000001</v>
      </c>
      <c r="G25" s="29">
        <f>StopFreq_input!F19</f>
        <v>445926.13341000001</v>
      </c>
      <c r="H25" s="29">
        <f>StopFreq_input!G19</f>
        <v>248981.25051000001</v>
      </c>
      <c r="I25" s="29">
        <f>StopFreq_input!H19</f>
        <v>135293.33181</v>
      </c>
      <c r="J25" s="29">
        <f>StopFreq_input!I19</f>
        <v>98845.964529999997</v>
      </c>
      <c r="K25" s="29">
        <f>StopFreq_input!J19</f>
        <v>35167.826710000001</v>
      </c>
      <c r="L25" s="29">
        <f t="shared" ref="L25:L30" si="4">SUM(C25:K25)</f>
        <v>2080672.1056899999</v>
      </c>
      <c r="M25" s="127"/>
      <c r="N25" s="6">
        <v>1</v>
      </c>
      <c r="O25" s="18">
        <f>StopFreq_input!M19*Index!$B$2</f>
        <v>0</v>
      </c>
      <c r="P25" s="18">
        <f>StopFreq_input!N19*Index!$B$2</f>
        <v>0</v>
      </c>
      <c r="Q25" s="18">
        <f>StopFreq_input!O19*Index!$B$2</f>
        <v>0</v>
      </c>
      <c r="R25" s="18">
        <f>StopFreq_input!P19*Index!$B$2</f>
        <v>0</v>
      </c>
      <c r="S25" s="18">
        <f>StopFreq_input!Q19*Index!$B$2</f>
        <v>0</v>
      </c>
      <c r="T25" s="18">
        <f>StopFreq_input!R19*Index!$B$2</f>
        <v>0</v>
      </c>
      <c r="U25" s="18">
        <f>StopFreq_input!S19*Index!$B$2</f>
        <v>0</v>
      </c>
      <c r="V25" s="18">
        <f>StopFreq_input!T19*Index!$B$2</f>
        <v>0</v>
      </c>
      <c r="W25" s="18">
        <f>StopFreq_input!U19*Index!$B$2</f>
        <v>0</v>
      </c>
      <c r="X25" s="29">
        <f t="shared" ref="X25:X30" si="5">SUM(O25:W25)</f>
        <v>0</v>
      </c>
      <c r="Y25" s="127"/>
    </row>
    <row r="26" spans="2:25" x14ac:dyDescent="0.25">
      <c r="B26" s="6">
        <v>2</v>
      </c>
      <c r="C26" s="29">
        <f>StopFreq_input!B20</f>
        <v>354874.94656000001</v>
      </c>
      <c r="D26" s="29">
        <f>StopFreq_input!C20</f>
        <v>10789.390799999999</v>
      </c>
      <c r="E26" s="29">
        <f>StopFreq_input!D20</f>
        <v>59954.982640000002</v>
      </c>
      <c r="F26" s="29">
        <f>StopFreq_input!E20</f>
        <v>38281.319100000001</v>
      </c>
      <c r="G26" s="29">
        <f>StopFreq_input!F20</f>
        <v>170832.44411000001</v>
      </c>
      <c r="H26" s="29">
        <f>StopFreq_input!G20</f>
        <v>93968.304990000004</v>
      </c>
      <c r="I26" s="29">
        <f>StopFreq_input!H20</f>
        <v>59594.790029999996</v>
      </c>
      <c r="J26" s="29">
        <f>StopFreq_input!I20</f>
        <v>24786.066869999999</v>
      </c>
      <c r="K26" s="29">
        <f>StopFreq_input!J20</f>
        <v>5278.38573</v>
      </c>
      <c r="L26" s="29">
        <f t="shared" si="4"/>
        <v>818360.63083000004</v>
      </c>
      <c r="N26" s="6">
        <v>2</v>
      </c>
      <c r="O26" s="18">
        <f>StopFreq_input!M20*Index!$B$2</f>
        <v>1780145</v>
      </c>
      <c r="P26" s="18">
        <f>StopFreq_input!N20*Index!$B$2</f>
        <v>104785</v>
      </c>
      <c r="Q26" s="18">
        <f>StopFreq_input!O20*Index!$B$2</f>
        <v>1144615</v>
      </c>
      <c r="R26" s="18">
        <f>StopFreq_input!P20*Index!$B$2</f>
        <v>1033910</v>
      </c>
      <c r="S26" s="18">
        <f>StopFreq_input!Q20*Index!$B$2</f>
        <v>1844625</v>
      </c>
      <c r="T26" s="18">
        <f>StopFreq_input!R20*Index!$B$2</f>
        <v>2102185</v>
      </c>
      <c r="U26" s="18">
        <f>StopFreq_input!S20*Index!$B$2</f>
        <v>547560</v>
      </c>
      <c r="V26" s="18">
        <f>StopFreq_input!T20*Index!$B$2</f>
        <v>441870</v>
      </c>
      <c r="W26" s="18">
        <f>StopFreq_input!U20*Index!$B$2</f>
        <v>947515</v>
      </c>
      <c r="X26" s="29">
        <f t="shared" si="5"/>
        <v>9947210</v>
      </c>
    </row>
    <row r="27" spans="2:25" x14ac:dyDescent="0.25">
      <c r="B27" s="6">
        <v>3</v>
      </c>
      <c r="C27" s="29">
        <f>StopFreq_input!B21</f>
        <v>138768.83916999999</v>
      </c>
      <c r="D27" s="29">
        <f>StopFreq_input!C21</f>
        <v>2020.35787</v>
      </c>
      <c r="E27" s="29">
        <f>StopFreq_input!D21</f>
        <v>13826.95995</v>
      </c>
      <c r="F27" s="29">
        <f>StopFreq_input!E21</f>
        <v>14301.768550000001</v>
      </c>
      <c r="G27" s="29">
        <f>StopFreq_input!F21</f>
        <v>79085.284289999996</v>
      </c>
      <c r="H27" s="29">
        <f>StopFreq_input!G21</f>
        <v>29729.528750000001</v>
      </c>
      <c r="I27" s="29">
        <f>StopFreq_input!H21</f>
        <v>22386.73993</v>
      </c>
      <c r="J27" s="29">
        <f>StopFreq_input!I21</f>
        <v>7960.8437400000003</v>
      </c>
      <c r="K27" s="29">
        <f>StopFreq_input!J21</f>
        <v>2486.7364200000002</v>
      </c>
      <c r="L27" s="29">
        <f t="shared" si="4"/>
        <v>310567.05866999994</v>
      </c>
      <c r="N27" s="6">
        <v>3</v>
      </c>
      <c r="O27" s="18">
        <f>StopFreq_input!M21*Index!$B$2</f>
        <v>864530</v>
      </c>
      <c r="P27" s="18">
        <f>StopFreq_input!N21*Index!$B$2</f>
        <v>32850</v>
      </c>
      <c r="Q27" s="18">
        <f>StopFreq_input!O21*Index!$B$2</f>
        <v>413600</v>
      </c>
      <c r="R27" s="18">
        <f>StopFreq_input!P21*Index!$B$2</f>
        <v>219185</v>
      </c>
      <c r="S27" s="18">
        <f>StopFreq_input!Q21*Index!$B$2</f>
        <v>680850</v>
      </c>
      <c r="T27" s="18">
        <f>StopFreq_input!R21*Index!$B$2</f>
        <v>509660</v>
      </c>
      <c r="U27" s="18">
        <f>StopFreq_input!S21*Index!$B$2</f>
        <v>0</v>
      </c>
      <c r="V27" s="18">
        <f>StopFreq_input!T21*Index!$B$2</f>
        <v>0</v>
      </c>
      <c r="W27" s="18">
        <f>StopFreq_input!U21*Index!$B$2</f>
        <v>297230</v>
      </c>
      <c r="X27" s="29">
        <f t="shared" si="5"/>
        <v>3017905</v>
      </c>
    </row>
    <row r="28" spans="2:25" x14ac:dyDescent="0.25">
      <c r="B28" s="6">
        <v>4</v>
      </c>
      <c r="C28" s="29">
        <f>StopFreq_input!B22</f>
        <v>44903.728690000004</v>
      </c>
      <c r="D28" s="29">
        <f>StopFreq_input!C22</f>
        <v>1005.0044799999999</v>
      </c>
      <c r="E28" s="29">
        <f>StopFreq_input!D22</f>
        <v>15448.93607</v>
      </c>
      <c r="F28" s="29">
        <f>StopFreq_input!E22</f>
        <v>2645.0009</v>
      </c>
      <c r="G28" s="29">
        <f>StopFreq_input!F22</f>
        <v>32349.49769</v>
      </c>
      <c r="H28" s="29">
        <f>StopFreq_input!G22</f>
        <v>12342.788280000001</v>
      </c>
      <c r="I28" s="29">
        <f>StopFreq_input!H22</f>
        <v>10560.937760000001</v>
      </c>
      <c r="J28" s="29">
        <f>StopFreq_input!I22</f>
        <v>3405.92155</v>
      </c>
      <c r="K28" s="29">
        <f>StopFreq_input!J22</f>
        <v>914.83889999999997</v>
      </c>
      <c r="L28" s="29">
        <f t="shared" si="4"/>
        <v>123576.65432</v>
      </c>
      <c r="N28" s="6">
        <v>4</v>
      </c>
      <c r="O28" s="18">
        <f>StopFreq_input!M22*Index!$B$2</f>
        <v>468380</v>
      </c>
      <c r="P28" s="18">
        <f>StopFreq_input!N22*Index!$B$2</f>
        <v>6865</v>
      </c>
      <c r="Q28" s="18">
        <f>StopFreq_input!O22*Index!$B$2</f>
        <v>57620</v>
      </c>
      <c r="R28" s="18">
        <f>StopFreq_input!P22*Index!$B$2</f>
        <v>59440</v>
      </c>
      <c r="S28" s="18">
        <f>StopFreq_input!Q22*Index!$B$2</f>
        <v>286035</v>
      </c>
      <c r="T28" s="18">
        <f>StopFreq_input!R22*Index!$B$2</f>
        <v>94155</v>
      </c>
      <c r="U28" s="18">
        <f>StopFreq_input!S22*Index!$B$2</f>
        <v>0</v>
      </c>
      <c r="V28" s="18">
        <f>StopFreq_input!T22*Index!$B$2</f>
        <v>0</v>
      </c>
      <c r="W28" s="18">
        <f>StopFreq_input!U22*Index!$B$2</f>
        <v>23150</v>
      </c>
      <c r="X28" s="29">
        <f t="shared" si="5"/>
        <v>995645</v>
      </c>
    </row>
    <row r="29" spans="2:25" x14ac:dyDescent="0.25">
      <c r="B29" s="6">
        <v>5</v>
      </c>
      <c r="C29" s="29">
        <f>StopFreq_input!B23</f>
        <v>23739.38163</v>
      </c>
      <c r="D29" s="29">
        <f>StopFreq_input!C23</f>
        <v>391.97788000000003</v>
      </c>
      <c r="E29" s="29">
        <f>StopFreq_input!D23</f>
        <v>3088.9494300000001</v>
      </c>
      <c r="F29" s="29">
        <f>StopFreq_input!E23</f>
        <v>3470.607</v>
      </c>
      <c r="G29" s="29">
        <f>StopFreq_input!F23</f>
        <v>14905.85958</v>
      </c>
      <c r="H29" s="29">
        <f>StopFreq_input!G23</f>
        <v>5302.7882900000004</v>
      </c>
      <c r="I29" s="29">
        <f>StopFreq_input!H23</f>
        <v>3803.6907099999999</v>
      </c>
      <c r="J29" s="29">
        <f>StopFreq_input!I23</f>
        <v>2222.5019000000002</v>
      </c>
      <c r="K29" s="29">
        <f>StopFreq_input!J23</f>
        <v>0</v>
      </c>
      <c r="L29" s="29">
        <f t="shared" si="4"/>
        <v>56925.756419999998</v>
      </c>
      <c r="N29" s="6">
        <v>5</v>
      </c>
      <c r="O29" s="18">
        <f>StopFreq_input!M23*Index!$B$2</f>
        <v>260030</v>
      </c>
      <c r="P29" s="18">
        <f>StopFreq_input!N23*Index!$B$2</f>
        <v>0</v>
      </c>
      <c r="Q29" s="18">
        <f>StopFreq_input!O23*Index!$B$2</f>
        <v>0</v>
      </c>
      <c r="R29" s="18">
        <f>StopFreq_input!P23*Index!$B$2</f>
        <v>17920</v>
      </c>
      <c r="S29" s="18">
        <f>StopFreq_input!Q23*Index!$B$2</f>
        <v>89715</v>
      </c>
      <c r="T29" s="18">
        <f>StopFreq_input!R23*Index!$B$2</f>
        <v>0</v>
      </c>
      <c r="U29" s="18">
        <f>StopFreq_input!S23*Index!$B$2</f>
        <v>0</v>
      </c>
      <c r="V29" s="18">
        <f>StopFreq_input!T23*Index!$B$2</f>
        <v>0</v>
      </c>
      <c r="W29" s="18">
        <f>StopFreq_input!U23*Index!$B$2</f>
        <v>0</v>
      </c>
      <c r="X29" s="29">
        <f t="shared" si="5"/>
        <v>367665</v>
      </c>
    </row>
    <row r="30" spans="2:25" x14ac:dyDescent="0.25">
      <c r="B30" s="159" t="s">
        <v>199</v>
      </c>
      <c r="C30" s="19">
        <f>StopFreq_input!B24</f>
        <v>25030.650460000001</v>
      </c>
      <c r="D30" s="19">
        <f>StopFreq_input!C24</f>
        <v>0</v>
      </c>
      <c r="E30" s="19">
        <f>StopFreq_input!D24</f>
        <v>217.97167999999999</v>
      </c>
      <c r="F30" s="19">
        <f>StopFreq_input!E24</f>
        <v>1133.5588399999999</v>
      </c>
      <c r="G30" s="19">
        <f>StopFreq_input!F24</f>
        <v>15369.372960000001</v>
      </c>
      <c r="H30" s="19">
        <f>StopFreq_input!G24</f>
        <v>5692.8204999999998</v>
      </c>
      <c r="I30" s="19">
        <f>StopFreq_input!H24</f>
        <v>2041.72684</v>
      </c>
      <c r="J30" s="19">
        <f>StopFreq_input!I24</f>
        <v>586.24805000000003</v>
      </c>
      <c r="K30" s="19">
        <f>StopFreq_input!J24</f>
        <v>0</v>
      </c>
      <c r="L30" s="19">
        <f t="shared" si="4"/>
        <v>50072.349330000005</v>
      </c>
      <c r="N30" s="159" t="s">
        <v>199</v>
      </c>
      <c r="O30" s="19">
        <f>StopFreq_input!M24*Index!$B$2</f>
        <v>142105</v>
      </c>
      <c r="P30" s="19">
        <f>StopFreq_input!N24*Index!$B$2</f>
        <v>0</v>
      </c>
      <c r="Q30" s="19">
        <f>StopFreq_input!O24*Index!$B$2</f>
        <v>0</v>
      </c>
      <c r="R30" s="19">
        <f>StopFreq_input!P24*Index!$B$2</f>
        <v>0</v>
      </c>
      <c r="S30" s="19">
        <f>StopFreq_input!Q24*Index!$B$2</f>
        <v>34690</v>
      </c>
      <c r="T30" s="19">
        <f>StopFreq_input!R24*Index!$B$2</f>
        <v>0</v>
      </c>
      <c r="U30" s="19">
        <f>StopFreq_input!S24*Index!$B$2</f>
        <v>0</v>
      </c>
      <c r="V30" s="19">
        <f>StopFreq_input!T24*Index!$B$2</f>
        <v>0</v>
      </c>
      <c r="W30" s="19">
        <f>StopFreq_input!U24*Index!$B$2</f>
        <v>0</v>
      </c>
      <c r="X30" s="19">
        <f t="shared" si="5"/>
        <v>176795</v>
      </c>
    </row>
    <row r="31" spans="2:25" x14ac:dyDescent="0.25">
      <c r="B31" s="6" t="s">
        <v>29</v>
      </c>
      <c r="C31" s="29">
        <f>SUM(C24:C30)</f>
        <v>4112680.0639500003</v>
      </c>
      <c r="D31" s="29">
        <f t="shared" ref="D31:K31" si="6">SUM(D24:D30)</f>
        <v>195955.13146</v>
      </c>
      <c r="E31" s="29">
        <f t="shared" si="6"/>
        <v>1541459.1488900001</v>
      </c>
      <c r="F31" s="29">
        <f t="shared" si="6"/>
        <v>1216488.8923600002</v>
      </c>
      <c r="G31" s="29">
        <f t="shared" si="6"/>
        <v>1945081.7886600003</v>
      </c>
      <c r="H31" s="29">
        <f t="shared" si="6"/>
        <v>1554366.7748799999</v>
      </c>
      <c r="I31" s="29">
        <f t="shared" si="6"/>
        <v>486708.11709999997</v>
      </c>
      <c r="J31" s="29">
        <f t="shared" si="6"/>
        <v>450510.55581999995</v>
      </c>
      <c r="K31" s="29">
        <f t="shared" si="6"/>
        <v>440743.09997999994</v>
      </c>
      <c r="L31" s="29">
        <f>SUM(L24:L30)</f>
        <v>11943993.573099999</v>
      </c>
      <c r="N31" s="6" t="s">
        <v>29</v>
      </c>
      <c r="O31" s="29">
        <f t="shared" ref="O31:W31" si="7">SUM(O24:O30)</f>
        <v>3515190</v>
      </c>
      <c r="P31" s="29">
        <f t="shared" si="7"/>
        <v>144500</v>
      </c>
      <c r="Q31" s="29">
        <f t="shared" si="7"/>
        <v>1615835</v>
      </c>
      <c r="R31" s="29">
        <f t="shared" si="7"/>
        <v>1330455</v>
      </c>
      <c r="S31" s="29">
        <f t="shared" si="7"/>
        <v>2935915</v>
      </c>
      <c r="T31" s="29">
        <f t="shared" si="7"/>
        <v>2706000</v>
      </c>
      <c r="U31" s="29">
        <f t="shared" si="7"/>
        <v>547560</v>
      </c>
      <c r="V31" s="29">
        <f t="shared" si="7"/>
        <v>441870</v>
      </c>
      <c r="W31" s="29">
        <f t="shared" si="7"/>
        <v>1267895</v>
      </c>
      <c r="X31" s="29">
        <f>SUM(O31:W31)</f>
        <v>14505220</v>
      </c>
    </row>
    <row r="32" spans="2:25" x14ac:dyDescent="0.25">
      <c r="C32" s="89"/>
      <c r="D32" s="89"/>
      <c r="E32" s="89"/>
      <c r="F32" s="89"/>
      <c r="G32" s="89"/>
      <c r="H32" s="89"/>
      <c r="I32" s="89"/>
      <c r="J32" s="89"/>
      <c r="K32" s="89"/>
      <c r="L32" s="89"/>
    </row>
    <row r="34" spans="2:36" ht="18.75" x14ac:dyDescent="0.3">
      <c r="B34" s="59" t="s">
        <v>202</v>
      </c>
      <c r="N34" s="59" t="s">
        <v>203</v>
      </c>
      <c r="Z34" s="59" t="s">
        <v>204</v>
      </c>
    </row>
    <row r="35" spans="2:36" x14ac:dyDescent="0.25">
      <c r="B35" s="383" t="s">
        <v>188</v>
      </c>
      <c r="C35" s="383"/>
      <c r="D35" s="383"/>
      <c r="E35" s="383"/>
      <c r="F35" s="383"/>
      <c r="G35" s="383"/>
      <c r="H35" s="383"/>
      <c r="I35" s="383"/>
      <c r="J35" s="383"/>
      <c r="K35" s="383"/>
      <c r="L35" s="383"/>
      <c r="N35" s="383" t="s">
        <v>188</v>
      </c>
      <c r="O35" s="383"/>
      <c r="P35" s="383"/>
      <c r="Q35" s="383"/>
      <c r="R35" s="383"/>
      <c r="S35" s="383"/>
      <c r="T35" s="383"/>
      <c r="U35" s="383"/>
      <c r="V35" s="383"/>
      <c r="W35" s="383"/>
      <c r="X35" s="383"/>
      <c r="Z35" s="383" t="s">
        <v>188</v>
      </c>
      <c r="AA35" s="383"/>
      <c r="AB35" s="383"/>
      <c r="AC35" s="383"/>
      <c r="AD35" s="383"/>
      <c r="AE35" s="383"/>
      <c r="AF35" s="383"/>
      <c r="AG35" s="383"/>
      <c r="AH35" s="383"/>
      <c r="AI35" s="383"/>
      <c r="AJ35" s="383"/>
    </row>
    <row r="36" spans="2:36" ht="15.75" thickBot="1" x14ac:dyDescent="0.3">
      <c r="B36" s="158" t="s">
        <v>187</v>
      </c>
      <c r="C36" s="158" t="s">
        <v>4</v>
      </c>
      <c r="D36" s="158" t="s">
        <v>189</v>
      </c>
      <c r="E36" s="158" t="s">
        <v>190</v>
      </c>
      <c r="F36" s="158" t="s">
        <v>170</v>
      </c>
      <c r="G36" s="158" t="s">
        <v>194</v>
      </c>
      <c r="H36" s="158" t="s">
        <v>195</v>
      </c>
      <c r="I36" s="158" t="s">
        <v>196</v>
      </c>
      <c r="J36" s="158" t="s">
        <v>197</v>
      </c>
      <c r="K36" s="158" t="s">
        <v>198</v>
      </c>
      <c r="L36" s="158" t="s">
        <v>29</v>
      </c>
      <c r="N36" s="158" t="s">
        <v>187</v>
      </c>
      <c r="O36" s="158" t="s">
        <v>4</v>
      </c>
      <c r="P36" s="158" t="s">
        <v>189</v>
      </c>
      <c r="Q36" s="158" t="s">
        <v>190</v>
      </c>
      <c r="R36" s="158" t="s">
        <v>170</v>
      </c>
      <c r="S36" s="158" t="s">
        <v>194</v>
      </c>
      <c r="T36" s="158" t="s">
        <v>195</v>
      </c>
      <c r="U36" s="158" t="s">
        <v>196</v>
      </c>
      <c r="V36" s="158" t="s">
        <v>197</v>
      </c>
      <c r="W36" s="158" t="s">
        <v>198</v>
      </c>
      <c r="X36" s="158" t="s">
        <v>29</v>
      </c>
      <c r="Z36" s="158" t="s">
        <v>187</v>
      </c>
      <c r="AA36" s="158" t="s">
        <v>4</v>
      </c>
      <c r="AB36" s="158" t="s">
        <v>189</v>
      </c>
      <c r="AC36" s="158" t="s">
        <v>190</v>
      </c>
      <c r="AD36" s="158" t="s">
        <v>170</v>
      </c>
      <c r="AE36" s="158" t="s">
        <v>194</v>
      </c>
      <c r="AF36" s="158" t="s">
        <v>195</v>
      </c>
      <c r="AG36" s="158" t="s">
        <v>196</v>
      </c>
      <c r="AH36" s="158" t="s">
        <v>197</v>
      </c>
      <c r="AI36" s="158" t="s">
        <v>198</v>
      </c>
      <c r="AJ36" s="158" t="s">
        <v>29</v>
      </c>
    </row>
    <row r="37" spans="2:36" ht="15.75" thickTop="1" x14ac:dyDescent="0.25">
      <c r="B37" s="6">
        <v>0</v>
      </c>
      <c r="C37" s="2">
        <f>C6/C$10</f>
        <v>0.85762310379728124</v>
      </c>
      <c r="D37" s="2">
        <f t="shared" ref="D37:K37" si="8">D6/D$10</f>
        <v>0.92826078901195008</v>
      </c>
      <c r="E37" s="2">
        <f t="shared" si="8"/>
        <v>0.96968194833210275</v>
      </c>
      <c r="F37" s="2">
        <f t="shared" si="8"/>
        <v>0.94070057570352883</v>
      </c>
      <c r="G37" s="2">
        <f t="shared" si="8"/>
        <v>0.78567115293532175</v>
      </c>
      <c r="H37" s="2">
        <f t="shared" si="8"/>
        <v>0.85699022216480325</v>
      </c>
      <c r="I37" s="2">
        <f t="shared" si="8"/>
        <v>0.73420703751398353</v>
      </c>
      <c r="J37" s="2">
        <f t="shared" si="8"/>
        <v>0.86376893926871368</v>
      </c>
      <c r="K37" s="2">
        <f t="shared" si="8"/>
        <v>1</v>
      </c>
      <c r="L37" s="2">
        <f>L6/L$10</f>
        <v>0.87036217691482543</v>
      </c>
      <c r="N37" s="6">
        <v>0</v>
      </c>
      <c r="O37" s="2">
        <f>O6/O$10</f>
        <v>0</v>
      </c>
      <c r="P37" s="2">
        <f t="shared" ref="P37:X37" si="9">P6/P$10</f>
        <v>0</v>
      </c>
      <c r="Q37" s="2">
        <f t="shared" si="9"/>
        <v>0</v>
      </c>
      <c r="R37" s="2">
        <f t="shared" si="9"/>
        <v>0</v>
      </c>
      <c r="S37" s="2">
        <f t="shared" si="9"/>
        <v>0</v>
      </c>
      <c r="T37" s="2">
        <f t="shared" si="9"/>
        <v>0</v>
      </c>
      <c r="U37" s="2">
        <f t="shared" si="9"/>
        <v>0</v>
      </c>
      <c r="V37" s="2">
        <f t="shared" si="9"/>
        <v>0</v>
      </c>
      <c r="W37" s="2">
        <f t="shared" si="9"/>
        <v>0</v>
      </c>
      <c r="X37" s="2">
        <f t="shared" si="9"/>
        <v>0</v>
      </c>
      <c r="Z37" s="6">
        <v>0</v>
      </c>
      <c r="AA37" s="2">
        <f>IF(C37&gt;0,(O37-C37)/C37,0)</f>
        <v>-1</v>
      </c>
      <c r="AB37" s="2">
        <f t="shared" ref="AB37:AJ37" si="10">IF(D37&gt;0,(P37-D37)/D37,0)</f>
        <v>-1</v>
      </c>
      <c r="AC37" s="2">
        <f t="shared" si="10"/>
        <v>-1</v>
      </c>
      <c r="AD37" s="2">
        <f t="shared" si="10"/>
        <v>-1</v>
      </c>
      <c r="AE37" s="2">
        <f t="shared" si="10"/>
        <v>-1</v>
      </c>
      <c r="AF37" s="2">
        <f t="shared" si="10"/>
        <v>-1</v>
      </c>
      <c r="AG37" s="2">
        <f t="shared" si="10"/>
        <v>-1</v>
      </c>
      <c r="AH37" s="2">
        <f t="shared" si="10"/>
        <v>-1</v>
      </c>
      <c r="AI37" s="2">
        <f t="shared" si="10"/>
        <v>-1</v>
      </c>
      <c r="AJ37" s="2">
        <f t="shared" si="10"/>
        <v>-1</v>
      </c>
    </row>
    <row r="38" spans="2:36" x14ac:dyDescent="0.25">
      <c r="B38" s="6">
        <v>1</v>
      </c>
      <c r="C38" s="2">
        <f t="shared" ref="C38:K40" si="11">C7/C$10</f>
        <v>0.11391145619045547</v>
      </c>
      <c r="D38" s="2">
        <f t="shared" si="11"/>
        <v>5.4567369531645531E-2</v>
      </c>
      <c r="E38" s="2">
        <f t="shared" si="11"/>
        <v>2.8916258878541837E-2</v>
      </c>
      <c r="F38" s="2">
        <f t="shared" si="11"/>
        <v>4.3066886076010238E-2</v>
      </c>
      <c r="G38" s="2">
        <f t="shared" si="11"/>
        <v>0.15602482067300277</v>
      </c>
      <c r="H38" s="2">
        <f t="shared" si="11"/>
        <v>0.10155975887492008</v>
      </c>
      <c r="I38" s="2">
        <f t="shared" si="11"/>
        <v>0.18800147822724694</v>
      </c>
      <c r="J38" s="2">
        <f t="shared" si="11"/>
        <v>0.10550636431478233</v>
      </c>
      <c r="K38" s="2">
        <f t="shared" si="11"/>
        <v>0</v>
      </c>
      <c r="L38" s="2">
        <f>L7/L$10</f>
        <v>9.8502521169277726E-2</v>
      </c>
      <c r="N38" s="6">
        <v>1</v>
      </c>
      <c r="O38" s="2">
        <f t="shared" ref="O38:X40" si="12">O7/O$10</f>
        <v>0.74119179902082111</v>
      </c>
      <c r="P38" s="2">
        <f t="shared" si="12"/>
        <v>0.88757785467128025</v>
      </c>
      <c r="Q38" s="2">
        <f t="shared" si="12"/>
        <v>0.90938121776047676</v>
      </c>
      <c r="R38" s="2">
        <f t="shared" si="12"/>
        <v>0.89705025724282295</v>
      </c>
      <c r="S38" s="2">
        <f t="shared" si="12"/>
        <v>0.81030615668369144</v>
      </c>
      <c r="T38" s="2">
        <f t="shared" si="12"/>
        <v>0.88707132298595714</v>
      </c>
      <c r="U38" s="2">
        <f t="shared" si="12"/>
        <v>1</v>
      </c>
      <c r="V38" s="2">
        <f t="shared" si="12"/>
        <v>1</v>
      </c>
      <c r="W38" s="2">
        <f t="shared" si="12"/>
        <v>0.87023767741019564</v>
      </c>
      <c r="X38" s="2">
        <f t="shared" si="12"/>
        <v>0.84581860874912618</v>
      </c>
      <c r="Z38" s="6">
        <v>1</v>
      </c>
      <c r="AA38" s="2">
        <f>IF(C38&gt;0,(O38-C38)/C38,0)</f>
        <v>5.506736230125771</v>
      </c>
      <c r="AB38" s="2">
        <f t="shared" ref="AB38:AJ41" si="13">IF(D38&gt;0,(P38-D38)/D38,0)</f>
        <v>15.265725511224115</v>
      </c>
      <c r="AC38" s="2">
        <f t="shared" si="13"/>
        <v>30.448785321095251</v>
      </c>
      <c r="AD38" s="2">
        <f t="shared" si="13"/>
        <v>19.829234220918313</v>
      </c>
      <c r="AE38" s="2">
        <f t="shared" si="13"/>
        <v>4.1934439225021336</v>
      </c>
      <c r="AF38" s="2">
        <f t="shared" si="13"/>
        <v>7.734476458126144</v>
      </c>
      <c r="AG38" s="2">
        <f t="shared" si="13"/>
        <v>4.3191071125049829</v>
      </c>
      <c r="AH38" s="2">
        <f t="shared" si="13"/>
        <v>8.4781012168750429</v>
      </c>
      <c r="AI38" s="2">
        <f t="shared" si="13"/>
        <v>0</v>
      </c>
      <c r="AJ38" s="2">
        <f t="shared" si="13"/>
        <v>7.5867711679742396</v>
      </c>
    </row>
    <row r="39" spans="2:36" x14ac:dyDescent="0.25">
      <c r="B39" s="6">
        <v>2</v>
      </c>
      <c r="C39" s="2">
        <f t="shared" si="11"/>
        <v>1.8063374880819123E-2</v>
      </c>
      <c r="D39" s="2">
        <f t="shared" si="11"/>
        <v>1.5715352882343957E-2</v>
      </c>
      <c r="E39" s="2">
        <f t="shared" si="11"/>
        <v>1.149607792899387E-3</v>
      </c>
      <c r="F39" s="2">
        <f t="shared" si="11"/>
        <v>1.0616381588939411E-2</v>
      </c>
      <c r="G39" s="2">
        <f t="shared" si="11"/>
        <v>3.5716095243408547E-2</v>
      </c>
      <c r="H39" s="2">
        <f t="shared" si="11"/>
        <v>3.01768783584693E-2</v>
      </c>
      <c r="I39" s="2">
        <f t="shared" si="11"/>
        <v>5.2255016048508802E-2</v>
      </c>
      <c r="J39" s="2">
        <f t="shared" si="11"/>
        <v>2.0491806752888884E-2</v>
      </c>
      <c r="K39" s="2">
        <f t="shared" si="11"/>
        <v>0</v>
      </c>
      <c r="L39" s="2">
        <f>L8/L$10</f>
        <v>2.0353037472114578E-2</v>
      </c>
      <c r="N39" s="6">
        <v>2</v>
      </c>
      <c r="O39" s="2">
        <f t="shared" si="12"/>
        <v>0.19564376321052346</v>
      </c>
      <c r="P39" s="2">
        <f t="shared" si="12"/>
        <v>0.11242214532871972</v>
      </c>
      <c r="Q39" s="2">
        <f t="shared" si="12"/>
        <v>9.0618782239523216E-2</v>
      </c>
      <c r="R39" s="2">
        <f t="shared" si="12"/>
        <v>7.5782345137565724E-2</v>
      </c>
      <c r="S39" s="2">
        <f t="shared" si="12"/>
        <v>0.12827857754737451</v>
      </c>
      <c r="T39" s="2">
        <f t="shared" si="12"/>
        <v>0.11292867701404287</v>
      </c>
      <c r="U39" s="2">
        <f t="shared" si="12"/>
        <v>0</v>
      </c>
      <c r="V39" s="2">
        <f t="shared" si="12"/>
        <v>0</v>
      </c>
      <c r="W39" s="2">
        <f t="shared" si="12"/>
        <v>0.12976232258980436</v>
      </c>
      <c r="X39" s="2">
        <f t="shared" si="12"/>
        <v>0.1239515843261943</v>
      </c>
      <c r="Z39" s="6">
        <v>2</v>
      </c>
      <c r="AA39" s="2">
        <f>IF(C39&gt;0,(O39-C39)/C39,0)</f>
        <v>9.8309640087396311</v>
      </c>
      <c r="AB39" s="2">
        <f t="shared" si="13"/>
        <v>6.1536507115296706</v>
      </c>
      <c r="AC39" s="2">
        <f t="shared" si="13"/>
        <v>77.825824597949747</v>
      </c>
      <c r="AD39" s="2">
        <f t="shared" si="13"/>
        <v>6.1382461625643652</v>
      </c>
      <c r="AE39" s="2">
        <f t="shared" si="13"/>
        <v>2.591618195470248</v>
      </c>
      <c r="AF39" s="2">
        <f t="shared" si="13"/>
        <v>2.7422252783263397</v>
      </c>
      <c r="AG39" s="2">
        <f t="shared" si="13"/>
        <v>-1</v>
      </c>
      <c r="AH39" s="2">
        <f t="shared" si="13"/>
        <v>-1</v>
      </c>
      <c r="AI39" s="2">
        <f t="shared" si="13"/>
        <v>0</v>
      </c>
      <c r="AJ39" s="2">
        <f t="shared" si="13"/>
        <v>5.0900779304326784</v>
      </c>
    </row>
    <row r="40" spans="2:36" x14ac:dyDescent="0.25">
      <c r="B40" s="159" t="s">
        <v>23</v>
      </c>
      <c r="C40" s="51">
        <f t="shared" si="11"/>
        <v>1.0402065131444201E-2</v>
      </c>
      <c r="D40" s="51">
        <f t="shared" si="11"/>
        <v>1.4564885740604324E-3</v>
      </c>
      <c r="E40" s="51">
        <f t="shared" si="11"/>
        <v>2.5218499645606916E-4</v>
      </c>
      <c r="F40" s="51">
        <f t="shared" si="11"/>
        <v>5.6161566315216169E-3</v>
      </c>
      <c r="G40" s="51">
        <f t="shared" si="11"/>
        <v>2.2587931148266949E-2</v>
      </c>
      <c r="H40" s="51">
        <f t="shared" si="11"/>
        <v>1.1273140601807301E-2</v>
      </c>
      <c r="I40" s="51">
        <f t="shared" si="11"/>
        <v>2.5536468210260718E-2</v>
      </c>
      <c r="J40" s="51">
        <f t="shared" si="11"/>
        <v>1.0232889663615163E-2</v>
      </c>
      <c r="K40" s="51">
        <f t="shared" si="11"/>
        <v>0</v>
      </c>
      <c r="L40" s="51">
        <f>L9/L$10</f>
        <v>1.0782264443782264E-2</v>
      </c>
      <c r="N40" s="159" t="s">
        <v>23</v>
      </c>
      <c r="O40" s="51">
        <f t="shared" si="12"/>
        <v>6.3164437768655463E-2</v>
      </c>
      <c r="P40" s="51">
        <f t="shared" si="12"/>
        <v>0</v>
      </c>
      <c r="Q40" s="51">
        <f t="shared" si="12"/>
        <v>0</v>
      </c>
      <c r="R40" s="51">
        <f t="shared" si="12"/>
        <v>2.7167397619611337E-2</v>
      </c>
      <c r="S40" s="51">
        <f t="shared" si="12"/>
        <v>6.1415265768934045E-2</v>
      </c>
      <c r="T40" s="51">
        <f t="shared" si="12"/>
        <v>0</v>
      </c>
      <c r="U40" s="51">
        <f t="shared" si="12"/>
        <v>0</v>
      </c>
      <c r="V40" s="51">
        <f t="shared" si="12"/>
        <v>0</v>
      </c>
      <c r="W40" s="51">
        <f t="shared" si="12"/>
        <v>0</v>
      </c>
      <c r="X40" s="51">
        <f t="shared" si="12"/>
        <v>3.0229806924679529E-2</v>
      </c>
      <c r="Z40" s="159" t="s">
        <v>23</v>
      </c>
      <c r="AA40" s="51">
        <f>IF(C40&gt;0,(O40-C40)/C40,0)</f>
        <v>5.072297853405753</v>
      </c>
      <c r="AB40" s="51">
        <f t="shared" si="13"/>
        <v>-1</v>
      </c>
      <c r="AC40" s="51">
        <f t="shared" si="13"/>
        <v>-1</v>
      </c>
      <c r="AD40" s="51">
        <f t="shared" si="13"/>
        <v>3.8373646609373004</v>
      </c>
      <c r="AE40" s="51">
        <f t="shared" si="13"/>
        <v>1.718941604957305</v>
      </c>
      <c r="AF40" s="51">
        <f t="shared" si="13"/>
        <v>-1</v>
      </c>
      <c r="AG40" s="51">
        <f t="shared" si="13"/>
        <v>-1</v>
      </c>
      <c r="AH40" s="51">
        <f t="shared" si="13"/>
        <v>-1</v>
      </c>
      <c r="AI40" s="51">
        <f t="shared" si="13"/>
        <v>0</v>
      </c>
      <c r="AJ40" s="51">
        <f t="shared" si="13"/>
        <v>1.8036603147970414</v>
      </c>
    </row>
    <row r="41" spans="2:36" x14ac:dyDescent="0.25">
      <c r="B41" s="6" t="s">
        <v>29</v>
      </c>
      <c r="C41" s="2">
        <f t="shared" ref="C41:L41" si="14">SUM(C37:C40)</f>
        <v>1</v>
      </c>
      <c r="D41" s="2">
        <f t="shared" si="14"/>
        <v>1</v>
      </c>
      <c r="E41" s="2">
        <f t="shared" si="14"/>
        <v>1</v>
      </c>
      <c r="F41" s="2">
        <f t="shared" si="14"/>
        <v>1.0000000000000002</v>
      </c>
      <c r="G41" s="2">
        <f t="shared" si="14"/>
        <v>1</v>
      </c>
      <c r="H41" s="2">
        <f t="shared" si="14"/>
        <v>0.99999999999999989</v>
      </c>
      <c r="I41" s="2">
        <f t="shared" si="14"/>
        <v>1</v>
      </c>
      <c r="J41" s="2">
        <f t="shared" si="14"/>
        <v>1</v>
      </c>
      <c r="K41" s="2">
        <f t="shared" si="14"/>
        <v>1</v>
      </c>
      <c r="L41" s="2">
        <f t="shared" si="14"/>
        <v>1</v>
      </c>
      <c r="N41" s="6" t="s">
        <v>29</v>
      </c>
      <c r="O41" s="2">
        <f t="shared" ref="O41:X41" si="15">SUM(O37:O40)</f>
        <v>1</v>
      </c>
      <c r="P41" s="2">
        <f t="shared" si="15"/>
        <v>1</v>
      </c>
      <c r="Q41" s="2">
        <f t="shared" si="15"/>
        <v>1</v>
      </c>
      <c r="R41" s="2">
        <f t="shared" si="15"/>
        <v>1</v>
      </c>
      <c r="S41" s="2">
        <f t="shared" si="15"/>
        <v>1</v>
      </c>
      <c r="T41" s="2">
        <f t="shared" si="15"/>
        <v>1</v>
      </c>
      <c r="U41" s="2">
        <f t="shared" si="15"/>
        <v>1</v>
      </c>
      <c r="V41" s="2">
        <f t="shared" si="15"/>
        <v>1</v>
      </c>
      <c r="W41" s="2">
        <f t="shared" si="15"/>
        <v>1</v>
      </c>
      <c r="X41" s="2">
        <f t="shared" si="15"/>
        <v>1</v>
      </c>
      <c r="Z41" s="6" t="s">
        <v>29</v>
      </c>
      <c r="AA41" s="2">
        <f>IF(C41&gt;0,(O41-C41)/C41,0)</f>
        <v>0</v>
      </c>
      <c r="AB41" s="2">
        <f t="shared" si="13"/>
        <v>0</v>
      </c>
      <c r="AC41" s="2">
        <f t="shared" si="13"/>
        <v>0</v>
      </c>
      <c r="AD41" s="2">
        <f t="shared" si="13"/>
        <v>-2.2204460492503126E-16</v>
      </c>
      <c r="AE41" s="2">
        <f t="shared" si="13"/>
        <v>0</v>
      </c>
      <c r="AF41" s="2">
        <f t="shared" si="13"/>
        <v>1.1102230246251565E-16</v>
      </c>
      <c r="AG41" s="2">
        <f t="shared" si="13"/>
        <v>0</v>
      </c>
      <c r="AH41" s="2">
        <f t="shared" si="13"/>
        <v>0</v>
      </c>
      <c r="AI41" s="2">
        <f t="shared" si="13"/>
        <v>0</v>
      </c>
      <c r="AJ41" s="2">
        <f t="shared" si="13"/>
        <v>0</v>
      </c>
    </row>
    <row r="44" spans="2:36" x14ac:dyDescent="0.25">
      <c r="B44" s="383" t="s">
        <v>185</v>
      </c>
      <c r="C44" s="383"/>
      <c r="D44" s="383"/>
      <c r="E44" s="383"/>
      <c r="F44" s="383"/>
      <c r="G44" s="383"/>
      <c r="H44" s="383"/>
      <c r="I44" s="383"/>
      <c r="J44" s="383"/>
      <c r="K44" s="383"/>
      <c r="L44" s="383"/>
      <c r="N44" s="383" t="s">
        <v>185</v>
      </c>
      <c r="O44" s="383"/>
      <c r="P44" s="383"/>
      <c r="Q44" s="383"/>
      <c r="R44" s="383"/>
      <c r="S44" s="383"/>
      <c r="T44" s="383"/>
      <c r="U44" s="383"/>
      <c r="V44" s="383"/>
      <c r="W44" s="383"/>
      <c r="X44" s="383"/>
      <c r="Z44" s="383" t="s">
        <v>185</v>
      </c>
      <c r="AA44" s="383"/>
      <c r="AB44" s="383"/>
      <c r="AC44" s="383"/>
      <c r="AD44" s="383"/>
      <c r="AE44" s="383"/>
      <c r="AF44" s="383"/>
      <c r="AG44" s="383"/>
      <c r="AH44" s="383"/>
      <c r="AI44" s="383"/>
      <c r="AJ44" s="383"/>
    </row>
    <row r="45" spans="2:36" ht="15.75" thickBot="1" x14ac:dyDescent="0.3">
      <c r="B45" s="158" t="s">
        <v>186</v>
      </c>
      <c r="C45" s="158" t="s">
        <v>4</v>
      </c>
      <c r="D45" s="158" t="s">
        <v>189</v>
      </c>
      <c r="E45" s="158" t="s">
        <v>190</v>
      </c>
      <c r="F45" s="158" t="s">
        <v>170</v>
      </c>
      <c r="G45" s="158" t="s">
        <v>194</v>
      </c>
      <c r="H45" s="158" t="s">
        <v>195</v>
      </c>
      <c r="I45" s="158" t="s">
        <v>196</v>
      </c>
      <c r="J45" s="158" t="s">
        <v>197</v>
      </c>
      <c r="K45" s="158" t="s">
        <v>198</v>
      </c>
      <c r="L45" s="158" t="s">
        <v>29</v>
      </c>
      <c r="N45" s="158" t="s">
        <v>186</v>
      </c>
      <c r="O45" s="158" t="s">
        <v>4</v>
      </c>
      <c r="P45" s="158" t="s">
        <v>189</v>
      </c>
      <c r="Q45" s="158" t="s">
        <v>190</v>
      </c>
      <c r="R45" s="158" t="s">
        <v>170</v>
      </c>
      <c r="S45" s="158" t="s">
        <v>194</v>
      </c>
      <c r="T45" s="158" t="s">
        <v>195</v>
      </c>
      <c r="U45" s="158" t="s">
        <v>196</v>
      </c>
      <c r="V45" s="158" t="s">
        <v>197</v>
      </c>
      <c r="W45" s="158" t="s">
        <v>198</v>
      </c>
      <c r="X45" s="158" t="s">
        <v>29</v>
      </c>
      <c r="Z45" s="158" t="s">
        <v>186</v>
      </c>
      <c r="AA45" s="158" t="s">
        <v>4</v>
      </c>
      <c r="AB45" s="158" t="s">
        <v>189</v>
      </c>
      <c r="AC45" s="158" t="s">
        <v>190</v>
      </c>
      <c r="AD45" s="158" t="s">
        <v>170</v>
      </c>
      <c r="AE45" s="158" t="s">
        <v>194</v>
      </c>
      <c r="AF45" s="158" t="s">
        <v>195</v>
      </c>
      <c r="AG45" s="158" t="s">
        <v>196</v>
      </c>
      <c r="AH45" s="158" t="s">
        <v>197</v>
      </c>
      <c r="AI45" s="158" t="s">
        <v>198</v>
      </c>
      <c r="AJ45" s="158" t="s">
        <v>29</v>
      </c>
    </row>
    <row r="46" spans="2:36" ht="15.75" thickTop="1" x14ac:dyDescent="0.25">
      <c r="B46" s="6">
        <v>0</v>
      </c>
      <c r="C46" s="2">
        <f>C15/C$19</f>
        <v>0.74677620361021568</v>
      </c>
      <c r="D46" s="2">
        <f t="shared" ref="D46:K46" si="16">D15/D$19</f>
        <v>0.82271587494971343</v>
      </c>
      <c r="E46" s="2">
        <f t="shared" si="16"/>
        <v>0.84801930950379145</v>
      </c>
      <c r="F46" s="2">
        <f t="shared" si="16"/>
        <v>0.88154024014930787</v>
      </c>
      <c r="G46" s="2">
        <f t="shared" si="16"/>
        <v>0.75986513235426423</v>
      </c>
      <c r="H46" s="2">
        <f t="shared" si="16"/>
        <v>0.85257802295877649</v>
      </c>
      <c r="I46" s="2">
        <f t="shared" si="16"/>
        <v>0.6973046956812301</v>
      </c>
      <c r="J46" s="2">
        <f t="shared" si="16"/>
        <v>0.79440208640303722</v>
      </c>
      <c r="K46" s="2">
        <f t="shared" si="16"/>
        <v>0.90051395526784261</v>
      </c>
      <c r="L46" s="2">
        <f>L15/L$19</f>
        <v>0.79616775187295097</v>
      </c>
      <c r="N46" s="6">
        <v>0</v>
      </c>
      <c r="O46" s="2">
        <f>O15/O$19</f>
        <v>0</v>
      </c>
      <c r="P46" s="2">
        <f t="shared" ref="P46:X46" si="17">P15/P$19</f>
        <v>0</v>
      </c>
      <c r="Q46" s="2">
        <f t="shared" si="17"/>
        <v>0</v>
      </c>
      <c r="R46" s="2">
        <f t="shared" si="17"/>
        <v>0</v>
      </c>
      <c r="S46" s="2">
        <f t="shared" si="17"/>
        <v>0</v>
      </c>
      <c r="T46" s="2">
        <f t="shared" si="17"/>
        <v>0</v>
      </c>
      <c r="U46" s="2">
        <f t="shared" si="17"/>
        <v>0</v>
      </c>
      <c r="V46" s="2">
        <f t="shared" si="17"/>
        <v>0</v>
      </c>
      <c r="W46" s="2">
        <f t="shared" si="17"/>
        <v>0</v>
      </c>
      <c r="X46" s="2">
        <f t="shared" si="17"/>
        <v>0</v>
      </c>
      <c r="Z46" s="6">
        <v>0</v>
      </c>
      <c r="AA46" s="2">
        <f t="shared" ref="AA46:AJ50" si="18">IF(C46&gt;0,(O46-C46)/C46,0)</f>
        <v>-1</v>
      </c>
      <c r="AB46" s="2">
        <f t="shared" si="18"/>
        <v>-1</v>
      </c>
      <c r="AC46" s="2">
        <f t="shared" si="18"/>
        <v>-1</v>
      </c>
      <c r="AD46" s="2">
        <f t="shared" si="18"/>
        <v>-1</v>
      </c>
      <c r="AE46" s="2">
        <f t="shared" si="18"/>
        <v>-1</v>
      </c>
      <c r="AF46" s="2">
        <f t="shared" si="18"/>
        <v>-1</v>
      </c>
      <c r="AG46" s="2">
        <f t="shared" si="18"/>
        <v>-1</v>
      </c>
      <c r="AH46" s="2">
        <f t="shared" si="18"/>
        <v>-1</v>
      </c>
      <c r="AI46" s="2">
        <f t="shared" si="18"/>
        <v>-1</v>
      </c>
      <c r="AJ46" s="2">
        <f t="shared" si="18"/>
        <v>-1</v>
      </c>
    </row>
    <row r="47" spans="2:36" x14ac:dyDescent="0.25">
      <c r="B47" s="6">
        <v>1</v>
      </c>
      <c r="C47" s="2">
        <f t="shared" ref="C47:K49" si="19">C16/C$19</f>
        <v>0.16995046438372735</v>
      </c>
      <c r="D47" s="2">
        <f t="shared" si="19"/>
        <v>0.13064199166034945</v>
      </c>
      <c r="E47" s="2">
        <f t="shared" si="19"/>
        <v>0.10577983066071885</v>
      </c>
      <c r="F47" s="2">
        <f t="shared" si="19"/>
        <v>9.018800988569349E-2</v>
      </c>
      <c r="G47" s="2">
        <f t="shared" si="19"/>
        <v>0.15747500716718782</v>
      </c>
      <c r="H47" s="2">
        <f t="shared" si="19"/>
        <v>0.1108921435761563</v>
      </c>
      <c r="I47" s="2">
        <f t="shared" si="19"/>
        <v>0.21410096145692573</v>
      </c>
      <c r="J47" s="2">
        <f t="shared" si="19"/>
        <v>0.16073659079573838</v>
      </c>
      <c r="K47" s="2">
        <f t="shared" si="19"/>
        <v>7.9792120878570405E-2</v>
      </c>
      <c r="L47" s="2">
        <f>L16/L$19</f>
        <v>0.14130740364271202</v>
      </c>
      <c r="N47" s="6">
        <v>1</v>
      </c>
      <c r="O47" s="2">
        <f t="shared" ref="O47:X49" si="20">O16/O$19</f>
        <v>0.60997556319857538</v>
      </c>
      <c r="P47" s="2">
        <f t="shared" si="20"/>
        <v>0.79006920415224913</v>
      </c>
      <c r="Q47" s="2">
        <f t="shared" si="20"/>
        <v>0.76333288980619929</v>
      </c>
      <c r="R47" s="2">
        <f t="shared" si="20"/>
        <v>0.8639976549375965</v>
      </c>
      <c r="S47" s="2">
        <f t="shared" si="20"/>
        <v>0.78242558112206928</v>
      </c>
      <c r="T47" s="2">
        <f t="shared" si="20"/>
        <v>0.85499445676274943</v>
      </c>
      <c r="U47" s="2">
        <f t="shared" si="20"/>
        <v>1</v>
      </c>
      <c r="V47" s="2">
        <f t="shared" si="20"/>
        <v>1</v>
      </c>
      <c r="W47" s="2">
        <f t="shared" si="20"/>
        <v>0.85881717334637331</v>
      </c>
      <c r="X47" s="2">
        <f t="shared" si="20"/>
        <v>0.78112189956443268</v>
      </c>
      <c r="Z47" s="6">
        <v>1</v>
      </c>
      <c r="AA47" s="2">
        <f t="shared" si="18"/>
        <v>2.5891373725306521</v>
      </c>
      <c r="AB47" s="2">
        <f t="shared" si="18"/>
        <v>5.0475900138319716</v>
      </c>
      <c r="AC47" s="2">
        <f t="shared" si="18"/>
        <v>6.216242312341512</v>
      </c>
      <c r="AD47" s="2">
        <f t="shared" si="18"/>
        <v>8.5799614165192075</v>
      </c>
      <c r="AE47" s="2">
        <f t="shared" si="18"/>
        <v>3.9685699032315962</v>
      </c>
      <c r="AF47" s="2">
        <f t="shared" si="18"/>
        <v>6.7101445529869599</v>
      </c>
      <c r="AG47" s="2">
        <f t="shared" si="18"/>
        <v>3.6706936446952239</v>
      </c>
      <c r="AH47" s="2">
        <f t="shared" si="18"/>
        <v>5.2213587774222789</v>
      </c>
      <c r="AI47" s="2">
        <f t="shared" si="18"/>
        <v>9.7631826788179019</v>
      </c>
      <c r="AJ47" s="2">
        <f t="shared" si="18"/>
        <v>4.5278200535016291</v>
      </c>
    </row>
    <row r="48" spans="2:36" x14ac:dyDescent="0.25">
      <c r="B48" s="6">
        <v>2</v>
      </c>
      <c r="C48" s="2">
        <f t="shared" si="19"/>
        <v>5.2450883250281091E-2</v>
      </c>
      <c r="D48" s="2">
        <f t="shared" si="19"/>
        <v>3.6371967944380565E-2</v>
      </c>
      <c r="E48" s="2">
        <f t="shared" si="19"/>
        <v>2.738070711792303E-2</v>
      </c>
      <c r="F48" s="2">
        <f t="shared" si="19"/>
        <v>1.8713920367850748E-2</v>
      </c>
      <c r="G48" s="2">
        <f t="shared" si="19"/>
        <v>5.0918037625672374E-2</v>
      </c>
      <c r="H48" s="2">
        <f t="shared" si="19"/>
        <v>2.428628587542625E-2</v>
      </c>
      <c r="I48" s="2">
        <f t="shared" si="19"/>
        <v>6.0868331036922407E-2</v>
      </c>
      <c r="J48" s="2">
        <f t="shared" si="19"/>
        <v>3.2556531540761886E-2</v>
      </c>
      <c r="K48" s="2">
        <f t="shared" si="19"/>
        <v>1.1976105196518158E-2</v>
      </c>
      <c r="L48" s="2">
        <f>L17/L$19</f>
        <v>3.969966926706333E-2</v>
      </c>
      <c r="N48" s="6">
        <v>2</v>
      </c>
      <c r="O48" s="2">
        <f t="shared" si="20"/>
        <v>0.262487945175083</v>
      </c>
      <c r="P48" s="2">
        <f t="shared" si="20"/>
        <v>0.20993079584775087</v>
      </c>
      <c r="Q48" s="2">
        <f t="shared" si="20"/>
        <v>0.23666711019380074</v>
      </c>
      <c r="R48" s="2">
        <f t="shared" si="20"/>
        <v>0.10761731888714764</v>
      </c>
      <c r="S48" s="2">
        <f t="shared" si="20"/>
        <v>0.15641631314258075</v>
      </c>
      <c r="T48" s="2">
        <f t="shared" si="20"/>
        <v>0.14500554323725057</v>
      </c>
      <c r="U48" s="2">
        <f t="shared" si="20"/>
        <v>0</v>
      </c>
      <c r="V48" s="2">
        <f t="shared" si="20"/>
        <v>0</v>
      </c>
      <c r="W48" s="2">
        <f t="shared" si="20"/>
        <v>0.14118282665362669</v>
      </c>
      <c r="X48" s="2">
        <f t="shared" si="20"/>
        <v>0.17298875852968792</v>
      </c>
      <c r="Z48" s="6">
        <v>2</v>
      </c>
      <c r="AA48" s="2">
        <f t="shared" si="18"/>
        <v>4.0044523353889625</v>
      </c>
      <c r="AB48" s="2">
        <f t="shared" si="18"/>
        <v>4.7717744656757013</v>
      </c>
      <c r="AC48" s="2">
        <f t="shared" si="18"/>
        <v>7.6435718834624886</v>
      </c>
      <c r="AD48" s="2">
        <f t="shared" si="18"/>
        <v>4.750656023524976</v>
      </c>
      <c r="AE48" s="2">
        <f t="shared" si="18"/>
        <v>2.0719234368866797</v>
      </c>
      <c r="AF48" s="2">
        <f t="shared" si="18"/>
        <v>4.9706759601299293</v>
      </c>
      <c r="AG48" s="2">
        <f t="shared" si="18"/>
        <v>-1</v>
      </c>
      <c r="AH48" s="2">
        <f t="shared" si="18"/>
        <v>-1</v>
      </c>
      <c r="AI48" s="2">
        <f t="shared" si="18"/>
        <v>10.788709629460596</v>
      </c>
      <c r="AJ48" s="2">
        <f t="shared" si="18"/>
        <v>3.3574357601313154</v>
      </c>
    </row>
    <row r="49" spans="2:36" x14ac:dyDescent="0.25">
      <c r="B49" s="159" t="s">
        <v>23</v>
      </c>
      <c r="C49" s="51">
        <f t="shared" si="19"/>
        <v>3.0822448755775896E-2</v>
      </c>
      <c r="D49" s="51">
        <f t="shared" si="19"/>
        <v>1.0270165445556636E-2</v>
      </c>
      <c r="E49" s="51">
        <f t="shared" si="19"/>
        <v>1.8820152717566579E-2</v>
      </c>
      <c r="F49" s="51">
        <f t="shared" si="19"/>
        <v>9.5578295971478384E-3</v>
      </c>
      <c r="G49" s="51">
        <f t="shared" si="19"/>
        <v>3.174182285287553E-2</v>
      </c>
      <c r="H49" s="51">
        <f t="shared" si="19"/>
        <v>1.2243547589640948E-2</v>
      </c>
      <c r="I49" s="51">
        <f t="shared" si="19"/>
        <v>2.7726011824921747E-2</v>
      </c>
      <c r="J49" s="51">
        <f t="shared" si="19"/>
        <v>1.2304791260462411E-2</v>
      </c>
      <c r="K49" s="51">
        <f t="shared" si="19"/>
        <v>7.7178186570688373E-3</v>
      </c>
      <c r="L49" s="51">
        <f>L18/L$19</f>
        <v>2.2825175217273831E-2</v>
      </c>
      <c r="N49" s="159" t="s">
        <v>23</v>
      </c>
      <c r="O49" s="51">
        <f t="shared" si="20"/>
        <v>0.12753649162634167</v>
      </c>
      <c r="P49" s="51">
        <f t="shared" si="20"/>
        <v>0</v>
      </c>
      <c r="Q49" s="51">
        <f t="shared" si="20"/>
        <v>0</v>
      </c>
      <c r="R49" s="51">
        <f t="shared" si="20"/>
        <v>2.8385026175255835E-2</v>
      </c>
      <c r="S49" s="51">
        <f t="shared" si="20"/>
        <v>6.1158105735349966E-2</v>
      </c>
      <c r="T49" s="51">
        <f t="shared" si="20"/>
        <v>0</v>
      </c>
      <c r="U49" s="51">
        <f t="shared" si="20"/>
        <v>0</v>
      </c>
      <c r="V49" s="51">
        <f t="shared" si="20"/>
        <v>0</v>
      </c>
      <c r="W49" s="51">
        <f t="shared" si="20"/>
        <v>0</v>
      </c>
      <c r="X49" s="51">
        <f t="shared" si="20"/>
        <v>4.5889341905879399E-2</v>
      </c>
      <c r="Z49" s="159" t="s">
        <v>23</v>
      </c>
      <c r="AA49" s="51">
        <f t="shared" si="18"/>
        <v>3.1377793385881549</v>
      </c>
      <c r="AB49" s="51">
        <f t="shared" si="18"/>
        <v>-1</v>
      </c>
      <c r="AC49" s="51">
        <f t="shared" si="18"/>
        <v>-1</v>
      </c>
      <c r="AD49" s="51">
        <f t="shared" si="18"/>
        <v>1.969819234246051</v>
      </c>
      <c r="AE49" s="51">
        <f t="shared" si="18"/>
        <v>0.92673577755190517</v>
      </c>
      <c r="AF49" s="51">
        <f t="shared" si="18"/>
        <v>-1</v>
      </c>
      <c r="AG49" s="51">
        <f t="shared" si="18"/>
        <v>-1</v>
      </c>
      <c r="AH49" s="51">
        <f t="shared" si="18"/>
        <v>-1</v>
      </c>
      <c r="AI49" s="51">
        <f t="shared" si="18"/>
        <v>-1</v>
      </c>
      <c r="AJ49" s="51">
        <f t="shared" si="18"/>
        <v>1.0104705207761504</v>
      </c>
    </row>
    <row r="50" spans="2:36" x14ac:dyDescent="0.25">
      <c r="B50" s="6" t="s">
        <v>29</v>
      </c>
      <c r="C50" s="2">
        <f t="shared" ref="C50:L50" si="21">SUM(C46:C49)</f>
        <v>1</v>
      </c>
      <c r="D50" s="2">
        <f t="shared" si="21"/>
        <v>1</v>
      </c>
      <c r="E50" s="2">
        <f t="shared" si="21"/>
        <v>0.99999999999999989</v>
      </c>
      <c r="F50" s="2">
        <f t="shared" si="21"/>
        <v>1</v>
      </c>
      <c r="G50" s="2">
        <f t="shared" si="21"/>
        <v>0.99999999999999989</v>
      </c>
      <c r="H50" s="2">
        <f t="shared" si="21"/>
        <v>1</v>
      </c>
      <c r="I50" s="2">
        <f t="shared" si="21"/>
        <v>0.99999999999999989</v>
      </c>
      <c r="J50" s="2">
        <f t="shared" si="21"/>
        <v>0.99999999999999978</v>
      </c>
      <c r="K50" s="2">
        <f t="shared" si="21"/>
        <v>1</v>
      </c>
      <c r="L50" s="2">
        <f t="shared" si="21"/>
        <v>1.0000000000000002</v>
      </c>
      <c r="N50" s="6" t="s">
        <v>29</v>
      </c>
      <c r="O50" s="2">
        <f t="shared" ref="O50:X50" si="22">SUM(O46:O49)</f>
        <v>1</v>
      </c>
      <c r="P50" s="2">
        <f t="shared" si="22"/>
        <v>1</v>
      </c>
      <c r="Q50" s="2">
        <f t="shared" si="22"/>
        <v>1</v>
      </c>
      <c r="R50" s="2">
        <f t="shared" si="22"/>
        <v>1</v>
      </c>
      <c r="S50" s="2">
        <f t="shared" si="22"/>
        <v>1</v>
      </c>
      <c r="T50" s="2">
        <f t="shared" si="22"/>
        <v>1</v>
      </c>
      <c r="U50" s="2">
        <f t="shared" si="22"/>
        <v>1</v>
      </c>
      <c r="V50" s="2">
        <f t="shared" si="22"/>
        <v>1</v>
      </c>
      <c r="W50" s="2">
        <f t="shared" si="22"/>
        <v>1</v>
      </c>
      <c r="X50" s="2">
        <f t="shared" si="22"/>
        <v>1</v>
      </c>
      <c r="Z50" s="6" t="s">
        <v>29</v>
      </c>
      <c r="AA50" s="2">
        <f t="shared" si="18"/>
        <v>0</v>
      </c>
      <c r="AB50" s="2">
        <f t="shared" si="18"/>
        <v>0</v>
      </c>
      <c r="AC50" s="2">
        <f t="shared" si="18"/>
        <v>1.1102230246251565E-16</v>
      </c>
      <c r="AD50" s="2">
        <f t="shared" si="18"/>
        <v>0</v>
      </c>
      <c r="AE50" s="2">
        <f t="shared" si="18"/>
        <v>1.1102230246251565E-16</v>
      </c>
      <c r="AF50" s="2">
        <f t="shared" si="18"/>
        <v>0</v>
      </c>
      <c r="AG50" s="2">
        <f t="shared" si="18"/>
        <v>1.1102230246251565E-16</v>
      </c>
      <c r="AH50" s="2">
        <f t="shared" si="18"/>
        <v>2.2204460492503136E-16</v>
      </c>
      <c r="AI50" s="2">
        <f t="shared" si="18"/>
        <v>0</v>
      </c>
      <c r="AJ50" s="2">
        <f t="shared" si="18"/>
        <v>-2.2204460492503126E-16</v>
      </c>
    </row>
    <row r="53" spans="2:36" x14ac:dyDescent="0.25">
      <c r="B53" s="383" t="s">
        <v>192</v>
      </c>
      <c r="C53" s="383"/>
      <c r="D53" s="383"/>
      <c r="E53" s="383"/>
      <c r="F53" s="383"/>
      <c r="G53" s="383"/>
      <c r="H53" s="383"/>
      <c r="I53" s="383"/>
      <c r="J53" s="383"/>
      <c r="K53" s="383"/>
      <c r="L53" s="383"/>
      <c r="N53" s="383" t="s">
        <v>192</v>
      </c>
      <c r="O53" s="383"/>
      <c r="P53" s="383"/>
      <c r="Q53" s="383"/>
      <c r="R53" s="383"/>
      <c r="S53" s="383"/>
      <c r="T53" s="383"/>
      <c r="U53" s="383"/>
      <c r="V53" s="383"/>
      <c r="W53" s="383"/>
      <c r="X53" s="383"/>
      <c r="Z53" s="383" t="s">
        <v>192</v>
      </c>
      <c r="AA53" s="383"/>
      <c r="AB53" s="383"/>
      <c r="AC53" s="383"/>
      <c r="AD53" s="383"/>
      <c r="AE53" s="383"/>
      <c r="AF53" s="383"/>
      <c r="AG53" s="383"/>
      <c r="AH53" s="383"/>
      <c r="AI53" s="383"/>
      <c r="AJ53" s="383"/>
    </row>
    <row r="54" spans="2:36" ht="15.75" thickBot="1" x14ac:dyDescent="0.3">
      <c r="B54" s="158" t="s">
        <v>193</v>
      </c>
      <c r="C54" s="158" t="s">
        <v>4</v>
      </c>
      <c r="D54" s="158" t="s">
        <v>189</v>
      </c>
      <c r="E54" s="158" t="s">
        <v>190</v>
      </c>
      <c r="F54" s="158" t="s">
        <v>170</v>
      </c>
      <c r="G54" s="158" t="s">
        <v>194</v>
      </c>
      <c r="H54" s="158" t="s">
        <v>195</v>
      </c>
      <c r="I54" s="158" t="s">
        <v>196</v>
      </c>
      <c r="J54" s="158" t="s">
        <v>197</v>
      </c>
      <c r="K54" s="158" t="s">
        <v>198</v>
      </c>
      <c r="L54" s="158" t="s">
        <v>29</v>
      </c>
      <c r="N54" s="158" t="s">
        <v>193</v>
      </c>
      <c r="O54" s="158" t="s">
        <v>4</v>
      </c>
      <c r="P54" s="158" t="s">
        <v>189</v>
      </c>
      <c r="Q54" s="158" t="s">
        <v>190</v>
      </c>
      <c r="R54" s="158" t="s">
        <v>170</v>
      </c>
      <c r="S54" s="158" t="s">
        <v>194</v>
      </c>
      <c r="T54" s="158" t="s">
        <v>195</v>
      </c>
      <c r="U54" s="158" t="s">
        <v>196</v>
      </c>
      <c r="V54" s="158" t="s">
        <v>197</v>
      </c>
      <c r="W54" s="158" t="s">
        <v>198</v>
      </c>
      <c r="X54" s="158" t="s">
        <v>29</v>
      </c>
      <c r="Z54" s="158" t="s">
        <v>193</v>
      </c>
      <c r="AA54" s="158" t="s">
        <v>4</v>
      </c>
      <c r="AB54" s="158" t="s">
        <v>189</v>
      </c>
      <c r="AC54" s="158" t="s">
        <v>190</v>
      </c>
      <c r="AD54" s="158" t="s">
        <v>170</v>
      </c>
      <c r="AE54" s="158" t="s">
        <v>194</v>
      </c>
      <c r="AF54" s="158" t="s">
        <v>195</v>
      </c>
      <c r="AG54" s="158" t="s">
        <v>196</v>
      </c>
      <c r="AH54" s="158" t="s">
        <v>197</v>
      </c>
      <c r="AI54" s="158" t="s">
        <v>198</v>
      </c>
      <c r="AJ54" s="158" t="s">
        <v>29</v>
      </c>
    </row>
    <row r="55" spans="2:36" ht="15.75" thickTop="1" x14ac:dyDescent="0.25">
      <c r="B55" s="6">
        <v>0</v>
      </c>
      <c r="C55" s="2">
        <f>C24/C$31</f>
        <v>0.66872805727526585</v>
      </c>
      <c r="D55" s="2">
        <f t="shared" ref="D55:K55" si="23">D24/D$31</f>
        <v>0.76930946445141901</v>
      </c>
      <c r="E55" s="2">
        <f t="shared" si="23"/>
        <v>0.83359613944702438</v>
      </c>
      <c r="F55" s="2">
        <f t="shared" si="23"/>
        <v>0.83047385829399689</v>
      </c>
      <c r="G55" s="2">
        <f t="shared" si="23"/>
        <v>0.61005825232546029</v>
      </c>
      <c r="H55" s="2">
        <f t="shared" si="23"/>
        <v>0.74522262845551801</v>
      </c>
      <c r="I55" s="2">
        <f t="shared" si="23"/>
        <v>0.51987400893914537</v>
      </c>
      <c r="J55" s="2">
        <f t="shared" si="23"/>
        <v>0.6941080628195968</v>
      </c>
      <c r="K55" s="2">
        <f t="shared" si="23"/>
        <v>0.90051395526784273</v>
      </c>
      <c r="L55" s="2">
        <f t="shared" ref="L55:L61" si="24">L24/L$31</f>
        <v>0.71197451386713029</v>
      </c>
      <c r="N55" s="6">
        <v>0</v>
      </c>
      <c r="O55" s="2">
        <f>O24/O$31</f>
        <v>0</v>
      </c>
      <c r="P55" s="2">
        <f t="shared" ref="P55:X55" si="25">P24/P$31</f>
        <v>0</v>
      </c>
      <c r="Q55" s="2">
        <f t="shared" si="25"/>
        <v>0</v>
      </c>
      <c r="R55" s="2">
        <f t="shared" si="25"/>
        <v>0</v>
      </c>
      <c r="S55" s="2">
        <f t="shared" si="25"/>
        <v>0</v>
      </c>
      <c r="T55" s="2">
        <f t="shared" si="25"/>
        <v>0</v>
      </c>
      <c r="U55" s="2">
        <f t="shared" si="25"/>
        <v>0</v>
      </c>
      <c r="V55" s="2">
        <f t="shared" si="25"/>
        <v>0</v>
      </c>
      <c r="W55" s="2">
        <f t="shared" si="25"/>
        <v>0</v>
      </c>
      <c r="X55" s="2">
        <f t="shared" si="25"/>
        <v>0</v>
      </c>
      <c r="Z55" s="6">
        <v>0</v>
      </c>
      <c r="AA55" s="2">
        <f t="shared" ref="AA55:AA62" si="26">IF(C55&gt;0,(O55-C55)/C55,0)</f>
        <v>-1</v>
      </c>
      <c r="AB55" s="2">
        <f t="shared" ref="AB55:AB62" si="27">IF(D55&gt;0,(P55-D55)/D55,0)</f>
        <v>-1</v>
      </c>
      <c r="AC55" s="2">
        <f t="shared" ref="AC55:AC62" si="28">IF(E55&gt;0,(Q55-E55)/E55,0)</f>
        <v>-1</v>
      </c>
      <c r="AD55" s="2">
        <f t="shared" ref="AD55:AD62" si="29">IF(F55&gt;0,(R55-F55)/F55,0)</f>
        <v>-1</v>
      </c>
      <c r="AE55" s="2">
        <f t="shared" ref="AE55:AE62" si="30">IF(G55&gt;0,(S55-G55)/G55,0)</f>
        <v>-1</v>
      </c>
      <c r="AF55" s="2">
        <f t="shared" ref="AF55:AF62" si="31">IF(H55&gt;0,(T55-H55)/H55,0)</f>
        <v>-1</v>
      </c>
      <c r="AG55" s="2">
        <f t="shared" ref="AG55:AG62" si="32">IF(I55&gt;0,(U55-I55)/I55,0)</f>
        <v>-1</v>
      </c>
      <c r="AH55" s="2">
        <f t="shared" ref="AH55:AH62" si="33">IF(J55&gt;0,(V55-J55)/J55,0)</f>
        <v>-1</v>
      </c>
      <c r="AI55" s="2">
        <f t="shared" ref="AI55:AI62" si="34">IF(K55&gt;0,(W55-K55)/K55,0)</f>
        <v>-1</v>
      </c>
      <c r="AJ55" s="2">
        <f t="shared" ref="AJ55:AJ62" si="35">IF(L55&gt;0,(X55-L55)/L55,0)</f>
        <v>-1</v>
      </c>
    </row>
    <row r="56" spans="2:36" x14ac:dyDescent="0.25">
      <c r="B56" s="6">
        <v>1</v>
      </c>
      <c r="C56" s="2">
        <f t="shared" ref="C56:K61" si="36">C25/C$31</f>
        <v>0.18846541817686677</v>
      </c>
      <c r="D56" s="2">
        <f t="shared" si="36"/>
        <v>0.15819061720426356</v>
      </c>
      <c r="E56" s="2">
        <f t="shared" si="36"/>
        <v>0.10637126102762574</v>
      </c>
      <c r="F56" s="2">
        <f t="shared" si="36"/>
        <v>0.12034175969826855</v>
      </c>
      <c r="G56" s="2">
        <f t="shared" si="36"/>
        <v>0.22925829443768844</v>
      </c>
      <c r="H56" s="2">
        <f t="shared" si="36"/>
        <v>0.1601817888375939</v>
      </c>
      <c r="I56" s="2">
        <f t="shared" si="36"/>
        <v>0.27797632103637665</v>
      </c>
      <c r="J56" s="2">
        <f t="shared" si="36"/>
        <v>0.21940876468495799</v>
      </c>
      <c r="K56" s="2">
        <f t="shared" si="36"/>
        <v>7.9792120878570419E-2</v>
      </c>
      <c r="L56" s="2">
        <f t="shared" si="24"/>
        <v>0.1742023798787069</v>
      </c>
      <c r="N56" s="6">
        <v>1</v>
      </c>
      <c r="O56" s="2">
        <f t="shared" ref="O56:X61" si="37">O25/O$31</f>
        <v>0</v>
      </c>
      <c r="P56" s="2">
        <f t="shared" si="37"/>
        <v>0</v>
      </c>
      <c r="Q56" s="2">
        <f t="shared" si="37"/>
        <v>0</v>
      </c>
      <c r="R56" s="2">
        <f t="shared" si="37"/>
        <v>0</v>
      </c>
      <c r="S56" s="2">
        <f t="shared" si="37"/>
        <v>0</v>
      </c>
      <c r="T56" s="2">
        <f t="shared" si="37"/>
        <v>0</v>
      </c>
      <c r="U56" s="2">
        <f t="shared" si="37"/>
        <v>0</v>
      </c>
      <c r="V56" s="2">
        <f t="shared" si="37"/>
        <v>0</v>
      </c>
      <c r="W56" s="2">
        <f t="shared" si="37"/>
        <v>0</v>
      </c>
      <c r="X56" s="2">
        <f t="shared" si="37"/>
        <v>0</v>
      </c>
      <c r="Z56" s="6">
        <v>1</v>
      </c>
      <c r="AA56" s="2">
        <f t="shared" si="26"/>
        <v>-1</v>
      </c>
      <c r="AB56" s="2">
        <f t="shared" si="27"/>
        <v>-1</v>
      </c>
      <c r="AC56" s="2">
        <f t="shared" si="28"/>
        <v>-1</v>
      </c>
      <c r="AD56" s="2">
        <f t="shared" si="29"/>
        <v>-1</v>
      </c>
      <c r="AE56" s="2">
        <f t="shared" si="30"/>
        <v>-1</v>
      </c>
      <c r="AF56" s="2">
        <f t="shared" si="31"/>
        <v>-1</v>
      </c>
      <c r="AG56" s="2">
        <f t="shared" si="32"/>
        <v>-1</v>
      </c>
      <c r="AH56" s="2">
        <f t="shared" si="33"/>
        <v>-1</v>
      </c>
      <c r="AI56" s="2">
        <f t="shared" si="34"/>
        <v>-1</v>
      </c>
      <c r="AJ56" s="2">
        <f t="shared" si="35"/>
        <v>-1</v>
      </c>
    </row>
    <row r="57" spans="2:36" x14ac:dyDescent="0.25">
      <c r="B57" s="6">
        <v>2</v>
      </c>
      <c r="C57" s="2">
        <f t="shared" si="36"/>
        <v>8.6288002237441819E-2</v>
      </c>
      <c r="D57" s="2">
        <f t="shared" si="36"/>
        <v>5.5060516760197319E-2</v>
      </c>
      <c r="E57" s="2">
        <f t="shared" si="36"/>
        <v>3.8894953968240678E-2</v>
      </c>
      <c r="F57" s="2">
        <f t="shared" si="36"/>
        <v>3.1468695966252409E-2</v>
      </c>
      <c r="G57" s="2">
        <f t="shared" si="36"/>
        <v>8.7827897575293926E-2</v>
      </c>
      <c r="H57" s="2">
        <f t="shared" si="36"/>
        <v>6.0454396290897647E-2</v>
      </c>
      <c r="I57" s="2">
        <f t="shared" si="36"/>
        <v>0.12244461913865212</v>
      </c>
      <c r="J57" s="2">
        <f t="shared" si="36"/>
        <v>5.5017727220365492E-2</v>
      </c>
      <c r="K57" s="2">
        <f t="shared" si="36"/>
        <v>1.197610519651816E-2</v>
      </c>
      <c r="L57" s="2">
        <f t="shared" si="24"/>
        <v>6.8516499596340541E-2</v>
      </c>
      <c r="N57" s="6">
        <v>2</v>
      </c>
      <c r="O57" s="2">
        <f t="shared" si="37"/>
        <v>0.506415015973532</v>
      </c>
      <c r="P57" s="2">
        <f t="shared" si="37"/>
        <v>0.72515570934256057</v>
      </c>
      <c r="Q57" s="2">
        <f t="shared" si="37"/>
        <v>0.70837368914524068</v>
      </c>
      <c r="R57" s="2">
        <f t="shared" si="37"/>
        <v>0.77711008639901391</v>
      </c>
      <c r="S57" s="2">
        <f t="shared" si="37"/>
        <v>0.62829645953646474</v>
      </c>
      <c r="T57" s="2">
        <f t="shared" si="37"/>
        <v>0.77686067997043606</v>
      </c>
      <c r="U57" s="2">
        <f t="shared" si="37"/>
        <v>1</v>
      </c>
      <c r="V57" s="2">
        <f t="shared" si="37"/>
        <v>1</v>
      </c>
      <c r="W57" s="2">
        <f t="shared" si="37"/>
        <v>0.74731346049948932</v>
      </c>
      <c r="X57" s="2">
        <f t="shared" si="37"/>
        <v>0.68576760642030943</v>
      </c>
      <c r="Z57" s="6">
        <v>2</v>
      </c>
      <c r="AA57" s="2">
        <f t="shared" si="26"/>
        <v>4.8688925788316606</v>
      </c>
      <c r="AB57" s="2">
        <f t="shared" si="27"/>
        <v>12.170158073539335</v>
      </c>
      <c r="AC57" s="2">
        <f t="shared" si="28"/>
        <v>17.212483031183343</v>
      </c>
      <c r="AD57" s="2">
        <f t="shared" si="29"/>
        <v>23.694702546060395</v>
      </c>
      <c r="AE57" s="2">
        <f t="shared" si="30"/>
        <v>6.1537230980376458</v>
      </c>
      <c r="AF57" s="2">
        <f t="shared" si="31"/>
        <v>11.850358743676754</v>
      </c>
      <c r="AG57" s="2">
        <f t="shared" si="32"/>
        <v>7.1669574950258452</v>
      </c>
      <c r="AH57" s="2">
        <f t="shared" si="33"/>
        <v>17.175959831903736</v>
      </c>
      <c r="AI57" s="2">
        <f t="shared" si="34"/>
        <v>61.400375433973096</v>
      </c>
      <c r="AJ57" s="2">
        <f t="shared" si="35"/>
        <v>9.0087951144681107</v>
      </c>
    </row>
    <row r="58" spans="2:36" x14ac:dyDescent="0.25">
      <c r="B58" s="6">
        <v>3</v>
      </c>
      <c r="C58" s="2">
        <f t="shared" si="36"/>
        <v>3.3741705411609445E-2</v>
      </c>
      <c r="D58" s="2">
        <f t="shared" si="36"/>
        <v>1.0310308563735736E-2</v>
      </c>
      <c r="E58" s="2">
        <f t="shared" si="36"/>
        <v>8.9700463096649367E-3</v>
      </c>
      <c r="F58" s="2">
        <f t="shared" si="36"/>
        <v>1.175659608552153E-2</v>
      </c>
      <c r="G58" s="2">
        <f t="shared" si="36"/>
        <v>4.0659104800155055E-2</v>
      </c>
      <c r="H58" s="2">
        <f t="shared" si="36"/>
        <v>1.9126456657757095E-2</v>
      </c>
      <c r="I58" s="2">
        <f t="shared" si="36"/>
        <v>4.5996232944272797E-2</v>
      </c>
      <c r="J58" s="2">
        <f t="shared" si="36"/>
        <v>1.7670715229990593E-2</v>
      </c>
      <c r="K58" s="2">
        <f t="shared" si="36"/>
        <v>5.6421448687746746E-3</v>
      </c>
      <c r="L58" s="2">
        <f t="shared" si="24"/>
        <v>2.6001944556421422E-2</v>
      </c>
      <c r="N58" s="6">
        <v>3</v>
      </c>
      <c r="O58" s="2">
        <f t="shared" si="37"/>
        <v>0.24594118667838724</v>
      </c>
      <c r="P58" s="2">
        <f t="shared" si="37"/>
        <v>0.22733564013840832</v>
      </c>
      <c r="Q58" s="2">
        <f t="shared" si="37"/>
        <v>0.25596672927619468</v>
      </c>
      <c r="R58" s="2">
        <f t="shared" si="37"/>
        <v>0.1647443919561353</v>
      </c>
      <c r="S58" s="2">
        <f t="shared" si="37"/>
        <v>0.23190385280227799</v>
      </c>
      <c r="T58" s="2">
        <f t="shared" si="37"/>
        <v>0.18834441980783445</v>
      </c>
      <c r="U58" s="2">
        <f t="shared" si="37"/>
        <v>0</v>
      </c>
      <c r="V58" s="2">
        <f t="shared" si="37"/>
        <v>0</v>
      </c>
      <c r="W58" s="2">
        <f t="shared" si="37"/>
        <v>0.23442792975759033</v>
      </c>
      <c r="X58" s="2">
        <f t="shared" si="37"/>
        <v>0.20805647897791277</v>
      </c>
      <c r="Z58" s="6">
        <v>3</v>
      </c>
      <c r="AA58" s="2">
        <f t="shared" si="26"/>
        <v>6.288937641953531</v>
      </c>
      <c r="AB58" s="2">
        <f t="shared" si="27"/>
        <v>21.049353686465981</v>
      </c>
      <c r="AC58" s="2">
        <f t="shared" si="28"/>
        <v>27.53571993272752</v>
      </c>
      <c r="AD58" s="2">
        <f t="shared" si="29"/>
        <v>13.012932889564958</v>
      </c>
      <c r="AE58" s="2">
        <f t="shared" si="30"/>
        <v>4.7036143304707885</v>
      </c>
      <c r="AF58" s="2">
        <f t="shared" si="31"/>
        <v>8.8473242157714473</v>
      </c>
      <c r="AG58" s="2">
        <f t="shared" si="32"/>
        <v>-1</v>
      </c>
      <c r="AH58" s="2">
        <f t="shared" si="33"/>
        <v>-1</v>
      </c>
      <c r="AI58" s="2">
        <f t="shared" si="34"/>
        <v>40.549434693707518</v>
      </c>
      <c r="AJ58" s="2">
        <f t="shared" si="35"/>
        <v>7.0015738256211026</v>
      </c>
    </row>
    <row r="59" spans="2:36" x14ac:dyDescent="0.25">
      <c r="B59" s="6">
        <v>4</v>
      </c>
      <c r="C59" s="2">
        <f t="shared" si="36"/>
        <v>1.0918361747515188E-2</v>
      </c>
      <c r="D59" s="2">
        <f t="shared" si="36"/>
        <v>5.1287479562899321E-3</v>
      </c>
      <c r="E59" s="2">
        <f t="shared" si="36"/>
        <v>1.0022280565219475E-2</v>
      </c>
      <c r="F59" s="2">
        <f t="shared" si="36"/>
        <v>2.1742910408895496E-3</v>
      </c>
      <c r="G59" s="2">
        <f t="shared" si="36"/>
        <v>1.6631433124612263E-2</v>
      </c>
      <c r="H59" s="2">
        <f t="shared" si="36"/>
        <v>7.9407180335239001E-3</v>
      </c>
      <c r="I59" s="2">
        <f t="shared" si="36"/>
        <v>2.1698708915984917E-2</v>
      </c>
      <c r="J59" s="2">
        <f t="shared" si="36"/>
        <v>7.5601370622730207E-3</v>
      </c>
      <c r="K59" s="2">
        <f t="shared" si="36"/>
        <v>2.075673788294164E-3</v>
      </c>
      <c r="L59" s="2">
        <f t="shared" si="24"/>
        <v>1.0346343001918274E-2</v>
      </c>
      <c r="N59" s="6">
        <v>4</v>
      </c>
      <c r="O59" s="2">
        <f t="shared" si="37"/>
        <v>0.13324457568438691</v>
      </c>
      <c r="P59" s="2">
        <f t="shared" si="37"/>
        <v>4.7508650519031144E-2</v>
      </c>
      <c r="Q59" s="2">
        <f t="shared" si="37"/>
        <v>3.5659581578564643E-2</v>
      </c>
      <c r="R59" s="2">
        <f t="shared" si="37"/>
        <v>4.4676445276240082E-2</v>
      </c>
      <c r="S59" s="2">
        <f t="shared" si="37"/>
        <v>9.7426185703605173E-2</v>
      </c>
      <c r="T59" s="2">
        <f t="shared" si="37"/>
        <v>3.4794900221729493E-2</v>
      </c>
      <c r="U59" s="2">
        <f t="shared" si="37"/>
        <v>0</v>
      </c>
      <c r="V59" s="2">
        <f t="shared" si="37"/>
        <v>0</v>
      </c>
      <c r="W59" s="2">
        <f t="shared" si="37"/>
        <v>1.8258609742920352E-2</v>
      </c>
      <c r="X59" s="2">
        <f t="shared" si="37"/>
        <v>6.8640461847527992E-2</v>
      </c>
      <c r="Z59" s="6">
        <v>4</v>
      </c>
      <c r="AA59" s="2">
        <f t="shared" si="26"/>
        <v>11.203715059606891</v>
      </c>
      <c r="AB59" s="2">
        <f t="shared" si="27"/>
        <v>8.2632063271438803</v>
      </c>
      <c r="AC59" s="2">
        <f t="shared" si="28"/>
        <v>2.5580306644292934</v>
      </c>
      <c r="AD59" s="2">
        <f t="shared" si="29"/>
        <v>19.547592036235397</v>
      </c>
      <c r="AE59" s="2">
        <f t="shared" si="30"/>
        <v>4.8579549323039179</v>
      </c>
      <c r="AF59" s="2">
        <f t="shared" si="31"/>
        <v>3.3818329872479245</v>
      </c>
      <c r="AG59" s="2">
        <f t="shared" si="32"/>
        <v>-1</v>
      </c>
      <c r="AH59" s="2">
        <f t="shared" si="33"/>
        <v>-1</v>
      </c>
      <c r="AI59" s="2">
        <f t="shared" si="34"/>
        <v>7.796473629859582</v>
      </c>
      <c r="AJ59" s="2">
        <f t="shared" si="35"/>
        <v>5.6342727894099047</v>
      </c>
    </row>
    <row r="60" spans="2:36" x14ac:dyDescent="0.25">
      <c r="B60" s="6">
        <v>5</v>
      </c>
      <c r="C60" s="2">
        <f t="shared" si="36"/>
        <v>5.7722412784036612E-3</v>
      </c>
      <c r="D60" s="2">
        <f t="shared" si="36"/>
        <v>2.0003450640945007E-3</v>
      </c>
      <c r="E60" s="2">
        <f t="shared" si="36"/>
        <v>2.003912612425923E-3</v>
      </c>
      <c r="F60" s="2">
        <f t="shared" si="36"/>
        <v>2.8529705629017203E-3</v>
      </c>
      <c r="G60" s="2">
        <f t="shared" si="36"/>
        <v>7.6633587682032123E-3</v>
      </c>
      <c r="H60" s="2">
        <f t="shared" si="36"/>
        <v>3.4115424851443995E-3</v>
      </c>
      <c r="I60" s="2">
        <f t="shared" si="36"/>
        <v>7.8151371969382762E-3</v>
      </c>
      <c r="J60" s="2">
        <f t="shared" si="36"/>
        <v>4.9332959489810351E-3</v>
      </c>
      <c r="K60" s="2">
        <f t="shared" si="36"/>
        <v>0</v>
      </c>
      <c r="L60" s="2">
        <f t="shared" si="24"/>
        <v>4.7660571877907688E-3</v>
      </c>
      <c r="N60" s="6">
        <v>5</v>
      </c>
      <c r="O60" s="2">
        <f t="shared" si="37"/>
        <v>7.3973241844679807E-2</v>
      </c>
      <c r="P60" s="2">
        <f t="shared" si="37"/>
        <v>0</v>
      </c>
      <c r="Q60" s="2">
        <f t="shared" si="37"/>
        <v>0</v>
      </c>
      <c r="R60" s="2">
        <f t="shared" si="37"/>
        <v>1.3469076368610739E-2</v>
      </c>
      <c r="S60" s="2">
        <f t="shared" si="37"/>
        <v>3.0557764785424647E-2</v>
      </c>
      <c r="T60" s="2">
        <f t="shared" si="37"/>
        <v>0</v>
      </c>
      <c r="U60" s="2">
        <f t="shared" si="37"/>
        <v>0</v>
      </c>
      <c r="V60" s="2">
        <f t="shared" si="37"/>
        <v>0</v>
      </c>
      <c r="W60" s="2">
        <f t="shared" si="37"/>
        <v>0</v>
      </c>
      <c r="X60" s="2">
        <f t="shared" si="37"/>
        <v>2.5347081947050785E-2</v>
      </c>
      <c r="Z60" s="6">
        <v>5</v>
      </c>
      <c r="AA60" s="2">
        <f t="shared" si="26"/>
        <v>11.815341264656462</v>
      </c>
      <c r="AB60" s="2">
        <f t="shared" si="27"/>
        <v>-1</v>
      </c>
      <c r="AC60" s="2">
        <f t="shared" si="28"/>
        <v>-1</v>
      </c>
      <c r="AD60" s="2">
        <f t="shared" si="29"/>
        <v>3.721070922972129</v>
      </c>
      <c r="AE60" s="2">
        <f t="shared" si="30"/>
        <v>2.987515880401534</v>
      </c>
      <c r="AF60" s="2">
        <f t="shared" si="31"/>
        <v>-1</v>
      </c>
      <c r="AG60" s="2">
        <f t="shared" si="32"/>
        <v>-1</v>
      </c>
      <c r="AH60" s="2">
        <f t="shared" si="33"/>
        <v>-1</v>
      </c>
      <c r="AI60" s="2">
        <f t="shared" si="34"/>
        <v>0</v>
      </c>
      <c r="AJ60" s="2">
        <f t="shared" si="35"/>
        <v>4.3182496450068886</v>
      </c>
    </row>
    <row r="61" spans="2:36" x14ac:dyDescent="0.25">
      <c r="B61" s="159" t="s">
        <v>199</v>
      </c>
      <c r="C61" s="51">
        <f t="shared" si="36"/>
        <v>6.0862138728971426E-3</v>
      </c>
      <c r="D61" s="51">
        <f t="shared" si="36"/>
        <v>0</v>
      </c>
      <c r="E61" s="51">
        <f t="shared" si="36"/>
        <v>1.4140606979884008E-4</v>
      </c>
      <c r="F61" s="51">
        <f t="shared" si="36"/>
        <v>9.3182835216923756E-4</v>
      </c>
      <c r="G61" s="51">
        <f t="shared" si="36"/>
        <v>7.9016589685867254E-3</v>
      </c>
      <c r="H61" s="51">
        <f t="shared" si="36"/>
        <v>3.6624692395650933E-3</v>
      </c>
      <c r="I61" s="51">
        <f t="shared" si="36"/>
        <v>4.1949718286298952E-3</v>
      </c>
      <c r="J61" s="51">
        <f t="shared" si="36"/>
        <v>1.3012970338351706E-3</v>
      </c>
      <c r="K61" s="51">
        <f t="shared" si="36"/>
        <v>0</v>
      </c>
      <c r="L61" s="51">
        <f t="shared" si="24"/>
        <v>4.1922619116919035E-3</v>
      </c>
      <c r="N61" s="159" t="s">
        <v>199</v>
      </c>
      <c r="O61" s="51">
        <f t="shared" si="37"/>
        <v>4.0425979819014052E-2</v>
      </c>
      <c r="P61" s="51">
        <f t="shared" si="37"/>
        <v>0</v>
      </c>
      <c r="Q61" s="51">
        <f t="shared" si="37"/>
        <v>0</v>
      </c>
      <c r="R61" s="51">
        <f t="shared" si="37"/>
        <v>0</v>
      </c>
      <c r="S61" s="51">
        <f t="shared" si="37"/>
        <v>1.1815737172227397E-2</v>
      </c>
      <c r="T61" s="51">
        <f t="shared" si="37"/>
        <v>0</v>
      </c>
      <c r="U61" s="51">
        <f t="shared" si="37"/>
        <v>0</v>
      </c>
      <c r="V61" s="51">
        <f t="shared" si="37"/>
        <v>0</v>
      </c>
      <c r="W61" s="51">
        <f t="shared" si="37"/>
        <v>0</v>
      </c>
      <c r="X61" s="51">
        <f t="shared" si="37"/>
        <v>1.2188370807199063E-2</v>
      </c>
      <c r="Z61" s="159" t="s">
        <v>199</v>
      </c>
      <c r="AA61" s="51">
        <f t="shared" si="26"/>
        <v>5.6422213650817019</v>
      </c>
      <c r="AB61" s="51">
        <f t="shared" si="27"/>
        <v>0</v>
      </c>
      <c r="AC61" s="51">
        <f t="shared" si="28"/>
        <v>-1</v>
      </c>
      <c r="AD61" s="51">
        <f t="shared" si="29"/>
        <v>-1</v>
      </c>
      <c r="AE61" s="51">
        <f t="shared" si="30"/>
        <v>0.49534891586706076</v>
      </c>
      <c r="AF61" s="51">
        <f t="shared" si="31"/>
        <v>-1</v>
      </c>
      <c r="AG61" s="51">
        <f t="shared" si="32"/>
        <v>-1</v>
      </c>
      <c r="AH61" s="51">
        <f t="shared" si="33"/>
        <v>-1</v>
      </c>
      <c r="AI61" s="51">
        <f t="shared" si="34"/>
        <v>0</v>
      </c>
      <c r="AJ61" s="51">
        <f t="shared" si="35"/>
        <v>1.9073495559059925</v>
      </c>
    </row>
    <row r="62" spans="2:36" x14ac:dyDescent="0.25">
      <c r="B62" s="6" t="s">
        <v>29</v>
      </c>
      <c r="C62" s="2">
        <f t="shared" ref="C62:L62" si="38">SUM(C55:C61)</f>
        <v>0.99999999999999989</v>
      </c>
      <c r="D62" s="2">
        <f t="shared" si="38"/>
        <v>1</v>
      </c>
      <c r="E62" s="2">
        <f t="shared" si="38"/>
        <v>1</v>
      </c>
      <c r="F62" s="2">
        <f t="shared" si="38"/>
        <v>0.99999999999999978</v>
      </c>
      <c r="G62" s="2">
        <f t="shared" si="38"/>
        <v>0.99999999999999989</v>
      </c>
      <c r="H62" s="2">
        <f t="shared" si="38"/>
        <v>1.0000000000000002</v>
      </c>
      <c r="I62" s="2">
        <f t="shared" si="38"/>
        <v>1</v>
      </c>
      <c r="J62" s="2">
        <f t="shared" si="38"/>
        <v>1</v>
      </c>
      <c r="K62" s="2">
        <f t="shared" si="38"/>
        <v>1.0000000000000002</v>
      </c>
      <c r="L62" s="2">
        <f t="shared" si="38"/>
        <v>1.0000000000000002</v>
      </c>
      <c r="N62" s="6" t="s">
        <v>29</v>
      </c>
      <c r="O62" s="2">
        <f t="shared" ref="O62:X62" si="39">SUM(O55:O61)</f>
        <v>1</v>
      </c>
      <c r="P62" s="2">
        <f t="shared" si="39"/>
        <v>1</v>
      </c>
      <c r="Q62" s="2">
        <f t="shared" si="39"/>
        <v>1</v>
      </c>
      <c r="R62" s="2">
        <f t="shared" si="39"/>
        <v>1</v>
      </c>
      <c r="S62" s="2">
        <f t="shared" si="39"/>
        <v>0.99999999999999989</v>
      </c>
      <c r="T62" s="2">
        <f t="shared" si="39"/>
        <v>1</v>
      </c>
      <c r="U62" s="2">
        <f t="shared" si="39"/>
        <v>1</v>
      </c>
      <c r="V62" s="2">
        <f t="shared" si="39"/>
        <v>1</v>
      </c>
      <c r="W62" s="2">
        <f t="shared" si="39"/>
        <v>1</v>
      </c>
      <c r="X62" s="2">
        <f t="shared" si="39"/>
        <v>1.0000000000000002</v>
      </c>
      <c r="Z62" s="6" t="s">
        <v>29</v>
      </c>
      <c r="AA62" s="2">
        <f t="shared" si="26"/>
        <v>1.1102230246251565E-16</v>
      </c>
      <c r="AB62" s="2">
        <f t="shared" si="27"/>
        <v>0</v>
      </c>
      <c r="AC62" s="2">
        <f t="shared" si="28"/>
        <v>0</v>
      </c>
      <c r="AD62" s="2">
        <f t="shared" si="29"/>
        <v>2.2204460492503136E-16</v>
      </c>
      <c r="AE62" s="2">
        <f t="shared" si="30"/>
        <v>0</v>
      </c>
      <c r="AF62" s="2">
        <f t="shared" si="31"/>
        <v>-2.2204460492503126E-16</v>
      </c>
      <c r="AG62" s="2">
        <f t="shared" si="32"/>
        <v>0</v>
      </c>
      <c r="AH62" s="2">
        <f t="shared" si="33"/>
        <v>0</v>
      </c>
      <c r="AI62" s="2">
        <f t="shared" si="34"/>
        <v>-2.2204460492503126E-16</v>
      </c>
      <c r="AJ62" s="2">
        <f t="shared" si="35"/>
        <v>0</v>
      </c>
    </row>
  </sheetData>
  <mergeCells count="15">
    <mergeCell ref="B4:L4"/>
    <mergeCell ref="B13:L13"/>
    <mergeCell ref="B22:L22"/>
    <mergeCell ref="N4:X4"/>
    <mergeCell ref="N13:X13"/>
    <mergeCell ref="N22:X22"/>
    <mergeCell ref="Z35:AJ35"/>
    <mergeCell ref="Z44:AJ44"/>
    <mergeCell ref="Z53:AJ53"/>
    <mergeCell ref="B35:L35"/>
    <mergeCell ref="N35:X35"/>
    <mergeCell ref="B44:L44"/>
    <mergeCell ref="N44:X44"/>
    <mergeCell ref="B53:L53"/>
    <mergeCell ref="N53:X53"/>
  </mergeCells>
  <hyperlinks>
    <hyperlink ref="A1" location="Index!A1" display="Index"/>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F24"/>
  <sheetViews>
    <sheetView topLeftCell="D1" workbookViewId="0">
      <selection activeCell="N30" sqref="N30"/>
    </sheetView>
  </sheetViews>
  <sheetFormatPr defaultRowHeight="15" x14ac:dyDescent="0.25"/>
  <sheetData>
    <row r="1" spans="1:32" x14ac:dyDescent="0.25">
      <c r="A1" t="s">
        <v>7</v>
      </c>
      <c r="L1" t="s">
        <v>3</v>
      </c>
    </row>
    <row r="2" spans="1:32" x14ac:dyDescent="0.25">
      <c r="A2" t="s">
        <v>183</v>
      </c>
      <c r="L2" t="s">
        <v>183</v>
      </c>
    </row>
    <row r="3" spans="1:32" x14ac:dyDescent="0.25">
      <c r="B3" t="s">
        <v>55</v>
      </c>
      <c r="C3" t="s">
        <v>56</v>
      </c>
      <c r="D3" t="s">
        <v>115</v>
      </c>
      <c r="E3" t="s">
        <v>180</v>
      </c>
      <c r="F3" t="s">
        <v>117</v>
      </c>
      <c r="G3" t="s">
        <v>118</v>
      </c>
      <c r="H3" t="s">
        <v>119</v>
      </c>
      <c r="I3" t="s">
        <v>120</v>
      </c>
      <c r="J3" t="s">
        <v>121</v>
      </c>
      <c r="M3" t="s">
        <v>55</v>
      </c>
      <c r="N3" t="s">
        <v>56</v>
      </c>
      <c r="O3" t="s">
        <v>115</v>
      </c>
      <c r="P3" t="s">
        <v>180</v>
      </c>
      <c r="Q3" t="s">
        <v>117</v>
      </c>
      <c r="R3" t="s">
        <v>118</v>
      </c>
      <c r="S3" t="s">
        <v>119</v>
      </c>
      <c r="T3" t="s">
        <v>120</v>
      </c>
      <c r="U3" t="s">
        <v>121</v>
      </c>
      <c r="W3" s="157"/>
      <c r="X3" t="s">
        <v>55</v>
      </c>
      <c r="Y3" t="s">
        <v>56</v>
      </c>
      <c r="Z3" t="s">
        <v>115</v>
      </c>
      <c r="AA3" t="s">
        <v>180</v>
      </c>
      <c r="AB3" t="s">
        <v>117</v>
      </c>
      <c r="AC3" t="s">
        <v>118</v>
      </c>
      <c r="AD3" t="s">
        <v>119</v>
      </c>
      <c r="AE3" t="s">
        <v>120</v>
      </c>
      <c r="AF3" t="s">
        <v>121</v>
      </c>
    </row>
    <row r="4" spans="1:32" x14ac:dyDescent="0.25">
      <c r="A4">
        <v>1</v>
      </c>
      <c r="B4">
        <v>3527129.4413700001</v>
      </c>
      <c r="C4">
        <v>181897.46494000001</v>
      </c>
      <c r="D4">
        <v>1494725.1107699999</v>
      </c>
      <c r="E4">
        <v>1144351.8013800001</v>
      </c>
      <c r="F4">
        <v>1528194.65145</v>
      </c>
      <c r="G4">
        <v>1332077.1277300001</v>
      </c>
      <c r="H4">
        <v>357344.52479</v>
      </c>
      <c r="I4">
        <v>389137.02493000001</v>
      </c>
      <c r="J4">
        <v>440743.09998</v>
      </c>
      <c r="L4">
        <v>1</v>
      </c>
      <c r="M4">
        <v>0</v>
      </c>
      <c r="N4">
        <v>0</v>
      </c>
      <c r="O4">
        <v>0</v>
      </c>
      <c r="P4">
        <v>0</v>
      </c>
      <c r="Q4">
        <v>0</v>
      </c>
      <c r="R4">
        <v>0</v>
      </c>
      <c r="S4">
        <v>0</v>
      </c>
      <c r="T4">
        <v>0</v>
      </c>
      <c r="U4">
        <v>0</v>
      </c>
      <c r="W4" s="157">
        <v>1</v>
      </c>
      <c r="X4">
        <v>0</v>
      </c>
      <c r="Y4">
        <v>0</v>
      </c>
      <c r="Z4">
        <v>0</v>
      </c>
      <c r="AA4">
        <v>0</v>
      </c>
      <c r="AB4">
        <v>0</v>
      </c>
      <c r="AC4">
        <v>0</v>
      </c>
      <c r="AD4">
        <v>0</v>
      </c>
      <c r="AE4">
        <v>0</v>
      </c>
      <c r="AF4">
        <v>0</v>
      </c>
    </row>
    <row r="5" spans="1:32" x14ac:dyDescent="0.25">
      <c r="A5">
        <v>2</v>
      </c>
      <c r="B5">
        <v>468481.37492999999</v>
      </c>
      <c r="C5">
        <v>10692.756069999999</v>
      </c>
      <c r="D5">
        <v>44573.231800000001</v>
      </c>
      <c r="E5">
        <v>52390.38854</v>
      </c>
      <c r="F5">
        <v>303481.03726999997</v>
      </c>
      <c r="G5">
        <v>157861.11486</v>
      </c>
      <c r="H5">
        <v>91501.845480000004</v>
      </c>
      <c r="I5">
        <v>47531.73083</v>
      </c>
      <c r="J5">
        <v>0</v>
      </c>
      <c r="L5">
        <v>2</v>
      </c>
      <c r="M5">
        <v>521086</v>
      </c>
      <c r="N5">
        <v>25651</v>
      </c>
      <c r="O5">
        <v>293882</v>
      </c>
      <c r="P5">
        <v>238697</v>
      </c>
      <c r="Q5">
        <v>475798</v>
      </c>
      <c r="R5">
        <v>480083</v>
      </c>
      <c r="S5">
        <v>109512</v>
      </c>
      <c r="T5">
        <v>88374</v>
      </c>
      <c r="U5">
        <v>220674</v>
      </c>
      <c r="W5" s="157">
        <v>2</v>
      </c>
      <c r="X5">
        <v>521086</v>
      </c>
      <c r="Y5">
        <v>25651</v>
      </c>
      <c r="Z5">
        <v>293882</v>
      </c>
      <c r="AA5">
        <v>238697</v>
      </c>
      <c r="AB5">
        <v>475798</v>
      </c>
      <c r="AC5">
        <v>480083</v>
      </c>
      <c r="AD5">
        <v>109512</v>
      </c>
      <c r="AE5">
        <v>88374</v>
      </c>
      <c r="AF5">
        <v>220674</v>
      </c>
    </row>
    <row r="6" spans="1:32" x14ac:dyDescent="0.25">
      <c r="A6">
        <v>3</v>
      </c>
      <c r="B6">
        <v>74288.881760000004</v>
      </c>
      <c r="C6">
        <v>3079.5040399999998</v>
      </c>
      <c r="D6">
        <v>1772.0734500000001</v>
      </c>
      <c r="E6">
        <v>12914.710279999999</v>
      </c>
      <c r="F6">
        <v>69470.726420000006</v>
      </c>
      <c r="G6">
        <v>46905.937089999999</v>
      </c>
      <c r="H6">
        <v>25432.940470000001</v>
      </c>
      <c r="I6">
        <v>9231.7752500000006</v>
      </c>
      <c r="J6">
        <v>0</v>
      </c>
      <c r="L6">
        <v>3</v>
      </c>
      <c r="M6">
        <v>137545</v>
      </c>
      <c r="N6">
        <v>3249</v>
      </c>
      <c r="O6">
        <v>29285</v>
      </c>
      <c r="P6">
        <v>20165</v>
      </c>
      <c r="Q6">
        <v>75323</v>
      </c>
      <c r="R6">
        <v>61117</v>
      </c>
      <c r="S6">
        <v>0</v>
      </c>
      <c r="T6">
        <v>0</v>
      </c>
      <c r="U6">
        <v>32905</v>
      </c>
      <c r="W6" s="157">
        <v>3</v>
      </c>
      <c r="X6">
        <v>137545</v>
      </c>
      <c r="Y6">
        <v>3249</v>
      </c>
      <c r="Z6">
        <v>29285</v>
      </c>
      <c r="AA6">
        <v>20165</v>
      </c>
      <c r="AB6">
        <v>75323</v>
      </c>
      <c r="AC6">
        <v>61117</v>
      </c>
      <c r="AD6">
        <v>0</v>
      </c>
      <c r="AE6">
        <v>0</v>
      </c>
      <c r="AF6">
        <v>32905</v>
      </c>
    </row>
    <row r="7" spans="1:32" x14ac:dyDescent="0.25">
      <c r="A7">
        <v>4</v>
      </c>
      <c r="B7">
        <v>42780.365890000001</v>
      </c>
      <c r="C7">
        <v>285.40640999999999</v>
      </c>
      <c r="D7">
        <v>388.73286999999999</v>
      </c>
      <c r="E7">
        <v>6831.9921599999998</v>
      </c>
      <c r="F7">
        <v>43935.373520000001</v>
      </c>
      <c r="G7">
        <v>17522.5952</v>
      </c>
      <c r="H7">
        <v>12428.80636</v>
      </c>
      <c r="I7">
        <v>4610.0248099999999</v>
      </c>
      <c r="J7">
        <v>0</v>
      </c>
      <c r="L7">
        <v>4</v>
      </c>
      <c r="M7">
        <v>44407</v>
      </c>
      <c r="N7">
        <v>0</v>
      </c>
      <c r="O7">
        <v>0</v>
      </c>
      <c r="P7">
        <v>7229</v>
      </c>
      <c r="Q7">
        <v>36062</v>
      </c>
      <c r="R7">
        <v>0</v>
      </c>
      <c r="S7">
        <v>0</v>
      </c>
      <c r="T7">
        <v>0</v>
      </c>
      <c r="U7">
        <v>0</v>
      </c>
      <c r="W7" s="157">
        <v>4</v>
      </c>
      <c r="X7">
        <v>44407</v>
      </c>
      <c r="Y7">
        <v>0</v>
      </c>
      <c r="Z7">
        <v>0</v>
      </c>
      <c r="AA7">
        <v>7229</v>
      </c>
      <c r="AB7">
        <v>36062</v>
      </c>
      <c r="AC7">
        <v>0</v>
      </c>
      <c r="AD7">
        <v>0</v>
      </c>
      <c r="AE7">
        <v>0</v>
      </c>
      <c r="AF7">
        <v>0</v>
      </c>
    </row>
    <row r="9" spans="1:32" x14ac:dyDescent="0.25">
      <c r="A9" t="s">
        <v>184</v>
      </c>
      <c r="L9" t="s">
        <v>184</v>
      </c>
    </row>
    <row r="10" spans="1:32" x14ac:dyDescent="0.25">
      <c r="B10" t="s">
        <v>55</v>
      </c>
      <c r="C10" t="s">
        <v>56</v>
      </c>
      <c r="D10" t="s">
        <v>115</v>
      </c>
      <c r="E10" t="s">
        <v>180</v>
      </c>
      <c r="F10" t="s">
        <v>117</v>
      </c>
      <c r="G10" t="s">
        <v>118</v>
      </c>
      <c r="H10" t="s">
        <v>119</v>
      </c>
      <c r="I10" t="s">
        <v>120</v>
      </c>
      <c r="J10" t="s">
        <v>121</v>
      </c>
      <c r="M10" t="s">
        <v>55</v>
      </c>
      <c r="N10" t="s">
        <v>56</v>
      </c>
      <c r="O10" t="s">
        <v>115</v>
      </c>
      <c r="P10" t="s">
        <v>180</v>
      </c>
      <c r="Q10" t="s">
        <v>117</v>
      </c>
      <c r="R10" t="s">
        <v>118</v>
      </c>
      <c r="S10" t="s">
        <v>119</v>
      </c>
      <c r="T10" t="s">
        <v>120</v>
      </c>
      <c r="U10" t="s">
        <v>121</v>
      </c>
      <c r="X10" t="s">
        <v>55</v>
      </c>
      <c r="Y10" t="s">
        <v>56</v>
      </c>
      <c r="Z10" t="s">
        <v>115</v>
      </c>
      <c r="AA10" t="s">
        <v>180</v>
      </c>
      <c r="AB10" t="s">
        <v>117</v>
      </c>
      <c r="AC10" t="s">
        <v>118</v>
      </c>
      <c r="AD10" t="s">
        <v>119</v>
      </c>
      <c r="AE10" t="s">
        <v>120</v>
      </c>
      <c r="AF10" t="s">
        <v>121</v>
      </c>
    </row>
    <row r="11" spans="1:32" x14ac:dyDescent="0.25">
      <c r="A11">
        <v>1</v>
      </c>
      <c r="B11">
        <v>3071251.60482</v>
      </c>
      <c r="C11">
        <v>161215.39743000001</v>
      </c>
      <c r="D11">
        <v>1307187.12307</v>
      </c>
      <c r="E11">
        <v>1072383.9103099999</v>
      </c>
      <c r="F11">
        <v>1477999.83078</v>
      </c>
      <c r="G11">
        <v>1325218.9518800001</v>
      </c>
      <c r="H11">
        <v>339383.85548000003</v>
      </c>
      <c r="I11">
        <v>357886.52549000003</v>
      </c>
      <c r="J11">
        <v>396895.31222000002</v>
      </c>
      <c r="L11">
        <v>1</v>
      </c>
      <c r="M11">
        <v>0</v>
      </c>
      <c r="N11">
        <v>0</v>
      </c>
      <c r="O11">
        <v>0</v>
      </c>
      <c r="P11">
        <v>0</v>
      </c>
      <c r="Q11">
        <v>0</v>
      </c>
      <c r="R11">
        <v>0</v>
      </c>
      <c r="S11">
        <v>0</v>
      </c>
      <c r="T11">
        <v>0</v>
      </c>
      <c r="U11">
        <v>0</v>
      </c>
      <c r="W11">
        <v>1</v>
      </c>
      <c r="X11">
        <v>0</v>
      </c>
      <c r="Y11">
        <v>0</v>
      </c>
      <c r="Z11">
        <v>0</v>
      </c>
      <c r="AA11">
        <v>0</v>
      </c>
      <c r="AB11">
        <v>0</v>
      </c>
      <c r="AC11">
        <v>0</v>
      </c>
      <c r="AD11">
        <v>0</v>
      </c>
      <c r="AE11">
        <v>0</v>
      </c>
      <c r="AF11">
        <v>0</v>
      </c>
    </row>
    <row r="12" spans="1:32" x14ac:dyDescent="0.25">
      <c r="A12">
        <v>2</v>
      </c>
      <c r="B12">
        <v>698951.88673000003</v>
      </c>
      <c r="C12">
        <v>25599.968649999999</v>
      </c>
      <c r="D12">
        <v>163055.28774</v>
      </c>
      <c r="E12">
        <v>109712.71225</v>
      </c>
      <c r="F12">
        <v>306301.76861000003</v>
      </c>
      <c r="G12">
        <v>172367.06357</v>
      </c>
      <c r="H12">
        <v>104204.67582</v>
      </c>
      <c r="I12">
        <v>72413.530859999999</v>
      </c>
      <c r="J12">
        <v>35167.826710000001</v>
      </c>
      <c r="L12">
        <v>2</v>
      </c>
      <c r="M12">
        <v>428836</v>
      </c>
      <c r="N12">
        <v>22833</v>
      </c>
      <c r="O12">
        <v>246684</v>
      </c>
      <c r="P12">
        <v>229902</v>
      </c>
      <c r="Q12">
        <v>459427</v>
      </c>
      <c r="R12">
        <v>462723</v>
      </c>
      <c r="S12">
        <v>109512</v>
      </c>
      <c r="T12">
        <v>88374</v>
      </c>
      <c r="U12">
        <v>217778</v>
      </c>
      <c r="W12">
        <v>2</v>
      </c>
      <c r="X12">
        <v>428836</v>
      </c>
      <c r="Y12">
        <v>22833</v>
      </c>
      <c r="Z12">
        <v>246684</v>
      </c>
      <c r="AA12">
        <v>229902</v>
      </c>
      <c r="AB12">
        <v>459427</v>
      </c>
      <c r="AC12">
        <v>462723</v>
      </c>
      <c r="AD12">
        <v>109512</v>
      </c>
      <c r="AE12">
        <v>88374</v>
      </c>
      <c r="AF12">
        <v>217778</v>
      </c>
    </row>
    <row r="13" spans="1:32" x14ac:dyDescent="0.25">
      <c r="A13">
        <v>3</v>
      </c>
      <c r="B13">
        <v>215713.70188000001</v>
      </c>
      <c r="C13">
        <v>7127.27376</v>
      </c>
      <c r="D13">
        <v>42206.24149</v>
      </c>
      <c r="E13">
        <v>22765.276259999999</v>
      </c>
      <c r="F13">
        <v>99039.747700000007</v>
      </c>
      <c r="G13">
        <v>37749.795850000002</v>
      </c>
      <c r="H13">
        <v>29625.110789999999</v>
      </c>
      <c r="I13">
        <v>14667.06112</v>
      </c>
      <c r="J13">
        <v>5278.38573</v>
      </c>
      <c r="L13">
        <v>3</v>
      </c>
      <c r="M13">
        <v>184539</v>
      </c>
      <c r="N13">
        <v>6067</v>
      </c>
      <c r="O13">
        <v>76483</v>
      </c>
      <c r="P13">
        <v>28636</v>
      </c>
      <c r="Q13">
        <v>91845</v>
      </c>
      <c r="R13">
        <v>78477</v>
      </c>
      <c r="S13">
        <v>0</v>
      </c>
      <c r="T13">
        <v>0</v>
      </c>
      <c r="U13">
        <v>35801</v>
      </c>
      <c r="W13">
        <v>3</v>
      </c>
      <c r="X13">
        <v>184539</v>
      </c>
      <c r="Y13">
        <v>6067</v>
      </c>
      <c r="Z13">
        <v>76483</v>
      </c>
      <c r="AA13">
        <v>28636</v>
      </c>
      <c r="AB13">
        <v>91845</v>
      </c>
      <c r="AC13">
        <v>78477</v>
      </c>
      <c r="AD13">
        <v>0</v>
      </c>
      <c r="AE13">
        <v>0</v>
      </c>
      <c r="AF13">
        <v>35801</v>
      </c>
    </row>
    <row r="14" spans="1:32" x14ac:dyDescent="0.25">
      <c r="A14">
        <v>4</v>
      </c>
      <c r="B14">
        <v>126762.87052</v>
      </c>
      <c r="C14">
        <v>2012.49162</v>
      </c>
      <c r="D14">
        <v>29010.496589999999</v>
      </c>
      <c r="E14">
        <v>11626.993539999999</v>
      </c>
      <c r="F14">
        <v>61740.441570000003</v>
      </c>
      <c r="G14">
        <v>19030.96358</v>
      </c>
      <c r="H14">
        <v>13494.47501</v>
      </c>
      <c r="I14">
        <v>5543.4383500000004</v>
      </c>
      <c r="J14">
        <v>3401.5753199999999</v>
      </c>
      <c r="L14">
        <v>4</v>
      </c>
      <c r="M14">
        <v>89663</v>
      </c>
      <c r="N14">
        <v>0</v>
      </c>
      <c r="O14">
        <v>0</v>
      </c>
      <c r="P14">
        <v>7553</v>
      </c>
      <c r="Q14">
        <v>35911</v>
      </c>
      <c r="R14">
        <v>0</v>
      </c>
      <c r="S14">
        <v>0</v>
      </c>
      <c r="T14">
        <v>0</v>
      </c>
      <c r="U14">
        <v>0</v>
      </c>
      <c r="W14">
        <v>4</v>
      </c>
      <c r="X14">
        <v>89663</v>
      </c>
      <c r="Y14">
        <v>0</v>
      </c>
      <c r="Z14">
        <v>0</v>
      </c>
      <c r="AA14">
        <v>7553</v>
      </c>
      <c r="AB14">
        <v>35911</v>
      </c>
      <c r="AC14">
        <v>0</v>
      </c>
      <c r="AD14">
        <v>0</v>
      </c>
      <c r="AE14">
        <v>0</v>
      </c>
      <c r="AF14">
        <v>0</v>
      </c>
    </row>
    <row r="16" spans="1:32" x14ac:dyDescent="0.25">
      <c r="A16" t="s">
        <v>29</v>
      </c>
      <c r="L16" t="s">
        <v>29</v>
      </c>
    </row>
    <row r="17" spans="1:32" x14ac:dyDescent="0.25">
      <c r="B17" t="s">
        <v>55</v>
      </c>
      <c r="C17" t="s">
        <v>56</v>
      </c>
      <c r="D17" t="s">
        <v>115</v>
      </c>
      <c r="E17" t="s">
        <v>180</v>
      </c>
      <c r="F17" t="s">
        <v>117</v>
      </c>
      <c r="G17" t="s">
        <v>118</v>
      </c>
      <c r="H17" t="s">
        <v>119</v>
      </c>
      <c r="I17" t="s">
        <v>120</v>
      </c>
      <c r="J17" t="s">
        <v>121</v>
      </c>
      <c r="M17" t="s">
        <v>55</v>
      </c>
      <c r="N17" t="s">
        <v>56</v>
      </c>
      <c r="O17" t="s">
        <v>115</v>
      </c>
      <c r="P17" t="s">
        <v>180</v>
      </c>
      <c r="Q17" t="s">
        <v>117</v>
      </c>
      <c r="R17" t="s">
        <v>118</v>
      </c>
      <c r="S17" t="s">
        <v>119</v>
      </c>
      <c r="T17" t="s">
        <v>120</v>
      </c>
      <c r="U17" t="s">
        <v>121</v>
      </c>
      <c r="X17" t="s">
        <v>55</v>
      </c>
      <c r="Y17" t="s">
        <v>56</v>
      </c>
      <c r="Z17" t="s">
        <v>115</v>
      </c>
      <c r="AA17" t="s">
        <v>180</v>
      </c>
      <c r="AB17" t="s">
        <v>117</v>
      </c>
      <c r="AC17" t="s">
        <v>118</v>
      </c>
      <c r="AD17" t="s">
        <v>119</v>
      </c>
      <c r="AE17" t="s">
        <v>120</v>
      </c>
      <c r="AF17" t="s">
        <v>121</v>
      </c>
    </row>
    <row r="18" spans="1:32" x14ac:dyDescent="0.25">
      <c r="A18">
        <v>1</v>
      </c>
      <c r="B18">
        <v>2750264.5493600001</v>
      </c>
      <c r="C18">
        <v>150750.13724000001</v>
      </c>
      <c r="D18">
        <v>1284954.3956299999</v>
      </c>
      <c r="E18">
        <v>1010262.22401</v>
      </c>
      <c r="F18">
        <v>1186613.1966200001</v>
      </c>
      <c r="G18">
        <v>1158349.2935599999</v>
      </c>
      <c r="H18">
        <v>253026.90002</v>
      </c>
      <c r="I18">
        <v>312703.00917999999</v>
      </c>
      <c r="J18">
        <v>396895.31222000002</v>
      </c>
      <c r="L18">
        <v>1</v>
      </c>
      <c r="M18">
        <v>0</v>
      </c>
      <c r="N18">
        <v>0</v>
      </c>
      <c r="O18">
        <v>0</v>
      </c>
      <c r="P18">
        <v>0</v>
      </c>
      <c r="Q18">
        <v>0</v>
      </c>
      <c r="R18">
        <v>0</v>
      </c>
      <c r="S18">
        <v>0</v>
      </c>
      <c r="T18">
        <v>0</v>
      </c>
      <c r="U18">
        <v>0</v>
      </c>
      <c r="W18">
        <v>1</v>
      </c>
      <c r="X18">
        <v>0</v>
      </c>
      <c r="Y18">
        <v>0</v>
      </c>
      <c r="Z18">
        <v>0</v>
      </c>
      <c r="AA18">
        <v>0</v>
      </c>
      <c r="AB18">
        <v>0</v>
      </c>
      <c r="AC18">
        <v>0</v>
      </c>
      <c r="AD18">
        <v>0</v>
      </c>
      <c r="AE18">
        <v>0</v>
      </c>
      <c r="AF18">
        <v>0</v>
      </c>
    </row>
    <row r="19" spans="1:32" x14ac:dyDescent="0.25">
      <c r="A19">
        <v>2</v>
      </c>
      <c r="B19">
        <v>775097.96808000002</v>
      </c>
      <c r="C19">
        <v>30998.263190000001</v>
      </c>
      <c r="D19">
        <v>163966.95349000001</v>
      </c>
      <c r="E19">
        <v>146394.41396000001</v>
      </c>
      <c r="F19">
        <v>445926.13341000001</v>
      </c>
      <c r="G19">
        <v>248981.25051000001</v>
      </c>
      <c r="H19">
        <v>135293.33181</v>
      </c>
      <c r="I19">
        <v>98845.964529999997</v>
      </c>
      <c r="J19">
        <v>35167.826710000001</v>
      </c>
      <c r="L19">
        <v>2</v>
      </c>
      <c r="M19">
        <v>0</v>
      </c>
      <c r="N19">
        <v>0</v>
      </c>
      <c r="O19">
        <v>0</v>
      </c>
      <c r="P19">
        <v>0</v>
      </c>
      <c r="Q19">
        <v>0</v>
      </c>
      <c r="R19">
        <v>0</v>
      </c>
      <c r="S19">
        <v>0</v>
      </c>
      <c r="T19">
        <v>0</v>
      </c>
      <c r="U19">
        <v>0</v>
      </c>
      <c r="W19">
        <v>2</v>
      </c>
      <c r="X19">
        <v>0</v>
      </c>
      <c r="Y19">
        <v>0</v>
      </c>
      <c r="Z19">
        <v>0</v>
      </c>
      <c r="AA19">
        <v>0</v>
      </c>
      <c r="AB19">
        <v>0</v>
      </c>
      <c r="AC19">
        <v>0</v>
      </c>
      <c r="AD19">
        <v>0</v>
      </c>
      <c r="AE19">
        <v>0</v>
      </c>
      <c r="AF19">
        <v>0</v>
      </c>
    </row>
    <row r="20" spans="1:32" x14ac:dyDescent="0.25">
      <c r="A20">
        <v>3</v>
      </c>
      <c r="B20">
        <v>354874.94656000001</v>
      </c>
      <c r="C20">
        <v>10789.390799999999</v>
      </c>
      <c r="D20">
        <v>59954.982640000002</v>
      </c>
      <c r="E20">
        <v>38281.319100000001</v>
      </c>
      <c r="F20">
        <v>170832.44411000001</v>
      </c>
      <c r="G20">
        <v>93968.304990000004</v>
      </c>
      <c r="H20">
        <v>59594.790029999996</v>
      </c>
      <c r="I20">
        <v>24786.066869999999</v>
      </c>
      <c r="J20">
        <v>5278.38573</v>
      </c>
      <c r="L20">
        <v>3</v>
      </c>
      <c r="M20">
        <v>356029</v>
      </c>
      <c r="N20">
        <v>20957</v>
      </c>
      <c r="O20">
        <v>228923</v>
      </c>
      <c r="P20">
        <v>206782</v>
      </c>
      <c r="Q20">
        <v>368925</v>
      </c>
      <c r="R20">
        <v>420437</v>
      </c>
      <c r="S20">
        <v>109512</v>
      </c>
      <c r="T20">
        <v>88374</v>
      </c>
      <c r="U20">
        <v>189503</v>
      </c>
      <c r="W20">
        <v>3</v>
      </c>
      <c r="X20">
        <v>356029</v>
      </c>
      <c r="Y20">
        <v>20957</v>
      </c>
      <c r="Z20">
        <v>228923</v>
      </c>
      <c r="AA20">
        <v>206782</v>
      </c>
      <c r="AB20">
        <v>368925</v>
      </c>
      <c r="AC20">
        <v>420437</v>
      </c>
      <c r="AD20">
        <v>109512</v>
      </c>
      <c r="AE20">
        <v>88374</v>
      </c>
      <c r="AF20">
        <v>189503</v>
      </c>
    </row>
    <row r="21" spans="1:32" x14ac:dyDescent="0.25">
      <c r="A21">
        <v>4</v>
      </c>
      <c r="B21">
        <v>138768.83916999999</v>
      </c>
      <c r="C21">
        <v>2020.35787</v>
      </c>
      <c r="D21">
        <v>13826.95995</v>
      </c>
      <c r="E21">
        <v>14301.768550000001</v>
      </c>
      <c r="F21">
        <v>79085.284289999996</v>
      </c>
      <c r="G21">
        <v>29729.528750000001</v>
      </c>
      <c r="H21">
        <v>22386.73993</v>
      </c>
      <c r="I21">
        <v>7960.8437400000003</v>
      </c>
      <c r="J21">
        <v>2486.7364200000002</v>
      </c>
      <c r="L21">
        <v>4</v>
      </c>
      <c r="M21">
        <v>172906</v>
      </c>
      <c r="N21">
        <v>6570</v>
      </c>
      <c r="O21">
        <v>82720</v>
      </c>
      <c r="P21">
        <v>43837</v>
      </c>
      <c r="Q21">
        <v>136170</v>
      </c>
      <c r="R21">
        <v>101932</v>
      </c>
      <c r="S21">
        <v>0</v>
      </c>
      <c r="T21">
        <v>0</v>
      </c>
      <c r="U21">
        <v>59446</v>
      </c>
      <c r="W21">
        <v>4</v>
      </c>
      <c r="X21">
        <v>172906</v>
      </c>
      <c r="Y21">
        <v>6570</v>
      </c>
      <c r="Z21">
        <v>82720</v>
      </c>
      <c r="AA21">
        <v>43837</v>
      </c>
      <c r="AB21">
        <v>136170</v>
      </c>
      <c r="AC21">
        <v>101932</v>
      </c>
      <c r="AD21">
        <v>0</v>
      </c>
      <c r="AE21">
        <v>0</v>
      </c>
      <c r="AF21">
        <v>59446</v>
      </c>
    </row>
    <row r="22" spans="1:32" x14ac:dyDescent="0.25">
      <c r="A22">
        <v>5</v>
      </c>
      <c r="B22">
        <v>44903.728690000004</v>
      </c>
      <c r="C22">
        <v>1005.0044799999999</v>
      </c>
      <c r="D22">
        <v>15448.93607</v>
      </c>
      <c r="E22">
        <v>2645.0009</v>
      </c>
      <c r="F22">
        <v>32349.49769</v>
      </c>
      <c r="G22">
        <v>12342.788280000001</v>
      </c>
      <c r="H22">
        <v>10560.937760000001</v>
      </c>
      <c r="I22">
        <v>3405.92155</v>
      </c>
      <c r="J22">
        <v>914.83889999999997</v>
      </c>
      <c r="L22">
        <v>5</v>
      </c>
      <c r="M22">
        <v>93676</v>
      </c>
      <c r="N22">
        <v>1373</v>
      </c>
      <c r="O22">
        <v>11524</v>
      </c>
      <c r="P22">
        <v>11888</v>
      </c>
      <c r="Q22">
        <v>57207</v>
      </c>
      <c r="R22">
        <v>18831</v>
      </c>
      <c r="S22">
        <v>0</v>
      </c>
      <c r="T22">
        <v>0</v>
      </c>
      <c r="U22">
        <v>4630</v>
      </c>
      <c r="W22">
        <v>5</v>
      </c>
      <c r="X22">
        <v>93676</v>
      </c>
      <c r="Y22">
        <v>1373</v>
      </c>
      <c r="Z22">
        <v>11524</v>
      </c>
      <c r="AA22">
        <v>11888</v>
      </c>
      <c r="AB22">
        <v>57207</v>
      </c>
      <c r="AC22">
        <v>18831</v>
      </c>
      <c r="AD22">
        <v>0</v>
      </c>
      <c r="AE22">
        <v>0</v>
      </c>
      <c r="AF22">
        <v>4630</v>
      </c>
    </row>
    <row r="23" spans="1:32" x14ac:dyDescent="0.25">
      <c r="A23">
        <v>6</v>
      </c>
      <c r="B23">
        <v>23739.38163</v>
      </c>
      <c r="C23">
        <v>391.97788000000003</v>
      </c>
      <c r="D23">
        <v>3088.9494300000001</v>
      </c>
      <c r="E23">
        <v>3470.607</v>
      </c>
      <c r="F23">
        <v>14905.85958</v>
      </c>
      <c r="G23">
        <v>5302.7882900000004</v>
      </c>
      <c r="H23">
        <v>3803.6907099999999</v>
      </c>
      <c r="I23">
        <v>2222.5019000000002</v>
      </c>
      <c r="J23">
        <v>0</v>
      </c>
      <c r="L23">
        <v>6</v>
      </c>
      <c r="M23">
        <v>52006</v>
      </c>
      <c r="N23">
        <v>0</v>
      </c>
      <c r="O23">
        <v>0</v>
      </c>
      <c r="P23">
        <v>3584</v>
      </c>
      <c r="Q23">
        <v>17943</v>
      </c>
      <c r="R23">
        <v>0</v>
      </c>
      <c r="S23">
        <v>0</v>
      </c>
      <c r="T23">
        <v>0</v>
      </c>
      <c r="U23">
        <v>0</v>
      </c>
      <c r="W23">
        <v>6</v>
      </c>
      <c r="X23">
        <v>52006</v>
      </c>
      <c r="Y23">
        <v>0</v>
      </c>
      <c r="Z23">
        <v>0</v>
      </c>
      <c r="AA23">
        <v>3584</v>
      </c>
      <c r="AB23">
        <v>17943</v>
      </c>
      <c r="AC23">
        <v>0</v>
      </c>
      <c r="AD23">
        <v>0</v>
      </c>
      <c r="AE23">
        <v>0</v>
      </c>
      <c r="AF23">
        <v>0</v>
      </c>
    </row>
    <row r="24" spans="1:32" x14ac:dyDescent="0.25">
      <c r="A24">
        <v>7</v>
      </c>
      <c r="B24">
        <v>25030.650460000001</v>
      </c>
      <c r="C24">
        <v>0</v>
      </c>
      <c r="D24">
        <v>217.97167999999999</v>
      </c>
      <c r="E24">
        <v>1133.5588399999999</v>
      </c>
      <c r="F24">
        <v>15369.372960000001</v>
      </c>
      <c r="G24">
        <v>5692.8204999999998</v>
      </c>
      <c r="H24">
        <v>2041.72684</v>
      </c>
      <c r="I24">
        <v>586.24805000000003</v>
      </c>
      <c r="J24">
        <v>0</v>
      </c>
      <c r="L24">
        <v>7</v>
      </c>
      <c r="M24">
        <v>28421</v>
      </c>
      <c r="N24">
        <v>0</v>
      </c>
      <c r="O24">
        <v>0</v>
      </c>
      <c r="P24">
        <v>0</v>
      </c>
      <c r="Q24">
        <v>6938</v>
      </c>
      <c r="R24">
        <v>0</v>
      </c>
      <c r="S24">
        <v>0</v>
      </c>
      <c r="T24">
        <v>0</v>
      </c>
      <c r="U24">
        <v>0</v>
      </c>
      <c r="W24">
        <v>7</v>
      </c>
      <c r="X24">
        <v>28421</v>
      </c>
      <c r="Y24">
        <v>0</v>
      </c>
      <c r="Z24">
        <v>0</v>
      </c>
      <c r="AA24">
        <v>0</v>
      </c>
      <c r="AB24">
        <v>6938</v>
      </c>
      <c r="AC24">
        <v>0</v>
      </c>
      <c r="AD24">
        <v>0</v>
      </c>
      <c r="AE24">
        <v>0</v>
      </c>
      <c r="AF24">
        <v>0</v>
      </c>
    </row>
  </sheetData>
  <pageMargins left="0.7" right="0.7" top="0.75" bottom="0.75" header="0.3" footer="0.3"/>
  <pageSetup paperSize="0" orientation="portrait" horizontalDpi="0" verticalDpi="0" copie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J31"/>
  <sheetViews>
    <sheetView workbookViewId="0">
      <selection activeCell="P7" sqref="P7"/>
    </sheetView>
  </sheetViews>
  <sheetFormatPr defaultRowHeight="15" x14ac:dyDescent="0.25"/>
  <cols>
    <col min="2" max="2" width="8" customWidth="1"/>
    <col min="3" max="3" width="10.5703125" bestFit="1" customWidth="1"/>
    <col min="4" max="4" width="9.140625" bestFit="1" customWidth="1"/>
    <col min="5" max="6" width="10.140625" bestFit="1" customWidth="1"/>
    <col min="7" max="7" width="10.5703125" bestFit="1" customWidth="1"/>
    <col min="8" max="8" width="10.140625" bestFit="1" customWidth="1"/>
    <col min="9" max="9" width="10.5703125" bestFit="1" customWidth="1"/>
    <col min="10" max="11" width="9.140625" bestFit="1" customWidth="1"/>
    <col min="12" max="12" width="11.140625" bestFit="1" customWidth="1"/>
    <col min="13" max="13" width="4.42578125" customWidth="1"/>
    <col min="14" max="14" width="11" customWidth="1"/>
    <col min="15" max="15" width="10.85546875" customWidth="1"/>
    <col min="19" max="19" width="10.5703125" customWidth="1"/>
    <col min="24" max="24" width="10.5703125" bestFit="1" customWidth="1"/>
  </cols>
  <sheetData>
    <row r="1" spans="1:24" ht="28.5" x14ac:dyDescent="0.45">
      <c r="A1" s="174" t="s">
        <v>371</v>
      </c>
    </row>
    <row r="3" spans="1:24" ht="18.75" x14ac:dyDescent="0.3">
      <c r="B3" s="59" t="s">
        <v>191</v>
      </c>
      <c r="N3" s="59" t="s">
        <v>200</v>
      </c>
    </row>
    <row r="4" spans="1:24" x14ac:dyDescent="0.25">
      <c r="B4" s="169"/>
      <c r="C4" s="383" t="s">
        <v>230</v>
      </c>
      <c r="D4" s="383"/>
      <c r="E4" s="383"/>
      <c r="F4" s="383"/>
      <c r="G4" s="383"/>
      <c r="H4" s="383"/>
      <c r="I4" s="383"/>
      <c r="J4" s="383"/>
      <c r="K4" s="383"/>
      <c r="L4" s="169"/>
      <c r="N4" s="169"/>
      <c r="O4" s="383" t="s">
        <v>230</v>
      </c>
      <c r="P4" s="383"/>
      <c r="Q4" s="383"/>
      <c r="R4" s="383"/>
      <c r="S4" s="383"/>
      <c r="T4" s="383"/>
      <c r="U4" s="383"/>
      <c r="V4" s="383"/>
      <c r="W4" s="383"/>
      <c r="X4" s="169"/>
    </row>
    <row r="5" spans="1:24" ht="15.75" thickBot="1" x14ac:dyDescent="0.3">
      <c r="B5" s="158" t="s">
        <v>231</v>
      </c>
      <c r="C5" s="158" t="s">
        <v>4</v>
      </c>
      <c r="D5" s="158" t="s">
        <v>189</v>
      </c>
      <c r="E5" s="158" t="s">
        <v>190</v>
      </c>
      <c r="F5" s="158" t="s">
        <v>170</v>
      </c>
      <c r="G5" s="158" t="s">
        <v>194</v>
      </c>
      <c r="H5" s="158" t="s">
        <v>195</v>
      </c>
      <c r="I5" s="158" t="s">
        <v>196</v>
      </c>
      <c r="J5" s="158" t="s">
        <v>197</v>
      </c>
      <c r="K5" s="158" t="s">
        <v>198</v>
      </c>
      <c r="L5" s="158" t="s">
        <v>29</v>
      </c>
      <c r="N5" s="158" t="s">
        <v>231</v>
      </c>
      <c r="O5" s="158" t="s">
        <v>4</v>
      </c>
      <c r="P5" s="158" t="s">
        <v>189</v>
      </c>
      <c r="Q5" s="158" t="s">
        <v>190</v>
      </c>
      <c r="R5" s="158" t="s">
        <v>170</v>
      </c>
      <c r="S5" s="158" t="s">
        <v>194</v>
      </c>
      <c r="T5" s="158" t="s">
        <v>195</v>
      </c>
      <c r="U5" s="158" t="s">
        <v>196</v>
      </c>
      <c r="V5" s="158" t="s">
        <v>197</v>
      </c>
      <c r="W5" s="158" t="s">
        <v>198</v>
      </c>
      <c r="X5" s="158" t="s">
        <v>29</v>
      </c>
    </row>
    <row r="6" spans="1:24" ht="15.75" thickTop="1" x14ac:dyDescent="0.25">
      <c r="B6" s="6" t="s">
        <v>4</v>
      </c>
      <c r="C6" s="29">
        <f>StopPurpose_input!B3</f>
        <v>491593.21383000002</v>
      </c>
      <c r="D6" s="29">
        <f>StopPurpose_input!C3</f>
        <v>5891.0546899999999</v>
      </c>
      <c r="E6" s="29">
        <f>StopPurpose_input!D3</f>
        <v>3586.1702100000002</v>
      </c>
      <c r="F6" s="29">
        <f>StopPurpose_input!E3</f>
        <v>0</v>
      </c>
      <c r="G6" s="29">
        <f>StopPurpose_input!F3</f>
        <v>4300.4785199999997</v>
      </c>
      <c r="H6" s="29">
        <f>StopPurpose_input!G3</f>
        <v>5331.5561100000004</v>
      </c>
      <c r="I6" s="29">
        <f>StopPurpose_input!H3</f>
        <v>513.52322000000004</v>
      </c>
      <c r="J6" s="29">
        <f>StopPurpose_input!I3</f>
        <v>302.36774000000003</v>
      </c>
      <c r="K6" s="29">
        <f>StopPurpose_input!J3</f>
        <v>67267.323520000005</v>
      </c>
      <c r="L6" s="29">
        <f>SUM(C6:K6)</f>
        <v>578785.68784000003</v>
      </c>
      <c r="N6" s="6" t="s">
        <v>4</v>
      </c>
      <c r="O6" s="29">
        <f>StopPurpose_input!M3*Index!$B$2</f>
        <v>0</v>
      </c>
      <c r="P6" s="29">
        <f>StopPurpose_input!N3*Index!$B$2</f>
        <v>0</v>
      </c>
      <c r="Q6" s="29">
        <f>StopPurpose_input!O3*Index!$B$2</f>
        <v>0</v>
      </c>
      <c r="R6" s="29">
        <f>StopPurpose_input!P3*Index!$B$2</f>
        <v>0</v>
      </c>
      <c r="S6" s="29">
        <f>StopPurpose_input!Q3*Index!$B$2</f>
        <v>0</v>
      </c>
      <c r="T6" s="29">
        <f>StopPurpose_input!R3*Index!$B$2</f>
        <v>0</v>
      </c>
      <c r="U6" s="29">
        <f>StopPurpose_input!S3*Index!$B$2</f>
        <v>0</v>
      </c>
      <c r="V6" s="29">
        <f>StopPurpose_input!T3*Index!$B$2</f>
        <v>0</v>
      </c>
      <c r="W6" s="29">
        <f>StopPurpose_input!U3*Index!$B$2</f>
        <v>0</v>
      </c>
      <c r="X6" s="29">
        <f>SUM(O6:W6)</f>
        <v>0</v>
      </c>
    </row>
    <row r="7" spans="1:24" x14ac:dyDescent="0.25">
      <c r="B7" s="6" t="s">
        <v>189</v>
      </c>
      <c r="C7" s="29">
        <f>StopPurpose_input!B4</f>
        <v>29906.042870000001</v>
      </c>
      <c r="D7" s="29">
        <f>StopPurpose_input!C4</f>
        <v>0</v>
      </c>
      <c r="E7" s="29">
        <f>StopPurpose_input!D4</f>
        <v>0</v>
      </c>
      <c r="F7" s="29">
        <f>StopPurpose_input!E4</f>
        <v>0</v>
      </c>
      <c r="G7" s="29">
        <f>StopPurpose_input!F4</f>
        <v>0</v>
      </c>
      <c r="H7" s="29">
        <f>StopPurpose_input!G4</f>
        <v>117.88124000000001</v>
      </c>
      <c r="I7" s="29">
        <f>StopPurpose_input!H4</f>
        <v>0</v>
      </c>
      <c r="J7" s="29">
        <f>StopPurpose_input!I4</f>
        <v>0</v>
      </c>
      <c r="K7" s="29">
        <f>StopPurpose_input!J4</f>
        <v>0</v>
      </c>
      <c r="L7" s="29">
        <f t="shared" ref="L7:L16" si="0">SUM(C7:K7)</f>
        <v>30023.92411</v>
      </c>
      <c r="N7" s="6" t="s">
        <v>189</v>
      </c>
      <c r="O7" s="29">
        <f>StopPurpose_input!M4*Index!$B$2</f>
        <v>29590</v>
      </c>
      <c r="P7" s="29">
        <f>StopPurpose_input!N4*Index!$B$2</f>
        <v>1365</v>
      </c>
      <c r="Q7" s="29">
        <f>StopPurpose_input!O4*Index!$B$2</f>
        <v>0</v>
      </c>
      <c r="R7" s="29">
        <f>StopPurpose_input!P4*Index!$B$2</f>
        <v>0</v>
      </c>
      <c r="S7" s="29">
        <f>StopPurpose_input!Q4*Index!$B$2</f>
        <v>0</v>
      </c>
      <c r="T7" s="29">
        <f>StopPurpose_input!R4*Index!$B$2</f>
        <v>0</v>
      </c>
      <c r="U7" s="29">
        <f>StopPurpose_input!S4*Index!$B$2</f>
        <v>0</v>
      </c>
      <c r="V7" s="29">
        <f>StopPurpose_input!T4*Index!$B$2</f>
        <v>0</v>
      </c>
      <c r="W7" s="29">
        <f>StopPurpose_input!U4*Index!$B$2</f>
        <v>0</v>
      </c>
      <c r="X7" s="29">
        <f t="shared" ref="X7:X16" si="1">SUM(O7:W7)</f>
        <v>30955</v>
      </c>
    </row>
    <row r="8" spans="1:24" x14ac:dyDescent="0.25">
      <c r="B8" s="6" t="s">
        <v>190</v>
      </c>
      <c r="C8" s="29">
        <f>StopPurpose_input!B5</f>
        <v>1222.5110500000001</v>
      </c>
      <c r="D8" s="29">
        <f>StopPurpose_input!C5</f>
        <v>0</v>
      </c>
      <c r="E8" s="29">
        <f>StopPurpose_input!D5</f>
        <v>0</v>
      </c>
      <c r="F8" s="29">
        <f>StopPurpose_input!E5</f>
        <v>0</v>
      </c>
      <c r="G8" s="29">
        <f>StopPurpose_input!F5</f>
        <v>0</v>
      </c>
      <c r="H8" s="29">
        <f>StopPurpose_input!G5</f>
        <v>0</v>
      </c>
      <c r="I8" s="29">
        <f>StopPurpose_input!H5</f>
        <v>0</v>
      </c>
      <c r="J8" s="29">
        <f>StopPurpose_input!I5</f>
        <v>0</v>
      </c>
      <c r="K8" s="29">
        <f>StopPurpose_input!J5</f>
        <v>0</v>
      </c>
      <c r="L8" s="29">
        <f t="shared" si="0"/>
        <v>1222.5110500000001</v>
      </c>
      <c r="N8" s="6" t="s">
        <v>190</v>
      </c>
      <c r="O8" s="29">
        <f>StopPurpose_input!M5*Index!$B$2</f>
        <v>0</v>
      </c>
      <c r="P8" s="29">
        <f>StopPurpose_input!N5*Index!$B$2</f>
        <v>0</v>
      </c>
      <c r="Q8" s="29">
        <f>StopPurpose_input!O5*Index!$B$2</f>
        <v>0</v>
      </c>
      <c r="R8" s="29">
        <f>StopPurpose_input!P5*Index!$B$2</f>
        <v>0</v>
      </c>
      <c r="S8" s="29">
        <f>StopPurpose_input!Q5*Index!$B$2</f>
        <v>0</v>
      </c>
      <c r="T8" s="29">
        <f>StopPurpose_input!R5*Index!$B$2</f>
        <v>0</v>
      </c>
      <c r="U8" s="29">
        <f>StopPurpose_input!S5*Index!$B$2</f>
        <v>0</v>
      </c>
      <c r="V8" s="29">
        <f>StopPurpose_input!T5*Index!$B$2</f>
        <v>0</v>
      </c>
      <c r="W8" s="29">
        <f>StopPurpose_input!U5*Index!$B$2</f>
        <v>0</v>
      </c>
      <c r="X8" s="29">
        <f t="shared" si="1"/>
        <v>0</v>
      </c>
    </row>
    <row r="9" spans="1:24" x14ac:dyDescent="0.25">
      <c r="B9" s="6" t="s">
        <v>170</v>
      </c>
      <c r="C9" s="29">
        <f>StopPurpose_input!B6</f>
        <v>621286.86273000005</v>
      </c>
      <c r="D9" s="29">
        <f>StopPurpose_input!C6</f>
        <v>18403.824680000002</v>
      </c>
      <c r="E9" s="29">
        <f>StopPurpose_input!D6</f>
        <v>144925.33913000001</v>
      </c>
      <c r="F9" s="29">
        <f>StopPurpose_input!E6</f>
        <v>151002.47928999999</v>
      </c>
      <c r="G9" s="29">
        <f>StopPurpose_input!F6</f>
        <v>192807.2066</v>
      </c>
      <c r="H9" s="29">
        <f>StopPurpose_input!G6</f>
        <v>201622.95731999999</v>
      </c>
      <c r="I9" s="29">
        <f>StopPurpose_input!H6</f>
        <v>101458.35442</v>
      </c>
      <c r="J9" s="29">
        <f>StopPurpose_input!I6</f>
        <v>82027.438869999998</v>
      </c>
      <c r="K9" s="29">
        <f>StopPurpose_input!J6</f>
        <v>6978.2565500000001</v>
      </c>
      <c r="L9" s="29">
        <f t="shared" si="0"/>
        <v>1520512.7195899999</v>
      </c>
      <c r="N9" s="6" t="s">
        <v>170</v>
      </c>
      <c r="O9" s="29">
        <f>StopPurpose_input!M6*Index!$B$2</f>
        <v>874575</v>
      </c>
      <c r="P9" s="29">
        <f>StopPurpose_input!N6*Index!$B$2</f>
        <v>11960</v>
      </c>
      <c r="Q9" s="29">
        <f>StopPurpose_input!O6*Index!$B$2</f>
        <v>175525</v>
      </c>
      <c r="R9" s="29">
        <f>StopPurpose_input!P6*Index!$B$2</f>
        <v>146170</v>
      </c>
      <c r="S9" s="29">
        <f>StopPurpose_input!Q6*Index!$B$2</f>
        <v>211640</v>
      </c>
      <c r="T9" s="29">
        <f>StopPurpose_input!R6*Index!$B$2</f>
        <v>120545</v>
      </c>
      <c r="U9" s="29">
        <f>StopPurpose_input!S6*Index!$B$2</f>
        <v>0</v>
      </c>
      <c r="V9" s="29">
        <f>StopPurpose_input!T6*Index!$B$2</f>
        <v>0</v>
      </c>
      <c r="W9" s="29">
        <f>StopPurpose_input!U6*Index!$B$2</f>
        <v>32715</v>
      </c>
      <c r="X9" s="29">
        <f t="shared" si="1"/>
        <v>1573130</v>
      </c>
    </row>
    <row r="10" spans="1:24" x14ac:dyDescent="0.25">
      <c r="B10" s="6" t="s">
        <v>173</v>
      </c>
      <c r="C10" s="29">
        <f>StopPurpose_input!B7</f>
        <v>600616.00168999995</v>
      </c>
      <c r="D10" s="29">
        <f>StopPurpose_input!C7</f>
        <v>14414.95552</v>
      </c>
      <c r="E10" s="29">
        <f>StopPurpose_input!D7</f>
        <v>76857.762940000001</v>
      </c>
      <c r="F10" s="29">
        <f>StopPurpose_input!E7</f>
        <v>75181.190520000004</v>
      </c>
      <c r="G10" s="29">
        <f>StopPurpose_input!F7</f>
        <v>490142.00965999998</v>
      </c>
      <c r="H10" s="29">
        <f>StopPurpose_input!G7</f>
        <v>168273.55869999999</v>
      </c>
      <c r="I10" s="29">
        <f>StopPurpose_input!H7</f>
        <v>322444.14744999999</v>
      </c>
      <c r="J10" s="29">
        <f>StopPurpose_input!I7</f>
        <v>115674.35936</v>
      </c>
      <c r="K10" s="29">
        <f>StopPurpose_input!J7</f>
        <v>15936.19771</v>
      </c>
      <c r="L10" s="29">
        <f t="shared" si="0"/>
        <v>1879540.1835499997</v>
      </c>
      <c r="N10" s="6" t="s">
        <v>173</v>
      </c>
      <c r="O10" s="29">
        <f>StopPurpose_input!M7*Index!$B$2</f>
        <v>681720</v>
      </c>
      <c r="P10" s="29">
        <f>StopPurpose_input!N7*Index!$B$2</f>
        <v>8625</v>
      </c>
      <c r="Q10" s="29">
        <f>StopPurpose_input!O7*Index!$B$2</f>
        <v>59000</v>
      </c>
      <c r="R10" s="29">
        <f>StopPurpose_input!P7*Index!$B$2</f>
        <v>93430</v>
      </c>
      <c r="S10" s="29">
        <f>StopPurpose_input!Q7*Index!$B$2</f>
        <v>637955</v>
      </c>
      <c r="T10" s="29">
        <f>StopPurpose_input!R7*Index!$B$2</f>
        <v>182505</v>
      </c>
      <c r="U10" s="29">
        <f>StopPurpose_input!S7*Index!$B$2</f>
        <v>0</v>
      </c>
      <c r="V10" s="29">
        <f>StopPurpose_input!T7*Index!$B$2</f>
        <v>0</v>
      </c>
      <c r="W10" s="29">
        <f>StopPurpose_input!U7*Index!$B$2</f>
        <v>56185</v>
      </c>
      <c r="X10" s="29">
        <f t="shared" si="1"/>
        <v>1719420</v>
      </c>
    </row>
    <row r="11" spans="1:24" x14ac:dyDescent="0.25">
      <c r="B11" s="6" t="s">
        <v>171</v>
      </c>
      <c r="C11" s="29">
        <f>StopPurpose_input!B8</f>
        <v>661603.69648000004</v>
      </c>
      <c r="D11" s="29">
        <f>StopPurpose_input!C8</f>
        <v>11603.93031</v>
      </c>
      <c r="E11" s="29">
        <f>StopPurpose_input!D8</f>
        <v>88718.688280000002</v>
      </c>
      <c r="F11" s="29">
        <f>StopPurpose_input!E8</f>
        <v>111683.81925</v>
      </c>
      <c r="G11" s="29">
        <f>StopPurpose_input!F8</f>
        <v>481529.86959000002</v>
      </c>
      <c r="H11" s="29">
        <f>StopPurpose_input!G8</f>
        <v>176800.40700000001</v>
      </c>
      <c r="I11" s="29">
        <f>StopPurpose_input!H8</f>
        <v>293493.04334999999</v>
      </c>
      <c r="J11" s="29">
        <f>StopPurpose_input!I8</f>
        <v>162866.92092999999</v>
      </c>
      <c r="K11" s="29">
        <f>StopPurpose_input!J8</f>
        <v>19290.653020000002</v>
      </c>
      <c r="L11" s="29">
        <f t="shared" si="0"/>
        <v>2007591.0282100001</v>
      </c>
      <c r="N11" s="6" t="s">
        <v>171</v>
      </c>
      <c r="O11" s="29">
        <f>StopPurpose_input!M8*Index!$B$2</f>
        <v>393440</v>
      </c>
      <c r="P11" s="29">
        <f>StopPurpose_input!N8*Index!$B$2</f>
        <v>7640</v>
      </c>
      <c r="Q11" s="29">
        <f>StopPurpose_input!O8*Index!$B$2</f>
        <v>60725</v>
      </c>
      <c r="R11" s="29">
        <f>StopPurpose_input!P8*Index!$B$2</f>
        <v>46015</v>
      </c>
      <c r="S11" s="29">
        <f>StopPurpose_input!Q8*Index!$B$2</f>
        <v>398085</v>
      </c>
      <c r="T11" s="29">
        <f>StopPurpose_input!R8*Index!$B$2</f>
        <v>109470</v>
      </c>
      <c r="U11" s="29">
        <f>StopPurpose_input!S8*Index!$B$2</f>
        <v>0</v>
      </c>
      <c r="V11" s="29">
        <f>StopPurpose_input!T8*Index!$B$2</f>
        <v>0</v>
      </c>
      <c r="W11" s="29">
        <f>StopPurpose_input!U8*Index!$B$2</f>
        <v>66735</v>
      </c>
      <c r="X11" s="29">
        <f t="shared" si="1"/>
        <v>1082110</v>
      </c>
    </row>
    <row r="12" spans="1:24" x14ac:dyDescent="0.25">
      <c r="B12" s="6" t="s">
        <v>174</v>
      </c>
      <c r="C12" s="29">
        <f>StopPurpose_input!B9</f>
        <v>290782.13493</v>
      </c>
      <c r="D12" s="29">
        <f>StopPurpose_input!C9</f>
        <v>15842.590330000001</v>
      </c>
      <c r="E12" s="29">
        <f>StopPurpose_input!D9</f>
        <v>57313.147140000001</v>
      </c>
      <c r="F12" s="29">
        <f>StopPurpose_input!E9</f>
        <v>65219.497920000002</v>
      </c>
      <c r="G12" s="29">
        <f>StopPurpose_input!F9</f>
        <v>199630.86225000001</v>
      </c>
      <c r="H12" s="29">
        <f>StopPurpose_input!G9</f>
        <v>109993.65049</v>
      </c>
      <c r="I12" s="29">
        <f>StopPurpose_input!H9</f>
        <v>191037.06781000001</v>
      </c>
      <c r="J12" s="29">
        <f>StopPurpose_input!I9</f>
        <v>150513.64103</v>
      </c>
      <c r="K12" s="29">
        <f>StopPurpose_input!J9</f>
        <v>46109.446389999997</v>
      </c>
      <c r="L12" s="29">
        <f t="shared" si="0"/>
        <v>1126442.0382900001</v>
      </c>
      <c r="N12" s="6" t="s">
        <v>174</v>
      </c>
      <c r="O12" s="29">
        <f>StopPurpose_input!M9*Index!$B$2</f>
        <v>328130</v>
      </c>
      <c r="P12" s="29">
        <f>StopPurpose_input!N9*Index!$B$2</f>
        <v>6055</v>
      </c>
      <c r="Q12" s="29">
        <f>StopPurpose_input!O9*Index!$B$2</f>
        <v>67950</v>
      </c>
      <c r="R12" s="29">
        <f>StopPurpose_input!P9*Index!$B$2</f>
        <v>52990</v>
      </c>
      <c r="S12" s="29">
        <f>StopPurpose_input!Q9*Index!$B$2</f>
        <v>224495</v>
      </c>
      <c r="T12" s="29">
        <f>StopPurpose_input!R9*Index!$B$2</f>
        <v>102355</v>
      </c>
      <c r="U12" s="29">
        <f>StopPurpose_input!S9*Index!$B$2</f>
        <v>0</v>
      </c>
      <c r="V12" s="29">
        <f>StopPurpose_input!T9*Index!$B$2</f>
        <v>0</v>
      </c>
      <c r="W12" s="29">
        <f>StopPurpose_input!U9*Index!$B$2</f>
        <v>110045</v>
      </c>
      <c r="X12" s="29">
        <f t="shared" si="1"/>
        <v>892020</v>
      </c>
    </row>
    <row r="13" spans="1:24" x14ac:dyDescent="0.25">
      <c r="B13" s="6" t="s">
        <v>175</v>
      </c>
      <c r="C13" s="29">
        <f>StopPurpose_input!B10</f>
        <v>126762.29330999999</v>
      </c>
      <c r="D13" s="29">
        <f>StopPurpose_input!C10</f>
        <v>11419.10188</v>
      </c>
      <c r="E13" s="29">
        <f>StopPurpose_input!D10</f>
        <v>66171.531879999995</v>
      </c>
      <c r="F13" s="29">
        <f>StopPurpose_input!E10</f>
        <v>21918.010340000001</v>
      </c>
      <c r="G13" s="29">
        <f>StopPurpose_input!F10</f>
        <v>98063.666190000004</v>
      </c>
      <c r="H13" s="29">
        <f>StopPurpose_input!G10</f>
        <v>90930.815239999996</v>
      </c>
      <c r="I13" s="29">
        <f>StopPurpose_input!H10</f>
        <v>60139.264340000002</v>
      </c>
      <c r="J13" s="29">
        <f>StopPurpose_input!I10</f>
        <v>60217.362580000001</v>
      </c>
      <c r="K13" s="29">
        <f>StopPurpose_input!J10</f>
        <v>729.41286000000002</v>
      </c>
      <c r="L13" s="29">
        <f t="shared" si="0"/>
        <v>536351.45861999993</v>
      </c>
      <c r="N13" s="6" t="s">
        <v>175</v>
      </c>
      <c r="O13" s="29">
        <f>StopPurpose_input!M10*Index!$B$2</f>
        <v>90355</v>
      </c>
      <c r="P13" s="29">
        <f>StopPurpose_input!N10*Index!$B$2</f>
        <v>2960</v>
      </c>
      <c r="Q13" s="29">
        <f>StopPurpose_input!O10*Index!$B$2</f>
        <v>61675</v>
      </c>
      <c r="R13" s="29">
        <f>StopPurpose_input!P10*Index!$B$2</f>
        <v>27315</v>
      </c>
      <c r="S13" s="29">
        <f>StopPurpose_input!Q10*Index!$B$2</f>
        <v>92090</v>
      </c>
      <c r="T13" s="29">
        <f>StopPurpose_input!R10*Index!$B$2</f>
        <v>93000</v>
      </c>
      <c r="U13" s="29">
        <f>StopPurpose_input!S10*Index!$B$2</f>
        <v>0</v>
      </c>
      <c r="V13" s="29">
        <f>StopPurpose_input!T10*Index!$B$2</f>
        <v>0</v>
      </c>
      <c r="W13" s="29">
        <f>StopPurpose_input!U10*Index!$B$2</f>
        <v>4270</v>
      </c>
      <c r="X13" s="29">
        <f t="shared" si="1"/>
        <v>371665</v>
      </c>
    </row>
    <row r="14" spans="1:24" x14ac:dyDescent="0.25">
      <c r="B14" s="6" t="s">
        <v>172</v>
      </c>
      <c r="C14" s="29">
        <f>StopPurpose_input!B11</f>
        <v>170574.19354000001</v>
      </c>
      <c r="D14" s="29">
        <f>StopPurpose_input!C11</f>
        <v>5446.3929900000003</v>
      </c>
      <c r="E14" s="29">
        <f>StopPurpose_input!D11</f>
        <v>111258.81968</v>
      </c>
      <c r="F14" s="29">
        <f>StopPurpose_input!E11</f>
        <v>26594.23142</v>
      </c>
      <c r="G14" s="29">
        <f>StopPurpose_input!F11</f>
        <v>66566.835489999998</v>
      </c>
      <c r="H14" s="29">
        <f>StopPurpose_input!G11</f>
        <v>91142.861239999998</v>
      </c>
      <c r="I14" s="29">
        <f>StopPurpose_input!H11</f>
        <v>61987.715700000001</v>
      </c>
      <c r="J14" s="29">
        <f>StopPurpose_input!I11</f>
        <v>50988.267140000004</v>
      </c>
      <c r="K14" s="29">
        <f>StopPurpose_input!J11</f>
        <v>3895.8500199999999</v>
      </c>
      <c r="L14" s="29">
        <f t="shared" si="0"/>
        <v>588455.16722000006</v>
      </c>
      <c r="N14" s="6" t="s">
        <v>172</v>
      </c>
      <c r="O14" s="29">
        <f>StopPurpose_input!M11*Index!$B$2</f>
        <v>244440</v>
      </c>
      <c r="P14" s="29">
        <f>StopPurpose_input!N11*Index!$B$2</f>
        <v>4390</v>
      </c>
      <c r="Q14" s="29">
        <f>StopPurpose_input!O11*Index!$B$2</f>
        <v>103965</v>
      </c>
      <c r="R14" s="29">
        <f>StopPurpose_input!P11*Index!$B$2</f>
        <v>25905</v>
      </c>
      <c r="S14" s="29">
        <f>StopPurpose_input!Q11*Index!$B$2</f>
        <v>96560</v>
      </c>
      <c r="T14" s="29">
        <f>StopPurpose_input!R11*Index!$B$2</f>
        <v>90095</v>
      </c>
      <c r="U14" s="29">
        <f>StopPurpose_input!S11*Index!$B$2</f>
        <v>0</v>
      </c>
      <c r="V14" s="29">
        <f>StopPurpose_input!T11*Index!$B$2</f>
        <v>0</v>
      </c>
      <c r="W14" s="29">
        <f>StopPurpose_input!U11*Index!$B$2</f>
        <v>5535</v>
      </c>
      <c r="X14" s="29">
        <f t="shared" si="1"/>
        <v>570890</v>
      </c>
    </row>
    <row r="15" spans="1:24" x14ac:dyDescent="0.25">
      <c r="B15" s="159" t="s">
        <v>232</v>
      </c>
      <c r="C15" s="19">
        <f>StopPurpose_input!B12</f>
        <v>512.36747000000003</v>
      </c>
      <c r="D15" s="19">
        <f>StopPurpose_input!C12</f>
        <v>0</v>
      </c>
      <c r="E15" s="19">
        <f>StopPurpose_input!D12</f>
        <v>0</v>
      </c>
      <c r="F15" s="19">
        <f>StopPurpose_input!E12</f>
        <v>0</v>
      </c>
      <c r="G15" s="19">
        <f>StopPurpose_input!F12</f>
        <v>373.50554</v>
      </c>
      <c r="H15" s="19">
        <f>StopPurpose_input!G12</f>
        <v>110.45578999999999</v>
      </c>
      <c r="I15" s="19">
        <f>StopPurpose_input!H12</f>
        <v>0</v>
      </c>
      <c r="J15" s="19">
        <f>StopPurpose_input!I12</f>
        <v>1316.26376</v>
      </c>
      <c r="K15" s="19">
        <f>StopPurpose_input!J12</f>
        <v>0</v>
      </c>
      <c r="L15" s="19">
        <f t="shared" si="0"/>
        <v>2312.59256</v>
      </c>
      <c r="N15" s="159" t="s">
        <v>232</v>
      </c>
      <c r="O15" s="19">
        <f>StopPurpose_input!M12*Index!$B$2</f>
        <v>555135</v>
      </c>
      <c r="P15" s="19">
        <f>StopPurpose_input!N12*Index!$B$2</f>
        <v>3585</v>
      </c>
      <c r="Q15" s="19">
        <f>StopPurpose_input!O12*Index!$B$2</f>
        <v>0</v>
      </c>
      <c r="R15" s="19">
        <f>StopPurpose_input!P12*Index!$B$2</f>
        <v>0</v>
      </c>
      <c r="S15" s="19">
        <f>StopPurpose_input!Q12*Index!$B$2</f>
        <v>0</v>
      </c>
      <c r="T15" s="19">
        <f>StopPurpose_input!R12*Index!$B$2</f>
        <v>0</v>
      </c>
      <c r="U15" s="19">
        <f>StopPurpose_input!S12*Index!$B$2</f>
        <v>0</v>
      </c>
      <c r="V15" s="19">
        <f>StopPurpose_input!T12*Index!$B$2</f>
        <v>0</v>
      </c>
      <c r="W15" s="19">
        <f>StopPurpose_input!U12*Index!$B$2</f>
        <v>68045</v>
      </c>
      <c r="X15" s="19">
        <f t="shared" si="1"/>
        <v>626765</v>
      </c>
    </row>
    <row r="16" spans="1:24" x14ac:dyDescent="0.25">
      <c r="B16" s="6" t="s">
        <v>29</v>
      </c>
      <c r="C16" s="29">
        <f t="shared" ref="C16:K16" si="2">SUM(C6:C15)</f>
        <v>2994859.3179000001</v>
      </c>
      <c r="D16" s="29">
        <f t="shared" si="2"/>
        <v>83021.850399999996</v>
      </c>
      <c r="E16" s="29">
        <f t="shared" si="2"/>
        <v>548831.45926000003</v>
      </c>
      <c r="F16" s="29">
        <f t="shared" si="2"/>
        <v>451599.22873999999</v>
      </c>
      <c r="G16" s="29">
        <f t="shared" si="2"/>
        <v>1533414.4338400001</v>
      </c>
      <c r="H16" s="29">
        <f t="shared" si="2"/>
        <v>844324.1431300001</v>
      </c>
      <c r="I16" s="29">
        <f t="shared" si="2"/>
        <v>1031073.11629</v>
      </c>
      <c r="J16" s="29">
        <f t="shared" si="2"/>
        <v>623906.62141000002</v>
      </c>
      <c r="K16" s="29">
        <f t="shared" si="2"/>
        <v>160207.14007000002</v>
      </c>
      <c r="L16" s="29">
        <f t="shared" si="0"/>
        <v>8271237.3110400001</v>
      </c>
      <c r="N16" s="6" t="s">
        <v>29</v>
      </c>
      <c r="O16" s="29">
        <f t="shared" ref="O16:W16" si="3">SUM(O6:O15)</f>
        <v>3197385</v>
      </c>
      <c r="P16" s="29">
        <f t="shared" si="3"/>
        <v>46580</v>
      </c>
      <c r="Q16" s="29">
        <f t="shared" si="3"/>
        <v>528840</v>
      </c>
      <c r="R16" s="29">
        <f t="shared" si="3"/>
        <v>391825</v>
      </c>
      <c r="S16" s="29">
        <f t="shared" si="3"/>
        <v>1660825</v>
      </c>
      <c r="T16" s="29">
        <f t="shared" si="3"/>
        <v>697970</v>
      </c>
      <c r="U16" s="29">
        <f t="shared" si="3"/>
        <v>0</v>
      </c>
      <c r="V16" s="29">
        <f t="shared" si="3"/>
        <v>0</v>
      </c>
      <c r="W16" s="29">
        <f t="shared" si="3"/>
        <v>343530</v>
      </c>
      <c r="X16" s="29">
        <f t="shared" si="1"/>
        <v>6866955</v>
      </c>
    </row>
    <row r="17" spans="2:36" ht="21" x14ac:dyDescent="0.35">
      <c r="B17" s="201" t="s">
        <v>406</v>
      </c>
      <c r="Z17" s="389" t="s">
        <v>160</v>
      </c>
      <c r="AA17" s="389"/>
      <c r="AB17" s="389"/>
      <c r="AC17" s="389"/>
      <c r="AD17" s="389"/>
      <c r="AE17" s="389"/>
      <c r="AF17" s="389"/>
      <c r="AG17" s="389"/>
      <c r="AH17" s="389"/>
      <c r="AI17" s="389"/>
      <c r="AJ17" s="389"/>
    </row>
    <row r="18" spans="2:36" x14ac:dyDescent="0.25">
      <c r="C18" s="29"/>
      <c r="D18" s="29"/>
      <c r="E18" s="29"/>
      <c r="F18" s="29"/>
      <c r="G18" s="29"/>
      <c r="H18" s="29"/>
      <c r="I18" s="29"/>
      <c r="J18" s="29"/>
      <c r="K18" s="29"/>
      <c r="L18" s="29"/>
    </row>
    <row r="19" spans="2:36" x14ac:dyDescent="0.25">
      <c r="B19" s="169"/>
      <c r="C19" s="383" t="s">
        <v>230</v>
      </c>
      <c r="D19" s="383"/>
      <c r="E19" s="383"/>
      <c r="F19" s="383"/>
      <c r="G19" s="383"/>
      <c r="H19" s="383"/>
      <c r="I19" s="383"/>
      <c r="J19" s="383"/>
      <c r="K19" s="383"/>
      <c r="L19" s="169"/>
      <c r="N19" s="169"/>
      <c r="O19" s="383" t="s">
        <v>230</v>
      </c>
      <c r="P19" s="383"/>
      <c r="Q19" s="383"/>
      <c r="R19" s="383"/>
      <c r="S19" s="383"/>
      <c r="T19" s="383"/>
      <c r="U19" s="383"/>
      <c r="V19" s="383"/>
      <c r="W19" s="383"/>
      <c r="X19" s="169"/>
      <c r="Z19" s="169"/>
      <c r="AA19" s="383" t="s">
        <v>230</v>
      </c>
      <c r="AB19" s="383"/>
      <c r="AC19" s="383"/>
      <c r="AD19" s="383"/>
      <c r="AE19" s="383"/>
      <c r="AF19" s="383"/>
      <c r="AG19" s="383"/>
      <c r="AH19" s="383"/>
      <c r="AI19" s="383"/>
      <c r="AJ19" s="169"/>
    </row>
    <row r="20" spans="2:36" ht="15.75" thickBot="1" x14ac:dyDescent="0.3">
      <c r="B20" s="158" t="s">
        <v>231</v>
      </c>
      <c r="C20" s="158" t="s">
        <v>4</v>
      </c>
      <c r="D20" s="158" t="s">
        <v>189</v>
      </c>
      <c r="E20" s="158" t="s">
        <v>190</v>
      </c>
      <c r="F20" s="158" t="s">
        <v>170</v>
      </c>
      <c r="G20" s="158" t="s">
        <v>194</v>
      </c>
      <c r="H20" s="158" t="s">
        <v>195</v>
      </c>
      <c r="I20" s="158" t="s">
        <v>196</v>
      </c>
      <c r="J20" s="158" t="s">
        <v>197</v>
      </c>
      <c r="K20" s="158" t="s">
        <v>198</v>
      </c>
      <c r="L20" s="158" t="s">
        <v>29</v>
      </c>
      <c r="N20" s="158" t="s">
        <v>231</v>
      </c>
      <c r="O20" s="158" t="s">
        <v>4</v>
      </c>
      <c r="P20" s="158" t="s">
        <v>189</v>
      </c>
      <c r="Q20" s="158" t="s">
        <v>190</v>
      </c>
      <c r="R20" s="158" t="s">
        <v>170</v>
      </c>
      <c r="S20" s="158" t="s">
        <v>194</v>
      </c>
      <c r="T20" s="158" t="s">
        <v>195</v>
      </c>
      <c r="U20" s="158" t="s">
        <v>196</v>
      </c>
      <c r="V20" s="158" t="s">
        <v>197</v>
      </c>
      <c r="W20" s="158" t="s">
        <v>198</v>
      </c>
      <c r="X20" s="158" t="s">
        <v>29</v>
      </c>
      <c r="Z20" s="158" t="s">
        <v>231</v>
      </c>
      <c r="AA20" s="158" t="s">
        <v>4</v>
      </c>
      <c r="AB20" s="158" t="s">
        <v>189</v>
      </c>
      <c r="AC20" s="158" t="s">
        <v>190</v>
      </c>
      <c r="AD20" s="158" t="s">
        <v>170</v>
      </c>
      <c r="AE20" s="158" t="s">
        <v>194</v>
      </c>
      <c r="AF20" s="158" t="s">
        <v>195</v>
      </c>
      <c r="AG20" s="158" t="s">
        <v>196</v>
      </c>
      <c r="AH20" s="158" t="s">
        <v>197</v>
      </c>
      <c r="AI20" s="158" t="s">
        <v>198</v>
      </c>
      <c r="AJ20" s="158" t="s">
        <v>29</v>
      </c>
    </row>
    <row r="21" spans="2:36" ht="15.75" thickTop="1" x14ac:dyDescent="0.25">
      <c r="B21" s="6" t="s">
        <v>4</v>
      </c>
      <c r="C21" s="2">
        <f>C6/C$16</f>
        <v>0.16414567819322676</v>
      </c>
      <c r="D21" s="2">
        <f t="shared" ref="D21:K21" si="4">D6/D$16</f>
        <v>7.0957882311907611E-2</v>
      </c>
      <c r="E21" s="2">
        <f t="shared" si="4"/>
        <v>6.5341921449533925E-3</v>
      </c>
      <c r="F21" s="2">
        <f t="shared" si="4"/>
        <v>0</v>
      </c>
      <c r="G21" s="2">
        <f t="shared" si="4"/>
        <v>2.8045115691461668E-3</v>
      </c>
      <c r="H21" s="2">
        <f t="shared" si="4"/>
        <v>6.314584455959474E-3</v>
      </c>
      <c r="I21" s="2">
        <f t="shared" si="4"/>
        <v>4.9804733717406541E-4</v>
      </c>
      <c r="J21" s="2">
        <f t="shared" si="4"/>
        <v>4.8463620936841951E-4</v>
      </c>
      <c r="K21" s="2">
        <f t="shared" si="4"/>
        <v>0.4198771883113861</v>
      </c>
      <c r="L21" s="2">
        <f t="shared" ref="L21:L30" si="5">L6/L$16</f>
        <v>6.9975708116543606E-2</v>
      </c>
      <c r="N21" s="6" t="s">
        <v>4</v>
      </c>
      <c r="O21" s="2">
        <f>O6/O$16</f>
        <v>0</v>
      </c>
      <c r="P21" s="2">
        <f t="shared" ref="P21:W21" si="6">P6/P$16</f>
        <v>0</v>
      </c>
      <c r="Q21" s="2">
        <f t="shared" si="6"/>
        <v>0</v>
      </c>
      <c r="R21" s="2">
        <f t="shared" si="6"/>
        <v>0</v>
      </c>
      <c r="S21" s="2">
        <f t="shared" si="6"/>
        <v>0</v>
      </c>
      <c r="T21" s="2">
        <f t="shared" si="6"/>
        <v>0</v>
      </c>
      <c r="U21" s="2" t="e">
        <f t="shared" si="6"/>
        <v>#DIV/0!</v>
      </c>
      <c r="V21" s="2" t="e">
        <f t="shared" si="6"/>
        <v>#DIV/0!</v>
      </c>
      <c r="W21" s="2">
        <f t="shared" si="6"/>
        <v>0</v>
      </c>
      <c r="X21" s="2">
        <f t="shared" ref="X21:X30" si="7">X6/X$16</f>
        <v>0</v>
      </c>
      <c r="Z21" s="6" t="s">
        <v>4</v>
      </c>
      <c r="AA21" s="2">
        <f>IF(C21&gt;0,(O21-C21)/C21,"")</f>
        <v>-1</v>
      </c>
      <c r="AB21" s="2">
        <f t="shared" ref="AB21:AJ21" si="8">IF(D21&gt;0,(P21-D21)/D21,"")</f>
        <v>-1</v>
      </c>
      <c r="AC21" s="2">
        <f t="shared" si="8"/>
        <v>-1</v>
      </c>
      <c r="AD21" s="2" t="str">
        <f t="shared" si="8"/>
        <v/>
      </c>
      <c r="AE21" s="2">
        <f t="shared" si="8"/>
        <v>-1</v>
      </c>
      <c r="AF21" s="2">
        <f t="shared" si="8"/>
        <v>-1</v>
      </c>
      <c r="AG21" s="2" t="e">
        <f t="shared" si="8"/>
        <v>#DIV/0!</v>
      </c>
      <c r="AH21" s="2" t="e">
        <f t="shared" si="8"/>
        <v>#DIV/0!</v>
      </c>
      <c r="AI21" s="2">
        <f t="shared" si="8"/>
        <v>-1</v>
      </c>
      <c r="AJ21" s="2">
        <f t="shared" si="8"/>
        <v>-1</v>
      </c>
    </row>
    <row r="22" spans="2:36" x14ac:dyDescent="0.25">
      <c r="B22" s="6" t="s">
        <v>189</v>
      </c>
      <c r="C22" s="2">
        <f t="shared" ref="C22:K30" si="9">C7/C$16</f>
        <v>9.9857922177694017E-3</v>
      </c>
      <c r="D22" s="2">
        <f t="shared" si="9"/>
        <v>0</v>
      </c>
      <c r="E22" s="2">
        <f t="shared" si="9"/>
        <v>0</v>
      </c>
      <c r="F22" s="2">
        <f t="shared" si="9"/>
        <v>0</v>
      </c>
      <c r="G22" s="2">
        <f t="shared" si="9"/>
        <v>0</v>
      </c>
      <c r="H22" s="2">
        <f t="shared" si="9"/>
        <v>1.3961609526289467E-4</v>
      </c>
      <c r="I22" s="2">
        <f t="shared" si="9"/>
        <v>0</v>
      </c>
      <c r="J22" s="2">
        <f t="shared" si="9"/>
        <v>0</v>
      </c>
      <c r="K22" s="2">
        <f t="shared" si="9"/>
        <v>0</v>
      </c>
      <c r="L22" s="2">
        <f t="shared" si="5"/>
        <v>3.6299193193170373E-3</v>
      </c>
      <c r="N22" s="6" t="s">
        <v>189</v>
      </c>
      <c r="O22" s="2">
        <f>O7/O$16</f>
        <v>9.2544376107350224E-3</v>
      </c>
      <c r="P22" s="2">
        <f t="shared" ref="P22:W22" si="10">P7/P$16</f>
        <v>2.9304422498926577E-2</v>
      </c>
      <c r="Q22" s="2">
        <f t="shared" si="10"/>
        <v>0</v>
      </c>
      <c r="R22" s="2">
        <f t="shared" si="10"/>
        <v>0</v>
      </c>
      <c r="S22" s="2">
        <f t="shared" si="10"/>
        <v>0</v>
      </c>
      <c r="T22" s="2">
        <f t="shared" si="10"/>
        <v>0</v>
      </c>
      <c r="U22" s="2" t="e">
        <f t="shared" si="10"/>
        <v>#DIV/0!</v>
      </c>
      <c r="V22" s="2" t="e">
        <f t="shared" si="10"/>
        <v>#DIV/0!</v>
      </c>
      <c r="W22" s="2">
        <f t="shared" si="10"/>
        <v>0</v>
      </c>
      <c r="X22" s="2">
        <f t="shared" si="7"/>
        <v>4.5078204240453007E-3</v>
      </c>
      <c r="Z22" s="6" t="s">
        <v>189</v>
      </c>
      <c r="AA22" s="2">
        <f t="shared" ref="AA22:AA31" si="11">IF(C22&gt;0,(O22-C22)/C22,"")</f>
        <v>-7.3239517815417488E-2</v>
      </c>
      <c r="AB22" s="2" t="str">
        <f t="shared" ref="AB22:AB31" si="12">IF(D22&gt;0,(P22-D22)/D22,"")</f>
        <v/>
      </c>
      <c r="AC22" s="2" t="str">
        <f t="shared" ref="AC22:AC31" si="13">IF(E22&gt;0,(Q22-E22)/E22,"")</f>
        <v/>
      </c>
      <c r="AD22" s="2" t="str">
        <f t="shared" ref="AD22:AD31" si="14">IF(F22&gt;0,(R22-F22)/F22,"")</f>
        <v/>
      </c>
      <c r="AE22" s="2" t="str">
        <f t="shared" ref="AE22:AE31" si="15">IF(G22&gt;0,(S22-G22)/G22,"")</f>
        <v/>
      </c>
      <c r="AF22" s="2">
        <f t="shared" ref="AF22:AF31" si="16">IF(H22&gt;0,(T22-H22)/H22,"")</f>
        <v>-1</v>
      </c>
      <c r="AG22" s="2" t="str">
        <f t="shared" ref="AG22:AG31" si="17">IF(I22&gt;0,(U22-I22)/I22,"")</f>
        <v/>
      </c>
      <c r="AH22" s="2" t="str">
        <f t="shared" ref="AH22:AH31" si="18">IF(J22&gt;0,(V22-J22)/J22,"")</f>
        <v/>
      </c>
      <c r="AI22" s="2" t="str">
        <f t="shared" ref="AI22:AI31" si="19">IF(K22&gt;0,(W22-K22)/K22,"")</f>
        <v/>
      </c>
      <c r="AJ22" s="2">
        <f t="shared" ref="AJ22:AJ31" si="20">IF(L22&gt;0,(X22-L22)/L22,"")</f>
        <v>0.24185140977002179</v>
      </c>
    </row>
    <row r="23" spans="2:36" x14ac:dyDescent="0.25">
      <c r="B23" s="6" t="s">
        <v>190</v>
      </c>
      <c r="C23" s="2">
        <f t="shared" si="9"/>
        <v>4.0820316423317897E-4</v>
      </c>
      <c r="D23" s="2">
        <f t="shared" si="9"/>
        <v>0</v>
      </c>
      <c r="E23" s="2">
        <f t="shared" si="9"/>
        <v>0</v>
      </c>
      <c r="F23" s="2">
        <f t="shared" si="9"/>
        <v>0</v>
      </c>
      <c r="G23" s="2">
        <f t="shared" si="9"/>
        <v>0</v>
      </c>
      <c r="H23" s="2">
        <f t="shared" si="9"/>
        <v>0</v>
      </c>
      <c r="I23" s="2">
        <f t="shared" si="9"/>
        <v>0</v>
      </c>
      <c r="J23" s="2">
        <f t="shared" si="9"/>
        <v>0</v>
      </c>
      <c r="K23" s="2">
        <f t="shared" si="9"/>
        <v>0</v>
      </c>
      <c r="L23" s="2">
        <f t="shared" si="5"/>
        <v>1.4780268102914401E-4</v>
      </c>
      <c r="N23" s="6" t="s">
        <v>190</v>
      </c>
      <c r="O23" s="2">
        <f t="shared" ref="O23:W23" si="21">O8/O$16</f>
        <v>0</v>
      </c>
      <c r="P23" s="2">
        <f t="shared" si="21"/>
        <v>0</v>
      </c>
      <c r="Q23" s="2">
        <f t="shared" si="21"/>
        <v>0</v>
      </c>
      <c r="R23" s="2">
        <f t="shared" si="21"/>
        <v>0</v>
      </c>
      <c r="S23" s="2">
        <f t="shared" si="21"/>
        <v>0</v>
      </c>
      <c r="T23" s="2">
        <f t="shared" si="21"/>
        <v>0</v>
      </c>
      <c r="U23" s="2" t="e">
        <f t="shared" si="21"/>
        <v>#DIV/0!</v>
      </c>
      <c r="V23" s="2" t="e">
        <f t="shared" si="21"/>
        <v>#DIV/0!</v>
      </c>
      <c r="W23" s="2">
        <f t="shared" si="21"/>
        <v>0</v>
      </c>
      <c r="X23" s="2">
        <f t="shared" si="7"/>
        <v>0</v>
      </c>
      <c r="Z23" s="6" t="s">
        <v>190</v>
      </c>
      <c r="AA23" s="2">
        <f t="shared" si="11"/>
        <v>-1</v>
      </c>
      <c r="AB23" s="2" t="str">
        <f t="shared" si="12"/>
        <v/>
      </c>
      <c r="AC23" s="2" t="str">
        <f t="shared" si="13"/>
        <v/>
      </c>
      <c r="AD23" s="2" t="str">
        <f t="shared" si="14"/>
        <v/>
      </c>
      <c r="AE23" s="2" t="str">
        <f t="shared" si="15"/>
        <v/>
      </c>
      <c r="AF23" s="2" t="str">
        <f t="shared" si="16"/>
        <v/>
      </c>
      <c r="AG23" s="2" t="str">
        <f t="shared" si="17"/>
        <v/>
      </c>
      <c r="AH23" s="2" t="str">
        <f t="shared" si="18"/>
        <v/>
      </c>
      <c r="AI23" s="2" t="str">
        <f t="shared" si="19"/>
        <v/>
      </c>
      <c r="AJ23" s="2">
        <f t="shared" si="20"/>
        <v>-1</v>
      </c>
    </row>
    <row r="24" spans="2:36" x14ac:dyDescent="0.25">
      <c r="B24" s="6" t="s">
        <v>170</v>
      </c>
      <c r="C24" s="2">
        <f t="shared" si="9"/>
        <v>0.20745110096378327</v>
      </c>
      <c r="D24" s="2">
        <f t="shared" si="9"/>
        <v>0.22167446992966569</v>
      </c>
      <c r="E24" s="2">
        <f t="shared" si="9"/>
        <v>0.26406164713190022</v>
      </c>
      <c r="F24" s="2">
        <f t="shared" si="9"/>
        <v>0.33437275725937282</v>
      </c>
      <c r="G24" s="2">
        <f t="shared" si="9"/>
        <v>0.12573717994630404</v>
      </c>
      <c r="H24" s="2">
        <f t="shared" si="9"/>
        <v>0.23879804807258273</v>
      </c>
      <c r="I24" s="2">
        <f t="shared" si="9"/>
        <v>9.8400736879908898E-2</v>
      </c>
      <c r="J24" s="2">
        <f t="shared" si="9"/>
        <v>0.13147390339378318</v>
      </c>
      <c r="K24" s="2">
        <f t="shared" si="9"/>
        <v>4.3557712514878923E-2</v>
      </c>
      <c r="L24" s="2">
        <f t="shared" si="5"/>
        <v>0.18383134982241434</v>
      </c>
      <c r="N24" s="6" t="s">
        <v>170</v>
      </c>
      <c r="O24" s="2">
        <f t="shared" ref="O24:W24" si="22">O9/O$16</f>
        <v>0.2735282113352005</v>
      </c>
      <c r="P24" s="2">
        <f t="shared" si="22"/>
        <v>0.25676255903821382</v>
      </c>
      <c r="Q24" s="2">
        <f t="shared" si="22"/>
        <v>0.33190568035700779</v>
      </c>
      <c r="R24" s="2">
        <f t="shared" si="22"/>
        <v>0.37304919287947425</v>
      </c>
      <c r="S24" s="2">
        <f t="shared" si="22"/>
        <v>0.12743064440865232</v>
      </c>
      <c r="T24" s="2">
        <f t="shared" si="22"/>
        <v>0.17270799604567533</v>
      </c>
      <c r="U24" s="2" t="e">
        <f t="shared" si="22"/>
        <v>#DIV/0!</v>
      </c>
      <c r="V24" s="2" t="e">
        <f t="shared" si="22"/>
        <v>#DIV/0!</v>
      </c>
      <c r="W24" s="2">
        <f t="shared" si="22"/>
        <v>9.5231857479696091E-2</v>
      </c>
      <c r="X24" s="2">
        <f t="shared" si="7"/>
        <v>0.22908698251262749</v>
      </c>
      <c r="Z24" s="6" t="s">
        <v>170</v>
      </c>
      <c r="AA24" s="2">
        <f t="shared" si="11"/>
        <v>0.31851896694900134</v>
      </c>
      <c r="AB24" s="2">
        <f t="shared" si="12"/>
        <v>0.15828655920404866</v>
      </c>
      <c r="AC24" s="2">
        <f t="shared" si="13"/>
        <v>0.25692497930689306</v>
      </c>
      <c r="AD24" s="2">
        <f t="shared" si="14"/>
        <v>0.11566862066487112</v>
      </c>
      <c r="AE24" s="2">
        <f t="shared" si="15"/>
        <v>1.3468287288385734E-2</v>
      </c>
      <c r="AF24" s="2">
        <f t="shared" si="16"/>
        <v>-0.27676127405706147</v>
      </c>
      <c r="AG24" s="2" t="e">
        <f t="shared" si="17"/>
        <v>#DIV/0!</v>
      </c>
      <c r="AH24" s="2" t="e">
        <f t="shared" si="18"/>
        <v>#DIV/0!</v>
      </c>
      <c r="AI24" s="2">
        <f t="shared" si="19"/>
        <v>1.1863374355842435</v>
      </c>
      <c r="AJ24" s="2">
        <f t="shared" si="20"/>
        <v>0.24618016858349365</v>
      </c>
    </row>
    <row r="25" spans="2:36" x14ac:dyDescent="0.25">
      <c r="B25" s="6" t="s">
        <v>173</v>
      </c>
      <c r="C25" s="2">
        <f t="shared" si="9"/>
        <v>0.20054898675880134</v>
      </c>
      <c r="D25" s="2">
        <f t="shared" si="9"/>
        <v>0.17362845384135162</v>
      </c>
      <c r="E25" s="2">
        <f t="shared" si="9"/>
        <v>0.14003891658038115</v>
      </c>
      <c r="F25" s="2">
        <f t="shared" si="9"/>
        <v>0.16647767696539667</v>
      </c>
      <c r="G25" s="2">
        <f t="shared" si="9"/>
        <v>0.319640926055834</v>
      </c>
      <c r="H25" s="2">
        <f t="shared" si="9"/>
        <v>0.19929971216527326</v>
      </c>
      <c r="I25" s="2">
        <f t="shared" si="9"/>
        <v>0.31272675269646855</v>
      </c>
      <c r="J25" s="2">
        <f t="shared" si="9"/>
        <v>0.18540332061003187</v>
      </c>
      <c r="K25" s="2">
        <f t="shared" si="9"/>
        <v>9.9472456115482277E-2</v>
      </c>
      <c r="L25" s="2">
        <f t="shared" si="5"/>
        <v>0.22723809181986487</v>
      </c>
      <c r="N25" s="6" t="s">
        <v>173</v>
      </c>
      <c r="O25" s="2">
        <f t="shared" ref="O25:W25" si="23">O10/O$16</f>
        <v>0.21321173396384857</v>
      </c>
      <c r="P25" s="2">
        <f t="shared" si="23"/>
        <v>0.18516530699871189</v>
      </c>
      <c r="Q25" s="2">
        <f t="shared" si="23"/>
        <v>0.11156493457378414</v>
      </c>
      <c r="R25" s="2">
        <f t="shared" si="23"/>
        <v>0.2384482868627576</v>
      </c>
      <c r="S25" s="2">
        <f t="shared" si="23"/>
        <v>0.38411933828067374</v>
      </c>
      <c r="T25" s="2">
        <f t="shared" si="23"/>
        <v>0.26147971975872891</v>
      </c>
      <c r="U25" s="2" t="e">
        <f t="shared" si="23"/>
        <v>#DIV/0!</v>
      </c>
      <c r="V25" s="2" t="e">
        <f t="shared" si="23"/>
        <v>#DIV/0!</v>
      </c>
      <c r="W25" s="2">
        <f t="shared" si="23"/>
        <v>0.16355194597269526</v>
      </c>
      <c r="X25" s="2">
        <f t="shared" si="7"/>
        <v>0.25039045690557166</v>
      </c>
      <c r="Z25" s="6" t="s">
        <v>173</v>
      </c>
      <c r="AA25" s="2">
        <f t="shared" si="11"/>
        <v>6.3140419753287588E-2</v>
      </c>
      <c r="AB25" s="2">
        <f t="shared" si="12"/>
        <v>6.6445636657582463E-2</v>
      </c>
      <c r="AC25" s="2">
        <f t="shared" si="13"/>
        <v>-0.20332906524775338</v>
      </c>
      <c r="AD25" s="2">
        <f t="shared" si="14"/>
        <v>0.43231387660653403</v>
      </c>
      <c r="AE25" s="2">
        <f t="shared" si="15"/>
        <v>0.20172139100102854</v>
      </c>
      <c r="AF25" s="2">
        <f t="shared" si="16"/>
        <v>0.31199246059066882</v>
      </c>
      <c r="AG25" s="2" t="e">
        <f t="shared" si="17"/>
        <v>#DIV/0!</v>
      </c>
      <c r="AH25" s="2" t="e">
        <f t="shared" si="18"/>
        <v>#DIV/0!</v>
      </c>
      <c r="AI25" s="2">
        <f t="shared" si="19"/>
        <v>0.64419330093568894</v>
      </c>
      <c r="AJ25" s="2">
        <f t="shared" si="20"/>
        <v>0.10188593338505948</v>
      </c>
    </row>
    <row r="26" spans="2:36" x14ac:dyDescent="0.25">
      <c r="B26" s="6" t="s">
        <v>171</v>
      </c>
      <c r="C26" s="2">
        <f t="shared" si="9"/>
        <v>0.22091311352278062</v>
      </c>
      <c r="D26" s="2">
        <f t="shared" si="9"/>
        <v>0.1397695938369497</v>
      </c>
      <c r="E26" s="2">
        <f t="shared" si="9"/>
        <v>0.16165015103110364</v>
      </c>
      <c r="F26" s="2">
        <f t="shared" si="9"/>
        <v>0.24730737375616715</v>
      </c>
      <c r="G26" s="2">
        <f t="shared" si="9"/>
        <v>0.31402461002283999</v>
      </c>
      <c r="H26" s="2">
        <f t="shared" si="9"/>
        <v>0.20939873440617479</v>
      </c>
      <c r="I26" s="2">
        <f t="shared" si="9"/>
        <v>0.28464813863641852</v>
      </c>
      <c r="J26" s="2">
        <f t="shared" si="9"/>
        <v>0.26104374491478916</v>
      </c>
      <c r="K26" s="2">
        <f t="shared" si="9"/>
        <v>0.12041069462678911</v>
      </c>
      <c r="L26" s="2">
        <f t="shared" si="5"/>
        <v>0.24271955364288439</v>
      </c>
      <c r="N26" s="6" t="s">
        <v>171</v>
      </c>
      <c r="O26" s="2">
        <f t="shared" ref="O26:W26" si="24">O11/O$16</f>
        <v>0.1230505553757211</v>
      </c>
      <c r="P26" s="2">
        <f t="shared" si="24"/>
        <v>0.16401889222842422</v>
      </c>
      <c r="Q26" s="2">
        <f t="shared" si="24"/>
        <v>0.11482679071174647</v>
      </c>
      <c r="R26" s="2">
        <f t="shared" si="24"/>
        <v>0.11743763159573789</v>
      </c>
      <c r="S26" s="2">
        <f t="shared" si="24"/>
        <v>0.23969111736636911</v>
      </c>
      <c r="T26" s="2">
        <f t="shared" si="24"/>
        <v>0.15684055188618423</v>
      </c>
      <c r="U26" s="2" t="e">
        <f t="shared" si="24"/>
        <v>#DIV/0!</v>
      </c>
      <c r="V26" s="2" t="e">
        <f t="shared" si="24"/>
        <v>#DIV/0!</v>
      </c>
      <c r="W26" s="2">
        <f t="shared" si="24"/>
        <v>0.19426250982446946</v>
      </c>
      <c r="X26" s="2">
        <f t="shared" si="7"/>
        <v>0.15758221802822356</v>
      </c>
      <c r="Z26" s="6" t="s">
        <v>171</v>
      </c>
      <c r="AA26" s="2">
        <f t="shared" si="11"/>
        <v>-0.44299116782385084</v>
      </c>
      <c r="AB26" s="2">
        <f t="shared" si="12"/>
        <v>0.17349480474102902</v>
      </c>
      <c r="AC26" s="2">
        <f t="shared" si="13"/>
        <v>-0.28965862401420051</v>
      </c>
      <c r="AD26" s="2">
        <f t="shared" si="14"/>
        <v>-0.52513493709441272</v>
      </c>
      <c r="AE26" s="2">
        <f t="shared" si="15"/>
        <v>-0.23671231579927565</v>
      </c>
      <c r="AF26" s="2">
        <f t="shared" si="16"/>
        <v>-0.25099570285865447</v>
      </c>
      <c r="AG26" s="2" t="e">
        <f t="shared" si="17"/>
        <v>#DIV/0!</v>
      </c>
      <c r="AH26" s="2" t="e">
        <f t="shared" si="18"/>
        <v>#DIV/0!</v>
      </c>
      <c r="AI26" s="2">
        <f t="shared" si="19"/>
        <v>0.61333268964673615</v>
      </c>
      <c r="AJ26" s="2">
        <f t="shared" si="20"/>
        <v>-0.3507642228937361</v>
      </c>
    </row>
    <row r="27" spans="2:36" x14ac:dyDescent="0.25">
      <c r="B27" s="6" t="s">
        <v>174</v>
      </c>
      <c r="C27" s="2">
        <f t="shared" si="9"/>
        <v>9.7093754351672473E-2</v>
      </c>
      <c r="D27" s="2">
        <f t="shared" si="9"/>
        <v>0.19082434628558945</v>
      </c>
      <c r="E27" s="2">
        <f t="shared" si="9"/>
        <v>0.10442759097169177</v>
      </c>
      <c r="F27" s="2">
        <f t="shared" si="9"/>
        <v>0.14441897543086579</v>
      </c>
      <c r="G27" s="2">
        <f t="shared" si="9"/>
        <v>0.13018715478638174</v>
      </c>
      <c r="H27" s="2">
        <f t="shared" si="9"/>
        <v>0.13027419787173414</v>
      </c>
      <c r="I27" s="2">
        <f t="shared" si="9"/>
        <v>0.18527984562083069</v>
      </c>
      <c r="J27" s="2">
        <f t="shared" si="9"/>
        <v>0.24124385904071052</v>
      </c>
      <c r="K27" s="2">
        <f t="shared" si="9"/>
        <v>0.28781143193651165</v>
      </c>
      <c r="L27" s="2">
        <f t="shared" si="5"/>
        <v>0.13618785145802625</v>
      </c>
      <c r="N27" s="6" t="s">
        <v>174</v>
      </c>
      <c r="O27" s="2">
        <f t="shared" ref="O27:W27" si="25">O12/O$16</f>
        <v>0.10262448844915455</v>
      </c>
      <c r="P27" s="2">
        <f t="shared" si="25"/>
        <v>0.12999141262344355</v>
      </c>
      <c r="Q27" s="2">
        <f t="shared" si="25"/>
        <v>0.12848876786929883</v>
      </c>
      <c r="R27" s="2">
        <f t="shared" si="25"/>
        <v>0.13523894595801697</v>
      </c>
      <c r="S27" s="2">
        <f t="shared" si="25"/>
        <v>0.13517077356133247</v>
      </c>
      <c r="T27" s="2">
        <f t="shared" si="25"/>
        <v>0.14664670401306645</v>
      </c>
      <c r="U27" s="2" t="e">
        <f t="shared" si="25"/>
        <v>#DIV/0!</v>
      </c>
      <c r="V27" s="2" t="e">
        <f t="shared" si="25"/>
        <v>#DIV/0!</v>
      </c>
      <c r="W27" s="2">
        <f t="shared" si="25"/>
        <v>0.32033592408232175</v>
      </c>
      <c r="X27" s="2">
        <f t="shared" si="7"/>
        <v>0.1299003706883182</v>
      </c>
      <c r="Z27" s="6" t="s">
        <v>174</v>
      </c>
      <c r="AA27" s="2">
        <f t="shared" si="11"/>
        <v>5.6962820465771849E-2</v>
      </c>
      <c r="AB27" s="2">
        <f t="shared" si="12"/>
        <v>-0.31879021124014639</v>
      </c>
      <c r="AC27" s="2">
        <f t="shared" si="13"/>
        <v>0.23041014997779241</v>
      </c>
      <c r="AD27" s="2">
        <f t="shared" si="14"/>
        <v>-6.3565258273441741E-2</v>
      </c>
      <c r="AE27" s="2">
        <f t="shared" si="15"/>
        <v>3.8280418549188927E-2</v>
      </c>
      <c r="AF27" s="2">
        <f t="shared" si="16"/>
        <v>0.12567727461620926</v>
      </c>
      <c r="AG27" s="2" t="e">
        <f t="shared" si="17"/>
        <v>#DIV/0!</v>
      </c>
      <c r="AH27" s="2" t="e">
        <f t="shared" si="18"/>
        <v>#DIV/0!</v>
      </c>
      <c r="AI27" s="2">
        <f t="shared" si="19"/>
        <v>0.11300625526572093</v>
      </c>
      <c r="AJ27" s="2">
        <f t="shared" si="20"/>
        <v>-4.6167706608146987E-2</v>
      </c>
    </row>
    <row r="28" spans="2:36" x14ac:dyDescent="0.25">
      <c r="B28" s="6" t="s">
        <v>175</v>
      </c>
      <c r="C28" s="2">
        <f t="shared" si="9"/>
        <v>4.23266270146158E-2</v>
      </c>
      <c r="D28" s="2">
        <f t="shared" si="9"/>
        <v>0.13754333136376348</v>
      </c>
      <c r="E28" s="2">
        <f t="shared" si="9"/>
        <v>0.12056803735197749</v>
      </c>
      <c r="F28" s="2">
        <f t="shared" si="9"/>
        <v>4.853420675928323E-2</v>
      </c>
      <c r="G28" s="2">
        <f t="shared" si="9"/>
        <v>6.3951182423937061E-2</v>
      </c>
      <c r="H28" s="2">
        <f t="shared" si="9"/>
        <v>0.1076965712515453</v>
      </c>
      <c r="I28" s="2">
        <f t="shared" si="9"/>
        <v>5.8326866824336063E-2</v>
      </c>
      <c r="J28" s="2">
        <f t="shared" si="9"/>
        <v>9.6516626869436892E-2</v>
      </c>
      <c r="K28" s="2">
        <f t="shared" si="9"/>
        <v>4.5529360282025779E-3</v>
      </c>
      <c r="L28" s="2">
        <f t="shared" si="5"/>
        <v>6.4845371792695033E-2</v>
      </c>
      <c r="N28" s="6" t="s">
        <v>175</v>
      </c>
      <c r="O28" s="2">
        <f t="shared" ref="O28:W28" si="26">O13/O$16</f>
        <v>2.8259030426426596E-2</v>
      </c>
      <c r="P28" s="2">
        <f t="shared" si="26"/>
        <v>6.3546586517818804E-2</v>
      </c>
      <c r="Q28" s="2">
        <f t="shared" si="26"/>
        <v>0.11662317525149384</v>
      </c>
      <c r="R28" s="2">
        <f t="shared" si="26"/>
        <v>6.9712243986473549E-2</v>
      </c>
      <c r="S28" s="2">
        <f t="shared" si="26"/>
        <v>5.5448346454322402E-2</v>
      </c>
      <c r="T28" s="2">
        <f t="shared" si="26"/>
        <v>0.13324354914967693</v>
      </c>
      <c r="U28" s="2" t="e">
        <f t="shared" si="26"/>
        <v>#DIV/0!</v>
      </c>
      <c r="V28" s="2" t="e">
        <f t="shared" si="26"/>
        <v>#DIV/0!</v>
      </c>
      <c r="W28" s="2">
        <f t="shared" si="26"/>
        <v>1.2429773236689663E-2</v>
      </c>
      <c r="X28" s="2">
        <f t="shared" si="7"/>
        <v>5.4123698203934638E-2</v>
      </c>
      <c r="Z28" s="6" t="s">
        <v>175</v>
      </c>
      <c r="AA28" s="2">
        <f t="shared" si="11"/>
        <v>-0.33235808237995257</v>
      </c>
      <c r="AB28" s="2">
        <f t="shared" si="12"/>
        <v>-0.53798860411664795</v>
      </c>
      <c r="AC28" s="2">
        <f t="shared" si="13"/>
        <v>-3.271897085765206E-2</v>
      </c>
      <c r="AD28" s="2">
        <f t="shared" si="14"/>
        <v>0.43635280436801527</v>
      </c>
      <c r="AE28" s="2">
        <f t="shared" si="15"/>
        <v>-0.13295822918876993</v>
      </c>
      <c r="AF28" s="2">
        <f t="shared" si="16"/>
        <v>0.23721254633503533</v>
      </c>
      <c r="AG28" s="2" t="e">
        <f t="shared" si="17"/>
        <v>#DIV/0!</v>
      </c>
      <c r="AH28" s="2" t="e">
        <f t="shared" si="18"/>
        <v>#DIV/0!</v>
      </c>
      <c r="AI28" s="2">
        <f t="shared" si="19"/>
        <v>1.7300566403074911</v>
      </c>
      <c r="AJ28" s="2">
        <f t="shared" si="20"/>
        <v>-0.16534215615320466</v>
      </c>
    </row>
    <row r="29" spans="2:36" x14ac:dyDescent="0.25">
      <c r="B29" s="6" t="s">
        <v>172</v>
      </c>
      <c r="C29" s="2">
        <f t="shared" si="9"/>
        <v>5.6955661496516263E-2</v>
      </c>
      <c r="D29" s="2">
        <f t="shared" si="9"/>
        <v>6.5601922430772522E-2</v>
      </c>
      <c r="E29" s="2">
        <f t="shared" si="9"/>
        <v>0.2027194647879923</v>
      </c>
      <c r="F29" s="2">
        <f t="shared" si="9"/>
        <v>5.8889009828914353E-2</v>
      </c>
      <c r="G29" s="2">
        <f t="shared" si="9"/>
        <v>4.34108575092138E-2</v>
      </c>
      <c r="H29" s="2">
        <f t="shared" si="9"/>
        <v>0.10794771413514677</v>
      </c>
      <c r="I29" s="2">
        <f t="shared" si="9"/>
        <v>6.0119612004863203E-2</v>
      </c>
      <c r="J29" s="2">
        <f t="shared" si="9"/>
        <v>8.1724196202260013E-2</v>
      </c>
      <c r="K29" s="2">
        <f t="shared" si="9"/>
        <v>2.431758046674929E-2</v>
      </c>
      <c r="L29" s="2">
        <f t="shared" si="5"/>
        <v>7.1144756835178929E-2</v>
      </c>
      <c r="N29" s="6" t="s">
        <v>172</v>
      </c>
      <c r="O29" s="2">
        <f t="shared" ref="O29:W29" si="27">O14/O$16</f>
        <v>7.6449973963097967E-2</v>
      </c>
      <c r="P29" s="2">
        <f t="shared" si="27"/>
        <v>9.4246457707170453E-2</v>
      </c>
      <c r="Q29" s="2">
        <f t="shared" si="27"/>
        <v>0.19659065123666894</v>
      </c>
      <c r="R29" s="2">
        <f t="shared" si="27"/>
        <v>6.6113698717539721E-2</v>
      </c>
      <c r="S29" s="2">
        <f t="shared" si="27"/>
        <v>5.8139779928649916E-2</v>
      </c>
      <c r="T29" s="2">
        <f t="shared" si="27"/>
        <v>0.1290814791466682</v>
      </c>
      <c r="U29" s="2" t="e">
        <f t="shared" si="27"/>
        <v>#DIV/0!</v>
      </c>
      <c r="V29" s="2" t="e">
        <f t="shared" si="27"/>
        <v>#DIV/0!</v>
      </c>
      <c r="W29" s="2">
        <f t="shared" si="27"/>
        <v>1.611212994498297E-2</v>
      </c>
      <c r="X29" s="2">
        <f t="shared" si="7"/>
        <v>8.3135829490654886E-2</v>
      </c>
      <c r="Z29" s="6" t="s">
        <v>172</v>
      </c>
      <c r="AA29" s="2">
        <f t="shared" si="11"/>
        <v>0.34227172425649183</v>
      </c>
      <c r="AB29" s="2">
        <f t="shared" si="12"/>
        <v>0.43664170522785417</v>
      </c>
      <c r="AC29" s="2">
        <f t="shared" si="13"/>
        <v>-3.0232980132090342E-2</v>
      </c>
      <c r="AD29" s="2">
        <f t="shared" si="14"/>
        <v>0.12268314426774525</v>
      </c>
      <c r="AE29" s="2">
        <f t="shared" si="15"/>
        <v>0.3392912111056538</v>
      </c>
      <c r="AF29" s="2">
        <f t="shared" si="16"/>
        <v>0.19577779095037343</v>
      </c>
      <c r="AG29" s="2" t="e">
        <f t="shared" si="17"/>
        <v>#DIV/0!</v>
      </c>
      <c r="AH29" s="2" t="e">
        <f t="shared" si="18"/>
        <v>#DIV/0!</v>
      </c>
      <c r="AI29" s="2">
        <f t="shared" si="19"/>
        <v>-0.33742873938408741</v>
      </c>
      <c r="AJ29" s="2">
        <f t="shared" si="20"/>
        <v>0.16854471346715932</v>
      </c>
    </row>
    <row r="30" spans="2:36" x14ac:dyDescent="0.25">
      <c r="B30" s="159" t="s">
        <v>232</v>
      </c>
      <c r="C30" s="51">
        <f t="shared" si="9"/>
        <v>1.7108231660085886E-4</v>
      </c>
      <c r="D30" s="51">
        <f t="shared" si="9"/>
        <v>0</v>
      </c>
      <c r="E30" s="51">
        <f t="shared" si="9"/>
        <v>0</v>
      </c>
      <c r="F30" s="51">
        <f t="shared" si="9"/>
        <v>0</v>
      </c>
      <c r="G30" s="51">
        <f t="shared" si="9"/>
        <v>2.4357768634319013E-4</v>
      </c>
      <c r="H30" s="51">
        <f t="shared" si="9"/>
        <v>1.3082154632050263E-4</v>
      </c>
      <c r="I30" s="51">
        <f t="shared" si="9"/>
        <v>0</v>
      </c>
      <c r="J30" s="51">
        <f t="shared" si="9"/>
        <v>2.1097127596198693E-3</v>
      </c>
      <c r="K30" s="51">
        <f t="shared" si="9"/>
        <v>0</v>
      </c>
      <c r="L30" s="51">
        <f t="shared" si="5"/>
        <v>2.7959451204637506E-4</v>
      </c>
      <c r="N30" s="159" t="s">
        <v>232</v>
      </c>
      <c r="O30" s="51">
        <f t="shared" ref="O30:W30" si="28">O15/O$16</f>
        <v>0.1736215688758157</v>
      </c>
      <c r="P30" s="51">
        <f t="shared" si="28"/>
        <v>7.696436238729068E-2</v>
      </c>
      <c r="Q30" s="51">
        <f t="shared" si="28"/>
        <v>0</v>
      </c>
      <c r="R30" s="51">
        <f t="shared" si="28"/>
        <v>0</v>
      </c>
      <c r="S30" s="51">
        <f t="shared" si="28"/>
        <v>0</v>
      </c>
      <c r="T30" s="51">
        <f t="shared" si="28"/>
        <v>0</v>
      </c>
      <c r="U30" s="51" t="e">
        <f t="shared" si="28"/>
        <v>#DIV/0!</v>
      </c>
      <c r="V30" s="51" t="e">
        <f t="shared" si="28"/>
        <v>#DIV/0!</v>
      </c>
      <c r="W30" s="51">
        <f t="shared" si="28"/>
        <v>0.19807585945914477</v>
      </c>
      <c r="X30" s="51">
        <f t="shared" si="7"/>
        <v>9.1272623746624232E-2</v>
      </c>
      <c r="Z30" s="159" t="s">
        <v>232</v>
      </c>
      <c r="AA30" s="51">
        <f t="shared" si="11"/>
        <v>1013.8422836761149</v>
      </c>
      <c r="AB30" s="51" t="str">
        <f t="shared" si="12"/>
        <v/>
      </c>
      <c r="AC30" s="51" t="str">
        <f t="shared" si="13"/>
        <v/>
      </c>
      <c r="AD30" s="51" t="str">
        <f t="shared" si="14"/>
        <v/>
      </c>
      <c r="AE30" s="51">
        <f t="shared" si="15"/>
        <v>-1</v>
      </c>
      <c r="AF30" s="51">
        <f t="shared" si="16"/>
        <v>-1</v>
      </c>
      <c r="AG30" s="51" t="str">
        <f t="shared" si="17"/>
        <v/>
      </c>
      <c r="AH30" s="51" t="e">
        <f t="shared" si="18"/>
        <v>#DIV/0!</v>
      </c>
      <c r="AI30" s="51" t="str">
        <f t="shared" si="19"/>
        <v/>
      </c>
      <c r="AJ30" s="51">
        <f t="shared" si="20"/>
        <v>325.44640654279101</v>
      </c>
    </row>
    <row r="31" spans="2:36" x14ac:dyDescent="0.25">
      <c r="B31" s="6" t="s">
        <v>29</v>
      </c>
      <c r="C31" s="2">
        <f t="shared" ref="C31:L31" si="29">SUM(C21:C30)</f>
        <v>1</v>
      </c>
      <c r="D31" s="2">
        <f t="shared" si="29"/>
        <v>1</v>
      </c>
      <c r="E31" s="2">
        <f t="shared" si="29"/>
        <v>1</v>
      </c>
      <c r="F31" s="2">
        <f t="shared" si="29"/>
        <v>1</v>
      </c>
      <c r="G31" s="2">
        <f t="shared" si="29"/>
        <v>1</v>
      </c>
      <c r="H31" s="2">
        <f t="shared" si="29"/>
        <v>0.99999999999999989</v>
      </c>
      <c r="I31" s="2">
        <f t="shared" si="29"/>
        <v>1</v>
      </c>
      <c r="J31" s="2">
        <f t="shared" si="29"/>
        <v>1</v>
      </c>
      <c r="K31" s="2">
        <f t="shared" si="29"/>
        <v>1</v>
      </c>
      <c r="L31" s="2">
        <f t="shared" si="29"/>
        <v>1</v>
      </c>
      <c r="N31" s="6" t="s">
        <v>29</v>
      </c>
      <c r="O31" s="2">
        <f t="shared" ref="O31:X31" si="30">SUM(O21:O30)</f>
        <v>1</v>
      </c>
      <c r="P31" s="2">
        <f t="shared" si="30"/>
        <v>1</v>
      </c>
      <c r="Q31" s="2">
        <f t="shared" si="30"/>
        <v>1</v>
      </c>
      <c r="R31" s="2">
        <f t="shared" si="30"/>
        <v>1.0000000000000002</v>
      </c>
      <c r="S31" s="2">
        <f t="shared" si="30"/>
        <v>0.99999999999999989</v>
      </c>
      <c r="T31" s="2">
        <f t="shared" si="30"/>
        <v>1</v>
      </c>
      <c r="U31" s="2" t="e">
        <f t="shared" si="30"/>
        <v>#DIV/0!</v>
      </c>
      <c r="V31" s="2" t="e">
        <f t="shared" si="30"/>
        <v>#DIV/0!</v>
      </c>
      <c r="W31" s="2">
        <f t="shared" si="30"/>
        <v>1</v>
      </c>
      <c r="X31" s="2">
        <f t="shared" si="30"/>
        <v>0.99999999999999989</v>
      </c>
      <c r="Z31" s="6" t="s">
        <v>29</v>
      </c>
      <c r="AA31" s="2">
        <f t="shared" si="11"/>
        <v>0</v>
      </c>
      <c r="AB31" s="2">
        <f t="shared" si="12"/>
        <v>0</v>
      </c>
      <c r="AC31" s="2">
        <f t="shared" si="13"/>
        <v>0</v>
      </c>
      <c r="AD31" s="2">
        <f t="shared" si="14"/>
        <v>2.2204460492503131E-16</v>
      </c>
      <c r="AE31" s="2">
        <f t="shared" si="15"/>
        <v>-1.1102230246251565E-16</v>
      </c>
      <c r="AF31" s="2">
        <f t="shared" si="16"/>
        <v>1.1102230246251565E-16</v>
      </c>
      <c r="AG31" s="2" t="e">
        <f t="shared" si="17"/>
        <v>#DIV/0!</v>
      </c>
      <c r="AH31" s="2" t="e">
        <f t="shared" si="18"/>
        <v>#DIV/0!</v>
      </c>
      <c r="AI31" s="2">
        <f t="shared" si="19"/>
        <v>0</v>
      </c>
      <c r="AJ31" s="2">
        <f t="shared" si="20"/>
        <v>-1.1102230246251565E-16</v>
      </c>
    </row>
  </sheetData>
  <mergeCells count="6">
    <mergeCell ref="C4:K4"/>
    <mergeCell ref="O4:W4"/>
    <mergeCell ref="C19:K19"/>
    <mergeCell ref="O19:W19"/>
    <mergeCell ref="AA19:AI19"/>
    <mergeCell ref="Z17:AJ17"/>
  </mergeCells>
  <hyperlinks>
    <hyperlink ref="A1" location="Index!A1" display="Index"/>
  </hyperlinks>
  <pageMargins left="0.7" right="0.7" top="0.75" bottom="0.75" header="0.3" footer="0.3"/>
  <pageSetup paperSize="0" orientation="portrait" horizontalDpi="0" verticalDpi="0" copie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1"/>
  <dimension ref="A1:AD12"/>
  <sheetViews>
    <sheetView topLeftCell="C1" workbookViewId="0">
      <selection activeCell="Q22" sqref="Q22"/>
    </sheetView>
  </sheetViews>
  <sheetFormatPr defaultRowHeight="15" x14ac:dyDescent="0.25"/>
  <sheetData>
    <row r="1" spans="1:30" x14ac:dyDescent="0.25">
      <c r="A1" t="s">
        <v>7</v>
      </c>
      <c r="L1" t="s">
        <v>3</v>
      </c>
    </row>
    <row r="2" spans="1:30" x14ac:dyDescent="0.25">
      <c r="B2" t="s">
        <v>55</v>
      </c>
      <c r="C2" t="s">
        <v>56</v>
      </c>
      <c r="D2" t="s">
        <v>115</v>
      </c>
      <c r="E2" t="s">
        <v>180</v>
      </c>
      <c r="F2" t="s">
        <v>117</v>
      </c>
      <c r="G2" t="s">
        <v>118</v>
      </c>
      <c r="H2" t="s">
        <v>119</v>
      </c>
      <c r="I2" t="s">
        <v>120</v>
      </c>
      <c r="J2" t="s">
        <v>121</v>
      </c>
      <c r="M2" t="s">
        <v>55</v>
      </c>
      <c r="N2" t="s">
        <v>56</v>
      </c>
      <c r="O2" t="s">
        <v>115</v>
      </c>
      <c r="P2" t="s">
        <v>180</v>
      </c>
      <c r="Q2" t="s">
        <v>117</v>
      </c>
      <c r="R2" t="s">
        <v>118</v>
      </c>
      <c r="S2" t="s">
        <v>119</v>
      </c>
      <c r="T2" t="s">
        <v>120</v>
      </c>
      <c r="U2" t="s">
        <v>121</v>
      </c>
      <c r="X2" t="s">
        <v>55</v>
      </c>
      <c r="Y2" t="s">
        <v>56</v>
      </c>
      <c r="Z2" t="s">
        <v>115</v>
      </c>
      <c r="AA2" t="s">
        <v>180</v>
      </c>
      <c r="AB2" t="s">
        <v>117</v>
      </c>
      <c r="AC2" t="s">
        <v>118</v>
      </c>
      <c r="AD2" t="s">
        <v>121</v>
      </c>
    </row>
    <row r="3" spans="1:30" x14ac:dyDescent="0.25">
      <c r="A3">
        <v>1</v>
      </c>
      <c r="B3">
        <v>491593.21383000002</v>
      </c>
      <c r="C3">
        <v>5891.0546899999999</v>
      </c>
      <c r="D3">
        <v>3586.1702100000002</v>
      </c>
      <c r="E3">
        <v>0</v>
      </c>
      <c r="F3">
        <v>4300.4785199999997</v>
      </c>
      <c r="G3">
        <v>5331.5561100000004</v>
      </c>
      <c r="H3">
        <v>513.52322000000004</v>
      </c>
      <c r="I3">
        <v>302.36774000000003</v>
      </c>
      <c r="J3">
        <v>67267.323520000005</v>
      </c>
      <c r="L3">
        <v>1</v>
      </c>
      <c r="M3">
        <v>0</v>
      </c>
      <c r="N3">
        <v>0</v>
      </c>
      <c r="O3">
        <v>0</v>
      </c>
      <c r="P3">
        <v>0</v>
      </c>
      <c r="Q3">
        <v>0</v>
      </c>
      <c r="R3">
        <v>0</v>
      </c>
      <c r="S3">
        <v>0</v>
      </c>
      <c r="T3">
        <v>0</v>
      </c>
      <c r="U3">
        <v>0</v>
      </c>
      <c r="W3">
        <v>1</v>
      </c>
      <c r="X3">
        <v>0</v>
      </c>
      <c r="Y3">
        <v>0</v>
      </c>
      <c r="Z3">
        <v>0</v>
      </c>
      <c r="AA3">
        <v>0</v>
      </c>
      <c r="AB3">
        <v>0</v>
      </c>
      <c r="AC3">
        <v>0</v>
      </c>
      <c r="AD3">
        <v>0</v>
      </c>
    </row>
    <row r="4" spans="1:30" x14ac:dyDescent="0.25">
      <c r="A4">
        <v>2</v>
      </c>
      <c r="B4">
        <v>29906.042870000001</v>
      </c>
      <c r="C4">
        <v>0</v>
      </c>
      <c r="D4">
        <v>0</v>
      </c>
      <c r="E4">
        <v>0</v>
      </c>
      <c r="F4">
        <v>0</v>
      </c>
      <c r="G4">
        <v>117.88124000000001</v>
      </c>
      <c r="H4">
        <v>0</v>
      </c>
      <c r="I4">
        <v>0</v>
      </c>
      <c r="J4">
        <v>0</v>
      </c>
      <c r="L4">
        <v>2</v>
      </c>
      <c r="M4">
        <v>5918</v>
      </c>
      <c r="N4">
        <v>273</v>
      </c>
      <c r="O4">
        <v>0</v>
      </c>
      <c r="P4">
        <v>0</v>
      </c>
      <c r="Q4">
        <v>0</v>
      </c>
      <c r="R4">
        <v>0</v>
      </c>
      <c r="S4">
        <v>0</v>
      </c>
      <c r="T4">
        <v>0</v>
      </c>
      <c r="U4">
        <v>0</v>
      </c>
      <c r="W4">
        <v>2</v>
      </c>
      <c r="X4">
        <v>5918</v>
      </c>
      <c r="Y4">
        <v>273</v>
      </c>
      <c r="Z4">
        <v>0</v>
      </c>
      <c r="AA4">
        <v>0</v>
      </c>
      <c r="AB4">
        <v>0</v>
      </c>
      <c r="AC4">
        <v>0</v>
      </c>
      <c r="AD4">
        <v>0</v>
      </c>
    </row>
    <row r="5" spans="1:30" x14ac:dyDescent="0.25">
      <c r="A5">
        <v>3</v>
      </c>
      <c r="B5">
        <v>1222.5110500000001</v>
      </c>
      <c r="C5">
        <v>0</v>
      </c>
      <c r="D5">
        <v>0</v>
      </c>
      <c r="E5">
        <v>0</v>
      </c>
      <c r="F5">
        <v>0</v>
      </c>
      <c r="G5">
        <v>0</v>
      </c>
      <c r="H5">
        <v>0</v>
      </c>
      <c r="I5">
        <v>0</v>
      </c>
      <c r="J5">
        <v>0</v>
      </c>
      <c r="L5">
        <v>3</v>
      </c>
      <c r="M5">
        <v>0</v>
      </c>
      <c r="N5">
        <v>0</v>
      </c>
      <c r="O5">
        <v>0</v>
      </c>
      <c r="P5">
        <v>0</v>
      </c>
      <c r="Q5">
        <v>0</v>
      </c>
      <c r="R5">
        <v>0</v>
      </c>
      <c r="S5">
        <v>0</v>
      </c>
      <c r="T5">
        <v>0</v>
      </c>
      <c r="U5">
        <v>0</v>
      </c>
      <c r="W5">
        <v>3</v>
      </c>
      <c r="X5">
        <v>0</v>
      </c>
      <c r="Y5">
        <v>0</v>
      </c>
      <c r="Z5">
        <v>0</v>
      </c>
      <c r="AA5">
        <v>0</v>
      </c>
      <c r="AB5">
        <v>0</v>
      </c>
      <c r="AC5">
        <v>0</v>
      </c>
      <c r="AD5">
        <v>0</v>
      </c>
    </row>
    <row r="6" spans="1:30" x14ac:dyDescent="0.25">
      <c r="A6">
        <v>4</v>
      </c>
      <c r="B6">
        <v>621286.86273000005</v>
      </c>
      <c r="C6">
        <v>18403.824680000002</v>
      </c>
      <c r="D6">
        <v>144925.33913000001</v>
      </c>
      <c r="E6">
        <v>151002.47928999999</v>
      </c>
      <c r="F6">
        <v>192807.2066</v>
      </c>
      <c r="G6">
        <v>201622.95731999999</v>
      </c>
      <c r="H6">
        <v>101458.35442</v>
      </c>
      <c r="I6">
        <v>82027.438869999998</v>
      </c>
      <c r="J6">
        <v>6978.2565500000001</v>
      </c>
      <c r="L6">
        <v>4</v>
      </c>
      <c r="M6">
        <v>174915</v>
      </c>
      <c r="N6">
        <v>2392</v>
      </c>
      <c r="O6">
        <v>35105</v>
      </c>
      <c r="P6">
        <v>29234</v>
      </c>
      <c r="Q6">
        <v>42328</v>
      </c>
      <c r="R6">
        <v>24109</v>
      </c>
      <c r="S6">
        <v>0</v>
      </c>
      <c r="T6">
        <v>0</v>
      </c>
      <c r="U6">
        <v>6543</v>
      </c>
      <c r="W6">
        <v>4</v>
      </c>
      <c r="X6">
        <v>174915</v>
      </c>
      <c r="Y6">
        <v>2392</v>
      </c>
      <c r="Z6">
        <v>35105</v>
      </c>
      <c r="AA6">
        <v>29234</v>
      </c>
      <c r="AB6">
        <v>42328</v>
      </c>
      <c r="AC6">
        <v>24109</v>
      </c>
      <c r="AD6">
        <v>6543</v>
      </c>
    </row>
    <row r="7" spans="1:30" x14ac:dyDescent="0.25">
      <c r="A7">
        <v>5</v>
      </c>
      <c r="B7">
        <v>600616.00168999995</v>
      </c>
      <c r="C7">
        <v>14414.95552</v>
      </c>
      <c r="D7">
        <v>76857.762940000001</v>
      </c>
      <c r="E7">
        <v>75181.190520000004</v>
      </c>
      <c r="F7">
        <v>490142.00965999998</v>
      </c>
      <c r="G7">
        <v>168273.55869999999</v>
      </c>
      <c r="H7">
        <v>322444.14744999999</v>
      </c>
      <c r="I7">
        <v>115674.35936</v>
      </c>
      <c r="J7">
        <v>15936.19771</v>
      </c>
      <c r="L7">
        <v>5</v>
      </c>
      <c r="M7">
        <v>136344</v>
      </c>
      <c r="N7">
        <v>1725</v>
      </c>
      <c r="O7">
        <v>11800</v>
      </c>
      <c r="P7">
        <v>18686</v>
      </c>
      <c r="Q7">
        <v>127591</v>
      </c>
      <c r="R7">
        <v>36501</v>
      </c>
      <c r="S7">
        <v>0</v>
      </c>
      <c r="T7">
        <v>0</v>
      </c>
      <c r="U7">
        <v>11237</v>
      </c>
      <c r="W7">
        <v>5</v>
      </c>
      <c r="X7">
        <v>136344</v>
      </c>
      <c r="Y7">
        <v>1725</v>
      </c>
      <c r="Z7">
        <v>11800</v>
      </c>
      <c r="AA7">
        <v>18686</v>
      </c>
      <c r="AB7">
        <v>127591</v>
      </c>
      <c r="AC7">
        <v>36501</v>
      </c>
      <c r="AD7">
        <v>11237</v>
      </c>
    </row>
    <row r="8" spans="1:30" x14ac:dyDescent="0.25">
      <c r="A8">
        <v>6</v>
      </c>
      <c r="B8">
        <v>661603.69648000004</v>
      </c>
      <c r="C8">
        <v>11603.93031</v>
      </c>
      <c r="D8">
        <v>88718.688280000002</v>
      </c>
      <c r="E8">
        <v>111683.81925</v>
      </c>
      <c r="F8">
        <v>481529.86959000002</v>
      </c>
      <c r="G8">
        <v>176800.40700000001</v>
      </c>
      <c r="H8">
        <v>293493.04334999999</v>
      </c>
      <c r="I8">
        <v>162866.92092999999</v>
      </c>
      <c r="J8">
        <v>19290.653020000002</v>
      </c>
      <c r="L8">
        <v>6</v>
      </c>
      <c r="M8">
        <v>78688</v>
      </c>
      <c r="N8">
        <v>1528</v>
      </c>
      <c r="O8">
        <v>12145</v>
      </c>
      <c r="P8">
        <v>9203</v>
      </c>
      <c r="Q8">
        <v>79617</v>
      </c>
      <c r="R8">
        <v>21894</v>
      </c>
      <c r="S8">
        <v>0</v>
      </c>
      <c r="T8">
        <v>0</v>
      </c>
      <c r="U8">
        <v>13347</v>
      </c>
      <c r="W8">
        <v>6</v>
      </c>
      <c r="X8">
        <v>78688</v>
      </c>
      <c r="Y8">
        <v>1528</v>
      </c>
      <c r="Z8">
        <v>12145</v>
      </c>
      <c r="AA8">
        <v>9203</v>
      </c>
      <c r="AB8">
        <v>79617</v>
      </c>
      <c r="AC8">
        <v>21894</v>
      </c>
      <c r="AD8">
        <v>13347</v>
      </c>
    </row>
    <row r="9" spans="1:30" x14ac:dyDescent="0.25">
      <c r="A9">
        <v>7</v>
      </c>
      <c r="B9">
        <v>290782.13493</v>
      </c>
      <c r="C9">
        <v>15842.590330000001</v>
      </c>
      <c r="D9">
        <v>57313.147140000001</v>
      </c>
      <c r="E9">
        <v>65219.497920000002</v>
      </c>
      <c r="F9">
        <v>199630.86225000001</v>
      </c>
      <c r="G9">
        <v>109993.65049</v>
      </c>
      <c r="H9">
        <v>191037.06781000001</v>
      </c>
      <c r="I9">
        <v>150513.64103</v>
      </c>
      <c r="J9">
        <v>46109.446389999997</v>
      </c>
      <c r="L9">
        <v>7</v>
      </c>
      <c r="M9">
        <v>65626</v>
      </c>
      <c r="N9">
        <v>1211</v>
      </c>
      <c r="O9">
        <v>13590</v>
      </c>
      <c r="P9">
        <v>10598</v>
      </c>
      <c r="Q9">
        <v>44899</v>
      </c>
      <c r="R9">
        <v>20471</v>
      </c>
      <c r="S9">
        <v>0</v>
      </c>
      <c r="T9">
        <v>0</v>
      </c>
      <c r="U9">
        <v>22009</v>
      </c>
      <c r="W9">
        <v>7</v>
      </c>
      <c r="X9">
        <v>65626</v>
      </c>
      <c r="Y9">
        <v>1211</v>
      </c>
      <c r="Z9">
        <v>13590</v>
      </c>
      <c r="AA9">
        <v>10598</v>
      </c>
      <c r="AB9">
        <v>44899</v>
      </c>
      <c r="AC9">
        <v>20471</v>
      </c>
      <c r="AD9">
        <v>22009</v>
      </c>
    </row>
    <row r="10" spans="1:30" x14ac:dyDescent="0.25">
      <c r="A10">
        <v>8</v>
      </c>
      <c r="B10">
        <v>126762.29330999999</v>
      </c>
      <c r="C10">
        <v>11419.10188</v>
      </c>
      <c r="D10">
        <v>66171.531879999995</v>
      </c>
      <c r="E10">
        <v>21918.010340000001</v>
      </c>
      <c r="F10">
        <v>98063.666190000004</v>
      </c>
      <c r="G10">
        <v>90930.815239999996</v>
      </c>
      <c r="H10">
        <v>60139.264340000002</v>
      </c>
      <c r="I10">
        <v>60217.362580000001</v>
      </c>
      <c r="J10">
        <v>729.41286000000002</v>
      </c>
      <c r="L10">
        <v>8</v>
      </c>
      <c r="M10">
        <v>18071</v>
      </c>
      <c r="N10">
        <v>592</v>
      </c>
      <c r="O10">
        <v>12335</v>
      </c>
      <c r="P10">
        <v>5463</v>
      </c>
      <c r="Q10">
        <v>18418</v>
      </c>
      <c r="R10">
        <v>18600</v>
      </c>
      <c r="S10">
        <v>0</v>
      </c>
      <c r="T10">
        <v>0</v>
      </c>
      <c r="U10">
        <v>854</v>
      </c>
      <c r="W10">
        <v>8</v>
      </c>
      <c r="X10">
        <v>18071</v>
      </c>
      <c r="Y10">
        <v>592</v>
      </c>
      <c r="Z10">
        <v>12335</v>
      </c>
      <c r="AA10">
        <v>5463</v>
      </c>
      <c r="AB10">
        <v>18418</v>
      </c>
      <c r="AC10">
        <v>18600</v>
      </c>
      <c r="AD10">
        <v>854</v>
      </c>
    </row>
    <row r="11" spans="1:30" x14ac:dyDescent="0.25">
      <c r="A11">
        <v>9</v>
      </c>
      <c r="B11">
        <v>170574.19354000001</v>
      </c>
      <c r="C11">
        <v>5446.3929900000003</v>
      </c>
      <c r="D11">
        <v>111258.81968</v>
      </c>
      <c r="E11">
        <v>26594.23142</v>
      </c>
      <c r="F11">
        <v>66566.835489999998</v>
      </c>
      <c r="G11">
        <v>91142.861239999998</v>
      </c>
      <c r="H11">
        <v>61987.715700000001</v>
      </c>
      <c r="I11">
        <v>50988.267140000004</v>
      </c>
      <c r="J11">
        <v>3895.8500199999999</v>
      </c>
      <c r="L11">
        <v>9</v>
      </c>
      <c r="M11">
        <v>48888</v>
      </c>
      <c r="N11">
        <v>878</v>
      </c>
      <c r="O11">
        <v>20793</v>
      </c>
      <c r="P11">
        <v>5181</v>
      </c>
      <c r="Q11">
        <v>19312</v>
      </c>
      <c r="R11">
        <v>18019</v>
      </c>
      <c r="S11">
        <v>0</v>
      </c>
      <c r="T11">
        <v>0</v>
      </c>
      <c r="U11">
        <v>1107</v>
      </c>
      <c r="W11">
        <v>9</v>
      </c>
      <c r="X11">
        <v>48888</v>
      </c>
      <c r="Y11">
        <v>878</v>
      </c>
      <c r="Z11">
        <v>20793</v>
      </c>
      <c r="AA11">
        <v>5181</v>
      </c>
      <c r="AB11">
        <v>19312</v>
      </c>
      <c r="AC11">
        <v>18019</v>
      </c>
      <c r="AD11">
        <v>1107</v>
      </c>
    </row>
    <row r="12" spans="1:30" x14ac:dyDescent="0.25">
      <c r="A12">
        <v>10</v>
      </c>
      <c r="B12">
        <v>512.36747000000003</v>
      </c>
      <c r="C12">
        <v>0</v>
      </c>
      <c r="D12">
        <v>0</v>
      </c>
      <c r="E12">
        <v>0</v>
      </c>
      <c r="F12">
        <v>373.50554</v>
      </c>
      <c r="G12">
        <v>110.45578999999999</v>
      </c>
      <c r="H12">
        <v>0</v>
      </c>
      <c r="I12">
        <v>1316.26376</v>
      </c>
      <c r="J12">
        <v>0</v>
      </c>
      <c r="L12">
        <v>10</v>
      </c>
      <c r="M12">
        <v>111027</v>
      </c>
      <c r="N12">
        <v>717</v>
      </c>
      <c r="O12">
        <v>0</v>
      </c>
      <c r="P12">
        <v>0</v>
      </c>
      <c r="Q12">
        <v>0</v>
      </c>
      <c r="R12">
        <v>0</v>
      </c>
      <c r="S12">
        <v>0</v>
      </c>
      <c r="T12">
        <v>0</v>
      </c>
      <c r="U12">
        <v>13609</v>
      </c>
      <c r="W12">
        <v>10</v>
      </c>
      <c r="X12">
        <v>111027</v>
      </c>
      <c r="Y12">
        <v>717</v>
      </c>
      <c r="Z12">
        <v>0</v>
      </c>
      <c r="AA12">
        <v>0</v>
      </c>
      <c r="AB12">
        <v>0</v>
      </c>
      <c r="AC12">
        <v>0</v>
      </c>
      <c r="AD12">
        <v>13609</v>
      </c>
    </row>
  </sheetData>
  <pageMargins left="0.7" right="0.7" top="0.75" bottom="0.75" header="0.3" footer="0.3"/>
  <pageSetup paperSize="0" orientation="portrait" horizontalDpi="0" verticalDpi="0" copies="0"/>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1:F48"/>
  <sheetViews>
    <sheetView zoomScale="115" zoomScaleNormal="115" workbookViewId="0">
      <pane ySplit="1" topLeftCell="A2" activePane="bottomLeft" state="frozen"/>
      <selection pane="bottomLeft" activeCell="D7" sqref="D7"/>
    </sheetView>
  </sheetViews>
  <sheetFormatPr defaultRowHeight="15" x14ac:dyDescent="0.25"/>
  <cols>
    <col min="2" max="2" width="17.28515625" bestFit="1" customWidth="1"/>
  </cols>
  <sheetData>
    <row r="1" spans="1:6" ht="23.25" x14ac:dyDescent="0.35">
      <c r="A1" s="173" t="s">
        <v>371</v>
      </c>
    </row>
    <row r="2" spans="1:6" ht="18.75" x14ac:dyDescent="0.3">
      <c r="B2" s="66" t="s">
        <v>372</v>
      </c>
    </row>
    <row r="3" spans="1:6" x14ac:dyDescent="0.25">
      <c r="B3" t="s">
        <v>219</v>
      </c>
    </row>
    <row r="5" spans="1:6" x14ac:dyDescent="0.25">
      <c r="A5" s="86"/>
      <c r="B5" s="86"/>
      <c r="C5" s="396" t="s">
        <v>10</v>
      </c>
      <c r="D5" s="396"/>
      <c r="E5" s="396" t="s">
        <v>11</v>
      </c>
      <c r="F5" s="396"/>
    </row>
    <row r="6" spans="1:6" ht="15.75" thickBot="1" x14ac:dyDescent="0.3">
      <c r="A6" s="54" t="s">
        <v>233</v>
      </c>
      <c r="B6" s="54" t="s">
        <v>234</v>
      </c>
      <c r="C6" s="54" t="s">
        <v>7</v>
      </c>
      <c r="D6" s="54" t="s">
        <v>3</v>
      </c>
      <c r="E6" s="54" t="s">
        <v>7</v>
      </c>
      <c r="F6" s="54" t="s">
        <v>3</v>
      </c>
    </row>
    <row r="7" spans="1:6" ht="15.75" thickTop="1" x14ac:dyDescent="0.25">
      <c r="A7">
        <v>1</v>
      </c>
      <c r="B7" t="s">
        <v>235</v>
      </c>
      <c r="C7">
        <f>INDEX(StopLocation_input!$B$3:$K$44,MATCH(A7,stopLocBins,0), MATCH($B$3,todPurpose,0))</f>
        <v>146530.88991999999</v>
      </c>
      <c r="D7">
        <f>INDEX(StopLocation_input!$M$3:$V$44,MATCH(A7,stopLocBins,0), MATCH($B$3,todPurpose,0))*Index!$B$2</f>
        <v>96610</v>
      </c>
      <c r="E7" s="2">
        <f>C7/SUM($C$7:$C$48)</f>
        <v>1.9232963458637432E-2</v>
      </c>
      <c r="F7" s="2">
        <f>D7/SUM($D$7:$D$48)</f>
        <v>1.4059582592953182E-2</v>
      </c>
    </row>
    <row r="8" spans="1:6" x14ac:dyDescent="0.25">
      <c r="A8">
        <v>2</v>
      </c>
      <c r="B8" t="s">
        <v>236</v>
      </c>
      <c r="C8">
        <f>INDEX(StopLocation_input!$B$3:$K$44,MATCH(A8,stopLocBins,0), MATCH($B$3,todPurpose,0))</f>
        <v>1325097.13225</v>
      </c>
      <c r="D8">
        <f>INDEX(StopLocation_input!$M$3:$V$44,MATCH(A8,stopLocBins,0), MATCH($B$3,todPurpose,0))*Index!$B$2</f>
        <v>783440</v>
      </c>
      <c r="E8" s="2">
        <f t="shared" ref="E8:E48" si="0">C8/SUM($C$7:$C$48)</f>
        <v>0.1739260898341885</v>
      </c>
      <c r="F8" s="2">
        <f t="shared" ref="F8:F48" si="1">D8/SUM($D$7:$D$48)</f>
        <v>0.11401344981495953</v>
      </c>
    </row>
    <row r="9" spans="1:6" x14ac:dyDescent="0.25">
      <c r="A9">
        <v>3</v>
      </c>
      <c r="B9" t="s">
        <v>237</v>
      </c>
      <c r="C9">
        <f>INDEX(StopLocation_input!$B$3:$K$44,MATCH(A9,stopLocBins,0), MATCH($B$3,todPurpose,0))</f>
        <v>1730978.7175100001</v>
      </c>
      <c r="D9">
        <f>INDEX(StopLocation_input!$M$3:$V$44,MATCH(A9,stopLocBins,0), MATCH($B$3,todPurpose,0))*Index!$B$2</f>
        <v>1299975</v>
      </c>
      <c r="E9" s="2">
        <f t="shared" si="0"/>
        <v>0.22720021996539391</v>
      </c>
      <c r="F9" s="2">
        <f t="shared" si="1"/>
        <v>0.18918441032268205</v>
      </c>
    </row>
    <row r="10" spans="1:6" x14ac:dyDescent="0.25">
      <c r="A10">
        <v>4</v>
      </c>
      <c r="B10" t="s">
        <v>238</v>
      </c>
      <c r="C10">
        <f>INDEX(StopLocation_input!$B$3:$K$44,MATCH(A10,stopLocBins,0), MATCH($B$3,todPurpose,0))</f>
        <v>979463.30083000008</v>
      </c>
      <c r="D10">
        <f>INDEX(StopLocation_input!$M$3:$V$44,MATCH(A10,stopLocBins,0), MATCH($B$3,todPurpose,0))*Index!$B$2</f>
        <v>899105</v>
      </c>
      <c r="E10" s="2">
        <f t="shared" si="0"/>
        <v>0.12855979980893162</v>
      </c>
      <c r="F10" s="2">
        <f t="shared" si="1"/>
        <v>0.13084609261191565</v>
      </c>
    </row>
    <row r="11" spans="1:6" x14ac:dyDescent="0.25">
      <c r="A11">
        <v>5</v>
      </c>
      <c r="B11" t="s">
        <v>239</v>
      </c>
      <c r="C11">
        <f>INDEX(StopLocation_input!$B$3:$K$44,MATCH(A11,stopLocBins,0), MATCH($B$3,todPurpose,0))</f>
        <v>660661.27560000005</v>
      </c>
      <c r="D11">
        <f>INDEX(StopLocation_input!$M$3:$V$44,MATCH(A11,stopLocBins,0), MATCH($B$3,todPurpose,0))*Index!$B$2</f>
        <v>572665</v>
      </c>
      <c r="E11" s="2">
        <f t="shared" si="0"/>
        <v>8.6715327935896813E-2</v>
      </c>
      <c r="F11" s="2">
        <f t="shared" si="1"/>
        <v>8.3339518327228385E-2</v>
      </c>
    </row>
    <row r="12" spans="1:6" x14ac:dyDescent="0.25">
      <c r="A12">
        <v>6</v>
      </c>
      <c r="B12" t="s">
        <v>240</v>
      </c>
      <c r="C12">
        <f>INDEX(StopLocation_input!$B$3:$K$44,MATCH(A12,stopLocBins,0), MATCH($B$3,todPurpose,0))</f>
        <v>460089.45739999996</v>
      </c>
      <c r="D12">
        <f>INDEX(StopLocation_input!$M$3:$V$44,MATCH(A12,stopLocBins,0), MATCH($B$3,todPurpose,0))*Index!$B$2</f>
        <v>454905</v>
      </c>
      <c r="E12" s="2">
        <f t="shared" si="0"/>
        <v>6.0389203441742964E-2</v>
      </c>
      <c r="F12" s="2">
        <f t="shared" si="1"/>
        <v>6.6201991713563474E-2</v>
      </c>
    </row>
    <row r="13" spans="1:6" x14ac:dyDescent="0.25">
      <c r="A13">
        <v>7</v>
      </c>
      <c r="B13" t="s">
        <v>241</v>
      </c>
      <c r="C13">
        <f>INDEX(StopLocation_input!$B$3:$K$44,MATCH(A13,stopLocBins,0), MATCH($B$3,todPurpose,0))</f>
        <v>531441.9453299999</v>
      </c>
      <c r="D13">
        <f>INDEX(StopLocation_input!$M$3:$V$44,MATCH(A13,stopLocBins,0), MATCH($B$3,todPurpose,0))*Index!$B$2</f>
        <v>390935</v>
      </c>
      <c r="E13" s="2">
        <f t="shared" si="0"/>
        <v>6.975459932372928E-2</v>
      </c>
      <c r="F13" s="2">
        <f t="shared" si="1"/>
        <v>5.6892484432006542E-2</v>
      </c>
    </row>
    <row r="14" spans="1:6" x14ac:dyDescent="0.25">
      <c r="A14">
        <v>8</v>
      </c>
      <c r="B14" t="s">
        <v>242</v>
      </c>
      <c r="C14">
        <f>INDEX(StopLocation_input!$B$3:$K$44,MATCH(A14,stopLocBins,0), MATCH($B$3,todPurpose,0))</f>
        <v>230283.47375000003</v>
      </c>
      <c r="D14">
        <f>INDEX(StopLocation_input!$M$3:$V$44,MATCH(A14,stopLocBins,0), MATCH($B$3,todPurpose,0))*Index!$B$2</f>
        <v>343155</v>
      </c>
      <c r="E14" s="2">
        <f t="shared" si="0"/>
        <v>3.0225938286322553E-2</v>
      </c>
      <c r="F14" s="2">
        <f t="shared" si="1"/>
        <v>4.9939096001292302E-2</v>
      </c>
    </row>
    <row r="15" spans="1:6" x14ac:dyDescent="0.25">
      <c r="A15">
        <v>9</v>
      </c>
      <c r="B15" t="s">
        <v>243</v>
      </c>
      <c r="C15">
        <f>INDEX(StopLocation_input!$B$3:$K$44,MATCH(A15,stopLocBins,0), MATCH($B$3,todPurpose,0))</f>
        <v>206155.56152999998</v>
      </c>
      <c r="D15">
        <f>INDEX(StopLocation_input!$M$3:$V$44,MATCH(A15,stopLocBins,0), MATCH($B$3,todPurpose,0))*Index!$B$2</f>
        <v>280795</v>
      </c>
      <c r="E15" s="2">
        <f t="shared" si="0"/>
        <v>2.7059020687488437E-2</v>
      </c>
      <c r="F15" s="2">
        <f t="shared" si="1"/>
        <v>4.0863890841406569E-2</v>
      </c>
    </row>
    <row r="16" spans="1:6" x14ac:dyDescent="0.25">
      <c r="A16">
        <v>10</v>
      </c>
      <c r="B16" t="s">
        <v>244</v>
      </c>
      <c r="C16">
        <f>INDEX(StopLocation_input!$B$3:$K$44,MATCH(A16,stopLocBins,0), MATCH($B$3,todPurpose,0))</f>
        <v>148339.22422999999</v>
      </c>
      <c r="D16">
        <f>INDEX(StopLocation_input!$M$3:$V$44,MATCH(A16,stopLocBins,0), MATCH($B$3,todPurpose,0))*Index!$B$2</f>
        <v>197480</v>
      </c>
      <c r="E16" s="2">
        <f t="shared" si="0"/>
        <v>1.9470317014083787E-2</v>
      </c>
      <c r="F16" s="2">
        <f t="shared" si="1"/>
        <v>2.8739119868092272E-2</v>
      </c>
    </row>
    <row r="17" spans="1:6" x14ac:dyDescent="0.25">
      <c r="A17">
        <v>11</v>
      </c>
      <c r="B17" t="s">
        <v>245</v>
      </c>
      <c r="C17">
        <f>INDEX(StopLocation_input!$B$3:$K$44,MATCH(A17,stopLocBins,0), MATCH($B$3,todPurpose,0))</f>
        <v>110439.52626000003</v>
      </c>
      <c r="D17">
        <f>INDEX(StopLocation_input!$M$3:$V$44,MATCH(A17,stopLocBins,0), MATCH($B$3,todPurpose,0))*Index!$B$2</f>
        <v>188150</v>
      </c>
      <c r="E17" s="2">
        <f t="shared" si="0"/>
        <v>1.4495778836172169E-2</v>
      </c>
      <c r="F17" s="2">
        <f t="shared" si="1"/>
        <v>2.7381331796544263E-2</v>
      </c>
    </row>
    <row r="18" spans="1:6" x14ac:dyDescent="0.25">
      <c r="A18">
        <v>12</v>
      </c>
      <c r="B18" t="s">
        <v>246</v>
      </c>
      <c r="C18">
        <f>INDEX(StopLocation_input!$B$3:$K$44,MATCH(A18,stopLocBins,0), MATCH($B$3,todPurpose,0))</f>
        <v>103766.34570999999</v>
      </c>
      <c r="D18">
        <f>INDEX(StopLocation_input!$M$3:$V$44,MATCH(A18,stopLocBins,0), MATCH($B$3,todPurpose,0))*Index!$B$2</f>
        <v>172810</v>
      </c>
      <c r="E18" s="2">
        <f t="shared" si="0"/>
        <v>1.3619888177614701E-2</v>
      </c>
      <c r="F18" s="2">
        <f t="shared" si="1"/>
        <v>2.5148912823602518E-2</v>
      </c>
    </row>
    <row r="19" spans="1:6" x14ac:dyDescent="0.25">
      <c r="A19">
        <v>13</v>
      </c>
      <c r="B19" t="s">
        <v>247</v>
      </c>
      <c r="C19">
        <f>INDEX(StopLocation_input!$B$3:$K$44,MATCH(A19,stopLocBins,0), MATCH($B$3,todPurpose,0))</f>
        <v>94212.873240000001</v>
      </c>
      <c r="D19">
        <f>INDEX(StopLocation_input!$M$3:$V$44,MATCH(A19,stopLocBins,0), MATCH($B$3,todPurpose,0))*Index!$B$2</f>
        <v>138930</v>
      </c>
      <c r="E19" s="2">
        <f t="shared" si="0"/>
        <v>1.2365943790742254E-2</v>
      </c>
      <c r="F19" s="2">
        <f t="shared" si="1"/>
        <v>2.0218381219739009E-2</v>
      </c>
    </row>
    <row r="20" spans="1:6" x14ac:dyDescent="0.25">
      <c r="A20">
        <v>14</v>
      </c>
      <c r="B20" t="s">
        <v>248</v>
      </c>
      <c r="C20">
        <f>INDEX(StopLocation_input!$B$3:$K$44,MATCH(A20,stopLocBins,0), MATCH($B$3,todPurpose,0))</f>
        <v>68348.488119999995</v>
      </c>
      <c r="D20">
        <f>INDEX(StopLocation_input!$M$3:$V$44,MATCH(A20,stopLocBins,0), MATCH($B$3,todPurpose,0))*Index!$B$2</f>
        <v>123435</v>
      </c>
      <c r="E20" s="2">
        <f t="shared" si="0"/>
        <v>8.9711048310889465E-3</v>
      </c>
      <c r="F20" s="2">
        <f t="shared" si="1"/>
        <v>1.7963405210238856E-2</v>
      </c>
    </row>
    <row r="21" spans="1:6" x14ac:dyDescent="0.25">
      <c r="A21">
        <v>15</v>
      </c>
      <c r="B21" t="s">
        <v>249</v>
      </c>
      <c r="C21">
        <f>INDEX(StopLocation_input!$B$3:$K$44,MATCH(A21,stopLocBins,0), MATCH($B$3,todPurpose,0))</f>
        <v>68010.202669999999</v>
      </c>
      <c r="D21">
        <f>INDEX(StopLocation_input!$M$3:$V$44,MATCH(A21,stopLocBins,0), MATCH($B$3,todPurpose,0))*Index!$B$2</f>
        <v>108300</v>
      </c>
      <c r="E21" s="2">
        <f t="shared" si="0"/>
        <v>8.926703055449757E-3</v>
      </c>
      <c r="F21" s="2">
        <f t="shared" si="1"/>
        <v>1.5760819737261459E-2</v>
      </c>
    </row>
    <row r="22" spans="1:6" x14ac:dyDescent="0.25">
      <c r="A22">
        <v>16</v>
      </c>
      <c r="B22" t="s">
        <v>250</v>
      </c>
      <c r="C22">
        <f>INDEX(StopLocation_input!$B$3:$K$44,MATCH(A22,stopLocBins,0), MATCH($B$3,todPurpose,0))</f>
        <v>67604.472999999998</v>
      </c>
      <c r="D22">
        <f>INDEX(StopLocation_input!$M$3:$V$44,MATCH(A22,stopLocBins,0), MATCH($B$3,todPurpose,0))*Index!$B$2</f>
        <v>99985</v>
      </c>
      <c r="E22" s="2">
        <f t="shared" si="0"/>
        <v>8.8734488650093982E-3</v>
      </c>
      <c r="F22" s="2">
        <f t="shared" si="1"/>
        <v>1.4550743872853988E-2</v>
      </c>
    </row>
    <row r="23" spans="1:6" x14ac:dyDescent="0.25">
      <c r="A23">
        <v>17</v>
      </c>
      <c r="B23" t="s">
        <v>251</v>
      </c>
      <c r="C23">
        <f>INDEX(StopLocation_input!$B$3:$K$44,MATCH(A23,stopLocBins,0), MATCH($B$3,todPurpose,0))</f>
        <v>190988.81899999999</v>
      </c>
      <c r="D23">
        <f>INDEX(StopLocation_input!$M$3:$V$44,MATCH(A23,stopLocBins,0), MATCH($B$3,todPurpose,0))*Index!$B$2</f>
        <v>87125</v>
      </c>
      <c r="E23" s="2">
        <f t="shared" si="0"/>
        <v>2.5068304565957274E-2</v>
      </c>
      <c r="F23" s="2">
        <f t="shared" si="1"/>
        <v>1.2679237484846765E-2</v>
      </c>
    </row>
    <row r="24" spans="1:6" x14ac:dyDescent="0.25">
      <c r="A24">
        <v>18</v>
      </c>
      <c r="B24" t="s">
        <v>252</v>
      </c>
      <c r="C24">
        <f>INDEX(StopLocation_input!$B$3:$K$44,MATCH(A24,stopLocBins,0), MATCH($B$3,todPurpose,0))</f>
        <v>53645.885679999999</v>
      </c>
      <c r="D24">
        <f>INDEX(StopLocation_input!$M$3:$V$44,MATCH(A24,stopLocBins,0), MATCH($B$3,todPurpose,0))*Index!$B$2</f>
        <v>79080</v>
      </c>
      <c r="E24" s="2">
        <f t="shared" si="0"/>
        <v>7.0413095802051425E-3</v>
      </c>
      <c r="F24" s="2">
        <f t="shared" si="1"/>
        <v>1.1508454522831359E-2</v>
      </c>
    </row>
    <row r="25" spans="1:6" x14ac:dyDescent="0.25">
      <c r="A25">
        <v>19</v>
      </c>
      <c r="B25" t="s">
        <v>253</v>
      </c>
      <c r="C25">
        <f>INDEX(StopLocation_input!$B$3:$K$44,MATCH(A25,stopLocBins,0), MATCH($B$3,todPurpose,0))</f>
        <v>31920.816630000001</v>
      </c>
      <c r="D25">
        <f>INDEX(StopLocation_input!$M$3:$V$44,MATCH(A25,stopLocBins,0), MATCH($B$3,todPurpose,0))*Index!$B$2</f>
        <v>72835</v>
      </c>
      <c r="E25" s="2">
        <f t="shared" si="0"/>
        <v>4.1897780061926765E-3</v>
      </c>
      <c r="F25" s="2">
        <f t="shared" si="1"/>
        <v>1.0599624243429718E-2</v>
      </c>
    </row>
    <row r="26" spans="1:6" x14ac:dyDescent="0.25">
      <c r="A26">
        <v>20</v>
      </c>
      <c r="B26" t="s">
        <v>254</v>
      </c>
      <c r="C26">
        <f>INDEX(StopLocation_input!$B$3:$K$44,MATCH(A26,stopLocBins,0), MATCH($B$3,todPurpose,0))</f>
        <v>40981.244269999996</v>
      </c>
      <c r="D26">
        <f>INDEX(StopLocation_input!$M$3:$V$44,MATCH(A26,stopLocBins,0), MATCH($B$3,todPurpose,0))*Index!$B$2</f>
        <v>64325</v>
      </c>
      <c r="E26" s="2">
        <f t="shared" si="0"/>
        <v>5.3790076206097241E-3</v>
      </c>
      <c r="F26" s="2">
        <f t="shared" si="1"/>
        <v>9.3611701717390885E-3</v>
      </c>
    </row>
    <row r="27" spans="1:6" x14ac:dyDescent="0.25">
      <c r="A27">
        <v>21</v>
      </c>
      <c r="B27" t="s">
        <v>255</v>
      </c>
      <c r="C27">
        <f>INDEX(StopLocation_input!$B$3:$K$44,MATCH(A27,stopLocBins,0), MATCH($B$3,todPurpose,0))</f>
        <v>22432.69989</v>
      </c>
      <c r="D27">
        <f>INDEX(StopLocation_input!$M$3:$V$44,MATCH(A27,stopLocBins,0), MATCH($B$3,todPurpose,0))*Index!$B$2</f>
        <v>57005</v>
      </c>
      <c r="E27" s="2">
        <f t="shared" si="0"/>
        <v>2.9444119086323912E-3</v>
      </c>
      <c r="F27" s="2">
        <f t="shared" si="1"/>
        <v>8.2958959291097832E-3</v>
      </c>
    </row>
    <row r="28" spans="1:6" x14ac:dyDescent="0.25">
      <c r="A28">
        <v>22</v>
      </c>
      <c r="B28" t="s">
        <v>256</v>
      </c>
      <c r="C28">
        <f>INDEX(StopLocation_input!$B$3:$K$44,MATCH(A28,stopLocBins,0), MATCH($B$3,todPurpose,0))</f>
        <v>23349.098420000002</v>
      </c>
      <c r="D28">
        <f>INDEX(StopLocation_input!$M$3:$V$44,MATCH(A28,stopLocBins,0), MATCH($B$3,todPurpose,0))*Index!$B$2</f>
        <v>49500</v>
      </c>
      <c r="E28" s="2">
        <f t="shared" si="0"/>
        <v>3.0646941197802363E-3</v>
      </c>
      <c r="F28" s="2">
        <f t="shared" si="1"/>
        <v>7.2036987718785061E-3</v>
      </c>
    </row>
    <row r="29" spans="1:6" x14ac:dyDescent="0.25">
      <c r="A29">
        <v>23</v>
      </c>
      <c r="B29" t="s">
        <v>257</v>
      </c>
      <c r="C29">
        <f>INDEX(StopLocation_input!$B$3:$K$44,MATCH(A29,stopLocBins,0), MATCH($B$3,todPurpose,0))</f>
        <v>24104.387170000005</v>
      </c>
      <c r="D29">
        <f>INDEX(StopLocation_input!$M$3:$V$44,MATCH(A29,stopLocBins,0), MATCH($B$3,todPurpose,0))*Index!$B$2</f>
        <v>43585</v>
      </c>
      <c r="E29" s="2">
        <f t="shared" si="0"/>
        <v>3.1638298101278541E-3</v>
      </c>
      <c r="F29" s="2">
        <f t="shared" si="1"/>
        <v>6.3428931509560546E-3</v>
      </c>
    </row>
    <row r="30" spans="1:6" x14ac:dyDescent="0.25">
      <c r="A30">
        <v>24</v>
      </c>
      <c r="B30" t="s">
        <v>258</v>
      </c>
      <c r="C30">
        <f>INDEX(StopLocation_input!$B$3:$K$44,MATCH(A30,stopLocBins,0), MATCH($B$3,todPurpose,0))</f>
        <v>20864.791529999999</v>
      </c>
      <c r="D30">
        <f>INDEX(StopLocation_input!$M$3:$V$44,MATCH(A30,stopLocBins,0), MATCH($B$3,todPurpose,0))*Index!$B$2</f>
        <v>38355</v>
      </c>
      <c r="E30" s="2">
        <f t="shared" si="0"/>
        <v>2.7386155457573965E-3</v>
      </c>
      <c r="F30" s="2">
        <f t="shared" si="1"/>
        <v>5.5817750786949514E-3</v>
      </c>
    </row>
    <row r="31" spans="1:6" x14ac:dyDescent="0.25">
      <c r="A31">
        <v>25</v>
      </c>
      <c r="B31" t="s">
        <v>259</v>
      </c>
      <c r="C31">
        <f>INDEX(StopLocation_input!$B$3:$K$44,MATCH(A31,stopLocBins,0), MATCH($B$3,todPurpose,0))</f>
        <v>24967.210439999999</v>
      </c>
      <c r="D31">
        <f>INDEX(StopLocation_input!$M$3:$V$44,MATCH(A31,stopLocBins,0), MATCH($B$3,todPurpose,0))*Index!$B$2</f>
        <v>34065</v>
      </c>
      <c r="E31" s="2">
        <f t="shared" si="0"/>
        <v>3.2770799816939449E-3</v>
      </c>
      <c r="F31" s="2">
        <f t="shared" si="1"/>
        <v>4.9574545184654815E-3</v>
      </c>
    </row>
    <row r="32" spans="1:6" x14ac:dyDescent="0.25">
      <c r="A32">
        <v>26</v>
      </c>
      <c r="B32" t="s">
        <v>260</v>
      </c>
      <c r="C32">
        <f>INDEX(StopLocation_input!$B$3:$K$44,MATCH(A32,stopLocBins,0), MATCH($B$3,todPurpose,0))</f>
        <v>14471.849280000002</v>
      </c>
      <c r="D32">
        <f>INDEX(StopLocation_input!$M$3:$V$44,MATCH(A32,stopLocBins,0), MATCH($B$3,todPurpose,0))*Index!$B$2</f>
        <v>29980</v>
      </c>
      <c r="E32" s="2">
        <f t="shared" si="0"/>
        <v>1.8995076637636551E-3</v>
      </c>
      <c r="F32" s="2">
        <f t="shared" si="1"/>
        <v>4.3629674582003558E-3</v>
      </c>
    </row>
    <row r="33" spans="1:6" x14ac:dyDescent="0.25">
      <c r="A33">
        <v>27</v>
      </c>
      <c r="B33" t="s">
        <v>261</v>
      </c>
      <c r="C33">
        <f>INDEX(StopLocation_input!$B$3:$K$44,MATCH(A33,stopLocBins,0), MATCH($B$3,todPurpose,0))</f>
        <v>10844.59203</v>
      </c>
      <c r="D33">
        <f>INDEX(StopLocation_input!$M$3:$V$44,MATCH(A33,stopLocBins,0), MATCH($B$3,todPurpose,0))*Index!$B$2</f>
        <v>24810</v>
      </c>
      <c r="E33" s="2">
        <f t="shared" si="0"/>
        <v>1.4234107385186401E-3</v>
      </c>
      <c r="F33" s="2">
        <f t="shared" si="1"/>
        <v>3.6105811420263788E-3</v>
      </c>
    </row>
    <row r="34" spans="1:6" x14ac:dyDescent="0.25">
      <c r="A34">
        <v>28</v>
      </c>
      <c r="B34" t="s">
        <v>262</v>
      </c>
      <c r="C34">
        <f>INDEX(StopLocation_input!$B$3:$K$44,MATCH(A34,stopLocBins,0), MATCH($B$3,todPurpose,0))</f>
        <v>10277.086569999999</v>
      </c>
      <c r="D34">
        <f>INDEX(StopLocation_input!$M$3:$V$44,MATCH(A34,stopLocBins,0), MATCH($B$3,todPurpose,0))*Index!$B$2</f>
        <v>21450</v>
      </c>
      <c r="E34" s="2">
        <f t="shared" si="0"/>
        <v>1.3489226099014161E-3</v>
      </c>
      <c r="F34" s="2">
        <f t="shared" si="1"/>
        <v>3.1216028011473527E-3</v>
      </c>
    </row>
    <row r="35" spans="1:6" x14ac:dyDescent="0.25">
      <c r="A35">
        <v>29</v>
      </c>
      <c r="B35" t="s">
        <v>263</v>
      </c>
      <c r="C35">
        <f>INDEX(StopLocation_input!$B$3:$K$44,MATCH(A35,stopLocBins,0), MATCH($B$3,todPurpose,0))</f>
        <v>9960.7945200000013</v>
      </c>
      <c r="D35">
        <f>INDEX(StopLocation_input!$M$3:$V$44,MATCH(A35,stopLocBins,0), MATCH($B$3,todPurpose,0))*Index!$B$2</f>
        <v>18470</v>
      </c>
      <c r="E35" s="2">
        <f t="shared" si="0"/>
        <v>1.3074075857093929E-3</v>
      </c>
      <c r="F35" s="2">
        <f t="shared" si="1"/>
        <v>2.6879255821534546E-3</v>
      </c>
    </row>
    <row r="36" spans="1:6" x14ac:dyDescent="0.25">
      <c r="A36">
        <v>30</v>
      </c>
      <c r="B36" t="s">
        <v>264</v>
      </c>
      <c r="C36">
        <f>INDEX(StopLocation_input!$B$3:$K$44,MATCH(A36,stopLocBins,0), MATCH($B$3,todPurpose,0))</f>
        <v>11597.429830000001</v>
      </c>
      <c r="D36">
        <f>INDEX(StopLocation_input!$M$3:$V$44,MATCH(A36,stopLocBins,0), MATCH($B$3,todPurpose,0))*Index!$B$2</f>
        <v>16205</v>
      </c>
      <c r="E36" s="2">
        <f t="shared" si="0"/>
        <v>1.522224728562556E-3</v>
      </c>
      <c r="F36" s="2">
        <f t="shared" si="1"/>
        <v>2.3583017898644687E-3</v>
      </c>
    </row>
    <row r="37" spans="1:6" x14ac:dyDescent="0.25">
      <c r="A37">
        <v>31</v>
      </c>
      <c r="B37" t="s">
        <v>265</v>
      </c>
      <c r="C37">
        <f>INDEX(StopLocation_input!$B$3:$K$44,MATCH(A37,stopLocBins,0), MATCH($B$3,todPurpose,0))</f>
        <v>8262.9954799999996</v>
      </c>
      <c r="D37">
        <f>INDEX(StopLocation_input!$M$3:$V$44,MATCH(A37,stopLocBins,0), MATCH($B$3,todPurpose,0))*Index!$B$2</f>
        <v>13925</v>
      </c>
      <c r="E37" s="2">
        <f t="shared" si="0"/>
        <v>1.0845623759774561E-3</v>
      </c>
      <c r="F37" s="2">
        <f t="shared" si="1"/>
        <v>2.0264950585537011E-3</v>
      </c>
    </row>
    <row r="38" spans="1:6" x14ac:dyDescent="0.25">
      <c r="A38">
        <v>32</v>
      </c>
      <c r="B38" t="s">
        <v>266</v>
      </c>
      <c r="C38">
        <f>INDEX(StopLocation_input!$B$3:$K$44,MATCH(A38,stopLocBins,0), MATCH($B$3,todPurpose,0))</f>
        <v>12146.701240000002</v>
      </c>
      <c r="D38">
        <f>INDEX(StopLocation_input!$M$3:$V$44,MATCH(A38,stopLocBins,0), MATCH($B$3,todPurpose,0))*Index!$B$2</f>
        <v>11920</v>
      </c>
      <c r="E38" s="2">
        <f t="shared" si="0"/>
        <v>1.594319540538187E-3</v>
      </c>
      <c r="F38" s="2">
        <f t="shared" si="1"/>
        <v>1.7347088759755919E-3</v>
      </c>
    </row>
    <row r="39" spans="1:6" x14ac:dyDescent="0.25">
      <c r="A39">
        <v>33</v>
      </c>
      <c r="B39" t="s">
        <v>267</v>
      </c>
      <c r="C39">
        <f>INDEX(StopLocation_input!$B$3:$K$44,MATCH(A39,stopLocBins,0), MATCH($B$3,todPurpose,0))</f>
        <v>13303.010770000001</v>
      </c>
      <c r="D39">
        <f>INDEX(StopLocation_input!$M$3:$V$44,MATCH(A39,stopLocBins,0), MATCH($B$3,todPurpose,0))*Index!$B$2</f>
        <v>9715</v>
      </c>
      <c r="E39" s="2">
        <f t="shared" si="0"/>
        <v>1.7460913543141487E-3</v>
      </c>
      <c r="F39" s="2">
        <f t="shared" si="1"/>
        <v>1.4138168397737311E-3</v>
      </c>
    </row>
    <row r="40" spans="1:6" x14ac:dyDescent="0.25">
      <c r="A40">
        <v>34</v>
      </c>
      <c r="B40" t="s">
        <v>268</v>
      </c>
      <c r="C40">
        <f>INDEX(StopLocation_input!$B$3:$K$44,MATCH(A40,stopLocBins,0), MATCH($B$3,todPurpose,0))</f>
        <v>8174.0427199999995</v>
      </c>
      <c r="D40">
        <f>INDEX(StopLocation_input!$M$3:$V$44,MATCH(A40,stopLocBins,0), MATCH($B$3,todPurpose,0))*Index!$B$2</f>
        <v>8195</v>
      </c>
      <c r="E40" s="2">
        <f t="shared" si="0"/>
        <v>1.072886850198837E-3</v>
      </c>
      <c r="F40" s="2">
        <f t="shared" si="1"/>
        <v>1.1926123522332194E-3</v>
      </c>
    </row>
    <row r="41" spans="1:6" x14ac:dyDescent="0.25">
      <c r="A41">
        <v>35</v>
      </c>
      <c r="B41" t="s">
        <v>269</v>
      </c>
      <c r="C41">
        <f>INDEX(StopLocation_input!$B$3:$K$44,MATCH(A41,stopLocBins,0), MATCH($B$3,todPurpose,0))</f>
        <v>5684.1316200000001</v>
      </c>
      <c r="D41">
        <f>INDEX(StopLocation_input!$M$3:$V$44,MATCH(A41,stopLocBins,0), MATCH($B$3,todPurpose,0))*Index!$B$2</f>
        <v>7005</v>
      </c>
      <c r="E41" s="2">
        <f t="shared" si="0"/>
        <v>7.4607269362269907E-4</v>
      </c>
      <c r="F41" s="2">
        <f t="shared" si="1"/>
        <v>1.0194325231718978E-3</v>
      </c>
    </row>
    <row r="42" spans="1:6" x14ac:dyDescent="0.25">
      <c r="A42">
        <v>36</v>
      </c>
      <c r="B42" t="s">
        <v>270</v>
      </c>
      <c r="C42">
        <f>INDEX(StopLocation_input!$B$3:$K$44,MATCH(A42,stopLocBins,0), MATCH($B$3,todPurpose,0))</f>
        <v>8470.3916999999983</v>
      </c>
      <c r="D42">
        <f>INDEX(StopLocation_input!$M$3:$V$44,MATCH(A42,stopLocBins,0), MATCH($B$3,todPurpose,0))*Index!$B$2</f>
        <v>5725</v>
      </c>
      <c r="E42" s="2">
        <f t="shared" si="0"/>
        <v>1.1117842397284868E-3</v>
      </c>
      <c r="F42" s="2">
        <f t="shared" si="1"/>
        <v>8.3315505997988784E-4</v>
      </c>
    </row>
    <row r="43" spans="1:6" x14ac:dyDescent="0.25">
      <c r="A43">
        <v>37</v>
      </c>
      <c r="B43" t="s">
        <v>271</v>
      </c>
      <c r="C43">
        <f>INDEX(StopLocation_input!$B$3:$K$44,MATCH(A43,stopLocBins,0), MATCH($B$3,todPurpose,0))</f>
        <v>2624.2267600000005</v>
      </c>
      <c r="D43">
        <f>INDEX(StopLocation_input!$M$3:$V$44,MATCH(A43,stopLocBins,0), MATCH($B$3,todPurpose,0))*Index!$B$2</f>
        <v>4925</v>
      </c>
      <c r="E43" s="2">
        <f t="shared" si="0"/>
        <v>3.4444380573825779E-4</v>
      </c>
      <c r="F43" s="2">
        <f t="shared" si="1"/>
        <v>7.1673164548488166E-4</v>
      </c>
    </row>
    <row r="44" spans="1:6" x14ac:dyDescent="0.25">
      <c r="A44">
        <v>38</v>
      </c>
      <c r="B44" t="s">
        <v>272</v>
      </c>
      <c r="C44">
        <f>INDEX(StopLocation_input!$B$3:$K$44,MATCH(A44,stopLocBins,0), MATCH($B$3,todPurpose,0))</f>
        <v>8650.9231099999997</v>
      </c>
      <c r="D44">
        <f>INDEX(StopLocation_input!$M$3:$V$44,MATCH(A44,stopLocBins,0), MATCH($B$3,todPurpose,0))*Index!$B$2</f>
        <v>4105</v>
      </c>
      <c r="E44" s="2">
        <f t="shared" si="0"/>
        <v>1.1354799534006141E-3</v>
      </c>
      <c r="F44" s="2">
        <f t="shared" si="1"/>
        <v>5.9739764562750041E-4</v>
      </c>
    </row>
    <row r="45" spans="1:6" x14ac:dyDescent="0.25">
      <c r="A45">
        <v>39</v>
      </c>
      <c r="B45" t="s">
        <v>273</v>
      </c>
      <c r="C45">
        <f>INDEX(StopLocation_input!$B$3:$K$44,MATCH(A45,stopLocBins,0), MATCH($B$3,todPurpose,0))</f>
        <v>7977.2353899999989</v>
      </c>
      <c r="D45">
        <f>INDEX(StopLocation_input!$M$3:$V$44,MATCH(A45,stopLocBins,0), MATCH($B$3,todPurpose,0))*Index!$B$2</f>
        <v>3375</v>
      </c>
      <c r="E45" s="2">
        <f t="shared" si="0"/>
        <v>1.047054834926504E-3</v>
      </c>
      <c r="F45" s="2">
        <f t="shared" si="1"/>
        <v>4.9116127990080723E-4</v>
      </c>
    </row>
    <row r="46" spans="1:6" x14ac:dyDescent="0.25">
      <c r="A46">
        <v>40</v>
      </c>
      <c r="B46" t="s">
        <v>274</v>
      </c>
      <c r="C46">
        <f>INDEX(StopLocation_input!$B$3:$K$44,MATCH(A46,stopLocBins,0), MATCH($B$3,todPurpose,0))</f>
        <v>2826.3190399999999</v>
      </c>
      <c r="D46">
        <f>INDEX(StopLocation_input!$M$3:$V$44,MATCH(A46,stopLocBins,0), MATCH($B$3,todPurpose,0))*Index!$B$2</f>
        <v>2895</v>
      </c>
      <c r="E46" s="2">
        <f t="shared" si="0"/>
        <v>3.7096949898037738E-4</v>
      </c>
      <c r="F46" s="2">
        <f t="shared" si="1"/>
        <v>4.2130723120380355E-4</v>
      </c>
    </row>
    <row r="47" spans="1:6" x14ac:dyDescent="0.25">
      <c r="A47">
        <v>41</v>
      </c>
      <c r="B47" t="s">
        <v>275</v>
      </c>
      <c r="C47">
        <f>INDEX(StopLocation_input!$B$3:$K$44,MATCH(A47,stopLocBins,0), MATCH($B$3,todPurpose,0))</f>
        <v>3326.9869399999998</v>
      </c>
      <c r="D47">
        <f>INDEX(StopLocation_input!$M$3:$V$44,MATCH(A47,stopLocBins,0), MATCH($B$3,todPurpose,0))*Index!$B$2</f>
        <v>2345</v>
      </c>
      <c r="E47" s="2">
        <f t="shared" si="0"/>
        <v>4.3668484016795881E-4</v>
      </c>
      <c r="F47" s="2">
        <f t="shared" si="1"/>
        <v>3.4126613373848682E-4</v>
      </c>
    </row>
    <row r="48" spans="1:6" x14ac:dyDescent="0.25">
      <c r="A48">
        <v>42</v>
      </c>
      <c r="B48" t="s">
        <v>276</v>
      </c>
      <c r="C48">
        <f>INDEX(StopLocation_input!$B$3:$K$44,MATCH(A48,stopLocBins,0), MATCH($B$3,todPurpose,0))</f>
        <v>115460.42172</v>
      </c>
      <c r="D48">
        <f>INDEX(StopLocation_input!$M$3:$V$44,MATCH(A48,stopLocBins,0), MATCH($B$3,todPurpose,0))*Index!$B$2</f>
        <v>9875</v>
      </c>
      <c r="E48" s="2">
        <f t="shared" si="0"/>
        <v>1.5154798234502035E-2</v>
      </c>
      <c r="F48" s="2">
        <f t="shared" si="1"/>
        <v>1.4371015226727322E-3</v>
      </c>
    </row>
  </sheetData>
  <mergeCells count="2">
    <mergeCell ref="C5:D5"/>
    <mergeCell ref="E5:F5"/>
  </mergeCells>
  <hyperlinks>
    <hyperlink ref="A1" location="Index!A1" display="Index"/>
  </hyperlinks>
  <pageMargins left="0.7" right="0.7" top="0.75" bottom="0.75" header="0.3" footer="0.3"/>
  <pageSetup orientation="portrait" r:id="rId1"/>
  <drawing r:id="rId2"/>
  <legacyDrawing r:id="rId3"/>
  <controls>
    <mc:AlternateContent xmlns:mc="http://schemas.openxmlformats.org/markup-compatibility/2006">
      <mc:Choice Requires="x14">
        <control shapeId="11265" r:id="rId4" name="ComboBox1">
          <controlPr defaultSize="0" autoLine="0" linkedCell="B3" listFillRange="todPurpose" r:id="rId5">
            <anchor moveWithCells="1">
              <from>
                <xdr:col>0</xdr:col>
                <xdr:colOff>600075</xdr:colOff>
                <xdr:row>1</xdr:row>
                <xdr:rowOff>219075</xdr:rowOff>
              </from>
              <to>
                <xdr:col>2</xdr:col>
                <xdr:colOff>28575</xdr:colOff>
                <xdr:row>3</xdr:row>
                <xdr:rowOff>57150</xdr:rowOff>
              </to>
            </anchor>
          </controlPr>
        </control>
      </mc:Choice>
      <mc:Fallback>
        <control shapeId="11265" r:id="rId4" name="ComboBox1"/>
      </mc:Fallback>
    </mc:AlternateContent>
  </control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E44"/>
  <sheetViews>
    <sheetView topLeftCell="C1" workbookViewId="0">
      <selection activeCell="Z8" sqref="Z8"/>
    </sheetView>
  </sheetViews>
  <sheetFormatPr defaultRowHeight="15" x14ac:dyDescent="0.25"/>
  <sheetData>
    <row r="1" spans="1:31" x14ac:dyDescent="0.25">
      <c r="A1" t="s">
        <v>7</v>
      </c>
      <c r="L1" t="s">
        <v>3</v>
      </c>
    </row>
    <row r="2" spans="1:31" x14ac:dyDescent="0.25">
      <c r="B2" t="s">
        <v>55</v>
      </c>
      <c r="C2" t="s">
        <v>56</v>
      </c>
      <c r="D2" t="s">
        <v>115</v>
      </c>
      <c r="E2" t="s">
        <v>180</v>
      </c>
      <c r="F2" t="s">
        <v>117</v>
      </c>
      <c r="G2" t="s">
        <v>118</v>
      </c>
      <c r="H2" t="s">
        <v>119</v>
      </c>
      <c r="I2" t="s">
        <v>120</v>
      </c>
      <c r="J2" t="s">
        <v>121</v>
      </c>
      <c r="K2" t="s">
        <v>219</v>
      </c>
      <c r="M2" t="s">
        <v>55</v>
      </c>
      <c r="N2" t="s">
        <v>56</v>
      </c>
      <c r="O2" t="s">
        <v>115</v>
      </c>
      <c r="P2" t="s">
        <v>180</v>
      </c>
      <c r="Q2" t="s">
        <v>117</v>
      </c>
      <c r="R2" t="s">
        <v>118</v>
      </c>
      <c r="S2" t="s">
        <v>119</v>
      </c>
      <c r="T2" t="s">
        <v>120</v>
      </c>
      <c r="U2" t="s">
        <v>121</v>
      </c>
      <c r="V2" t="s">
        <v>219</v>
      </c>
      <c r="X2" s="157"/>
      <c r="Y2" t="s">
        <v>55</v>
      </c>
      <c r="Z2" t="s">
        <v>56</v>
      </c>
      <c r="AA2" t="s">
        <v>115</v>
      </c>
      <c r="AB2" t="s">
        <v>180</v>
      </c>
      <c r="AC2" t="s">
        <v>117</v>
      </c>
      <c r="AD2" t="s">
        <v>118</v>
      </c>
      <c r="AE2" t="s">
        <v>121</v>
      </c>
    </row>
    <row r="3" spans="1:31" x14ac:dyDescent="0.25">
      <c r="A3">
        <v>1</v>
      </c>
      <c r="B3">
        <v>82220.885999999999</v>
      </c>
      <c r="C3">
        <v>1781.95127</v>
      </c>
      <c r="D3">
        <v>13253.94939</v>
      </c>
      <c r="E3">
        <v>3888.6181700000002</v>
      </c>
      <c r="F3">
        <v>13505.199699999999</v>
      </c>
      <c r="G3">
        <v>13976.06385</v>
      </c>
      <c r="H3">
        <v>11471.412630000001</v>
      </c>
      <c r="I3">
        <v>4123.9929899999997</v>
      </c>
      <c r="J3">
        <v>2307.81592</v>
      </c>
      <c r="K3">
        <f>SUM(A3:J3)</f>
        <v>146530.88991999999</v>
      </c>
      <c r="L3">
        <v>1</v>
      </c>
      <c r="M3">
        <v>9819</v>
      </c>
      <c r="N3">
        <v>154</v>
      </c>
      <c r="O3">
        <v>1086</v>
      </c>
      <c r="P3">
        <v>836</v>
      </c>
      <c r="Q3">
        <v>4078</v>
      </c>
      <c r="R3">
        <v>2848</v>
      </c>
      <c r="U3">
        <v>500</v>
      </c>
      <c r="V3">
        <f>SUM(L3:U3)</f>
        <v>19322</v>
      </c>
      <c r="X3" s="157">
        <v>1</v>
      </c>
      <c r="Y3">
        <v>9819</v>
      </c>
      <c r="Z3">
        <v>154</v>
      </c>
      <c r="AA3">
        <v>1086</v>
      </c>
      <c r="AB3">
        <v>836</v>
      </c>
      <c r="AC3">
        <v>4078</v>
      </c>
      <c r="AD3">
        <v>2848</v>
      </c>
      <c r="AE3">
        <v>500</v>
      </c>
    </row>
    <row r="4" spans="1:31" x14ac:dyDescent="0.25">
      <c r="A4">
        <v>2</v>
      </c>
      <c r="B4">
        <v>452351.01392</v>
      </c>
      <c r="C4">
        <v>18737.135569999999</v>
      </c>
      <c r="D4">
        <v>97514.615980000002</v>
      </c>
      <c r="E4">
        <v>77786.5046</v>
      </c>
      <c r="F4">
        <v>273085.92871000001</v>
      </c>
      <c r="G4">
        <v>139909.01107000001</v>
      </c>
      <c r="H4">
        <v>157574.26152</v>
      </c>
      <c r="I4">
        <v>79921.813399999999</v>
      </c>
      <c r="J4">
        <v>28214.84748</v>
      </c>
      <c r="K4">
        <f t="shared" ref="K4:K44" si="0">SUM(A4:J4)</f>
        <v>1325097.13225</v>
      </c>
      <c r="L4">
        <v>2</v>
      </c>
      <c r="M4">
        <v>62378</v>
      </c>
      <c r="N4">
        <v>1290</v>
      </c>
      <c r="O4">
        <v>10146</v>
      </c>
      <c r="P4">
        <v>7775</v>
      </c>
      <c r="Q4">
        <v>40927</v>
      </c>
      <c r="R4">
        <v>16518</v>
      </c>
      <c r="U4">
        <v>17652</v>
      </c>
      <c r="V4">
        <f t="shared" ref="V4:V44" si="1">SUM(L4:U4)</f>
        <v>156688</v>
      </c>
      <c r="X4" s="157">
        <v>2</v>
      </c>
      <c r="Y4">
        <v>62378</v>
      </c>
      <c r="Z4">
        <v>1290</v>
      </c>
      <c r="AA4">
        <v>10146</v>
      </c>
      <c r="AB4">
        <v>7775</v>
      </c>
      <c r="AC4">
        <v>40927</v>
      </c>
      <c r="AD4">
        <v>16518</v>
      </c>
      <c r="AE4">
        <v>17652</v>
      </c>
    </row>
    <row r="5" spans="1:31" x14ac:dyDescent="0.25">
      <c r="A5">
        <v>3</v>
      </c>
      <c r="B5">
        <v>559056.71065999998</v>
      </c>
      <c r="C5">
        <v>22433.45534</v>
      </c>
      <c r="D5">
        <v>122414.34351000001</v>
      </c>
      <c r="E5">
        <v>109258.64783</v>
      </c>
      <c r="F5">
        <v>350952.75206000003</v>
      </c>
      <c r="G5">
        <v>196844.47635000001</v>
      </c>
      <c r="H5">
        <v>241456.37247</v>
      </c>
      <c r="I5">
        <v>112291.69861000001</v>
      </c>
      <c r="J5">
        <v>16267.260679999999</v>
      </c>
      <c r="K5">
        <f t="shared" si="0"/>
        <v>1730978.7175100001</v>
      </c>
      <c r="L5">
        <v>3</v>
      </c>
      <c r="M5">
        <v>98016</v>
      </c>
      <c r="N5">
        <v>1271</v>
      </c>
      <c r="O5">
        <v>20424</v>
      </c>
      <c r="P5">
        <v>14971</v>
      </c>
      <c r="Q5">
        <v>77368</v>
      </c>
      <c r="R5">
        <v>32186</v>
      </c>
      <c r="U5">
        <v>15756</v>
      </c>
      <c r="V5">
        <f t="shared" si="1"/>
        <v>259995</v>
      </c>
      <c r="X5" s="157">
        <v>3</v>
      </c>
      <c r="Y5">
        <v>98016</v>
      </c>
      <c r="Z5">
        <v>1271</v>
      </c>
      <c r="AA5">
        <v>20424</v>
      </c>
      <c r="AB5">
        <v>14971</v>
      </c>
      <c r="AC5">
        <v>77368</v>
      </c>
      <c r="AD5">
        <v>32186</v>
      </c>
      <c r="AE5">
        <v>15756</v>
      </c>
    </row>
    <row r="6" spans="1:31" x14ac:dyDescent="0.25">
      <c r="A6">
        <v>4</v>
      </c>
      <c r="B6">
        <v>321545.58061</v>
      </c>
      <c r="C6">
        <v>6564.4238100000002</v>
      </c>
      <c r="D6">
        <v>51158.967940000002</v>
      </c>
      <c r="E6">
        <v>52313.839599999999</v>
      </c>
      <c r="F6">
        <v>191501.03266999999</v>
      </c>
      <c r="G6">
        <v>111892.98639999999</v>
      </c>
      <c r="H6">
        <v>143103.33760999999</v>
      </c>
      <c r="I6">
        <v>83846.574330000003</v>
      </c>
      <c r="J6">
        <v>17532.557860000001</v>
      </c>
      <c r="K6">
        <f t="shared" si="0"/>
        <v>979463.30083000008</v>
      </c>
      <c r="L6">
        <v>4</v>
      </c>
      <c r="M6">
        <v>75601</v>
      </c>
      <c r="N6">
        <v>772</v>
      </c>
      <c r="O6">
        <v>13970</v>
      </c>
      <c r="P6">
        <v>10785</v>
      </c>
      <c r="Q6">
        <v>49292</v>
      </c>
      <c r="R6">
        <v>21412</v>
      </c>
      <c r="U6">
        <v>7985</v>
      </c>
      <c r="V6">
        <f t="shared" si="1"/>
        <v>179821</v>
      </c>
      <c r="X6" s="157">
        <v>4</v>
      </c>
      <c r="Y6">
        <v>75601</v>
      </c>
      <c r="Z6">
        <v>772</v>
      </c>
      <c r="AA6">
        <v>13970</v>
      </c>
      <c r="AB6">
        <v>10785</v>
      </c>
      <c r="AC6">
        <v>49292</v>
      </c>
      <c r="AD6">
        <v>21412</v>
      </c>
      <c r="AE6">
        <v>7985</v>
      </c>
    </row>
    <row r="7" spans="1:31" x14ac:dyDescent="0.25">
      <c r="A7">
        <v>5</v>
      </c>
      <c r="B7">
        <v>208573.76663999999</v>
      </c>
      <c r="C7">
        <v>3515.5611199999998</v>
      </c>
      <c r="D7">
        <v>38257.809280000001</v>
      </c>
      <c r="E7">
        <v>37753.422930000001</v>
      </c>
      <c r="F7">
        <v>134071.83132999999</v>
      </c>
      <c r="G7">
        <v>60906.71441</v>
      </c>
      <c r="H7">
        <v>105336.87764000001</v>
      </c>
      <c r="I7">
        <v>64606.303379999998</v>
      </c>
      <c r="J7">
        <v>7633.9888700000001</v>
      </c>
      <c r="K7">
        <f t="shared" si="0"/>
        <v>660661.27560000005</v>
      </c>
      <c r="L7">
        <v>5</v>
      </c>
      <c r="M7">
        <v>49138</v>
      </c>
      <c r="N7">
        <v>576</v>
      </c>
      <c r="O7">
        <v>9188</v>
      </c>
      <c r="P7">
        <v>7002</v>
      </c>
      <c r="Q7">
        <v>30515</v>
      </c>
      <c r="R7">
        <v>13291</v>
      </c>
      <c r="U7">
        <v>4818</v>
      </c>
      <c r="V7">
        <f t="shared" si="1"/>
        <v>114533</v>
      </c>
      <c r="X7" s="157">
        <v>5</v>
      </c>
      <c r="Y7">
        <v>49138</v>
      </c>
      <c r="Z7">
        <v>576</v>
      </c>
      <c r="AA7">
        <v>9188</v>
      </c>
      <c r="AB7">
        <v>7002</v>
      </c>
      <c r="AC7">
        <v>30515</v>
      </c>
      <c r="AD7">
        <v>13291</v>
      </c>
      <c r="AE7">
        <v>4818</v>
      </c>
    </row>
    <row r="8" spans="1:31" x14ac:dyDescent="0.25">
      <c r="A8">
        <v>6</v>
      </c>
      <c r="B8">
        <v>152783.85026000001</v>
      </c>
      <c r="C8">
        <v>3220.6334700000002</v>
      </c>
      <c r="D8">
        <v>29447.654699999999</v>
      </c>
      <c r="E8">
        <v>31284.406299999999</v>
      </c>
      <c r="F8">
        <v>91268.706009999994</v>
      </c>
      <c r="G8">
        <v>48192.183230000002</v>
      </c>
      <c r="H8">
        <v>66855.406749999995</v>
      </c>
      <c r="I8">
        <v>29555.48461</v>
      </c>
      <c r="J8">
        <v>7475.1320699999997</v>
      </c>
      <c r="K8">
        <f t="shared" si="0"/>
        <v>460089.45739999996</v>
      </c>
      <c r="L8">
        <v>6</v>
      </c>
      <c r="M8">
        <v>39984</v>
      </c>
      <c r="N8">
        <v>397</v>
      </c>
      <c r="O8">
        <v>8008</v>
      </c>
      <c r="P8">
        <v>6606</v>
      </c>
      <c r="Q8">
        <v>22588</v>
      </c>
      <c r="R8">
        <v>10042</v>
      </c>
      <c r="U8">
        <v>3350</v>
      </c>
      <c r="V8">
        <f t="shared" si="1"/>
        <v>90981</v>
      </c>
      <c r="X8" s="157">
        <v>6</v>
      </c>
      <c r="Y8">
        <v>39984</v>
      </c>
      <c r="Z8">
        <v>397</v>
      </c>
      <c r="AA8">
        <v>8008</v>
      </c>
      <c r="AB8">
        <v>6606</v>
      </c>
      <c r="AC8">
        <v>22588</v>
      </c>
      <c r="AD8">
        <v>10042</v>
      </c>
      <c r="AE8">
        <v>3350</v>
      </c>
    </row>
    <row r="9" spans="1:31" x14ac:dyDescent="0.25">
      <c r="A9">
        <v>7</v>
      </c>
      <c r="B9">
        <v>212276.46401</v>
      </c>
      <c r="C9">
        <v>1104.17839</v>
      </c>
      <c r="D9">
        <v>60816.734559999997</v>
      </c>
      <c r="E9">
        <v>19259.647000000001</v>
      </c>
      <c r="F9">
        <v>92576.334929999997</v>
      </c>
      <c r="G9">
        <v>34006.769229999998</v>
      </c>
      <c r="H9">
        <v>47697.469590000001</v>
      </c>
      <c r="I9">
        <v>57057.830560000002</v>
      </c>
      <c r="J9">
        <v>6639.5170600000001</v>
      </c>
      <c r="K9">
        <f t="shared" si="0"/>
        <v>531441.9453299999</v>
      </c>
      <c r="L9">
        <v>7</v>
      </c>
      <c r="M9">
        <v>34657</v>
      </c>
      <c r="N9">
        <v>319</v>
      </c>
      <c r="O9">
        <v>7102</v>
      </c>
      <c r="P9">
        <v>6057</v>
      </c>
      <c r="Q9">
        <v>18956</v>
      </c>
      <c r="R9">
        <v>8403</v>
      </c>
      <c r="U9">
        <v>2686</v>
      </c>
      <c r="V9">
        <f t="shared" si="1"/>
        <v>78187</v>
      </c>
      <c r="X9" s="157">
        <v>7</v>
      </c>
      <c r="Y9">
        <v>34657</v>
      </c>
      <c r="Z9">
        <v>319</v>
      </c>
      <c r="AA9">
        <v>7102</v>
      </c>
      <c r="AB9">
        <v>6057</v>
      </c>
      <c r="AC9">
        <v>18956</v>
      </c>
      <c r="AD9">
        <v>8403</v>
      </c>
      <c r="AE9">
        <v>2686</v>
      </c>
    </row>
    <row r="10" spans="1:31" x14ac:dyDescent="0.25">
      <c r="A10">
        <v>8</v>
      </c>
      <c r="B10">
        <v>88827.610260000001</v>
      </c>
      <c r="C10">
        <v>2895.9529200000002</v>
      </c>
      <c r="D10">
        <v>14688.130950000001</v>
      </c>
      <c r="E10">
        <v>13803.008260000001</v>
      </c>
      <c r="F10">
        <v>40098.34751</v>
      </c>
      <c r="G10">
        <v>23611.221010000001</v>
      </c>
      <c r="H10">
        <v>26370.08166</v>
      </c>
      <c r="I10">
        <v>16048.84815</v>
      </c>
      <c r="J10">
        <v>3932.2730299999998</v>
      </c>
      <c r="K10">
        <f t="shared" si="0"/>
        <v>230283.47375000003</v>
      </c>
      <c r="L10">
        <v>8</v>
      </c>
      <c r="M10">
        <v>31826</v>
      </c>
      <c r="N10">
        <v>313</v>
      </c>
      <c r="O10">
        <v>6109</v>
      </c>
      <c r="P10">
        <v>5334</v>
      </c>
      <c r="Q10">
        <v>15974</v>
      </c>
      <c r="R10">
        <v>6705</v>
      </c>
      <c r="U10">
        <v>2362</v>
      </c>
      <c r="V10">
        <f t="shared" si="1"/>
        <v>68631</v>
      </c>
      <c r="X10" s="157">
        <v>8</v>
      </c>
      <c r="Y10">
        <v>31826</v>
      </c>
      <c r="Z10">
        <v>313</v>
      </c>
      <c r="AA10">
        <v>6109</v>
      </c>
      <c r="AB10">
        <v>5334</v>
      </c>
      <c r="AC10">
        <v>15974</v>
      </c>
      <c r="AD10">
        <v>6705</v>
      </c>
      <c r="AE10">
        <v>2362</v>
      </c>
    </row>
    <row r="11" spans="1:31" x14ac:dyDescent="0.25">
      <c r="A11">
        <v>9</v>
      </c>
      <c r="B11">
        <v>77744.476680000007</v>
      </c>
      <c r="C11">
        <v>1338.1898900000001</v>
      </c>
      <c r="D11">
        <v>11802.70153</v>
      </c>
      <c r="E11">
        <v>9434.6133800000007</v>
      </c>
      <c r="F11">
        <v>38434.263780000001</v>
      </c>
      <c r="G11">
        <v>23377.737239999999</v>
      </c>
      <c r="H11">
        <v>31792.500530000001</v>
      </c>
      <c r="I11">
        <v>8941.8725400000003</v>
      </c>
      <c r="J11">
        <v>3280.2059599999998</v>
      </c>
      <c r="K11">
        <f t="shared" si="0"/>
        <v>206155.56152999998</v>
      </c>
      <c r="L11">
        <v>9</v>
      </c>
      <c r="M11">
        <v>26492</v>
      </c>
      <c r="N11">
        <v>328</v>
      </c>
      <c r="O11">
        <v>5059</v>
      </c>
      <c r="P11">
        <v>4622</v>
      </c>
      <c r="Q11">
        <v>12762</v>
      </c>
      <c r="R11">
        <v>5143</v>
      </c>
      <c r="U11">
        <v>1744</v>
      </c>
      <c r="V11">
        <f t="shared" si="1"/>
        <v>56159</v>
      </c>
      <c r="X11" s="157">
        <v>9</v>
      </c>
      <c r="Y11">
        <v>26492</v>
      </c>
      <c r="Z11">
        <v>328</v>
      </c>
      <c r="AA11">
        <v>5059</v>
      </c>
      <c r="AB11">
        <v>4622</v>
      </c>
      <c r="AC11">
        <v>12762</v>
      </c>
      <c r="AD11">
        <v>5143</v>
      </c>
      <c r="AE11">
        <v>1744</v>
      </c>
    </row>
    <row r="12" spans="1:31" x14ac:dyDescent="0.25">
      <c r="A12">
        <v>10</v>
      </c>
      <c r="B12">
        <v>58401.64129</v>
      </c>
      <c r="C12">
        <v>1216.2144499999999</v>
      </c>
      <c r="D12">
        <v>7697.5643799999998</v>
      </c>
      <c r="E12">
        <v>6604.14473</v>
      </c>
      <c r="F12">
        <v>26653.95938</v>
      </c>
      <c r="G12">
        <v>13090.341340000001</v>
      </c>
      <c r="H12">
        <v>19917.14976</v>
      </c>
      <c r="I12">
        <v>12270.608990000001</v>
      </c>
      <c r="J12">
        <v>2477.5999099999999</v>
      </c>
      <c r="K12">
        <f t="shared" si="0"/>
        <v>148339.22422999999</v>
      </c>
      <c r="L12">
        <v>10</v>
      </c>
      <c r="M12">
        <v>20003</v>
      </c>
      <c r="N12">
        <v>306</v>
      </c>
      <c r="O12">
        <v>3214</v>
      </c>
      <c r="P12">
        <v>3282</v>
      </c>
      <c r="Q12">
        <v>8118</v>
      </c>
      <c r="R12">
        <v>3315</v>
      </c>
      <c r="U12">
        <v>1248</v>
      </c>
      <c r="V12">
        <f t="shared" si="1"/>
        <v>39496</v>
      </c>
      <c r="X12" s="157">
        <v>10</v>
      </c>
      <c r="Y12">
        <v>20003</v>
      </c>
      <c r="Z12">
        <v>306</v>
      </c>
      <c r="AA12">
        <v>3214</v>
      </c>
      <c r="AB12">
        <v>3282</v>
      </c>
      <c r="AC12">
        <v>8118</v>
      </c>
      <c r="AD12">
        <v>3315</v>
      </c>
      <c r="AE12">
        <v>1248</v>
      </c>
    </row>
    <row r="13" spans="1:31" x14ac:dyDescent="0.25">
      <c r="A13">
        <v>11</v>
      </c>
      <c r="B13">
        <v>49982.216220000002</v>
      </c>
      <c r="C13">
        <v>1466.62003</v>
      </c>
      <c r="D13">
        <v>5555.0777200000002</v>
      </c>
      <c r="E13">
        <v>7239.5112399999998</v>
      </c>
      <c r="F13">
        <v>19435.243020000002</v>
      </c>
      <c r="G13">
        <v>10362.81177</v>
      </c>
      <c r="H13">
        <v>10885.22049</v>
      </c>
      <c r="I13">
        <v>2722.71567</v>
      </c>
      <c r="J13">
        <v>2779.1100999999999</v>
      </c>
      <c r="K13">
        <f t="shared" si="0"/>
        <v>110439.52626000003</v>
      </c>
      <c r="L13">
        <v>11</v>
      </c>
      <c r="M13">
        <v>19511</v>
      </c>
      <c r="N13">
        <v>306</v>
      </c>
      <c r="O13">
        <v>3149</v>
      </c>
      <c r="P13">
        <v>3079</v>
      </c>
      <c r="Q13">
        <v>7334</v>
      </c>
      <c r="R13">
        <v>3039</v>
      </c>
      <c r="U13">
        <v>1201</v>
      </c>
      <c r="V13">
        <f t="shared" si="1"/>
        <v>37630</v>
      </c>
      <c r="X13" s="157">
        <v>11</v>
      </c>
      <c r="Y13">
        <v>19511</v>
      </c>
      <c r="Z13">
        <v>306</v>
      </c>
      <c r="AA13">
        <v>3149</v>
      </c>
      <c r="AB13">
        <v>3079</v>
      </c>
      <c r="AC13">
        <v>7334</v>
      </c>
      <c r="AD13">
        <v>3039</v>
      </c>
      <c r="AE13">
        <v>1201</v>
      </c>
    </row>
    <row r="14" spans="1:31" x14ac:dyDescent="0.25">
      <c r="A14">
        <v>12</v>
      </c>
      <c r="B14">
        <v>28163.24566</v>
      </c>
      <c r="C14">
        <v>1450.5580500000001</v>
      </c>
      <c r="D14">
        <v>8848.0327500000003</v>
      </c>
      <c r="E14">
        <v>8213.6826199999996</v>
      </c>
      <c r="F14">
        <v>20210.94729</v>
      </c>
      <c r="G14">
        <v>11363.40444</v>
      </c>
      <c r="H14">
        <v>12165.857379999999</v>
      </c>
      <c r="I14">
        <v>10230.170029999999</v>
      </c>
      <c r="J14">
        <v>3108.44749</v>
      </c>
      <c r="K14">
        <f t="shared" si="0"/>
        <v>103766.34570999999</v>
      </c>
      <c r="L14">
        <v>12</v>
      </c>
      <c r="M14">
        <v>18515</v>
      </c>
      <c r="N14">
        <v>304</v>
      </c>
      <c r="O14">
        <v>2729</v>
      </c>
      <c r="P14">
        <v>2532</v>
      </c>
      <c r="Q14">
        <v>6569</v>
      </c>
      <c r="R14">
        <v>2757</v>
      </c>
      <c r="U14">
        <v>1144</v>
      </c>
      <c r="V14">
        <f t="shared" si="1"/>
        <v>34562</v>
      </c>
      <c r="X14" s="157">
        <v>12</v>
      </c>
      <c r="Y14">
        <v>18515</v>
      </c>
      <c r="Z14">
        <v>304</v>
      </c>
      <c r="AA14">
        <v>2729</v>
      </c>
      <c r="AB14">
        <v>2532</v>
      </c>
      <c r="AC14">
        <v>6569</v>
      </c>
      <c r="AD14">
        <v>2757</v>
      </c>
      <c r="AE14">
        <v>1144</v>
      </c>
    </row>
    <row r="15" spans="1:31" x14ac:dyDescent="0.25">
      <c r="A15">
        <v>13</v>
      </c>
      <c r="B15">
        <v>34252.6224</v>
      </c>
      <c r="C15">
        <v>794.89571000000001</v>
      </c>
      <c r="D15">
        <v>3311.4799499999999</v>
      </c>
      <c r="E15">
        <v>3132.5748199999998</v>
      </c>
      <c r="F15">
        <v>16074.14205</v>
      </c>
      <c r="G15">
        <v>7969.3032199999998</v>
      </c>
      <c r="H15">
        <v>16043.372590000001</v>
      </c>
      <c r="I15">
        <v>6704.2218999999996</v>
      </c>
      <c r="J15">
        <v>5917.2605999999996</v>
      </c>
      <c r="K15">
        <f t="shared" si="0"/>
        <v>94212.873240000001</v>
      </c>
      <c r="L15">
        <v>13</v>
      </c>
      <c r="M15">
        <v>16035</v>
      </c>
      <c r="N15">
        <v>298</v>
      </c>
      <c r="O15">
        <v>2026</v>
      </c>
      <c r="P15">
        <v>1700</v>
      </c>
      <c r="Q15">
        <v>4945</v>
      </c>
      <c r="R15">
        <v>1876</v>
      </c>
      <c r="U15">
        <v>893</v>
      </c>
      <c r="V15">
        <f t="shared" si="1"/>
        <v>27786</v>
      </c>
      <c r="X15" s="157">
        <v>13</v>
      </c>
      <c r="Y15">
        <v>16035</v>
      </c>
      <c r="Z15">
        <v>298</v>
      </c>
      <c r="AA15">
        <v>2026</v>
      </c>
      <c r="AB15">
        <v>1700</v>
      </c>
      <c r="AC15">
        <v>4945</v>
      </c>
      <c r="AD15">
        <v>1876</v>
      </c>
      <c r="AE15">
        <v>893</v>
      </c>
    </row>
    <row r="16" spans="1:31" x14ac:dyDescent="0.25">
      <c r="A16">
        <v>14</v>
      </c>
      <c r="B16">
        <v>25724.329389999999</v>
      </c>
      <c r="C16">
        <v>1174.22873</v>
      </c>
      <c r="D16">
        <v>3026.5157399999998</v>
      </c>
      <c r="E16">
        <v>5351.6996799999997</v>
      </c>
      <c r="F16">
        <v>10811.490760000001</v>
      </c>
      <c r="G16">
        <v>5894.6162100000001</v>
      </c>
      <c r="H16">
        <v>6087.9335899999996</v>
      </c>
      <c r="I16">
        <v>8726.3154599999998</v>
      </c>
      <c r="J16">
        <v>1537.3585599999999</v>
      </c>
      <c r="K16">
        <f t="shared" si="0"/>
        <v>68348.488119999995</v>
      </c>
      <c r="L16">
        <v>14</v>
      </c>
      <c r="M16">
        <v>14880</v>
      </c>
      <c r="N16">
        <v>338</v>
      </c>
      <c r="O16">
        <v>1732</v>
      </c>
      <c r="P16">
        <v>1234</v>
      </c>
      <c r="Q16">
        <v>4130</v>
      </c>
      <c r="R16">
        <v>1615</v>
      </c>
      <c r="U16">
        <v>744</v>
      </c>
      <c r="V16">
        <f t="shared" si="1"/>
        <v>24687</v>
      </c>
      <c r="X16" s="157">
        <v>14</v>
      </c>
      <c r="Y16">
        <v>14880</v>
      </c>
      <c r="Z16">
        <v>338</v>
      </c>
      <c r="AA16">
        <v>1732</v>
      </c>
      <c r="AB16">
        <v>1234</v>
      </c>
      <c r="AC16">
        <v>4130</v>
      </c>
      <c r="AD16">
        <v>1615</v>
      </c>
      <c r="AE16">
        <v>744</v>
      </c>
    </row>
    <row r="17" spans="1:31" x14ac:dyDescent="0.25">
      <c r="A17">
        <v>15</v>
      </c>
      <c r="B17">
        <v>30760.271110000001</v>
      </c>
      <c r="C17">
        <v>394.95375000000001</v>
      </c>
      <c r="D17">
        <v>5624.3366800000003</v>
      </c>
      <c r="E17">
        <v>1216.3441399999999</v>
      </c>
      <c r="F17">
        <v>10493.99271</v>
      </c>
      <c r="G17">
        <v>4114.8398399999996</v>
      </c>
      <c r="H17">
        <v>5390.3332899999996</v>
      </c>
      <c r="I17">
        <v>8643.57258</v>
      </c>
      <c r="J17">
        <v>1356.5585699999999</v>
      </c>
      <c r="K17">
        <f t="shared" si="0"/>
        <v>68010.202669999999</v>
      </c>
      <c r="L17">
        <v>15</v>
      </c>
      <c r="M17">
        <v>13513</v>
      </c>
      <c r="N17">
        <v>283</v>
      </c>
      <c r="O17">
        <v>1426</v>
      </c>
      <c r="P17">
        <v>861</v>
      </c>
      <c r="Q17">
        <v>3527</v>
      </c>
      <c r="R17">
        <v>1330</v>
      </c>
      <c r="U17">
        <v>705</v>
      </c>
      <c r="V17">
        <f t="shared" si="1"/>
        <v>21660</v>
      </c>
      <c r="X17" s="157">
        <v>15</v>
      </c>
      <c r="Y17">
        <v>13513</v>
      </c>
      <c r="Z17">
        <v>283</v>
      </c>
      <c r="AA17">
        <v>1426</v>
      </c>
      <c r="AB17">
        <v>861</v>
      </c>
      <c r="AC17">
        <v>3527</v>
      </c>
      <c r="AD17">
        <v>1330</v>
      </c>
      <c r="AE17">
        <v>705</v>
      </c>
    </row>
    <row r="18" spans="1:31" x14ac:dyDescent="0.25">
      <c r="A18">
        <v>16</v>
      </c>
      <c r="B18">
        <v>19438.36665</v>
      </c>
      <c r="C18">
        <v>792.56191000000001</v>
      </c>
      <c r="D18">
        <v>1463.21793</v>
      </c>
      <c r="E18">
        <v>1534.9076399999999</v>
      </c>
      <c r="F18">
        <v>6164.4079899999997</v>
      </c>
      <c r="G18">
        <v>30618.376639999999</v>
      </c>
      <c r="H18">
        <v>4090.9011799999998</v>
      </c>
      <c r="I18">
        <v>1829.8185000000001</v>
      </c>
      <c r="J18">
        <v>1655.9145599999999</v>
      </c>
      <c r="K18">
        <f t="shared" si="0"/>
        <v>67604.472999999998</v>
      </c>
      <c r="L18">
        <v>16</v>
      </c>
      <c r="M18">
        <v>12853</v>
      </c>
      <c r="N18">
        <v>268</v>
      </c>
      <c r="O18">
        <v>1299</v>
      </c>
      <c r="P18">
        <v>573</v>
      </c>
      <c r="Q18">
        <v>3141</v>
      </c>
      <c r="R18">
        <v>1178</v>
      </c>
      <c r="U18">
        <v>669</v>
      </c>
      <c r="V18">
        <f t="shared" si="1"/>
        <v>19997</v>
      </c>
      <c r="X18" s="157">
        <v>16</v>
      </c>
      <c r="Y18">
        <v>12853</v>
      </c>
      <c r="Z18">
        <v>268</v>
      </c>
      <c r="AA18">
        <v>1299</v>
      </c>
      <c r="AB18">
        <v>573</v>
      </c>
      <c r="AC18">
        <v>3141</v>
      </c>
      <c r="AD18">
        <v>1178</v>
      </c>
      <c r="AE18">
        <v>669</v>
      </c>
    </row>
    <row r="19" spans="1:31" x14ac:dyDescent="0.25">
      <c r="A19">
        <v>17</v>
      </c>
      <c r="B19">
        <v>102856.53614</v>
      </c>
      <c r="C19">
        <v>0</v>
      </c>
      <c r="D19">
        <v>17812.863840000002</v>
      </c>
      <c r="E19">
        <v>2764.1342300000001</v>
      </c>
      <c r="F19">
        <v>46140.92613</v>
      </c>
      <c r="G19">
        <v>6210.2598600000001</v>
      </c>
      <c r="H19">
        <v>6613.3410100000001</v>
      </c>
      <c r="I19">
        <v>5994.5600400000003</v>
      </c>
      <c r="J19">
        <v>2579.1977499999998</v>
      </c>
      <c r="K19">
        <f t="shared" si="0"/>
        <v>190988.81899999999</v>
      </c>
      <c r="L19">
        <v>17</v>
      </c>
      <c r="M19">
        <v>11503</v>
      </c>
      <c r="N19">
        <v>227</v>
      </c>
      <c r="O19">
        <v>1045</v>
      </c>
      <c r="P19">
        <v>398</v>
      </c>
      <c r="Q19">
        <v>2650</v>
      </c>
      <c r="R19">
        <v>991</v>
      </c>
      <c r="U19">
        <v>594</v>
      </c>
      <c r="V19">
        <f t="shared" si="1"/>
        <v>17425</v>
      </c>
      <c r="X19" s="157">
        <v>17</v>
      </c>
      <c r="Y19">
        <v>11503</v>
      </c>
      <c r="Z19">
        <v>227</v>
      </c>
      <c r="AA19">
        <v>1045</v>
      </c>
      <c r="AB19">
        <v>398</v>
      </c>
      <c r="AC19">
        <v>2650</v>
      </c>
      <c r="AD19">
        <v>991</v>
      </c>
      <c r="AE19">
        <v>594</v>
      </c>
    </row>
    <row r="20" spans="1:31" x14ac:dyDescent="0.25">
      <c r="A20">
        <v>18</v>
      </c>
      <c r="B20">
        <v>24072.645860000001</v>
      </c>
      <c r="C20">
        <v>467.05164000000002</v>
      </c>
      <c r="D20">
        <v>2783.7031000000002</v>
      </c>
      <c r="E20">
        <v>5016.5361899999998</v>
      </c>
      <c r="F20">
        <v>8871.2247700000007</v>
      </c>
      <c r="G20">
        <v>3479.7190099999998</v>
      </c>
      <c r="H20">
        <v>3660.0228200000001</v>
      </c>
      <c r="I20">
        <v>4935.2070800000001</v>
      </c>
      <c r="J20">
        <v>341.77521000000002</v>
      </c>
      <c r="K20">
        <f t="shared" si="0"/>
        <v>53645.885679999999</v>
      </c>
      <c r="L20">
        <v>18</v>
      </c>
      <c r="M20">
        <v>10643</v>
      </c>
      <c r="N20">
        <v>242</v>
      </c>
      <c r="O20">
        <v>898</v>
      </c>
      <c r="P20">
        <v>254</v>
      </c>
      <c r="Q20">
        <v>2317</v>
      </c>
      <c r="R20">
        <v>896</v>
      </c>
      <c r="U20">
        <v>548</v>
      </c>
      <c r="V20">
        <f t="shared" si="1"/>
        <v>15816</v>
      </c>
      <c r="X20" s="157">
        <v>18</v>
      </c>
      <c r="Y20">
        <v>10643</v>
      </c>
      <c r="Z20">
        <v>242</v>
      </c>
      <c r="AA20">
        <v>898</v>
      </c>
      <c r="AB20">
        <v>254</v>
      </c>
      <c r="AC20">
        <v>2317</v>
      </c>
      <c r="AD20">
        <v>896</v>
      </c>
      <c r="AE20">
        <v>548</v>
      </c>
    </row>
    <row r="21" spans="1:31" x14ac:dyDescent="0.25">
      <c r="A21">
        <v>19</v>
      </c>
      <c r="B21">
        <v>10019.293600000001</v>
      </c>
      <c r="C21">
        <v>0</v>
      </c>
      <c r="D21">
        <v>1571.3043299999999</v>
      </c>
      <c r="E21">
        <v>2394.97804</v>
      </c>
      <c r="F21">
        <v>5468.1505500000003</v>
      </c>
      <c r="G21">
        <v>4258.1615300000003</v>
      </c>
      <c r="H21">
        <v>4229.0858799999996</v>
      </c>
      <c r="I21">
        <v>3607.3271800000002</v>
      </c>
      <c r="J21">
        <v>353.51551999999998</v>
      </c>
      <c r="K21">
        <f t="shared" si="0"/>
        <v>31920.816630000001</v>
      </c>
      <c r="L21">
        <v>19</v>
      </c>
      <c r="M21">
        <v>9936</v>
      </c>
      <c r="N21">
        <v>211</v>
      </c>
      <c r="O21">
        <v>803</v>
      </c>
      <c r="P21">
        <v>156</v>
      </c>
      <c r="Q21">
        <v>2114</v>
      </c>
      <c r="R21">
        <v>813</v>
      </c>
      <c r="U21">
        <v>515</v>
      </c>
      <c r="V21">
        <f t="shared" si="1"/>
        <v>14567</v>
      </c>
      <c r="X21" s="157">
        <v>19</v>
      </c>
      <c r="Y21">
        <v>9936</v>
      </c>
      <c r="Z21">
        <v>211</v>
      </c>
      <c r="AA21">
        <v>803</v>
      </c>
      <c r="AB21">
        <v>156</v>
      </c>
      <c r="AC21">
        <v>2114</v>
      </c>
      <c r="AD21">
        <v>813</v>
      </c>
      <c r="AE21">
        <v>515</v>
      </c>
    </row>
    <row r="22" spans="1:31" x14ac:dyDescent="0.25">
      <c r="A22">
        <v>20</v>
      </c>
      <c r="B22">
        <v>16372.42842</v>
      </c>
      <c r="C22">
        <v>1242.1016500000001</v>
      </c>
      <c r="D22">
        <v>1115.8556100000001</v>
      </c>
      <c r="E22">
        <v>2087.9378499999998</v>
      </c>
      <c r="F22">
        <v>4460.1563500000002</v>
      </c>
      <c r="G22">
        <v>2692.49091</v>
      </c>
      <c r="H22">
        <v>6436.56333</v>
      </c>
      <c r="I22">
        <v>5092.6750400000001</v>
      </c>
      <c r="J22">
        <v>1461.03511</v>
      </c>
      <c r="K22">
        <f t="shared" si="0"/>
        <v>40981.244269999996</v>
      </c>
      <c r="L22">
        <v>20</v>
      </c>
      <c r="M22">
        <v>8778</v>
      </c>
      <c r="N22">
        <v>170</v>
      </c>
      <c r="O22">
        <v>793</v>
      </c>
      <c r="P22">
        <v>104</v>
      </c>
      <c r="Q22">
        <v>1861</v>
      </c>
      <c r="R22">
        <v>687</v>
      </c>
      <c r="U22">
        <v>452</v>
      </c>
      <c r="V22">
        <f t="shared" si="1"/>
        <v>12865</v>
      </c>
      <c r="X22" s="157">
        <v>20</v>
      </c>
      <c r="Y22">
        <v>8778</v>
      </c>
      <c r="Z22">
        <v>170</v>
      </c>
      <c r="AA22">
        <v>793</v>
      </c>
      <c r="AB22">
        <v>104</v>
      </c>
      <c r="AC22">
        <v>1861</v>
      </c>
      <c r="AD22">
        <v>687</v>
      </c>
      <c r="AE22">
        <v>452</v>
      </c>
    </row>
    <row r="23" spans="1:31" x14ac:dyDescent="0.25">
      <c r="A23">
        <v>21</v>
      </c>
      <c r="B23">
        <v>10712.67179</v>
      </c>
      <c r="C23">
        <v>127.94843</v>
      </c>
      <c r="D23">
        <v>1043.0532900000001</v>
      </c>
      <c r="E23">
        <v>974.88070000000005</v>
      </c>
      <c r="F23">
        <v>4537.22109</v>
      </c>
      <c r="G23">
        <v>1460.26081</v>
      </c>
      <c r="H23">
        <v>1221.7933399999999</v>
      </c>
      <c r="I23">
        <v>803.38253999999995</v>
      </c>
      <c r="J23">
        <v>1530.4879000000001</v>
      </c>
      <c r="K23">
        <f t="shared" si="0"/>
        <v>22432.69989</v>
      </c>
      <c r="L23">
        <v>21</v>
      </c>
      <c r="M23">
        <v>7747</v>
      </c>
      <c r="N23">
        <v>160</v>
      </c>
      <c r="O23">
        <v>659</v>
      </c>
      <c r="P23">
        <v>73</v>
      </c>
      <c r="Q23">
        <v>1746</v>
      </c>
      <c r="R23">
        <v>596</v>
      </c>
      <c r="U23">
        <v>399</v>
      </c>
      <c r="V23">
        <f t="shared" si="1"/>
        <v>11401</v>
      </c>
      <c r="X23" s="157">
        <v>21</v>
      </c>
      <c r="Y23">
        <v>7747</v>
      </c>
      <c r="Z23">
        <v>160</v>
      </c>
      <c r="AA23">
        <v>659</v>
      </c>
      <c r="AB23">
        <v>73</v>
      </c>
      <c r="AC23">
        <v>1746</v>
      </c>
      <c r="AD23">
        <v>596</v>
      </c>
      <c r="AE23">
        <v>399</v>
      </c>
    </row>
    <row r="24" spans="1:31" x14ac:dyDescent="0.25">
      <c r="A24">
        <v>22</v>
      </c>
      <c r="B24">
        <v>8903.4527500000004</v>
      </c>
      <c r="C24">
        <v>71.544870000000003</v>
      </c>
      <c r="D24">
        <v>3152.2189400000002</v>
      </c>
      <c r="E24">
        <v>2188.6121800000001</v>
      </c>
      <c r="F24">
        <v>4329.6682099999998</v>
      </c>
      <c r="G24">
        <v>2702.9753300000002</v>
      </c>
      <c r="H24">
        <v>853.99505999999997</v>
      </c>
      <c r="I24">
        <v>862.41430000000003</v>
      </c>
      <c r="J24">
        <v>262.21678000000003</v>
      </c>
      <c r="K24">
        <f t="shared" si="0"/>
        <v>23349.098420000002</v>
      </c>
      <c r="L24">
        <v>22</v>
      </c>
      <c r="M24">
        <v>6797</v>
      </c>
      <c r="N24">
        <v>132</v>
      </c>
      <c r="O24">
        <v>585</v>
      </c>
      <c r="P24">
        <v>47</v>
      </c>
      <c r="Q24">
        <v>1433</v>
      </c>
      <c r="R24">
        <v>498</v>
      </c>
      <c r="U24">
        <v>386</v>
      </c>
      <c r="V24">
        <f t="shared" si="1"/>
        <v>9900</v>
      </c>
      <c r="X24" s="157">
        <v>22</v>
      </c>
      <c r="Y24">
        <v>6797</v>
      </c>
      <c r="Z24">
        <v>132</v>
      </c>
      <c r="AA24">
        <v>585</v>
      </c>
      <c r="AB24">
        <v>47</v>
      </c>
      <c r="AC24">
        <v>1433</v>
      </c>
      <c r="AD24">
        <v>498</v>
      </c>
      <c r="AE24">
        <v>386</v>
      </c>
    </row>
    <row r="25" spans="1:31" x14ac:dyDescent="0.25">
      <c r="A25">
        <v>23</v>
      </c>
      <c r="B25">
        <v>7095.5314500000004</v>
      </c>
      <c r="C25">
        <v>210.17972</v>
      </c>
      <c r="D25">
        <v>998.38077999999996</v>
      </c>
      <c r="E25">
        <v>2424.81882</v>
      </c>
      <c r="F25">
        <v>3654.5504799999999</v>
      </c>
      <c r="G25">
        <v>2096.54486</v>
      </c>
      <c r="H25">
        <v>5539.0817399999996</v>
      </c>
      <c r="I25">
        <v>1398.85996</v>
      </c>
      <c r="J25">
        <v>663.43935999999997</v>
      </c>
      <c r="K25">
        <f t="shared" si="0"/>
        <v>24104.387170000005</v>
      </c>
      <c r="L25">
        <v>23</v>
      </c>
      <c r="M25">
        <v>5960</v>
      </c>
      <c r="N25">
        <v>115</v>
      </c>
      <c r="O25">
        <v>511</v>
      </c>
      <c r="P25">
        <v>30</v>
      </c>
      <c r="Q25">
        <v>1288</v>
      </c>
      <c r="R25">
        <v>456</v>
      </c>
      <c r="U25">
        <v>334</v>
      </c>
      <c r="V25">
        <f t="shared" si="1"/>
        <v>8717</v>
      </c>
      <c r="X25" s="157">
        <v>23</v>
      </c>
      <c r="Y25">
        <v>5960</v>
      </c>
      <c r="Z25">
        <v>115</v>
      </c>
      <c r="AA25">
        <v>511</v>
      </c>
      <c r="AB25">
        <v>30</v>
      </c>
      <c r="AC25">
        <v>1288</v>
      </c>
      <c r="AD25">
        <v>456</v>
      </c>
      <c r="AE25">
        <v>334</v>
      </c>
    </row>
    <row r="26" spans="1:31" x14ac:dyDescent="0.25">
      <c r="A26">
        <v>24</v>
      </c>
      <c r="B26">
        <v>8697.0913299999993</v>
      </c>
      <c r="C26">
        <v>503.85548999999997</v>
      </c>
      <c r="D26">
        <v>2139.4764399999999</v>
      </c>
      <c r="E26">
        <v>877.96423000000004</v>
      </c>
      <c r="F26">
        <v>1802.43597</v>
      </c>
      <c r="G26">
        <v>1719.1967400000001</v>
      </c>
      <c r="H26">
        <v>1958.4026799999999</v>
      </c>
      <c r="I26">
        <v>1243.44704</v>
      </c>
      <c r="J26">
        <v>1898.9216100000001</v>
      </c>
      <c r="K26">
        <f t="shared" si="0"/>
        <v>20864.791529999999</v>
      </c>
      <c r="L26">
        <v>24</v>
      </c>
      <c r="M26">
        <v>5292</v>
      </c>
      <c r="N26">
        <v>107</v>
      </c>
      <c r="O26">
        <v>460</v>
      </c>
      <c r="P26">
        <v>16</v>
      </c>
      <c r="Q26">
        <v>1118</v>
      </c>
      <c r="R26">
        <v>391</v>
      </c>
      <c r="U26">
        <v>263</v>
      </c>
      <c r="V26">
        <f t="shared" si="1"/>
        <v>7671</v>
      </c>
      <c r="X26" s="157">
        <v>24</v>
      </c>
      <c r="Y26">
        <v>5292</v>
      </c>
      <c r="Z26">
        <v>107</v>
      </c>
      <c r="AA26">
        <v>460</v>
      </c>
      <c r="AB26">
        <v>16</v>
      </c>
      <c r="AC26">
        <v>1118</v>
      </c>
      <c r="AD26">
        <v>391</v>
      </c>
      <c r="AE26">
        <v>263</v>
      </c>
    </row>
    <row r="27" spans="1:31" x14ac:dyDescent="0.25">
      <c r="A27">
        <v>25</v>
      </c>
      <c r="B27">
        <v>18297.232639999998</v>
      </c>
      <c r="C27">
        <v>0</v>
      </c>
      <c r="D27">
        <v>164.66001</v>
      </c>
      <c r="E27">
        <v>17.83671</v>
      </c>
      <c r="F27">
        <v>1796.4725699999999</v>
      </c>
      <c r="G27">
        <v>1782.58908</v>
      </c>
      <c r="H27">
        <v>611.97055999999998</v>
      </c>
      <c r="I27">
        <v>365.43939999999998</v>
      </c>
      <c r="J27">
        <v>1906.00947</v>
      </c>
      <c r="K27">
        <f t="shared" si="0"/>
        <v>24967.210439999999</v>
      </c>
      <c r="L27">
        <v>25</v>
      </c>
      <c r="M27">
        <v>4691</v>
      </c>
      <c r="N27">
        <v>79</v>
      </c>
      <c r="O27">
        <v>423</v>
      </c>
      <c r="P27">
        <v>13</v>
      </c>
      <c r="Q27">
        <v>963</v>
      </c>
      <c r="R27">
        <v>347</v>
      </c>
      <c r="U27">
        <v>272</v>
      </c>
      <c r="V27">
        <f t="shared" si="1"/>
        <v>6813</v>
      </c>
      <c r="X27" s="157">
        <v>25</v>
      </c>
      <c r="Y27">
        <v>4691</v>
      </c>
      <c r="Z27">
        <v>79</v>
      </c>
      <c r="AA27">
        <v>423</v>
      </c>
      <c r="AB27">
        <v>13</v>
      </c>
      <c r="AC27">
        <v>963</v>
      </c>
      <c r="AD27">
        <v>347</v>
      </c>
      <c r="AE27">
        <v>272</v>
      </c>
    </row>
    <row r="28" spans="1:31" x14ac:dyDescent="0.25">
      <c r="A28">
        <v>26</v>
      </c>
      <c r="B28">
        <v>6301.6845300000004</v>
      </c>
      <c r="C28">
        <v>224.09737000000001</v>
      </c>
      <c r="D28">
        <v>428.39238</v>
      </c>
      <c r="E28">
        <v>437.95665000000002</v>
      </c>
      <c r="F28">
        <v>2290.6415900000002</v>
      </c>
      <c r="G28">
        <v>332.13718999999998</v>
      </c>
      <c r="H28">
        <v>281.49723999999998</v>
      </c>
      <c r="I28">
        <v>3354.0972200000001</v>
      </c>
      <c r="J28">
        <v>795.34510999999998</v>
      </c>
      <c r="K28">
        <f t="shared" si="0"/>
        <v>14471.849280000002</v>
      </c>
      <c r="L28">
        <v>26</v>
      </c>
      <c r="M28">
        <v>4048</v>
      </c>
      <c r="N28">
        <v>79</v>
      </c>
      <c r="O28">
        <v>383</v>
      </c>
      <c r="P28">
        <v>6</v>
      </c>
      <c r="Q28">
        <v>902</v>
      </c>
      <c r="R28">
        <v>319</v>
      </c>
      <c r="U28">
        <v>233</v>
      </c>
      <c r="V28">
        <f t="shared" si="1"/>
        <v>5996</v>
      </c>
      <c r="X28" s="157">
        <v>26</v>
      </c>
      <c r="Y28">
        <v>4048</v>
      </c>
      <c r="Z28">
        <v>79</v>
      </c>
      <c r="AA28">
        <v>383</v>
      </c>
      <c r="AB28">
        <v>6</v>
      </c>
      <c r="AC28">
        <v>902</v>
      </c>
      <c r="AD28">
        <v>319</v>
      </c>
      <c r="AE28">
        <v>233</v>
      </c>
    </row>
    <row r="29" spans="1:31" x14ac:dyDescent="0.25">
      <c r="A29">
        <v>27</v>
      </c>
      <c r="B29">
        <v>4857.0856299999996</v>
      </c>
      <c r="C29">
        <v>0</v>
      </c>
      <c r="D29">
        <v>223.10449</v>
      </c>
      <c r="E29">
        <v>0</v>
      </c>
      <c r="F29">
        <v>1909.0907400000001</v>
      </c>
      <c r="G29">
        <v>1726.7360000000001</v>
      </c>
      <c r="H29">
        <v>1371.98632</v>
      </c>
      <c r="I29">
        <v>188.77189999999999</v>
      </c>
      <c r="J29">
        <v>540.81695000000002</v>
      </c>
      <c r="K29">
        <f t="shared" si="0"/>
        <v>10844.59203</v>
      </c>
      <c r="L29">
        <v>27</v>
      </c>
      <c r="M29">
        <v>3281</v>
      </c>
      <c r="N29">
        <v>55</v>
      </c>
      <c r="O29">
        <v>310</v>
      </c>
      <c r="P29">
        <v>7</v>
      </c>
      <c r="Q29">
        <v>820</v>
      </c>
      <c r="R29">
        <v>265</v>
      </c>
      <c r="U29">
        <v>197</v>
      </c>
      <c r="V29">
        <f t="shared" si="1"/>
        <v>4962</v>
      </c>
      <c r="X29" s="157">
        <v>27</v>
      </c>
      <c r="Y29">
        <v>3281</v>
      </c>
      <c r="Z29">
        <v>55</v>
      </c>
      <c r="AA29">
        <v>310</v>
      </c>
      <c r="AB29">
        <v>7</v>
      </c>
      <c r="AC29">
        <v>820</v>
      </c>
      <c r="AD29">
        <v>265</v>
      </c>
      <c r="AE29">
        <v>197</v>
      </c>
    </row>
    <row r="30" spans="1:31" x14ac:dyDescent="0.25">
      <c r="A30">
        <v>28</v>
      </c>
      <c r="B30">
        <v>7315.0164000000004</v>
      </c>
      <c r="C30">
        <v>0</v>
      </c>
      <c r="D30">
        <v>0</v>
      </c>
      <c r="E30">
        <v>141.04023000000001</v>
      </c>
      <c r="F30">
        <v>691.21801000000005</v>
      </c>
      <c r="G30">
        <v>1053.17353</v>
      </c>
      <c r="H30">
        <v>13.45144</v>
      </c>
      <c r="I30">
        <v>0</v>
      </c>
      <c r="J30">
        <v>1035.18696</v>
      </c>
      <c r="K30">
        <f t="shared" si="0"/>
        <v>10277.086569999999</v>
      </c>
      <c r="L30">
        <v>28</v>
      </c>
      <c r="M30">
        <v>2894</v>
      </c>
      <c r="N30">
        <v>45</v>
      </c>
      <c r="O30">
        <v>298</v>
      </c>
      <c r="P30">
        <v>3</v>
      </c>
      <c r="Q30">
        <v>656</v>
      </c>
      <c r="R30">
        <v>215</v>
      </c>
      <c r="U30">
        <v>151</v>
      </c>
      <c r="V30">
        <f t="shared" si="1"/>
        <v>4290</v>
      </c>
      <c r="X30" s="157">
        <v>28</v>
      </c>
      <c r="Y30">
        <v>2894</v>
      </c>
      <c r="Z30">
        <v>45</v>
      </c>
      <c r="AA30">
        <v>298</v>
      </c>
      <c r="AB30">
        <v>3</v>
      </c>
      <c r="AC30">
        <v>656</v>
      </c>
      <c r="AD30">
        <v>215</v>
      </c>
      <c r="AE30">
        <v>151</v>
      </c>
    </row>
    <row r="31" spans="1:31" x14ac:dyDescent="0.25">
      <c r="A31">
        <v>29</v>
      </c>
      <c r="B31">
        <v>7443.4560000000001</v>
      </c>
      <c r="C31">
        <v>0</v>
      </c>
      <c r="D31">
        <v>43.552680000000002</v>
      </c>
      <c r="E31">
        <v>30.008050000000001</v>
      </c>
      <c r="F31">
        <v>800.20898</v>
      </c>
      <c r="G31">
        <v>644.22304999999994</v>
      </c>
      <c r="H31">
        <v>496.73075999999998</v>
      </c>
      <c r="I31">
        <v>100.55423999999999</v>
      </c>
      <c r="J31">
        <v>373.06076000000002</v>
      </c>
      <c r="K31">
        <f t="shared" si="0"/>
        <v>9960.7945200000013</v>
      </c>
      <c r="L31">
        <v>29</v>
      </c>
      <c r="M31">
        <v>2415</v>
      </c>
      <c r="N31">
        <v>32</v>
      </c>
      <c r="O31">
        <v>251</v>
      </c>
      <c r="P31">
        <v>2</v>
      </c>
      <c r="Q31">
        <v>576</v>
      </c>
      <c r="R31">
        <v>237</v>
      </c>
      <c r="U31">
        <v>152</v>
      </c>
      <c r="V31">
        <f t="shared" si="1"/>
        <v>3694</v>
      </c>
      <c r="X31" s="157">
        <v>29</v>
      </c>
      <c r="Y31">
        <v>2415</v>
      </c>
      <c r="Z31">
        <v>32</v>
      </c>
      <c r="AA31">
        <v>251</v>
      </c>
      <c r="AB31">
        <v>2</v>
      </c>
      <c r="AC31">
        <v>576</v>
      </c>
      <c r="AD31">
        <v>237</v>
      </c>
      <c r="AE31">
        <v>152</v>
      </c>
    </row>
    <row r="32" spans="1:31" x14ac:dyDescent="0.25">
      <c r="A32">
        <v>30</v>
      </c>
      <c r="B32">
        <v>4078.2971200000002</v>
      </c>
      <c r="C32">
        <v>355.32866000000001</v>
      </c>
      <c r="D32">
        <v>1837.8507099999999</v>
      </c>
      <c r="E32">
        <v>231.03761</v>
      </c>
      <c r="F32">
        <v>662.03368</v>
      </c>
      <c r="G32">
        <v>630.245</v>
      </c>
      <c r="H32">
        <v>492.08308</v>
      </c>
      <c r="I32">
        <v>3216.4988400000002</v>
      </c>
      <c r="J32">
        <v>64.055130000000005</v>
      </c>
      <c r="K32">
        <f t="shared" si="0"/>
        <v>11597.429830000001</v>
      </c>
      <c r="L32">
        <v>30</v>
      </c>
      <c r="M32">
        <v>2093</v>
      </c>
      <c r="N32">
        <v>25</v>
      </c>
      <c r="O32">
        <v>235</v>
      </c>
      <c r="P32">
        <v>4</v>
      </c>
      <c r="Q32">
        <v>544</v>
      </c>
      <c r="R32">
        <v>182</v>
      </c>
      <c r="U32">
        <v>128</v>
      </c>
      <c r="V32">
        <f t="shared" si="1"/>
        <v>3241</v>
      </c>
      <c r="X32" s="157">
        <v>30</v>
      </c>
      <c r="Y32">
        <v>2093</v>
      </c>
      <c r="Z32">
        <v>25</v>
      </c>
      <c r="AA32">
        <v>235</v>
      </c>
      <c r="AB32">
        <v>4</v>
      </c>
      <c r="AC32">
        <v>544</v>
      </c>
      <c r="AD32">
        <v>182</v>
      </c>
      <c r="AE32">
        <v>128</v>
      </c>
    </row>
    <row r="33" spans="1:31" x14ac:dyDescent="0.25">
      <c r="A33">
        <v>31</v>
      </c>
      <c r="B33">
        <v>3379.1257500000002</v>
      </c>
      <c r="C33">
        <v>493.64591999999999</v>
      </c>
      <c r="D33">
        <v>216.649</v>
      </c>
      <c r="E33">
        <v>947.55556000000001</v>
      </c>
      <c r="F33">
        <v>378.76082000000002</v>
      </c>
      <c r="G33">
        <v>1811.3803</v>
      </c>
      <c r="H33">
        <v>692.75652000000002</v>
      </c>
      <c r="I33">
        <v>312.12160999999998</v>
      </c>
      <c r="J33">
        <v>0</v>
      </c>
      <c r="K33">
        <f t="shared" si="0"/>
        <v>8262.9954799999996</v>
      </c>
      <c r="L33">
        <v>31</v>
      </c>
      <c r="M33">
        <v>1828</v>
      </c>
      <c r="N33">
        <v>23</v>
      </c>
      <c r="O33">
        <v>202</v>
      </c>
      <c r="P33">
        <v>0</v>
      </c>
      <c r="Q33">
        <v>452</v>
      </c>
      <c r="R33">
        <v>148</v>
      </c>
      <c r="U33">
        <v>101</v>
      </c>
      <c r="V33">
        <f t="shared" si="1"/>
        <v>2785</v>
      </c>
      <c r="X33" s="157">
        <v>31</v>
      </c>
      <c r="Y33">
        <v>1828</v>
      </c>
      <c r="Z33">
        <v>23</v>
      </c>
      <c r="AA33">
        <v>202</v>
      </c>
      <c r="AB33">
        <v>0</v>
      </c>
      <c r="AC33">
        <v>452</v>
      </c>
      <c r="AD33">
        <v>148</v>
      </c>
      <c r="AE33">
        <v>101</v>
      </c>
    </row>
    <row r="34" spans="1:31" x14ac:dyDescent="0.25">
      <c r="A34">
        <v>32</v>
      </c>
      <c r="B34">
        <v>4760.7128400000001</v>
      </c>
      <c r="C34">
        <v>144.23379</v>
      </c>
      <c r="D34">
        <v>590.32969000000003</v>
      </c>
      <c r="E34">
        <v>365.03354999999999</v>
      </c>
      <c r="F34">
        <v>2663.5314800000001</v>
      </c>
      <c r="G34">
        <v>686.38620000000003</v>
      </c>
      <c r="H34">
        <v>1689.5494000000001</v>
      </c>
      <c r="I34">
        <v>0</v>
      </c>
      <c r="J34">
        <v>1214.9242899999999</v>
      </c>
      <c r="K34">
        <f t="shared" si="0"/>
        <v>12146.701240000002</v>
      </c>
      <c r="L34">
        <v>32</v>
      </c>
      <c r="M34">
        <v>1499</v>
      </c>
      <c r="N34">
        <v>19</v>
      </c>
      <c r="O34">
        <v>208</v>
      </c>
      <c r="P34">
        <v>1</v>
      </c>
      <c r="Q34">
        <v>395</v>
      </c>
      <c r="R34">
        <v>139</v>
      </c>
      <c r="U34">
        <v>91</v>
      </c>
      <c r="V34">
        <f t="shared" si="1"/>
        <v>2384</v>
      </c>
      <c r="X34" s="157">
        <v>32</v>
      </c>
      <c r="Y34">
        <v>1499</v>
      </c>
      <c r="Z34">
        <v>19</v>
      </c>
      <c r="AA34">
        <v>208</v>
      </c>
      <c r="AB34">
        <v>1</v>
      </c>
      <c r="AC34">
        <v>395</v>
      </c>
      <c r="AD34">
        <v>139</v>
      </c>
      <c r="AE34">
        <v>91</v>
      </c>
    </row>
    <row r="35" spans="1:31" x14ac:dyDescent="0.25">
      <c r="A35">
        <v>33</v>
      </c>
      <c r="B35">
        <v>2817.7932999999998</v>
      </c>
      <c r="C35">
        <v>0</v>
      </c>
      <c r="D35">
        <v>930.09096</v>
      </c>
      <c r="E35">
        <v>1330.52379</v>
      </c>
      <c r="F35">
        <v>1082.59212</v>
      </c>
      <c r="G35">
        <v>903.17732000000001</v>
      </c>
      <c r="H35">
        <v>2073.9312</v>
      </c>
      <c r="I35">
        <v>3848.6243199999999</v>
      </c>
      <c r="J35">
        <v>283.27776</v>
      </c>
      <c r="K35">
        <f t="shared" si="0"/>
        <v>13303.010770000001</v>
      </c>
      <c r="L35">
        <v>33</v>
      </c>
      <c r="M35">
        <v>1188</v>
      </c>
      <c r="N35">
        <v>11</v>
      </c>
      <c r="O35">
        <v>147</v>
      </c>
      <c r="P35">
        <v>0</v>
      </c>
      <c r="Q35">
        <v>371</v>
      </c>
      <c r="R35">
        <v>124</v>
      </c>
      <c r="U35">
        <v>69</v>
      </c>
      <c r="V35">
        <f t="shared" si="1"/>
        <v>1943</v>
      </c>
      <c r="X35" s="157">
        <v>33</v>
      </c>
      <c r="Y35">
        <v>1188</v>
      </c>
      <c r="Z35">
        <v>11</v>
      </c>
      <c r="AA35">
        <v>147</v>
      </c>
      <c r="AB35">
        <v>0</v>
      </c>
      <c r="AC35">
        <v>371</v>
      </c>
      <c r="AD35">
        <v>124</v>
      </c>
      <c r="AE35">
        <v>69</v>
      </c>
    </row>
    <row r="36" spans="1:31" x14ac:dyDescent="0.25">
      <c r="A36">
        <v>34</v>
      </c>
      <c r="B36">
        <v>5039.4250899999997</v>
      </c>
      <c r="C36">
        <v>0</v>
      </c>
      <c r="D36">
        <v>0</v>
      </c>
      <c r="E36">
        <v>194.07352</v>
      </c>
      <c r="F36">
        <v>833.22380999999996</v>
      </c>
      <c r="G36">
        <v>1452.9531199999999</v>
      </c>
      <c r="H36">
        <v>443.18117999999998</v>
      </c>
      <c r="I36">
        <v>177.18600000000001</v>
      </c>
      <c r="J36">
        <v>0</v>
      </c>
      <c r="K36">
        <f t="shared" si="0"/>
        <v>8174.0427199999995</v>
      </c>
      <c r="L36">
        <v>34</v>
      </c>
      <c r="M36">
        <v>1024</v>
      </c>
      <c r="N36">
        <v>11</v>
      </c>
      <c r="O36">
        <v>130</v>
      </c>
      <c r="P36">
        <v>0</v>
      </c>
      <c r="Q36">
        <v>277</v>
      </c>
      <c r="R36">
        <v>101</v>
      </c>
      <c r="U36">
        <v>62</v>
      </c>
      <c r="V36">
        <f t="shared" si="1"/>
        <v>1639</v>
      </c>
      <c r="X36" s="157">
        <v>34</v>
      </c>
      <c r="Y36">
        <v>1024</v>
      </c>
      <c r="Z36">
        <v>11</v>
      </c>
      <c r="AA36">
        <v>130</v>
      </c>
      <c r="AB36">
        <v>0</v>
      </c>
      <c r="AC36">
        <v>277</v>
      </c>
      <c r="AD36">
        <v>101</v>
      </c>
      <c r="AE36">
        <v>62</v>
      </c>
    </row>
    <row r="37" spans="1:31" x14ac:dyDescent="0.25">
      <c r="A37">
        <v>35</v>
      </c>
      <c r="B37">
        <v>3821.8814900000002</v>
      </c>
      <c r="C37">
        <v>0</v>
      </c>
      <c r="D37">
        <v>783.19713999999999</v>
      </c>
      <c r="E37">
        <v>68.286749999999998</v>
      </c>
      <c r="F37">
        <v>505.24919999999997</v>
      </c>
      <c r="G37">
        <v>317.17322000000001</v>
      </c>
      <c r="H37">
        <v>109.79114</v>
      </c>
      <c r="I37">
        <v>0</v>
      </c>
      <c r="J37">
        <v>43.552680000000002</v>
      </c>
      <c r="K37">
        <f t="shared" si="0"/>
        <v>5684.1316200000001</v>
      </c>
      <c r="L37">
        <v>35</v>
      </c>
      <c r="M37">
        <v>876</v>
      </c>
      <c r="N37">
        <v>11</v>
      </c>
      <c r="O37">
        <v>114</v>
      </c>
      <c r="P37">
        <v>1</v>
      </c>
      <c r="Q37">
        <v>238</v>
      </c>
      <c r="R37">
        <v>61</v>
      </c>
      <c r="U37">
        <v>65</v>
      </c>
      <c r="V37">
        <f t="shared" si="1"/>
        <v>1401</v>
      </c>
      <c r="X37" s="157">
        <v>35</v>
      </c>
      <c r="Y37">
        <v>876</v>
      </c>
      <c r="Z37">
        <v>11</v>
      </c>
      <c r="AA37">
        <v>114</v>
      </c>
      <c r="AB37">
        <v>1</v>
      </c>
      <c r="AC37">
        <v>238</v>
      </c>
      <c r="AD37">
        <v>61</v>
      </c>
      <c r="AE37">
        <v>65</v>
      </c>
    </row>
    <row r="38" spans="1:31" x14ac:dyDescent="0.25">
      <c r="A38">
        <v>36</v>
      </c>
      <c r="B38">
        <v>2605.3206</v>
      </c>
      <c r="C38">
        <v>325.12927999999999</v>
      </c>
      <c r="D38">
        <v>92.561769999999996</v>
      </c>
      <c r="E38">
        <v>650.14241000000004</v>
      </c>
      <c r="F38">
        <v>416.79413</v>
      </c>
      <c r="G38">
        <v>206.01405</v>
      </c>
      <c r="H38">
        <v>3859.4249599999998</v>
      </c>
      <c r="I38">
        <v>188.77189999999999</v>
      </c>
      <c r="J38">
        <v>90.232600000000005</v>
      </c>
      <c r="K38">
        <f t="shared" si="0"/>
        <v>8470.3916999999983</v>
      </c>
      <c r="L38">
        <v>36</v>
      </c>
      <c r="M38">
        <v>682</v>
      </c>
      <c r="N38">
        <v>6</v>
      </c>
      <c r="O38">
        <v>101</v>
      </c>
      <c r="P38">
        <v>0</v>
      </c>
      <c r="Q38">
        <v>206</v>
      </c>
      <c r="R38">
        <v>72</v>
      </c>
      <c r="U38">
        <v>42</v>
      </c>
      <c r="V38">
        <f t="shared" si="1"/>
        <v>1145</v>
      </c>
      <c r="X38" s="157">
        <v>36</v>
      </c>
      <c r="Y38">
        <v>682</v>
      </c>
      <c r="Z38">
        <v>6</v>
      </c>
      <c r="AA38">
        <v>101</v>
      </c>
      <c r="AB38">
        <v>0</v>
      </c>
      <c r="AC38">
        <v>206</v>
      </c>
      <c r="AD38">
        <v>72</v>
      </c>
      <c r="AE38">
        <v>42</v>
      </c>
    </row>
    <row r="39" spans="1:31" x14ac:dyDescent="0.25">
      <c r="A39">
        <v>37</v>
      </c>
      <c r="B39">
        <v>881.95758999999998</v>
      </c>
      <c r="C39">
        <v>0</v>
      </c>
      <c r="D39">
        <v>0</v>
      </c>
      <c r="E39">
        <v>0</v>
      </c>
      <c r="F39">
        <v>1082.28656</v>
      </c>
      <c r="G39">
        <v>356.26218</v>
      </c>
      <c r="H39">
        <v>0</v>
      </c>
      <c r="I39">
        <v>224.09737999999999</v>
      </c>
      <c r="J39">
        <v>42.623049999999999</v>
      </c>
      <c r="K39">
        <f t="shared" si="0"/>
        <v>2624.2267600000005</v>
      </c>
      <c r="L39">
        <v>37</v>
      </c>
      <c r="M39">
        <v>564</v>
      </c>
      <c r="N39">
        <v>4</v>
      </c>
      <c r="O39">
        <v>99</v>
      </c>
      <c r="P39">
        <v>0</v>
      </c>
      <c r="Q39">
        <v>178</v>
      </c>
      <c r="R39">
        <v>63</v>
      </c>
      <c r="U39">
        <v>40</v>
      </c>
      <c r="V39">
        <f t="shared" si="1"/>
        <v>985</v>
      </c>
      <c r="X39" s="157">
        <v>37</v>
      </c>
      <c r="Y39">
        <v>564</v>
      </c>
      <c r="Z39">
        <v>4</v>
      </c>
      <c r="AA39">
        <v>99</v>
      </c>
      <c r="AB39">
        <v>0</v>
      </c>
      <c r="AC39">
        <v>178</v>
      </c>
      <c r="AD39">
        <v>63</v>
      </c>
      <c r="AE39">
        <v>40</v>
      </c>
    </row>
    <row r="40" spans="1:31" x14ac:dyDescent="0.25">
      <c r="A40">
        <v>38</v>
      </c>
      <c r="B40">
        <v>5587.1932500000003</v>
      </c>
      <c r="C40">
        <v>0</v>
      </c>
      <c r="D40">
        <v>854.35350000000005</v>
      </c>
      <c r="E40">
        <v>0</v>
      </c>
      <c r="F40">
        <v>558.20833000000005</v>
      </c>
      <c r="G40">
        <v>232.61636999999999</v>
      </c>
      <c r="H40">
        <v>1380.5516600000001</v>
      </c>
      <c r="I40">
        <v>0</v>
      </c>
      <c r="J40">
        <v>0</v>
      </c>
      <c r="K40">
        <f t="shared" si="0"/>
        <v>8650.9231099999997</v>
      </c>
      <c r="L40">
        <v>38</v>
      </c>
      <c r="M40">
        <v>482</v>
      </c>
      <c r="N40">
        <v>4</v>
      </c>
      <c r="O40">
        <v>81</v>
      </c>
      <c r="P40">
        <v>0</v>
      </c>
      <c r="Q40">
        <v>137</v>
      </c>
      <c r="R40">
        <v>58</v>
      </c>
      <c r="U40">
        <v>21</v>
      </c>
      <c r="V40">
        <f t="shared" si="1"/>
        <v>821</v>
      </c>
      <c r="X40" s="157">
        <v>38</v>
      </c>
      <c r="Y40">
        <v>482</v>
      </c>
      <c r="Z40">
        <v>4</v>
      </c>
      <c r="AA40">
        <v>81</v>
      </c>
      <c r="AB40">
        <v>0</v>
      </c>
      <c r="AC40">
        <v>137</v>
      </c>
      <c r="AD40">
        <v>58</v>
      </c>
      <c r="AE40">
        <v>21</v>
      </c>
    </row>
    <row r="41" spans="1:31" x14ac:dyDescent="0.25">
      <c r="A41">
        <v>39</v>
      </c>
      <c r="B41">
        <v>4133.7759900000001</v>
      </c>
      <c r="C41">
        <v>1305.7244700000001</v>
      </c>
      <c r="D41">
        <v>324.70031</v>
      </c>
      <c r="E41">
        <v>298.88781</v>
      </c>
      <c r="F41">
        <v>278.82789000000002</v>
      </c>
      <c r="G41">
        <v>1338.5133699999999</v>
      </c>
      <c r="H41">
        <v>177.0444</v>
      </c>
      <c r="I41">
        <v>50.917099999999998</v>
      </c>
      <c r="J41">
        <v>29.844049999999999</v>
      </c>
      <c r="K41">
        <f t="shared" si="0"/>
        <v>7977.2353899999989</v>
      </c>
      <c r="L41">
        <v>39</v>
      </c>
      <c r="M41">
        <v>397</v>
      </c>
      <c r="N41">
        <v>3</v>
      </c>
      <c r="O41">
        <v>58</v>
      </c>
      <c r="P41">
        <v>0</v>
      </c>
      <c r="Q41">
        <v>124</v>
      </c>
      <c r="R41">
        <v>33</v>
      </c>
      <c r="U41">
        <v>21</v>
      </c>
      <c r="V41">
        <f t="shared" si="1"/>
        <v>675</v>
      </c>
      <c r="X41" s="157">
        <v>39</v>
      </c>
      <c r="Y41">
        <v>397</v>
      </c>
      <c r="Z41">
        <v>3</v>
      </c>
      <c r="AA41">
        <v>58</v>
      </c>
      <c r="AB41">
        <v>0</v>
      </c>
      <c r="AC41">
        <v>124</v>
      </c>
      <c r="AD41">
        <v>33</v>
      </c>
      <c r="AE41">
        <v>21</v>
      </c>
    </row>
    <row r="42" spans="1:31" x14ac:dyDescent="0.25">
      <c r="A42">
        <v>40</v>
      </c>
      <c r="B42">
        <v>1894.4070300000001</v>
      </c>
      <c r="C42">
        <v>130.84649999999999</v>
      </c>
      <c r="D42">
        <v>0</v>
      </c>
      <c r="E42">
        <v>0</v>
      </c>
      <c r="F42">
        <v>351.32783999999998</v>
      </c>
      <c r="G42">
        <v>158.46347</v>
      </c>
      <c r="H42">
        <v>0</v>
      </c>
      <c r="I42">
        <v>0</v>
      </c>
      <c r="J42">
        <v>251.27420000000001</v>
      </c>
      <c r="K42">
        <f t="shared" si="0"/>
        <v>2826.3190399999999</v>
      </c>
      <c r="L42">
        <v>40</v>
      </c>
      <c r="M42">
        <v>310</v>
      </c>
      <c r="N42">
        <v>4</v>
      </c>
      <c r="O42">
        <v>54</v>
      </c>
      <c r="P42">
        <v>0</v>
      </c>
      <c r="Q42">
        <v>101</v>
      </c>
      <c r="R42">
        <v>43</v>
      </c>
      <c r="U42">
        <v>27</v>
      </c>
      <c r="V42">
        <f t="shared" si="1"/>
        <v>579</v>
      </c>
      <c r="X42" s="157">
        <v>40</v>
      </c>
      <c r="Y42">
        <v>310</v>
      </c>
      <c r="Z42">
        <v>4</v>
      </c>
      <c r="AA42">
        <v>54</v>
      </c>
      <c r="AB42">
        <v>0</v>
      </c>
      <c r="AC42">
        <v>101</v>
      </c>
      <c r="AD42">
        <v>43</v>
      </c>
      <c r="AE42">
        <v>27</v>
      </c>
    </row>
    <row r="43" spans="1:31" x14ac:dyDescent="0.25">
      <c r="A43">
        <v>41</v>
      </c>
      <c r="B43">
        <v>2468.9848699999998</v>
      </c>
      <c r="C43">
        <v>285.40640999999999</v>
      </c>
      <c r="D43">
        <v>162.17717999999999</v>
      </c>
      <c r="E43">
        <v>0</v>
      </c>
      <c r="F43">
        <v>163.82226</v>
      </c>
      <c r="G43">
        <v>205.59621999999999</v>
      </c>
      <c r="H43">
        <v>0</v>
      </c>
      <c r="I43">
        <v>0</v>
      </c>
      <c r="J43">
        <v>0</v>
      </c>
      <c r="K43">
        <f t="shared" si="0"/>
        <v>3326.9869399999998</v>
      </c>
      <c r="L43">
        <v>41</v>
      </c>
      <c r="M43">
        <v>265</v>
      </c>
      <c r="N43">
        <v>2</v>
      </c>
      <c r="O43">
        <v>38</v>
      </c>
      <c r="P43">
        <v>0</v>
      </c>
      <c r="Q43">
        <v>75</v>
      </c>
      <c r="R43">
        <v>38</v>
      </c>
      <c r="U43">
        <v>10</v>
      </c>
      <c r="V43">
        <f t="shared" si="1"/>
        <v>469</v>
      </c>
      <c r="X43" s="157">
        <v>41</v>
      </c>
      <c r="Y43">
        <v>265</v>
      </c>
      <c r="Z43">
        <v>2</v>
      </c>
      <c r="AA43">
        <v>38</v>
      </c>
      <c r="AB43">
        <v>0</v>
      </c>
      <c r="AC43">
        <v>75</v>
      </c>
      <c r="AD43">
        <v>38</v>
      </c>
      <c r="AE43">
        <v>10</v>
      </c>
    </row>
    <row r="44" spans="1:31" x14ac:dyDescent="0.25">
      <c r="A44">
        <v>42</v>
      </c>
      <c r="B44">
        <v>46559.822390000001</v>
      </c>
      <c r="C44">
        <v>528.52157999999997</v>
      </c>
      <c r="D44">
        <v>14618.95894</v>
      </c>
      <c r="E44">
        <v>9349.95039</v>
      </c>
      <c r="F44">
        <v>12555.04304</v>
      </c>
      <c r="G44">
        <v>11294.025</v>
      </c>
      <c r="H44">
        <v>10682.465179999999</v>
      </c>
      <c r="I44">
        <v>7515.2249899999997</v>
      </c>
      <c r="J44">
        <v>2314.41021</v>
      </c>
      <c r="K44">
        <f t="shared" si="0"/>
        <v>115460.42172</v>
      </c>
      <c r="L44">
        <v>42</v>
      </c>
      <c r="M44">
        <v>1063</v>
      </c>
      <c r="N44">
        <v>16</v>
      </c>
      <c r="O44">
        <v>215</v>
      </c>
      <c r="P44">
        <v>1</v>
      </c>
      <c r="Q44">
        <v>399</v>
      </c>
      <c r="R44">
        <v>163</v>
      </c>
      <c r="U44">
        <v>76</v>
      </c>
      <c r="V44">
        <f t="shared" si="1"/>
        <v>1975</v>
      </c>
      <c r="X44" s="157">
        <v>42</v>
      </c>
      <c r="Y44">
        <v>1063</v>
      </c>
      <c r="Z44">
        <v>16</v>
      </c>
      <c r="AA44">
        <v>215</v>
      </c>
      <c r="AB44">
        <v>1</v>
      </c>
      <c r="AC44">
        <v>399</v>
      </c>
      <c r="AD44">
        <v>163</v>
      </c>
      <c r="AE44">
        <v>76</v>
      </c>
    </row>
  </sheetData>
  <pageMargins left="0.7" right="0.7" top="0.75" bottom="0.75" header="0.3" footer="0.3"/>
  <pageSetup paperSize="0" orientation="portrait" horizontalDpi="0" verticalDpi="0" copies="0"/>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dimension ref="A1:H48"/>
  <sheetViews>
    <sheetView workbookViewId="0">
      <selection activeCell="D12" sqref="D12"/>
    </sheetView>
  </sheetViews>
  <sheetFormatPr defaultRowHeight="15" x14ac:dyDescent="0.25"/>
  <cols>
    <col min="2" max="2" width="19.85546875" bestFit="1" customWidth="1"/>
    <col min="3" max="4" width="11.5703125" style="29" bestFit="1" customWidth="1"/>
  </cols>
  <sheetData>
    <row r="1" spans="1:6" ht="23.25" x14ac:dyDescent="0.35">
      <c r="A1" s="173" t="s">
        <v>371</v>
      </c>
    </row>
    <row r="2" spans="1:6" ht="18.75" x14ac:dyDescent="0.3">
      <c r="B2" s="66" t="s">
        <v>372</v>
      </c>
    </row>
    <row r="3" spans="1:6" x14ac:dyDescent="0.25">
      <c r="B3" t="s">
        <v>219</v>
      </c>
    </row>
    <row r="5" spans="1:6" x14ac:dyDescent="0.25">
      <c r="A5" s="86"/>
      <c r="B5" s="86"/>
      <c r="C5" s="405" t="s">
        <v>10</v>
      </c>
      <c r="D5" s="405"/>
      <c r="E5" s="396" t="s">
        <v>11</v>
      </c>
      <c r="F5" s="396"/>
    </row>
    <row r="6" spans="1:6" ht="15.75" thickBot="1" x14ac:dyDescent="0.3">
      <c r="A6" s="54" t="s">
        <v>233</v>
      </c>
      <c r="B6" s="54" t="s">
        <v>234</v>
      </c>
      <c r="C6" s="354" t="s">
        <v>7</v>
      </c>
      <c r="D6" s="354" t="s">
        <v>3</v>
      </c>
      <c r="E6" s="54" t="s">
        <v>7</v>
      </c>
      <c r="F6" s="54" t="s">
        <v>3</v>
      </c>
    </row>
    <row r="7" spans="1:6" ht="15.75" thickTop="1" x14ac:dyDescent="0.25">
      <c r="A7">
        <v>1</v>
      </c>
      <c r="B7" t="s">
        <v>277</v>
      </c>
      <c r="C7" s="29">
        <f>INDEX(StopDepTime_input!$B$3:$K$42,MATCH(A7,stopLocBins,0), MATCH($B$3,todPurpose,0))</f>
        <v>13902.834129999999</v>
      </c>
      <c r="D7" s="29">
        <f>INDEX(StopDepTime_input!$M$3:$V$42,MATCH(A7,stopLocBins,0), MATCH($B$3,todPurpose,0))*Index!$B$2</f>
        <v>48895</v>
      </c>
      <c r="E7" s="2">
        <f>C7/SUM($C$7:$C$46)</f>
        <v>1.6808651000066518E-3</v>
      </c>
      <c r="F7" s="2">
        <f>D7/SUM($D$7:$D$46)</f>
        <v>7.1203320831431105E-3</v>
      </c>
    </row>
    <row r="8" spans="1:6" x14ac:dyDescent="0.25">
      <c r="A8">
        <v>2</v>
      </c>
      <c r="B8" t="s">
        <v>278</v>
      </c>
      <c r="C8" s="29">
        <f>INDEX(StopDepTime_input!$B$3:$K$42,MATCH(A8,stopLocBins,0), MATCH($B$3,todPurpose,0))</f>
        <v>26643.500290000007</v>
      </c>
      <c r="D8" s="29">
        <f>INDEX(StopDepTime_input!$M$3:$V$42,MATCH(A8,stopLocBins,0), MATCH($B$3,todPurpose,0))*Index!$B$2</f>
        <v>50005</v>
      </c>
      <c r="E8" s="2">
        <f t="shared" ref="E8:E46" si="0">C8/SUM($C$7:$C$46)</f>
        <v>3.2212230514094553E-3</v>
      </c>
      <c r="F8" s="2">
        <f t="shared" ref="F8:F46" si="1">D8/SUM($D$7:$D$46)</f>
        <v>7.2819757811140454E-3</v>
      </c>
    </row>
    <row r="9" spans="1:6" x14ac:dyDescent="0.25">
      <c r="A9">
        <v>3</v>
      </c>
      <c r="B9" t="s">
        <v>279</v>
      </c>
      <c r="C9" s="29">
        <f>INDEX(StopDepTime_input!$B$3:$K$42,MATCH(A9,stopLocBins,0), MATCH($B$3,todPurpose,0))</f>
        <v>98754.513559999992</v>
      </c>
      <c r="D9" s="29">
        <f>INDEX(StopDepTime_input!$M$3:$V$42,MATCH(A9,stopLocBins,0), MATCH($B$3,todPurpose,0))*Index!$B$2</f>
        <v>89260</v>
      </c>
      <c r="E9" s="2">
        <f t="shared" si="0"/>
        <v>1.1939509150364699E-2</v>
      </c>
      <c r="F9" s="2">
        <f t="shared" si="1"/>
        <v>1.2998483316113182E-2</v>
      </c>
    </row>
    <row r="10" spans="1:6" x14ac:dyDescent="0.25">
      <c r="A10">
        <v>4</v>
      </c>
      <c r="B10" t="s">
        <v>280</v>
      </c>
      <c r="C10" s="29">
        <f>INDEX(StopDepTime_input!$B$3:$K$42,MATCH(A10,stopLocBins,0), MATCH($B$3,todPurpose,0))</f>
        <v>66001.989880000008</v>
      </c>
      <c r="D10" s="29">
        <f>INDEX(StopDepTime_input!$M$3:$V$42,MATCH(A10,stopLocBins,0), MATCH($B$3,todPurpose,0))*Index!$B$2</f>
        <v>143945</v>
      </c>
      <c r="E10" s="2">
        <f t="shared" si="0"/>
        <v>7.9796996988472473E-3</v>
      </c>
      <c r="F10" s="2">
        <f t="shared" si="1"/>
        <v>2.096198387786144E-2</v>
      </c>
    </row>
    <row r="11" spans="1:6" x14ac:dyDescent="0.25">
      <c r="A11">
        <v>5</v>
      </c>
      <c r="B11" t="s">
        <v>281</v>
      </c>
      <c r="C11" s="29">
        <f>INDEX(StopDepTime_input!$B$3:$K$42,MATCH(A11,stopLocBins,0), MATCH($B$3,todPurpose,0))</f>
        <v>98687.637059999979</v>
      </c>
      <c r="D11" s="29">
        <f>INDEX(StopDepTime_input!$M$3:$V$42,MATCH(A11,stopLocBins,0), MATCH($B$3,todPurpose,0))*Index!$B$2</f>
        <v>224230</v>
      </c>
      <c r="E11" s="2">
        <f t="shared" si="0"/>
        <v>1.1931423721608986E-2</v>
      </c>
      <c r="F11" s="2">
        <f t="shared" si="1"/>
        <v>3.265348323966008E-2</v>
      </c>
    </row>
    <row r="12" spans="1:6" x14ac:dyDescent="0.25">
      <c r="A12">
        <v>6</v>
      </c>
      <c r="B12" t="s">
        <v>282</v>
      </c>
      <c r="C12" s="29">
        <f>INDEX(StopDepTime_input!$B$3:$K$42,MATCH(A12,stopLocBins,0), MATCH($B$3,todPurpose,0))</f>
        <v>213613.01459000001</v>
      </c>
      <c r="D12" s="29">
        <f>INDEX(StopDepTime_input!$M$3:$V$42,MATCH(A12,stopLocBins,0), MATCH($B$3,todPurpose,0))*Index!$B$2</f>
        <v>172835</v>
      </c>
      <c r="E12" s="2">
        <f t="shared" si="0"/>
        <v>2.5826004811260937E-2</v>
      </c>
      <c r="F12" s="2">
        <f t="shared" si="1"/>
        <v>2.5169088773699552E-2</v>
      </c>
    </row>
    <row r="13" spans="1:6" x14ac:dyDescent="0.25">
      <c r="A13">
        <v>7</v>
      </c>
      <c r="B13" t="s">
        <v>283</v>
      </c>
      <c r="C13" s="29">
        <f>INDEX(StopDepTime_input!$B$3:$K$42,MATCH(A13,stopLocBins,0), MATCH($B$3,todPurpose,0))</f>
        <v>242878.31187999999</v>
      </c>
      <c r="D13" s="29">
        <f>INDEX(StopDepTime_input!$M$3:$V$42,MATCH(A13,stopLocBins,0), MATCH($B$3,todPurpose,0))*Index!$B$2</f>
        <v>198150</v>
      </c>
      <c r="E13" s="2">
        <f t="shared" si="0"/>
        <v>2.9364205468487666E-2</v>
      </c>
      <c r="F13" s="2">
        <f t="shared" si="1"/>
        <v>2.8855584462108751E-2</v>
      </c>
    </row>
    <row r="14" spans="1:6" x14ac:dyDescent="0.25">
      <c r="A14">
        <v>8</v>
      </c>
      <c r="B14" t="s">
        <v>284</v>
      </c>
      <c r="C14" s="29">
        <f>INDEX(StopDepTime_input!$B$3:$K$42,MATCH(A14,stopLocBins,0), MATCH($B$3,todPurpose,0))</f>
        <v>246274.30730999997</v>
      </c>
      <c r="D14" s="29">
        <f>INDEX(StopDepTime_input!$M$3:$V$42,MATCH(A14,stopLocBins,0), MATCH($B$3,todPurpose,0))*Index!$B$2</f>
        <v>288400</v>
      </c>
      <c r="E14" s="2">
        <f t="shared" si="0"/>
        <v>2.9774784357992769E-2</v>
      </c>
      <c r="F14" s="2">
        <f t="shared" si="1"/>
        <v>4.1998236481817636E-2</v>
      </c>
    </row>
    <row r="15" spans="1:6" x14ac:dyDescent="0.25">
      <c r="A15">
        <v>9</v>
      </c>
      <c r="B15" t="s">
        <v>285</v>
      </c>
      <c r="C15" s="29">
        <f>INDEX(StopDepTime_input!$B$3:$K$42,MATCH(A15,stopLocBins,0), MATCH($B$3,todPurpose,0))</f>
        <v>238938.31064000001</v>
      </c>
      <c r="D15" s="29">
        <f>INDEX(StopDepTime_input!$M$3:$V$42,MATCH(A15,stopLocBins,0), MATCH($B$3,todPurpose,0))*Index!$B$2</f>
        <v>225800</v>
      </c>
      <c r="E15" s="2">
        <f t="shared" si="0"/>
        <v>2.8887855789251515E-2</v>
      </c>
      <c r="F15" s="2">
        <f t="shared" si="1"/>
        <v>3.2882114416069419E-2</v>
      </c>
    </row>
    <row r="16" spans="1:6" x14ac:dyDescent="0.25">
      <c r="A16">
        <v>10</v>
      </c>
      <c r="B16" t="s">
        <v>286</v>
      </c>
      <c r="C16" s="29">
        <f>INDEX(StopDepTime_input!$B$3:$K$42,MATCH(A16,stopLocBins,0), MATCH($B$3,todPurpose,0))</f>
        <v>207042.89594000002</v>
      </c>
      <c r="D16" s="29">
        <f>INDEX(StopDepTime_input!$M$3:$V$42,MATCH(A16,stopLocBins,0), MATCH($B$3,todPurpose,0))*Index!$B$2</f>
        <v>159700</v>
      </c>
      <c r="E16" s="2">
        <f t="shared" si="0"/>
        <v>2.5031671581185366E-2</v>
      </c>
      <c r="F16" s="2">
        <f t="shared" si="1"/>
        <v>2.3256305014376824E-2</v>
      </c>
    </row>
    <row r="17" spans="1:8" x14ac:dyDescent="0.25">
      <c r="A17">
        <v>11</v>
      </c>
      <c r="B17" t="s">
        <v>287</v>
      </c>
      <c r="C17" s="29">
        <f>INDEX(StopDepTime_input!$B$3:$K$42,MATCH(A17,stopLocBins,0), MATCH($B$3,todPurpose,0))</f>
        <v>196262.23993000001</v>
      </c>
      <c r="D17" s="29">
        <f>INDEX(StopDepTime_input!$M$3:$V$42,MATCH(A17,stopLocBins,0), MATCH($B$3,todPurpose,0))*Index!$B$2</f>
        <v>144085</v>
      </c>
      <c r="E17" s="2">
        <f t="shared" si="0"/>
        <v>2.3728280612628511E-2</v>
      </c>
      <c r="F17" s="2">
        <f t="shared" si="1"/>
        <v>2.0982371371299213E-2</v>
      </c>
    </row>
    <row r="18" spans="1:8" x14ac:dyDescent="0.25">
      <c r="A18">
        <v>12</v>
      </c>
      <c r="B18" t="s">
        <v>288</v>
      </c>
      <c r="C18" s="29">
        <f>INDEX(StopDepTime_input!$B$3:$K$42,MATCH(A18,stopLocBins,0), MATCH($B$3,todPurpose,0))</f>
        <v>222924.06107</v>
      </c>
      <c r="D18" s="29">
        <f>INDEX(StopDepTime_input!$M$3:$V$42,MATCH(A18,stopLocBins,0), MATCH($B$3,todPurpose,0))*Index!$B$2</f>
        <v>154685</v>
      </c>
      <c r="E18" s="2">
        <f t="shared" si="0"/>
        <v>2.6951718671214164E-2</v>
      </c>
      <c r="F18" s="2">
        <f t="shared" si="1"/>
        <v>2.2525995874445079E-2</v>
      </c>
    </row>
    <row r="19" spans="1:8" x14ac:dyDescent="0.25">
      <c r="A19">
        <v>13</v>
      </c>
      <c r="B19" t="s">
        <v>289</v>
      </c>
      <c r="C19" s="29">
        <f>INDEX(StopDepTime_input!$B$3:$K$42,MATCH(A19,stopLocBins,0), MATCH($B$3,todPurpose,0))</f>
        <v>235720.12726000001</v>
      </c>
      <c r="D19" s="29">
        <f>INDEX(StopDepTime_input!$M$3:$V$42,MATCH(A19,stopLocBins,0), MATCH($B$3,todPurpose,0))*Index!$B$2</f>
        <v>151960</v>
      </c>
      <c r="E19" s="2">
        <f t="shared" si="0"/>
        <v>2.8498774535869444E-2</v>
      </c>
      <c r="F19" s="2">
        <f t="shared" si="1"/>
        <v>2.2129167877174089E-2</v>
      </c>
    </row>
    <row r="20" spans="1:8" x14ac:dyDescent="0.25">
      <c r="A20">
        <v>14</v>
      </c>
      <c r="B20" t="s">
        <v>290</v>
      </c>
      <c r="C20" s="29">
        <f>INDEX(StopDepTime_input!$B$3:$K$42,MATCH(A20,stopLocBins,0), MATCH($B$3,todPurpose,0))</f>
        <v>286799.85884999996</v>
      </c>
      <c r="D20" s="29">
        <f>INDEX(StopDepTime_input!$M$3:$V$42,MATCH(A20,stopLocBins,0), MATCH($B$3,todPurpose,0))*Index!$B$2</f>
        <v>166640</v>
      </c>
      <c r="E20" s="2">
        <f t="shared" si="0"/>
        <v>3.4674359840600272E-2</v>
      </c>
      <c r="F20" s="2">
        <f t="shared" si="1"/>
        <v>2.4266942189077982E-2</v>
      </c>
    </row>
    <row r="21" spans="1:8" x14ac:dyDescent="0.25">
      <c r="A21">
        <v>15</v>
      </c>
      <c r="B21" t="s">
        <v>291</v>
      </c>
      <c r="C21" s="29">
        <f>INDEX(StopDepTime_input!$B$3:$K$42,MATCH(A21,stopLocBins,0), MATCH($B$3,todPurpose,0))</f>
        <v>280803.79352000001</v>
      </c>
      <c r="D21" s="29">
        <f>INDEX(StopDepTime_input!$M$3:$V$42,MATCH(A21,stopLocBins,0), MATCH($B$3,todPurpose,0))*Index!$B$2</f>
        <v>185025</v>
      </c>
      <c r="E21" s="2">
        <f t="shared" si="0"/>
        <v>3.39494301711303E-2</v>
      </c>
      <c r="F21" s="2">
        <f t="shared" si="1"/>
        <v>2.6944256952317294E-2</v>
      </c>
    </row>
    <row r="22" spans="1:8" x14ac:dyDescent="0.25">
      <c r="A22">
        <v>16</v>
      </c>
      <c r="B22" t="s">
        <v>292</v>
      </c>
      <c r="C22" s="29">
        <f>INDEX(StopDepTime_input!$B$3:$K$42,MATCH(A22,stopLocBins,0), MATCH($B$3,todPurpose,0))</f>
        <v>364509.58458999998</v>
      </c>
      <c r="D22" s="29">
        <f>INDEX(StopDepTime_input!$M$3:$V$42,MATCH(A22,stopLocBins,0), MATCH($B$3,todPurpose,0))*Index!$B$2</f>
        <v>201860</v>
      </c>
      <c r="E22" s="2">
        <f t="shared" si="0"/>
        <v>4.406953529231622E-2</v>
      </c>
      <c r="F22" s="2">
        <f t="shared" si="1"/>
        <v>2.9395853038209803E-2</v>
      </c>
    </row>
    <row r="23" spans="1:8" x14ac:dyDescent="0.25">
      <c r="A23">
        <v>17</v>
      </c>
      <c r="B23" t="s">
        <v>293</v>
      </c>
      <c r="C23" s="29">
        <f>INDEX(StopDepTime_input!$B$3:$K$42,MATCH(A23,stopLocBins,0), MATCH($B$3,todPurpose,0))</f>
        <v>300234.20335000003</v>
      </c>
      <c r="D23" s="29">
        <f>INDEX(StopDepTime_input!$M$3:$V$42,MATCH(A23,stopLocBins,0), MATCH($B$3,todPurpose,0))*Index!$B$2</f>
        <v>196185</v>
      </c>
      <c r="E23" s="2">
        <f t="shared" si="0"/>
        <v>3.6298584124682731E-2</v>
      </c>
      <c r="F23" s="2">
        <f t="shared" si="1"/>
        <v>2.8569431429214257E-2</v>
      </c>
    </row>
    <row r="24" spans="1:8" x14ac:dyDescent="0.25">
      <c r="A24">
        <v>18</v>
      </c>
      <c r="B24" t="s">
        <v>294</v>
      </c>
      <c r="C24" s="29">
        <f>INDEX(StopDepTime_input!$B$3:$K$42,MATCH(A24,stopLocBins,0), MATCH($B$3,todPurpose,0))</f>
        <v>274054.04700000002</v>
      </c>
      <c r="D24" s="29">
        <f>INDEX(StopDepTime_input!$M$3:$V$42,MATCH(A24,stopLocBins,0), MATCH($B$3,todPurpose,0))*Index!$B$2</f>
        <v>182035</v>
      </c>
      <c r="E24" s="2">
        <f t="shared" si="0"/>
        <v>3.3133379770667139E-2</v>
      </c>
      <c r="F24" s="2">
        <f t="shared" si="1"/>
        <v>2.6508838342467658E-2</v>
      </c>
    </row>
    <row r="25" spans="1:8" x14ac:dyDescent="0.25">
      <c r="A25">
        <v>19</v>
      </c>
      <c r="B25" t="s">
        <v>295</v>
      </c>
      <c r="C25" s="29">
        <f>INDEX(StopDepTime_input!$B$3:$K$42,MATCH(A25,stopLocBins,0), MATCH($B$3,todPurpose,0))</f>
        <v>283967.73930000002</v>
      </c>
      <c r="D25" s="29">
        <f>INDEX(StopDepTime_input!$M$3:$V$42,MATCH(A25,stopLocBins,0), MATCH($B$3,todPurpose,0))*Index!$B$2</f>
        <v>198545</v>
      </c>
      <c r="E25" s="2">
        <f t="shared" si="0"/>
        <v>3.4331954050088161E-2</v>
      </c>
      <c r="F25" s="2">
        <f t="shared" si="1"/>
        <v>2.8913106318593902E-2</v>
      </c>
    </row>
    <row r="26" spans="1:8" x14ac:dyDescent="0.25">
      <c r="A26">
        <v>20</v>
      </c>
      <c r="B26" t="s">
        <v>296</v>
      </c>
      <c r="C26" s="29">
        <f>INDEX(StopDepTime_input!$B$3:$K$42,MATCH(A26,stopLocBins,0), MATCH($B$3,todPurpose,0))</f>
        <v>333575.41803</v>
      </c>
      <c r="D26" s="29">
        <f>INDEX(StopDepTime_input!$M$3:$V$42,MATCH(A26,stopLocBins,0), MATCH($B$3,todPurpose,0))*Index!$B$2</f>
        <v>207850</v>
      </c>
      <c r="E26" s="2">
        <f t="shared" si="0"/>
        <v>4.0329566845429717E-2</v>
      </c>
      <c r="F26" s="2">
        <f t="shared" si="1"/>
        <v>3.0268146507440342E-2</v>
      </c>
    </row>
    <row r="27" spans="1:8" x14ac:dyDescent="0.25">
      <c r="A27">
        <v>21</v>
      </c>
      <c r="B27" t="s">
        <v>297</v>
      </c>
      <c r="C27" s="29">
        <f>INDEX(StopDepTime_input!$B$3:$K$42,MATCH(A27,stopLocBins,0), MATCH($B$3,todPurpose,0))</f>
        <v>383033.51068000001</v>
      </c>
      <c r="D27" s="29">
        <f>INDEX(StopDepTime_input!$M$3:$V$42,MATCH(A27,stopLocBins,0), MATCH($B$3,todPurpose,0))*Index!$B$2</f>
        <v>298855</v>
      </c>
      <c r="E27" s="2">
        <f t="shared" si="0"/>
        <v>4.630909454970511E-2</v>
      </c>
      <c r="F27" s="2">
        <f t="shared" si="1"/>
        <v>4.3520745366760087E-2</v>
      </c>
      <c r="H27" s="82" t="s">
        <v>373</v>
      </c>
    </row>
    <row r="28" spans="1:8" x14ac:dyDescent="0.25">
      <c r="A28">
        <v>22</v>
      </c>
      <c r="B28" t="s">
        <v>298</v>
      </c>
      <c r="C28" s="29">
        <f>INDEX(StopDepTime_input!$B$3:$K$42,MATCH(A28,stopLocBins,0), MATCH($B$3,todPurpose,0))</f>
        <v>409445.64343000005</v>
      </c>
      <c r="D28" s="29">
        <f>INDEX(StopDepTime_input!$M$3:$V$42,MATCH(A28,stopLocBins,0), MATCH($B$3,todPurpose,0))*Index!$B$2</f>
        <v>312875</v>
      </c>
      <c r="E28" s="2">
        <f t="shared" si="0"/>
        <v>4.9502345058277337E-2</v>
      </c>
      <c r="F28" s="2">
        <f t="shared" si="1"/>
        <v>4.5562407209600177E-2</v>
      </c>
    </row>
    <row r="29" spans="1:8" x14ac:dyDescent="0.25">
      <c r="A29">
        <v>23</v>
      </c>
      <c r="B29" t="s">
        <v>299</v>
      </c>
      <c r="C29" s="29">
        <f>INDEX(StopDepTime_input!$B$3:$K$42,MATCH(A29,stopLocBins,0), MATCH($B$3,todPurpose,0))</f>
        <v>382827.08919999999</v>
      </c>
      <c r="D29" s="29">
        <f>INDEX(StopDepTime_input!$M$3:$V$42,MATCH(A29,stopLocBins,0), MATCH($B$3,todPurpose,0))*Index!$B$2</f>
        <v>357300</v>
      </c>
      <c r="E29" s="2">
        <f t="shared" si="0"/>
        <v>4.6284138007867709E-2</v>
      </c>
      <c r="F29" s="2">
        <f t="shared" si="1"/>
        <v>5.2031795752265741E-2</v>
      </c>
    </row>
    <row r="30" spans="1:8" x14ac:dyDescent="0.25">
      <c r="A30">
        <v>24</v>
      </c>
      <c r="B30" t="s">
        <v>300</v>
      </c>
      <c r="C30" s="29">
        <f>INDEX(StopDepTime_input!$B$3:$K$42,MATCH(A30,stopLocBins,0), MATCH($B$3,todPurpose,0))</f>
        <v>397469.52258000005</v>
      </c>
      <c r="D30" s="29">
        <f>INDEX(StopDepTime_input!$M$3:$V$42,MATCH(A30,stopLocBins,0), MATCH($B$3,todPurpose,0))*Index!$B$2</f>
        <v>319260</v>
      </c>
      <c r="E30" s="2">
        <f t="shared" si="0"/>
        <v>4.805442131970742E-2</v>
      </c>
      <c r="F30" s="2">
        <f t="shared" si="1"/>
        <v>4.6492222535315875E-2</v>
      </c>
    </row>
    <row r="31" spans="1:8" x14ac:dyDescent="0.25">
      <c r="A31">
        <v>25</v>
      </c>
      <c r="B31" t="s">
        <v>301</v>
      </c>
      <c r="C31" s="29">
        <f>INDEX(StopDepTime_input!$B$3:$K$42,MATCH(A31,stopLocBins,0), MATCH($B$3,todPurpose,0))</f>
        <v>370604.21196000004</v>
      </c>
      <c r="D31" s="29">
        <f>INDEX(StopDepTime_input!$M$3:$V$42,MATCH(A31,stopLocBins,0), MATCH($B$3,todPurpose,0))*Index!$B$2</f>
        <v>303340</v>
      </c>
      <c r="E31" s="2">
        <f t="shared" si="0"/>
        <v>4.4806381200710753E-2</v>
      </c>
      <c r="F31" s="2">
        <f t="shared" si="1"/>
        <v>4.4173873281534534E-2</v>
      </c>
    </row>
    <row r="32" spans="1:8" x14ac:dyDescent="0.25">
      <c r="A32">
        <v>26</v>
      </c>
      <c r="B32" t="s">
        <v>302</v>
      </c>
      <c r="C32" s="29">
        <f>INDEX(StopDepTime_input!$B$3:$K$42,MATCH(A32,stopLocBins,0), MATCH($B$3,todPurpose,0))</f>
        <v>424124.57762000011</v>
      </c>
      <c r="D32" s="29">
        <f>INDEX(StopDepTime_input!$M$3:$V$42,MATCH(A32,stopLocBins,0), MATCH($B$3,todPurpose,0))*Index!$B$2</f>
        <v>335975</v>
      </c>
      <c r="E32" s="2">
        <f t="shared" si="0"/>
        <v>5.1277041350742236E-2</v>
      </c>
      <c r="F32" s="2">
        <f t="shared" si="1"/>
        <v>4.8926343626833145E-2</v>
      </c>
    </row>
    <row r="33" spans="1:6" x14ac:dyDescent="0.25">
      <c r="A33">
        <v>27</v>
      </c>
      <c r="B33" t="s">
        <v>303</v>
      </c>
      <c r="C33" s="29">
        <f>INDEX(StopDepTime_input!$B$3:$K$42,MATCH(A33,stopLocBins,0), MATCH($B$3,todPurpose,0))</f>
        <v>299173.40620999999</v>
      </c>
      <c r="D33" s="29">
        <f>INDEX(StopDepTime_input!$M$3:$V$42,MATCH(A33,stopLocBins,0), MATCH($B$3,todPurpose,0))*Index!$B$2</f>
        <v>300150</v>
      </c>
      <c r="E33" s="2">
        <f t="shared" si="0"/>
        <v>3.6170332800230444E-2</v>
      </c>
      <c r="F33" s="2">
        <f t="shared" si="1"/>
        <v>4.3709329681059506E-2</v>
      </c>
    </row>
    <row r="34" spans="1:6" x14ac:dyDescent="0.25">
      <c r="A34">
        <v>28</v>
      </c>
      <c r="B34" t="s">
        <v>304</v>
      </c>
      <c r="C34" s="29">
        <f>INDEX(StopDepTime_input!$B$3:$K$42,MATCH(A34,stopLocBins,0), MATCH($B$3,todPurpose,0))</f>
        <v>273763.89382</v>
      </c>
      <c r="D34" s="29">
        <f>INDEX(StopDepTime_input!$M$3:$V$42,MATCH(A34,stopLocBins,0), MATCH($B$3,todPurpose,0))*Index!$B$2</f>
        <v>238070</v>
      </c>
      <c r="E34" s="2">
        <f t="shared" si="0"/>
        <v>3.309829999129571E-2</v>
      </c>
      <c r="F34" s="2">
        <f t="shared" si="1"/>
        <v>3.4668932590937319E-2</v>
      </c>
    </row>
    <row r="35" spans="1:6" x14ac:dyDescent="0.25">
      <c r="A35">
        <v>29</v>
      </c>
      <c r="B35" t="s">
        <v>305</v>
      </c>
      <c r="C35" s="29">
        <f>INDEX(StopDepTime_input!$B$3:$K$42,MATCH(A35,stopLocBins,0), MATCH($B$3,todPurpose,0))</f>
        <v>204148.57693999997</v>
      </c>
      <c r="D35" s="29">
        <f>INDEX(StopDepTime_input!$M$3:$V$42,MATCH(A35,stopLocBins,0), MATCH($B$3,todPurpose,0))*Index!$B$2</f>
        <v>182465</v>
      </c>
      <c r="E35" s="2">
        <f t="shared" si="0"/>
        <v>2.4681745821452068E-2</v>
      </c>
      <c r="F35" s="2">
        <f t="shared" si="1"/>
        <v>2.6571457072312253E-2</v>
      </c>
    </row>
    <row r="36" spans="1:6" x14ac:dyDescent="0.25">
      <c r="A36">
        <v>30</v>
      </c>
      <c r="B36" t="s">
        <v>306</v>
      </c>
      <c r="C36" s="29">
        <f>INDEX(StopDepTime_input!$B$3:$K$42,MATCH(A36,stopLocBins,0), MATCH($B$3,todPurpose,0))</f>
        <v>212971.20337999999</v>
      </c>
      <c r="D36" s="29">
        <f>INDEX(StopDepTime_input!$M$3:$V$42,MATCH(A36,stopLocBins,0), MATCH($B$3,todPurpose,0))*Index!$B$2</f>
        <v>134075</v>
      </c>
      <c r="E36" s="2">
        <f t="shared" si="0"/>
        <v>2.5748409261059112E-2</v>
      </c>
      <c r="F36" s="2">
        <f t="shared" si="1"/>
        <v>1.9524665590498261E-2</v>
      </c>
    </row>
    <row r="37" spans="1:6" x14ac:dyDescent="0.25">
      <c r="A37">
        <v>31</v>
      </c>
      <c r="B37" t="s">
        <v>307</v>
      </c>
      <c r="C37" s="29">
        <f>INDEX(StopDepTime_input!$B$3:$K$42,MATCH(A37,stopLocBins,0), MATCH($B$3,todPurpose,0))</f>
        <v>120049.35891000001</v>
      </c>
      <c r="D37" s="29">
        <f>INDEX(StopDepTime_input!$M$3:$V$42,MATCH(A37,stopLocBins,0), MATCH($B$3,todPurpose,0))*Index!$B$2</f>
        <v>124770</v>
      </c>
      <c r="E37" s="2">
        <f t="shared" si="0"/>
        <v>1.4514075028383555E-2</v>
      </c>
      <c r="F37" s="2">
        <f t="shared" si="1"/>
        <v>1.8169625401651825E-2</v>
      </c>
    </row>
    <row r="38" spans="1:6" x14ac:dyDescent="0.25">
      <c r="A38">
        <v>32</v>
      </c>
      <c r="B38" t="s">
        <v>308</v>
      </c>
      <c r="C38" s="29">
        <f>INDEX(StopDepTime_input!$B$3:$K$42,MATCH(A38,stopLocBins,0), MATCH($B$3,todPurpose,0))</f>
        <v>145865.89029000001</v>
      </c>
      <c r="D38" s="29">
        <f>INDEX(StopDepTime_input!$M$3:$V$42,MATCH(A38,stopLocBins,0), MATCH($B$3,todPurpose,0))*Index!$B$2</f>
        <v>103825</v>
      </c>
      <c r="E38" s="2">
        <f t="shared" si="0"/>
        <v>1.7635316797803165E-2</v>
      </c>
      <c r="F38" s="2">
        <f t="shared" si="1"/>
        <v>1.5119510758407475E-2</v>
      </c>
    </row>
    <row r="39" spans="1:6" x14ac:dyDescent="0.25">
      <c r="A39">
        <v>33</v>
      </c>
      <c r="B39" t="s">
        <v>309</v>
      </c>
      <c r="C39" s="29">
        <f>INDEX(StopDepTime_input!$B$3:$K$42,MATCH(A39,stopLocBins,0), MATCH($B$3,todPurpose,0))</f>
        <v>170989.40861000001</v>
      </c>
      <c r="D39" s="29">
        <f>INDEX(StopDepTime_input!$M$3:$V$42,MATCH(A39,stopLocBins,0), MATCH($B$3,todPurpose,0))*Index!$B$2</f>
        <v>80040</v>
      </c>
      <c r="E39" s="2">
        <f t="shared" si="0"/>
        <v>2.0672772667491065E-2</v>
      </c>
      <c r="F39" s="2">
        <f t="shared" si="1"/>
        <v>1.1655821248282535E-2</v>
      </c>
    </row>
    <row r="40" spans="1:6" x14ac:dyDescent="0.25">
      <c r="A40">
        <v>34</v>
      </c>
      <c r="B40" t="s">
        <v>310</v>
      </c>
      <c r="C40" s="29">
        <f>INDEX(StopDepTime_input!$B$3:$K$42,MATCH(A40,stopLocBins,0), MATCH($B$3,todPurpose,0))</f>
        <v>81460.753219999999</v>
      </c>
      <c r="D40" s="29">
        <f>INDEX(StopDepTime_input!$M$3:$V$42,MATCH(A40,stopLocBins,0), MATCH($B$3,todPurpose,0))*Index!$B$2</f>
        <v>69585</v>
      </c>
      <c r="E40" s="2">
        <f t="shared" si="0"/>
        <v>9.8486780340917793E-3</v>
      </c>
      <c r="F40" s="2">
        <f t="shared" si="1"/>
        <v>1.0133312363340082E-2</v>
      </c>
    </row>
    <row r="41" spans="1:6" x14ac:dyDescent="0.25">
      <c r="A41">
        <v>35</v>
      </c>
      <c r="B41" t="s">
        <v>311</v>
      </c>
      <c r="C41" s="29">
        <f>INDEX(StopDepTime_input!$B$3:$K$42,MATCH(A41,stopLocBins,0), MATCH($B$3,todPurpose,0))</f>
        <v>51466.339959999998</v>
      </c>
      <c r="D41" s="29">
        <f>INDEX(StopDepTime_input!$M$3:$V$42,MATCH(A41,stopLocBins,0), MATCH($B$3,todPurpose,0))*Index!$B$2</f>
        <v>61500</v>
      </c>
      <c r="E41" s="2">
        <f t="shared" si="0"/>
        <v>6.2223266029745646E-3</v>
      </c>
      <c r="F41" s="2">
        <f t="shared" si="1"/>
        <v>8.955934617308545E-3</v>
      </c>
    </row>
    <row r="42" spans="1:6" x14ac:dyDescent="0.25">
      <c r="A42">
        <v>36</v>
      </c>
      <c r="B42" t="s">
        <v>312</v>
      </c>
      <c r="C42" s="29">
        <f>INDEX(StopDepTime_input!$B$3:$K$42,MATCH(A42,stopLocBins,0), MATCH($B$3,todPurpose,0))</f>
        <v>37384.778819999992</v>
      </c>
      <c r="D42" s="29">
        <f>INDEX(StopDepTime_input!$M$3:$V$42,MATCH(A42,stopLocBins,0), MATCH($B$3,todPurpose,0))*Index!$B$2</f>
        <v>68955</v>
      </c>
      <c r="E42" s="2">
        <f t="shared" si="0"/>
        <v>4.5198532473612885E-3</v>
      </c>
      <c r="F42" s="2">
        <f t="shared" si="1"/>
        <v>1.0041568642870093E-2</v>
      </c>
    </row>
    <row r="43" spans="1:6" x14ac:dyDescent="0.25">
      <c r="A43">
        <v>37</v>
      </c>
      <c r="B43" t="s">
        <v>313</v>
      </c>
      <c r="C43" s="29">
        <f>INDEX(StopDepTime_input!$B$3:$K$42,MATCH(A43,stopLocBins,0), MATCH($B$3,todPurpose,0))</f>
        <v>22257.907149999999</v>
      </c>
      <c r="D43" s="29">
        <f>INDEX(StopDepTime_input!$M$3:$V$42,MATCH(A43,stopLocBins,0), MATCH($B$3,todPurpose,0))*Index!$B$2</f>
        <v>59900</v>
      </c>
      <c r="E43" s="2">
        <f t="shared" si="0"/>
        <v>2.6910009123171149E-3</v>
      </c>
      <c r="F43" s="2">
        <f t="shared" si="1"/>
        <v>8.7229346923053952E-3</v>
      </c>
    </row>
    <row r="44" spans="1:6" x14ac:dyDescent="0.25">
      <c r="A44">
        <v>38</v>
      </c>
      <c r="B44" t="s">
        <v>314</v>
      </c>
      <c r="C44" s="29">
        <f>INDEX(StopDepTime_input!$B$3:$K$42,MATCH(A44,stopLocBins,0), MATCH($B$3,todPurpose,0))</f>
        <v>16655.218369999999</v>
      </c>
      <c r="D44" s="29">
        <f>INDEX(StopDepTime_input!$M$3:$V$42,MATCH(A44,stopLocBins,0), MATCH($B$3,todPurpose,0))*Index!$B$2</f>
        <v>65620</v>
      </c>
      <c r="E44" s="2">
        <f t="shared" si="0"/>
        <v>2.0136308201155724E-3</v>
      </c>
      <c r="F44" s="2">
        <f t="shared" si="1"/>
        <v>9.5559094241916536E-3</v>
      </c>
    </row>
    <row r="45" spans="1:6" x14ac:dyDescent="0.25">
      <c r="A45">
        <v>39</v>
      </c>
      <c r="B45" t="s">
        <v>315</v>
      </c>
      <c r="C45" s="29">
        <f>INDEX(StopDepTime_input!$B$3:$K$42,MATCH(A45,stopLocBins,0), MATCH($B$3,todPurpose,0))</f>
        <v>12909.086859999999</v>
      </c>
      <c r="D45" s="29">
        <f>INDEX(StopDepTime_input!$M$3:$V$42,MATCH(A45,stopLocBins,0), MATCH($B$3,todPurpose,0))*Index!$B$2</f>
        <v>31950</v>
      </c>
      <c r="E45" s="2">
        <f t="shared" si="0"/>
        <v>1.5607201648983821E-3</v>
      </c>
      <c r="F45" s="2">
        <f t="shared" si="1"/>
        <v>4.6527172524066344E-3</v>
      </c>
    </row>
    <row r="46" spans="1:6" x14ac:dyDescent="0.25">
      <c r="A46">
        <v>40</v>
      </c>
      <c r="B46" t="s">
        <v>316</v>
      </c>
      <c r="C46" s="29">
        <f>INDEX(StopDepTime_input!$B$3:$K$42,MATCH(A46,stopLocBins,0), MATCH($B$3,todPurpose,0))</f>
        <v>23048.544849999998</v>
      </c>
      <c r="D46" s="29">
        <f>INDEX(StopDepTime_input!$M$3:$V$42,MATCH(A46,stopLocBins,0), MATCH($B$3,todPurpose,0))*Index!$B$2</f>
        <v>28355</v>
      </c>
      <c r="E46" s="2">
        <f t="shared" si="0"/>
        <v>2.7865897184736858E-3</v>
      </c>
      <c r="F46" s="2">
        <f t="shared" si="1"/>
        <v>4.1291955459151833E-3</v>
      </c>
    </row>
    <row r="47" spans="1:6" x14ac:dyDescent="0.25">
      <c r="E47" s="2"/>
      <c r="F47" s="2"/>
    </row>
    <row r="48" spans="1:6" x14ac:dyDescent="0.25">
      <c r="E48" s="2"/>
      <c r="F48" s="2"/>
    </row>
  </sheetData>
  <mergeCells count="2">
    <mergeCell ref="C5:D5"/>
    <mergeCell ref="E5:F5"/>
  </mergeCells>
  <hyperlinks>
    <hyperlink ref="A1" location="Index!A1" display="Index"/>
  </hyperlinks>
  <pageMargins left="0.7" right="0.7" top="0.75" bottom="0.75" header="0.3" footer="0.3"/>
  <pageSetup orientation="portrait" r:id="rId1"/>
  <drawing r:id="rId2"/>
  <legacyDrawing r:id="rId3"/>
  <controls>
    <mc:AlternateContent xmlns:mc="http://schemas.openxmlformats.org/markup-compatibility/2006">
      <mc:Choice Requires="x14">
        <control shapeId="12289" r:id="rId4" name="ComboBox1">
          <controlPr defaultSize="0" autoLine="0" linkedCell="B3" listFillRange="todPurpose" r:id="rId5">
            <anchor moveWithCells="1">
              <from>
                <xdr:col>0</xdr:col>
                <xdr:colOff>590550</xdr:colOff>
                <xdr:row>1</xdr:row>
                <xdr:rowOff>219075</xdr:rowOff>
              </from>
              <to>
                <xdr:col>2</xdr:col>
                <xdr:colOff>9525</xdr:colOff>
                <xdr:row>3</xdr:row>
                <xdr:rowOff>57150</xdr:rowOff>
              </to>
            </anchor>
          </controlPr>
        </control>
      </mc:Choice>
      <mc:Fallback>
        <control shapeId="12289" r:id="rId4" name="ComboBox1"/>
      </mc:Fallback>
    </mc:AlternateContent>
  </control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E42"/>
  <sheetViews>
    <sheetView topLeftCell="C1" workbookViewId="0">
      <selection activeCell="W8" sqref="W8"/>
    </sheetView>
  </sheetViews>
  <sheetFormatPr defaultRowHeight="15" x14ac:dyDescent="0.25"/>
  <sheetData>
    <row r="1" spans="1:31" x14ac:dyDescent="0.25">
      <c r="A1" t="s">
        <v>7</v>
      </c>
      <c r="L1" t="s">
        <v>3</v>
      </c>
    </row>
    <row r="2" spans="1:31" x14ac:dyDescent="0.25">
      <c r="B2" t="s">
        <v>55</v>
      </c>
      <c r="C2" t="s">
        <v>56</v>
      </c>
      <c r="D2" t="s">
        <v>115</v>
      </c>
      <c r="E2" t="s">
        <v>180</v>
      </c>
      <c r="F2" t="s">
        <v>117</v>
      </c>
      <c r="G2" t="s">
        <v>118</v>
      </c>
      <c r="H2" t="s">
        <v>119</v>
      </c>
      <c r="I2" t="s">
        <v>120</v>
      </c>
      <c r="J2" t="s">
        <v>121</v>
      </c>
      <c r="K2" t="s">
        <v>219</v>
      </c>
      <c r="M2" t="s">
        <v>55</v>
      </c>
      <c r="N2" t="s">
        <v>56</v>
      </c>
      <c r="O2" t="s">
        <v>115</v>
      </c>
      <c r="P2" t="s">
        <v>180</v>
      </c>
      <c r="Q2" t="s">
        <v>117</v>
      </c>
      <c r="R2" t="s">
        <v>118</v>
      </c>
      <c r="S2" t="s">
        <v>119</v>
      </c>
      <c r="T2" t="s">
        <v>120</v>
      </c>
      <c r="U2" t="s">
        <v>121</v>
      </c>
      <c r="V2" t="s">
        <v>219</v>
      </c>
      <c r="X2" s="157"/>
      <c r="Y2" t="s">
        <v>55</v>
      </c>
      <c r="Z2" t="s">
        <v>56</v>
      </c>
      <c r="AA2" t="s">
        <v>115</v>
      </c>
      <c r="AB2" t="s">
        <v>180</v>
      </c>
      <c r="AC2" t="s">
        <v>117</v>
      </c>
      <c r="AD2" t="s">
        <v>118</v>
      </c>
      <c r="AE2" t="s">
        <v>121</v>
      </c>
    </row>
    <row r="3" spans="1:31" x14ac:dyDescent="0.25">
      <c r="A3">
        <v>1</v>
      </c>
      <c r="B3">
        <v>11606.088540000001</v>
      </c>
      <c r="C3">
        <v>0</v>
      </c>
      <c r="D3">
        <v>112.04868999999999</v>
      </c>
      <c r="E3">
        <v>400.31641999999999</v>
      </c>
      <c r="F3">
        <v>923.04673000000003</v>
      </c>
      <c r="G3">
        <v>592.58434999999997</v>
      </c>
      <c r="H3">
        <v>0</v>
      </c>
      <c r="I3">
        <v>268.74939999999998</v>
      </c>
      <c r="J3">
        <v>0</v>
      </c>
      <c r="K3">
        <f>SUM(B3:J3)</f>
        <v>13902.834129999999</v>
      </c>
      <c r="L3">
        <v>1</v>
      </c>
      <c r="M3">
        <v>7510</v>
      </c>
      <c r="N3">
        <v>14</v>
      </c>
      <c r="O3">
        <v>158</v>
      </c>
      <c r="P3">
        <v>153</v>
      </c>
      <c r="Q3">
        <v>395</v>
      </c>
      <c r="R3">
        <v>1532</v>
      </c>
      <c r="U3">
        <v>17</v>
      </c>
      <c r="V3">
        <f>SUM(M3:U3)</f>
        <v>9779</v>
      </c>
      <c r="X3" s="157">
        <v>1</v>
      </c>
      <c r="Y3">
        <v>7510</v>
      </c>
      <c r="Z3">
        <v>14</v>
      </c>
      <c r="AA3">
        <v>158</v>
      </c>
      <c r="AB3">
        <v>153</v>
      </c>
      <c r="AC3">
        <v>395</v>
      </c>
      <c r="AD3">
        <v>1532</v>
      </c>
      <c r="AE3">
        <v>17</v>
      </c>
    </row>
    <row r="4" spans="1:31" x14ac:dyDescent="0.25">
      <c r="A4">
        <v>2</v>
      </c>
      <c r="B4">
        <v>25269.00446</v>
      </c>
      <c r="C4">
        <v>263.89512000000002</v>
      </c>
      <c r="D4">
        <v>746.56403999999998</v>
      </c>
      <c r="E4">
        <v>0</v>
      </c>
      <c r="F4">
        <v>31.270820000000001</v>
      </c>
      <c r="G4">
        <v>295.08503999999999</v>
      </c>
      <c r="H4">
        <v>6.6519999999999996E-2</v>
      </c>
      <c r="I4">
        <v>0</v>
      </c>
      <c r="J4">
        <v>37.614289999999997</v>
      </c>
      <c r="K4">
        <f t="shared" ref="K4:K42" si="0">SUM(B4:J4)</f>
        <v>26643.500290000007</v>
      </c>
      <c r="L4">
        <v>2</v>
      </c>
      <c r="M4">
        <v>7072</v>
      </c>
      <c r="N4">
        <v>10</v>
      </c>
      <c r="O4">
        <v>146</v>
      </c>
      <c r="P4">
        <v>330</v>
      </c>
      <c r="Q4">
        <v>774</v>
      </c>
      <c r="R4">
        <v>1637</v>
      </c>
      <c r="U4">
        <v>32</v>
      </c>
      <c r="V4">
        <f t="shared" ref="V4:V42" si="1">SUM(M4:U4)</f>
        <v>10001</v>
      </c>
      <c r="X4" s="157">
        <v>2</v>
      </c>
      <c r="Y4">
        <v>7072</v>
      </c>
      <c r="Z4">
        <v>10</v>
      </c>
      <c r="AA4">
        <v>146</v>
      </c>
      <c r="AB4">
        <v>330</v>
      </c>
      <c r="AC4">
        <v>774</v>
      </c>
      <c r="AD4">
        <v>1637</v>
      </c>
      <c r="AE4">
        <v>32</v>
      </c>
    </row>
    <row r="5" spans="1:31" x14ac:dyDescent="0.25">
      <c r="A5">
        <v>3</v>
      </c>
      <c r="B5">
        <v>90775.24566</v>
      </c>
      <c r="C5">
        <v>529.91952000000003</v>
      </c>
      <c r="D5">
        <v>1022.3498499999999</v>
      </c>
      <c r="E5">
        <v>302.50121000000001</v>
      </c>
      <c r="F5">
        <v>2639.9342000000001</v>
      </c>
      <c r="G5">
        <v>1915.4443200000001</v>
      </c>
      <c r="H5">
        <v>1471.5962099999999</v>
      </c>
      <c r="I5">
        <v>26.90288</v>
      </c>
      <c r="J5">
        <v>70.619709999999998</v>
      </c>
      <c r="K5">
        <f t="shared" si="0"/>
        <v>98754.513559999992</v>
      </c>
      <c r="L5">
        <v>3</v>
      </c>
      <c r="M5">
        <v>13804</v>
      </c>
      <c r="N5">
        <v>3</v>
      </c>
      <c r="O5">
        <v>154</v>
      </c>
      <c r="P5">
        <v>557</v>
      </c>
      <c r="Q5">
        <v>1258</v>
      </c>
      <c r="R5">
        <v>2010</v>
      </c>
      <c r="U5">
        <v>66</v>
      </c>
      <c r="V5">
        <f t="shared" si="1"/>
        <v>17852</v>
      </c>
      <c r="X5" s="157">
        <v>3</v>
      </c>
      <c r="Y5">
        <v>13804</v>
      </c>
      <c r="Z5">
        <v>3</v>
      </c>
      <c r="AA5">
        <v>154</v>
      </c>
      <c r="AB5">
        <v>557</v>
      </c>
      <c r="AC5">
        <v>1258</v>
      </c>
      <c r="AD5">
        <v>2010</v>
      </c>
      <c r="AE5">
        <v>66</v>
      </c>
    </row>
    <row r="6" spans="1:31" x14ac:dyDescent="0.25">
      <c r="A6">
        <v>4</v>
      </c>
      <c r="B6">
        <v>54418.477330000002</v>
      </c>
      <c r="C6">
        <v>1737.2570499999999</v>
      </c>
      <c r="D6">
        <v>1572.24893</v>
      </c>
      <c r="E6">
        <v>1295.95922</v>
      </c>
      <c r="F6">
        <v>2836.1797700000002</v>
      </c>
      <c r="G6">
        <v>2667.4250000000002</v>
      </c>
      <c r="H6">
        <v>792.31780000000003</v>
      </c>
      <c r="I6">
        <v>247.83982</v>
      </c>
      <c r="J6">
        <v>434.28496000000001</v>
      </c>
      <c r="K6">
        <f t="shared" si="0"/>
        <v>66001.989880000008</v>
      </c>
      <c r="L6">
        <v>4</v>
      </c>
      <c r="M6">
        <v>22698</v>
      </c>
      <c r="N6">
        <v>81</v>
      </c>
      <c r="O6">
        <v>175</v>
      </c>
      <c r="P6">
        <v>765</v>
      </c>
      <c r="Q6">
        <v>2184</v>
      </c>
      <c r="R6">
        <v>2775</v>
      </c>
      <c r="U6">
        <v>111</v>
      </c>
      <c r="V6">
        <f t="shared" si="1"/>
        <v>28789</v>
      </c>
      <c r="X6" s="157">
        <v>4</v>
      </c>
      <c r="Y6">
        <v>22698</v>
      </c>
      <c r="Z6">
        <v>81</v>
      </c>
      <c r="AA6">
        <v>175</v>
      </c>
      <c r="AB6">
        <v>765</v>
      </c>
      <c r="AC6">
        <v>2184</v>
      </c>
      <c r="AD6">
        <v>2775</v>
      </c>
      <c r="AE6">
        <v>111</v>
      </c>
    </row>
    <row r="7" spans="1:31" x14ac:dyDescent="0.25">
      <c r="A7">
        <v>5</v>
      </c>
      <c r="B7">
        <v>72621.997529999993</v>
      </c>
      <c r="C7">
        <v>812.88769000000002</v>
      </c>
      <c r="D7">
        <v>9187.5070500000002</v>
      </c>
      <c r="E7">
        <v>2863.3925599999998</v>
      </c>
      <c r="F7">
        <v>4879.3993099999998</v>
      </c>
      <c r="G7">
        <v>4763.8842299999997</v>
      </c>
      <c r="H7">
        <v>1480.6935000000001</v>
      </c>
      <c r="I7">
        <v>1462.4604200000001</v>
      </c>
      <c r="J7">
        <v>615.41476999999998</v>
      </c>
      <c r="K7">
        <f t="shared" si="0"/>
        <v>98687.637059999979</v>
      </c>
      <c r="L7">
        <v>5</v>
      </c>
      <c r="M7">
        <v>33023</v>
      </c>
      <c r="N7">
        <v>114</v>
      </c>
      <c r="O7">
        <v>3062</v>
      </c>
      <c r="P7">
        <v>1589</v>
      </c>
      <c r="Q7">
        <v>3447</v>
      </c>
      <c r="R7">
        <v>3410</v>
      </c>
      <c r="U7">
        <v>201</v>
      </c>
      <c r="V7">
        <f t="shared" si="1"/>
        <v>44846</v>
      </c>
      <c r="X7" s="157">
        <v>5</v>
      </c>
      <c r="Y7">
        <v>33023</v>
      </c>
      <c r="Z7">
        <v>114</v>
      </c>
      <c r="AA7">
        <v>3062</v>
      </c>
      <c r="AB7">
        <v>1589</v>
      </c>
      <c r="AC7">
        <v>3447</v>
      </c>
      <c r="AD7">
        <v>3410</v>
      </c>
      <c r="AE7">
        <v>201</v>
      </c>
    </row>
    <row r="8" spans="1:31" x14ac:dyDescent="0.25">
      <c r="A8">
        <v>6</v>
      </c>
      <c r="B8">
        <v>126923.77986</v>
      </c>
      <c r="C8">
        <v>5439.7351200000003</v>
      </c>
      <c r="D8">
        <v>36281.584430000003</v>
      </c>
      <c r="E8">
        <v>12527.34114</v>
      </c>
      <c r="F8">
        <v>16732.356479999999</v>
      </c>
      <c r="G8">
        <v>9206.7040300000008</v>
      </c>
      <c r="H8">
        <v>4263.4742100000003</v>
      </c>
      <c r="I8">
        <v>1199.5170599999999</v>
      </c>
      <c r="J8">
        <v>1038.52226</v>
      </c>
      <c r="K8">
        <f t="shared" si="0"/>
        <v>213613.01459000001</v>
      </c>
      <c r="L8">
        <v>6</v>
      </c>
      <c r="M8">
        <v>16545</v>
      </c>
      <c r="N8">
        <v>500</v>
      </c>
      <c r="O8">
        <v>6429</v>
      </c>
      <c r="P8">
        <v>2717</v>
      </c>
      <c r="Q8">
        <v>4129</v>
      </c>
      <c r="R8">
        <v>3789</v>
      </c>
      <c r="U8">
        <v>458</v>
      </c>
      <c r="V8">
        <f t="shared" si="1"/>
        <v>34567</v>
      </c>
      <c r="X8" s="157">
        <v>6</v>
      </c>
      <c r="Y8">
        <v>16545</v>
      </c>
      <c r="Z8">
        <v>500</v>
      </c>
      <c r="AA8">
        <v>6429</v>
      </c>
      <c r="AB8">
        <v>2717</v>
      </c>
      <c r="AC8">
        <v>4129</v>
      </c>
      <c r="AD8">
        <v>3789</v>
      </c>
      <c r="AE8">
        <v>458</v>
      </c>
    </row>
    <row r="9" spans="1:31" x14ac:dyDescent="0.25">
      <c r="A9">
        <v>7</v>
      </c>
      <c r="B9">
        <v>139968.50954999999</v>
      </c>
      <c r="C9">
        <v>2472.1652899999999</v>
      </c>
      <c r="D9">
        <v>26429.271489999999</v>
      </c>
      <c r="E9">
        <v>20347.226460000002</v>
      </c>
      <c r="F9">
        <v>16947.171900000001</v>
      </c>
      <c r="G9">
        <v>16863.889889999999</v>
      </c>
      <c r="H9">
        <v>12782.59568</v>
      </c>
      <c r="I9">
        <v>5631.8901599999999</v>
      </c>
      <c r="J9">
        <v>1435.5914600000001</v>
      </c>
      <c r="K9">
        <f t="shared" si="0"/>
        <v>242878.31187999999</v>
      </c>
      <c r="L9">
        <v>7</v>
      </c>
      <c r="M9">
        <v>16591</v>
      </c>
      <c r="N9">
        <v>404</v>
      </c>
      <c r="O9">
        <v>7623</v>
      </c>
      <c r="P9">
        <v>4053</v>
      </c>
      <c r="Q9">
        <v>5689</v>
      </c>
      <c r="R9">
        <v>4185</v>
      </c>
      <c r="U9">
        <v>1085</v>
      </c>
      <c r="V9">
        <f t="shared" si="1"/>
        <v>39630</v>
      </c>
      <c r="X9" s="157">
        <v>7</v>
      </c>
      <c r="Y9">
        <v>16591</v>
      </c>
      <c r="Z9">
        <v>404</v>
      </c>
      <c r="AA9">
        <v>7623</v>
      </c>
      <c r="AB9">
        <v>4053</v>
      </c>
      <c r="AC9">
        <v>5689</v>
      </c>
      <c r="AD9">
        <v>4185</v>
      </c>
      <c r="AE9">
        <v>1085</v>
      </c>
    </row>
    <row r="10" spans="1:31" x14ac:dyDescent="0.25">
      <c r="A10">
        <v>8</v>
      </c>
      <c r="B10">
        <v>110022.25109000001</v>
      </c>
      <c r="C10">
        <v>3959.43732</v>
      </c>
      <c r="D10">
        <v>18944.809300000001</v>
      </c>
      <c r="E10">
        <v>23327.537929999999</v>
      </c>
      <c r="F10">
        <v>43465.79032</v>
      </c>
      <c r="G10">
        <v>16733.310000000001</v>
      </c>
      <c r="H10">
        <v>20899.468130000001</v>
      </c>
      <c r="I10">
        <v>4395.8029200000001</v>
      </c>
      <c r="J10">
        <v>4525.9003000000002</v>
      </c>
      <c r="K10">
        <f t="shared" si="0"/>
        <v>246274.30730999997</v>
      </c>
      <c r="L10">
        <v>8</v>
      </c>
      <c r="M10">
        <v>32322</v>
      </c>
      <c r="N10">
        <v>285</v>
      </c>
      <c r="O10">
        <v>6143</v>
      </c>
      <c r="P10">
        <v>5182</v>
      </c>
      <c r="Q10">
        <v>7856</v>
      </c>
      <c r="R10">
        <v>4591</v>
      </c>
      <c r="U10">
        <v>1301</v>
      </c>
      <c r="V10">
        <f t="shared" si="1"/>
        <v>57680</v>
      </c>
      <c r="X10" s="157">
        <v>8</v>
      </c>
      <c r="Y10">
        <v>32322</v>
      </c>
      <c r="Z10">
        <v>285</v>
      </c>
      <c r="AA10">
        <v>6143</v>
      </c>
      <c r="AB10">
        <v>5182</v>
      </c>
      <c r="AC10">
        <v>7856</v>
      </c>
      <c r="AD10">
        <v>4591</v>
      </c>
      <c r="AE10">
        <v>1301</v>
      </c>
    </row>
    <row r="11" spans="1:31" x14ac:dyDescent="0.25">
      <c r="A11">
        <v>9</v>
      </c>
      <c r="B11">
        <v>80327.612009999997</v>
      </c>
      <c r="C11">
        <v>1467.0366300000001</v>
      </c>
      <c r="D11">
        <v>10086.72647</v>
      </c>
      <c r="E11">
        <v>27715.711589999999</v>
      </c>
      <c r="F11">
        <v>40166.282659999997</v>
      </c>
      <c r="G11">
        <v>27482.64443</v>
      </c>
      <c r="H11">
        <v>31059.760040000001</v>
      </c>
      <c r="I11">
        <v>14560.47385</v>
      </c>
      <c r="J11">
        <v>6072.0629600000002</v>
      </c>
      <c r="K11">
        <f t="shared" si="0"/>
        <v>238938.31064000001</v>
      </c>
      <c r="L11">
        <v>9</v>
      </c>
      <c r="M11">
        <v>21470</v>
      </c>
      <c r="N11">
        <v>326</v>
      </c>
      <c r="O11">
        <v>3894</v>
      </c>
      <c r="P11">
        <v>4241</v>
      </c>
      <c r="Q11">
        <v>9164</v>
      </c>
      <c r="R11">
        <v>4691</v>
      </c>
      <c r="U11">
        <v>1374</v>
      </c>
      <c r="V11">
        <f t="shared" si="1"/>
        <v>45160</v>
      </c>
      <c r="X11" s="157">
        <v>9</v>
      </c>
      <c r="Y11">
        <v>21470</v>
      </c>
      <c r="Z11">
        <v>326</v>
      </c>
      <c r="AA11">
        <v>3894</v>
      </c>
      <c r="AB11">
        <v>4241</v>
      </c>
      <c r="AC11">
        <v>9164</v>
      </c>
      <c r="AD11">
        <v>4691</v>
      </c>
      <c r="AE11">
        <v>1374</v>
      </c>
    </row>
    <row r="12" spans="1:31" x14ac:dyDescent="0.25">
      <c r="A12">
        <v>10</v>
      </c>
      <c r="B12">
        <v>58467.95637</v>
      </c>
      <c r="C12">
        <v>1038.0086699999999</v>
      </c>
      <c r="D12">
        <v>1439.95074</v>
      </c>
      <c r="E12">
        <v>19447.313549999999</v>
      </c>
      <c r="F12">
        <v>53327.182780000003</v>
      </c>
      <c r="G12">
        <v>28468.111799999999</v>
      </c>
      <c r="H12">
        <v>24210.342069999999</v>
      </c>
      <c r="I12">
        <v>16368.895039999999</v>
      </c>
      <c r="J12">
        <v>4275.1349200000004</v>
      </c>
      <c r="K12">
        <f t="shared" si="0"/>
        <v>207042.89594000002</v>
      </c>
      <c r="L12">
        <v>10</v>
      </c>
      <c r="M12">
        <v>11588</v>
      </c>
      <c r="N12">
        <v>221</v>
      </c>
      <c r="O12">
        <v>534</v>
      </c>
      <c r="P12">
        <v>2205</v>
      </c>
      <c r="Q12">
        <v>11607</v>
      </c>
      <c r="R12">
        <v>4232</v>
      </c>
      <c r="U12">
        <v>1553</v>
      </c>
      <c r="V12">
        <f t="shared" si="1"/>
        <v>31940</v>
      </c>
      <c r="X12" s="157">
        <v>10</v>
      </c>
      <c r="Y12">
        <v>11588</v>
      </c>
      <c r="Z12">
        <v>221</v>
      </c>
      <c r="AA12">
        <v>534</v>
      </c>
      <c r="AB12">
        <v>2205</v>
      </c>
      <c r="AC12">
        <v>11607</v>
      </c>
      <c r="AD12">
        <v>4232</v>
      </c>
      <c r="AE12">
        <v>1553</v>
      </c>
    </row>
    <row r="13" spans="1:31" x14ac:dyDescent="0.25">
      <c r="A13">
        <v>11</v>
      </c>
      <c r="B13">
        <v>46891.201229999999</v>
      </c>
      <c r="C13">
        <v>1277.78422</v>
      </c>
      <c r="D13">
        <v>1484.67977</v>
      </c>
      <c r="E13">
        <v>12973.58425</v>
      </c>
      <c r="F13">
        <v>60720.332779999997</v>
      </c>
      <c r="G13">
        <v>17520.835719999999</v>
      </c>
      <c r="H13">
        <v>37472.343950000002</v>
      </c>
      <c r="I13">
        <v>11162.13895</v>
      </c>
      <c r="J13">
        <v>6759.3390600000002</v>
      </c>
      <c r="K13">
        <f t="shared" si="0"/>
        <v>196262.23993000001</v>
      </c>
      <c r="L13">
        <v>11</v>
      </c>
      <c r="M13">
        <v>9132</v>
      </c>
      <c r="N13">
        <v>234</v>
      </c>
      <c r="O13">
        <v>305</v>
      </c>
      <c r="P13">
        <v>1266</v>
      </c>
      <c r="Q13">
        <v>12490</v>
      </c>
      <c r="R13">
        <v>3750</v>
      </c>
      <c r="U13">
        <v>1640</v>
      </c>
      <c r="V13">
        <f t="shared" si="1"/>
        <v>28817</v>
      </c>
      <c r="X13" s="157">
        <v>11</v>
      </c>
      <c r="Y13">
        <v>9132</v>
      </c>
      <c r="Z13">
        <v>234</v>
      </c>
      <c r="AA13">
        <v>305</v>
      </c>
      <c r="AB13">
        <v>1266</v>
      </c>
      <c r="AC13">
        <v>12490</v>
      </c>
      <c r="AD13">
        <v>3750</v>
      </c>
      <c r="AE13">
        <v>1640</v>
      </c>
    </row>
    <row r="14" spans="1:31" x14ac:dyDescent="0.25">
      <c r="A14">
        <v>12</v>
      </c>
      <c r="B14">
        <v>37697.243060000001</v>
      </c>
      <c r="C14">
        <v>638.71234000000004</v>
      </c>
      <c r="D14">
        <v>2619.0418199999999</v>
      </c>
      <c r="E14">
        <v>13275.58</v>
      </c>
      <c r="F14">
        <v>74296.639259999996</v>
      </c>
      <c r="G14">
        <v>25605.797859999999</v>
      </c>
      <c r="H14">
        <v>52582.181270000001</v>
      </c>
      <c r="I14">
        <v>8888.8678899999995</v>
      </c>
      <c r="J14">
        <v>7319.9975700000005</v>
      </c>
      <c r="K14">
        <f t="shared" si="0"/>
        <v>222924.06107</v>
      </c>
      <c r="L14">
        <v>12</v>
      </c>
      <c r="M14">
        <v>8012</v>
      </c>
      <c r="N14">
        <v>201</v>
      </c>
      <c r="O14">
        <v>230</v>
      </c>
      <c r="P14">
        <v>1209</v>
      </c>
      <c r="Q14">
        <v>16187</v>
      </c>
      <c r="R14">
        <v>3515</v>
      </c>
      <c r="U14">
        <v>1583</v>
      </c>
      <c r="V14">
        <f t="shared" si="1"/>
        <v>30937</v>
      </c>
      <c r="X14" s="157">
        <v>12</v>
      </c>
      <c r="Y14">
        <v>8012</v>
      </c>
      <c r="Z14">
        <v>201</v>
      </c>
      <c r="AA14">
        <v>230</v>
      </c>
      <c r="AB14">
        <v>1209</v>
      </c>
      <c r="AC14">
        <v>16187</v>
      </c>
      <c r="AD14">
        <v>3515</v>
      </c>
      <c r="AE14">
        <v>1583</v>
      </c>
    </row>
    <row r="15" spans="1:31" x14ac:dyDescent="0.25">
      <c r="A15">
        <v>13</v>
      </c>
      <c r="B15">
        <v>45821.457540000003</v>
      </c>
      <c r="C15">
        <v>390.69162999999998</v>
      </c>
      <c r="D15">
        <v>4823.4741599999998</v>
      </c>
      <c r="E15">
        <v>9878.9071800000002</v>
      </c>
      <c r="F15">
        <v>75491.388940000004</v>
      </c>
      <c r="G15">
        <v>26319.436989999998</v>
      </c>
      <c r="H15">
        <v>41384.875019999999</v>
      </c>
      <c r="I15">
        <v>23763.053110000001</v>
      </c>
      <c r="J15">
        <v>7846.8426900000004</v>
      </c>
      <c r="K15">
        <f t="shared" si="0"/>
        <v>235720.12726000001</v>
      </c>
      <c r="L15">
        <v>13</v>
      </c>
      <c r="M15">
        <v>7546</v>
      </c>
      <c r="N15">
        <v>232</v>
      </c>
      <c r="O15">
        <v>285</v>
      </c>
      <c r="P15">
        <v>1405</v>
      </c>
      <c r="Q15">
        <v>15347</v>
      </c>
      <c r="R15">
        <v>3634</v>
      </c>
      <c r="U15">
        <v>1943</v>
      </c>
      <c r="V15">
        <f t="shared" si="1"/>
        <v>30392</v>
      </c>
      <c r="X15" s="157">
        <v>13</v>
      </c>
      <c r="Y15">
        <v>7546</v>
      </c>
      <c r="Z15">
        <v>232</v>
      </c>
      <c r="AA15">
        <v>285</v>
      </c>
      <c r="AB15">
        <v>1405</v>
      </c>
      <c r="AC15">
        <v>15347</v>
      </c>
      <c r="AD15">
        <v>3634</v>
      </c>
      <c r="AE15">
        <v>1943</v>
      </c>
    </row>
    <row r="16" spans="1:31" x14ac:dyDescent="0.25">
      <c r="A16">
        <v>14</v>
      </c>
      <c r="B16">
        <v>49011.6417</v>
      </c>
      <c r="C16">
        <v>2401.1605500000001</v>
      </c>
      <c r="D16">
        <v>8007.9859299999998</v>
      </c>
      <c r="E16">
        <v>11236.1235</v>
      </c>
      <c r="F16">
        <v>90345.445770000006</v>
      </c>
      <c r="G16">
        <v>30093.39932</v>
      </c>
      <c r="H16">
        <v>62593.465649999998</v>
      </c>
      <c r="I16">
        <v>19181.796849999999</v>
      </c>
      <c r="J16">
        <v>13928.83958</v>
      </c>
      <c r="K16">
        <f t="shared" si="0"/>
        <v>286799.85884999996</v>
      </c>
      <c r="L16">
        <v>14</v>
      </c>
      <c r="M16">
        <v>6609</v>
      </c>
      <c r="N16">
        <v>220</v>
      </c>
      <c r="O16">
        <v>460</v>
      </c>
      <c r="P16">
        <v>2394</v>
      </c>
      <c r="Q16">
        <v>16450</v>
      </c>
      <c r="R16">
        <v>3718</v>
      </c>
      <c r="U16">
        <v>3477</v>
      </c>
      <c r="V16">
        <f t="shared" si="1"/>
        <v>33328</v>
      </c>
      <c r="X16" s="157">
        <v>14</v>
      </c>
      <c r="Y16">
        <v>6609</v>
      </c>
      <c r="Z16">
        <v>220</v>
      </c>
      <c r="AA16">
        <v>460</v>
      </c>
      <c r="AB16">
        <v>2394</v>
      </c>
      <c r="AC16">
        <v>16450</v>
      </c>
      <c r="AD16">
        <v>3718</v>
      </c>
      <c r="AE16">
        <v>3477</v>
      </c>
    </row>
    <row r="17" spans="1:31" x14ac:dyDescent="0.25">
      <c r="A17">
        <v>15</v>
      </c>
      <c r="B17">
        <v>51821.13222</v>
      </c>
      <c r="C17">
        <v>2879.23387</v>
      </c>
      <c r="D17">
        <v>14910.978870000001</v>
      </c>
      <c r="E17">
        <v>13821.7623</v>
      </c>
      <c r="F17">
        <v>77015.744149999999</v>
      </c>
      <c r="G17">
        <v>32886.291010000001</v>
      </c>
      <c r="H17">
        <v>49547.945249999997</v>
      </c>
      <c r="I17">
        <v>23276.447660000002</v>
      </c>
      <c r="J17">
        <v>14644.25819</v>
      </c>
      <c r="K17">
        <f t="shared" si="0"/>
        <v>280803.79352000001</v>
      </c>
      <c r="L17">
        <v>15</v>
      </c>
      <c r="M17">
        <v>7404</v>
      </c>
      <c r="N17">
        <v>256</v>
      </c>
      <c r="O17">
        <v>702</v>
      </c>
      <c r="P17">
        <v>2887</v>
      </c>
      <c r="Q17">
        <v>14073</v>
      </c>
      <c r="R17">
        <v>3876</v>
      </c>
      <c r="U17">
        <v>7807</v>
      </c>
      <c r="V17">
        <f t="shared" si="1"/>
        <v>37005</v>
      </c>
      <c r="X17" s="157">
        <v>15</v>
      </c>
      <c r="Y17">
        <v>7404</v>
      </c>
      <c r="Z17">
        <v>256</v>
      </c>
      <c r="AA17">
        <v>702</v>
      </c>
      <c r="AB17">
        <v>2887</v>
      </c>
      <c r="AC17">
        <v>14073</v>
      </c>
      <c r="AD17">
        <v>3876</v>
      </c>
      <c r="AE17">
        <v>7807</v>
      </c>
    </row>
    <row r="18" spans="1:31" x14ac:dyDescent="0.25">
      <c r="A18">
        <v>16</v>
      </c>
      <c r="B18">
        <v>81767.208559999999</v>
      </c>
      <c r="C18">
        <v>2626.4108700000002</v>
      </c>
      <c r="D18">
        <v>13012.35218</v>
      </c>
      <c r="E18">
        <v>19493.748</v>
      </c>
      <c r="F18">
        <v>91101.053809999998</v>
      </c>
      <c r="G18">
        <v>31253.21975</v>
      </c>
      <c r="H18">
        <v>64816.694600000003</v>
      </c>
      <c r="I18">
        <v>36877.713530000001</v>
      </c>
      <c r="J18">
        <v>23561.183290000001</v>
      </c>
      <c r="K18">
        <f t="shared" si="0"/>
        <v>364509.58458999998</v>
      </c>
      <c r="L18">
        <v>16</v>
      </c>
      <c r="M18">
        <v>7208</v>
      </c>
      <c r="N18">
        <v>277</v>
      </c>
      <c r="O18">
        <v>1052</v>
      </c>
      <c r="P18">
        <v>1583</v>
      </c>
      <c r="Q18">
        <v>15714</v>
      </c>
      <c r="R18">
        <v>3435</v>
      </c>
      <c r="U18">
        <v>11103</v>
      </c>
      <c r="V18">
        <f t="shared" si="1"/>
        <v>40372</v>
      </c>
      <c r="X18" s="157">
        <v>16</v>
      </c>
      <c r="Y18">
        <v>7208</v>
      </c>
      <c r="Z18">
        <v>277</v>
      </c>
      <c r="AA18">
        <v>1052</v>
      </c>
      <c r="AB18">
        <v>1583</v>
      </c>
      <c r="AC18">
        <v>15714</v>
      </c>
      <c r="AD18">
        <v>3435</v>
      </c>
      <c r="AE18">
        <v>11103</v>
      </c>
    </row>
    <row r="19" spans="1:31" x14ac:dyDescent="0.25">
      <c r="A19">
        <v>17</v>
      </c>
      <c r="B19">
        <v>71000.532630000002</v>
      </c>
      <c r="C19">
        <v>2613.48524</v>
      </c>
      <c r="D19">
        <v>8687.3149200000007</v>
      </c>
      <c r="E19">
        <v>14545.88673</v>
      </c>
      <c r="F19">
        <v>87633.09663</v>
      </c>
      <c r="G19">
        <v>36075.57473</v>
      </c>
      <c r="H19">
        <v>54422.874340000002</v>
      </c>
      <c r="I19">
        <v>8637.6597299999994</v>
      </c>
      <c r="J19">
        <v>16617.778399999999</v>
      </c>
      <c r="K19">
        <f t="shared" si="0"/>
        <v>300234.20335000003</v>
      </c>
      <c r="L19">
        <v>17</v>
      </c>
      <c r="M19">
        <v>10657</v>
      </c>
      <c r="N19">
        <v>287</v>
      </c>
      <c r="O19">
        <v>2144</v>
      </c>
      <c r="P19">
        <v>1240</v>
      </c>
      <c r="Q19">
        <v>12757</v>
      </c>
      <c r="R19">
        <v>3175</v>
      </c>
      <c r="U19">
        <v>8977</v>
      </c>
      <c r="V19">
        <f t="shared" si="1"/>
        <v>39237</v>
      </c>
      <c r="X19" s="157">
        <v>17</v>
      </c>
      <c r="Y19">
        <v>10657</v>
      </c>
      <c r="Z19">
        <v>287</v>
      </c>
      <c r="AA19">
        <v>2144</v>
      </c>
      <c r="AB19">
        <v>1240</v>
      </c>
      <c r="AC19">
        <v>12757</v>
      </c>
      <c r="AD19">
        <v>3175</v>
      </c>
      <c r="AE19">
        <v>8977</v>
      </c>
    </row>
    <row r="20" spans="1:31" x14ac:dyDescent="0.25">
      <c r="A20">
        <v>18</v>
      </c>
      <c r="B20">
        <v>64209.120569999999</v>
      </c>
      <c r="C20">
        <v>5822.49197</v>
      </c>
      <c r="D20">
        <v>9949.9309699999994</v>
      </c>
      <c r="E20">
        <v>15180.92967</v>
      </c>
      <c r="F20">
        <v>74528.817750000002</v>
      </c>
      <c r="G20">
        <v>28703.903829999999</v>
      </c>
      <c r="H20">
        <v>45598.400999999998</v>
      </c>
      <c r="I20">
        <v>14970.738600000001</v>
      </c>
      <c r="J20">
        <v>15089.71264</v>
      </c>
      <c r="K20">
        <f t="shared" si="0"/>
        <v>274054.04700000002</v>
      </c>
      <c r="L20">
        <v>18</v>
      </c>
      <c r="M20">
        <v>10483</v>
      </c>
      <c r="N20">
        <v>314</v>
      </c>
      <c r="O20">
        <v>2165</v>
      </c>
      <c r="P20">
        <v>1087</v>
      </c>
      <c r="Q20">
        <v>12556</v>
      </c>
      <c r="R20">
        <v>3122</v>
      </c>
      <c r="U20">
        <v>6680</v>
      </c>
      <c r="V20">
        <f t="shared" si="1"/>
        <v>36407</v>
      </c>
      <c r="X20" s="157">
        <v>18</v>
      </c>
      <c r="Y20">
        <v>10483</v>
      </c>
      <c r="Z20">
        <v>314</v>
      </c>
      <c r="AA20">
        <v>2165</v>
      </c>
      <c r="AB20">
        <v>1087</v>
      </c>
      <c r="AC20">
        <v>12556</v>
      </c>
      <c r="AD20">
        <v>3122</v>
      </c>
      <c r="AE20">
        <v>6680</v>
      </c>
    </row>
    <row r="21" spans="1:31" x14ac:dyDescent="0.25">
      <c r="A21">
        <v>19</v>
      </c>
      <c r="B21">
        <v>68881.99871</v>
      </c>
      <c r="C21">
        <v>1999.4013600000001</v>
      </c>
      <c r="D21">
        <v>11847.54083</v>
      </c>
      <c r="E21">
        <v>17594.872810000001</v>
      </c>
      <c r="F21">
        <v>78541.3894</v>
      </c>
      <c r="G21">
        <v>27624.139080000001</v>
      </c>
      <c r="H21">
        <v>44795.852789999997</v>
      </c>
      <c r="I21">
        <v>24258.581180000001</v>
      </c>
      <c r="J21">
        <v>8423.9631399999998</v>
      </c>
      <c r="K21">
        <f t="shared" si="0"/>
        <v>283967.73930000002</v>
      </c>
      <c r="L21">
        <v>19</v>
      </c>
      <c r="M21">
        <v>11151</v>
      </c>
      <c r="N21">
        <v>335</v>
      </c>
      <c r="O21">
        <v>6866</v>
      </c>
      <c r="P21">
        <v>1247</v>
      </c>
      <c r="Q21">
        <v>11744</v>
      </c>
      <c r="R21">
        <v>3545</v>
      </c>
      <c r="U21">
        <v>4821</v>
      </c>
      <c r="V21">
        <f t="shared" si="1"/>
        <v>39709</v>
      </c>
      <c r="X21" s="157">
        <v>19</v>
      </c>
      <c r="Y21">
        <v>11151</v>
      </c>
      <c r="Z21">
        <v>335</v>
      </c>
      <c r="AA21">
        <v>6866</v>
      </c>
      <c r="AB21">
        <v>1247</v>
      </c>
      <c r="AC21">
        <v>11744</v>
      </c>
      <c r="AD21">
        <v>3545</v>
      </c>
      <c r="AE21">
        <v>4821</v>
      </c>
    </row>
    <row r="22" spans="1:31" x14ac:dyDescent="0.25">
      <c r="A22">
        <v>20</v>
      </c>
      <c r="B22">
        <v>123931.36691</v>
      </c>
      <c r="C22">
        <v>5707.6952899999997</v>
      </c>
      <c r="D22">
        <v>12983.512059999999</v>
      </c>
      <c r="E22">
        <v>14455.913189999999</v>
      </c>
      <c r="F22">
        <v>70948.869439999995</v>
      </c>
      <c r="G22">
        <v>29910.026989999998</v>
      </c>
      <c r="H22">
        <v>44642.534890000003</v>
      </c>
      <c r="I22">
        <v>23745.113120000002</v>
      </c>
      <c r="J22">
        <v>7250.3861399999996</v>
      </c>
      <c r="K22">
        <f t="shared" si="0"/>
        <v>333575.41803</v>
      </c>
      <c r="L22">
        <v>20</v>
      </c>
      <c r="M22">
        <v>15727</v>
      </c>
      <c r="N22">
        <v>328</v>
      </c>
      <c r="O22">
        <v>4017</v>
      </c>
      <c r="P22">
        <v>2068</v>
      </c>
      <c r="Q22">
        <v>13049</v>
      </c>
      <c r="R22">
        <v>3238</v>
      </c>
      <c r="U22">
        <v>3143</v>
      </c>
      <c r="V22">
        <f t="shared" si="1"/>
        <v>41570</v>
      </c>
      <c r="X22" s="157">
        <v>20</v>
      </c>
      <c r="Y22">
        <v>15727</v>
      </c>
      <c r="Z22">
        <v>328</v>
      </c>
      <c r="AA22">
        <v>4017</v>
      </c>
      <c r="AB22">
        <v>2068</v>
      </c>
      <c r="AC22">
        <v>13049</v>
      </c>
      <c r="AD22">
        <v>3238</v>
      </c>
      <c r="AE22">
        <v>3143</v>
      </c>
    </row>
    <row r="23" spans="1:31" x14ac:dyDescent="0.25">
      <c r="A23">
        <v>21</v>
      </c>
      <c r="B23">
        <v>112123.74695</v>
      </c>
      <c r="C23">
        <v>2887.6851299999998</v>
      </c>
      <c r="D23">
        <v>64746.998850000004</v>
      </c>
      <c r="E23">
        <v>27900.48574</v>
      </c>
      <c r="F23">
        <v>77914.739419999998</v>
      </c>
      <c r="G23">
        <v>30105.548869999999</v>
      </c>
      <c r="H23">
        <v>45183.766759999999</v>
      </c>
      <c r="I23">
        <v>16179.95781</v>
      </c>
      <c r="J23">
        <v>5990.58115</v>
      </c>
      <c r="K23">
        <f t="shared" si="0"/>
        <v>383033.51068000001</v>
      </c>
      <c r="L23">
        <v>21</v>
      </c>
      <c r="M23">
        <v>20005</v>
      </c>
      <c r="N23">
        <v>375</v>
      </c>
      <c r="O23">
        <v>17072</v>
      </c>
      <c r="P23">
        <v>3312</v>
      </c>
      <c r="Q23">
        <v>13392</v>
      </c>
      <c r="R23">
        <v>3435</v>
      </c>
      <c r="U23">
        <v>2180</v>
      </c>
      <c r="V23">
        <f t="shared" si="1"/>
        <v>59771</v>
      </c>
      <c r="X23" s="157">
        <v>21</v>
      </c>
      <c r="Y23">
        <v>20005</v>
      </c>
      <c r="Z23">
        <v>375</v>
      </c>
      <c r="AA23">
        <v>17072</v>
      </c>
      <c r="AB23">
        <v>3312</v>
      </c>
      <c r="AC23">
        <v>13392</v>
      </c>
      <c r="AD23">
        <v>3435</v>
      </c>
      <c r="AE23">
        <v>2180</v>
      </c>
    </row>
    <row r="24" spans="1:31" x14ac:dyDescent="0.25">
      <c r="A24">
        <v>22</v>
      </c>
      <c r="B24">
        <v>135624.24797</v>
      </c>
      <c r="C24">
        <v>4914.3396400000001</v>
      </c>
      <c r="D24">
        <v>85187.40208</v>
      </c>
      <c r="E24">
        <v>25636.239819999999</v>
      </c>
      <c r="F24">
        <v>63660.578220000003</v>
      </c>
      <c r="G24">
        <v>28818.981189999999</v>
      </c>
      <c r="H24">
        <v>50417.978430000003</v>
      </c>
      <c r="I24">
        <v>11359.278979999999</v>
      </c>
      <c r="J24">
        <v>3826.5971</v>
      </c>
      <c r="K24">
        <f t="shared" si="0"/>
        <v>409445.64343000005</v>
      </c>
      <c r="L24">
        <v>22</v>
      </c>
      <c r="M24">
        <v>27310</v>
      </c>
      <c r="N24">
        <v>416</v>
      </c>
      <c r="O24">
        <v>13010</v>
      </c>
      <c r="P24">
        <v>3782</v>
      </c>
      <c r="Q24">
        <v>12801</v>
      </c>
      <c r="R24">
        <v>3405</v>
      </c>
      <c r="U24">
        <v>1851</v>
      </c>
      <c r="V24">
        <f t="shared" si="1"/>
        <v>62575</v>
      </c>
      <c r="X24" s="157">
        <v>22</v>
      </c>
      <c r="Y24">
        <v>27310</v>
      </c>
      <c r="Z24">
        <v>416</v>
      </c>
      <c r="AA24">
        <v>13010</v>
      </c>
      <c r="AB24">
        <v>3782</v>
      </c>
      <c r="AC24">
        <v>12801</v>
      </c>
      <c r="AD24">
        <v>3405</v>
      </c>
      <c r="AE24">
        <v>1851</v>
      </c>
    </row>
    <row r="25" spans="1:31" x14ac:dyDescent="0.25">
      <c r="A25">
        <v>23</v>
      </c>
      <c r="B25">
        <v>159627.09064000001</v>
      </c>
      <c r="C25">
        <v>4509.0638499999995</v>
      </c>
      <c r="D25">
        <v>51981.966919999999</v>
      </c>
      <c r="E25">
        <v>19196.986199999999</v>
      </c>
      <c r="F25">
        <v>65941.696609999999</v>
      </c>
      <c r="G25">
        <v>26125.707849999999</v>
      </c>
      <c r="H25">
        <v>34593.446279999996</v>
      </c>
      <c r="I25">
        <v>18183.773949999999</v>
      </c>
      <c r="J25">
        <v>2667.3569000000002</v>
      </c>
      <c r="K25">
        <f t="shared" si="0"/>
        <v>382827.08919999999</v>
      </c>
      <c r="L25">
        <v>23</v>
      </c>
      <c r="M25">
        <v>36451</v>
      </c>
      <c r="N25">
        <v>404</v>
      </c>
      <c r="O25">
        <v>10631</v>
      </c>
      <c r="P25">
        <v>3017</v>
      </c>
      <c r="Q25">
        <v>16033</v>
      </c>
      <c r="R25">
        <v>3394</v>
      </c>
      <c r="U25">
        <v>1530</v>
      </c>
      <c r="V25">
        <f t="shared" si="1"/>
        <v>71460</v>
      </c>
      <c r="X25" s="157">
        <v>23</v>
      </c>
      <c r="Y25">
        <v>36451</v>
      </c>
      <c r="Z25">
        <v>404</v>
      </c>
      <c r="AA25">
        <v>10631</v>
      </c>
      <c r="AB25">
        <v>3017</v>
      </c>
      <c r="AC25">
        <v>16033</v>
      </c>
      <c r="AD25">
        <v>3394</v>
      </c>
      <c r="AE25">
        <v>1530</v>
      </c>
    </row>
    <row r="26" spans="1:31" x14ac:dyDescent="0.25">
      <c r="A26">
        <v>24</v>
      </c>
      <c r="B26">
        <v>165782.85569999999</v>
      </c>
      <c r="C26">
        <v>2896.1704199999999</v>
      </c>
      <c r="D26">
        <v>26248.563429999998</v>
      </c>
      <c r="E26">
        <v>17698.913659999998</v>
      </c>
      <c r="F26">
        <v>91497.31306</v>
      </c>
      <c r="G26">
        <v>29742.424459999998</v>
      </c>
      <c r="H26">
        <v>29577.01672</v>
      </c>
      <c r="I26">
        <v>32215.272690000002</v>
      </c>
      <c r="J26">
        <v>1810.99244</v>
      </c>
      <c r="K26">
        <f t="shared" si="0"/>
        <v>397469.52258000005</v>
      </c>
      <c r="L26">
        <v>24</v>
      </c>
      <c r="M26">
        <v>36069</v>
      </c>
      <c r="N26">
        <v>350</v>
      </c>
      <c r="O26">
        <v>6571</v>
      </c>
      <c r="P26">
        <v>3160</v>
      </c>
      <c r="Q26">
        <v>12696</v>
      </c>
      <c r="R26">
        <v>3838</v>
      </c>
      <c r="U26">
        <v>1168</v>
      </c>
      <c r="V26">
        <f t="shared" si="1"/>
        <v>63852</v>
      </c>
      <c r="X26" s="157">
        <v>24</v>
      </c>
      <c r="Y26">
        <v>36069</v>
      </c>
      <c r="Z26">
        <v>350</v>
      </c>
      <c r="AA26">
        <v>6571</v>
      </c>
      <c r="AB26">
        <v>3160</v>
      </c>
      <c r="AC26">
        <v>12696</v>
      </c>
      <c r="AD26">
        <v>3838</v>
      </c>
      <c r="AE26">
        <v>1168</v>
      </c>
    </row>
    <row r="27" spans="1:31" x14ac:dyDescent="0.25">
      <c r="A27">
        <v>25</v>
      </c>
      <c r="B27">
        <v>202985.25557000001</v>
      </c>
      <c r="C27">
        <v>3772.6903900000002</v>
      </c>
      <c r="D27">
        <v>23687.761490000001</v>
      </c>
      <c r="E27">
        <v>17241.546020000002</v>
      </c>
      <c r="F27">
        <v>39875.518989999997</v>
      </c>
      <c r="G27">
        <v>27513.464690000001</v>
      </c>
      <c r="H27">
        <v>31553.72408</v>
      </c>
      <c r="I27">
        <v>22460.714670000001</v>
      </c>
      <c r="J27">
        <v>1513.5360599999999</v>
      </c>
      <c r="K27">
        <f t="shared" si="0"/>
        <v>370604.21196000004</v>
      </c>
      <c r="L27">
        <v>25</v>
      </c>
      <c r="M27">
        <v>37543</v>
      </c>
      <c r="N27">
        <v>350</v>
      </c>
      <c r="O27">
        <v>3190</v>
      </c>
      <c r="P27">
        <v>3080</v>
      </c>
      <c r="Q27">
        <v>11390</v>
      </c>
      <c r="R27">
        <v>4202</v>
      </c>
      <c r="U27">
        <v>913</v>
      </c>
      <c r="V27">
        <f t="shared" si="1"/>
        <v>60668</v>
      </c>
      <c r="X27" s="157">
        <v>25</v>
      </c>
      <c r="Y27">
        <v>37543</v>
      </c>
      <c r="Z27">
        <v>350</v>
      </c>
      <c r="AA27">
        <v>3190</v>
      </c>
      <c r="AB27">
        <v>3080</v>
      </c>
      <c r="AC27">
        <v>11390</v>
      </c>
      <c r="AD27">
        <v>4202</v>
      </c>
      <c r="AE27">
        <v>913</v>
      </c>
    </row>
    <row r="28" spans="1:31" x14ac:dyDescent="0.25">
      <c r="A28">
        <v>26</v>
      </c>
      <c r="B28">
        <v>239796.17090999999</v>
      </c>
      <c r="C28">
        <v>5952.3648800000001</v>
      </c>
      <c r="D28">
        <v>23534.33023</v>
      </c>
      <c r="E28">
        <v>15478.55213</v>
      </c>
      <c r="F28">
        <v>41126.104570000003</v>
      </c>
      <c r="G28">
        <v>51240.809679999998</v>
      </c>
      <c r="H28">
        <v>24075.209770000001</v>
      </c>
      <c r="I28">
        <v>22262.677189999999</v>
      </c>
      <c r="J28">
        <v>658.35825999999997</v>
      </c>
      <c r="K28">
        <f t="shared" si="0"/>
        <v>424124.57762000011</v>
      </c>
      <c r="L28">
        <v>26</v>
      </c>
      <c r="M28">
        <v>45429</v>
      </c>
      <c r="N28">
        <v>298</v>
      </c>
      <c r="O28">
        <v>2071</v>
      </c>
      <c r="P28">
        <v>4018</v>
      </c>
      <c r="Q28">
        <v>10061</v>
      </c>
      <c r="R28">
        <v>4651</v>
      </c>
      <c r="U28">
        <v>667</v>
      </c>
      <c r="V28">
        <f t="shared" si="1"/>
        <v>67195</v>
      </c>
      <c r="X28" s="157">
        <v>26</v>
      </c>
      <c r="Y28">
        <v>45429</v>
      </c>
      <c r="Z28">
        <v>298</v>
      </c>
      <c r="AA28">
        <v>2071</v>
      </c>
      <c r="AB28">
        <v>4018</v>
      </c>
      <c r="AC28">
        <v>10061</v>
      </c>
      <c r="AD28">
        <v>4651</v>
      </c>
      <c r="AE28">
        <v>667</v>
      </c>
    </row>
    <row r="29" spans="1:31" x14ac:dyDescent="0.25">
      <c r="A29">
        <v>27</v>
      </c>
      <c r="B29">
        <v>134360.98736999999</v>
      </c>
      <c r="C29">
        <v>1937.4866400000001</v>
      </c>
      <c r="D29">
        <v>11016.796770000001</v>
      </c>
      <c r="E29">
        <v>18125.58354</v>
      </c>
      <c r="F29">
        <v>32635.809140000001</v>
      </c>
      <c r="G29">
        <v>33301.908499999998</v>
      </c>
      <c r="H29">
        <v>47278.625809999998</v>
      </c>
      <c r="I29">
        <v>20113.702949999999</v>
      </c>
      <c r="J29">
        <v>402.50549000000001</v>
      </c>
      <c r="K29">
        <f t="shared" si="0"/>
        <v>299173.40620999999</v>
      </c>
      <c r="L29">
        <v>27</v>
      </c>
      <c r="M29">
        <v>39518</v>
      </c>
      <c r="N29">
        <v>244</v>
      </c>
      <c r="O29">
        <v>1319</v>
      </c>
      <c r="P29">
        <v>3635</v>
      </c>
      <c r="Q29">
        <v>9681</v>
      </c>
      <c r="R29">
        <v>5097</v>
      </c>
      <c r="U29">
        <v>536</v>
      </c>
      <c r="V29">
        <f t="shared" si="1"/>
        <v>60030</v>
      </c>
      <c r="X29" s="157">
        <v>27</v>
      </c>
      <c r="Y29">
        <v>39518</v>
      </c>
      <c r="Z29">
        <v>244</v>
      </c>
      <c r="AA29">
        <v>1319</v>
      </c>
      <c r="AB29">
        <v>3635</v>
      </c>
      <c r="AC29">
        <v>9681</v>
      </c>
      <c r="AD29">
        <v>5097</v>
      </c>
      <c r="AE29">
        <v>536</v>
      </c>
    </row>
    <row r="30" spans="1:31" x14ac:dyDescent="0.25">
      <c r="A30">
        <v>28</v>
      </c>
      <c r="B30">
        <v>88042.879159999997</v>
      </c>
      <c r="C30">
        <v>1890.3952400000001</v>
      </c>
      <c r="D30">
        <v>12340.53321</v>
      </c>
      <c r="E30">
        <v>14217.680399999999</v>
      </c>
      <c r="F30">
        <v>29880.888859999999</v>
      </c>
      <c r="G30">
        <v>35351.25015</v>
      </c>
      <c r="H30">
        <v>37253.947979999997</v>
      </c>
      <c r="I30">
        <v>54055.037100000001</v>
      </c>
      <c r="J30">
        <v>731.28171999999995</v>
      </c>
      <c r="K30">
        <f t="shared" si="0"/>
        <v>273763.89382</v>
      </c>
      <c r="L30">
        <v>28</v>
      </c>
      <c r="M30">
        <v>27085</v>
      </c>
      <c r="N30">
        <v>283</v>
      </c>
      <c r="O30">
        <v>1682</v>
      </c>
      <c r="P30">
        <v>3023</v>
      </c>
      <c r="Q30">
        <v>9781</v>
      </c>
      <c r="R30">
        <v>5296</v>
      </c>
      <c r="U30">
        <v>464</v>
      </c>
      <c r="V30">
        <f t="shared" si="1"/>
        <v>47614</v>
      </c>
      <c r="X30" s="157">
        <v>28</v>
      </c>
      <c r="Y30">
        <v>27085</v>
      </c>
      <c r="Z30">
        <v>283</v>
      </c>
      <c r="AA30">
        <v>1682</v>
      </c>
      <c r="AB30">
        <v>3023</v>
      </c>
      <c r="AC30">
        <v>9781</v>
      </c>
      <c r="AD30">
        <v>5296</v>
      </c>
      <c r="AE30">
        <v>464</v>
      </c>
    </row>
    <row r="31" spans="1:31" x14ac:dyDescent="0.25">
      <c r="A31">
        <v>29</v>
      </c>
      <c r="B31">
        <v>81961.637159999998</v>
      </c>
      <c r="C31">
        <v>1803.2832000000001</v>
      </c>
      <c r="D31">
        <v>5701.9569499999998</v>
      </c>
      <c r="E31">
        <v>11422.888510000001</v>
      </c>
      <c r="F31">
        <v>25232.078959999999</v>
      </c>
      <c r="G31">
        <v>25850.922210000001</v>
      </c>
      <c r="H31">
        <v>31706.03944</v>
      </c>
      <c r="I31">
        <v>19298.03731</v>
      </c>
      <c r="J31">
        <v>1171.7331999999999</v>
      </c>
      <c r="K31">
        <f t="shared" si="0"/>
        <v>204148.57693999997</v>
      </c>
      <c r="L31">
        <v>29</v>
      </c>
      <c r="M31">
        <v>18773</v>
      </c>
      <c r="N31">
        <v>246</v>
      </c>
      <c r="O31">
        <v>772</v>
      </c>
      <c r="P31">
        <v>2314</v>
      </c>
      <c r="Q31">
        <v>8350</v>
      </c>
      <c r="R31">
        <v>5673</v>
      </c>
      <c r="U31">
        <v>365</v>
      </c>
      <c r="V31">
        <f t="shared" si="1"/>
        <v>36493</v>
      </c>
      <c r="X31" s="157">
        <v>29</v>
      </c>
      <c r="Y31">
        <v>18773</v>
      </c>
      <c r="Z31">
        <v>246</v>
      </c>
      <c r="AA31">
        <v>772</v>
      </c>
      <c r="AB31">
        <v>2314</v>
      </c>
      <c r="AC31">
        <v>8350</v>
      </c>
      <c r="AD31">
        <v>5673</v>
      </c>
      <c r="AE31">
        <v>365</v>
      </c>
    </row>
    <row r="32" spans="1:31" x14ac:dyDescent="0.25">
      <c r="A32">
        <v>30</v>
      </c>
      <c r="B32">
        <v>72080.77463</v>
      </c>
      <c r="C32">
        <v>1539.3844099999999</v>
      </c>
      <c r="D32">
        <v>16456.320930000002</v>
      </c>
      <c r="E32">
        <v>9512.8508099999999</v>
      </c>
      <c r="F32">
        <v>28468.68663</v>
      </c>
      <c r="G32">
        <v>26179.13624</v>
      </c>
      <c r="H32">
        <v>35210.615469999997</v>
      </c>
      <c r="I32">
        <v>22353.900119999998</v>
      </c>
      <c r="J32">
        <v>1169.53414</v>
      </c>
      <c r="K32">
        <f t="shared" si="0"/>
        <v>212971.20337999999</v>
      </c>
      <c r="L32">
        <v>30</v>
      </c>
      <c r="M32">
        <v>10883</v>
      </c>
      <c r="N32">
        <v>226</v>
      </c>
      <c r="O32">
        <v>621</v>
      </c>
      <c r="P32">
        <v>1803</v>
      </c>
      <c r="Q32">
        <v>8137</v>
      </c>
      <c r="R32">
        <v>4863</v>
      </c>
      <c r="U32">
        <v>282</v>
      </c>
      <c r="V32">
        <f t="shared" si="1"/>
        <v>26815</v>
      </c>
      <c r="X32" s="157">
        <v>30</v>
      </c>
      <c r="Y32">
        <v>10883</v>
      </c>
      <c r="Z32">
        <v>226</v>
      </c>
      <c r="AA32">
        <v>621</v>
      </c>
      <c r="AB32">
        <v>1803</v>
      </c>
      <c r="AC32">
        <v>8137</v>
      </c>
      <c r="AD32">
        <v>4863</v>
      </c>
      <c r="AE32">
        <v>282</v>
      </c>
    </row>
    <row r="33" spans="1:31" x14ac:dyDescent="0.25">
      <c r="A33">
        <v>31</v>
      </c>
      <c r="B33">
        <v>37251.524019999997</v>
      </c>
      <c r="C33">
        <v>305.32688999999999</v>
      </c>
      <c r="D33">
        <v>881.53533000000004</v>
      </c>
      <c r="E33">
        <v>5364.0796200000004</v>
      </c>
      <c r="F33">
        <v>18180.052739999999</v>
      </c>
      <c r="G33">
        <v>20020.761979999999</v>
      </c>
      <c r="H33">
        <v>15153.434730000001</v>
      </c>
      <c r="I33">
        <v>22600.555250000001</v>
      </c>
      <c r="J33">
        <v>292.08834999999999</v>
      </c>
      <c r="K33">
        <f t="shared" si="0"/>
        <v>120049.35891000001</v>
      </c>
      <c r="L33">
        <v>31</v>
      </c>
      <c r="M33">
        <v>11228</v>
      </c>
      <c r="N33">
        <v>238</v>
      </c>
      <c r="O33">
        <v>527</v>
      </c>
      <c r="P33">
        <v>1685</v>
      </c>
      <c r="Q33">
        <v>7315</v>
      </c>
      <c r="R33">
        <v>3695</v>
      </c>
      <c r="U33">
        <v>266</v>
      </c>
      <c r="V33">
        <f t="shared" si="1"/>
        <v>24954</v>
      </c>
      <c r="X33" s="157">
        <v>31</v>
      </c>
      <c r="Y33">
        <v>11228</v>
      </c>
      <c r="Z33">
        <v>238</v>
      </c>
      <c r="AA33">
        <v>527</v>
      </c>
      <c r="AB33">
        <v>1685</v>
      </c>
      <c r="AC33">
        <v>7315</v>
      </c>
      <c r="AD33">
        <v>3695</v>
      </c>
      <c r="AE33">
        <v>266</v>
      </c>
    </row>
    <row r="34" spans="1:31" x14ac:dyDescent="0.25">
      <c r="A34">
        <v>32</v>
      </c>
      <c r="B34">
        <v>29496.158370000001</v>
      </c>
      <c r="C34">
        <v>632.02739999999994</v>
      </c>
      <c r="D34">
        <v>1372.3771300000001</v>
      </c>
      <c r="E34">
        <v>6476.38339</v>
      </c>
      <c r="F34">
        <v>18767.818810000001</v>
      </c>
      <c r="G34">
        <v>26978.358370000002</v>
      </c>
      <c r="H34">
        <v>28105.880649999999</v>
      </c>
      <c r="I34">
        <v>34036.886169999998</v>
      </c>
      <c r="J34">
        <v>0</v>
      </c>
      <c r="K34">
        <f t="shared" si="0"/>
        <v>145865.89029000001</v>
      </c>
      <c r="L34">
        <v>32</v>
      </c>
      <c r="M34">
        <v>8635</v>
      </c>
      <c r="N34">
        <v>193</v>
      </c>
      <c r="O34">
        <v>349</v>
      </c>
      <c r="P34">
        <v>1405</v>
      </c>
      <c r="Q34">
        <v>5941</v>
      </c>
      <c r="R34">
        <v>4024</v>
      </c>
      <c r="U34">
        <v>218</v>
      </c>
      <c r="V34">
        <f t="shared" si="1"/>
        <v>20765</v>
      </c>
      <c r="X34" s="157">
        <v>32</v>
      </c>
      <c r="Y34">
        <v>8635</v>
      </c>
      <c r="Z34">
        <v>193</v>
      </c>
      <c r="AA34">
        <v>349</v>
      </c>
      <c r="AB34">
        <v>1405</v>
      </c>
      <c r="AC34">
        <v>5941</v>
      </c>
      <c r="AD34">
        <v>4024</v>
      </c>
      <c r="AE34">
        <v>218</v>
      </c>
    </row>
    <row r="35" spans="1:31" x14ac:dyDescent="0.25">
      <c r="A35">
        <v>33</v>
      </c>
      <c r="B35">
        <v>51978.26352</v>
      </c>
      <c r="C35">
        <v>2814.4257200000002</v>
      </c>
      <c r="D35">
        <v>28692.407480000002</v>
      </c>
      <c r="E35">
        <v>2248.4118400000002</v>
      </c>
      <c r="F35">
        <v>15558.360489999999</v>
      </c>
      <c r="G35">
        <v>24106.925080000001</v>
      </c>
      <c r="H35">
        <v>12872.219590000001</v>
      </c>
      <c r="I35">
        <v>32718.39489</v>
      </c>
      <c r="J35">
        <v>0</v>
      </c>
      <c r="K35">
        <f t="shared" si="0"/>
        <v>170989.40861000001</v>
      </c>
      <c r="L35">
        <v>33</v>
      </c>
      <c r="M35">
        <v>5309</v>
      </c>
      <c r="N35">
        <v>186</v>
      </c>
      <c r="O35">
        <v>219</v>
      </c>
      <c r="P35">
        <v>1225</v>
      </c>
      <c r="Q35">
        <v>5458</v>
      </c>
      <c r="R35">
        <v>3426</v>
      </c>
      <c r="U35">
        <v>185</v>
      </c>
      <c r="V35">
        <f t="shared" si="1"/>
        <v>16008</v>
      </c>
      <c r="X35" s="157">
        <v>33</v>
      </c>
      <c r="Y35">
        <v>5309</v>
      </c>
      <c r="Z35">
        <v>186</v>
      </c>
      <c r="AA35">
        <v>219</v>
      </c>
      <c r="AB35">
        <v>1225</v>
      </c>
      <c r="AC35">
        <v>5458</v>
      </c>
      <c r="AD35">
        <v>3426</v>
      </c>
      <c r="AE35">
        <v>185</v>
      </c>
    </row>
    <row r="36" spans="1:31" x14ac:dyDescent="0.25">
      <c r="A36">
        <v>34</v>
      </c>
      <c r="B36">
        <v>23977.7932</v>
      </c>
      <c r="C36">
        <v>1102.6661099999999</v>
      </c>
      <c r="D36">
        <v>225.76894999999999</v>
      </c>
      <c r="E36">
        <v>4734.5153099999998</v>
      </c>
      <c r="F36">
        <v>12670.49755</v>
      </c>
      <c r="G36">
        <v>18033.678110000001</v>
      </c>
      <c r="H36">
        <v>3440.8773999999999</v>
      </c>
      <c r="I36">
        <v>17274.956590000002</v>
      </c>
      <c r="J36">
        <v>0</v>
      </c>
      <c r="K36">
        <f t="shared" si="0"/>
        <v>81460.753219999999</v>
      </c>
      <c r="L36">
        <v>34</v>
      </c>
      <c r="M36">
        <v>4734</v>
      </c>
      <c r="N36">
        <v>158</v>
      </c>
      <c r="O36">
        <v>188</v>
      </c>
      <c r="P36">
        <v>982</v>
      </c>
      <c r="Q36">
        <v>3849</v>
      </c>
      <c r="R36">
        <v>3827</v>
      </c>
      <c r="U36">
        <v>179</v>
      </c>
      <c r="V36">
        <f t="shared" si="1"/>
        <v>13917</v>
      </c>
      <c r="X36" s="157">
        <v>34</v>
      </c>
      <c r="Y36">
        <v>4734</v>
      </c>
      <c r="Z36">
        <v>158</v>
      </c>
      <c r="AA36">
        <v>188</v>
      </c>
      <c r="AB36">
        <v>982</v>
      </c>
      <c r="AC36">
        <v>3849</v>
      </c>
      <c r="AD36">
        <v>3827</v>
      </c>
      <c r="AE36">
        <v>179</v>
      </c>
    </row>
    <row r="37" spans="1:31" x14ac:dyDescent="0.25">
      <c r="A37">
        <v>35</v>
      </c>
      <c r="B37">
        <v>13787.36873</v>
      </c>
      <c r="C37">
        <v>1322.29998</v>
      </c>
      <c r="D37">
        <v>561.03602999999998</v>
      </c>
      <c r="E37">
        <v>2561.8749899999998</v>
      </c>
      <c r="F37">
        <v>4655.0838999999996</v>
      </c>
      <c r="G37">
        <v>12530.93009</v>
      </c>
      <c r="H37">
        <v>1318.0824399999999</v>
      </c>
      <c r="I37">
        <v>14729.6638</v>
      </c>
      <c r="J37">
        <v>0</v>
      </c>
      <c r="K37">
        <f t="shared" si="0"/>
        <v>51466.339959999998</v>
      </c>
      <c r="L37">
        <v>35</v>
      </c>
      <c r="M37">
        <v>4908</v>
      </c>
      <c r="N37">
        <v>142</v>
      </c>
      <c r="O37">
        <v>193</v>
      </c>
      <c r="P37">
        <v>934</v>
      </c>
      <c r="Q37">
        <v>3106</v>
      </c>
      <c r="R37">
        <v>2853</v>
      </c>
      <c r="U37">
        <v>164</v>
      </c>
      <c r="V37">
        <f t="shared" si="1"/>
        <v>12300</v>
      </c>
      <c r="X37" s="157">
        <v>35</v>
      </c>
      <c r="Y37">
        <v>4908</v>
      </c>
      <c r="Z37">
        <v>142</v>
      </c>
      <c r="AA37">
        <v>193</v>
      </c>
      <c r="AB37">
        <v>934</v>
      </c>
      <c r="AC37">
        <v>3106</v>
      </c>
      <c r="AD37">
        <v>2853</v>
      </c>
      <c r="AE37">
        <v>164</v>
      </c>
    </row>
    <row r="38" spans="1:31" x14ac:dyDescent="0.25">
      <c r="A38">
        <v>36</v>
      </c>
      <c r="B38">
        <v>11169.98359</v>
      </c>
      <c r="C38">
        <v>536.72050000000002</v>
      </c>
      <c r="D38">
        <v>896.49181999999996</v>
      </c>
      <c r="E38">
        <v>969.19583</v>
      </c>
      <c r="F38">
        <v>1646.1659299999999</v>
      </c>
      <c r="G38">
        <v>11082.607029999999</v>
      </c>
      <c r="H38">
        <v>6569.3610099999996</v>
      </c>
      <c r="I38">
        <v>4489.1241799999998</v>
      </c>
      <c r="J38">
        <v>25.12893</v>
      </c>
      <c r="K38">
        <f t="shared" si="0"/>
        <v>37384.778819999992</v>
      </c>
      <c r="L38">
        <v>36</v>
      </c>
      <c r="M38">
        <v>7080</v>
      </c>
      <c r="N38">
        <v>164</v>
      </c>
      <c r="O38">
        <v>199</v>
      </c>
      <c r="P38">
        <v>798</v>
      </c>
      <c r="Q38">
        <v>2582</v>
      </c>
      <c r="R38">
        <v>2858</v>
      </c>
      <c r="U38">
        <v>110</v>
      </c>
      <c r="V38">
        <f t="shared" si="1"/>
        <v>13791</v>
      </c>
      <c r="X38" s="157">
        <v>36</v>
      </c>
      <c r="Y38">
        <v>7080</v>
      </c>
      <c r="Z38">
        <v>164</v>
      </c>
      <c r="AA38">
        <v>199</v>
      </c>
      <c r="AB38">
        <v>798</v>
      </c>
      <c r="AC38">
        <v>2582</v>
      </c>
      <c r="AD38">
        <v>2858</v>
      </c>
      <c r="AE38">
        <v>110</v>
      </c>
    </row>
    <row r="39" spans="1:31" x14ac:dyDescent="0.25">
      <c r="A39">
        <v>37</v>
      </c>
      <c r="B39">
        <v>5372.8205699999999</v>
      </c>
      <c r="C39">
        <v>0</v>
      </c>
      <c r="D39">
        <v>931.36748</v>
      </c>
      <c r="E39">
        <v>607.95345999999995</v>
      </c>
      <c r="F39">
        <v>1662.5894800000001</v>
      </c>
      <c r="G39">
        <v>6256.9484499999999</v>
      </c>
      <c r="H39">
        <v>1600.62201</v>
      </c>
      <c r="I39">
        <v>5825.6057000000001</v>
      </c>
      <c r="J39">
        <v>0</v>
      </c>
      <c r="K39">
        <f t="shared" si="0"/>
        <v>22257.907149999999</v>
      </c>
      <c r="L39">
        <v>37</v>
      </c>
      <c r="M39">
        <v>6322</v>
      </c>
      <c r="N39">
        <v>131</v>
      </c>
      <c r="O39">
        <v>201</v>
      </c>
      <c r="P39">
        <v>635</v>
      </c>
      <c r="Q39">
        <v>1967</v>
      </c>
      <c r="R39">
        <v>2632</v>
      </c>
      <c r="U39">
        <v>92</v>
      </c>
      <c r="V39">
        <f t="shared" si="1"/>
        <v>11980</v>
      </c>
      <c r="X39" s="157">
        <v>37</v>
      </c>
      <c r="Y39">
        <v>6322</v>
      </c>
      <c r="Z39">
        <v>131</v>
      </c>
      <c r="AA39">
        <v>201</v>
      </c>
      <c r="AB39">
        <v>635</v>
      </c>
      <c r="AC39">
        <v>1967</v>
      </c>
      <c r="AD39">
        <v>2632</v>
      </c>
      <c r="AE39">
        <v>92</v>
      </c>
    </row>
    <row r="40" spans="1:31" x14ac:dyDescent="0.25">
      <c r="A40">
        <v>38</v>
      </c>
      <c r="B40">
        <v>5923.1749300000001</v>
      </c>
      <c r="C40">
        <v>128.11025000000001</v>
      </c>
      <c r="D40">
        <v>0</v>
      </c>
      <c r="E40">
        <v>1195.34203</v>
      </c>
      <c r="F40">
        <v>842.37383</v>
      </c>
      <c r="G40">
        <v>5013.85754</v>
      </c>
      <c r="H40">
        <v>302.1848</v>
      </c>
      <c r="I40">
        <v>3250.17499</v>
      </c>
      <c r="J40">
        <v>0</v>
      </c>
      <c r="K40">
        <f t="shared" si="0"/>
        <v>16655.218369999999</v>
      </c>
      <c r="L40">
        <v>38</v>
      </c>
      <c r="M40">
        <v>8767</v>
      </c>
      <c r="N40">
        <v>106</v>
      </c>
      <c r="O40">
        <v>177</v>
      </c>
      <c r="P40">
        <v>553</v>
      </c>
      <c r="Q40">
        <v>1404</v>
      </c>
      <c r="R40">
        <v>2031</v>
      </c>
      <c r="U40">
        <v>86</v>
      </c>
      <c r="V40">
        <f t="shared" si="1"/>
        <v>13124</v>
      </c>
      <c r="X40" s="157">
        <v>38</v>
      </c>
      <c r="Y40">
        <v>8767</v>
      </c>
      <c r="Z40">
        <v>106</v>
      </c>
      <c r="AA40">
        <v>177</v>
      </c>
      <c r="AB40">
        <v>553</v>
      </c>
      <c r="AC40">
        <v>1404</v>
      </c>
      <c r="AD40">
        <v>2031</v>
      </c>
      <c r="AE40">
        <v>86</v>
      </c>
    </row>
    <row r="41" spans="1:31" x14ac:dyDescent="0.25">
      <c r="A41">
        <v>39</v>
      </c>
      <c r="B41">
        <v>6711.8572700000004</v>
      </c>
      <c r="C41">
        <v>0</v>
      </c>
      <c r="D41">
        <v>217.97167999999999</v>
      </c>
      <c r="E41">
        <v>295.12968000000001</v>
      </c>
      <c r="F41">
        <v>372.79511000000002</v>
      </c>
      <c r="G41">
        <v>2419.7636000000002</v>
      </c>
      <c r="H41">
        <v>0</v>
      </c>
      <c r="I41">
        <v>2891.56952</v>
      </c>
      <c r="J41">
        <v>0</v>
      </c>
      <c r="K41">
        <f t="shared" si="0"/>
        <v>12909.086859999999</v>
      </c>
      <c r="L41">
        <v>39</v>
      </c>
      <c r="M41">
        <v>3052</v>
      </c>
      <c r="N41">
        <v>122</v>
      </c>
      <c r="O41">
        <v>144</v>
      </c>
      <c r="P41">
        <v>498</v>
      </c>
      <c r="Q41">
        <v>916</v>
      </c>
      <c r="R41">
        <v>1611</v>
      </c>
      <c r="U41">
        <v>47</v>
      </c>
      <c r="V41">
        <f t="shared" si="1"/>
        <v>6390</v>
      </c>
      <c r="X41" s="157">
        <v>39</v>
      </c>
      <c r="Y41">
        <v>3052</v>
      </c>
      <c r="Z41">
        <v>122</v>
      </c>
      <c r="AA41">
        <v>144</v>
      </c>
      <c r="AB41">
        <v>498</v>
      </c>
      <c r="AC41">
        <v>916</v>
      </c>
      <c r="AD41">
        <v>1611</v>
      </c>
      <c r="AE41">
        <v>47</v>
      </c>
    </row>
    <row r="42" spans="1:31" x14ac:dyDescent="0.25">
      <c r="A42">
        <v>40</v>
      </c>
      <c r="B42">
        <v>5370.90211</v>
      </c>
      <c r="C42">
        <v>0</v>
      </c>
      <c r="D42">
        <v>0</v>
      </c>
      <c r="E42">
        <v>30.008050000000001</v>
      </c>
      <c r="F42">
        <v>253.88864000000001</v>
      </c>
      <c r="G42">
        <v>8668.4506700000002</v>
      </c>
      <c r="H42">
        <v>42.6</v>
      </c>
      <c r="I42">
        <v>8682.6953799999992</v>
      </c>
      <c r="J42">
        <v>0</v>
      </c>
      <c r="K42">
        <f t="shared" si="0"/>
        <v>23048.544849999998</v>
      </c>
      <c r="L42">
        <v>40</v>
      </c>
      <c r="M42">
        <v>3824</v>
      </c>
      <c r="N42">
        <v>42</v>
      </c>
      <c r="O42">
        <v>88</v>
      </c>
      <c r="P42">
        <v>328</v>
      </c>
      <c r="Q42">
        <v>435</v>
      </c>
      <c r="R42">
        <v>923</v>
      </c>
      <c r="U42">
        <v>31</v>
      </c>
      <c r="V42">
        <f t="shared" si="1"/>
        <v>5671</v>
      </c>
      <c r="X42" s="157">
        <v>40</v>
      </c>
      <c r="Y42">
        <v>3824</v>
      </c>
      <c r="Z42">
        <v>42</v>
      </c>
      <c r="AA42">
        <v>88</v>
      </c>
      <c r="AB42">
        <v>328</v>
      </c>
      <c r="AC42">
        <v>435</v>
      </c>
      <c r="AD42">
        <v>923</v>
      </c>
      <c r="AE42">
        <v>31</v>
      </c>
    </row>
  </sheetData>
  <pageMargins left="0.7" right="0.7" top="0.75" bottom="0.75" header="0.3" footer="0.3"/>
  <pageSetup paperSize="0" orientation="portrait" horizontalDpi="0" verticalDpi="0" copies="0"/>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H48"/>
  <sheetViews>
    <sheetView workbookViewId="0">
      <selection activeCell="D10" sqref="D10"/>
    </sheetView>
  </sheetViews>
  <sheetFormatPr defaultRowHeight="15" x14ac:dyDescent="0.25"/>
  <cols>
    <col min="2" max="2" width="19.85546875" bestFit="1" customWidth="1"/>
  </cols>
  <sheetData>
    <row r="1" spans="1:6" ht="23.25" x14ac:dyDescent="0.35">
      <c r="A1" s="173" t="s">
        <v>371</v>
      </c>
    </row>
    <row r="2" spans="1:6" ht="18.75" x14ac:dyDescent="0.3">
      <c r="B2" s="66" t="s">
        <v>372</v>
      </c>
    </row>
    <row r="3" spans="1:6" x14ac:dyDescent="0.25">
      <c r="B3" t="s">
        <v>55</v>
      </c>
    </row>
    <row r="5" spans="1:6" x14ac:dyDescent="0.25">
      <c r="A5" s="86"/>
      <c r="B5" s="86"/>
      <c r="C5" s="396" t="s">
        <v>10</v>
      </c>
      <c r="D5" s="396"/>
      <c r="E5" s="396" t="s">
        <v>11</v>
      </c>
      <c r="F5" s="396"/>
    </row>
    <row r="6" spans="1:6" ht="15.75" thickBot="1" x14ac:dyDescent="0.3">
      <c r="A6" s="54" t="s">
        <v>233</v>
      </c>
      <c r="B6" s="54" t="s">
        <v>234</v>
      </c>
      <c r="C6" s="54" t="s">
        <v>7</v>
      </c>
      <c r="D6" s="54" t="s">
        <v>3</v>
      </c>
      <c r="E6" s="54" t="s">
        <v>7</v>
      </c>
      <c r="F6" s="54" t="s">
        <v>3</v>
      </c>
    </row>
    <row r="7" spans="1:6" ht="15.75" thickTop="1" x14ac:dyDescent="0.25">
      <c r="A7">
        <v>1</v>
      </c>
      <c r="B7" t="s">
        <v>277</v>
      </c>
      <c r="C7">
        <f>INDEX(TripDepTime_input!$B$3:$K$42,MATCH(A7,stopLocBins,0), MATCH($B$3,todPurpose,0))</f>
        <v>117301.92041000001</v>
      </c>
      <c r="D7">
        <f>INDEX(TripDepTime_input!$M$3:$V$42,MATCH(A7,stopLocBins,0), MATCH($B$3,todPurpose,0))*Index!$B$2</f>
        <v>106195</v>
      </c>
      <c r="E7" s="2">
        <f>C7/SUM($C$7:$C$46)</f>
        <v>1.073928819894852E-2</v>
      </c>
      <c r="F7" s="2">
        <f>D7/SUM($D$7:$D$46)</f>
        <v>1.0103109849378563E-2</v>
      </c>
    </row>
    <row r="8" spans="1:6" x14ac:dyDescent="0.25">
      <c r="A8">
        <v>2</v>
      </c>
      <c r="B8" t="s">
        <v>278</v>
      </c>
      <c r="C8">
        <f>INDEX(TripDepTime_input!$B$3:$K$42,MATCH(A8,stopLocBins,0), MATCH($B$3,todPurpose,0))</f>
        <v>141389.77493000001</v>
      </c>
      <c r="D8">
        <f>INDEX(TripDepTime_input!$M$3:$V$42,MATCH(A8,stopLocBins,0), MATCH($B$3,todPurpose,0))*Index!$B$2</f>
        <v>110920</v>
      </c>
      <c r="E8" s="2">
        <f t="shared" ref="E8:E46" si="0">C8/SUM($C$7:$C$46)</f>
        <v>1.2944592348108654E-2</v>
      </c>
      <c r="F8" s="2">
        <f t="shared" ref="F8:F46" si="1">D8/SUM($D$7:$D$46)</f>
        <v>1.055263378212788E-2</v>
      </c>
    </row>
    <row r="9" spans="1:6" x14ac:dyDescent="0.25">
      <c r="A9">
        <v>3</v>
      </c>
      <c r="B9" t="s">
        <v>279</v>
      </c>
      <c r="C9">
        <f>INDEX(TripDepTime_input!$B$3:$K$42,MATCH(A9,stopLocBins,0), MATCH($B$3,todPurpose,0))</f>
        <v>291451.10451999999</v>
      </c>
      <c r="D9">
        <f>INDEX(TripDepTime_input!$M$3:$V$42,MATCH(A9,stopLocBins,0), MATCH($B$3,todPurpose,0))*Index!$B$2</f>
        <v>219780</v>
      </c>
      <c r="E9" s="2">
        <f t="shared" si="0"/>
        <v>2.6683087509582808E-2</v>
      </c>
      <c r="F9" s="2">
        <f t="shared" si="1"/>
        <v>2.0909284643311085E-2</v>
      </c>
    </row>
    <row r="10" spans="1:6" x14ac:dyDescent="0.25">
      <c r="A10">
        <v>4</v>
      </c>
      <c r="B10" t="s">
        <v>280</v>
      </c>
      <c r="C10">
        <f>INDEX(TripDepTime_input!$B$3:$K$42,MATCH(A10,stopLocBins,0), MATCH($B$3,todPurpose,0))</f>
        <v>359605.71704000002</v>
      </c>
      <c r="D10">
        <f>INDEX(TripDepTime_input!$M$3:$V$42,MATCH(A10,stopLocBins,0), MATCH($B$3,todPurpose,0))*Index!$B$2</f>
        <v>360985</v>
      </c>
      <c r="E10" s="2">
        <f t="shared" si="0"/>
        <v>3.2922815072283035E-2</v>
      </c>
      <c r="F10" s="2">
        <f t="shared" si="1"/>
        <v>3.434315277534649E-2</v>
      </c>
    </row>
    <row r="11" spans="1:6" x14ac:dyDescent="0.25">
      <c r="A11">
        <v>5</v>
      </c>
      <c r="B11" t="s">
        <v>281</v>
      </c>
      <c r="C11">
        <f>INDEX(TripDepTime_input!$B$3:$K$42,MATCH(A11,stopLocBins,0), MATCH($B$3,todPurpose,0))</f>
        <v>499151.65996999998</v>
      </c>
      <c r="D11">
        <f>INDEX(TripDepTime_input!$M$3:$V$42,MATCH(A11,stopLocBins,0), MATCH($B$3,todPurpose,0))*Index!$B$2</f>
        <v>533765</v>
      </c>
      <c r="E11" s="2">
        <f t="shared" si="0"/>
        <v>4.5698599926283889E-2</v>
      </c>
      <c r="F11" s="2">
        <f t="shared" si="1"/>
        <v>5.0780982426230505E-2</v>
      </c>
    </row>
    <row r="12" spans="1:6" x14ac:dyDescent="0.25">
      <c r="A12">
        <v>6</v>
      </c>
      <c r="B12" t="s">
        <v>282</v>
      </c>
      <c r="C12">
        <f>INDEX(TripDepTime_input!$B$3:$K$42,MATCH(A12,stopLocBins,0), MATCH($B$3,todPurpose,0))</f>
        <v>627343.24961000006</v>
      </c>
      <c r="D12">
        <f>INDEX(TripDepTime_input!$M$3:$V$42,MATCH(A12,stopLocBins,0), MATCH($B$3,todPurpose,0))*Index!$B$2</f>
        <v>640050</v>
      </c>
      <c r="E12" s="2">
        <f t="shared" si="0"/>
        <v>5.7434864950875436E-2</v>
      </c>
      <c r="F12" s="2">
        <f t="shared" si="1"/>
        <v>6.0892654636232862E-2</v>
      </c>
    </row>
    <row r="13" spans="1:6" x14ac:dyDescent="0.25">
      <c r="A13">
        <v>7</v>
      </c>
      <c r="B13" t="s">
        <v>283</v>
      </c>
      <c r="C13">
        <f>INDEX(TripDepTime_input!$B$3:$K$42,MATCH(A13,stopLocBins,0), MATCH($B$3,todPurpose,0))</f>
        <v>707021.09968999994</v>
      </c>
      <c r="D13">
        <f>INDEX(TripDepTime_input!$M$3:$V$42,MATCH(A13,stopLocBins,0), MATCH($B$3,todPurpose,0))*Index!$B$2</f>
        <v>653780</v>
      </c>
      <c r="E13" s="2">
        <f t="shared" si="0"/>
        <v>6.472957412606116E-2</v>
      </c>
      <c r="F13" s="2">
        <f t="shared" si="1"/>
        <v>6.2198890318063159E-2</v>
      </c>
    </row>
    <row r="14" spans="1:6" x14ac:dyDescent="0.25">
      <c r="A14">
        <v>8</v>
      </c>
      <c r="B14" t="s">
        <v>284</v>
      </c>
      <c r="C14">
        <f>INDEX(TripDepTime_input!$B$3:$K$42,MATCH(A14,stopLocBins,0), MATCH($B$3,todPurpose,0))</f>
        <v>515826.54492999997</v>
      </c>
      <c r="D14">
        <f>INDEX(TripDepTime_input!$M$3:$V$42,MATCH(A14,stopLocBins,0), MATCH($B$3,todPurpose,0))*Index!$B$2</f>
        <v>573995</v>
      </c>
      <c r="E14" s="2">
        <f t="shared" si="0"/>
        <v>4.7225227918765468E-2</v>
      </c>
      <c r="F14" s="2">
        <f t="shared" si="1"/>
        <v>5.460835762506755E-2</v>
      </c>
    </row>
    <row r="15" spans="1:6" x14ac:dyDescent="0.25">
      <c r="A15">
        <v>9</v>
      </c>
      <c r="B15" t="s">
        <v>285</v>
      </c>
      <c r="C15">
        <f>INDEX(TripDepTime_input!$B$3:$K$42,MATCH(A15,stopLocBins,0), MATCH($B$3,todPurpose,0))</f>
        <v>322105.42548999999</v>
      </c>
      <c r="D15">
        <f>INDEX(TripDepTime_input!$M$3:$V$42,MATCH(A15,stopLocBins,0), MATCH($B$3,todPurpose,0))*Index!$B$2</f>
        <v>393400</v>
      </c>
      <c r="E15" s="2">
        <f t="shared" si="0"/>
        <v>2.9489568309634877E-2</v>
      </c>
      <c r="F15" s="2">
        <f t="shared" si="1"/>
        <v>3.7427029660017201E-2</v>
      </c>
    </row>
    <row r="16" spans="1:6" x14ac:dyDescent="0.25">
      <c r="A16">
        <v>10</v>
      </c>
      <c r="B16" t="s">
        <v>286</v>
      </c>
      <c r="C16">
        <f>INDEX(TripDepTime_input!$B$3:$K$42,MATCH(A16,stopLocBins,0), MATCH($B$3,todPurpose,0))</f>
        <v>247280.48858999999</v>
      </c>
      <c r="D16">
        <f>INDEX(TripDepTime_input!$M$3:$V$42,MATCH(A16,stopLocBins,0), MATCH($B$3,todPurpose,0))*Index!$B$2</f>
        <v>202085</v>
      </c>
      <c r="E16" s="2">
        <f t="shared" si="0"/>
        <v>2.2639155639249189E-2</v>
      </c>
      <c r="F16" s="2">
        <f t="shared" si="1"/>
        <v>1.9225829407332425E-2</v>
      </c>
    </row>
    <row r="17" spans="1:8" x14ac:dyDescent="0.25">
      <c r="A17">
        <v>11</v>
      </c>
      <c r="B17" t="s">
        <v>287</v>
      </c>
      <c r="C17">
        <f>INDEX(TripDepTime_input!$B$3:$K$42,MATCH(A17,stopLocBins,0), MATCH($B$3,todPurpose,0))</f>
        <v>151919.72196</v>
      </c>
      <c r="D17">
        <f>INDEX(TripDepTime_input!$M$3:$V$42,MATCH(A17,stopLocBins,0), MATCH($B$3,todPurpose,0))*Index!$B$2</f>
        <v>163790</v>
      </c>
      <c r="E17" s="2">
        <f t="shared" si="0"/>
        <v>1.3908635694369091E-2</v>
      </c>
      <c r="F17" s="2">
        <f t="shared" si="1"/>
        <v>1.5582544961907009E-2</v>
      </c>
    </row>
    <row r="18" spans="1:8" x14ac:dyDescent="0.25">
      <c r="A18">
        <v>12</v>
      </c>
      <c r="B18" t="s">
        <v>288</v>
      </c>
      <c r="C18">
        <f>INDEX(TripDepTime_input!$B$3:$K$42,MATCH(A18,stopLocBins,0), MATCH($B$3,todPurpose,0))</f>
        <v>124112.04047000001</v>
      </c>
      <c r="D18">
        <f>INDEX(TripDepTime_input!$M$3:$V$42,MATCH(A18,stopLocBins,0), MATCH($B$3,todPurpose,0))*Index!$B$2</f>
        <v>134970</v>
      </c>
      <c r="E18" s="2">
        <f t="shared" si="0"/>
        <v>1.1362771955549881E-2</v>
      </c>
      <c r="F18" s="2">
        <f t="shared" si="1"/>
        <v>1.2840686815486837E-2</v>
      </c>
    </row>
    <row r="19" spans="1:8" x14ac:dyDescent="0.25">
      <c r="A19">
        <v>13</v>
      </c>
      <c r="B19" t="s">
        <v>289</v>
      </c>
      <c r="C19">
        <f>INDEX(TripDepTime_input!$B$3:$K$42,MATCH(A19,stopLocBins,0), MATCH($B$3,todPurpose,0))</f>
        <v>112293.19237</v>
      </c>
      <c r="D19">
        <f>INDEX(TripDepTime_input!$M$3:$V$42,MATCH(A19,stopLocBins,0), MATCH($B$3,todPurpose,0))*Index!$B$2</f>
        <v>122675</v>
      </c>
      <c r="E19" s="2">
        <f t="shared" si="0"/>
        <v>1.0280726448691541E-2</v>
      </c>
      <c r="F19" s="2">
        <f t="shared" si="1"/>
        <v>1.1670973216935969E-2</v>
      </c>
    </row>
    <row r="20" spans="1:8" x14ac:dyDescent="0.25">
      <c r="A20">
        <v>14</v>
      </c>
      <c r="B20" t="s">
        <v>290</v>
      </c>
      <c r="C20">
        <f>INDEX(TripDepTime_input!$B$3:$K$42,MATCH(A20,stopLocBins,0), MATCH($B$3,todPurpose,0))</f>
        <v>123446.44138</v>
      </c>
      <c r="D20">
        <f>INDEX(TripDepTime_input!$M$3:$V$42,MATCH(A20,stopLocBins,0), MATCH($B$3,todPurpose,0))*Index!$B$2</f>
        <v>103430</v>
      </c>
      <c r="E20" s="2">
        <f t="shared" si="0"/>
        <v>1.1301834671424578E-2</v>
      </c>
      <c r="F20" s="2">
        <f t="shared" si="1"/>
        <v>9.8400551035474817E-3</v>
      </c>
    </row>
    <row r="21" spans="1:8" x14ac:dyDescent="0.25">
      <c r="A21">
        <v>15</v>
      </c>
      <c r="B21" t="s">
        <v>291</v>
      </c>
      <c r="C21">
        <f>INDEX(TripDepTime_input!$B$3:$K$42,MATCH(A21,stopLocBins,0), MATCH($B$3,todPurpose,0))</f>
        <v>147854.05569000001</v>
      </c>
      <c r="D21">
        <f>INDEX(TripDepTime_input!$M$3:$V$42,MATCH(A21,stopLocBins,0), MATCH($B$3,todPurpose,0))*Index!$B$2</f>
        <v>112715</v>
      </c>
      <c r="E21" s="2">
        <f t="shared" si="0"/>
        <v>1.3536413640018549E-2</v>
      </c>
      <c r="F21" s="2">
        <f t="shared" si="1"/>
        <v>1.0723405307902488E-2</v>
      </c>
    </row>
    <row r="22" spans="1:8" x14ac:dyDescent="0.25">
      <c r="A22">
        <v>16</v>
      </c>
      <c r="B22" t="s">
        <v>292</v>
      </c>
      <c r="C22">
        <f>INDEX(TripDepTime_input!$B$3:$K$42,MATCH(A22,stopLocBins,0), MATCH($B$3,todPurpose,0))</f>
        <v>177098.85042</v>
      </c>
      <c r="D22">
        <f>INDEX(TripDepTime_input!$M$3:$V$42,MATCH(A22,stopLocBins,0), MATCH($B$3,todPurpose,0))*Index!$B$2</f>
        <v>110380</v>
      </c>
      <c r="E22" s="2">
        <f t="shared" si="0"/>
        <v>1.6213848739348658E-2</v>
      </c>
      <c r="F22" s="2">
        <f t="shared" si="1"/>
        <v>1.0501259618385101E-2</v>
      </c>
    </row>
    <row r="23" spans="1:8" x14ac:dyDescent="0.25">
      <c r="A23">
        <v>17</v>
      </c>
      <c r="B23" t="s">
        <v>293</v>
      </c>
      <c r="C23">
        <f>INDEX(TripDepTime_input!$B$3:$K$42,MATCH(A23,stopLocBins,0), MATCH($B$3,todPurpose,0))</f>
        <v>166242.77395999999</v>
      </c>
      <c r="D23">
        <f>INDEX(TripDepTime_input!$M$3:$V$42,MATCH(A23,stopLocBins,0), MATCH($B$3,todPurpose,0))*Index!$B$2</f>
        <v>133065</v>
      </c>
      <c r="E23" s="2">
        <f t="shared" si="0"/>
        <v>1.5219947416963983E-2</v>
      </c>
      <c r="F23" s="2">
        <f t="shared" si="1"/>
        <v>1.2659450182283144E-2</v>
      </c>
    </row>
    <row r="24" spans="1:8" x14ac:dyDescent="0.25">
      <c r="A24">
        <v>18</v>
      </c>
      <c r="B24" t="s">
        <v>294</v>
      </c>
      <c r="C24">
        <f>INDEX(TripDepTime_input!$B$3:$K$42,MATCH(A24,stopLocBins,0), MATCH($B$3,todPurpose,0))</f>
        <v>173397.95694</v>
      </c>
      <c r="D24">
        <f>INDEX(TripDepTime_input!$M$3:$V$42,MATCH(A24,stopLocBins,0), MATCH($B$3,todPurpose,0))*Index!$B$2</f>
        <v>139470</v>
      </c>
      <c r="E24" s="2">
        <f t="shared" si="0"/>
        <v>1.587502255869952E-2</v>
      </c>
      <c r="F24" s="2">
        <f t="shared" si="1"/>
        <v>1.3268804846676663E-2</v>
      </c>
    </row>
    <row r="25" spans="1:8" x14ac:dyDescent="0.25">
      <c r="A25">
        <v>19</v>
      </c>
      <c r="B25" t="s">
        <v>295</v>
      </c>
      <c r="C25">
        <f>INDEX(TripDepTime_input!$B$3:$K$42,MATCH(A25,stopLocBins,0), MATCH($B$3,todPurpose,0))</f>
        <v>164140.56964</v>
      </c>
      <c r="D25">
        <f>INDEX(TripDepTime_input!$M$3:$V$42,MATCH(A25,stopLocBins,0), MATCH($B$3,todPurpose,0))*Index!$B$2</f>
        <v>149470</v>
      </c>
      <c r="E25" s="2">
        <f t="shared" si="0"/>
        <v>1.5027485281931197E-2</v>
      </c>
      <c r="F25" s="2">
        <f t="shared" si="1"/>
        <v>1.4220178249320719E-2</v>
      </c>
    </row>
    <row r="26" spans="1:8" x14ac:dyDescent="0.25">
      <c r="A26">
        <v>20</v>
      </c>
      <c r="B26" t="s">
        <v>296</v>
      </c>
      <c r="C26">
        <f>INDEX(TripDepTime_input!$B$3:$K$42,MATCH(A26,stopLocBins,0), MATCH($B$3,todPurpose,0))</f>
        <v>279843.42381000001</v>
      </c>
      <c r="D26">
        <f>INDEX(TripDepTime_input!$M$3:$V$42,MATCH(A26,stopLocBins,0), MATCH($B$3,todPurpose,0))*Index!$B$2</f>
        <v>180740</v>
      </c>
      <c r="E26" s="2">
        <f t="shared" si="0"/>
        <v>2.5620374912633387E-2</v>
      </c>
      <c r="F26" s="2">
        <f t="shared" si="1"/>
        <v>1.7195122879388687E-2</v>
      </c>
    </row>
    <row r="27" spans="1:8" x14ac:dyDescent="0.25">
      <c r="A27">
        <v>21</v>
      </c>
      <c r="B27" t="s">
        <v>297</v>
      </c>
      <c r="C27">
        <f>INDEX(TripDepTime_input!$B$3:$K$42,MATCH(A27,stopLocBins,0), MATCH($B$3,todPurpose,0))</f>
        <v>310901.30320999998</v>
      </c>
      <c r="D27">
        <f>INDEX(TripDepTime_input!$M$3:$V$42,MATCH(A27,stopLocBins,0), MATCH($B$3,todPurpose,0))*Index!$B$2</f>
        <v>175580</v>
      </c>
      <c r="E27" s="2">
        <f t="shared" si="0"/>
        <v>2.8463802510058738E-2</v>
      </c>
      <c r="F27" s="2">
        <f t="shared" si="1"/>
        <v>1.6704214203624352E-2</v>
      </c>
      <c r="H27" s="82" t="s">
        <v>374</v>
      </c>
    </row>
    <row r="28" spans="1:8" x14ac:dyDescent="0.25">
      <c r="A28">
        <v>22</v>
      </c>
      <c r="B28" t="s">
        <v>298</v>
      </c>
      <c r="C28">
        <f>INDEX(TripDepTime_input!$B$3:$K$42,MATCH(A28,stopLocBins,0), MATCH($B$3,todPurpose,0))</f>
        <v>440294.55627</v>
      </c>
      <c r="D28">
        <f>INDEX(TripDepTime_input!$M$3:$V$42,MATCH(A28,stopLocBins,0), MATCH($B$3,todPurpose,0))*Index!$B$2</f>
        <v>283015</v>
      </c>
      <c r="E28" s="2">
        <f t="shared" si="0"/>
        <v>4.0310082867224609E-2</v>
      </c>
      <c r="F28" s="2">
        <f t="shared" si="1"/>
        <v>2.6925294354930778E-2</v>
      </c>
    </row>
    <row r="29" spans="1:8" x14ac:dyDescent="0.25">
      <c r="A29">
        <v>23</v>
      </c>
      <c r="B29" t="s">
        <v>299</v>
      </c>
      <c r="C29">
        <f>INDEX(TripDepTime_input!$B$3:$K$42,MATCH(A29,stopLocBins,0), MATCH($B$3,todPurpose,0))</f>
        <v>496936.53194000002</v>
      </c>
      <c r="D29">
        <f>INDEX(TripDepTime_input!$M$3:$V$42,MATCH(A29,stopLocBins,0), MATCH($B$3,todPurpose,0))*Index!$B$2</f>
        <v>403095</v>
      </c>
      <c r="E29" s="2">
        <f t="shared" si="0"/>
        <v>4.5495799339314892E-2</v>
      </c>
      <c r="F29" s="2">
        <f t="shared" si="1"/>
        <v>3.8349386173880617E-2</v>
      </c>
    </row>
    <row r="30" spans="1:8" x14ac:dyDescent="0.25">
      <c r="A30">
        <v>24</v>
      </c>
      <c r="B30" t="s">
        <v>300</v>
      </c>
      <c r="C30">
        <f>INDEX(TripDepTime_input!$B$3:$K$42,MATCH(A30,stopLocBins,0), MATCH($B$3,todPurpose,0))</f>
        <v>569302.19334999996</v>
      </c>
      <c r="D30">
        <f>INDEX(TripDepTime_input!$M$3:$V$42,MATCH(A30,stopLocBins,0), MATCH($B$3,todPurpose,0))*Index!$B$2</f>
        <v>451720</v>
      </c>
      <c r="E30" s="2">
        <f t="shared" si="0"/>
        <v>5.2121059103802637E-2</v>
      </c>
      <c r="F30" s="2">
        <f t="shared" si="1"/>
        <v>4.2975439344237344E-2</v>
      </c>
    </row>
    <row r="31" spans="1:8" x14ac:dyDescent="0.25">
      <c r="A31">
        <v>25</v>
      </c>
      <c r="B31" t="s">
        <v>301</v>
      </c>
      <c r="C31">
        <f>INDEX(TripDepTime_input!$B$3:$K$42,MATCH(A31,stopLocBins,0), MATCH($B$3,todPurpose,0))</f>
        <v>582524.20767999999</v>
      </c>
      <c r="D31">
        <f>INDEX(TripDepTime_input!$M$3:$V$42,MATCH(A31,stopLocBins,0), MATCH($B$3,todPurpose,0))*Index!$B$2</f>
        <v>482110</v>
      </c>
      <c r="E31" s="2">
        <f t="shared" si="0"/>
        <v>5.3331568036343459E-2</v>
      </c>
      <c r="F31" s="2">
        <f t="shared" si="1"/>
        <v>4.5866663114872627E-2</v>
      </c>
    </row>
    <row r="32" spans="1:8" x14ac:dyDescent="0.25">
      <c r="A32">
        <v>26</v>
      </c>
      <c r="B32" t="s">
        <v>302</v>
      </c>
      <c r="C32">
        <f>INDEX(TripDepTime_input!$B$3:$K$42,MATCH(A32,stopLocBins,0), MATCH($B$3,todPurpose,0))</f>
        <v>859031.39398000005</v>
      </c>
      <c r="D32">
        <f>INDEX(TripDepTime_input!$M$3:$V$42,MATCH(A32,stopLocBins,0), MATCH($B$3,todPurpose,0))*Index!$B$2</f>
        <v>652295</v>
      </c>
      <c r="E32" s="2">
        <f t="shared" si="0"/>
        <v>7.8646501946861957E-2</v>
      </c>
      <c r="F32" s="2">
        <f t="shared" si="1"/>
        <v>6.2057611367770514E-2</v>
      </c>
    </row>
    <row r="33" spans="1:6" x14ac:dyDescent="0.25">
      <c r="A33">
        <v>27</v>
      </c>
      <c r="B33" t="s">
        <v>303</v>
      </c>
      <c r="C33">
        <f>INDEX(TripDepTime_input!$B$3:$K$42,MATCH(A33,stopLocBins,0), MATCH($B$3,todPurpose,0))</f>
        <v>463397.89983000001</v>
      </c>
      <c r="D33">
        <f>INDEX(TripDepTime_input!$M$3:$V$42,MATCH(A33,stopLocBins,0), MATCH($B$3,todPurpose,0))*Index!$B$2</f>
        <v>620765</v>
      </c>
      <c r="E33" s="2">
        <f t="shared" si="0"/>
        <v>4.2425252542051262E-2</v>
      </c>
      <c r="F33" s="2">
        <f t="shared" si="1"/>
        <v>5.9057931029233804E-2</v>
      </c>
    </row>
    <row r="34" spans="1:6" x14ac:dyDescent="0.25">
      <c r="A34">
        <v>28</v>
      </c>
      <c r="B34" t="s">
        <v>304</v>
      </c>
      <c r="C34">
        <f>INDEX(TripDepTime_input!$B$3:$K$42,MATCH(A34,stopLocBins,0), MATCH($B$3,todPurpose,0))</f>
        <v>420670.54067999998</v>
      </c>
      <c r="D34">
        <f>INDEX(TripDepTime_input!$M$3:$V$42,MATCH(A34,stopLocBins,0), MATCH($B$3,todPurpose,0))*Index!$B$2</f>
        <v>533000</v>
      </c>
      <c r="E34" s="2">
        <f t="shared" si="0"/>
        <v>3.8513454488890722E-2</v>
      </c>
      <c r="F34" s="2">
        <f t="shared" si="1"/>
        <v>5.0708202360928233E-2</v>
      </c>
    </row>
    <row r="35" spans="1:6" x14ac:dyDescent="0.25">
      <c r="A35">
        <v>29</v>
      </c>
      <c r="B35" t="s">
        <v>305</v>
      </c>
      <c r="C35">
        <f>INDEX(TripDepTime_input!$B$3:$K$42,MATCH(A35,stopLocBins,0), MATCH($B$3,todPurpose,0))</f>
        <v>248145.55121000001</v>
      </c>
      <c r="D35">
        <f>INDEX(TripDepTime_input!$M$3:$V$42,MATCH(A35,stopLocBins,0), MATCH($B$3,todPurpose,0))*Index!$B$2</f>
        <v>396190</v>
      </c>
      <c r="E35" s="2">
        <f t="shared" si="0"/>
        <v>2.2718354315228628E-2</v>
      </c>
      <c r="F35" s="2">
        <f t="shared" si="1"/>
        <v>3.7692462839354894E-2</v>
      </c>
    </row>
    <row r="36" spans="1:6" x14ac:dyDescent="0.25">
      <c r="A36">
        <v>30</v>
      </c>
      <c r="B36" t="s">
        <v>306</v>
      </c>
      <c r="C36">
        <f>INDEX(TripDepTime_input!$B$3:$K$42,MATCH(A36,stopLocBins,0), MATCH($B$3,todPurpose,0))</f>
        <v>210483.52896</v>
      </c>
      <c r="D36">
        <f>INDEX(TripDepTime_input!$M$3:$V$42,MATCH(A36,stopLocBins,0), MATCH($B$3,todPurpose,0))*Index!$B$2</f>
        <v>281385</v>
      </c>
      <c r="E36" s="2">
        <f t="shared" si="0"/>
        <v>1.9270300696973618E-2</v>
      </c>
      <c r="F36" s="2">
        <f t="shared" si="1"/>
        <v>2.6770220490299798E-2</v>
      </c>
    </row>
    <row r="37" spans="1:6" x14ac:dyDescent="0.25">
      <c r="A37">
        <v>31</v>
      </c>
      <c r="B37" t="s">
        <v>307</v>
      </c>
      <c r="C37">
        <f>INDEX(TripDepTime_input!$B$3:$K$42,MATCH(A37,stopLocBins,0), MATCH($B$3,todPurpose,0))</f>
        <v>125281.47625000001</v>
      </c>
      <c r="D37">
        <f>INDEX(TripDepTime_input!$M$3:$V$42,MATCH(A37,stopLocBins,0), MATCH($B$3,todPurpose,0))*Index!$B$2</f>
        <v>188365</v>
      </c>
      <c r="E37" s="2">
        <f t="shared" si="0"/>
        <v>1.1469836765978266E-2</v>
      </c>
      <c r="F37" s="2">
        <f t="shared" si="1"/>
        <v>1.792054509890478E-2</v>
      </c>
    </row>
    <row r="38" spans="1:6" x14ac:dyDescent="0.25">
      <c r="A38">
        <v>32</v>
      </c>
      <c r="B38" t="s">
        <v>308</v>
      </c>
      <c r="C38">
        <f>INDEX(TripDepTime_input!$B$3:$K$42,MATCH(A38,stopLocBins,0), MATCH($B$3,todPurpose,0))</f>
        <v>133542.2623</v>
      </c>
      <c r="D38">
        <f>INDEX(TripDepTime_input!$M$3:$V$42,MATCH(A38,stopLocBins,0), MATCH($B$3,todPurpose,0))*Index!$B$2</f>
        <v>146840</v>
      </c>
      <c r="E38" s="2">
        <f t="shared" si="0"/>
        <v>1.2226132671712138E-2</v>
      </c>
      <c r="F38" s="2">
        <f t="shared" si="1"/>
        <v>1.3969967044425333E-2</v>
      </c>
    </row>
    <row r="39" spans="1:6" x14ac:dyDescent="0.25">
      <c r="A39">
        <v>33</v>
      </c>
      <c r="B39" t="s">
        <v>309</v>
      </c>
      <c r="C39">
        <f>INDEX(TripDepTime_input!$B$3:$K$42,MATCH(A39,stopLocBins,0), MATCH($B$3,todPurpose,0))</f>
        <v>108617.67406999999</v>
      </c>
      <c r="D39">
        <f>INDEX(TripDepTime_input!$M$3:$V$42,MATCH(A39,stopLocBins,0), MATCH($B$3,todPurpose,0))*Index!$B$2</f>
        <v>113875</v>
      </c>
      <c r="E39" s="2">
        <f t="shared" si="0"/>
        <v>9.9442234301028998E-3</v>
      </c>
      <c r="F39" s="2">
        <f t="shared" si="1"/>
        <v>1.0833764622609198E-2</v>
      </c>
    </row>
    <row r="40" spans="1:6" x14ac:dyDescent="0.25">
      <c r="A40">
        <v>34</v>
      </c>
      <c r="B40" t="s">
        <v>310</v>
      </c>
      <c r="C40">
        <f>INDEX(TripDepTime_input!$B$3:$K$42,MATCH(A40,stopLocBins,0), MATCH($B$3,todPurpose,0))</f>
        <v>116139.70110999999</v>
      </c>
      <c r="D40">
        <f>INDEX(TripDepTime_input!$M$3:$V$42,MATCH(A40,stopLocBins,0), MATCH($B$3,todPurpose,0))*Index!$B$2</f>
        <v>98080</v>
      </c>
      <c r="E40" s="2">
        <f t="shared" si="0"/>
        <v>1.0632884075559451E-2</v>
      </c>
      <c r="F40" s="2">
        <f t="shared" si="1"/>
        <v>9.3310703331329105E-3</v>
      </c>
    </row>
    <row r="41" spans="1:6" x14ac:dyDescent="0.25">
      <c r="A41">
        <v>35</v>
      </c>
      <c r="B41" t="s">
        <v>311</v>
      </c>
      <c r="C41">
        <f>INDEX(TripDepTime_input!$B$3:$K$42,MATCH(A41,stopLocBins,0), MATCH($B$3,todPurpose,0))</f>
        <v>72089.828229999999</v>
      </c>
      <c r="D41">
        <f>INDEX(TripDepTime_input!$M$3:$V$42,MATCH(A41,stopLocBins,0), MATCH($B$3,todPurpose,0))*Index!$B$2</f>
        <v>88600</v>
      </c>
      <c r="E41" s="2">
        <f t="shared" si="0"/>
        <v>6.6000065375627455E-3</v>
      </c>
      <c r="F41" s="2">
        <f t="shared" si="1"/>
        <v>8.4291683474263454E-3</v>
      </c>
    </row>
    <row r="42" spans="1:6" x14ac:dyDescent="0.25">
      <c r="A42">
        <v>36</v>
      </c>
      <c r="B42" t="s">
        <v>312</v>
      </c>
      <c r="C42">
        <f>INDEX(TripDepTime_input!$B$3:$K$42,MATCH(A42,stopLocBins,0), MATCH($B$3,todPurpose,0))</f>
        <v>96734.232250000001</v>
      </c>
      <c r="D42">
        <f>INDEX(TripDepTime_input!$M$3:$V$42,MATCH(A42,stopLocBins,0), MATCH($B$3,todPurpose,0))*Index!$B$2</f>
        <v>95495</v>
      </c>
      <c r="E42" s="2">
        <f t="shared" si="0"/>
        <v>8.8562642044196886E-3</v>
      </c>
      <c r="F42" s="2">
        <f t="shared" si="1"/>
        <v>9.0851403085494224E-3</v>
      </c>
    </row>
    <row r="43" spans="1:6" x14ac:dyDescent="0.25">
      <c r="A43">
        <v>37</v>
      </c>
      <c r="B43" t="s">
        <v>313</v>
      </c>
      <c r="C43">
        <f>INDEX(TripDepTime_input!$B$3:$K$42,MATCH(A43,stopLocBins,0), MATCH($B$3,todPurpose,0))</f>
        <v>52935.99078</v>
      </c>
      <c r="D43">
        <f>INDEX(TripDepTime_input!$M$3:$V$42,MATCH(A43,stopLocBins,0), MATCH($B$3,todPurpose,0))*Index!$B$2</f>
        <v>87145</v>
      </c>
      <c r="E43" s="2">
        <f t="shared" si="0"/>
        <v>4.8464241599478312E-3</v>
      </c>
      <c r="F43" s="2">
        <f t="shared" si="1"/>
        <v>8.2907435173416345E-3</v>
      </c>
    </row>
    <row r="44" spans="1:6" x14ac:dyDescent="0.25">
      <c r="A44">
        <v>38</v>
      </c>
      <c r="B44" t="s">
        <v>314</v>
      </c>
      <c r="C44">
        <f>INDEX(TripDepTime_input!$B$3:$K$42,MATCH(A44,stopLocBins,0), MATCH($B$3,todPurpose,0))</f>
        <v>47947.451050000003</v>
      </c>
      <c r="D44">
        <f>INDEX(TripDepTime_input!$M$3:$V$42,MATCH(A44,stopLocBins,0), MATCH($B$3,todPurpose,0))*Index!$B$2</f>
        <v>93825</v>
      </c>
      <c r="E44" s="2">
        <f t="shared" si="0"/>
        <v>4.3897107006530284E-3</v>
      </c>
      <c r="F44" s="2">
        <f t="shared" si="1"/>
        <v>8.9262609503078637E-3</v>
      </c>
    </row>
    <row r="45" spans="1:6" x14ac:dyDescent="0.25">
      <c r="A45">
        <v>39</v>
      </c>
      <c r="B45" t="s">
        <v>315</v>
      </c>
      <c r="C45">
        <f>INDEX(TripDepTime_input!$B$3:$K$42,MATCH(A45,stopLocBins,0), MATCH($B$3,todPurpose,0))</f>
        <v>38139.340680000001</v>
      </c>
      <c r="D45">
        <f>INDEX(TripDepTime_input!$M$3:$V$42,MATCH(A45,stopLocBins,0), MATCH($B$3,todPurpose,0))*Index!$B$2</f>
        <v>72400</v>
      </c>
      <c r="E45" s="2">
        <f t="shared" si="0"/>
        <v>3.4917533306256399E-3</v>
      </c>
      <c r="F45" s="2">
        <f t="shared" si="1"/>
        <v>6.8879434351429725E-3</v>
      </c>
    </row>
    <row r="46" spans="1:6" x14ac:dyDescent="0.25">
      <c r="A46">
        <v>40</v>
      </c>
      <c r="B46" t="s">
        <v>316</v>
      </c>
      <c r="C46">
        <f>INDEX(TripDepTime_input!$B$3:$K$42,MATCH(A46,stopLocBins,0), MATCH($B$3,todPurpose,0))</f>
        <v>80748.751959999994</v>
      </c>
      <c r="D46">
        <f>INDEX(TripDepTime_input!$M$3:$V$42,MATCH(A46,stopLocBins,0), MATCH($B$3,todPurpose,0))*Index!$B$2</f>
        <v>101680</v>
      </c>
      <c r="E46" s="2">
        <f t="shared" si="0"/>
        <v>7.3927529572646415E-3</v>
      </c>
      <c r="F46" s="2">
        <f t="shared" si="1"/>
        <v>9.6735647580847711E-3</v>
      </c>
    </row>
    <row r="47" spans="1:6" x14ac:dyDescent="0.25">
      <c r="E47" s="2"/>
      <c r="F47" s="2"/>
    </row>
    <row r="48" spans="1:6" x14ac:dyDescent="0.25">
      <c r="E48" s="2"/>
      <c r="F48" s="2"/>
    </row>
  </sheetData>
  <mergeCells count="2">
    <mergeCell ref="C5:D5"/>
    <mergeCell ref="E5:F5"/>
  </mergeCells>
  <hyperlinks>
    <hyperlink ref="A1" location="Index!A1" display="Index"/>
  </hyperlinks>
  <pageMargins left="0.7" right="0.7" top="0.75" bottom="0.75" header="0.3" footer="0.3"/>
  <pageSetup paperSize="0" orientation="portrait" horizontalDpi="0" verticalDpi="0" copies="0"/>
  <drawing r:id="rId1"/>
  <legacyDrawing r:id="rId2"/>
  <controls>
    <mc:AlternateContent xmlns:mc="http://schemas.openxmlformats.org/markup-compatibility/2006">
      <mc:Choice Requires="x14">
        <control shapeId="13313" r:id="rId3" name="ComboBox1">
          <controlPr defaultSize="0" autoLine="0" linkedCell="B3" listFillRange="todPurpose" r:id="rId4">
            <anchor moveWithCells="1">
              <from>
                <xdr:col>0</xdr:col>
                <xdr:colOff>600075</xdr:colOff>
                <xdr:row>2</xdr:row>
                <xdr:rowOff>9525</xdr:rowOff>
              </from>
              <to>
                <xdr:col>2</xdr:col>
                <xdr:colOff>19050</xdr:colOff>
                <xdr:row>3</xdr:row>
                <xdr:rowOff>114300</xdr:rowOff>
              </to>
            </anchor>
          </controlPr>
        </control>
      </mc:Choice>
      <mc:Fallback>
        <control shapeId="13313" r:id="rId3" name="ComboBox1"/>
      </mc:Fallback>
    </mc:AlternateContent>
  </control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V42"/>
  <sheetViews>
    <sheetView workbookViewId="0">
      <selection activeCell="L2" sqref="L2:U42"/>
    </sheetView>
  </sheetViews>
  <sheetFormatPr defaultRowHeight="15" x14ac:dyDescent="0.25"/>
  <sheetData>
    <row r="1" spans="1:22" x14ac:dyDescent="0.25">
      <c r="A1" t="s">
        <v>7</v>
      </c>
      <c r="L1" t="s">
        <v>3</v>
      </c>
    </row>
    <row r="2" spans="1:22" x14ac:dyDescent="0.25">
      <c r="B2" t="s">
        <v>55</v>
      </c>
      <c r="C2" t="s">
        <v>56</v>
      </c>
      <c r="D2" t="s">
        <v>115</v>
      </c>
      <c r="E2" t="s">
        <v>180</v>
      </c>
      <c r="F2" t="s">
        <v>117</v>
      </c>
      <c r="G2" t="s">
        <v>118</v>
      </c>
      <c r="H2" t="s">
        <v>119</v>
      </c>
      <c r="I2" t="s">
        <v>120</v>
      </c>
      <c r="J2" t="s">
        <v>121</v>
      </c>
      <c r="K2" t="s">
        <v>219</v>
      </c>
      <c r="M2" t="s">
        <v>55</v>
      </c>
      <c r="N2" t="s">
        <v>56</v>
      </c>
      <c r="O2" t="s">
        <v>115</v>
      </c>
      <c r="P2" t="s">
        <v>180</v>
      </c>
      <c r="Q2" t="s">
        <v>117</v>
      </c>
      <c r="R2" t="s">
        <v>118</v>
      </c>
      <c r="S2" t="s">
        <v>119</v>
      </c>
      <c r="T2" t="s">
        <v>120</v>
      </c>
      <c r="U2" t="s">
        <v>121</v>
      </c>
      <c r="V2" t="s">
        <v>219</v>
      </c>
    </row>
    <row r="3" spans="1:22" x14ac:dyDescent="0.25">
      <c r="A3">
        <v>1</v>
      </c>
      <c r="B3">
        <v>117301.92041000001</v>
      </c>
      <c r="C3">
        <v>0</v>
      </c>
      <c r="D3">
        <v>253.68756999999999</v>
      </c>
      <c r="E3">
        <v>5452.9000699999997</v>
      </c>
      <c r="F3">
        <v>6447.18408</v>
      </c>
      <c r="G3">
        <v>4196.0142999999998</v>
      </c>
      <c r="H3">
        <v>1599.1032</v>
      </c>
      <c r="I3">
        <v>2361.1411199999998</v>
      </c>
      <c r="J3">
        <v>0</v>
      </c>
      <c r="K3">
        <f>SUM(B3:J3)</f>
        <v>137611.95075000002</v>
      </c>
      <c r="L3">
        <v>1</v>
      </c>
      <c r="M3">
        <v>21239</v>
      </c>
      <c r="N3">
        <v>106</v>
      </c>
      <c r="O3">
        <v>1820</v>
      </c>
      <c r="P3">
        <v>1305</v>
      </c>
      <c r="Q3">
        <v>2517</v>
      </c>
      <c r="R3">
        <v>13977</v>
      </c>
      <c r="S3">
        <v>995</v>
      </c>
      <c r="T3">
        <v>4494</v>
      </c>
      <c r="U3">
        <v>91</v>
      </c>
      <c r="V3">
        <f>SUM(M3:U3)</f>
        <v>46544</v>
      </c>
    </row>
    <row r="4" spans="1:22" x14ac:dyDescent="0.25">
      <c r="A4">
        <v>2</v>
      </c>
      <c r="B4">
        <v>141389.77493000001</v>
      </c>
      <c r="C4">
        <v>263.89512000000002</v>
      </c>
      <c r="D4">
        <v>4296.7793899999997</v>
      </c>
      <c r="E4">
        <v>1012.97934</v>
      </c>
      <c r="F4">
        <v>4162.9753300000002</v>
      </c>
      <c r="G4">
        <v>8014.7668599999997</v>
      </c>
      <c r="H4">
        <v>828.05840999999998</v>
      </c>
      <c r="I4">
        <v>858.80766000000006</v>
      </c>
      <c r="J4">
        <v>37.614289999999997</v>
      </c>
      <c r="K4">
        <f t="shared" ref="K4:K42" si="0">SUM(B4:J4)</f>
        <v>160865.65132999999</v>
      </c>
      <c r="L4">
        <v>2</v>
      </c>
      <c r="M4">
        <v>22184</v>
      </c>
      <c r="N4">
        <v>97</v>
      </c>
      <c r="O4">
        <v>1773</v>
      </c>
      <c r="P4">
        <v>2542</v>
      </c>
      <c r="Q4">
        <v>4339</v>
      </c>
      <c r="R4">
        <v>15637</v>
      </c>
      <c r="S4">
        <v>1415</v>
      </c>
      <c r="T4">
        <v>4119</v>
      </c>
      <c r="U4">
        <v>146</v>
      </c>
      <c r="V4">
        <f t="shared" ref="V4:V42" si="1">SUM(M4:U4)</f>
        <v>52252</v>
      </c>
    </row>
    <row r="5" spans="1:22" x14ac:dyDescent="0.25">
      <c r="A5">
        <v>3</v>
      </c>
      <c r="B5">
        <v>291451.10451999999</v>
      </c>
      <c r="C5">
        <v>1210.54719</v>
      </c>
      <c r="D5">
        <v>2646.8548500000002</v>
      </c>
      <c r="E5">
        <v>3884.2627400000001</v>
      </c>
      <c r="F5">
        <v>11086.23343</v>
      </c>
      <c r="G5">
        <v>14906.75907</v>
      </c>
      <c r="H5">
        <v>1867.8794700000001</v>
      </c>
      <c r="I5">
        <v>731.56768</v>
      </c>
      <c r="J5">
        <v>94.649280000000005</v>
      </c>
      <c r="K5">
        <f t="shared" si="0"/>
        <v>327879.85822999995</v>
      </c>
      <c r="L5">
        <v>3</v>
      </c>
      <c r="M5">
        <v>43956</v>
      </c>
      <c r="N5">
        <v>73</v>
      </c>
      <c r="O5">
        <v>1887</v>
      </c>
      <c r="P5">
        <v>4157</v>
      </c>
      <c r="Q5">
        <v>7039</v>
      </c>
      <c r="R5">
        <v>18509</v>
      </c>
      <c r="S5">
        <v>2129</v>
      </c>
      <c r="T5">
        <v>4509</v>
      </c>
      <c r="U5">
        <v>329</v>
      </c>
      <c r="V5">
        <f t="shared" si="1"/>
        <v>82588</v>
      </c>
    </row>
    <row r="6" spans="1:22" x14ac:dyDescent="0.25">
      <c r="A6">
        <v>4</v>
      </c>
      <c r="B6">
        <v>359605.71704000002</v>
      </c>
      <c r="C6">
        <v>8769.3023900000007</v>
      </c>
      <c r="D6">
        <v>24274.72694</v>
      </c>
      <c r="E6">
        <v>18380.52102</v>
      </c>
      <c r="F6">
        <v>16165.905720000001</v>
      </c>
      <c r="G6">
        <v>24511.440780000001</v>
      </c>
      <c r="H6">
        <v>1276.1994</v>
      </c>
      <c r="I6">
        <v>6262.1604399999997</v>
      </c>
      <c r="J6">
        <v>2874.59681</v>
      </c>
      <c r="K6">
        <f t="shared" si="0"/>
        <v>462120.57054000004</v>
      </c>
      <c r="L6">
        <v>4</v>
      </c>
      <c r="M6">
        <v>72197</v>
      </c>
      <c r="N6">
        <v>825</v>
      </c>
      <c r="O6">
        <v>2004</v>
      </c>
      <c r="P6">
        <v>6193</v>
      </c>
      <c r="Q6">
        <v>11201</v>
      </c>
      <c r="R6">
        <v>22634</v>
      </c>
      <c r="S6">
        <v>2618</v>
      </c>
      <c r="T6">
        <v>4913</v>
      </c>
      <c r="U6">
        <v>651</v>
      </c>
      <c r="V6">
        <f t="shared" si="1"/>
        <v>123236</v>
      </c>
    </row>
    <row r="7" spans="1:22" x14ac:dyDescent="0.25">
      <c r="A7">
        <v>5</v>
      </c>
      <c r="B7">
        <v>499151.65996999998</v>
      </c>
      <c r="C7">
        <v>4161.8063099999999</v>
      </c>
      <c r="D7">
        <v>152061.24893</v>
      </c>
      <c r="E7">
        <v>39768.258379999999</v>
      </c>
      <c r="F7">
        <v>28061.23343</v>
      </c>
      <c r="G7">
        <v>35411.363400000002</v>
      </c>
      <c r="H7">
        <v>7118.6929499999997</v>
      </c>
      <c r="I7">
        <v>7074.5282399999996</v>
      </c>
      <c r="J7">
        <v>1916.0654</v>
      </c>
      <c r="K7">
        <f t="shared" si="0"/>
        <v>774724.85701000015</v>
      </c>
      <c r="L7">
        <v>5</v>
      </c>
      <c r="M7">
        <v>106753</v>
      </c>
      <c r="N7">
        <v>991</v>
      </c>
      <c r="O7">
        <v>32430</v>
      </c>
      <c r="P7">
        <v>11266</v>
      </c>
      <c r="Q7">
        <v>16735</v>
      </c>
      <c r="R7">
        <v>27576</v>
      </c>
      <c r="S7">
        <v>3275</v>
      </c>
      <c r="T7">
        <v>4763</v>
      </c>
      <c r="U7">
        <v>1030</v>
      </c>
      <c r="V7">
        <f t="shared" si="1"/>
        <v>204819</v>
      </c>
    </row>
    <row r="8" spans="1:22" x14ac:dyDescent="0.25">
      <c r="A8">
        <v>6</v>
      </c>
      <c r="B8">
        <v>627343.24961000006</v>
      </c>
      <c r="C8">
        <v>22963.747179999998</v>
      </c>
      <c r="D8">
        <v>318148.79460000002</v>
      </c>
      <c r="E8">
        <v>97869.386849999995</v>
      </c>
      <c r="F8">
        <v>57827.089870000003</v>
      </c>
      <c r="G8">
        <v>56990.249739999999</v>
      </c>
      <c r="H8">
        <v>11851.056850000001</v>
      </c>
      <c r="I8">
        <v>11065.2269</v>
      </c>
      <c r="J8">
        <v>2225.6908400000002</v>
      </c>
      <c r="K8">
        <f t="shared" si="0"/>
        <v>1206284.4924399999</v>
      </c>
      <c r="L8">
        <v>6</v>
      </c>
      <c r="M8">
        <v>128010</v>
      </c>
      <c r="N8">
        <v>4074</v>
      </c>
      <c r="O8">
        <v>74542</v>
      </c>
      <c r="P8">
        <v>20167</v>
      </c>
      <c r="Q8">
        <v>21713</v>
      </c>
      <c r="R8">
        <v>32110</v>
      </c>
      <c r="S8">
        <v>3075</v>
      </c>
      <c r="T8">
        <v>3847</v>
      </c>
      <c r="U8">
        <v>2384</v>
      </c>
      <c r="V8">
        <f t="shared" si="1"/>
        <v>289922</v>
      </c>
    </row>
    <row r="9" spans="1:22" x14ac:dyDescent="0.25">
      <c r="A9">
        <v>7</v>
      </c>
      <c r="B9">
        <v>707021.09968999994</v>
      </c>
      <c r="C9">
        <v>31511.240829999999</v>
      </c>
      <c r="D9">
        <v>452744.58581000002</v>
      </c>
      <c r="E9">
        <v>190725.97482999999</v>
      </c>
      <c r="F9">
        <v>73398.253769999996</v>
      </c>
      <c r="G9">
        <v>72345.065369999997</v>
      </c>
      <c r="H9">
        <v>21024.544290000002</v>
      </c>
      <c r="I9">
        <v>25388.820479999998</v>
      </c>
      <c r="J9">
        <v>7735.7383</v>
      </c>
      <c r="K9">
        <f t="shared" si="0"/>
        <v>1581895.3233700001</v>
      </c>
      <c r="L9">
        <v>7</v>
      </c>
      <c r="M9">
        <v>130756</v>
      </c>
      <c r="N9">
        <v>3661</v>
      </c>
      <c r="O9">
        <v>87479</v>
      </c>
      <c r="P9">
        <v>31082</v>
      </c>
      <c r="Q9">
        <v>27659</v>
      </c>
      <c r="R9">
        <v>33073</v>
      </c>
      <c r="S9">
        <v>3068</v>
      </c>
      <c r="T9">
        <v>2621</v>
      </c>
      <c r="U9">
        <v>5522</v>
      </c>
      <c r="V9">
        <f t="shared" si="1"/>
        <v>324921</v>
      </c>
    </row>
    <row r="10" spans="1:22" x14ac:dyDescent="0.25">
      <c r="A10">
        <v>8</v>
      </c>
      <c r="B10">
        <v>515826.54492999997</v>
      </c>
      <c r="C10">
        <v>15257.50713</v>
      </c>
      <c r="D10">
        <v>363423.22847999999</v>
      </c>
      <c r="E10">
        <v>217976.22896000001</v>
      </c>
      <c r="F10">
        <v>138352.51796</v>
      </c>
      <c r="G10">
        <v>85332.134149999998</v>
      </c>
      <c r="H10">
        <v>58782.802609999999</v>
      </c>
      <c r="I10">
        <v>27631.13334</v>
      </c>
      <c r="J10">
        <v>15992.692429999999</v>
      </c>
      <c r="K10">
        <f t="shared" si="0"/>
        <v>1438574.78999</v>
      </c>
      <c r="L10">
        <v>8</v>
      </c>
      <c r="M10">
        <v>114799</v>
      </c>
      <c r="N10">
        <v>2954</v>
      </c>
      <c r="O10">
        <v>70602</v>
      </c>
      <c r="P10">
        <v>41514</v>
      </c>
      <c r="Q10">
        <v>37162</v>
      </c>
      <c r="R10">
        <v>37795</v>
      </c>
      <c r="S10">
        <v>3458</v>
      </c>
      <c r="T10">
        <v>2055</v>
      </c>
      <c r="U10">
        <v>7183</v>
      </c>
      <c r="V10">
        <f t="shared" si="1"/>
        <v>317522</v>
      </c>
    </row>
    <row r="11" spans="1:22" x14ac:dyDescent="0.25">
      <c r="A11">
        <v>9</v>
      </c>
      <c r="B11">
        <v>322105.42548999999</v>
      </c>
      <c r="C11">
        <v>17794.904259999999</v>
      </c>
      <c r="D11">
        <v>238730.79811</v>
      </c>
      <c r="E11">
        <v>210295.65453</v>
      </c>
      <c r="F11">
        <v>127952.86989</v>
      </c>
      <c r="G11">
        <v>101161.55</v>
      </c>
      <c r="H11">
        <v>75935.07127</v>
      </c>
      <c r="I11">
        <v>49413.788229999998</v>
      </c>
      <c r="J11">
        <v>16206.378989999999</v>
      </c>
      <c r="K11">
        <f t="shared" si="0"/>
        <v>1159596.4407700002</v>
      </c>
      <c r="L11">
        <v>9</v>
      </c>
      <c r="M11">
        <v>78680</v>
      </c>
      <c r="N11">
        <v>2885</v>
      </c>
      <c r="O11">
        <v>47606</v>
      </c>
      <c r="P11">
        <v>34225</v>
      </c>
      <c r="Q11">
        <v>41862</v>
      </c>
      <c r="R11">
        <v>35708</v>
      </c>
      <c r="S11">
        <v>3280</v>
      </c>
      <c r="T11">
        <v>1705</v>
      </c>
      <c r="U11">
        <v>8495</v>
      </c>
      <c r="V11">
        <f t="shared" si="1"/>
        <v>254446</v>
      </c>
    </row>
    <row r="12" spans="1:22" x14ac:dyDescent="0.25">
      <c r="A12">
        <v>10</v>
      </c>
      <c r="B12">
        <v>247280.48858999999</v>
      </c>
      <c r="C12">
        <v>20183.629830000002</v>
      </c>
      <c r="D12">
        <v>33409.361140000001</v>
      </c>
      <c r="E12">
        <v>115327.23626999999</v>
      </c>
      <c r="F12">
        <v>189453.01289000001</v>
      </c>
      <c r="G12">
        <v>95969.368210000001</v>
      </c>
      <c r="H12">
        <v>84730.058730000004</v>
      </c>
      <c r="I12">
        <v>82758.76023</v>
      </c>
      <c r="J12">
        <v>21635.531149999999</v>
      </c>
      <c r="K12">
        <f t="shared" si="0"/>
        <v>890747.44704000012</v>
      </c>
      <c r="L12">
        <v>10</v>
      </c>
      <c r="M12">
        <v>40417</v>
      </c>
      <c r="N12">
        <v>2253</v>
      </c>
      <c r="O12">
        <v>7276</v>
      </c>
      <c r="P12">
        <v>20231</v>
      </c>
      <c r="Q12">
        <v>51451</v>
      </c>
      <c r="R12">
        <v>31215</v>
      </c>
      <c r="S12">
        <v>4346</v>
      </c>
      <c r="T12">
        <v>1983</v>
      </c>
      <c r="U12">
        <v>9862</v>
      </c>
      <c r="V12">
        <f t="shared" si="1"/>
        <v>169034</v>
      </c>
    </row>
    <row r="13" spans="1:22" x14ac:dyDescent="0.25">
      <c r="A13">
        <v>11</v>
      </c>
      <c r="B13">
        <v>151919.72196</v>
      </c>
      <c r="C13">
        <v>12295.833839999999</v>
      </c>
      <c r="D13">
        <v>6906.4617099999996</v>
      </c>
      <c r="E13">
        <v>35127.535400000001</v>
      </c>
      <c r="F13">
        <v>190933.80202</v>
      </c>
      <c r="G13">
        <v>75872.067249999993</v>
      </c>
      <c r="H13">
        <v>115121.84493000001</v>
      </c>
      <c r="I13">
        <v>48718.404430000002</v>
      </c>
      <c r="J13">
        <v>21125.101190000001</v>
      </c>
      <c r="K13">
        <f t="shared" si="0"/>
        <v>658020.77272999997</v>
      </c>
      <c r="L13">
        <v>11</v>
      </c>
      <c r="M13">
        <v>32758</v>
      </c>
      <c r="N13">
        <v>1902</v>
      </c>
      <c r="O13">
        <v>3593</v>
      </c>
      <c r="P13">
        <v>10844</v>
      </c>
      <c r="Q13">
        <v>55339</v>
      </c>
      <c r="R13">
        <v>28726</v>
      </c>
      <c r="S13">
        <v>4272</v>
      </c>
      <c r="T13">
        <v>1800</v>
      </c>
      <c r="U13">
        <v>11084</v>
      </c>
      <c r="V13">
        <f t="shared" si="1"/>
        <v>150318</v>
      </c>
    </row>
    <row r="14" spans="1:22" x14ac:dyDescent="0.25">
      <c r="A14">
        <v>12</v>
      </c>
      <c r="B14">
        <v>124112.04047000001</v>
      </c>
      <c r="C14">
        <v>8638.6925800000008</v>
      </c>
      <c r="D14">
        <v>5451.0549300000002</v>
      </c>
      <c r="E14">
        <v>39745.294370000003</v>
      </c>
      <c r="F14">
        <v>233084.03029</v>
      </c>
      <c r="G14">
        <v>80941.320749999999</v>
      </c>
      <c r="H14">
        <v>155907.78576</v>
      </c>
      <c r="I14">
        <v>56365.333980000003</v>
      </c>
      <c r="J14">
        <v>28351.593519999999</v>
      </c>
      <c r="K14">
        <f t="shared" si="0"/>
        <v>732597.14665000001</v>
      </c>
      <c r="L14">
        <v>12</v>
      </c>
      <c r="M14">
        <v>26994</v>
      </c>
      <c r="N14">
        <v>1638</v>
      </c>
      <c r="O14">
        <v>3253</v>
      </c>
      <c r="P14">
        <v>9227</v>
      </c>
      <c r="Q14">
        <v>66895</v>
      </c>
      <c r="R14">
        <v>26828</v>
      </c>
      <c r="S14">
        <v>5648</v>
      </c>
      <c r="T14">
        <v>1685</v>
      </c>
      <c r="U14">
        <v>12847</v>
      </c>
      <c r="V14">
        <f t="shared" si="1"/>
        <v>155015</v>
      </c>
    </row>
    <row r="15" spans="1:22" x14ac:dyDescent="0.25">
      <c r="A15">
        <v>13</v>
      </c>
      <c r="B15">
        <v>112293.19237</v>
      </c>
      <c r="C15">
        <v>9696.7807400000002</v>
      </c>
      <c r="D15">
        <v>13486.741249999999</v>
      </c>
      <c r="E15">
        <v>44652.919450000001</v>
      </c>
      <c r="F15">
        <v>290234.22531000001</v>
      </c>
      <c r="G15">
        <v>75641.872990000003</v>
      </c>
      <c r="H15">
        <v>139097.79271000001</v>
      </c>
      <c r="I15">
        <v>56884.636919999997</v>
      </c>
      <c r="J15">
        <v>25559.520980000001</v>
      </c>
      <c r="K15">
        <f t="shared" si="0"/>
        <v>767547.68271999992</v>
      </c>
      <c r="L15">
        <v>13</v>
      </c>
      <c r="M15">
        <v>24535</v>
      </c>
      <c r="N15">
        <v>1717</v>
      </c>
      <c r="O15">
        <v>3220</v>
      </c>
      <c r="P15">
        <v>9417</v>
      </c>
      <c r="Q15">
        <v>62950</v>
      </c>
      <c r="R15">
        <v>24929</v>
      </c>
      <c r="S15">
        <v>5142</v>
      </c>
      <c r="T15">
        <v>1412</v>
      </c>
      <c r="U15">
        <v>15545</v>
      </c>
      <c r="V15">
        <f t="shared" si="1"/>
        <v>148867</v>
      </c>
    </row>
    <row r="16" spans="1:22" x14ac:dyDescent="0.25">
      <c r="A16">
        <v>14</v>
      </c>
      <c r="B16">
        <v>123446.44138</v>
      </c>
      <c r="C16">
        <v>10106.654109999999</v>
      </c>
      <c r="D16">
        <v>39902.216339999999</v>
      </c>
      <c r="E16">
        <v>97033.608269999997</v>
      </c>
      <c r="F16">
        <v>328507.40295999998</v>
      </c>
      <c r="G16">
        <v>96574.899619999997</v>
      </c>
      <c r="H16">
        <v>185454.33278999999</v>
      </c>
      <c r="I16">
        <v>73440.049100000004</v>
      </c>
      <c r="J16">
        <v>56061.070189999999</v>
      </c>
      <c r="K16">
        <f t="shared" si="0"/>
        <v>1010526.67476</v>
      </c>
      <c r="L16">
        <v>14</v>
      </c>
      <c r="M16">
        <v>20686</v>
      </c>
      <c r="N16">
        <v>1858</v>
      </c>
      <c r="O16">
        <v>3827</v>
      </c>
      <c r="P16">
        <v>17032</v>
      </c>
      <c r="Q16">
        <v>68789</v>
      </c>
      <c r="R16">
        <v>27089</v>
      </c>
      <c r="S16">
        <v>5495</v>
      </c>
      <c r="T16">
        <v>1831</v>
      </c>
      <c r="U16">
        <v>29183</v>
      </c>
      <c r="V16">
        <f t="shared" si="1"/>
        <v>175790</v>
      </c>
    </row>
    <row r="17" spans="1:22" x14ac:dyDescent="0.25">
      <c r="A17">
        <v>15</v>
      </c>
      <c r="B17">
        <v>147854.05569000001</v>
      </c>
      <c r="C17">
        <v>9667.0469799999992</v>
      </c>
      <c r="D17">
        <v>79955.509860000006</v>
      </c>
      <c r="E17">
        <v>127210.56587000001</v>
      </c>
      <c r="F17">
        <v>214150.92397999999</v>
      </c>
      <c r="G17">
        <v>112417.88138000001</v>
      </c>
      <c r="H17">
        <v>157378.57832</v>
      </c>
      <c r="I17">
        <v>65562.600170000005</v>
      </c>
      <c r="J17">
        <v>113204.31759000001</v>
      </c>
      <c r="K17">
        <f t="shared" si="0"/>
        <v>1027401.4798399999</v>
      </c>
      <c r="L17">
        <v>15</v>
      </c>
      <c r="M17">
        <v>22543</v>
      </c>
      <c r="N17">
        <v>1904</v>
      </c>
      <c r="O17">
        <v>5005</v>
      </c>
      <c r="P17">
        <v>21288</v>
      </c>
      <c r="Q17">
        <v>60861</v>
      </c>
      <c r="R17">
        <v>27872</v>
      </c>
      <c r="S17">
        <v>5089</v>
      </c>
      <c r="T17">
        <v>1924</v>
      </c>
      <c r="U17">
        <v>68806</v>
      </c>
      <c r="V17">
        <f t="shared" si="1"/>
        <v>215292</v>
      </c>
    </row>
    <row r="18" spans="1:22" x14ac:dyDescent="0.25">
      <c r="A18">
        <v>16</v>
      </c>
      <c r="B18">
        <v>177098.85042</v>
      </c>
      <c r="C18">
        <v>12070.610650000001</v>
      </c>
      <c r="D18">
        <v>50825.514199999998</v>
      </c>
      <c r="E18">
        <v>69933.377600000007</v>
      </c>
      <c r="F18">
        <v>245649.66610999999</v>
      </c>
      <c r="G18">
        <v>100141.55671999999</v>
      </c>
      <c r="H18">
        <v>145256.56307999999</v>
      </c>
      <c r="I18">
        <v>100141.97082</v>
      </c>
      <c r="J18">
        <v>173283.20099000001</v>
      </c>
      <c r="K18">
        <f t="shared" si="0"/>
        <v>1074401.3105899999</v>
      </c>
      <c r="L18">
        <v>16</v>
      </c>
      <c r="M18">
        <v>22076</v>
      </c>
      <c r="N18">
        <v>1850</v>
      </c>
      <c r="O18">
        <v>5467</v>
      </c>
      <c r="P18">
        <v>14133</v>
      </c>
      <c r="Q18">
        <v>62432</v>
      </c>
      <c r="R18">
        <v>26640</v>
      </c>
      <c r="S18">
        <v>4977</v>
      </c>
      <c r="T18">
        <v>2039</v>
      </c>
      <c r="U18">
        <v>103886</v>
      </c>
      <c r="V18">
        <f t="shared" si="1"/>
        <v>243500</v>
      </c>
    </row>
    <row r="19" spans="1:22" x14ac:dyDescent="0.25">
      <c r="A19">
        <v>17</v>
      </c>
      <c r="B19">
        <v>166242.77395999999</v>
      </c>
      <c r="C19">
        <v>16369.7629</v>
      </c>
      <c r="D19">
        <v>32272.124919999998</v>
      </c>
      <c r="E19">
        <v>59888.842140000001</v>
      </c>
      <c r="F19">
        <v>245312.96398999999</v>
      </c>
      <c r="G19">
        <v>100160.59913</v>
      </c>
      <c r="H19">
        <v>140114.16498</v>
      </c>
      <c r="I19">
        <v>62032.726190000001</v>
      </c>
      <c r="J19">
        <v>157119.48290999999</v>
      </c>
      <c r="K19">
        <f t="shared" si="0"/>
        <v>979513.44111999997</v>
      </c>
      <c r="L19">
        <v>17</v>
      </c>
      <c r="M19">
        <v>26613</v>
      </c>
      <c r="N19">
        <v>1807</v>
      </c>
      <c r="O19">
        <v>7340</v>
      </c>
      <c r="P19">
        <v>9726</v>
      </c>
      <c r="Q19">
        <v>57500</v>
      </c>
      <c r="R19">
        <v>25042</v>
      </c>
      <c r="S19">
        <v>4838</v>
      </c>
      <c r="T19">
        <v>1900</v>
      </c>
      <c r="U19">
        <v>92210</v>
      </c>
      <c r="V19">
        <f t="shared" si="1"/>
        <v>226976</v>
      </c>
    </row>
    <row r="20" spans="1:22" x14ac:dyDescent="0.25">
      <c r="A20">
        <v>18</v>
      </c>
      <c r="B20">
        <v>173397.95694</v>
      </c>
      <c r="C20">
        <v>12374.70931</v>
      </c>
      <c r="D20">
        <v>28828.318480000002</v>
      </c>
      <c r="E20">
        <v>43311.744919999997</v>
      </c>
      <c r="F20">
        <v>237109.03328999999</v>
      </c>
      <c r="G20">
        <v>94584.305630000003</v>
      </c>
      <c r="H20">
        <v>128302.04764</v>
      </c>
      <c r="I20">
        <v>68280.88553</v>
      </c>
      <c r="J20">
        <v>113470.66314999999</v>
      </c>
      <c r="K20">
        <f t="shared" si="0"/>
        <v>899659.66489000001</v>
      </c>
      <c r="L20">
        <v>18</v>
      </c>
      <c r="M20">
        <v>27894</v>
      </c>
      <c r="N20">
        <v>1703</v>
      </c>
      <c r="O20">
        <v>8096</v>
      </c>
      <c r="P20">
        <v>7744</v>
      </c>
      <c r="Q20">
        <v>57179</v>
      </c>
      <c r="R20">
        <v>26345</v>
      </c>
      <c r="S20">
        <v>4699</v>
      </c>
      <c r="T20">
        <v>1959</v>
      </c>
      <c r="U20">
        <v>78113</v>
      </c>
      <c r="V20">
        <f t="shared" si="1"/>
        <v>213732</v>
      </c>
    </row>
    <row r="21" spans="1:22" x14ac:dyDescent="0.25">
      <c r="A21">
        <v>19</v>
      </c>
      <c r="B21">
        <v>164140.56964</v>
      </c>
      <c r="C21">
        <v>9360.1982900000003</v>
      </c>
      <c r="D21">
        <v>35977.806329999999</v>
      </c>
      <c r="E21">
        <v>50422.200870000001</v>
      </c>
      <c r="F21">
        <v>196672.20420000001</v>
      </c>
      <c r="G21">
        <v>84007.050380000001</v>
      </c>
      <c r="H21">
        <v>130086.65558999999</v>
      </c>
      <c r="I21">
        <v>68851.023490000007</v>
      </c>
      <c r="J21">
        <v>80385.217350000006</v>
      </c>
      <c r="K21">
        <f t="shared" si="0"/>
        <v>819902.92614000011</v>
      </c>
      <c r="L21">
        <v>19</v>
      </c>
      <c r="M21">
        <v>29894</v>
      </c>
      <c r="N21">
        <v>1831</v>
      </c>
      <c r="O21">
        <v>13332</v>
      </c>
      <c r="P21">
        <v>10531</v>
      </c>
      <c r="Q21">
        <v>54658</v>
      </c>
      <c r="R21">
        <v>26320</v>
      </c>
      <c r="S21">
        <v>4531</v>
      </c>
      <c r="T21">
        <v>1732</v>
      </c>
      <c r="U21">
        <v>52793</v>
      </c>
      <c r="V21">
        <f t="shared" si="1"/>
        <v>195622</v>
      </c>
    </row>
    <row r="22" spans="1:22" x14ac:dyDescent="0.25">
      <c r="A22">
        <v>20</v>
      </c>
      <c r="B22">
        <v>279843.42381000001</v>
      </c>
      <c r="C22">
        <v>22464.86923</v>
      </c>
      <c r="D22">
        <v>102020.43356999999</v>
      </c>
      <c r="E22">
        <v>88387.978480000005</v>
      </c>
      <c r="F22">
        <v>222202.22633</v>
      </c>
      <c r="G22">
        <v>107354.36416</v>
      </c>
      <c r="H22">
        <v>130123.31801</v>
      </c>
      <c r="I22">
        <v>76781.295180000001</v>
      </c>
      <c r="J22">
        <v>48817.218520000002</v>
      </c>
      <c r="K22">
        <f t="shared" si="0"/>
        <v>1077995.1272900002</v>
      </c>
      <c r="L22">
        <v>20</v>
      </c>
      <c r="M22">
        <v>36148</v>
      </c>
      <c r="N22">
        <v>1840</v>
      </c>
      <c r="O22">
        <v>12222</v>
      </c>
      <c r="P22">
        <v>15026</v>
      </c>
      <c r="Q22">
        <v>56636</v>
      </c>
      <c r="R22">
        <v>26853</v>
      </c>
      <c r="S22">
        <v>4615</v>
      </c>
      <c r="T22">
        <v>1764</v>
      </c>
      <c r="U22">
        <v>30477</v>
      </c>
      <c r="V22">
        <f t="shared" si="1"/>
        <v>185581</v>
      </c>
    </row>
    <row r="23" spans="1:22" x14ac:dyDescent="0.25">
      <c r="A23">
        <v>21</v>
      </c>
      <c r="B23">
        <v>310901.30320999998</v>
      </c>
      <c r="C23">
        <v>11256.19908</v>
      </c>
      <c r="D23">
        <v>370515.12754000002</v>
      </c>
      <c r="E23">
        <v>170202.26662000001</v>
      </c>
      <c r="F23">
        <v>229171.28133999999</v>
      </c>
      <c r="G23">
        <v>97248.056089999998</v>
      </c>
      <c r="H23">
        <v>143563.56628999999</v>
      </c>
      <c r="I23">
        <v>62316.503290000001</v>
      </c>
      <c r="J23">
        <v>39366.513679999996</v>
      </c>
      <c r="K23">
        <f t="shared" si="0"/>
        <v>1434540.8171400002</v>
      </c>
      <c r="L23">
        <v>21</v>
      </c>
      <c r="M23">
        <v>35116</v>
      </c>
      <c r="N23">
        <v>2216</v>
      </c>
      <c r="O23">
        <v>55400</v>
      </c>
      <c r="P23">
        <v>21614</v>
      </c>
      <c r="Q23">
        <v>57807</v>
      </c>
      <c r="R23">
        <v>28350</v>
      </c>
      <c r="S23">
        <v>4617</v>
      </c>
      <c r="T23">
        <v>1867</v>
      </c>
      <c r="U23">
        <v>19838</v>
      </c>
      <c r="V23">
        <f t="shared" si="1"/>
        <v>226825</v>
      </c>
    </row>
    <row r="24" spans="1:22" x14ac:dyDescent="0.25">
      <c r="A24">
        <v>22</v>
      </c>
      <c r="B24">
        <v>440294.55627</v>
      </c>
      <c r="C24">
        <v>19944.7657</v>
      </c>
      <c r="D24">
        <v>500099.12206000002</v>
      </c>
      <c r="E24">
        <v>200940.32493</v>
      </c>
      <c r="F24">
        <v>230870.07782000001</v>
      </c>
      <c r="G24">
        <v>127794.74046</v>
      </c>
      <c r="H24">
        <v>141095.35947</v>
      </c>
      <c r="I24">
        <v>78302.380640000003</v>
      </c>
      <c r="J24">
        <v>25488.5553</v>
      </c>
      <c r="K24">
        <f t="shared" si="0"/>
        <v>1764829.88265</v>
      </c>
      <c r="L24">
        <v>22</v>
      </c>
      <c r="M24">
        <v>56603</v>
      </c>
      <c r="N24">
        <v>2243</v>
      </c>
      <c r="O24">
        <v>82977</v>
      </c>
      <c r="P24">
        <v>29075</v>
      </c>
      <c r="Q24">
        <v>57617</v>
      </c>
      <c r="R24">
        <v>30160</v>
      </c>
      <c r="S24">
        <v>4916</v>
      </c>
      <c r="T24">
        <v>2105</v>
      </c>
      <c r="U24">
        <v>15327</v>
      </c>
      <c r="V24">
        <f t="shared" si="1"/>
        <v>281023</v>
      </c>
    </row>
    <row r="25" spans="1:22" x14ac:dyDescent="0.25">
      <c r="A25">
        <v>23</v>
      </c>
      <c r="B25">
        <v>496936.53194000002</v>
      </c>
      <c r="C25">
        <v>11462.300499999999</v>
      </c>
      <c r="D25">
        <v>244883.13333000001</v>
      </c>
      <c r="E25">
        <v>116205.30321</v>
      </c>
      <c r="F25">
        <v>192399.57483</v>
      </c>
      <c r="G25">
        <v>118429.25569999999</v>
      </c>
      <c r="H25">
        <v>108970.60047</v>
      </c>
      <c r="I25">
        <v>64009.760139999999</v>
      </c>
      <c r="J25">
        <v>17206.602200000001</v>
      </c>
      <c r="K25">
        <f t="shared" si="0"/>
        <v>1370503.06232</v>
      </c>
      <c r="L25">
        <v>23</v>
      </c>
      <c r="M25">
        <v>80619</v>
      </c>
      <c r="N25">
        <v>2338</v>
      </c>
      <c r="O25">
        <v>74398</v>
      </c>
      <c r="P25">
        <v>23652</v>
      </c>
      <c r="Q25">
        <v>64251</v>
      </c>
      <c r="R25">
        <v>32843</v>
      </c>
      <c r="S25">
        <v>6017</v>
      </c>
      <c r="T25">
        <v>2589</v>
      </c>
      <c r="U25">
        <v>12070</v>
      </c>
      <c r="V25">
        <f t="shared" si="1"/>
        <v>298777</v>
      </c>
    </row>
    <row r="26" spans="1:22" x14ac:dyDescent="0.25">
      <c r="A26">
        <v>24</v>
      </c>
      <c r="B26">
        <v>569302.19334999996</v>
      </c>
      <c r="C26">
        <v>21431.86032</v>
      </c>
      <c r="D26">
        <v>102456.53002999999</v>
      </c>
      <c r="E26">
        <v>103670.95052</v>
      </c>
      <c r="F26">
        <v>232632.61629000001</v>
      </c>
      <c r="G26">
        <v>132591.4572</v>
      </c>
      <c r="H26">
        <v>135377.01641000001</v>
      </c>
      <c r="I26">
        <v>111045.87492</v>
      </c>
      <c r="J26">
        <v>13881.19875</v>
      </c>
      <c r="K26">
        <f t="shared" si="0"/>
        <v>1422389.6977899999</v>
      </c>
      <c r="L26">
        <v>24</v>
      </c>
      <c r="M26">
        <v>90344</v>
      </c>
      <c r="N26">
        <v>2237</v>
      </c>
      <c r="O26">
        <v>36762</v>
      </c>
      <c r="P26">
        <v>21732</v>
      </c>
      <c r="Q26">
        <v>62991</v>
      </c>
      <c r="R26">
        <v>34876</v>
      </c>
      <c r="S26">
        <v>7294</v>
      </c>
      <c r="T26">
        <v>3708</v>
      </c>
      <c r="U26">
        <v>9139</v>
      </c>
      <c r="V26">
        <f t="shared" si="1"/>
        <v>269083</v>
      </c>
    </row>
    <row r="27" spans="1:22" x14ac:dyDescent="0.25">
      <c r="A27">
        <v>25</v>
      </c>
      <c r="B27">
        <v>582524.20767999999</v>
      </c>
      <c r="C27">
        <v>17454.706590000002</v>
      </c>
      <c r="D27">
        <v>86195.1636</v>
      </c>
      <c r="E27">
        <v>89920.373130000007</v>
      </c>
      <c r="F27">
        <v>176187.82092999999</v>
      </c>
      <c r="G27">
        <v>122641.02422000001</v>
      </c>
      <c r="H27">
        <v>120998.63153</v>
      </c>
      <c r="I27">
        <v>101927.38666</v>
      </c>
      <c r="J27">
        <v>12840.22539</v>
      </c>
      <c r="K27">
        <f t="shared" si="0"/>
        <v>1310689.5397299998</v>
      </c>
      <c r="L27">
        <v>25</v>
      </c>
      <c r="M27">
        <v>96422</v>
      </c>
      <c r="N27">
        <v>2141</v>
      </c>
      <c r="O27">
        <v>18054</v>
      </c>
      <c r="P27">
        <v>22765</v>
      </c>
      <c r="Q27">
        <v>63665</v>
      </c>
      <c r="R27">
        <v>37476</v>
      </c>
      <c r="S27">
        <v>8433</v>
      </c>
      <c r="T27">
        <v>4469</v>
      </c>
      <c r="U27">
        <v>7061</v>
      </c>
      <c r="V27">
        <f t="shared" si="1"/>
        <v>260486</v>
      </c>
    </row>
    <row r="28" spans="1:22" x14ac:dyDescent="0.25">
      <c r="A28">
        <v>26</v>
      </c>
      <c r="B28">
        <v>859031.39398000005</v>
      </c>
      <c r="C28">
        <v>35408.365610000001</v>
      </c>
      <c r="D28">
        <v>83829.424610000002</v>
      </c>
      <c r="E28">
        <v>101654.64969000001</v>
      </c>
      <c r="F28">
        <v>197450.27741000001</v>
      </c>
      <c r="G28">
        <v>172876.08213</v>
      </c>
      <c r="H28">
        <v>110202.51499</v>
      </c>
      <c r="I28">
        <v>166032.12864000001</v>
      </c>
      <c r="J28">
        <v>5600.6427999999996</v>
      </c>
      <c r="K28">
        <f t="shared" si="0"/>
        <v>1732085.4798600003</v>
      </c>
      <c r="L28">
        <v>26</v>
      </c>
      <c r="M28">
        <v>130459</v>
      </c>
      <c r="N28">
        <v>2035</v>
      </c>
      <c r="O28">
        <v>16596</v>
      </c>
      <c r="P28">
        <v>29779</v>
      </c>
      <c r="Q28">
        <v>55387</v>
      </c>
      <c r="R28">
        <v>44581</v>
      </c>
      <c r="S28">
        <v>9129</v>
      </c>
      <c r="T28">
        <v>6727</v>
      </c>
      <c r="U28">
        <v>5225</v>
      </c>
      <c r="V28">
        <f t="shared" si="1"/>
        <v>299918</v>
      </c>
    </row>
    <row r="29" spans="1:22" x14ac:dyDescent="0.25">
      <c r="A29">
        <v>27</v>
      </c>
      <c r="B29">
        <v>463397.89983000001</v>
      </c>
      <c r="C29">
        <v>14487.911169999999</v>
      </c>
      <c r="D29">
        <v>62390.727720000003</v>
      </c>
      <c r="E29">
        <v>118545.73925</v>
      </c>
      <c r="F29">
        <v>134494.26308999999</v>
      </c>
      <c r="G29">
        <v>201605.75547999999</v>
      </c>
      <c r="H29">
        <v>126357.39569999999</v>
      </c>
      <c r="I29">
        <v>130568.36134</v>
      </c>
      <c r="J29">
        <v>4877.7744499999999</v>
      </c>
      <c r="K29">
        <f t="shared" si="0"/>
        <v>1256725.82803</v>
      </c>
      <c r="L29">
        <v>27</v>
      </c>
      <c r="M29">
        <v>124153</v>
      </c>
      <c r="N29">
        <v>1691</v>
      </c>
      <c r="O29">
        <v>13760</v>
      </c>
      <c r="P29">
        <v>30456</v>
      </c>
      <c r="Q29">
        <v>52827</v>
      </c>
      <c r="R29">
        <v>50218</v>
      </c>
      <c r="S29">
        <v>10076</v>
      </c>
      <c r="T29">
        <v>8468</v>
      </c>
      <c r="U29">
        <v>4056</v>
      </c>
      <c r="V29">
        <f t="shared" si="1"/>
        <v>295705</v>
      </c>
    </row>
    <row r="30" spans="1:22" x14ac:dyDescent="0.25">
      <c r="A30">
        <v>28</v>
      </c>
      <c r="B30">
        <v>420670.54067999998</v>
      </c>
      <c r="C30">
        <v>9224.3375799999994</v>
      </c>
      <c r="D30">
        <v>44081.858189999999</v>
      </c>
      <c r="E30">
        <v>87836.854250000004</v>
      </c>
      <c r="F30">
        <v>228311.13777999999</v>
      </c>
      <c r="G30">
        <v>176266.57107999999</v>
      </c>
      <c r="H30">
        <v>140185.29389</v>
      </c>
      <c r="I30">
        <v>203949.83961</v>
      </c>
      <c r="J30">
        <v>5248.8280400000003</v>
      </c>
      <c r="K30">
        <f t="shared" si="0"/>
        <v>1315775.2611</v>
      </c>
      <c r="L30">
        <v>28</v>
      </c>
      <c r="M30">
        <v>106600</v>
      </c>
      <c r="N30">
        <v>1723</v>
      </c>
      <c r="O30">
        <v>10265</v>
      </c>
      <c r="P30">
        <v>25762</v>
      </c>
      <c r="Q30">
        <v>48378</v>
      </c>
      <c r="R30">
        <v>56848</v>
      </c>
      <c r="S30">
        <v>11255</v>
      </c>
      <c r="T30">
        <v>11390</v>
      </c>
      <c r="U30">
        <v>3132</v>
      </c>
      <c r="V30">
        <f t="shared" si="1"/>
        <v>275353</v>
      </c>
    </row>
    <row r="31" spans="1:22" x14ac:dyDescent="0.25">
      <c r="A31">
        <v>29</v>
      </c>
      <c r="B31">
        <v>248145.55121000001</v>
      </c>
      <c r="C31">
        <v>10238.35226</v>
      </c>
      <c r="D31">
        <v>21383.251509999998</v>
      </c>
      <c r="E31">
        <v>64736.727930000001</v>
      </c>
      <c r="F31">
        <v>131870.82199</v>
      </c>
      <c r="G31">
        <v>216451.87408000001</v>
      </c>
      <c r="H31">
        <v>120987.59166999999</v>
      </c>
      <c r="I31">
        <v>203475.10985000001</v>
      </c>
      <c r="J31">
        <v>4923.94542</v>
      </c>
      <c r="K31">
        <f t="shared" si="0"/>
        <v>1022213.22592</v>
      </c>
      <c r="L31">
        <v>29</v>
      </c>
      <c r="M31">
        <v>79238</v>
      </c>
      <c r="N31">
        <v>1592</v>
      </c>
      <c r="O31">
        <v>6694</v>
      </c>
      <c r="P31">
        <v>18750</v>
      </c>
      <c r="Q31">
        <v>42594</v>
      </c>
      <c r="R31">
        <v>57973</v>
      </c>
      <c r="S31">
        <v>12094</v>
      </c>
      <c r="T31">
        <v>14507</v>
      </c>
      <c r="U31">
        <v>2589</v>
      </c>
      <c r="V31">
        <f t="shared" si="1"/>
        <v>236031</v>
      </c>
    </row>
    <row r="32" spans="1:22" x14ac:dyDescent="0.25">
      <c r="A32">
        <v>30</v>
      </c>
      <c r="B32">
        <v>210483.52896</v>
      </c>
      <c r="C32">
        <v>8281.2697900000003</v>
      </c>
      <c r="D32">
        <v>28581.18319</v>
      </c>
      <c r="E32">
        <v>48813.402349999997</v>
      </c>
      <c r="F32">
        <v>180779.67165</v>
      </c>
      <c r="G32">
        <v>165038.13607000001</v>
      </c>
      <c r="H32">
        <v>168401.00758999999</v>
      </c>
      <c r="I32">
        <v>148890.18195999999</v>
      </c>
      <c r="J32">
        <v>4672.67371</v>
      </c>
      <c r="K32">
        <f t="shared" si="0"/>
        <v>963941.0552699999</v>
      </c>
      <c r="L32">
        <v>30</v>
      </c>
      <c r="M32">
        <v>56277</v>
      </c>
      <c r="N32">
        <v>1515</v>
      </c>
      <c r="O32">
        <v>4576</v>
      </c>
      <c r="P32">
        <v>15739</v>
      </c>
      <c r="Q32">
        <v>39696</v>
      </c>
      <c r="R32">
        <v>50352</v>
      </c>
      <c r="S32">
        <v>12520</v>
      </c>
      <c r="T32">
        <v>11817</v>
      </c>
      <c r="U32">
        <v>2120</v>
      </c>
      <c r="V32">
        <f t="shared" si="1"/>
        <v>194612</v>
      </c>
    </row>
    <row r="33" spans="1:22" x14ac:dyDescent="0.25">
      <c r="A33">
        <v>31</v>
      </c>
      <c r="B33">
        <v>125281.47625000001</v>
      </c>
      <c r="C33">
        <v>12171.104380000001</v>
      </c>
      <c r="D33">
        <v>6332.4237199999998</v>
      </c>
      <c r="E33">
        <v>34898.983139999997</v>
      </c>
      <c r="F33">
        <v>106215.47556000001</v>
      </c>
      <c r="G33">
        <v>122965.58504000001</v>
      </c>
      <c r="H33">
        <v>85546.863119999995</v>
      </c>
      <c r="I33">
        <v>141263.97966000001</v>
      </c>
      <c r="J33">
        <v>2335.7743599999999</v>
      </c>
      <c r="K33">
        <f t="shared" si="0"/>
        <v>637011.66523000004</v>
      </c>
      <c r="L33">
        <v>31</v>
      </c>
      <c r="M33">
        <v>37673</v>
      </c>
      <c r="N33">
        <v>1407</v>
      </c>
      <c r="O33">
        <v>3912</v>
      </c>
      <c r="P33">
        <v>13602</v>
      </c>
      <c r="Q33">
        <v>35788</v>
      </c>
      <c r="R33">
        <v>38725</v>
      </c>
      <c r="S33">
        <v>11373</v>
      </c>
      <c r="T33">
        <v>9694</v>
      </c>
      <c r="U33">
        <v>1798</v>
      </c>
      <c r="V33">
        <f t="shared" si="1"/>
        <v>153972</v>
      </c>
    </row>
    <row r="34" spans="1:22" x14ac:dyDescent="0.25">
      <c r="A34">
        <v>32</v>
      </c>
      <c r="B34">
        <v>133542.2623</v>
      </c>
      <c r="C34">
        <v>17257.818729999999</v>
      </c>
      <c r="D34">
        <v>11764.025519999999</v>
      </c>
      <c r="E34">
        <v>40375.79866</v>
      </c>
      <c r="F34">
        <v>92652.213399999993</v>
      </c>
      <c r="G34">
        <v>166023.40435</v>
      </c>
      <c r="H34">
        <v>100689.23806</v>
      </c>
      <c r="I34">
        <v>167328.80885</v>
      </c>
      <c r="J34">
        <v>457.21035000000001</v>
      </c>
      <c r="K34">
        <f t="shared" si="0"/>
        <v>730090.78021999996</v>
      </c>
      <c r="L34">
        <v>32</v>
      </c>
      <c r="M34">
        <v>29368</v>
      </c>
      <c r="N34">
        <v>1251</v>
      </c>
      <c r="O34">
        <v>2455</v>
      </c>
      <c r="P34">
        <v>11699</v>
      </c>
      <c r="Q34">
        <v>31899</v>
      </c>
      <c r="R34">
        <v>35829</v>
      </c>
      <c r="S34">
        <v>10326</v>
      </c>
      <c r="T34">
        <v>9324</v>
      </c>
      <c r="U34">
        <v>1624</v>
      </c>
      <c r="V34">
        <f t="shared" si="1"/>
        <v>133775</v>
      </c>
    </row>
    <row r="35" spans="1:22" x14ac:dyDescent="0.25">
      <c r="A35">
        <v>33</v>
      </c>
      <c r="B35">
        <v>108617.67406999999</v>
      </c>
      <c r="C35">
        <v>8445.7139599999991</v>
      </c>
      <c r="D35">
        <v>35367.060850000002</v>
      </c>
      <c r="E35">
        <v>32997.104859999999</v>
      </c>
      <c r="F35">
        <v>76307.784530000004</v>
      </c>
      <c r="G35">
        <v>130000.64834</v>
      </c>
      <c r="H35">
        <v>71626.563989999995</v>
      </c>
      <c r="I35">
        <v>130463.42086</v>
      </c>
      <c r="J35">
        <v>218.24217999999999</v>
      </c>
      <c r="K35">
        <f t="shared" si="0"/>
        <v>594044.21363999986</v>
      </c>
      <c r="L35">
        <v>33</v>
      </c>
      <c r="M35">
        <v>22775</v>
      </c>
      <c r="N35">
        <v>1193</v>
      </c>
      <c r="O35">
        <v>1515</v>
      </c>
      <c r="P35">
        <v>10271</v>
      </c>
      <c r="Q35">
        <v>26978</v>
      </c>
      <c r="R35">
        <v>35271</v>
      </c>
      <c r="S35">
        <v>7729</v>
      </c>
      <c r="T35">
        <v>9139</v>
      </c>
      <c r="U35">
        <v>1420</v>
      </c>
      <c r="V35">
        <f t="shared" si="1"/>
        <v>116291</v>
      </c>
    </row>
    <row r="36" spans="1:22" x14ac:dyDescent="0.25">
      <c r="A36">
        <v>34</v>
      </c>
      <c r="B36">
        <v>116139.70110999999</v>
      </c>
      <c r="C36">
        <v>12609.43175</v>
      </c>
      <c r="D36">
        <v>30129.69584</v>
      </c>
      <c r="E36">
        <v>23416.6083</v>
      </c>
      <c r="F36">
        <v>55758.535980000001</v>
      </c>
      <c r="G36">
        <v>135123.13016</v>
      </c>
      <c r="H36">
        <v>35563.197050000002</v>
      </c>
      <c r="I36">
        <v>122596.83575</v>
      </c>
      <c r="J36">
        <v>8086.3133799999996</v>
      </c>
      <c r="K36">
        <f t="shared" si="0"/>
        <v>539423.44932000001</v>
      </c>
      <c r="L36">
        <v>34</v>
      </c>
      <c r="M36">
        <v>19616</v>
      </c>
      <c r="N36">
        <v>1091</v>
      </c>
      <c r="O36">
        <v>1029</v>
      </c>
      <c r="P36">
        <v>8751</v>
      </c>
      <c r="Q36">
        <v>21596</v>
      </c>
      <c r="R36">
        <v>36607</v>
      </c>
      <c r="S36">
        <v>6536</v>
      </c>
      <c r="T36">
        <v>9673</v>
      </c>
      <c r="U36">
        <v>1269</v>
      </c>
      <c r="V36">
        <f t="shared" si="1"/>
        <v>106168</v>
      </c>
    </row>
    <row r="37" spans="1:22" x14ac:dyDescent="0.25">
      <c r="A37">
        <v>35</v>
      </c>
      <c r="B37">
        <v>72089.828229999999</v>
      </c>
      <c r="C37">
        <v>9311.0237300000008</v>
      </c>
      <c r="D37">
        <v>3874.7190599999999</v>
      </c>
      <c r="E37">
        <v>26170.823530000001</v>
      </c>
      <c r="F37">
        <v>30671.552940000001</v>
      </c>
      <c r="G37">
        <v>76998.925910000005</v>
      </c>
      <c r="H37">
        <v>17506.410380000001</v>
      </c>
      <c r="I37">
        <v>70387.01066</v>
      </c>
      <c r="J37">
        <v>54.431310000000003</v>
      </c>
      <c r="K37">
        <f t="shared" si="0"/>
        <v>307064.72574999998</v>
      </c>
      <c r="L37">
        <v>35</v>
      </c>
      <c r="M37">
        <v>17720</v>
      </c>
      <c r="N37">
        <v>1012</v>
      </c>
      <c r="O37">
        <v>1045</v>
      </c>
      <c r="P37">
        <v>7594</v>
      </c>
      <c r="Q37">
        <v>17500</v>
      </c>
      <c r="R37">
        <v>30490</v>
      </c>
      <c r="S37">
        <v>5166</v>
      </c>
      <c r="T37">
        <v>6763</v>
      </c>
      <c r="U37">
        <v>1104</v>
      </c>
      <c r="V37">
        <f t="shared" si="1"/>
        <v>88394</v>
      </c>
    </row>
    <row r="38" spans="1:22" x14ac:dyDescent="0.25">
      <c r="A38">
        <v>36</v>
      </c>
      <c r="B38">
        <v>96734.232250000001</v>
      </c>
      <c r="C38">
        <v>3980.8159599999999</v>
      </c>
      <c r="D38">
        <v>3731.7890600000001</v>
      </c>
      <c r="E38">
        <v>20227.596720000001</v>
      </c>
      <c r="F38">
        <v>21728.857189999999</v>
      </c>
      <c r="G38">
        <v>74394.707299999995</v>
      </c>
      <c r="H38">
        <v>13602.6932</v>
      </c>
      <c r="I38">
        <v>45130.004090000002</v>
      </c>
      <c r="J38">
        <v>292.99347999999998</v>
      </c>
      <c r="K38">
        <f t="shared" si="0"/>
        <v>279823.68925</v>
      </c>
      <c r="L38">
        <v>36</v>
      </c>
      <c r="M38">
        <v>19099</v>
      </c>
      <c r="N38">
        <v>954</v>
      </c>
      <c r="O38">
        <v>968</v>
      </c>
      <c r="P38">
        <v>6732</v>
      </c>
      <c r="Q38">
        <v>14532</v>
      </c>
      <c r="R38">
        <v>27231</v>
      </c>
      <c r="S38">
        <v>4068</v>
      </c>
      <c r="T38">
        <v>5413</v>
      </c>
      <c r="U38">
        <v>950</v>
      </c>
      <c r="V38">
        <f t="shared" si="1"/>
        <v>79947</v>
      </c>
    </row>
    <row r="39" spans="1:22" x14ac:dyDescent="0.25">
      <c r="A39">
        <v>37</v>
      </c>
      <c r="B39">
        <v>52935.99078</v>
      </c>
      <c r="C39">
        <v>1084.0958900000001</v>
      </c>
      <c r="D39">
        <v>2393.2648600000002</v>
      </c>
      <c r="E39">
        <v>16680.34042</v>
      </c>
      <c r="F39">
        <v>13516.73149</v>
      </c>
      <c r="G39">
        <v>48227.512620000001</v>
      </c>
      <c r="H39">
        <v>5279.9561199999998</v>
      </c>
      <c r="I39">
        <v>46968.030310000002</v>
      </c>
      <c r="J39">
        <v>292.08834999999999</v>
      </c>
      <c r="K39">
        <f t="shared" si="0"/>
        <v>187378.01084</v>
      </c>
      <c r="L39">
        <v>37</v>
      </c>
      <c r="M39">
        <v>17429</v>
      </c>
      <c r="N39">
        <v>851</v>
      </c>
      <c r="O39">
        <v>940</v>
      </c>
      <c r="P39">
        <v>5769</v>
      </c>
      <c r="Q39">
        <v>11259</v>
      </c>
      <c r="R39">
        <v>23668</v>
      </c>
      <c r="S39">
        <v>3132</v>
      </c>
      <c r="T39">
        <v>4295</v>
      </c>
      <c r="U39">
        <v>791</v>
      </c>
      <c r="V39">
        <f t="shared" si="1"/>
        <v>68134</v>
      </c>
    </row>
    <row r="40" spans="1:22" x14ac:dyDescent="0.25">
      <c r="A40">
        <v>38</v>
      </c>
      <c r="B40">
        <v>47947.451050000003</v>
      </c>
      <c r="C40">
        <v>2465.47048</v>
      </c>
      <c r="D40">
        <v>242.54972000000001</v>
      </c>
      <c r="E40">
        <v>11913.552110000001</v>
      </c>
      <c r="F40">
        <v>9397.85088</v>
      </c>
      <c r="G40">
        <v>31843.644980000001</v>
      </c>
      <c r="H40">
        <v>1756.8396</v>
      </c>
      <c r="I40">
        <v>16038.79753</v>
      </c>
      <c r="J40">
        <v>57.55171</v>
      </c>
      <c r="K40">
        <f t="shared" si="0"/>
        <v>121663.70806</v>
      </c>
      <c r="L40">
        <v>38</v>
      </c>
      <c r="M40">
        <v>18765</v>
      </c>
      <c r="N40">
        <v>857</v>
      </c>
      <c r="O40">
        <v>971</v>
      </c>
      <c r="P40">
        <v>4944</v>
      </c>
      <c r="Q40">
        <v>8621</v>
      </c>
      <c r="R40">
        <v>21888</v>
      </c>
      <c r="S40">
        <v>2388</v>
      </c>
      <c r="T40">
        <v>3398</v>
      </c>
      <c r="U40">
        <v>622</v>
      </c>
      <c r="V40">
        <f t="shared" si="1"/>
        <v>62454</v>
      </c>
    </row>
    <row r="41" spans="1:22" x14ac:dyDescent="0.25">
      <c r="A41">
        <v>39</v>
      </c>
      <c r="B41">
        <v>38139.340680000001</v>
      </c>
      <c r="C41">
        <v>311.57832000000002</v>
      </c>
      <c r="D41">
        <v>217.97167999999999</v>
      </c>
      <c r="E41">
        <v>5142.2276099999999</v>
      </c>
      <c r="F41">
        <v>2907.5657299999998</v>
      </c>
      <c r="G41">
        <v>23796.041389999999</v>
      </c>
      <c r="H41">
        <v>1909.02791</v>
      </c>
      <c r="I41">
        <v>21567.251339999999</v>
      </c>
      <c r="J41">
        <v>0</v>
      </c>
      <c r="K41">
        <f t="shared" si="0"/>
        <v>93991.004660000021</v>
      </c>
      <c r="L41">
        <v>39</v>
      </c>
      <c r="M41">
        <v>14480</v>
      </c>
      <c r="N41">
        <v>838</v>
      </c>
      <c r="O41">
        <v>964</v>
      </c>
      <c r="P41">
        <v>4303</v>
      </c>
      <c r="Q41">
        <v>6515</v>
      </c>
      <c r="R41">
        <v>21508</v>
      </c>
      <c r="S41">
        <v>1794</v>
      </c>
      <c r="T41">
        <v>2900</v>
      </c>
      <c r="U41">
        <v>470</v>
      </c>
      <c r="V41">
        <f t="shared" si="1"/>
        <v>53772</v>
      </c>
    </row>
    <row r="42" spans="1:22" x14ac:dyDescent="0.25">
      <c r="A42">
        <v>40</v>
      </c>
      <c r="B42">
        <v>80748.751959999994</v>
      </c>
      <c r="C42">
        <v>511.11678000000001</v>
      </c>
      <c r="D42">
        <v>117.88124000000001</v>
      </c>
      <c r="E42">
        <v>4275.1862099999998</v>
      </c>
      <c r="F42">
        <v>6331.8966300000002</v>
      </c>
      <c r="G42">
        <v>70293.204370000007</v>
      </c>
      <c r="H42">
        <v>85.2</v>
      </c>
      <c r="I42">
        <v>25597.418809999999</v>
      </c>
      <c r="J42">
        <v>387.45301999999998</v>
      </c>
      <c r="K42">
        <f t="shared" si="0"/>
        <v>188348.10902</v>
      </c>
      <c r="L42">
        <v>40</v>
      </c>
      <c r="M42">
        <v>20336</v>
      </c>
      <c r="N42">
        <v>872</v>
      </c>
      <c r="O42">
        <v>877</v>
      </c>
      <c r="P42">
        <v>3955</v>
      </c>
      <c r="Q42">
        <v>5062</v>
      </c>
      <c r="R42">
        <v>25508</v>
      </c>
      <c r="S42">
        <v>1364</v>
      </c>
      <c r="T42">
        <v>2725</v>
      </c>
      <c r="U42">
        <v>796</v>
      </c>
      <c r="V42">
        <f t="shared" si="1"/>
        <v>61495</v>
      </c>
    </row>
  </sheetData>
  <pageMargins left="0.7" right="0.7" top="0.75" bottom="0.75" header="0.3" footer="0.3"/>
  <pageSetup paperSize="0" orientation="portrait" horizontalDpi="0" verticalDpi="0" copie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1"/>
  <dimension ref="A1:CG174"/>
  <sheetViews>
    <sheetView topLeftCell="B1" zoomScale="90" zoomScaleNormal="90" workbookViewId="0">
      <pane ySplit="4" topLeftCell="A5" activePane="bottomLeft" state="frozen"/>
      <selection pane="bottomLeft" activeCell="Y24" sqref="Y24"/>
    </sheetView>
  </sheetViews>
  <sheetFormatPr defaultRowHeight="15" x14ac:dyDescent="0.25"/>
  <cols>
    <col min="2" max="2" width="13.140625" bestFit="1" customWidth="1"/>
    <col min="3" max="3" width="9.85546875" customWidth="1"/>
    <col min="4" max="10" width="9.140625" customWidth="1"/>
    <col min="17" max="17" width="10" customWidth="1"/>
    <col min="19" max="19" width="13.140625" bestFit="1" customWidth="1"/>
    <col min="20" max="20" width="9.85546875" customWidth="1"/>
    <col min="21" max="27" width="9.140625" customWidth="1"/>
    <col min="34" max="34" width="11.140625" customWidth="1"/>
    <col min="36" max="36" width="13.140625" bestFit="1" customWidth="1"/>
    <col min="53" max="53" width="13.140625" bestFit="1" customWidth="1"/>
    <col min="70" max="70" width="14.85546875" bestFit="1" customWidth="1"/>
  </cols>
  <sheetData>
    <row r="1" spans="1:85" ht="28.5" x14ac:dyDescent="0.45">
      <c r="A1" s="174" t="s">
        <v>371</v>
      </c>
    </row>
    <row r="3" spans="1:85" ht="28.5" x14ac:dyDescent="0.45">
      <c r="B3" s="406" t="s">
        <v>227</v>
      </c>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J3" s="406" t="s">
        <v>201</v>
      </c>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R3" s="407" t="s">
        <v>228</v>
      </c>
      <c r="BS3" s="407"/>
      <c r="BT3" s="407"/>
      <c r="BU3" s="407"/>
      <c r="BV3" s="407"/>
      <c r="BW3" s="407"/>
      <c r="BX3" s="407"/>
      <c r="BY3" s="407"/>
      <c r="BZ3" s="407"/>
      <c r="CA3" s="407"/>
      <c r="CB3" s="407"/>
      <c r="CC3" s="407"/>
      <c r="CD3" s="407"/>
      <c r="CE3" s="407"/>
      <c r="CF3" s="407"/>
      <c r="CG3" s="407"/>
    </row>
    <row r="4" spans="1:85" ht="21" x14ac:dyDescent="0.35">
      <c r="B4" s="165" t="s">
        <v>191</v>
      </c>
      <c r="S4" s="165" t="s">
        <v>200</v>
      </c>
      <c r="AJ4" s="165" t="s">
        <v>191</v>
      </c>
      <c r="BA4" s="165" t="s">
        <v>200</v>
      </c>
      <c r="BR4" s="165"/>
    </row>
    <row r="5" spans="1:85" x14ac:dyDescent="0.25">
      <c r="B5" t="s">
        <v>205</v>
      </c>
      <c r="C5" s="383" t="s">
        <v>206</v>
      </c>
      <c r="D5" s="383"/>
      <c r="E5" s="383"/>
      <c r="F5" s="383"/>
      <c r="G5" s="383"/>
      <c r="H5" s="383"/>
      <c r="I5" s="383"/>
      <c r="J5" s="383"/>
      <c r="K5" s="383"/>
      <c r="L5" s="383"/>
      <c r="M5" s="383"/>
      <c r="N5" s="383"/>
      <c r="O5" s="383"/>
      <c r="P5" s="383"/>
      <c r="Q5" s="383"/>
      <c r="S5" t="s">
        <v>205</v>
      </c>
      <c r="T5" s="383" t="s">
        <v>206</v>
      </c>
      <c r="U5" s="383"/>
      <c r="V5" s="383"/>
      <c r="W5" s="383"/>
      <c r="X5" s="383"/>
      <c r="Y5" s="383"/>
      <c r="Z5" s="383"/>
      <c r="AA5" s="383"/>
      <c r="AB5" s="383"/>
      <c r="AC5" s="383"/>
      <c r="AD5" s="383"/>
      <c r="AE5" s="383"/>
      <c r="AF5" s="383"/>
      <c r="AG5" s="383"/>
      <c r="AH5" s="383"/>
      <c r="AJ5" t="s">
        <v>205</v>
      </c>
      <c r="AK5" s="383" t="s">
        <v>206</v>
      </c>
      <c r="AL5" s="383"/>
      <c r="AM5" s="383"/>
      <c r="AN5" s="383"/>
      <c r="AO5" s="383"/>
      <c r="AP5" s="383"/>
      <c r="AQ5" s="383"/>
      <c r="AR5" s="383"/>
      <c r="AS5" s="383"/>
      <c r="AT5" s="383"/>
      <c r="AU5" s="383"/>
      <c r="AV5" s="383"/>
      <c r="AW5" s="383"/>
      <c r="AX5" s="383"/>
      <c r="AY5" s="383"/>
      <c r="BA5" t="s">
        <v>205</v>
      </c>
      <c r="BB5" s="383" t="s">
        <v>206</v>
      </c>
      <c r="BC5" s="383"/>
      <c r="BD5" s="383"/>
      <c r="BE5" s="383"/>
      <c r="BF5" s="383"/>
      <c r="BG5" s="383"/>
      <c r="BH5" s="383"/>
      <c r="BI5" s="383"/>
      <c r="BJ5" s="383"/>
      <c r="BK5" s="383"/>
      <c r="BL5" s="383"/>
      <c r="BM5" s="383"/>
      <c r="BN5" s="383"/>
      <c r="BO5" s="383"/>
      <c r="BP5" s="383"/>
      <c r="BR5" t="s">
        <v>205</v>
      </c>
      <c r="BS5" s="383" t="s">
        <v>206</v>
      </c>
      <c r="BT5" s="383"/>
      <c r="BU5" s="383"/>
      <c r="BV5" s="383"/>
      <c r="BW5" s="383"/>
      <c r="BX5" s="383"/>
      <c r="BY5" s="383"/>
      <c r="BZ5" s="383"/>
      <c r="CA5" s="383"/>
      <c r="CB5" s="383"/>
      <c r="CC5" s="383"/>
      <c r="CD5" s="383"/>
      <c r="CE5" s="383"/>
      <c r="CF5" s="383"/>
      <c r="CG5" s="383"/>
    </row>
    <row r="6" spans="1:85" ht="35.450000000000003" customHeight="1" x14ac:dyDescent="0.25">
      <c r="B6" s="163" t="s">
        <v>207</v>
      </c>
      <c r="C6" s="164" t="s">
        <v>386</v>
      </c>
      <c r="D6" s="164" t="s">
        <v>387</v>
      </c>
      <c r="E6" s="164" t="s">
        <v>388</v>
      </c>
      <c r="F6" s="164" t="s">
        <v>389</v>
      </c>
      <c r="G6" s="164" t="s">
        <v>390</v>
      </c>
      <c r="H6" s="164" t="s">
        <v>391</v>
      </c>
      <c r="I6" s="164" t="s">
        <v>392</v>
      </c>
      <c r="J6" s="164" t="s">
        <v>393</v>
      </c>
      <c r="K6" s="164" t="s">
        <v>394</v>
      </c>
      <c r="L6" s="164" t="s">
        <v>395</v>
      </c>
      <c r="M6" s="164" t="s">
        <v>396</v>
      </c>
      <c r="N6" s="164" t="s">
        <v>397</v>
      </c>
      <c r="O6" s="164" t="s">
        <v>398</v>
      </c>
      <c r="P6" s="164" t="s">
        <v>399</v>
      </c>
      <c r="Q6" s="106" t="s">
        <v>29</v>
      </c>
      <c r="S6" s="163" t="s">
        <v>207</v>
      </c>
      <c r="T6" s="164" t="s">
        <v>386</v>
      </c>
      <c r="U6" s="164" t="s">
        <v>387</v>
      </c>
      <c r="V6" s="164" t="s">
        <v>388</v>
      </c>
      <c r="W6" s="164" t="s">
        <v>389</v>
      </c>
      <c r="X6" s="164" t="s">
        <v>390</v>
      </c>
      <c r="Y6" s="164" t="s">
        <v>391</v>
      </c>
      <c r="Z6" s="164" t="s">
        <v>392</v>
      </c>
      <c r="AA6" s="164" t="s">
        <v>393</v>
      </c>
      <c r="AB6" s="164" t="s">
        <v>394</v>
      </c>
      <c r="AC6" s="164" t="s">
        <v>395</v>
      </c>
      <c r="AD6" s="164" t="s">
        <v>396</v>
      </c>
      <c r="AE6" s="164" t="s">
        <v>397</v>
      </c>
      <c r="AF6" s="164" t="s">
        <v>398</v>
      </c>
      <c r="AG6" s="164" t="s">
        <v>399</v>
      </c>
      <c r="AH6" s="106" t="s">
        <v>29</v>
      </c>
      <c r="AJ6" s="163" t="s">
        <v>207</v>
      </c>
      <c r="AK6" s="164" t="s">
        <v>386</v>
      </c>
      <c r="AL6" s="164" t="s">
        <v>387</v>
      </c>
      <c r="AM6" s="164" t="s">
        <v>388</v>
      </c>
      <c r="AN6" s="164" t="s">
        <v>389</v>
      </c>
      <c r="AO6" s="164" t="s">
        <v>390</v>
      </c>
      <c r="AP6" s="164" t="s">
        <v>391</v>
      </c>
      <c r="AQ6" s="164" t="s">
        <v>392</v>
      </c>
      <c r="AR6" s="164" t="s">
        <v>393</v>
      </c>
      <c r="AS6" s="164" t="s">
        <v>394</v>
      </c>
      <c r="AT6" s="164" t="s">
        <v>395</v>
      </c>
      <c r="AU6" s="164" t="s">
        <v>396</v>
      </c>
      <c r="AV6" s="164" t="s">
        <v>397</v>
      </c>
      <c r="AW6" s="164" t="s">
        <v>398</v>
      </c>
      <c r="AX6" s="164" t="s">
        <v>399</v>
      </c>
      <c r="AY6" s="106" t="s">
        <v>29</v>
      </c>
      <c r="BA6" s="163" t="s">
        <v>207</v>
      </c>
      <c r="BB6" s="164" t="s">
        <v>386</v>
      </c>
      <c r="BC6" s="164" t="s">
        <v>387</v>
      </c>
      <c r="BD6" s="164" t="s">
        <v>388</v>
      </c>
      <c r="BE6" s="164" t="s">
        <v>389</v>
      </c>
      <c r="BF6" s="164" t="s">
        <v>390</v>
      </c>
      <c r="BG6" s="164" t="s">
        <v>391</v>
      </c>
      <c r="BH6" s="164" t="s">
        <v>392</v>
      </c>
      <c r="BI6" s="164" t="s">
        <v>393</v>
      </c>
      <c r="BJ6" s="164" t="s">
        <v>394</v>
      </c>
      <c r="BK6" s="164" t="s">
        <v>395</v>
      </c>
      <c r="BL6" s="164" t="s">
        <v>396</v>
      </c>
      <c r="BM6" s="164" t="s">
        <v>397</v>
      </c>
      <c r="BN6" s="164" t="s">
        <v>398</v>
      </c>
      <c r="BO6" s="164" t="s">
        <v>399</v>
      </c>
      <c r="BP6" s="106" t="s">
        <v>29</v>
      </c>
      <c r="BR6" s="163" t="s">
        <v>207</v>
      </c>
      <c r="BS6" s="164" t="s">
        <v>386</v>
      </c>
      <c r="BT6" s="164" t="s">
        <v>387</v>
      </c>
      <c r="BU6" s="164" t="s">
        <v>388</v>
      </c>
      <c r="BV6" s="164" t="s">
        <v>389</v>
      </c>
      <c r="BW6" s="164" t="s">
        <v>390</v>
      </c>
      <c r="BX6" s="164" t="s">
        <v>391</v>
      </c>
      <c r="BY6" s="164" t="s">
        <v>392</v>
      </c>
      <c r="BZ6" s="164" t="s">
        <v>393</v>
      </c>
      <c r="CA6" s="164" t="s">
        <v>394</v>
      </c>
      <c r="CB6" s="164" t="s">
        <v>395</v>
      </c>
      <c r="CC6" s="164" t="s">
        <v>396</v>
      </c>
      <c r="CD6" s="164" t="s">
        <v>397</v>
      </c>
      <c r="CE6" s="164" t="s">
        <v>398</v>
      </c>
      <c r="CF6" s="164" t="s">
        <v>399</v>
      </c>
      <c r="CG6" s="106" t="s">
        <v>29</v>
      </c>
    </row>
    <row r="7" spans="1:85" x14ac:dyDescent="0.25">
      <c r="B7" s="107" t="s">
        <v>386</v>
      </c>
      <c r="C7" s="160">
        <f>TripMode_input!B4</f>
        <v>6534619.2145999996</v>
      </c>
      <c r="D7" s="160">
        <f>TripMode_input!C4</f>
        <v>204740.95705999999</v>
      </c>
      <c r="E7" s="160">
        <f>TripMode_input!D4</f>
        <v>469885.15370000002</v>
      </c>
      <c r="F7" s="160">
        <f>TripMode_input!E4</f>
        <v>13731.41912</v>
      </c>
      <c r="G7" s="160">
        <f>TripMode_input!F4</f>
        <v>270386.03220000002</v>
      </c>
      <c r="H7" s="160">
        <f>TripMode_input!G4</f>
        <v>9625.5622899999998</v>
      </c>
      <c r="I7" s="160">
        <f>TripMode_input!H4</f>
        <v>0</v>
      </c>
      <c r="J7" s="160">
        <f>TripMode_input!I4</f>
        <v>0</v>
      </c>
      <c r="K7" s="160">
        <f>TripMode_input!J4</f>
        <v>6620.3611700000001</v>
      </c>
      <c r="L7" s="160">
        <f>TripMode_input!K4</f>
        <v>289.83724999999998</v>
      </c>
      <c r="M7" s="160">
        <f>TripMode_input!L4</f>
        <v>551.44101999999998</v>
      </c>
      <c r="N7" s="160">
        <f>TripMode_input!M4</f>
        <v>40890.412660000002</v>
      </c>
      <c r="O7" s="160">
        <f>TripMode_input!N4</f>
        <v>3413.74406</v>
      </c>
      <c r="P7" s="160">
        <f>TripMode_input!O4</f>
        <v>2579.07402</v>
      </c>
      <c r="Q7" s="161">
        <f t="shared" ref="Q7:Q20" si="0">SUM(C7:P7)</f>
        <v>7557333.2091499995</v>
      </c>
      <c r="S7" s="107" t="s">
        <v>386</v>
      </c>
      <c r="T7" s="160">
        <f>TripMode_input!R4*Index!$B$2</f>
        <v>5945065</v>
      </c>
      <c r="U7" s="160">
        <f>TripMode_input!S4*Index!$B$2</f>
        <v>817250</v>
      </c>
      <c r="V7" s="160">
        <f>TripMode_input!T4*Index!$B$2</f>
        <v>427415</v>
      </c>
      <c r="W7" s="160">
        <f>TripMode_input!U4*Index!$B$2</f>
        <v>36700</v>
      </c>
      <c r="X7" s="160">
        <f>TripMode_input!V4*Index!$B$2</f>
        <v>218585</v>
      </c>
      <c r="Y7" s="160">
        <f>TripMode_input!W4*Index!$B$2</f>
        <v>24185</v>
      </c>
      <c r="Z7" s="160">
        <f>TripMode_input!X4*Index!$B$2</f>
        <v>0</v>
      </c>
      <c r="AA7" s="160">
        <f>TripMode_input!Y4*Index!$B$2</f>
        <v>0</v>
      </c>
      <c r="AB7" s="160">
        <f>TripMode_input!Z4*Index!$B$2</f>
        <v>0</v>
      </c>
      <c r="AC7" s="160">
        <f>TripMode_input!AA4*Index!$B$2</f>
        <v>0</v>
      </c>
      <c r="AD7" s="160">
        <f>TripMode_input!AB4*Index!$B$2</f>
        <v>0</v>
      </c>
      <c r="AE7" s="160">
        <f>TripMode_input!AC4*Index!$B$2</f>
        <v>0</v>
      </c>
      <c r="AF7" s="160">
        <f>TripMode_input!AD4*Index!$B$2</f>
        <v>0</v>
      </c>
      <c r="AG7" s="160">
        <f>TripMode_input!AE4*Index!$B$2</f>
        <v>0</v>
      </c>
      <c r="AH7" s="161">
        <f t="shared" ref="AH7:AH20" si="1">SUM(T7:AG7)</f>
        <v>7469200</v>
      </c>
      <c r="AJ7" s="107" t="s">
        <v>386</v>
      </c>
      <c r="AK7" s="166">
        <f>IF(C$21&gt;0,C7/C$21,"")</f>
        <v>0.9953400627433211</v>
      </c>
      <c r="AL7" s="166">
        <f t="shared" ref="AL7:AL21" si="2">IF(D$21&gt;0,D7/D$21,"")</f>
        <v>0.40669745270576374</v>
      </c>
      <c r="AM7" s="166">
        <f t="shared" ref="AM7:AM21" si="3">IF(E$21&gt;0,E7/E$21,"")</f>
        <v>0.37904944326398499</v>
      </c>
      <c r="AN7" s="166">
        <f t="shared" ref="AN7:AN21" si="4">IF(F$21&gt;0,F7/F$21,"")</f>
        <v>0.16101960210299532</v>
      </c>
      <c r="AO7" s="166">
        <f t="shared" ref="AO7:AO21" si="5">IF(G$21&gt;0,G7/G$21,"")</f>
        <v>0.36775405102135933</v>
      </c>
      <c r="AP7" s="166">
        <f t="shared" ref="AP7:AP21" si="6">IF(H$21&gt;0,H7/H$21,"")</f>
        <v>0.31319741928141936</v>
      </c>
      <c r="AQ7" s="166">
        <f t="shared" ref="AQ7:AQ21" si="7">IF(I$21&gt;0,I7/I$21,"")</f>
        <v>0</v>
      </c>
      <c r="AR7" s="166">
        <f t="shared" ref="AR7:AR21" si="8">IF(J$21&gt;0,J7/J$21,"")</f>
        <v>0</v>
      </c>
      <c r="AS7" s="166">
        <f t="shared" ref="AS7:AS21" si="9">IF(K$21&gt;0,K7/K$21,"")</f>
        <v>1.0932520519279544E-2</v>
      </c>
      <c r="AT7" s="166">
        <f t="shared" ref="AT7:AT21" si="10">IF(L$21&gt;0,L7/L$21,"")</f>
        <v>1.2000307673517971E-3</v>
      </c>
      <c r="AU7" s="166">
        <f t="shared" ref="AU7:AU21" si="11">IF(M$21&gt;0,M7/M$21,"")</f>
        <v>3.3341968990519451E-3</v>
      </c>
      <c r="AV7" s="166">
        <f t="shared" ref="AV7:AV21" si="12">IF(N$21&gt;0,N7/N$21,"")</f>
        <v>0.11402884313624033</v>
      </c>
      <c r="AW7" s="166">
        <f t="shared" ref="AW7:AW21" si="13">IF(O$21&gt;0,O7/O$21,"")</f>
        <v>0.16056964443273303</v>
      </c>
      <c r="AX7" s="166">
        <f t="shared" ref="AX7:AX21" si="14">IF(P$21&gt;0,P7/P$21,"")</f>
        <v>0.19110140103123299</v>
      </c>
      <c r="AY7" s="167">
        <f t="shared" ref="AY7:AY21" si="15">IF(Q$21&gt;0,Q7/Q$21,"")</f>
        <v>0.69263783151933622</v>
      </c>
      <c r="BA7" s="107" t="s">
        <v>386</v>
      </c>
      <c r="BB7" s="166">
        <f>IF(T$21&gt;0,T7/T$21,"")</f>
        <v>0.98169801350748853</v>
      </c>
      <c r="BC7" s="166">
        <f t="shared" ref="BC7:BC21" si="16">IF(U$21&gt;0,U7/U$21,"")</f>
        <v>0.8806905432855765</v>
      </c>
      <c r="BD7" s="166">
        <f t="shared" ref="BD7:BD21" si="17">IF(V$21&gt;0,V7/V$21,"")</f>
        <v>0.35830360847860437</v>
      </c>
      <c r="BE7" s="166">
        <f t="shared" ref="BE7:BE21" si="18">IF(W$21&gt;0,W7/W$21,"")</f>
        <v>0.33545084776746947</v>
      </c>
      <c r="BF7" s="166">
        <f t="shared" ref="BF7:BK7" si="19">IF(X$21&gt;0,X7/X$21,"")</f>
        <v>0.3737645771348449</v>
      </c>
      <c r="BG7" s="166">
        <f t="shared" si="19"/>
        <v>0.35792511469587096</v>
      </c>
      <c r="BH7" s="166">
        <f t="shared" si="19"/>
        <v>0</v>
      </c>
      <c r="BI7" s="166">
        <f t="shared" si="19"/>
        <v>0</v>
      </c>
      <c r="BJ7" s="166" t="str">
        <f t="shared" si="19"/>
        <v/>
      </c>
      <c r="BK7" s="166">
        <f t="shared" si="19"/>
        <v>0</v>
      </c>
      <c r="BL7" s="166">
        <f t="shared" ref="BL7:BL21" si="20">IF(AD$21&gt;0,AD7/AD$21,"")</f>
        <v>0</v>
      </c>
      <c r="BM7" s="166">
        <f t="shared" ref="BM7:BM21" si="21">IF(AE$21&gt;0,AE7/AE$21,"")</f>
        <v>0</v>
      </c>
      <c r="BN7" s="166">
        <f t="shared" ref="BN7:BN21" si="22">IF(AF$21&gt;0,AF7/AF$21,"")</f>
        <v>0</v>
      </c>
      <c r="BO7" s="166" t="str">
        <f t="shared" ref="BO7:BO21" si="23">IF(AG$21&gt;0,AG7/AG$21,"")</f>
        <v/>
      </c>
      <c r="BP7" s="167">
        <f t="shared" ref="BP7:BP21" si="24">IF(AH$21&gt;0,AH7/AH$21,"")</f>
        <v>0.73028662664814847</v>
      </c>
      <c r="BR7" s="107" t="s">
        <v>386</v>
      </c>
      <c r="BS7" s="166">
        <f>IF(OR(ISNA(AK7),AK7=0,AK7=""),"",(BB7-AK7)/AK7)</f>
        <v>-1.3705917953541256E-2</v>
      </c>
      <c r="BT7" s="166">
        <f>IF(OR(ISNA(AL7),AL7=0,AL7=""),"",(BC7-AL7)/AL7)</f>
        <v>1.1654685502117856</v>
      </c>
      <c r="BU7" s="166">
        <f>IF(OR(ISNA(AM7),AM7=0,AM7=""),"",(BD7-AM7)/AM7)</f>
        <v>-5.4731210278898615E-2</v>
      </c>
      <c r="BV7" s="166">
        <f>IF(OR(ISNA(AN7),AN7=0,AN7=""),"",(BE7-AN7)/AN7)</f>
        <v>1.0832919929394693</v>
      </c>
      <c r="BW7" s="166"/>
      <c r="BX7" s="166"/>
      <c r="BY7" s="166"/>
      <c r="BZ7" s="166"/>
      <c r="CA7" s="166"/>
      <c r="CB7" s="166">
        <f t="shared" ref="CB7:CG7" si="25">IF(OR(ISNA(AT7),AT7=0,AT7=""),"",(BK7-AT7)/AT7)</f>
        <v>-1</v>
      </c>
      <c r="CC7" s="166">
        <f t="shared" si="25"/>
        <v>-1</v>
      </c>
      <c r="CD7" s="166">
        <f t="shared" si="25"/>
        <v>-1</v>
      </c>
      <c r="CE7" s="166">
        <f t="shared" si="25"/>
        <v>-1</v>
      </c>
      <c r="CF7" s="166" t="e">
        <f t="shared" si="25"/>
        <v>#VALUE!</v>
      </c>
      <c r="CG7" s="167">
        <f t="shared" si="25"/>
        <v>5.4355672496588452E-2</v>
      </c>
    </row>
    <row r="8" spans="1:85" x14ac:dyDescent="0.25">
      <c r="B8" s="107" t="s">
        <v>387</v>
      </c>
      <c r="C8" s="160">
        <f>TripMode_input!B5</f>
        <v>0</v>
      </c>
      <c r="D8" s="160">
        <f>TripMode_input!C5</f>
        <v>295445.98726000002</v>
      </c>
      <c r="E8" s="160">
        <f>TripMode_input!D5</f>
        <v>0</v>
      </c>
      <c r="F8" s="160">
        <f>TripMode_input!E5</f>
        <v>24573.216980000001</v>
      </c>
      <c r="G8" s="160">
        <f>TripMode_input!F5</f>
        <v>0</v>
      </c>
      <c r="H8" s="160">
        <f>TripMode_input!G5</f>
        <v>6618.5677400000004</v>
      </c>
      <c r="I8" s="160">
        <f>TripMode_input!H5</f>
        <v>0</v>
      </c>
      <c r="J8" s="160">
        <f>TripMode_input!I5</f>
        <v>0</v>
      </c>
      <c r="K8" s="160">
        <f>TripMode_input!J5</f>
        <v>0</v>
      </c>
      <c r="L8" s="160">
        <f>TripMode_input!K5</f>
        <v>0</v>
      </c>
      <c r="M8" s="160">
        <f>TripMode_input!L5</f>
        <v>111.87426000000001</v>
      </c>
      <c r="N8" s="160">
        <f>TripMode_input!M5</f>
        <v>4576.2854600000001</v>
      </c>
      <c r="O8" s="160">
        <f>TripMode_input!N5</f>
        <v>391.59858000000003</v>
      </c>
      <c r="P8" s="160">
        <f>TripMode_input!O5</f>
        <v>0</v>
      </c>
      <c r="Q8" s="162">
        <f t="shared" si="0"/>
        <v>331717.53028000006</v>
      </c>
      <c r="S8" s="107" t="s">
        <v>387</v>
      </c>
      <c r="T8" s="160">
        <f>TripMode_input!R5*Index!$B$2</f>
        <v>110835</v>
      </c>
      <c r="U8" s="160">
        <f>TripMode_input!S5*Index!$B$2</f>
        <v>110715</v>
      </c>
      <c r="V8" s="160">
        <f>TripMode_input!T5*Index!$B$2</f>
        <v>11865</v>
      </c>
      <c r="W8" s="160">
        <f>TripMode_input!U5*Index!$B$2</f>
        <v>5220</v>
      </c>
      <c r="X8" s="160">
        <f>TripMode_input!V5*Index!$B$2</f>
        <v>6130</v>
      </c>
      <c r="Y8" s="160">
        <f>TripMode_input!W5*Index!$B$2</f>
        <v>4235</v>
      </c>
      <c r="Z8" s="160">
        <f>TripMode_input!X5*Index!$B$2</f>
        <v>0</v>
      </c>
      <c r="AA8" s="160">
        <f>TripMode_input!Y5*Index!$B$2</f>
        <v>0</v>
      </c>
      <c r="AB8" s="160">
        <f>TripMode_input!Z5*Index!$B$2</f>
        <v>0</v>
      </c>
      <c r="AC8" s="160">
        <f>TripMode_input!AA5*Index!$B$2</f>
        <v>0</v>
      </c>
      <c r="AD8" s="160">
        <f>TripMode_input!AB5*Index!$B$2</f>
        <v>0</v>
      </c>
      <c r="AE8" s="160">
        <f>TripMode_input!AC5*Index!$B$2</f>
        <v>0</v>
      </c>
      <c r="AF8" s="160">
        <f>TripMode_input!AD5*Index!$B$2</f>
        <v>0</v>
      </c>
      <c r="AG8" s="160">
        <f>TripMode_input!AE5*Index!$B$2</f>
        <v>0</v>
      </c>
      <c r="AH8" s="162">
        <f t="shared" si="1"/>
        <v>249000</v>
      </c>
      <c r="AJ8" s="107" t="s">
        <v>387</v>
      </c>
      <c r="AK8" s="166">
        <f t="shared" ref="AK8:AK21" si="26">IF(C$21&gt;0,C8/C$21,"")</f>
        <v>0</v>
      </c>
      <c r="AL8" s="166">
        <f t="shared" si="2"/>
        <v>0.58687393160699697</v>
      </c>
      <c r="AM8" s="166">
        <f t="shared" si="3"/>
        <v>0</v>
      </c>
      <c r="AN8" s="166">
        <f t="shared" si="4"/>
        <v>0.28815445701071635</v>
      </c>
      <c r="AO8" s="166">
        <f t="shared" si="5"/>
        <v>0</v>
      </c>
      <c r="AP8" s="166">
        <f t="shared" si="6"/>
        <v>0.2153555577382541</v>
      </c>
      <c r="AQ8" s="166">
        <f t="shared" si="7"/>
        <v>0</v>
      </c>
      <c r="AR8" s="166">
        <f t="shared" si="8"/>
        <v>0</v>
      </c>
      <c r="AS8" s="166">
        <f t="shared" si="9"/>
        <v>0</v>
      </c>
      <c r="AT8" s="166">
        <f t="shared" si="10"/>
        <v>0</v>
      </c>
      <c r="AU8" s="166">
        <f t="shared" si="11"/>
        <v>6.7642920502310666E-4</v>
      </c>
      <c r="AV8" s="166">
        <f t="shared" si="12"/>
        <v>1.2761635379030127E-2</v>
      </c>
      <c r="AW8" s="166">
        <f t="shared" si="13"/>
        <v>1.8419320149901094E-2</v>
      </c>
      <c r="AX8" s="166">
        <f t="shared" si="14"/>
        <v>0</v>
      </c>
      <c r="AY8" s="168">
        <f t="shared" si="15"/>
        <v>3.0402273459625706E-2</v>
      </c>
      <c r="BA8" s="107" t="s">
        <v>387</v>
      </c>
      <c r="BB8" s="166">
        <f t="shared" ref="BB8:BB21" si="27">IF(T$21&gt;0,T8/T$21,"")</f>
        <v>1.8301986492511434E-2</v>
      </c>
      <c r="BC8" s="166">
        <f t="shared" si="16"/>
        <v>0.1193094567144235</v>
      </c>
      <c r="BD8" s="166">
        <f t="shared" si="17"/>
        <v>9.9464743038935027E-3</v>
      </c>
      <c r="BE8" s="166">
        <f t="shared" si="18"/>
        <v>4.7712627393629178E-2</v>
      </c>
      <c r="BF8" s="166">
        <f t="shared" ref="BF8:BF20" si="28">IF(X$21&gt;0,X8/X$21,"")</f>
        <v>1.0481857665606512E-2</v>
      </c>
      <c r="BG8" s="166">
        <f t="shared" ref="BG8:BG16" si="29">IF(Y$21&gt;0,Y8/Y$21,"")</f>
        <v>6.2675743673227757E-2</v>
      </c>
      <c r="BH8" s="166">
        <f t="shared" ref="BH8:BH16" si="30">IF(Z$21&gt;0,Z8/Z$21,"")</f>
        <v>0</v>
      </c>
      <c r="BI8" s="166">
        <f t="shared" ref="BI8:BI16" si="31">IF(AA$21&gt;0,AA8/AA$21,"")</f>
        <v>0</v>
      </c>
      <c r="BJ8" s="166" t="str">
        <f t="shared" ref="BJ8:BJ16" si="32">IF(AB$21&gt;0,AB8/AB$21,"")</f>
        <v/>
      </c>
      <c r="BK8" s="166">
        <f t="shared" ref="BK8:BK16" si="33">IF(AC$21&gt;0,AC8/AC$21,"")</f>
        <v>0</v>
      </c>
      <c r="BL8" s="166">
        <f t="shared" si="20"/>
        <v>0</v>
      </c>
      <c r="BM8" s="166">
        <f t="shared" si="21"/>
        <v>0</v>
      </c>
      <c r="BN8" s="166">
        <f t="shared" si="22"/>
        <v>0</v>
      </c>
      <c r="BO8" s="166" t="str">
        <f t="shared" si="23"/>
        <v/>
      </c>
      <c r="BP8" s="168">
        <f t="shared" si="24"/>
        <v>2.434549483684852E-2</v>
      </c>
      <c r="BR8" s="107" t="s">
        <v>387</v>
      </c>
      <c r="BS8" s="166" t="str">
        <f t="shared" ref="BS8:BS21" si="34">IF(OR(ISNA(AK8),AK8=0,AK8=""),"",(BB8-AK8)/AK8)</f>
        <v/>
      </c>
      <c r="BT8" s="166">
        <f t="shared" ref="BT8:BT21" si="35">IF(OR(ISNA(AL8),AL8=0,AL8=""),"",(BC8-AL8)/AL8)</f>
        <v>-0.7967034310286597</v>
      </c>
      <c r="BU8" s="166" t="str">
        <f t="shared" ref="BU8:BU21" si="36">IF(OR(ISNA(AM8),AM8=0,AM8=""),"",(BD8-AM8)/AM8)</f>
        <v/>
      </c>
      <c r="BV8" s="166">
        <f t="shared" ref="BV8:BV21" si="37">IF(OR(ISNA(AN8),AN8=0,AN8=""),"",(BE8-AN8)/AN8)</f>
        <v>-0.83441995696129467</v>
      </c>
      <c r="BW8" s="166"/>
      <c r="BX8" s="166"/>
      <c r="BY8" s="166"/>
      <c r="BZ8" s="166"/>
      <c r="CA8" s="166"/>
      <c r="CB8" s="166" t="str">
        <f t="shared" ref="CB8:CB21" si="38">IF(OR(ISNA(AT8),AT8=0,AT8=""),"",(BK8-AT8)/AT8)</f>
        <v/>
      </c>
      <c r="CC8" s="166">
        <f t="shared" ref="CC8:CC21" si="39">IF(OR(ISNA(AU8),AU8=0,AU8=""),"",(BL8-AU8)/AU8)</f>
        <v>-1</v>
      </c>
      <c r="CD8" s="166">
        <f t="shared" ref="CD8:CD21" si="40">IF(OR(ISNA(AV8),AV8=0,AV8=""),"",(BM8-AV8)/AV8)</f>
        <v>-1</v>
      </c>
      <c r="CE8" s="166">
        <f t="shared" ref="CE8:CE21" si="41">IF(OR(ISNA(AW8),AW8=0,AW8=""),"",(BN8-AW8)/AW8)</f>
        <v>-1</v>
      </c>
      <c r="CF8" s="166" t="str">
        <f t="shared" ref="CF8:CF21" si="42">IF(OR(ISNA(AX8),AX8=0,AX8=""),"",(BO8-AX8)/AX8)</f>
        <v/>
      </c>
      <c r="CG8" s="168">
        <f t="shared" ref="CG8:CG21" si="43">IF(OR(ISNA(AY8),AY8=0,AY8=""),"",(BP8-AY8)/AY8)</f>
        <v>-0.19922124017536397</v>
      </c>
    </row>
    <row r="9" spans="1:85" x14ac:dyDescent="0.25">
      <c r="B9" s="107" t="s">
        <v>388</v>
      </c>
      <c r="C9" s="160">
        <f>TripMode_input!B6</f>
        <v>0</v>
      </c>
      <c r="D9" s="160">
        <f>TripMode_input!C6</f>
        <v>0</v>
      </c>
      <c r="E9" s="160">
        <f>TripMode_input!D6</f>
        <v>728374.65420999995</v>
      </c>
      <c r="F9" s="160">
        <f>TripMode_input!E6</f>
        <v>24501.52147</v>
      </c>
      <c r="G9" s="160">
        <f>TripMode_input!F6</f>
        <v>151256.07175999999</v>
      </c>
      <c r="H9" s="160">
        <f>TripMode_input!G6</f>
        <v>2868.9827599999999</v>
      </c>
      <c r="I9" s="160">
        <f>TripMode_input!H6</f>
        <v>0</v>
      </c>
      <c r="J9" s="160">
        <f>TripMode_input!I6</f>
        <v>0</v>
      </c>
      <c r="K9" s="160">
        <f>TripMode_input!J6</f>
        <v>22867.787189999999</v>
      </c>
      <c r="L9" s="160">
        <f>TripMode_input!K6</f>
        <v>4994.5797199999997</v>
      </c>
      <c r="M9" s="160">
        <f>TripMode_input!L6</f>
        <v>27932.028119999999</v>
      </c>
      <c r="N9" s="160">
        <f>TripMode_input!M6</f>
        <v>13512.85871</v>
      </c>
      <c r="O9" s="160">
        <f>TripMode_input!N6</f>
        <v>3330.27954</v>
      </c>
      <c r="P9" s="160">
        <f>TripMode_input!O6</f>
        <v>263.86266000000001</v>
      </c>
      <c r="Q9" s="162">
        <f t="shared" si="0"/>
        <v>979902.62613999995</v>
      </c>
      <c r="S9" s="107" t="s">
        <v>388</v>
      </c>
      <c r="T9" s="160">
        <f>TripMode_input!R6*Index!$B$2</f>
        <v>0</v>
      </c>
      <c r="U9" s="160">
        <f>TripMode_input!S6*Index!$B$2</f>
        <v>0</v>
      </c>
      <c r="V9" s="160">
        <f>TripMode_input!T6*Index!$B$2</f>
        <v>708115</v>
      </c>
      <c r="W9" s="160">
        <f>TripMode_input!U6*Index!$B$2</f>
        <v>58155</v>
      </c>
      <c r="X9" s="160">
        <f>TripMode_input!V6*Index!$B$2</f>
        <v>107945</v>
      </c>
      <c r="Y9" s="160">
        <f>TripMode_input!W6*Index!$B$2</f>
        <v>10160</v>
      </c>
      <c r="Z9" s="160">
        <f>TripMode_input!X6*Index!$B$2</f>
        <v>0</v>
      </c>
      <c r="AA9" s="160">
        <f>TripMode_input!Y6*Index!$B$2</f>
        <v>0</v>
      </c>
      <c r="AB9" s="160">
        <f>TripMode_input!Z6*Index!$B$2</f>
        <v>0</v>
      </c>
      <c r="AC9" s="160">
        <f>TripMode_input!AA6*Index!$B$2</f>
        <v>35105</v>
      </c>
      <c r="AD9" s="160">
        <f>TripMode_input!AB6*Index!$B$2</f>
        <v>0</v>
      </c>
      <c r="AE9" s="160">
        <f>TripMode_input!AC6*Index!$B$2</f>
        <v>0</v>
      </c>
      <c r="AF9" s="160">
        <f>TripMode_input!AD6*Index!$B$2</f>
        <v>4445</v>
      </c>
      <c r="AG9" s="160">
        <f>TripMode_input!AE6*Index!$B$2</f>
        <v>0</v>
      </c>
      <c r="AH9" s="162">
        <f t="shared" si="1"/>
        <v>923925</v>
      </c>
      <c r="AJ9" s="107" t="s">
        <v>388</v>
      </c>
      <c r="AK9" s="166">
        <f t="shared" si="26"/>
        <v>0</v>
      </c>
      <c r="AL9" s="166">
        <f t="shared" si="2"/>
        <v>0</v>
      </c>
      <c r="AM9" s="166">
        <f t="shared" si="3"/>
        <v>0.58756912192669264</v>
      </c>
      <c r="AN9" s="166">
        <f t="shared" si="4"/>
        <v>0.28731372945066702</v>
      </c>
      <c r="AO9" s="166">
        <f t="shared" si="5"/>
        <v>0.20572450684202695</v>
      </c>
      <c r="AP9" s="166">
        <f t="shared" si="6"/>
        <v>9.3351221396010903E-2</v>
      </c>
      <c r="AQ9" s="166">
        <f t="shared" si="7"/>
        <v>0</v>
      </c>
      <c r="AR9" s="166">
        <f t="shared" si="8"/>
        <v>0</v>
      </c>
      <c r="AS9" s="166">
        <f t="shared" si="9"/>
        <v>3.7762675821686763E-2</v>
      </c>
      <c r="AT9" s="166">
        <f t="shared" si="10"/>
        <v>2.0679361724524104E-2</v>
      </c>
      <c r="AU9" s="166">
        <f t="shared" si="11"/>
        <v>0.16888638705538397</v>
      </c>
      <c r="AV9" s="166">
        <f t="shared" si="12"/>
        <v>3.7682565323486482E-2</v>
      </c>
      <c r="AW9" s="166">
        <f t="shared" si="13"/>
        <v>0.15664378822805061</v>
      </c>
      <c r="AX9" s="166">
        <f t="shared" si="14"/>
        <v>1.9551406285666779E-2</v>
      </c>
      <c r="AY9" s="168">
        <f t="shared" si="15"/>
        <v>8.9809144480748671E-2</v>
      </c>
      <c r="BA9" s="107" t="s">
        <v>388</v>
      </c>
      <c r="BB9" s="166">
        <f t="shared" si="27"/>
        <v>0</v>
      </c>
      <c r="BC9" s="166">
        <f t="shared" si="16"/>
        <v>0</v>
      </c>
      <c r="BD9" s="166">
        <f t="shared" si="17"/>
        <v>0.59361547844092266</v>
      </c>
      <c r="BE9" s="166">
        <f t="shared" si="18"/>
        <v>0.53155705863534575</v>
      </c>
      <c r="BF9" s="166">
        <f t="shared" si="28"/>
        <v>0.18457816080161418</v>
      </c>
      <c r="BG9" s="166">
        <f t="shared" si="29"/>
        <v>0.15036258694686991</v>
      </c>
      <c r="BH9" s="166">
        <f t="shared" si="30"/>
        <v>0</v>
      </c>
      <c r="BI9" s="166">
        <f t="shared" si="31"/>
        <v>0</v>
      </c>
      <c r="BJ9" s="166" t="str">
        <f t="shared" si="32"/>
        <v/>
      </c>
      <c r="BK9" s="166">
        <f t="shared" si="33"/>
        <v>5.1798677920084989E-2</v>
      </c>
      <c r="BL9" s="166">
        <f t="shared" si="20"/>
        <v>0</v>
      </c>
      <c r="BM9" s="166">
        <f t="shared" si="21"/>
        <v>0</v>
      </c>
      <c r="BN9" s="166">
        <f t="shared" si="22"/>
        <v>0.16399188341634385</v>
      </c>
      <c r="BO9" s="166" t="str">
        <f t="shared" si="23"/>
        <v/>
      </c>
      <c r="BP9" s="168">
        <f t="shared" si="24"/>
        <v>9.033498520937859E-2</v>
      </c>
      <c r="BR9" s="107" t="s">
        <v>388</v>
      </c>
      <c r="BS9" s="166" t="str">
        <f t="shared" si="34"/>
        <v/>
      </c>
      <c r="BT9" s="166" t="str">
        <f t="shared" si="35"/>
        <v/>
      </c>
      <c r="BU9" s="166">
        <f t="shared" si="36"/>
        <v>1.0290459945212009E-2</v>
      </c>
      <c r="BV9" s="166">
        <f t="shared" si="37"/>
        <v>0.85009278760072737</v>
      </c>
      <c r="BW9" s="166"/>
      <c r="BX9" s="166"/>
      <c r="BY9" s="166"/>
      <c r="BZ9" s="166"/>
      <c r="CA9" s="166"/>
      <c r="CB9" s="166">
        <f t="shared" si="38"/>
        <v>1.5048489702008458</v>
      </c>
      <c r="CC9" s="166">
        <f t="shared" si="39"/>
        <v>-1</v>
      </c>
      <c r="CD9" s="166">
        <f t="shared" si="40"/>
        <v>-1</v>
      </c>
      <c r="CE9" s="166">
        <f t="shared" si="41"/>
        <v>4.6909585572557026E-2</v>
      </c>
      <c r="CF9" s="166" t="e">
        <f t="shared" si="42"/>
        <v>#VALUE!</v>
      </c>
      <c r="CG9" s="168">
        <f t="shared" si="43"/>
        <v>5.8550911677222161E-3</v>
      </c>
    </row>
    <row r="10" spans="1:85" x14ac:dyDescent="0.25">
      <c r="B10" s="107" t="s">
        <v>389</v>
      </c>
      <c r="C10" s="160">
        <f>TripMode_input!B7</f>
        <v>0</v>
      </c>
      <c r="D10" s="160">
        <f>TripMode_input!C7</f>
        <v>0</v>
      </c>
      <c r="E10" s="160">
        <f>TripMode_input!D7</f>
        <v>0</v>
      </c>
      <c r="F10" s="160">
        <f>TripMode_input!E7</f>
        <v>21594.58599</v>
      </c>
      <c r="G10" s="160">
        <f>TripMode_input!F7</f>
        <v>0</v>
      </c>
      <c r="H10" s="160">
        <f>TripMode_input!G7</f>
        <v>1112.6574599999999</v>
      </c>
      <c r="I10" s="160">
        <f>TripMode_input!H7</f>
        <v>0</v>
      </c>
      <c r="J10" s="160">
        <f>TripMode_input!I7</f>
        <v>0</v>
      </c>
      <c r="K10" s="160">
        <f>TripMode_input!J7</f>
        <v>0</v>
      </c>
      <c r="L10" s="160">
        <f>TripMode_input!K7</f>
        <v>0</v>
      </c>
      <c r="M10" s="160">
        <f>TripMode_input!L7</f>
        <v>111.87426000000001</v>
      </c>
      <c r="N10" s="160">
        <f>TripMode_input!M7</f>
        <v>47.197839999999999</v>
      </c>
      <c r="O10" s="160">
        <f>TripMode_input!N7</f>
        <v>0</v>
      </c>
      <c r="P10" s="160">
        <f>TripMode_input!O7</f>
        <v>0</v>
      </c>
      <c r="Q10" s="162">
        <f t="shared" si="0"/>
        <v>22866.315549999999</v>
      </c>
      <c r="S10" s="107" t="s">
        <v>389</v>
      </c>
      <c r="T10" s="160">
        <f>TripMode_input!R7*Index!$B$2</f>
        <v>0</v>
      </c>
      <c r="U10" s="160">
        <f>TripMode_input!S7*Index!$B$2</f>
        <v>0</v>
      </c>
      <c r="V10" s="160">
        <f>TripMode_input!T7*Index!$B$2</f>
        <v>0</v>
      </c>
      <c r="W10" s="160">
        <f>TripMode_input!U7*Index!$B$2</f>
        <v>8340</v>
      </c>
      <c r="X10" s="160">
        <f>TripMode_input!V7*Index!$B$2</f>
        <v>2580</v>
      </c>
      <c r="Y10" s="160">
        <f>TripMode_input!W7*Index!$B$2</f>
        <v>1690</v>
      </c>
      <c r="Z10" s="160">
        <f>TripMode_input!X7*Index!$B$2</f>
        <v>0</v>
      </c>
      <c r="AA10" s="160">
        <f>TripMode_input!Y7*Index!$B$2</f>
        <v>0</v>
      </c>
      <c r="AB10" s="160">
        <f>TripMode_input!Z7*Index!$B$2</f>
        <v>0</v>
      </c>
      <c r="AC10" s="160">
        <f>TripMode_input!AA7*Index!$B$2</f>
        <v>1325</v>
      </c>
      <c r="AD10" s="160">
        <f>TripMode_input!AB7*Index!$B$2</f>
        <v>0</v>
      </c>
      <c r="AE10" s="160">
        <f>TripMode_input!AC7*Index!$B$2</f>
        <v>0</v>
      </c>
      <c r="AF10" s="160">
        <f>TripMode_input!AD7*Index!$B$2</f>
        <v>395</v>
      </c>
      <c r="AG10" s="160">
        <f>TripMode_input!AE7*Index!$B$2</f>
        <v>0</v>
      </c>
      <c r="AH10" s="162">
        <f t="shared" si="1"/>
        <v>14330</v>
      </c>
      <c r="AJ10" s="107" t="s">
        <v>389</v>
      </c>
      <c r="AK10" s="166">
        <f t="shared" si="26"/>
        <v>0</v>
      </c>
      <c r="AL10" s="166">
        <f t="shared" si="2"/>
        <v>0</v>
      </c>
      <c r="AM10" s="166">
        <f t="shared" si="3"/>
        <v>0</v>
      </c>
      <c r="AN10" s="166">
        <f t="shared" si="4"/>
        <v>0.25322594943039778</v>
      </c>
      <c r="AO10" s="166">
        <f t="shared" si="5"/>
        <v>0</v>
      </c>
      <c r="AP10" s="166">
        <f t="shared" si="6"/>
        <v>3.6203749403632926E-2</v>
      </c>
      <c r="AQ10" s="166">
        <f t="shared" si="7"/>
        <v>0</v>
      </c>
      <c r="AR10" s="166">
        <f t="shared" si="8"/>
        <v>0</v>
      </c>
      <c r="AS10" s="166">
        <f t="shared" si="9"/>
        <v>0</v>
      </c>
      <c r="AT10" s="166">
        <f t="shared" si="10"/>
        <v>0</v>
      </c>
      <c r="AU10" s="166">
        <f t="shared" si="11"/>
        <v>6.7642920502310666E-4</v>
      </c>
      <c r="AV10" s="166">
        <f t="shared" si="12"/>
        <v>1.3161801859226747E-4</v>
      </c>
      <c r="AW10" s="166">
        <f t="shared" si="13"/>
        <v>0</v>
      </c>
      <c r="AX10" s="166">
        <f t="shared" si="14"/>
        <v>0</v>
      </c>
      <c r="AY10" s="168">
        <f t="shared" si="15"/>
        <v>2.0957227608031119E-3</v>
      </c>
      <c r="BA10" s="107" t="s">
        <v>389</v>
      </c>
      <c r="BB10" s="166">
        <f t="shared" si="27"/>
        <v>0</v>
      </c>
      <c r="BC10" s="166">
        <f t="shared" si="16"/>
        <v>0</v>
      </c>
      <c r="BD10" s="166">
        <f t="shared" si="17"/>
        <v>0</v>
      </c>
      <c r="BE10" s="166">
        <f t="shared" si="18"/>
        <v>7.6230519628901788E-2</v>
      </c>
      <c r="BF10" s="166">
        <f t="shared" si="28"/>
        <v>4.4116138298963782E-3</v>
      </c>
      <c r="BG10" s="166">
        <f t="shared" si="29"/>
        <v>2.5011099600414387E-2</v>
      </c>
      <c r="BH10" s="166">
        <f t="shared" si="30"/>
        <v>0</v>
      </c>
      <c r="BI10" s="166">
        <f t="shared" si="31"/>
        <v>0</v>
      </c>
      <c r="BJ10" s="166" t="str">
        <f t="shared" si="32"/>
        <v/>
      </c>
      <c r="BK10" s="166">
        <f t="shared" si="33"/>
        <v>1.9550846957445554E-3</v>
      </c>
      <c r="BL10" s="166">
        <f t="shared" si="20"/>
        <v>0</v>
      </c>
      <c r="BM10" s="166">
        <f t="shared" si="21"/>
        <v>0</v>
      </c>
      <c r="BN10" s="166">
        <f t="shared" si="22"/>
        <v>1.4572957019000184E-2</v>
      </c>
      <c r="BO10" s="166" t="str">
        <f t="shared" si="23"/>
        <v/>
      </c>
      <c r="BP10" s="168">
        <f t="shared" si="24"/>
        <v>1.4010881165142141E-3</v>
      </c>
      <c r="BR10" s="107" t="s">
        <v>389</v>
      </c>
      <c r="BS10" s="166" t="str">
        <f t="shared" si="34"/>
        <v/>
      </c>
      <c r="BT10" s="166" t="str">
        <f t="shared" si="35"/>
        <v/>
      </c>
      <c r="BU10" s="166" t="str">
        <f t="shared" si="36"/>
        <v/>
      </c>
      <c r="BV10" s="166">
        <f t="shared" si="37"/>
        <v>-0.69896244914720052</v>
      </c>
      <c r="BW10" s="166"/>
      <c r="BX10" s="166"/>
      <c r="BY10" s="166"/>
      <c r="BZ10" s="166"/>
      <c r="CA10" s="166"/>
      <c r="CB10" s="166" t="str">
        <f t="shared" si="38"/>
        <v/>
      </c>
      <c r="CC10" s="166">
        <f t="shared" si="39"/>
        <v>-1</v>
      </c>
      <c r="CD10" s="166">
        <f t="shared" si="40"/>
        <v>-1</v>
      </c>
      <c r="CE10" s="166" t="str">
        <f t="shared" si="41"/>
        <v/>
      </c>
      <c r="CF10" s="166" t="str">
        <f t="shared" si="42"/>
        <v/>
      </c>
      <c r="CG10" s="168">
        <f t="shared" si="43"/>
        <v>-0.33145350009115881</v>
      </c>
    </row>
    <row r="11" spans="1:85" x14ac:dyDescent="0.25">
      <c r="B11" s="107" t="s">
        <v>390</v>
      </c>
      <c r="C11" s="160">
        <f>TripMode_input!B8</f>
        <v>0</v>
      </c>
      <c r="D11" s="160">
        <f>TripMode_input!C8</f>
        <v>0</v>
      </c>
      <c r="E11" s="160">
        <f>TripMode_input!D8</f>
        <v>0</v>
      </c>
      <c r="F11" s="160">
        <f>TripMode_input!E8</f>
        <v>0</v>
      </c>
      <c r="G11" s="160">
        <f>TripMode_input!F8</f>
        <v>303028.73699</v>
      </c>
      <c r="H11" s="160">
        <f>TripMode_input!G8</f>
        <v>6513.2703099999999</v>
      </c>
      <c r="I11" s="160">
        <f>TripMode_input!H8</f>
        <v>0</v>
      </c>
      <c r="J11" s="160">
        <f>TripMode_input!I8</f>
        <v>0</v>
      </c>
      <c r="K11" s="160">
        <f>TripMode_input!J8</f>
        <v>3587.5202899999999</v>
      </c>
      <c r="L11" s="160">
        <f>TripMode_input!K8</f>
        <v>753.53210999999999</v>
      </c>
      <c r="M11" s="160">
        <f>TripMode_input!L8</f>
        <v>5695.3416800000005</v>
      </c>
      <c r="N11" s="160">
        <f>TripMode_input!M8</f>
        <v>19077.958060000001</v>
      </c>
      <c r="O11" s="160">
        <f>TripMode_input!N8</f>
        <v>750.03156000000001</v>
      </c>
      <c r="P11" s="160">
        <f>TripMode_input!O8</f>
        <v>0</v>
      </c>
      <c r="Q11" s="162">
        <f t="shared" si="0"/>
        <v>339406.39099999995</v>
      </c>
      <c r="S11" s="107" t="s">
        <v>390</v>
      </c>
      <c r="T11" s="160">
        <f>TripMode_input!R8*Index!$B$2</f>
        <v>0</v>
      </c>
      <c r="U11" s="160">
        <f>TripMode_input!S8*Index!$B$2</f>
        <v>0</v>
      </c>
      <c r="V11" s="160">
        <f>TripMode_input!T8*Index!$B$2</f>
        <v>0</v>
      </c>
      <c r="W11" s="160">
        <f>TripMode_input!U8*Index!$B$2</f>
        <v>0</v>
      </c>
      <c r="X11" s="160">
        <f>TripMode_input!V8*Index!$B$2</f>
        <v>232480</v>
      </c>
      <c r="Y11" s="160">
        <f>TripMode_input!W8*Index!$B$2</f>
        <v>22820</v>
      </c>
      <c r="Z11" s="160">
        <f>TripMode_input!X8*Index!$B$2</f>
        <v>0</v>
      </c>
      <c r="AA11" s="160">
        <f>TripMode_input!Y8*Index!$B$2</f>
        <v>0</v>
      </c>
      <c r="AB11" s="160">
        <f>TripMode_input!Z8*Index!$B$2</f>
        <v>0</v>
      </c>
      <c r="AC11" s="160">
        <f>TripMode_input!AA8*Index!$B$2</f>
        <v>4005</v>
      </c>
      <c r="AD11" s="160">
        <f>TripMode_input!AB8*Index!$B$2</f>
        <v>0</v>
      </c>
      <c r="AE11" s="160">
        <f>TripMode_input!AC8*Index!$B$2</f>
        <v>0</v>
      </c>
      <c r="AF11" s="160">
        <f>TripMode_input!AD8*Index!$B$2</f>
        <v>1310</v>
      </c>
      <c r="AG11" s="160">
        <f>TripMode_input!AE8*Index!$B$2</f>
        <v>0</v>
      </c>
      <c r="AH11" s="162">
        <f t="shared" si="1"/>
        <v>260615</v>
      </c>
      <c r="AJ11" s="107" t="s">
        <v>390</v>
      </c>
      <c r="AK11" s="166">
        <f t="shared" si="26"/>
        <v>0</v>
      </c>
      <c r="AL11" s="166">
        <f t="shared" si="2"/>
        <v>0</v>
      </c>
      <c r="AM11" s="166">
        <f t="shared" si="3"/>
        <v>0</v>
      </c>
      <c r="AN11" s="166">
        <f t="shared" si="4"/>
        <v>0</v>
      </c>
      <c r="AO11" s="166">
        <f t="shared" si="5"/>
        <v>0.41215163630023688</v>
      </c>
      <c r="AP11" s="166">
        <f t="shared" si="6"/>
        <v>0.21192938040550463</v>
      </c>
      <c r="AQ11" s="166">
        <f t="shared" si="7"/>
        <v>0</v>
      </c>
      <c r="AR11" s="166">
        <f t="shared" si="8"/>
        <v>0</v>
      </c>
      <c r="AS11" s="166">
        <f t="shared" si="9"/>
        <v>5.9242446411359E-3</v>
      </c>
      <c r="AT11" s="166">
        <f t="shared" si="10"/>
        <v>3.119894755375711E-3</v>
      </c>
      <c r="AU11" s="166">
        <f t="shared" si="11"/>
        <v>3.4435941251699589E-2</v>
      </c>
      <c r="AV11" s="166">
        <f t="shared" si="12"/>
        <v>5.3201651572266417E-2</v>
      </c>
      <c r="AW11" s="166">
        <f t="shared" si="13"/>
        <v>3.5278655571656443E-2</v>
      </c>
      <c r="AX11" s="166">
        <f t="shared" si="14"/>
        <v>0</v>
      </c>
      <c r="AY11" s="168">
        <f t="shared" si="15"/>
        <v>3.1106965930973531E-2</v>
      </c>
      <c r="BA11" s="107" t="s">
        <v>390</v>
      </c>
      <c r="BB11" s="166">
        <f t="shared" si="27"/>
        <v>0</v>
      </c>
      <c r="BC11" s="166">
        <f t="shared" si="16"/>
        <v>0</v>
      </c>
      <c r="BD11" s="166">
        <f t="shared" si="17"/>
        <v>0</v>
      </c>
      <c r="BE11" s="166">
        <f t="shared" si="18"/>
        <v>0</v>
      </c>
      <c r="BF11" s="166">
        <f t="shared" si="28"/>
        <v>0.39752402448616669</v>
      </c>
      <c r="BG11" s="166">
        <f t="shared" si="29"/>
        <v>0.33772384194169008</v>
      </c>
      <c r="BH11" s="166">
        <f t="shared" si="30"/>
        <v>0</v>
      </c>
      <c r="BI11" s="166">
        <f t="shared" si="31"/>
        <v>0</v>
      </c>
      <c r="BJ11" s="166" t="str">
        <f t="shared" si="32"/>
        <v/>
      </c>
      <c r="BK11" s="166">
        <f t="shared" si="33"/>
        <v>5.9095201558165616E-3</v>
      </c>
      <c r="BL11" s="166">
        <f t="shared" si="20"/>
        <v>0</v>
      </c>
      <c r="BM11" s="166">
        <f t="shared" si="21"/>
        <v>0</v>
      </c>
      <c r="BN11" s="166">
        <f t="shared" si="22"/>
        <v>4.8330566316177825E-2</v>
      </c>
      <c r="BO11" s="166" t="str">
        <f t="shared" si="23"/>
        <v/>
      </c>
      <c r="BP11" s="168">
        <f t="shared" si="24"/>
        <v>2.5481129063876614E-2</v>
      </c>
      <c r="BR11" s="107" t="s">
        <v>390</v>
      </c>
      <c r="BS11" s="166"/>
      <c r="BT11" s="166"/>
      <c r="BU11" s="166"/>
      <c r="BV11" s="166"/>
      <c r="BW11" s="166"/>
      <c r="BX11" s="166"/>
      <c r="BY11" s="166"/>
      <c r="BZ11" s="166"/>
      <c r="CA11" s="166"/>
      <c r="CB11" s="166"/>
      <c r="CC11" s="166"/>
      <c r="CD11" s="166"/>
      <c r="CE11" s="166"/>
      <c r="CF11" s="166"/>
      <c r="CG11" s="168"/>
    </row>
    <row r="12" spans="1:85" x14ac:dyDescent="0.25">
      <c r="B12" s="107" t="s">
        <v>391</v>
      </c>
      <c r="C12" s="160">
        <f>TripMode_input!B9</f>
        <v>0</v>
      </c>
      <c r="D12" s="160">
        <f>TripMode_input!C9</f>
        <v>0</v>
      </c>
      <c r="E12" s="160">
        <f>TripMode_input!D9</f>
        <v>0</v>
      </c>
      <c r="F12" s="160">
        <f>TripMode_input!E9</f>
        <v>0</v>
      </c>
      <c r="G12" s="160">
        <f>TripMode_input!F9</f>
        <v>0</v>
      </c>
      <c r="H12" s="160">
        <f>TripMode_input!G9</f>
        <v>3994.1701800000001</v>
      </c>
      <c r="I12" s="160">
        <f>TripMode_input!H9</f>
        <v>0</v>
      </c>
      <c r="J12" s="160">
        <f>TripMode_input!I9</f>
        <v>0</v>
      </c>
      <c r="K12" s="160">
        <f>TripMode_input!J9</f>
        <v>0</v>
      </c>
      <c r="L12" s="160">
        <f>TripMode_input!K9</f>
        <v>0</v>
      </c>
      <c r="M12" s="160">
        <f>TripMode_input!L9</f>
        <v>0</v>
      </c>
      <c r="N12" s="160">
        <f>TripMode_input!M9</f>
        <v>0</v>
      </c>
      <c r="O12" s="160">
        <f>TripMode_input!N9</f>
        <v>0</v>
      </c>
      <c r="P12" s="160">
        <f>TripMode_input!O9</f>
        <v>0</v>
      </c>
      <c r="Q12" s="162">
        <f t="shared" si="0"/>
        <v>3994.1701800000001</v>
      </c>
      <c r="S12" s="107" t="s">
        <v>391</v>
      </c>
      <c r="T12" s="160">
        <f>TripMode_input!R9*Index!$B$2</f>
        <v>0</v>
      </c>
      <c r="U12" s="160">
        <f>TripMode_input!S9*Index!$B$2</f>
        <v>0</v>
      </c>
      <c r="V12" s="160">
        <f>TripMode_input!T9*Index!$B$2</f>
        <v>0</v>
      </c>
      <c r="W12" s="160">
        <f>TripMode_input!U9*Index!$B$2</f>
        <v>0</v>
      </c>
      <c r="X12" s="160">
        <f>TripMode_input!V9*Index!$B$2</f>
        <v>5435</v>
      </c>
      <c r="Y12" s="160">
        <f>TripMode_input!W9*Index!$B$2</f>
        <v>3695</v>
      </c>
      <c r="Z12" s="160">
        <f>TripMode_input!X9*Index!$B$2</f>
        <v>0</v>
      </c>
      <c r="AA12" s="160">
        <f>TripMode_input!Y9*Index!$B$2</f>
        <v>0</v>
      </c>
      <c r="AB12" s="160">
        <f>TripMode_input!Z9*Index!$B$2</f>
        <v>0</v>
      </c>
      <c r="AC12" s="160">
        <f>TripMode_input!AA9*Index!$B$2</f>
        <v>130</v>
      </c>
      <c r="AD12" s="160">
        <f>TripMode_input!AB9*Index!$B$2</f>
        <v>0</v>
      </c>
      <c r="AE12" s="160">
        <f>TripMode_input!AC9*Index!$B$2</f>
        <v>0</v>
      </c>
      <c r="AF12" s="160">
        <f>TripMode_input!AD9*Index!$B$2</f>
        <v>60</v>
      </c>
      <c r="AG12" s="160">
        <f>TripMode_input!AE9*Index!$B$2</f>
        <v>0</v>
      </c>
      <c r="AH12" s="162">
        <f t="shared" si="1"/>
        <v>9320</v>
      </c>
      <c r="AJ12" s="107" t="s">
        <v>391</v>
      </c>
      <c r="AK12" s="166">
        <f t="shared" si="26"/>
        <v>0</v>
      </c>
      <c r="AL12" s="166">
        <f t="shared" si="2"/>
        <v>0</v>
      </c>
      <c r="AM12" s="166">
        <f t="shared" si="3"/>
        <v>0</v>
      </c>
      <c r="AN12" s="166">
        <f t="shared" si="4"/>
        <v>0</v>
      </c>
      <c r="AO12" s="166">
        <f t="shared" si="5"/>
        <v>0</v>
      </c>
      <c r="AP12" s="166">
        <f t="shared" si="6"/>
        <v>0.12996267177517815</v>
      </c>
      <c r="AQ12" s="166">
        <f t="shared" si="7"/>
        <v>0</v>
      </c>
      <c r="AR12" s="166">
        <f t="shared" si="8"/>
        <v>0</v>
      </c>
      <c r="AS12" s="166">
        <f t="shared" si="9"/>
        <v>0</v>
      </c>
      <c r="AT12" s="166">
        <f t="shared" si="10"/>
        <v>0</v>
      </c>
      <c r="AU12" s="166">
        <f t="shared" si="11"/>
        <v>0</v>
      </c>
      <c r="AV12" s="166">
        <f t="shared" si="12"/>
        <v>0</v>
      </c>
      <c r="AW12" s="166">
        <f t="shared" si="13"/>
        <v>0</v>
      </c>
      <c r="AX12" s="166">
        <f t="shared" si="14"/>
        <v>0</v>
      </c>
      <c r="AY12" s="168">
        <f t="shared" si="15"/>
        <v>3.6607005350046705E-4</v>
      </c>
      <c r="BA12" s="107" t="s">
        <v>391</v>
      </c>
      <c r="BB12" s="166">
        <f t="shared" si="27"/>
        <v>0</v>
      </c>
      <c r="BC12" s="166">
        <f t="shared" si="16"/>
        <v>0</v>
      </c>
      <c r="BD12" s="166">
        <f t="shared" si="17"/>
        <v>0</v>
      </c>
      <c r="BE12" s="166">
        <f t="shared" si="18"/>
        <v>0</v>
      </c>
      <c r="BF12" s="166">
        <f t="shared" si="28"/>
        <v>9.2934578160801615E-3</v>
      </c>
      <c r="BG12" s="166">
        <f t="shared" si="29"/>
        <v>5.4684031374870504E-2</v>
      </c>
      <c r="BH12" s="166">
        <f t="shared" si="30"/>
        <v>0</v>
      </c>
      <c r="BI12" s="166">
        <f t="shared" si="31"/>
        <v>0</v>
      </c>
      <c r="BJ12" s="166" t="str">
        <f t="shared" si="32"/>
        <v/>
      </c>
      <c r="BK12" s="166">
        <f t="shared" si="33"/>
        <v>1.9181963052588088E-4</v>
      </c>
      <c r="BL12" s="166">
        <f t="shared" si="20"/>
        <v>0</v>
      </c>
      <c r="BM12" s="166">
        <f t="shared" si="21"/>
        <v>0</v>
      </c>
      <c r="BN12" s="166">
        <f t="shared" si="22"/>
        <v>2.2136137244050912E-3</v>
      </c>
      <c r="BO12" s="166" t="str">
        <f t="shared" si="23"/>
        <v/>
      </c>
      <c r="BP12" s="168">
        <f t="shared" si="24"/>
        <v>9.1124502762822575E-4</v>
      </c>
      <c r="BR12" s="107" t="s">
        <v>391</v>
      </c>
      <c r="BS12" s="166"/>
      <c r="BT12" s="166"/>
      <c r="BU12" s="166"/>
      <c r="BV12" s="166"/>
      <c r="BW12" s="166"/>
      <c r="BX12" s="166"/>
      <c r="BY12" s="166"/>
      <c r="BZ12" s="166"/>
      <c r="CA12" s="166"/>
      <c r="CB12" s="166"/>
      <c r="CC12" s="166"/>
      <c r="CD12" s="166"/>
      <c r="CE12" s="166"/>
      <c r="CF12" s="166"/>
      <c r="CG12" s="168"/>
    </row>
    <row r="13" spans="1:85" x14ac:dyDescent="0.25">
      <c r="B13" s="107" t="s">
        <v>392</v>
      </c>
      <c r="C13" s="160">
        <f>TripMode_input!B10</f>
        <v>29178.474869999998</v>
      </c>
      <c r="D13" s="160">
        <f>TripMode_input!C10</f>
        <v>3236.31466</v>
      </c>
      <c r="E13" s="160">
        <f>TripMode_input!D10</f>
        <v>40584.579969999999</v>
      </c>
      <c r="F13" s="160">
        <f>TripMode_input!E10</f>
        <v>877.19118000000003</v>
      </c>
      <c r="G13" s="160">
        <f>TripMode_input!F10</f>
        <v>10281.92138</v>
      </c>
      <c r="H13" s="160">
        <f>TripMode_input!G10</f>
        <v>0</v>
      </c>
      <c r="I13" s="160">
        <f>TripMode_input!H10</f>
        <v>199320.90985</v>
      </c>
      <c r="J13" s="160">
        <f>TripMode_input!I10</f>
        <v>6095.9132300000001</v>
      </c>
      <c r="K13" s="160">
        <f>TripMode_input!J10</f>
        <v>95650.152650000004</v>
      </c>
      <c r="L13" s="160">
        <f>TripMode_input!K10</f>
        <v>25598.310509999999</v>
      </c>
      <c r="M13" s="160">
        <f>TripMode_input!L10</f>
        <v>25269.356070000002</v>
      </c>
      <c r="N13" s="160">
        <f>TripMode_input!M10</f>
        <v>15436.0432</v>
      </c>
      <c r="O13" s="160">
        <f>TripMode_input!N10</f>
        <v>2216.5180500000001</v>
      </c>
      <c r="P13" s="160">
        <f>TripMode_input!O10</f>
        <v>1929.7124799999999</v>
      </c>
      <c r="Q13" s="162">
        <f t="shared" si="0"/>
        <v>455675.39809999999</v>
      </c>
      <c r="S13" s="107" t="s">
        <v>392</v>
      </c>
      <c r="T13" s="160">
        <f>TripMode_input!R10*Index!$B$2</f>
        <v>0</v>
      </c>
      <c r="U13" s="160">
        <f>TripMode_input!S10*Index!$B$2</f>
        <v>0</v>
      </c>
      <c r="V13" s="160">
        <f>TripMode_input!T10*Index!$B$2</f>
        <v>45490</v>
      </c>
      <c r="W13" s="160">
        <f>TripMode_input!U10*Index!$B$2</f>
        <v>990</v>
      </c>
      <c r="X13" s="160">
        <f>TripMode_input!V10*Index!$B$2</f>
        <v>11665</v>
      </c>
      <c r="Y13" s="160">
        <f>TripMode_input!W10*Index!$B$2</f>
        <v>785</v>
      </c>
      <c r="Z13" s="160">
        <f>TripMode_input!X10*Index!$B$2</f>
        <v>298005</v>
      </c>
      <c r="AA13" s="160">
        <f>TripMode_input!Y10*Index!$B$2</f>
        <v>0</v>
      </c>
      <c r="AB13" s="160">
        <f>TripMode_input!Z10*Index!$B$2</f>
        <v>0</v>
      </c>
      <c r="AC13" s="160">
        <f>TripMode_input!AA10*Index!$B$2</f>
        <v>140360</v>
      </c>
      <c r="AD13" s="160">
        <f>TripMode_input!AB10*Index!$B$2</f>
        <v>0</v>
      </c>
      <c r="AE13" s="160">
        <f>TripMode_input!AC10*Index!$B$2</f>
        <v>0</v>
      </c>
      <c r="AF13" s="160">
        <f>TripMode_input!AD10*Index!$B$2</f>
        <v>3230</v>
      </c>
      <c r="AG13" s="160">
        <f>TripMode_input!AE10*Index!$B$2</f>
        <v>0</v>
      </c>
      <c r="AH13" s="162">
        <f t="shared" si="1"/>
        <v>500525</v>
      </c>
      <c r="AJ13" s="107" t="s">
        <v>392</v>
      </c>
      <c r="AK13" s="166">
        <f t="shared" si="26"/>
        <v>4.4444066370343174E-3</v>
      </c>
      <c r="AL13" s="166">
        <f t="shared" si="2"/>
        <v>6.4286156872393778E-3</v>
      </c>
      <c r="AM13" s="166">
        <f t="shared" si="3"/>
        <v>3.2738983816783598E-2</v>
      </c>
      <c r="AN13" s="166">
        <f t="shared" si="4"/>
        <v>1.0286262005223604E-2</v>
      </c>
      <c r="AO13" s="166">
        <f t="shared" si="5"/>
        <v>1.3984517650605641E-2</v>
      </c>
      <c r="AP13" s="166">
        <f t="shared" si="6"/>
        <v>0</v>
      </c>
      <c r="AQ13" s="166">
        <f t="shared" si="7"/>
        <v>1</v>
      </c>
      <c r="AR13" s="166">
        <f t="shared" si="8"/>
        <v>4.167669036615658E-2</v>
      </c>
      <c r="AS13" s="166">
        <f t="shared" si="9"/>
        <v>0.15795169321832417</v>
      </c>
      <c r="AT13" s="166">
        <f t="shared" si="10"/>
        <v>0.10598623953347913</v>
      </c>
      <c r="AU13" s="166">
        <f t="shared" si="11"/>
        <v>0.15278698100774848</v>
      </c>
      <c r="AV13" s="166">
        <f t="shared" si="12"/>
        <v>4.3045644056775557E-2</v>
      </c>
      <c r="AW13" s="166">
        <f t="shared" si="13"/>
        <v>0.10425664868596939</v>
      </c>
      <c r="AX13" s="166">
        <f t="shared" si="14"/>
        <v>0.1429857210982472</v>
      </c>
      <c r="AY13" s="168">
        <f t="shared" si="15"/>
        <v>4.1763147248100888E-2</v>
      </c>
      <c r="BA13" s="107" t="s">
        <v>392</v>
      </c>
      <c r="BB13" s="166">
        <f t="shared" si="27"/>
        <v>0</v>
      </c>
      <c r="BC13" s="166">
        <f t="shared" si="16"/>
        <v>0</v>
      </c>
      <c r="BD13" s="166">
        <f t="shared" si="17"/>
        <v>3.8134438776579467E-2</v>
      </c>
      <c r="BE13" s="166">
        <f t="shared" si="18"/>
        <v>9.0489465746538093E-3</v>
      </c>
      <c r="BF13" s="166">
        <f t="shared" si="28"/>
        <v>1.9946308265791184E-2</v>
      </c>
      <c r="BG13" s="166">
        <f t="shared" si="29"/>
        <v>1.1617581767056386E-2</v>
      </c>
      <c r="BH13" s="166">
        <f t="shared" si="30"/>
        <v>1</v>
      </c>
      <c r="BI13" s="166">
        <f t="shared" si="31"/>
        <v>0</v>
      </c>
      <c r="BJ13" s="166" t="str">
        <f t="shared" si="32"/>
        <v/>
      </c>
      <c r="BK13" s="166">
        <f t="shared" si="33"/>
        <v>0.20710617954317417</v>
      </c>
      <c r="BL13" s="166">
        <f t="shared" si="20"/>
        <v>0</v>
      </c>
      <c r="BM13" s="166">
        <f t="shared" si="21"/>
        <v>0</v>
      </c>
      <c r="BN13" s="166">
        <f t="shared" si="22"/>
        <v>0.11916620549714074</v>
      </c>
      <c r="BO13" s="166" t="str">
        <f t="shared" si="23"/>
        <v/>
      </c>
      <c r="BP13" s="168">
        <f t="shared" si="24"/>
        <v>4.8937866679572714E-2</v>
      </c>
      <c r="BR13" s="107" t="s">
        <v>392</v>
      </c>
      <c r="BS13" s="166"/>
      <c r="BT13" s="166"/>
      <c r="BU13" s="166"/>
      <c r="BV13" s="166"/>
      <c r="BW13" s="166"/>
      <c r="BX13" s="166"/>
      <c r="BY13" s="166"/>
      <c r="BZ13" s="166"/>
      <c r="CA13" s="166"/>
      <c r="CB13" s="166"/>
      <c r="CC13" s="166"/>
      <c r="CD13" s="166"/>
      <c r="CE13" s="166"/>
      <c r="CF13" s="166"/>
      <c r="CG13" s="168"/>
    </row>
    <row r="14" spans="1:85" x14ac:dyDescent="0.25">
      <c r="B14" s="107" t="s">
        <v>393</v>
      </c>
      <c r="C14" s="160">
        <f>TripMode_input!B11</f>
        <v>1415.0043599999999</v>
      </c>
      <c r="D14" s="160">
        <f>TripMode_input!C11</f>
        <v>0</v>
      </c>
      <c r="E14" s="160">
        <f>TripMode_input!D11</f>
        <v>796.40845999999999</v>
      </c>
      <c r="F14" s="160">
        <f>TripMode_input!E11</f>
        <v>0</v>
      </c>
      <c r="G14" s="160">
        <f>TripMode_input!F11</f>
        <v>283.27776</v>
      </c>
      <c r="H14" s="160">
        <f>TripMode_input!G11</f>
        <v>0</v>
      </c>
      <c r="I14" s="160">
        <f>TripMode_input!H11</f>
        <v>0</v>
      </c>
      <c r="J14" s="160">
        <f>TripMode_input!I11</f>
        <v>140170.81708000001</v>
      </c>
      <c r="K14" s="160">
        <f>TripMode_input!J11</f>
        <v>2872.0873900000001</v>
      </c>
      <c r="L14" s="160">
        <f>TripMode_input!K11</f>
        <v>813.90976000000001</v>
      </c>
      <c r="M14" s="160">
        <f>TripMode_input!L11</f>
        <v>0</v>
      </c>
      <c r="N14" s="160">
        <f>TripMode_input!M11</f>
        <v>0</v>
      </c>
      <c r="O14" s="160">
        <f>TripMode_input!N11</f>
        <v>0</v>
      </c>
      <c r="P14" s="160">
        <f>TripMode_input!O11</f>
        <v>0</v>
      </c>
      <c r="Q14" s="162">
        <f t="shared" si="0"/>
        <v>146351.50481000001</v>
      </c>
      <c r="S14" s="107" t="s">
        <v>393</v>
      </c>
      <c r="T14" s="160">
        <f>TripMode_input!R11*Index!$B$2</f>
        <v>0</v>
      </c>
      <c r="U14" s="160">
        <f>TripMode_input!S11*Index!$B$2</f>
        <v>0</v>
      </c>
      <c r="V14" s="160">
        <f>TripMode_input!T11*Index!$B$2</f>
        <v>0</v>
      </c>
      <c r="W14" s="160">
        <f>TripMode_input!U11*Index!$B$2</f>
        <v>0</v>
      </c>
      <c r="X14" s="160">
        <f>TripMode_input!V11*Index!$B$2</f>
        <v>0</v>
      </c>
      <c r="Y14" s="160">
        <f>TripMode_input!W11*Index!$B$2</f>
        <v>0</v>
      </c>
      <c r="Z14" s="160">
        <f>TripMode_input!X11*Index!$B$2</f>
        <v>0</v>
      </c>
      <c r="AA14" s="160">
        <f>TripMode_input!Y11*Index!$B$2</f>
        <v>202190</v>
      </c>
      <c r="AB14" s="160">
        <f>TripMode_input!Z11*Index!$B$2</f>
        <v>0</v>
      </c>
      <c r="AC14" s="160">
        <f>TripMode_input!AA11*Index!$B$2</f>
        <v>0</v>
      </c>
      <c r="AD14" s="160">
        <f>TripMode_input!AB11*Index!$B$2</f>
        <v>0</v>
      </c>
      <c r="AE14" s="160">
        <f>TripMode_input!AC11*Index!$B$2</f>
        <v>0</v>
      </c>
      <c r="AF14" s="160">
        <f>TripMode_input!AD11*Index!$B$2</f>
        <v>0</v>
      </c>
      <c r="AG14" s="160">
        <f>TripMode_input!AE11*Index!$B$2</f>
        <v>0</v>
      </c>
      <c r="AH14" s="162">
        <f t="shared" si="1"/>
        <v>202190</v>
      </c>
      <c r="AJ14" s="107" t="s">
        <v>393</v>
      </c>
      <c r="AK14" s="166">
        <f t="shared" si="26"/>
        <v>2.155306196446345E-4</v>
      </c>
      <c r="AL14" s="166">
        <f t="shared" si="2"/>
        <v>0</v>
      </c>
      <c r="AM14" s="166">
        <f t="shared" si="3"/>
        <v>6.4245099253862131E-4</v>
      </c>
      <c r="AN14" s="166">
        <f t="shared" si="4"/>
        <v>0</v>
      </c>
      <c r="AO14" s="166">
        <f t="shared" si="5"/>
        <v>3.8528818577136684E-4</v>
      </c>
      <c r="AP14" s="166">
        <f t="shared" si="6"/>
        <v>0</v>
      </c>
      <c r="AQ14" s="166">
        <f t="shared" si="7"/>
        <v>0</v>
      </c>
      <c r="AR14" s="166">
        <f t="shared" si="8"/>
        <v>0.95832330963384338</v>
      </c>
      <c r="AS14" s="166">
        <f t="shared" si="9"/>
        <v>4.7428159156366733E-3</v>
      </c>
      <c r="AT14" s="166">
        <f t="shared" si="10"/>
        <v>3.3698800062721994E-3</v>
      </c>
      <c r="AU14" s="166">
        <f t="shared" si="11"/>
        <v>0</v>
      </c>
      <c r="AV14" s="166">
        <f t="shared" si="12"/>
        <v>0</v>
      </c>
      <c r="AW14" s="166">
        <f t="shared" si="13"/>
        <v>0</v>
      </c>
      <c r="AX14" s="166">
        <f t="shared" si="14"/>
        <v>0</v>
      </c>
      <c r="AY14" s="168">
        <f t="shared" si="15"/>
        <v>1.3413275043696452E-2</v>
      </c>
      <c r="BA14" s="107" t="s">
        <v>393</v>
      </c>
      <c r="BB14" s="166">
        <f t="shared" si="27"/>
        <v>0</v>
      </c>
      <c r="BC14" s="166">
        <f t="shared" si="16"/>
        <v>0</v>
      </c>
      <c r="BD14" s="166">
        <f t="shared" si="17"/>
        <v>0</v>
      </c>
      <c r="BE14" s="166">
        <f t="shared" si="18"/>
        <v>0</v>
      </c>
      <c r="BF14" s="166">
        <f t="shared" si="28"/>
        <v>0</v>
      </c>
      <c r="BG14" s="166">
        <f t="shared" si="29"/>
        <v>0</v>
      </c>
      <c r="BH14" s="166">
        <f t="shared" si="30"/>
        <v>0</v>
      </c>
      <c r="BI14" s="166">
        <f t="shared" si="31"/>
        <v>1</v>
      </c>
      <c r="BJ14" s="166" t="str">
        <f t="shared" si="32"/>
        <v/>
      </c>
      <c r="BK14" s="166">
        <f t="shared" si="33"/>
        <v>0</v>
      </c>
      <c r="BL14" s="166">
        <f t="shared" si="20"/>
        <v>0</v>
      </c>
      <c r="BM14" s="166">
        <f t="shared" si="21"/>
        <v>0</v>
      </c>
      <c r="BN14" s="166">
        <f t="shared" si="22"/>
        <v>0</v>
      </c>
      <c r="BO14" s="166" t="str">
        <f t="shared" si="23"/>
        <v/>
      </c>
      <c r="BP14" s="168">
        <f t="shared" si="24"/>
        <v>1.9768737353664266E-2</v>
      </c>
      <c r="BR14" s="107" t="s">
        <v>393</v>
      </c>
      <c r="BS14" s="166"/>
      <c r="BT14" s="166"/>
      <c r="BU14" s="166"/>
      <c r="BV14" s="166"/>
      <c r="BW14" s="166"/>
      <c r="BX14" s="166"/>
      <c r="BY14" s="166"/>
      <c r="BZ14" s="166"/>
      <c r="CA14" s="166"/>
      <c r="CB14" s="166"/>
      <c r="CC14" s="166"/>
      <c r="CD14" s="166"/>
      <c r="CE14" s="166"/>
      <c r="CF14" s="166"/>
      <c r="CG14" s="168"/>
    </row>
    <row r="15" spans="1:85" x14ac:dyDescent="0.25">
      <c r="B15" s="107" t="s">
        <v>394</v>
      </c>
      <c r="C15" s="160">
        <f>TripMode_input!B12</f>
        <v>0</v>
      </c>
      <c r="D15" s="160">
        <f>TripMode_input!C12</f>
        <v>0</v>
      </c>
      <c r="E15" s="160">
        <f>TripMode_input!D12</f>
        <v>0</v>
      </c>
      <c r="F15" s="160">
        <f>TripMode_input!E12</f>
        <v>0</v>
      </c>
      <c r="G15" s="160">
        <f>TripMode_input!F12</f>
        <v>0</v>
      </c>
      <c r="H15" s="160">
        <f>TripMode_input!G12</f>
        <v>0</v>
      </c>
      <c r="I15" s="160">
        <f>TripMode_input!H12</f>
        <v>0</v>
      </c>
      <c r="J15" s="160">
        <f>TripMode_input!I12</f>
        <v>0</v>
      </c>
      <c r="K15" s="160">
        <f>TripMode_input!J12</f>
        <v>468515.64831000002</v>
      </c>
      <c r="L15" s="160">
        <f>TripMode_input!K12</f>
        <v>15489.16599</v>
      </c>
      <c r="M15" s="160">
        <f>TripMode_input!L12</f>
        <v>30375.750410000001</v>
      </c>
      <c r="N15" s="160">
        <f>TripMode_input!M12</f>
        <v>11037.1147</v>
      </c>
      <c r="O15" s="160">
        <f>TripMode_input!N12</f>
        <v>0</v>
      </c>
      <c r="P15" s="160">
        <f>TripMode_input!O12</f>
        <v>0</v>
      </c>
      <c r="Q15" s="162">
        <f t="shared" si="0"/>
        <v>525417.67940999998</v>
      </c>
      <c r="S15" s="107" t="s">
        <v>394</v>
      </c>
      <c r="T15" s="160">
        <f>TripMode_input!R12*Index!$B$2</f>
        <v>0</v>
      </c>
      <c r="U15" s="160">
        <f>TripMode_input!S12*Index!$B$2</f>
        <v>0</v>
      </c>
      <c r="V15" s="160">
        <f>TripMode_input!T12*Index!$B$2</f>
        <v>0</v>
      </c>
      <c r="W15" s="160">
        <f>TripMode_input!U12*Index!$B$2</f>
        <v>0</v>
      </c>
      <c r="X15" s="160">
        <f>TripMode_input!V12*Index!$B$2</f>
        <v>0</v>
      </c>
      <c r="Y15" s="160">
        <f>TripMode_input!W12*Index!$B$2</f>
        <v>0</v>
      </c>
      <c r="Z15" s="160">
        <f>TripMode_input!X12*Index!$B$2</f>
        <v>0</v>
      </c>
      <c r="AA15" s="160">
        <f>TripMode_input!Y12*Index!$B$2</f>
        <v>0</v>
      </c>
      <c r="AB15" s="160">
        <f>TripMode_input!Z12*Index!$B$2</f>
        <v>0</v>
      </c>
      <c r="AC15" s="160">
        <f>TripMode_input!AA12*Index!$B$2</f>
        <v>0</v>
      </c>
      <c r="AD15" s="160">
        <f>TripMode_input!AB12*Index!$B$2</f>
        <v>0</v>
      </c>
      <c r="AE15" s="160">
        <f>TripMode_input!AC12*Index!$B$2</f>
        <v>0</v>
      </c>
      <c r="AF15" s="160">
        <f>TripMode_input!AD12*Index!$B$2</f>
        <v>0</v>
      </c>
      <c r="AG15" s="160">
        <f>TripMode_input!AE12*Index!$B$2</f>
        <v>0</v>
      </c>
      <c r="AH15" s="162">
        <f t="shared" si="1"/>
        <v>0</v>
      </c>
      <c r="AJ15" s="107" t="s">
        <v>394</v>
      </c>
      <c r="AK15" s="166">
        <f t="shared" si="26"/>
        <v>0</v>
      </c>
      <c r="AL15" s="166">
        <f t="shared" si="2"/>
        <v>0</v>
      </c>
      <c r="AM15" s="166">
        <f t="shared" si="3"/>
        <v>0</v>
      </c>
      <c r="AN15" s="166">
        <f t="shared" si="4"/>
        <v>0</v>
      </c>
      <c r="AO15" s="166">
        <f t="shared" si="5"/>
        <v>0</v>
      </c>
      <c r="AP15" s="166">
        <f t="shared" si="6"/>
        <v>0</v>
      </c>
      <c r="AQ15" s="166">
        <f t="shared" si="7"/>
        <v>0</v>
      </c>
      <c r="AR15" s="166">
        <f t="shared" si="8"/>
        <v>0</v>
      </c>
      <c r="AS15" s="166">
        <f t="shared" si="9"/>
        <v>0.77368240300289137</v>
      </c>
      <c r="AT15" s="166">
        <f t="shared" si="10"/>
        <v>6.41307345712777E-2</v>
      </c>
      <c r="AU15" s="166">
        <f t="shared" si="11"/>
        <v>0.18366194960142401</v>
      </c>
      <c r="AV15" s="166">
        <f t="shared" si="12"/>
        <v>3.0778594270195171E-2</v>
      </c>
      <c r="AW15" s="166">
        <f t="shared" si="13"/>
        <v>0</v>
      </c>
      <c r="AX15" s="166">
        <f t="shared" si="14"/>
        <v>0</v>
      </c>
      <c r="AY15" s="168">
        <f t="shared" si="15"/>
        <v>4.8155103399152098E-2</v>
      </c>
      <c r="BA15" s="107" t="s">
        <v>394</v>
      </c>
      <c r="BB15" s="166">
        <f t="shared" si="27"/>
        <v>0</v>
      </c>
      <c r="BC15" s="166">
        <f t="shared" si="16"/>
        <v>0</v>
      </c>
      <c r="BD15" s="166">
        <f t="shared" si="17"/>
        <v>0</v>
      </c>
      <c r="BE15" s="166">
        <f t="shared" si="18"/>
        <v>0</v>
      </c>
      <c r="BF15" s="166">
        <f t="shared" si="28"/>
        <v>0</v>
      </c>
      <c r="BG15" s="166">
        <f t="shared" si="29"/>
        <v>0</v>
      </c>
      <c r="BH15" s="166">
        <f t="shared" si="30"/>
        <v>0</v>
      </c>
      <c r="BI15" s="166">
        <f t="shared" si="31"/>
        <v>0</v>
      </c>
      <c r="BJ15" s="166" t="str">
        <f t="shared" si="32"/>
        <v/>
      </c>
      <c r="BK15" s="166">
        <f t="shared" si="33"/>
        <v>0</v>
      </c>
      <c r="BL15" s="166">
        <f t="shared" si="20"/>
        <v>0</v>
      </c>
      <c r="BM15" s="166">
        <f t="shared" si="21"/>
        <v>0</v>
      </c>
      <c r="BN15" s="166">
        <f t="shared" si="22"/>
        <v>0</v>
      </c>
      <c r="BO15" s="166" t="str">
        <f t="shared" si="23"/>
        <v/>
      </c>
      <c r="BP15" s="168">
        <f t="shared" si="24"/>
        <v>0</v>
      </c>
      <c r="BR15" s="107" t="s">
        <v>394</v>
      </c>
      <c r="BS15" s="166"/>
      <c r="BT15" s="166"/>
      <c r="BU15" s="166"/>
      <c r="BV15" s="166"/>
      <c r="BW15" s="166"/>
      <c r="BX15" s="166"/>
      <c r="BY15" s="166"/>
      <c r="BZ15" s="166"/>
      <c r="CA15" s="166"/>
      <c r="CB15" s="166"/>
      <c r="CC15" s="166"/>
      <c r="CD15" s="166"/>
      <c r="CE15" s="166"/>
      <c r="CF15" s="166"/>
      <c r="CG15" s="168"/>
    </row>
    <row r="16" spans="1:85" x14ac:dyDescent="0.25">
      <c r="B16" s="107" t="s">
        <v>395</v>
      </c>
      <c r="C16" s="160">
        <f>TripMode_input!B13</f>
        <v>0</v>
      </c>
      <c r="D16" s="160">
        <f>TripMode_input!C13</f>
        <v>0</v>
      </c>
      <c r="E16" s="160">
        <f>TripMode_input!D13</f>
        <v>0</v>
      </c>
      <c r="F16" s="160">
        <f>TripMode_input!E13</f>
        <v>0</v>
      </c>
      <c r="G16" s="160">
        <f>TripMode_input!F13</f>
        <v>0</v>
      </c>
      <c r="H16" s="160">
        <f>TripMode_input!G13</f>
        <v>0</v>
      </c>
      <c r="I16" s="160">
        <f>TripMode_input!H13</f>
        <v>0</v>
      </c>
      <c r="J16" s="160">
        <f>TripMode_input!I13</f>
        <v>0</v>
      </c>
      <c r="K16" s="160">
        <f>TripMode_input!J13</f>
        <v>0</v>
      </c>
      <c r="L16" s="160">
        <f>TripMode_input!K13</f>
        <v>190543.69487000001</v>
      </c>
      <c r="M16" s="160">
        <f>TripMode_input!L13</f>
        <v>7366.5103900000004</v>
      </c>
      <c r="N16" s="160">
        <f>TripMode_input!M13</f>
        <v>11836.12025</v>
      </c>
      <c r="O16" s="160">
        <f>TripMode_input!N13</f>
        <v>0</v>
      </c>
      <c r="P16" s="160">
        <f>TripMode_input!O13</f>
        <v>0</v>
      </c>
      <c r="Q16" s="162">
        <f t="shared" si="0"/>
        <v>209746.32551000002</v>
      </c>
      <c r="S16" s="107" t="s">
        <v>395</v>
      </c>
      <c r="T16" s="160">
        <f>TripMode_input!R13*Index!$B$2</f>
        <v>0</v>
      </c>
      <c r="U16" s="160">
        <f>TripMode_input!S13*Index!$B$2</f>
        <v>0</v>
      </c>
      <c r="V16" s="160">
        <f>TripMode_input!T13*Index!$B$2</f>
        <v>0</v>
      </c>
      <c r="W16" s="160">
        <f>TripMode_input!U13*Index!$B$2</f>
        <v>0</v>
      </c>
      <c r="X16" s="160">
        <f>TripMode_input!V13*Index!$B$2</f>
        <v>0</v>
      </c>
      <c r="Y16" s="160">
        <f>TripMode_input!W13*Index!$B$2</f>
        <v>0</v>
      </c>
      <c r="Z16" s="160">
        <f>TripMode_input!X13*Index!$B$2</f>
        <v>0</v>
      </c>
      <c r="AA16" s="160">
        <f>TripMode_input!Y13*Index!$B$2</f>
        <v>0</v>
      </c>
      <c r="AB16" s="160">
        <f>TripMode_input!Z13*Index!$B$2</f>
        <v>0</v>
      </c>
      <c r="AC16" s="160">
        <f>TripMode_input!AA13*Index!$B$2</f>
        <v>488275</v>
      </c>
      <c r="AD16" s="160">
        <f>TripMode_input!AB13*Index!$B$2</f>
        <v>0</v>
      </c>
      <c r="AE16" s="160">
        <f>TripMode_input!AC13*Index!$B$2</f>
        <v>0</v>
      </c>
      <c r="AF16" s="160">
        <f>TripMode_input!AD13*Index!$B$2</f>
        <v>0</v>
      </c>
      <c r="AG16" s="160">
        <f>TripMode_input!AE13*Index!$B$2</f>
        <v>0</v>
      </c>
      <c r="AH16" s="162">
        <f t="shared" si="1"/>
        <v>488275</v>
      </c>
      <c r="AJ16" s="107" t="s">
        <v>395</v>
      </c>
      <c r="AK16" s="166">
        <f t="shared" si="26"/>
        <v>0</v>
      </c>
      <c r="AL16" s="166">
        <f t="shared" si="2"/>
        <v>0</v>
      </c>
      <c r="AM16" s="166">
        <f t="shared" si="3"/>
        <v>0</v>
      </c>
      <c r="AN16" s="166">
        <f t="shared" si="4"/>
        <v>0</v>
      </c>
      <c r="AO16" s="166">
        <f t="shared" si="5"/>
        <v>0</v>
      </c>
      <c r="AP16" s="166">
        <f t="shared" si="6"/>
        <v>0</v>
      </c>
      <c r="AQ16" s="166">
        <f t="shared" si="7"/>
        <v>0</v>
      </c>
      <c r="AR16" s="166">
        <f t="shared" si="8"/>
        <v>0</v>
      </c>
      <c r="AS16" s="166">
        <f t="shared" si="9"/>
        <v>0</v>
      </c>
      <c r="AT16" s="166">
        <f t="shared" si="10"/>
        <v>0.78891963116850161</v>
      </c>
      <c r="AU16" s="166">
        <f t="shared" si="11"/>
        <v>4.4540386384697928E-2</v>
      </c>
      <c r="AV16" s="166">
        <f t="shared" si="12"/>
        <v>3.3006737069425494E-2</v>
      </c>
      <c r="AW16" s="166">
        <f t="shared" si="13"/>
        <v>0</v>
      </c>
      <c r="AX16" s="166">
        <f t="shared" si="14"/>
        <v>0</v>
      </c>
      <c r="AY16" s="168">
        <f t="shared" si="15"/>
        <v>1.9223479506567265E-2</v>
      </c>
      <c r="BA16" s="107" t="s">
        <v>395</v>
      </c>
      <c r="BB16" s="166">
        <f t="shared" si="27"/>
        <v>0</v>
      </c>
      <c r="BC16" s="166">
        <f t="shared" si="16"/>
        <v>0</v>
      </c>
      <c r="BD16" s="166">
        <f t="shared" si="17"/>
        <v>0</v>
      </c>
      <c r="BE16" s="166">
        <f t="shared" si="18"/>
        <v>0</v>
      </c>
      <c r="BF16" s="166">
        <f t="shared" si="28"/>
        <v>0</v>
      </c>
      <c r="BG16" s="166">
        <f t="shared" si="29"/>
        <v>0</v>
      </c>
      <c r="BH16" s="166">
        <f t="shared" si="30"/>
        <v>0</v>
      </c>
      <c r="BI16" s="166">
        <f t="shared" si="31"/>
        <v>0</v>
      </c>
      <c r="BJ16" s="166" t="str">
        <f t="shared" si="32"/>
        <v/>
      </c>
      <c r="BK16" s="166">
        <f t="shared" si="33"/>
        <v>0.72046715457711152</v>
      </c>
      <c r="BL16" s="166">
        <f t="shared" si="20"/>
        <v>0</v>
      </c>
      <c r="BM16" s="166">
        <f t="shared" si="21"/>
        <v>0</v>
      </c>
      <c r="BN16" s="166">
        <f t="shared" si="22"/>
        <v>0</v>
      </c>
      <c r="BO16" s="166" t="str">
        <f t="shared" si="23"/>
        <v/>
      </c>
      <c r="BP16" s="168">
        <f t="shared" si="24"/>
        <v>4.7740146552057071E-2</v>
      </c>
      <c r="BR16" s="107" t="s">
        <v>395</v>
      </c>
      <c r="BS16" s="166" t="str">
        <f t="shared" si="34"/>
        <v/>
      </c>
      <c r="BT16" s="166" t="str">
        <f t="shared" si="35"/>
        <v/>
      </c>
      <c r="BU16" s="166" t="str">
        <f t="shared" si="36"/>
        <v/>
      </c>
      <c r="BV16" s="166" t="str">
        <f t="shared" si="37"/>
        <v/>
      </c>
      <c r="BW16" s="166"/>
      <c r="BX16" s="166"/>
      <c r="BY16" s="166"/>
      <c r="BZ16" s="166"/>
      <c r="CA16" s="166"/>
      <c r="CB16" s="166">
        <f t="shared" si="38"/>
        <v>-8.6767363730070046E-2</v>
      </c>
      <c r="CC16" s="166">
        <f t="shared" si="39"/>
        <v>-1</v>
      </c>
      <c r="CD16" s="166">
        <f t="shared" si="40"/>
        <v>-1</v>
      </c>
      <c r="CE16" s="166" t="str">
        <f t="shared" si="41"/>
        <v/>
      </c>
      <c r="CF16" s="166" t="str">
        <f t="shared" si="42"/>
        <v/>
      </c>
      <c r="CG16" s="168">
        <f t="shared" si="43"/>
        <v>1.4834290033574689</v>
      </c>
    </row>
    <row r="17" spans="2:85" x14ac:dyDescent="0.25">
      <c r="B17" s="107" t="s">
        <v>396</v>
      </c>
      <c r="C17" s="160">
        <f>TripMode_input!B14</f>
        <v>0</v>
      </c>
      <c r="D17" s="160">
        <f>TripMode_input!C14</f>
        <v>0</v>
      </c>
      <c r="E17" s="160">
        <f>TripMode_input!D14</f>
        <v>0</v>
      </c>
      <c r="F17" s="160">
        <f>TripMode_input!E14</f>
        <v>0</v>
      </c>
      <c r="G17" s="160">
        <f>TripMode_input!F14</f>
        <v>0</v>
      </c>
      <c r="H17" s="160">
        <f>TripMode_input!G14</f>
        <v>0</v>
      </c>
      <c r="I17" s="160">
        <f>TripMode_input!H14</f>
        <v>0</v>
      </c>
      <c r="J17" s="160">
        <f>TripMode_input!I14</f>
        <v>0</v>
      </c>
      <c r="K17" s="160">
        <f>TripMode_input!J14</f>
        <v>0</v>
      </c>
      <c r="L17" s="160">
        <f>TripMode_input!K14</f>
        <v>1429.97849</v>
      </c>
      <c r="M17" s="160">
        <f>TripMode_input!L14</f>
        <v>63455.44687</v>
      </c>
      <c r="N17" s="160">
        <f>TripMode_input!M14</f>
        <v>4443.4950200000003</v>
      </c>
      <c r="O17" s="160">
        <f>TripMode_input!N14</f>
        <v>0</v>
      </c>
      <c r="P17" s="160">
        <f>TripMode_input!O14</f>
        <v>964.85623999999996</v>
      </c>
      <c r="Q17" s="162">
        <f t="shared" si="0"/>
        <v>70293.77661999999</v>
      </c>
      <c r="S17" s="107" t="s">
        <v>396</v>
      </c>
      <c r="T17" s="160">
        <f>TripMode_input!R14*Index!$B$2</f>
        <v>0</v>
      </c>
      <c r="U17" s="160">
        <f>TripMode_input!S14*Index!$B$2</f>
        <v>0</v>
      </c>
      <c r="V17" s="160">
        <f>TripMode_input!T14*Index!$B$2</f>
        <v>0</v>
      </c>
      <c r="W17" s="160">
        <f>TripMode_input!U14*Index!$B$2</f>
        <v>0</v>
      </c>
      <c r="X17" s="160">
        <f>TripMode_input!V14*Index!$B$2</f>
        <v>0</v>
      </c>
      <c r="Y17" s="160">
        <f>TripMode_input!W14*Index!$B$2</f>
        <v>0</v>
      </c>
      <c r="Z17" s="160">
        <f>TripMode_input!X14*Index!$B$2</f>
        <v>0</v>
      </c>
      <c r="AA17" s="160">
        <f>TripMode_input!Y14*Index!$B$2</f>
        <v>0</v>
      </c>
      <c r="AB17" s="160">
        <f>TripMode_input!Z14*Index!$B$2</f>
        <v>0</v>
      </c>
      <c r="AC17" s="160">
        <f>TripMode_input!AA14*Index!$B$2</f>
        <v>0</v>
      </c>
      <c r="AD17" s="160">
        <f>TripMode_input!AB14*Index!$B$2</f>
        <v>23460</v>
      </c>
      <c r="AE17" s="160">
        <f>TripMode_input!AC14*Index!$B$2</f>
        <v>0</v>
      </c>
      <c r="AF17" s="160">
        <f>TripMode_input!AD14*Index!$B$2</f>
        <v>0</v>
      </c>
      <c r="AG17" s="160">
        <f>TripMode_input!AE14*Index!$B$2</f>
        <v>0</v>
      </c>
      <c r="AH17" s="162">
        <f t="shared" si="1"/>
        <v>23460</v>
      </c>
      <c r="AJ17" s="107" t="s">
        <v>396</v>
      </c>
      <c r="AK17" s="166">
        <f t="shared" si="26"/>
        <v>0</v>
      </c>
      <c r="AL17" s="166">
        <f t="shared" si="2"/>
        <v>0</v>
      </c>
      <c r="AM17" s="166">
        <f t="shared" si="3"/>
        <v>0</v>
      </c>
      <c r="AN17" s="166">
        <f t="shared" si="4"/>
        <v>0</v>
      </c>
      <c r="AO17" s="166">
        <f t="shared" si="5"/>
        <v>0</v>
      </c>
      <c r="AP17" s="166">
        <f t="shared" si="6"/>
        <v>0</v>
      </c>
      <c r="AQ17" s="166">
        <f t="shared" si="7"/>
        <v>0</v>
      </c>
      <c r="AR17" s="166">
        <f t="shared" si="8"/>
        <v>0</v>
      </c>
      <c r="AS17" s="166">
        <f t="shared" si="9"/>
        <v>0</v>
      </c>
      <c r="AT17" s="166">
        <f t="shared" si="10"/>
        <v>5.9206267815860936E-3</v>
      </c>
      <c r="AU17" s="166">
        <f t="shared" si="11"/>
        <v>0.38367286166326448</v>
      </c>
      <c r="AV17" s="166">
        <f t="shared" si="12"/>
        <v>1.2391329987919105E-2</v>
      </c>
      <c r="AW17" s="166">
        <f t="shared" si="13"/>
        <v>0</v>
      </c>
      <c r="AX17" s="166">
        <f t="shared" si="14"/>
        <v>7.1492860549123599E-2</v>
      </c>
      <c r="AY17" s="168">
        <f t="shared" si="15"/>
        <v>6.4425012977372131E-3</v>
      </c>
      <c r="BA17" s="107" t="s">
        <v>396</v>
      </c>
      <c r="BB17" s="166">
        <f t="shared" si="27"/>
        <v>0</v>
      </c>
      <c r="BC17" s="166">
        <f t="shared" si="16"/>
        <v>0</v>
      </c>
      <c r="BD17" s="166">
        <f t="shared" si="17"/>
        <v>0</v>
      </c>
      <c r="BE17" s="166">
        <f t="shared" si="18"/>
        <v>0</v>
      </c>
      <c r="BF17" s="166">
        <f t="shared" si="28"/>
        <v>0</v>
      </c>
      <c r="BG17" s="166">
        <f t="shared" ref="BG17:BK21" si="44">IF(Y$21&gt;0,Y17/Y$21,"")</f>
        <v>0</v>
      </c>
      <c r="BH17" s="166">
        <f t="shared" si="44"/>
        <v>0</v>
      </c>
      <c r="BI17" s="166">
        <f t="shared" si="44"/>
        <v>0</v>
      </c>
      <c r="BJ17" s="166" t="str">
        <f t="shared" si="44"/>
        <v/>
      </c>
      <c r="BK17" s="166">
        <f t="shared" si="44"/>
        <v>0</v>
      </c>
      <c r="BL17" s="166">
        <f t="shared" si="20"/>
        <v>1</v>
      </c>
      <c r="BM17" s="166">
        <f t="shared" si="21"/>
        <v>0</v>
      </c>
      <c r="BN17" s="166">
        <f t="shared" si="22"/>
        <v>0</v>
      </c>
      <c r="BO17" s="166" t="str">
        <f t="shared" si="23"/>
        <v/>
      </c>
      <c r="BP17" s="168">
        <f t="shared" si="24"/>
        <v>2.2937562605319932E-3</v>
      </c>
      <c r="BR17" s="107" t="s">
        <v>396</v>
      </c>
      <c r="BS17" s="166" t="str">
        <f t="shared" si="34"/>
        <v/>
      </c>
      <c r="BT17" s="166" t="str">
        <f t="shared" si="35"/>
        <v/>
      </c>
      <c r="BU17" s="166" t="str">
        <f t="shared" si="36"/>
        <v/>
      </c>
      <c r="BV17" s="166" t="str">
        <f t="shared" si="37"/>
        <v/>
      </c>
      <c r="BW17" s="166"/>
      <c r="BX17" s="166"/>
      <c r="BY17" s="166"/>
      <c r="BZ17" s="166"/>
      <c r="CA17" s="166"/>
      <c r="CB17" s="166">
        <f t="shared" si="38"/>
        <v>-1</v>
      </c>
      <c r="CC17" s="166">
        <f t="shared" si="39"/>
        <v>1.6063871071435412</v>
      </c>
      <c r="CD17" s="166">
        <f t="shared" si="40"/>
        <v>-1</v>
      </c>
      <c r="CE17" s="166" t="str">
        <f t="shared" si="41"/>
        <v/>
      </c>
      <c r="CF17" s="166" t="e">
        <f t="shared" si="42"/>
        <v>#VALUE!</v>
      </c>
      <c r="CG17" s="168">
        <f t="shared" si="43"/>
        <v>-0.64396495172804635</v>
      </c>
    </row>
    <row r="18" spans="2:85" x14ac:dyDescent="0.25">
      <c r="B18" s="107" t="s">
        <v>397</v>
      </c>
      <c r="C18" s="160">
        <f>TripMode_input!B15</f>
        <v>0</v>
      </c>
      <c r="D18" s="160">
        <f>TripMode_input!C15</f>
        <v>0</v>
      </c>
      <c r="E18" s="160">
        <f>TripMode_input!D15</f>
        <v>0</v>
      </c>
      <c r="F18" s="160">
        <f>TripMode_input!E15</f>
        <v>0</v>
      </c>
      <c r="G18" s="160">
        <f>TripMode_input!F15</f>
        <v>0</v>
      </c>
      <c r="H18" s="160">
        <f>TripMode_input!G15</f>
        <v>0</v>
      </c>
      <c r="I18" s="160">
        <f>TripMode_input!H15</f>
        <v>0</v>
      </c>
      <c r="J18" s="160">
        <f>TripMode_input!I15</f>
        <v>0</v>
      </c>
      <c r="K18" s="160">
        <f>TripMode_input!J15</f>
        <v>0</v>
      </c>
      <c r="L18" s="160">
        <f>TripMode_input!K15</f>
        <v>432.24617000000001</v>
      </c>
      <c r="M18" s="160">
        <f>TripMode_input!L15</f>
        <v>0</v>
      </c>
      <c r="N18" s="160">
        <f>TripMode_input!M15</f>
        <v>236533.95782000001</v>
      </c>
      <c r="O18" s="160">
        <f>TripMode_input!N15</f>
        <v>0</v>
      </c>
      <c r="P18" s="160">
        <f>TripMode_input!O15</f>
        <v>0</v>
      </c>
      <c r="Q18" s="162">
        <f t="shared" si="0"/>
        <v>236966.20399000001</v>
      </c>
      <c r="S18" s="107" t="s">
        <v>397</v>
      </c>
      <c r="T18" s="160">
        <f>TripMode_input!R15*Index!$B$2</f>
        <v>0</v>
      </c>
      <c r="U18" s="160">
        <f>TripMode_input!S15*Index!$B$2</f>
        <v>0</v>
      </c>
      <c r="V18" s="160">
        <f>TripMode_input!T15*Index!$B$2</f>
        <v>0</v>
      </c>
      <c r="W18" s="160">
        <f>TripMode_input!U15*Index!$B$2</f>
        <v>0</v>
      </c>
      <c r="X18" s="160">
        <f>TripMode_input!V15*Index!$B$2</f>
        <v>0</v>
      </c>
      <c r="Y18" s="160">
        <f>TripMode_input!W15*Index!$B$2</f>
        <v>0</v>
      </c>
      <c r="Z18" s="160">
        <f>TripMode_input!X15*Index!$B$2</f>
        <v>0</v>
      </c>
      <c r="AA18" s="160">
        <f>TripMode_input!Y15*Index!$B$2</f>
        <v>0</v>
      </c>
      <c r="AB18" s="160">
        <f>TripMode_input!Z15*Index!$B$2</f>
        <v>0</v>
      </c>
      <c r="AC18" s="160">
        <f>TripMode_input!AA15*Index!$B$2</f>
        <v>0</v>
      </c>
      <c r="AD18" s="160">
        <f>TripMode_input!AB15*Index!$B$2</f>
        <v>0</v>
      </c>
      <c r="AE18" s="160">
        <f>TripMode_input!AC15*Index!$B$2</f>
        <v>60740</v>
      </c>
      <c r="AF18" s="160">
        <f>TripMode_input!AD15*Index!$B$2</f>
        <v>0</v>
      </c>
      <c r="AG18" s="160">
        <f>TripMode_input!AE15*Index!$B$2</f>
        <v>0</v>
      </c>
      <c r="AH18" s="162">
        <f t="shared" si="1"/>
        <v>60740</v>
      </c>
      <c r="AJ18" s="107" t="s">
        <v>397</v>
      </c>
      <c r="AK18" s="166">
        <f t="shared" si="26"/>
        <v>0</v>
      </c>
      <c r="AL18" s="166">
        <f t="shared" si="2"/>
        <v>0</v>
      </c>
      <c r="AM18" s="166">
        <f t="shared" si="3"/>
        <v>0</v>
      </c>
      <c r="AN18" s="166">
        <f t="shared" si="4"/>
        <v>0</v>
      </c>
      <c r="AO18" s="166">
        <f t="shared" si="5"/>
        <v>0</v>
      </c>
      <c r="AP18" s="166">
        <f t="shared" si="6"/>
        <v>0</v>
      </c>
      <c r="AQ18" s="166">
        <f t="shared" si="7"/>
        <v>0</v>
      </c>
      <c r="AR18" s="166">
        <f t="shared" si="8"/>
        <v>0</v>
      </c>
      <c r="AS18" s="166">
        <f t="shared" si="9"/>
        <v>0</v>
      </c>
      <c r="AT18" s="166">
        <f t="shared" si="10"/>
        <v>1.7896550670073476E-3</v>
      </c>
      <c r="AU18" s="166">
        <f t="shared" si="11"/>
        <v>0</v>
      </c>
      <c r="AV18" s="166">
        <f t="shared" si="12"/>
        <v>0.65960922910996289</v>
      </c>
      <c r="AW18" s="166">
        <f t="shared" si="13"/>
        <v>0</v>
      </c>
      <c r="AX18" s="166">
        <f t="shared" si="14"/>
        <v>0</v>
      </c>
      <c r="AY18" s="168">
        <f t="shared" si="15"/>
        <v>2.1718211058403599E-2</v>
      </c>
      <c r="BA18" s="107" t="s">
        <v>397</v>
      </c>
      <c r="BB18" s="166">
        <f t="shared" si="27"/>
        <v>0</v>
      </c>
      <c r="BC18" s="166">
        <f t="shared" si="16"/>
        <v>0</v>
      </c>
      <c r="BD18" s="166">
        <f t="shared" si="17"/>
        <v>0</v>
      </c>
      <c r="BE18" s="166">
        <f t="shared" si="18"/>
        <v>0</v>
      </c>
      <c r="BF18" s="166">
        <f t="shared" si="28"/>
        <v>0</v>
      </c>
      <c r="BG18" s="166">
        <f t="shared" si="44"/>
        <v>0</v>
      </c>
      <c r="BH18" s="166">
        <f t="shared" si="44"/>
        <v>0</v>
      </c>
      <c r="BI18" s="166">
        <f t="shared" si="44"/>
        <v>0</v>
      </c>
      <c r="BJ18" s="166" t="str">
        <f t="shared" si="44"/>
        <v/>
      </c>
      <c r="BK18" s="166">
        <f t="shared" si="44"/>
        <v>0</v>
      </c>
      <c r="BL18" s="166">
        <f t="shared" si="20"/>
        <v>0</v>
      </c>
      <c r="BM18" s="166">
        <f t="shared" si="21"/>
        <v>1</v>
      </c>
      <c r="BN18" s="166">
        <f t="shared" si="22"/>
        <v>0</v>
      </c>
      <c r="BO18" s="166" t="str">
        <f t="shared" si="23"/>
        <v/>
      </c>
      <c r="BP18" s="168">
        <f t="shared" si="24"/>
        <v>5.9387363710448962E-3</v>
      </c>
      <c r="BR18" s="107" t="s">
        <v>397</v>
      </c>
      <c r="BS18" s="166" t="str">
        <f t="shared" si="34"/>
        <v/>
      </c>
      <c r="BT18" s="166" t="str">
        <f t="shared" si="35"/>
        <v/>
      </c>
      <c r="BU18" s="166" t="str">
        <f t="shared" si="36"/>
        <v/>
      </c>
      <c r="BV18" s="166" t="str">
        <f t="shared" si="37"/>
        <v/>
      </c>
      <c r="BW18" s="166"/>
      <c r="BX18" s="166"/>
      <c r="BY18" s="166"/>
      <c r="BZ18" s="166"/>
      <c r="CA18" s="166"/>
      <c r="CB18" s="166">
        <f t="shared" si="38"/>
        <v>-1</v>
      </c>
      <c r="CC18" s="166" t="str">
        <f t="shared" si="39"/>
        <v/>
      </c>
      <c r="CD18" s="166">
        <f t="shared" si="40"/>
        <v>0.51604913313499268</v>
      </c>
      <c r="CE18" s="166" t="str">
        <f t="shared" si="41"/>
        <v/>
      </c>
      <c r="CF18" s="166" t="str">
        <f t="shared" si="42"/>
        <v/>
      </c>
      <c r="CG18" s="168">
        <f t="shared" si="43"/>
        <v>-0.7265549931771671</v>
      </c>
    </row>
    <row r="19" spans="2:85" x14ac:dyDescent="0.25">
      <c r="B19" s="107" t="s">
        <v>398</v>
      </c>
      <c r="C19" s="160">
        <f>TripMode_input!B16</f>
        <v>0</v>
      </c>
      <c r="D19" s="160">
        <f>TripMode_input!C16</f>
        <v>0</v>
      </c>
      <c r="E19" s="160">
        <f>TripMode_input!D16</f>
        <v>0</v>
      </c>
      <c r="F19" s="160">
        <f>TripMode_input!E16</f>
        <v>0</v>
      </c>
      <c r="G19" s="160">
        <f>TripMode_input!F16</f>
        <v>0</v>
      </c>
      <c r="H19" s="160">
        <f>TripMode_input!G16</f>
        <v>0</v>
      </c>
      <c r="I19" s="160">
        <f>TripMode_input!H16</f>
        <v>0</v>
      </c>
      <c r="J19" s="160">
        <f>TripMode_input!I16</f>
        <v>0</v>
      </c>
      <c r="K19" s="160">
        <f>TripMode_input!J16</f>
        <v>5452.3011500000002</v>
      </c>
      <c r="L19" s="160">
        <f>TripMode_input!K16</f>
        <v>1179.5942299999999</v>
      </c>
      <c r="M19" s="160">
        <f>TripMode_input!L16</f>
        <v>4519.8355199999996</v>
      </c>
      <c r="N19" s="160">
        <f>TripMode_input!M16</f>
        <v>1205.6579899999999</v>
      </c>
      <c r="O19" s="160">
        <f>TripMode_input!N16</f>
        <v>11158.036340000001</v>
      </c>
      <c r="P19" s="160">
        <f>TripMode_input!O16</f>
        <v>0</v>
      </c>
      <c r="Q19" s="162">
        <f t="shared" si="0"/>
        <v>23515.425230000001</v>
      </c>
      <c r="S19" s="107" t="s">
        <v>398</v>
      </c>
      <c r="T19" s="160">
        <f>TripMode_input!R16*Index!$B$2</f>
        <v>0</v>
      </c>
      <c r="U19" s="160">
        <f>TripMode_input!S16*Index!$B$2</f>
        <v>0</v>
      </c>
      <c r="V19" s="160">
        <f>TripMode_input!T16*Index!$B$2</f>
        <v>0</v>
      </c>
      <c r="W19" s="160">
        <f>TripMode_input!U16*Index!$B$2</f>
        <v>0</v>
      </c>
      <c r="X19" s="160">
        <f>TripMode_input!V16*Index!$B$2</f>
        <v>0</v>
      </c>
      <c r="Y19" s="160">
        <f>TripMode_input!W16*Index!$B$2</f>
        <v>0</v>
      </c>
      <c r="Z19" s="160">
        <f>TripMode_input!X16*Index!$B$2</f>
        <v>0</v>
      </c>
      <c r="AA19" s="160">
        <f>TripMode_input!Y16*Index!$B$2</f>
        <v>0</v>
      </c>
      <c r="AB19" s="160">
        <f>TripMode_input!Z16*Index!$B$2</f>
        <v>0</v>
      </c>
      <c r="AC19" s="160">
        <f>TripMode_input!AA16*Index!$B$2</f>
        <v>8520</v>
      </c>
      <c r="AD19" s="160">
        <f>TripMode_input!AB16*Index!$B$2</f>
        <v>0</v>
      </c>
      <c r="AE19" s="160">
        <f>TripMode_input!AC16*Index!$B$2</f>
        <v>0</v>
      </c>
      <c r="AF19" s="160">
        <f>TripMode_input!AD16*Index!$B$2</f>
        <v>17665</v>
      </c>
      <c r="AG19" s="160">
        <f>TripMode_input!AE16*Index!$B$2</f>
        <v>0</v>
      </c>
      <c r="AH19" s="162">
        <f t="shared" si="1"/>
        <v>26185</v>
      </c>
      <c r="AJ19" s="107" t="s">
        <v>398</v>
      </c>
      <c r="AK19" s="166">
        <f t="shared" si="26"/>
        <v>0</v>
      </c>
      <c r="AL19" s="166">
        <f t="shared" si="2"/>
        <v>0</v>
      </c>
      <c r="AM19" s="166">
        <f t="shared" si="3"/>
        <v>0</v>
      </c>
      <c r="AN19" s="166">
        <f t="shared" si="4"/>
        <v>0</v>
      </c>
      <c r="AO19" s="166">
        <f t="shared" si="5"/>
        <v>0</v>
      </c>
      <c r="AP19" s="166">
        <f t="shared" si="6"/>
        <v>0</v>
      </c>
      <c r="AQ19" s="166">
        <f t="shared" si="7"/>
        <v>0</v>
      </c>
      <c r="AR19" s="166">
        <f t="shared" si="8"/>
        <v>0</v>
      </c>
      <c r="AS19" s="166">
        <f t="shared" si="9"/>
        <v>9.0036468810456832E-3</v>
      </c>
      <c r="AT19" s="166">
        <f t="shared" si="10"/>
        <v>4.8839456246243442E-3</v>
      </c>
      <c r="AU19" s="166">
        <f t="shared" si="11"/>
        <v>2.7328437726683509E-2</v>
      </c>
      <c r="AV19" s="166">
        <f t="shared" si="12"/>
        <v>3.3621520761063601E-3</v>
      </c>
      <c r="AW19" s="166">
        <f t="shared" si="13"/>
        <v>0.52483194293168944</v>
      </c>
      <c r="AX19" s="166">
        <f t="shared" si="14"/>
        <v>0</v>
      </c>
      <c r="AY19" s="168">
        <f t="shared" si="15"/>
        <v>2.1552143709691243E-3</v>
      </c>
      <c r="BA19" s="107" t="s">
        <v>398</v>
      </c>
      <c r="BB19" s="166">
        <f t="shared" si="27"/>
        <v>0</v>
      </c>
      <c r="BC19" s="166">
        <f t="shared" si="16"/>
        <v>0</v>
      </c>
      <c r="BD19" s="166">
        <f t="shared" si="17"/>
        <v>0</v>
      </c>
      <c r="BE19" s="166">
        <f t="shared" si="18"/>
        <v>0</v>
      </c>
      <c r="BF19" s="166">
        <f t="shared" si="28"/>
        <v>0</v>
      </c>
      <c r="BG19" s="166">
        <f t="shared" si="44"/>
        <v>0</v>
      </c>
      <c r="BH19" s="166">
        <f t="shared" si="44"/>
        <v>0</v>
      </c>
      <c r="BI19" s="166">
        <f t="shared" si="44"/>
        <v>0</v>
      </c>
      <c r="BJ19" s="166" t="str">
        <f t="shared" si="44"/>
        <v/>
      </c>
      <c r="BK19" s="166">
        <f t="shared" si="44"/>
        <v>1.2571563477542349E-2</v>
      </c>
      <c r="BL19" s="166">
        <f t="shared" si="20"/>
        <v>0</v>
      </c>
      <c r="BM19" s="166">
        <f t="shared" si="21"/>
        <v>0</v>
      </c>
      <c r="BN19" s="166">
        <f t="shared" si="22"/>
        <v>0.6517247740269323</v>
      </c>
      <c r="BO19" s="166" t="str">
        <f t="shared" si="23"/>
        <v/>
      </c>
      <c r="BP19" s="168">
        <f t="shared" si="24"/>
        <v>2.5601878807344517E-3</v>
      </c>
      <c r="BR19" s="107" t="s">
        <v>398</v>
      </c>
      <c r="BS19" s="166" t="str">
        <f t="shared" si="34"/>
        <v/>
      </c>
      <c r="BT19" s="166" t="str">
        <f t="shared" si="35"/>
        <v/>
      </c>
      <c r="BU19" s="166" t="str">
        <f t="shared" si="36"/>
        <v/>
      </c>
      <c r="BV19" s="166" t="str">
        <f t="shared" si="37"/>
        <v/>
      </c>
      <c r="BW19" s="166"/>
      <c r="BX19" s="166"/>
      <c r="BY19" s="166"/>
      <c r="BZ19" s="166"/>
      <c r="CA19" s="166"/>
      <c r="CB19" s="166">
        <f t="shared" si="38"/>
        <v>1.5740588540048106</v>
      </c>
      <c r="CC19" s="166">
        <f t="shared" si="39"/>
        <v>-1</v>
      </c>
      <c r="CD19" s="166">
        <f t="shared" si="40"/>
        <v>-1</v>
      </c>
      <c r="CE19" s="166">
        <f t="shared" si="41"/>
        <v>0.24177802590754055</v>
      </c>
      <c r="CF19" s="166" t="str">
        <f t="shared" si="42"/>
        <v/>
      </c>
      <c r="CG19" s="168">
        <f t="shared" si="43"/>
        <v>0.18790405039069275</v>
      </c>
    </row>
    <row r="20" spans="2:85" x14ac:dyDescent="0.25">
      <c r="B20" s="107" t="s">
        <v>399</v>
      </c>
      <c r="C20" s="160">
        <f>TripMode_input!B17</f>
        <v>0</v>
      </c>
      <c r="D20" s="160">
        <f>TripMode_input!C17</f>
        <v>0</v>
      </c>
      <c r="E20" s="160">
        <f>TripMode_input!D17</f>
        <v>0</v>
      </c>
      <c r="F20" s="160">
        <f>TripMode_input!E17</f>
        <v>0</v>
      </c>
      <c r="G20" s="160">
        <f>TripMode_input!F17</f>
        <v>0</v>
      </c>
      <c r="H20" s="160">
        <f>TripMode_input!G17</f>
        <v>0</v>
      </c>
      <c r="I20" s="160">
        <f>TripMode_input!H17</f>
        <v>0</v>
      </c>
      <c r="J20" s="160">
        <f>TripMode_input!I17</f>
        <v>0</v>
      </c>
      <c r="K20" s="160">
        <f>TripMode_input!J17</f>
        <v>0</v>
      </c>
      <c r="L20" s="160">
        <f>TripMode_input!K17</f>
        <v>0</v>
      </c>
      <c r="M20" s="160">
        <f>TripMode_input!L17</f>
        <v>0</v>
      </c>
      <c r="N20" s="160">
        <f>TripMode_input!M17</f>
        <v>0</v>
      </c>
      <c r="O20" s="160">
        <f>TripMode_input!N17</f>
        <v>0</v>
      </c>
      <c r="P20" s="160">
        <f>TripMode_input!O17</f>
        <v>7758.3350600000003</v>
      </c>
      <c r="Q20" s="162">
        <f t="shared" si="0"/>
        <v>7758.3350600000003</v>
      </c>
      <c r="S20" s="107" t="s">
        <v>399</v>
      </c>
      <c r="T20" s="160">
        <f>TripMode_input!R17*Index!$B$2</f>
        <v>0</v>
      </c>
      <c r="U20" s="160">
        <f>TripMode_input!S17*Index!$B$2</f>
        <v>0</v>
      </c>
      <c r="V20" s="160">
        <f>TripMode_input!T17*Index!$B$2</f>
        <v>0</v>
      </c>
      <c r="W20" s="160">
        <f>TripMode_input!U17*Index!$B$2</f>
        <v>0</v>
      </c>
      <c r="X20" s="160">
        <f>TripMode_input!V17*Index!$B$2</f>
        <v>0</v>
      </c>
      <c r="Y20" s="160">
        <f>TripMode_input!W17*Index!$B$2</f>
        <v>0</v>
      </c>
      <c r="Z20" s="160">
        <f>TripMode_input!X17*Index!$B$2</f>
        <v>0</v>
      </c>
      <c r="AA20" s="160">
        <f>TripMode_input!Y17*Index!$B$2</f>
        <v>0</v>
      </c>
      <c r="AB20" s="160">
        <f>TripMode_input!Z17*Index!$B$2</f>
        <v>0</v>
      </c>
      <c r="AC20" s="160">
        <f>TripMode_input!AA17*Index!$B$2</f>
        <v>0</v>
      </c>
      <c r="AD20" s="160">
        <f>TripMode_input!AB17*Index!$B$2</f>
        <v>0</v>
      </c>
      <c r="AE20" s="160">
        <f>TripMode_input!AC17*Index!$B$2</f>
        <v>0</v>
      </c>
      <c r="AF20" s="160">
        <f>TripMode_input!AD17*Index!$B$2</f>
        <v>0</v>
      </c>
      <c r="AG20" s="160">
        <f>TripMode_input!AE17*Index!$B$2</f>
        <v>0</v>
      </c>
      <c r="AH20" s="162">
        <f t="shared" si="1"/>
        <v>0</v>
      </c>
      <c r="AJ20" s="107" t="s">
        <v>399</v>
      </c>
      <c r="AK20" s="166">
        <f t="shared" si="26"/>
        <v>0</v>
      </c>
      <c r="AL20" s="166">
        <f t="shared" si="2"/>
        <v>0</v>
      </c>
      <c r="AM20" s="166">
        <f t="shared" si="3"/>
        <v>0</v>
      </c>
      <c r="AN20" s="166">
        <f t="shared" si="4"/>
        <v>0</v>
      </c>
      <c r="AO20" s="166">
        <f t="shared" si="5"/>
        <v>0</v>
      </c>
      <c r="AP20" s="166">
        <f t="shared" si="6"/>
        <v>0</v>
      </c>
      <c r="AQ20" s="166">
        <f t="shared" si="7"/>
        <v>0</v>
      </c>
      <c r="AR20" s="166">
        <f t="shared" si="8"/>
        <v>0</v>
      </c>
      <c r="AS20" s="166">
        <f t="shared" si="9"/>
        <v>0</v>
      </c>
      <c r="AT20" s="166">
        <f t="shared" si="10"/>
        <v>0</v>
      </c>
      <c r="AU20" s="166">
        <f t="shared" si="11"/>
        <v>0</v>
      </c>
      <c r="AV20" s="166">
        <f t="shared" si="12"/>
        <v>0</v>
      </c>
      <c r="AW20" s="166">
        <f t="shared" si="13"/>
        <v>0</v>
      </c>
      <c r="AX20" s="166">
        <f t="shared" si="14"/>
        <v>0.5748686110357295</v>
      </c>
      <c r="AY20" s="168">
        <f t="shared" si="15"/>
        <v>7.1105987038558012E-4</v>
      </c>
      <c r="BA20" s="107" t="s">
        <v>399</v>
      </c>
      <c r="BB20" s="166">
        <f t="shared" si="27"/>
        <v>0</v>
      </c>
      <c r="BC20" s="166">
        <f t="shared" si="16"/>
        <v>0</v>
      </c>
      <c r="BD20" s="166">
        <f t="shared" si="17"/>
        <v>0</v>
      </c>
      <c r="BE20" s="166">
        <f t="shared" si="18"/>
        <v>0</v>
      </c>
      <c r="BF20" s="166">
        <f t="shared" si="28"/>
        <v>0</v>
      </c>
      <c r="BG20" s="166">
        <f t="shared" si="44"/>
        <v>0</v>
      </c>
      <c r="BH20" s="166">
        <f t="shared" si="44"/>
        <v>0</v>
      </c>
      <c r="BI20" s="166">
        <f t="shared" si="44"/>
        <v>0</v>
      </c>
      <c r="BJ20" s="166" t="str">
        <f t="shared" si="44"/>
        <v/>
      </c>
      <c r="BK20" s="166">
        <f t="shared" si="44"/>
        <v>0</v>
      </c>
      <c r="BL20" s="166">
        <f t="shared" si="20"/>
        <v>0</v>
      </c>
      <c r="BM20" s="166">
        <f t="shared" si="21"/>
        <v>0</v>
      </c>
      <c r="BN20" s="166">
        <f t="shared" si="22"/>
        <v>0</v>
      </c>
      <c r="BO20" s="166" t="str">
        <f t="shared" si="23"/>
        <v/>
      </c>
      <c r="BP20" s="168">
        <f t="shared" si="24"/>
        <v>0</v>
      </c>
      <c r="BR20" s="107" t="s">
        <v>399</v>
      </c>
      <c r="BS20" s="166" t="str">
        <f t="shared" si="34"/>
        <v/>
      </c>
      <c r="BT20" s="166" t="str">
        <f t="shared" si="35"/>
        <v/>
      </c>
      <c r="BU20" s="166" t="str">
        <f t="shared" si="36"/>
        <v/>
      </c>
      <c r="BV20" s="166" t="str">
        <f t="shared" si="37"/>
        <v/>
      </c>
      <c r="BW20" s="166"/>
      <c r="BX20" s="166"/>
      <c r="BY20" s="166"/>
      <c r="BZ20" s="166"/>
      <c r="CA20" s="166"/>
      <c r="CB20" s="166" t="str">
        <f t="shared" si="38"/>
        <v/>
      </c>
      <c r="CC20" s="166" t="str">
        <f t="shared" si="39"/>
        <v/>
      </c>
      <c r="CD20" s="166" t="str">
        <f t="shared" si="40"/>
        <v/>
      </c>
      <c r="CE20" s="166" t="str">
        <f t="shared" si="41"/>
        <v/>
      </c>
      <c r="CF20" s="166" t="e">
        <f t="shared" si="42"/>
        <v>#VALUE!</v>
      </c>
      <c r="CG20" s="168">
        <f t="shared" si="43"/>
        <v>-1</v>
      </c>
    </row>
    <row r="21" spans="2:85" ht="15.75" thickBot="1" x14ac:dyDescent="0.3">
      <c r="B21" s="108" t="s">
        <v>29</v>
      </c>
      <c r="C21" s="109">
        <f t="shared" ref="C21:P21" si="45">SUM(C7:C20)</f>
        <v>6565212.6938299993</v>
      </c>
      <c r="D21" s="110">
        <f t="shared" si="45"/>
        <v>503423.25897999998</v>
      </c>
      <c r="E21" s="110">
        <f t="shared" si="45"/>
        <v>1239640.7963400001</v>
      </c>
      <c r="F21" s="110">
        <f t="shared" si="45"/>
        <v>85277.934739999997</v>
      </c>
      <c r="G21" s="110">
        <f t="shared" si="45"/>
        <v>735236.04008999991</v>
      </c>
      <c r="H21" s="110">
        <f t="shared" si="45"/>
        <v>30733.210739999999</v>
      </c>
      <c r="I21" s="110">
        <f t="shared" si="45"/>
        <v>199320.90985</v>
      </c>
      <c r="J21" s="110">
        <f t="shared" si="45"/>
        <v>146266.73031000001</v>
      </c>
      <c r="K21" s="110">
        <f t="shared" si="45"/>
        <v>605565.85814999999</v>
      </c>
      <c r="L21" s="110">
        <f t="shared" si="45"/>
        <v>241524.84909999999</v>
      </c>
      <c r="M21" s="110">
        <f t="shared" si="45"/>
        <v>165389.45859999998</v>
      </c>
      <c r="N21" s="110">
        <f t="shared" si="45"/>
        <v>358597.10170999996</v>
      </c>
      <c r="O21" s="110">
        <f t="shared" si="45"/>
        <v>21260.208129999999</v>
      </c>
      <c r="P21" s="110">
        <f t="shared" si="45"/>
        <v>13495.840459999999</v>
      </c>
      <c r="Q21" s="112">
        <f>SUM(Q7:Q20)</f>
        <v>10910944.891030001</v>
      </c>
      <c r="S21" s="108" t="s">
        <v>29</v>
      </c>
      <c r="T21" s="109">
        <f t="shared" ref="T21:AH21" si="46">SUM(T7:T20)</f>
        <v>6055900</v>
      </c>
      <c r="U21" s="110">
        <f t="shared" si="46"/>
        <v>927965</v>
      </c>
      <c r="V21" s="110">
        <f t="shared" si="46"/>
        <v>1192885</v>
      </c>
      <c r="W21" s="110">
        <f t="shared" si="46"/>
        <v>109405</v>
      </c>
      <c r="X21" s="110">
        <f t="shared" si="46"/>
        <v>584820</v>
      </c>
      <c r="Y21" s="110">
        <f t="shared" si="46"/>
        <v>67570</v>
      </c>
      <c r="Z21" s="110">
        <f t="shared" si="46"/>
        <v>298005</v>
      </c>
      <c r="AA21" s="110">
        <f t="shared" si="46"/>
        <v>202190</v>
      </c>
      <c r="AB21" s="110">
        <f t="shared" si="46"/>
        <v>0</v>
      </c>
      <c r="AC21" s="110">
        <f t="shared" si="46"/>
        <v>677720</v>
      </c>
      <c r="AD21" s="110">
        <f t="shared" si="46"/>
        <v>23460</v>
      </c>
      <c r="AE21" s="110">
        <f t="shared" si="46"/>
        <v>60740</v>
      </c>
      <c r="AF21" s="110">
        <f t="shared" si="46"/>
        <v>27105</v>
      </c>
      <c r="AG21" s="110">
        <f t="shared" si="46"/>
        <v>0</v>
      </c>
      <c r="AH21" s="112">
        <f t="shared" si="46"/>
        <v>10227765</v>
      </c>
      <c r="AJ21" s="108" t="s">
        <v>29</v>
      </c>
      <c r="AK21" s="120">
        <f t="shared" si="26"/>
        <v>1</v>
      </c>
      <c r="AL21" s="121">
        <f t="shared" si="2"/>
        <v>1</v>
      </c>
      <c r="AM21" s="121">
        <f t="shared" si="3"/>
        <v>1</v>
      </c>
      <c r="AN21" s="121">
        <f t="shared" si="4"/>
        <v>1</v>
      </c>
      <c r="AO21" s="121">
        <f t="shared" si="5"/>
        <v>1</v>
      </c>
      <c r="AP21" s="121">
        <f t="shared" si="6"/>
        <v>1</v>
      </c>
      <c r="AQ21" s="121">
        <f t="shared" si="7"/>
        <v>1</v>
      </c>
      <c r="AR21" s="121">
        <f t="shared" si="8"/>
        <v>1</v>
      </c>
      <c r="AS21" s="121">
        <f t="shared" si="9"/>
        <v>1</v>
      </c>
      <c r="AT21" s="121">
        <f t="shared" si="10"/>
        <v>1</v>
      </c>
      <c r="AU21" s="121">
        <f t="shared" si="11"/>
        <v>1</v>
      </c>
      <c r="AV21" s="121">
        <f t="shared" si="12"/>
        <v>1</v>
      </c>
      <c r="AW21" s="121">
        <f t="shared" si="13"/>
        <v>1</v>
      </c>
      <c r="AX21" s="121">
        <f t="shared" si="14"/>
        <v>1</v>
      </c>
      <c r="AY21" s="123">
        <f t="shared" si="15"/>
        <v>1</v>
      </c>
      <c r="BA21" s="108" t="s">
        <v>29</v>
      </c>
      <c r="BB21" s="120">
        <f t="shared" si="27"/>
        <v>1</v>
      </c>
      <c r="BC21" s="121">
        <f t="shared" si="16"/>
        <v>1</v>
      </c>
      <c r="BD21" s="121">
        <f t="shared" si="17"/>
        <v>1</v>
      </c>
      <c r="BE21" s="121">
        <f t="shared" si="18"/>
        <v>1</v>
      </c>
      <c r="BF21" s="121">
        <f>IF(X$21&gt;0,X21/X$21,"")</f>
        <v>1</v>
      </c>
      <c r="BG21" s="121">
        <f t="shared" si="44"/>
        <v>1</v>
      </c>
      <c r="BH21" s="121">
        <f t="shared" si="44"/>
        <v>1</v>
      </c>
      <c r="BI21" s="121">
        <f t="shared" si="44"/>
        <v>1</v>
      </c>
      <c r="BJ21" s="121" t="str">
        <f t="shared" si="44"/>
        <v/>
      </c>
      <c r="BK21" s="121">
        <f t="shared" si="44"/>
        <v>1</v>
      </c>
      <c r="BL21" s="121">
        <f t="shared" si="20"/>
        <v>1</v>
      </c>
      <c r="BM21" s="121">
        <f t="shared" si="21"/>
        <v>1</v>
      </c>
      <c r="BN21" s="121">
        <f t="shared" si="22"/>
        <v>1</v>
      </c>
      <c r="BO21" s="121" t="str">
        <f t="shared" si="23"/>
        <v/>
      </c>
      <c r="BP21" s="123">
        <f t="shared" si="24"/>
        <v>1</v>
      </c>
      <c r="BR21" s="108" t="s">
        <v>29</v>
      </c>
      <c r="BS21" s="120">
        <f t="shared" si="34"/>
        <v>0</v>
      </c>
      <c r="BT21" s="121">
        <f t="shared" si="35"/>
        <v>0</v>
      </c>
      <c r="BU21" s="121">
        <f t="shared" si="36"/>
        <v>0</v>
      </c>
      <c r="BV21" s="121">
        <f t="shared" si="37"/>
        <v>0</v>
      </c>
      <c r="BW21" s="121"/>
      <c r="BX21" s="121"/>
      <c r="BY21" s="121"/>
      <c r="BZ21" s="121"/>
      <c r="CA21" s="121"/>
      <c r="CB21" s="121">
        <f t="shared" si="38"/>
        <v>0</v>
      </c>
      <c r="CC21" s="121">
        <f t="shared" si="39"/>
        <v>0</v>
      </c>
      <c r="CD21" s="121">
        <f t="shared" si="40"/>
        <v>0</v>
      </c>
      <c r="CE21" s="121">
        <f t="shared" si="41"/>
        <v>0</v>
      </c>
      <c r="CF21" s="121" t="e">
        <f t="shared" si="42"/>
        <v>#VALUE!</v>
      </c>
      <c r="CG21" s="123">
        <f t="shared" si="43"/>
        <v>0</v>
      </c>
    </row>
    <row r="22" spans="2:85" x14ac:dyDescent="0.25">
      <c r="B22" t="s">
        <v>217</v>
      </c>
      <c r="C22" s="383" t="s">
        <v>206</v>
      </c>
      <c r="D22" s="383"/>
      <c r="E22" s="383"/>
      <c r="F22" s="383"/>
      <c r="G22" s="383"/>
      <c r="H22" s="383"/>
      <c r="I22" s="383"/>
      <c r="J22" s="383"/>
      <c r="K22" s="383"/>
      <c r="L22" s="383"/>
      <c r="M22" s="383"/>
      <c r="N22" s="383"/>
      <c r="O22" s="383"/>
      <c r="P22" s="383"/>
      <c r="Q22" s="383"/>
      <c r="S22" t="s">
        <v>217</v>
      </c>
      <c r="T22" s="383" t="s">
        <v>206</v>
      </c>
      <c r="U22" s="383"/>
      <c r="V22" s="383"/>
      <c r="W22" s="383"/>
      <c r="X22" s="383"/>
      <c r="Y22" s="383"/>
      <c r="Z22" s="383"/>
      <c r="AA22" s="383"/>
      <c r="AB22" s="383"/>
      <c r="AC22" s="383"/>
      <c r="AD22" s="383"/>
      <c r="AE22" s="383"/>
      <c r="AF22" s="383"/>
      <c r="AG22" s="383"/>
      <c r="AH22" s="383"/>
      <c r="AJ22" t="s">
        <v>217</v>
      </c>
      <c r="AK22" s="383" t="s">
        <v>206</v>
      </c>
      <c r="AL22" s="383"/>
      <c r="AM22" s="383"/>
      <c r="AN22" s="383"/>
      <c r="AO22" s="383"/>
      <c r="AP22" s="383"/>
      <c r="AQ22" s="383"/>
      <c r="AR22" s="383"/>
      <c r="AS22" s="383"/>
      <c r="AT22" s="383"/>
      <c r="AU22" s="383"/>
      <c r="AV22" s="383"/>
      <c r="AW22" s="383"/>
      <c r="AX22" s="383"/>
      <c r="AY22" s="383"/>
      <c r="BA22" t="s">
        <v>217</v>
      </c>
      <c r="BB22" s="383" t="s">
        <v>206</v>
      </c>
      <c r="BC22" s="383"/>
      <c r="BD22" s="383"/>
      <c r="BE22" s="383"/>
      <c r="BF22" s="383"/>
      <c r="BG22" s="383"/>
      <c r="BH22" s="383"/>
      <c r="BI22" s="383"/>
      <c r="BJ22" s="383"/>
      <c r="BK22" s="383"/>
      <c r="BL22" s="383"/>
      <c r="BM22" s="383"/>
      <c r="BN22" s="383"/>
      <c r="BO22" s="383"/>
      <c r="BP22" s="383"/>
      <c r="BR22" t="s">
        <v>217</v>
      </c>
      <c r="BS22" s="383" t="s">
        <v>206</v>
      </c>
      <c r="BT22" s="383"/>
      <c r="BU22" s="383"/>
      <c r="BV22" s="383"/>
      <c r="BW22" s="383"/>
      <c r="BX22" s="383"/>
      <c r="BY22" s="383"/>
      <c r="BZ22" s="383"/>
      <c r="CA22" s="383"/>
      <c r="CB22" s="383"/>
      <c r="CC22" s="383"/>
      <c r="CD22" s="383"/>
      <c r="CE22" s="383"/>
      <c r="CF22" s="383"/>
      <c r="CG22" s="383"/>
    </row>
    <row r="23" spans="2:85" ht="35.450000000000003" customHeight="1" x14ac:dyDescent="0.25">
      <c r="B23" s="163" t="s">
        <v>207</v>
      </c>
      <c r="C23" s="164" t="s">
        <v>386</v>
      </c>
      <c r="D23" s="164" t="s">
        <v>387</v>
      </c>
      <c r="E23" s="164" t="s">
        <v>388</v>
      </c>
      <c r="F23" s="164" t="s">
        <v>389</v>
      </c>
      <c r="G23" s="164" t="s">
        <v>390</v>
      </c>
      <c r="H23" s="164" t="s">
        <v>391</v>
      </c>
      <c r="I23" s="164" t="s">
        <v>392</v>
      </c>
      <c r="J23" s="164" t="s">
        <v>393</v>
      </c>
      <c r="K23" s="164" t="s">
        <v>394</v>
      </c>
      <c r="L23" s="164" t="s">
        <v>395</v>
      </c>
      <c r="M23" s="164" t="s">
        <v>396</v>
      </c>
      <c r="N23" s="164" t="s">
        <v>397</v>
      </c>
      <c r="O23" s="164" t="s">
        <v>398</v>
      </c>
      <c r="P23" s="164" t="s">
        <v>399</v>
      </c>
      <c r="Q23" s="106" t="s">
        <v>29</v>
      </c>
      <c r="S23" s="163" t="s">
        <v>207</v>
      </c>
      <c r="T23" s="164" t="s">
        <v>386</v>
      </c>
      <c r="U23" s="164" t="s">
        <v>387</v>
      </c>
      <c r="V23" s="164" t="s">
        <v>388</v>
      </c>
      <c r="W23" s="164" t="s">
        <v>389</v>
      </c>
      <c r="X23" s="164" t="s">
        <v>390</v>
      </c>
      <c r="Y23" s="164" t="s">
        <v>391</v>
      </c>
      <c r="Z23" s="164" t="s">
        <v>392</v>
      </c>
      <c r="AA23" s="164" t="s">
        <v>393</v>
      </c>
      <c r="AB23" s="164" t="s">
        <v>394</v>
      </c>
      <c r="AC23" s="164" t="s">
        <v>395</v>
      </c>
      <c r="AD23" s="164" t="s">
        <v>396</v>
      </c>
      <c r="AE23" s="164" t="s">
        <v>397</v>
      </c>
      <c r="AF23" s="164" t="s">
        <v>398</v>
      </c>
      <c r="AG23" s="164" t="s">
        <v>399</v>
      </c>
      <c r="AH23" s="106" t="s">
        <v>29</v>
      </c>
      <c r="AJ23" s="163" t="s">
        <v>207</v>
      </c>
      <c r="AK23" s="164" t="s">
        <v>386</v>
      </c>
      <c r="AL23" s="164" t="s">
        <v>387</v>
      </c>
      <c r="AM23" s="164" t="s">
        <v>388</v>
      </c>
      <c r="AN23" s="164" t="s">
        <v>389</v>
      </c>
      <c r="AO23" s="164" t="s">
        <v>390</v>
      </c>
      <c r="AP23" s="164" t="s">
        <v>391</v>
      </c>
      <c r="AQ23" s="164" t="s">
        <v>392</v>
      </c>
      <c r="AR23" s="164" t="s">
        <v>393</v>
      </c>
      <c r="AS23" s="164" t="s">
        <v>394</v>
      </c>
      <c r="AT23" s="164" t="s">
        <v>395</v>
      </c>
      <c r="AU23" s="164" t="s">
        <v>396</v>
      </c>
      <c r="AV23" s="164" t="s">
        <v>397</v>
      </c>
      <c r="AW23" s="164" t="s">
        <v>398</v>
      </c>
      <c r="AX23" s="164" t="s">
        <v>399</v>
      </c>
      <c r="AY23" s="106" t="s">
        <v>29</v>
      </c>
      <c r="BA23" s="163" t="s">
        <v>207</v>
      </c>
      <c r="BB23" s="164" t="s">
        <v>386</v>
      </c>
      <c r="BC23" s="164" t="s">
        <v>387</v>
      </c>
      <c r="BD23" s="164" t="s">
        <v>388</v>
      </c>
      <c r="BE23" s="164" t="s">
        <v>389</v>
      </c>
      <c r="BF23" s="164" t="s">
        <v>390</v>
      </c>
      <c r="BG23" s="164" t="s">
        <v>391</v>
      </c>
      <c r="BH23" s="164" t="s">
        <v>392</v>
      </c>
      <c r="BI23" s="164" t="s">
        <v>393</v>
      </c>
      <c r="BJ23" s="164" t="s">
        <v>394</v>
      </c>
      <c r="BK23" s="164" t="s">
        <v>395</v>
      </c>
      <c r="BL23" s="164" t="s">
        <v>396</v>
      </c>
      <c r="BM23" s="164" t="s">
        <v>397</v>
      </c>
      <c r="BN23" s="164" t="s">
        <v>398</v>
      </c>
      <c r="BO23" s="164" t="s">
        <v>399</v>
      </c>
      <c r="BP23" s="106" t="s">
        <v>29</v>
      </c>
      <c r="BR23" s="163" t="s">
        <v>207</v>
      </c>
      <c r="BS23" s="164" t="s">
        <v>386</v>
      </c>
      <c r="BT23" s="164" t="s">
        <v>387</v>
      </c>
      <c r="BU23" s="164" t="s">
        <v>388</v>
      </c>
      <c r="BV23" s="164" t="s">
        <v>389</v>
      </c>
      <c r="BW23" s="164" t="s">
        <v>390</v>
      </c>
      <c r="BX23" s="164" t="s">
        <v>391</v>
      </c>
      <c r="BY23" s="164" t="s">
        <v>392</v>
      </c>
      <c r="BZ23" s="164" t="s">
        <v>393</v>
      </c>
      <c r="CA23" s="164" t="s">
        <v>394</v>
      </c>
      <c r="CB23" s="164" t="s">
        <v>395</v>
      </c>
      <c r="CC23" s="164" t="s">
        <v>396</v>
      </c>
      <c r="CD23" s="164" t="s">
        <v>397</v>
      </c>
      <c r="CE23" s="164" t="s">
        <v>398</v>
      </c>
      <c r="CF23" s="164" t="s">
        <v>399</v>
      </c>
      <c r="CG23" s="106" t="s">
        <v>29</v>
      </c>
    </row>
    <row r="24" spans="2:85" x14ac:dyDescent="0.25">
      <c r="B24" s="107" t="s">
        <v>386</v>
      </c>
      <c r="C24" s="160">
        <f>TripMode_input!B20</f>
        <v>192682.14715999999</v>
      </c>
      <c r="D24" s="160">
        <f>TripMode_input!C20</f>
        <v>4659.2815199999995</v>
      </c>
      <c r="E24" s="160">
        <f>TripMode_input!D20</f>
        <v>5200.58565</v>
      </c>
      <c r="F24" s="160">
        <f>TripMode_input!E20</f>
        <v>2227.6537499999999</v>
      </c>
      <c r="G24" s="160">
        <f>TripMode_input!F20</f>
        <v>3607.6983</v>
      </c>
      <c r="H24" s="160">
        <f>TripMode_input!G20</f>
        <v>0</v>
      </c>
      <c r="I24" s="160">
        <f>TripMode_input!H20</f>
        <v>0</v>
      </c>
      <c r="J24" s="160">
        <f>TripMode_input!I20</f>
        <v>0</v>
      </c>
      <c r="K24" s="160">
        <f>TripMode_input!J20</f>
        <v>0</v>
      </c>
      <c r="L24" s="160">
        <f>TripMode_input!K20</f>
        <v>0</v>
      </c>
      <c r="M24" s="160">
        <f>TripMode_input!L20</f>
        <v>0</v>
      </c>
      <c r="N24" s="160">
        <f>TripMode_input!M20</f>
        <v>1409.99953</v>
      </c>
      <c r="O24" s="160">
        <f>TripMode_input!N20</f>
        <v>0</v>
      </c>
      <c r="P24" s="160">
        <f>TripMode_input!O20</f>
        <v>0</v>
      </c>
      <c r="Q24" s="161">
        <f t="shared" ref="Q24:Q37" si="47">SUM(C24:P24)</f>
        <v>209787.36590999996</v>
      </c>
      <c r="S24" s="107" t="s">
        <v>386</v>
      </c>
      <c r="T24" s="160">
        <f>TripMode_input!R20*Index!$B$2</f>
        <v>104215</v>
      </c>
      <c r="U24" s="160">
        <f>TripMode_input!S20*Index!$B$2</f>
        <v>16450</v>
      </c>
      <c r="V24" s="160">
        <f>TripMode_input!T20*Index!$B$2</f>
        <v>9350</v>
      </c>
      <c r="W24" s="160">
        <f>TripMode_input!U20*Index!$B$2</f>
        <v>875</v>
      </c>
      <c r="X24" s="160">
        <f>TripMode_input!V20*Index!$B$2</f>
        <v>3185</v>
      </c>
      <c r="Y24" s="160">
        <f>TripMode_input!W20*Index!$B$2</f>
        <v>370</v>
      </c>
      <c r="Z24" s="160">
        <f>TripMode_input!X20*Index!$B$2</f>
        <v>0</v>
      </c>
      <c r="AA24" s="160">
        <f>TripMode_input!Y20*Index!$B$2</f>
        <v>0</v>
      </c>
      <c r="AB24" s="160">
        <f>TripMode_input!Z20*Index!$B$2</f>
        <v>0</v>
      </c>
      <c r="AC24" s="160">
        <f>TripMode_input!AA20*Index!$B$2</f>
        <v>0</v>
      </c>
      <c r="AD24" s="160">
        <f>TripMode_input!AB20*Index!$B$2</f>
        <v>0</v>
      </c>
      <c r="AE24" s="160">
        <f>TripMode_input!AC20*Index!$B$2</f>
        <v>0</v>
      </c>
      <c r="AF24" s="160">
        <f>TripMode_input!AD20*Index!$B$2</f>
        <v>0</v>
      </c>
      <c r="AG24" s="160">
        <f>TripMode_input!AE20*Index!$B$2</f>
        <v>0</v>
      </c>
      <c r="AH24" s="161">
        <f t="shared" ref="AH24:AH37" si="48">SUM(T24:AG24)</f>
        <v>134445</v>
      </c>
      <c r="AJ24" s="107" t="s">
        <v>386</v>
      </c>
      <c r="AK24" s="166">
        <f>IF(C$38&gt;0,C24/C$38,"")</f>
        <v>0.9998190317622716</v>
      </c>
      <c r="AL24" s="166">
        <f t="shared" ref="AL24:AL38" si="49">IF(D$38&gt;0,D24/D$38,"")</f>
        <v>0.39484176429179235</v>
      </c>
      <c r="AM24" s="166">
        <f t="shared" ref="AM24:AM38" si="50">IF(E$38&gt;0,E24/E$38,"")</f>
        <v>8.0589440055616704E-2</v>
      </c>
      <c r="AN24" s="166">
        <f t="shared" ref="AN24:AN38" si="51">IF(F$38&gt;0,F24/F$38,"")</f>
        <v>0.59459293604602348</v>
      </c>
      <c r="AO24" s="166">
        <f t="shared" ref="AO24:AO38" si="52">IF(G$38&gt;0,G24/G$38,"")</f>
        <v>0.2371248573897263</v>
      </c>
      <c r="AP24" s="166">
        <f t="shared" ref="AP24:AP38" si="53">IF(H$38&gt;0,H24/H$38,"")</f>
        <v>0</v>
      </c>
      <c r="AQ24" s="166">
        <f t="shared" ref="AQ24:AQ38" si="54">IF(I$38&gt;0,I24/I$38,"")</f>
        <v>0</v>
      </c>
      <c r="AR24" s="166">
        <f t="shared" ref="AR24:AR38" si="55">IF(J$38&gt;0,J24/J$38,"")</f>
        <v>0</v>
      </c>
      <c r="AS24" s="166">
        <f t="shared" ref="AS24:AS38" si="56">IF(K$38&gt;0,K24/K$38,"")</f>
        <v>0</v>
      </c>
      <c r="AT24" s="166">
        <f t="shared" ref="AT24:AT38" si="57">IF(L$38&gt;0,L24/L$38,"")</f>
        <v>0</v>
      </c>
      <c r="AU24" s="166">
        <f t="shared" ref="AU24:AU38" si="58">IF(M$38&gt;0,M24/M$38,"")</f>
        <v>0</v>
      </c>
      <c r="AV24" s="166">
        <f t="shared" ref="AV24:AV38" si="59">IF(N$38&gt;0,N24/N$38,"")</f>
        <v>5.034314142996768E-2</v>
      </c>
      <c r="AW24" s="166">
        <f t="shared" ref="AW24:AW38" si="60">IF(O$38&gt;0,O24/O$38,"")</f>
        <v>0</v>
      </c>
      <c r="AX24" s="166">
        <f t="shared" ref="AX24:AX38" si="61">IF(P$38&gt;0,P24/P$38,"")</f>
        <v>0</v>
      </c>
      <c r="AY24" s="167">
        <f t="shared" ref="AY24:AY38" si="62">IF(Q$38&gt;0,Q24/Q$38,"")</f>
        <v>0.44416503059265394</v>
      </c>
      <c r="BA24" s="107" t="s">
        <v>386</v>
      </c>
      <c r="BB24" s="166">
        <f>IF(T$38&gt;0,T24/T$38,"")</f>
        <v>0.97415404748551127</v>
      </c>
      <c r="BC24" s="166">
        <f t="shared" ref="BC24:BC38" si="63">IF(U$38&gt;0,U24/U$38,"")</f>
        <v>0.81174438687392059</v>
      </c>
      <c r="BD24" s="166">
        <f t="shared" ref="BD24:BD38" si="64">IF(V$38&gt;0,V24/V$38,"")</f>
        <v>0.23372078490188727</v>
      </c>
      <c r="BE24" s="166">
        <f t="shared" ref="BE24:BE38" si="65">IF(W$38&gt;0,W24/W$38,"")</f>
        <v>0.2032520325203252</v>
      </c>
      <c r="BF24" s="166">
        <f t="shared" ref="BF24:BF38" si="66">IF(X$38&gt;0,X24/X$38,"")</f>
        <v>0.42837928715534634</v>
      </c>
      <c r="BG24" s="166">
        <f t="shared" ref="BG24:BG38" si="67">IF(Y$38&gt;0,Y24/Y$38,"")</f>
        <v>0.37948717948717947</v>
      </c>
      <c r="BH24" s="166">
        <f t="shared" ref="BH24:BH38" si="68">IF(Z$38&gt;0,Z24/Z$38,"")</f>
        <v>0</v>
      </c>
      <c r="BI24" s="166">
        <f t="shared" ref="BI24:BI38" si="69">IF(AA$38&gt;0,AA24/AA$38,"")</f>
        <v>0</v>
      </c>
      <c r="BJ24" s="166" t="str">
        <f t="shared" ref="BJ24:BJ38" si="70">IF(AB$38&gt;0,AB24/AB$38,"")</f>
        <v/>
      </c>
      <c r="BK24" s="166">
        <f t="shared" ref="BK24:BK38" si="71">IF(AC$38&gt;0,AC24/AC$38,"")</f>
        <v>0</v>
      </c>
      <c r="BL24" s="166">
        <f t="shared" ref="BL24:BL38" si="72">IF(AD$38&gt;0,AD24/AD$38,"")</f>
        <v>0</v>
      </c>
      <c r="BM24" s="166">
        <f t="shared" ref="BM24:BM38" si="73">IF(AE$38&gt;0,AE24/AE$38,"")</f>
        <v>0</v>
      </c>
      <c r="BN24" s="166">
        <f t="shared" ref="BN24:BN38" si="74">IF(AF$38&gt;0,AF24/AF$38,"")</f>
        <v>0</v>
      </c>
      <c r="BO24" s="166" t="str">
        <f t="shared" ref="BO24:BO38" si="75">IF(AG$38&gt;0,AG24/AG$38,"")</f>
        <v/>
      </c>
      <c r="BP24" s="167">
        <f t="shared" ref="BP24:BP38" si="76">IF(AH$38&gt;0,AH24/AH$38,"")</f>
        <v>0.40063472197389594</v>
      </c>
      <c r="BR24" s="107" t="s">
        <v>386</v>
      </c>
      <c r="BS24" s="166">
        <f t="shared" ref="BS24:BV27" si="77">IF(OR(ISNA(AK24),AK24=0,AK24=""),"",(BB24-AK24)/AK24)</f>
        <v>-2.5669629664403847E-2</v>
      </c>
      <c r="BT24" s="166">
        <f t="shared" si="77"/>
        <v>1.0558726565562417</v>
      </c>
      <c r="BU24" s="166">
        <f t="shared" si="77"/>
        <v>1.9001415661976426</v>
      </c>
      <c r="BV24" s="166">
        <f t="shared" si="77"/>
        <v>-0.65816608271210131</v>
      </c>
      <c r="BW24" s="166"/>
      <c r="BX24" s="166"/>
      <c r="BY24" s="166"/>
      <c r="BZ24" s="166"/>
      <c r="CA24" s="166"/>
      <c r="CB24" s="166" t="str">
        <f t="shared" ref="CB24:CG24" si="78">IF(OR(ISNA(AT24),AT24=0,AT24=""),"",(BK24-AT24)/AT24)</f>
        <v/>
      </c>
      <c r="CC24" s="166" t="str">
        <f t="shared" si="78"/>
        <v/>
      </c>
      <c r="CD24" s="166">
        <f t="shared" si="78"/>
        <v>-1</v>
      </c>
      <c r="CE24" s="166" t="str">
        <f t="shared" si="78"/>
        <v/>
      </c>
      <c r="CF24" s="166" t="str">
        <f t="shared" si="78"/>
        <v/>
      </c>
      <c r="CG24" s="167">
        <f t="shared" si="78"/>
        <v>-9.8004808169330826E-2</v>
      </c>
    </row>
    <row r="25" spans="2:85" x14ac:dyDescent="0.25">
      <c r="B25" s="107" t="s">
        <v>387</v>
      </c>
      <c r="C25" s="160">
        <f>TripMode_input!B21</f>
        <v>0</v>
      </c>
      <c r="D25" s="160">
        <f>TripMode_input!C21</f>
        <v>7141.0950899999998</v>
      </c>
      <c r="E25" s="160">
        <f>TripMode_input!D21</f>
        <v>0</v>
      </c>
      <c r="F25" s="160">
        <f>TripMode_input!E21</f>
        <v>742.55124999999998</v>
      </c>
      <c r="G25" s="160">
        <f>TripMode_input!F21</f>
        <v>0</v>
      </c>
      <c r="H25" s="160">
        <f>TripMode_input!G21</f>
        <v>1059.8390400000001</v>
      </c>
      <c r="I25" s="160">
        <f>TripMode_input!H21</f>
        <v>0</v>
      </c>
      <c r="J25" s="160">
        <f>TripMode_input!I21</f>
        <v>0</v>
      </c>
      <c r="K25" s="160">
        <f>TripMode_input!J21</f>
        <v>0</v>
      </c>
      <c r="L25" s="160">
        <f>TripMode_input!K21</f>
        <v>0</v>
      </c>
      <c r="M25" s="160">
        <f>TripMode_input!L21</f>
        <v>0</v>
      </c>
      <c r="N25" s="160">
        <f>TripMode_input!M21</f>
        <v>493.64591999999999</v>
      </c>
      <c r="O25" s="160">
        <f>TripMode_input!N21</f>
        <v>0</v>
      </c>
      <c r="P25" s="160">
        <f>TripMode_input!O21</f>
        <v>0</v>
      </c>
      <c r="Q25" s="162">
        <f t="shared" si="47"/>
        <v>9437.1313000000009</v>
      </c>
      <c r="S25" s="107" t="s">
        <v>387</v>
      </c>
      <c r="T25" s="160">
        <f>TripMode_input!R21*Index!$B$2</f>
        <v>2765</v>
      </c>
      <c r="U25" s="160">
        <f>TripMode_input!S21*Index!$B$2</f>
        <v>3815</v>
      </c>
      <c r="V25" s="160">
        <f>TripMode_input!T21*Index!$B$2</f>
        <v>365</v>
      </c>
      <c r="W25" s="160">
        <f>TripMode_input!U21*Index!$B$2</f>
        <v>180</v>
      </c>
      <c r="X25" s="160">
        <f>TripMode_input!V21*Index!$B$2</f>
        <v>130</v>
      </c>
      <c r="Y25" s="160">
        <f>TripMode_input!W21*Index!$B$2</f>
        <v>60</v>
      </c>
      <c r="Z25" s="160">
        <f>TripMode_input!X21*Index!$B$2</f>
        <v>0</v>
      </c>
      <c r="AA25" s="160">
        <f>TripMode_input!Y21*Index!$B$2</f>
        <v>0</v>
      </c>
      <c r="AB25" s="160">
        <f>TripMode_input!Z21*Index!$B$2</f>
        <v>0</v>
      </c>
      <c r="AC25" s="160">
        <f>TripMode_input!AA21*Index!$B$2</f>
        <v>0</v>
      </c>
      <c r="AD25" s="160">
        <f>TripMode_input!AB21*Index!$B$2</f>
        <v>0</v>
      </c>
      <c r="AE25" s="160">
        <f>TripMode_input!AC21*Index!$B$2</f>
        <v>0</v>
      </c>
      <c r="AF25" s="160">
        <f>TripMode_input!AD21*Index!$B$2</f>
        <v>0</v>
      </c>
      <c r="AG25" s="160">
        <f>TripMode_input!AE21*Index!$B$2</f>
        <v>0</v>
      </c>
      <c r="AH25" s="162">
        <f t="shared" si="48"/>
        <v>7315</v>
      </c>
      <c r="AJ25" s="107" t="s">
        <v>387</v>
      </c>
      <c r="AK25" s="166">
        <f t="shared" ref="AK25:AK38" si="79">IF(C$38&gt;0,C25/C$38,"")</f>
        <v>0</v>
      </c>
      <c r="AL25" s="166">
        <f t="shared" si="49"/>
        <v>0.60515823570820759</v>
      </c>
      <c r="AM25" s="166">
        <f t="shared" si="50"/>
        <v>0</v>
      </c>
      <c r="AN25" s="166">
        <f t="shared" si="51"/>
        <v>0.19819764534867451</v>
      </c>
      <c r="AO25" s="166">
        <f t="shared" si="52"/>
        <v>0</v>
      </c>
      <c r="AP25" s="166">
        <f t="shared" si="53"/>
        <v>0.33333333333333331</v>
      </c>
      <c r="AQ25" s="166">
        <f t="shared" si="54"/>
        <v>0</v>
      </c>
      <c r="AR25" s="166">
        <f t="shared" si="55"/>
        <v>0</v>
      </c>
      <c r="AS25" s="166">
        <f t="shared" si="56"/>
        <v>0</v>
      </c>
      <c r="AT25" s="166">
        <f t="shared" si="57"/>
        <v>0</v>
      </c>
      <c r="AU25" s="166">
        <f t="shared" si="58"/>
        <v>0</v>
      </c>
      <c r="AV25" s="166">
        <f t="shared" si="59"/>
        <v>1.7625315355166472E-2</v>
      </c>
      <c r="AW25" s="166">
        <f t="shared" si="60"/>
        <v>0</v>
      </c>
      <c r="AX25" s="166">
        <f t="shared" si="61"/>
        <v>0</v>
      </c>
      <c r="AY25" s="168">
        <f t="shared" si="62"/>
        <v>1.9980439214674312E-2</v>
      </c>
      <c r="BA25" s="107" t="s">
        <v>387</v>
      </c>
      <c r="BB25" s="166">
        <f t="shared" ref="BB25:BB38" si="80">IF(T$38&gt;0,T25/T$38,"")</f>
        <v>2.584595251448869E-2</v>
      </c>
      <c r="BC25" s="166">
        <f t="shared" si="63"/>
        <v>0.18825561312607944</v>
      </c>
      <c r="BD25" s="166">
        <f t="shared" si="64"/>
        <v>9.1238595175603052E-3</v>
      </c>
      <c r="BE25" s="166">
        <f t="shared" si="65"/>
        <v>4.1811846689895474E-2</v>
      </c>
      <c r="BF25" s="166">
        <f t="shared" si="66"/>
        <v>1.7484868863483525E-2</v>
      </c>
      <c r="BG25" s="166">
        <f t="shared" si="67"/>
        <v>6.1538461538461542E-2</v>
      </c>
      <c r="BH25" s="166">
        <f t="shared" si="68"/>
        <v>0</v>
      </c>
      <c r="BI25" s="166">
        <f t="shared" si="69"/>
        <v>0</v>
      </c>
      <c r="BJ25" s="166" t="str">
        <f t="shared" si="70"/>
        <v/>
      </c>
      <c r="BK25" s="166">
        <f t="shared" si="71"/>
        <v>0</v>
      </c>
      <c r="BL25" s="166">
        <f t="shared" si="72"/>
        <v>0</v>
      </c>
      <c r="BM25" s="166">
        <f t="shared" si="73"/>
        <v>0</v>
      </c>
      <c r="BN25" s="166">
        <f t="shared" si="74"/>
        <v>0</v>
      </c>
      <c r="BO25" s="166" t="str">
        <f t="shared" si="75"/>
        <v/>
      </c>
      <c r="BP25" s="168">
        <f t="shared" si="76"/>
        <v>2.179808093450146E-2</v>
      </c>
      <c r="BR25" s="107" t="s">
        <v>387</v>
      </c>
      <c r="BS25" s="166" t="str">
        <f t="shared" si="77"/>
        <v/>
      </c>
      <c r="BT25" s="166">
        <f t="shared" si="77"/>
        <v>-0.68891506052831508</v>
      </c>
      <c r="BU25" s="166" t="str">
        <f t="shared" si="77"/>
        <v/>
      </c>
      <c r="BV25" s="166">
        <f t="shared" si="77"/>
        <v>-0.78903963961661117</v>
      </c>
      <c r="BW25" s="166"/>
      <c r="BX25" s="166"/>
      <c r="BY25" s="166"/>
      <c r="BZ25" s="166"/>
      <c r="CA25" s="166"/>
      <c r="CB25" s="166" t="str">
        <f t="shared" ref="CB25:CG27" si="81">IF(OR(ISNA(AT25),AT25=0,AT25=""),"",(BK25-AT25)/AT25)</f>
        <v/>
      </c>
      <c r="CC25" s="166" t="str">
        <f t="shared" si="81"/>
        <v/>
      </c>
      <c r="CD25" s="166">
        <f t="shared" si="81"/>
        <v>-1</v>
      </c>
      <c r="CE25" s="166" t="str">
        <f t="shared" si="81"/>
        <v/>
      </c>
      <c r="CF25" s="166" t="str">
        <f t="shared" si="81"/>
        <v/>
      </c>
      <c r="CG25" s="168">
        <f t="shared" si="81"/>
        <v>9.0971059259408571E-2</v>
      </c>
    </row>
    <row r="26" spans="2:85" x14ac:dyDescent="0.25">
      <c r="B26" s="107" t="s">
        <v>388</v>
      </c>
      <c r="C26" s="160">
        <f>TripMode_input!B22</f>
        <v>0</v>
      </c>
      <c r="D26" s="160">
        <f>TripMode_input!C22</f>
        <v>0</v>
      </c>
      <c r="E26" s="160">
        <f>TripMode_input!D22</f>
        <v>57976.7111</v>
      </c>
      <c r="F26" s="160">
        <f>TripMode_input!E22</f>
        <v>753.80551000000003</v>
      </c>
      <c r="G26" s="160">
        <f>TripMode_input!F22</f>
        <v>4008.43271</v>
      </c>
      <c r="H26" s="160">
        <f>TripMode_input!G22</f>
        <v>1059.8390400000001</v>
      </c>
      <c r="I26" s="160">
        <f>TripMode_input!H22</f>
        <v>0</v>
      </c>
      <c r="J26" s="160">
        <f>TripMode_input!I22</f>
        <v>0</v>
      </c>
      <c r="K26" s="160">
        <f>TripMode_input!J22</f>
        <v>931.28814999999997</v>
      </c>
      <c r="L26" s="160">
        <f>TripMode_input!K22</f>
        <v>0</v>
      </c>
      <c r="M26" s="160">
        <f>TripMode_input!L22</f>
        <v>2036.0218299999999</v>
      </c>
      <c r="N26" s="160">
        <f>TripMode_input!M22</f>
        <v>1535.14058</v>
      </c>
      <c r="O26" s="160">
        <f>TripMode_input!N22</f>
        <v>0</v>
      </c>
      <c r="P26" s="160">
        <f>TripMode_input!O22</f>
        <v>130.67189999999999</v>
      </c>
      <c r="Q26" s="162">
        <f t="shared" si="47"/>
        <v>68431.910820000005</v>
      </c>
      <c r="S26" s="107" t="s">
        <v>388</v>
      </c>
      <c r="T26" s="160">
        <f>TripMode_input!R22*Index!$B$2</f>
        <v>0</v>
      </c>
      <c r="U26" s="160">
        <f>TripMode_input!S22*Index!$B$2</f>
        <v>0</v>
      </c>
      <c r="V26" s="160">
        <f>TripMode_input!T22*Index!$B$2</f>
        <v>28035</v>
      </c>
      <c r="W26" s="160">
        <f>TripMode_input!U22*Index!$B$2</f>
        <v>2565</v>
      </c>
      <c r="X26" s="160">
        <f>TripMode_input!V22*Index!$B$2</f>
        <v>705</v>
      </c>
      <c r="Y26" s="160">
        <f>TripMode_input!W22*Index!$B$2</f>
        <v>75</v>
      </c>
      <c r="Z26" s="160">
        <f>TripMode_input!X22*Index!$B$2</f>
        <v>0</v>
      </c>
      <c r="AA26" s="160">
        <f>TripMode_input!Y22*Index!$B$2</f>
        <v>0</v>
      </c>
      <c r="AB26" s="160">
        <f>TripMode_input!Z22*Index!$B$2</f>
        <v>0</v>
      </c>
      <c r="AC26" s="160">
        <f>TripMode_input!AA22*Index!$B$2</f>
        <v>1075</v>
      </c>
      <c r="AD26" s="160">
        <f>TripMode_input!AB22*Index!$B$2</f>
        <v>0</v>
      </c>
      <c r="AE26" s="160">
        <f>TripMode_input!AC22*Index!$B$2</f>
        <v>0</v>
      </c>
      <c r="AF26" s="160">
        <f>TripMode_input!AD22*Index!$B$2</f>
        <v>5755</v>
      </c>
      <c r="AG26" s="160">
        <f>TripMode_input!AE22*Index!$B$2</f>
        <v>0</v>
      </c>
      <c r="AH26" s="162">
        <f t="shared" si="48"/>
        <v>38210</v>
      </c>
      <c r="AJ26" s="107" t="s">
        <v>388</v>
      </c>
      <c r="AK26" s="166">
        <f t="shared" si="79"/>
        <v>0</v>
      </c>
      <c r="AL26" s="166">
        <f t="shared" si="49"/>
        <v>0</v>
      </c>
      <c r="AM26" s="166">
        <f t="shared" si="50"/>
        <v>0.89842010078523715</v>
      </c>
      <c r="AN26" s="166">
        <f t="shared" si="51"/>
        <v>0.20120156976755035</v>
      </c>
      <c r="AO26" s="166">
        <f t="shared" si="52"/>
        <v>0.26346411359150074</v>
      </c>
      <c r="AP26" s="166">
        <f t="shared" si="53"/>
        <v>0.33333333333333331</v>
      </c>
      <c r="AQ26" s="166">
        <f t="shared" si="54"/>
        <v>0</v>
      </c>
      <c r="AR26" s="166">
        <f t="shared" si="55"/>
        <v>0</v>
      </c>
      <c r="AS26" s="166">
        <f t="shared" si="56"/>
        <v>1.1550379767955381E-2</v>
      </c>
      <c r="AT26" s="166">
        <f t="shared" si="57"/>
        <v>0</v>
      </c>
      <c r="AU26" s="166">
        <f t="shared" si="58"/>
        <v>0.19069614213093458</v>
      </c>
      <c r="AV26" s="166">
        <f t="shared" si="59"/>
        <v>5.4811223471700456E-2</v>
      </c>
      <c r="AW26" s="166">
        <f t="shared" si="60"/>
        <v>0</v>
      </c>
      <c r="AX26" s="166">
        <f t="shared" si="61"/>
        <v>9.2596064149807547E-2</v>
      </c>
      <c r="AY26" s="168">
        <f t="shared" si="62"/>
        <v>0.14488509177391898</v>
      </c>
      <c r="BA26" s="107" t="s">
        <v>388</v>
      </c>
      <c r="BB26" s="166">
        <f t="shared" si="80"/>
        <v>0</v>
      </c>
      <c r="BC26" s="166">
        <f t="shared" si="63"/>
        <v>0</v>
      </c>
      <c r="BD26" s="166">
        <f t="shared" si="64"/>
        <v>0.70078740157480313</v>
      </c>
      <c r="BE26" s="166">
        <f t="shared" si="65"/>
        <v>0.59581881533101044</v>
      </c>
      <c r="BF26" s="166">
        <f t="shared" si="66"/>
        <v>9.4821788836583723E-2</v>
      </c>
      <c r="BG26" s="166">
        <f t="shared" si="67"/>
        <v>7.6923076923076927E-2</v>
      </c>
      <c r="BH26" s="166">
        <f t="shared" si="68"/>
        <v>0</v>
      </c>
      <c r="BI26" s="166">
        <f t="shared" si="69"/>
        <v>0</v>
      </c>
      <c r="BJ26" s="166" t="str">
        <f t="shared" si="70"/>
        <v/>
      </c>
      <c r="BK26" s="166">
        <f t="shared" si="71"/>
        <v>1.4371657754010695E-2</v>
      </c>
      <c r="BL26" s="166">
        <f t="shared" si="72"/>
        <v>0</v>
      </c>
      <c r="BM26" s="166">
        <f t="shared" si="73"/>
        <v>0</v>
      </c>
      <c r="BN26" s="166">
        <f t="shared" si="74"/>
        <v>0.20328505828329213</v>
      </c>
      <c r="BO26" s="166" t="str">
        <f t="shared" si="75"/>
        <v/>
      </c>
      <c r="BP26" s="168">
        <f t="shared" si="76"/>
        <v>0.11386256630311699</v>
      </c>
      <c r="BR26" s="107" t="s">
        <v>388</v>
      </c>
      <c r="BS26" s="166" t="str">
        <f t="shared" si="77"/>
        <v/>
      </c>
      <c r="BT26" s="166" t="str">
        <f t="shared" si="77"/>
        <v/>
      </c>
      <c r="BU26" s="166">
        <f t="shared" si="77"/>
        <v>-0.21997804706027735</v>
      </c>
      <c r="BV26" s="166">
        <f t="shared" si="77"/>
        <v>1.9613030157735067</v>
      </c>
      <c r="BW26" s="166"/>
      <c r="BX26" s="166"/>
      <c r="BY26" s="166"/>
      <c r="BZ26" s="166"/>
      <c r="CA26" s="166"/>
      <c r="CB26" s="166" t="str">
        <f t="shared" si="81"/>
        <v/>
      </c>
      <c r="CC26" s="166">
        <f t="shared" si="81"/>
        <v>-1</v>
      </c>
      <c r="CD26" s="166">
        <f t="shared" si="81"/>
        <v>-1</v>
      </c>
      <c r="CE26" s="166" t="str">
        <f t="shared" si="81"/>
        <v/>
      </c>
      <c r="CF26" s="166" t="e">
        <f t="shared" si="81"/>
        <v>#VALUE!</v>
      </c>
      <c r="CG26" s="168">
        <f t="shared" si="81"/>
        <v>-0.21411813383263778</v>
      </c>
    </row>
    <row r="27" spans="2:85" x14ac:dyDescent="0.25">
      <c r="B27" s="107" t="s">
        <v>389</v>
      </c>
      <c r="C27" s="160">
        <f>TripMode_input!B23</f>
        <v>0</v>
      </c>
      <c r="D27" s="160">
        <f>TripMode_input!C23</f>
        <v>0</v>
      </c>
      <c r="E27" s="160">
        <f>TripMode_input!D23</f>
        <v>0</v>
      </c>
      <c r="F27" s="160">
        <f>TripMode_input!E23</f>
        <v>22.508520000000001</v>
      </c>
      <c r="G27" s="160">
        <f>TripMode_input!F23</f>
        <v>0</v>
      </c>
      <c r="H27" s="160">
        <f>TripMode_input!G23</f>
        <v>0</v>
      </c>
      <c r="I27" s="160">
        <f>TripMode_input!H23</f>
        <v>0</v>
      </c>
      <c r="J27" s="160">
        <f>TripMode_input!I23</f>
        <v>0</v>
      </c>
      <c r="K27" s="160">
        <f>TripMode_input!J23</f>
        <v>0</v>
      </c>
      <c r="L27" s="160">
        <f>TripMode_input!K23</f>
        <v>0</v>
      </c>
      <c r="M27" s="160">
        <f>TripMode_input!L23</f>
        <v>0</v>
      </c>
      <c r="N27" s="160">
        <f>TripMode_input!M23</f>
        <v>0</v>
      </c>
      <c r="O27" s="160">
        <f>TripMode_input!N23</f>
        <v>0</v>
      </c>
      <c r="P27" s="160">
        <f>TripMode_input!O23</f>
        <v>0</v>
      </c>
      <c r="Q27" s="162">
        <f t="shared" si="47"/>
        <v>22.508520000000001</v>
      </c>
      <c r="S27" s="107" t="s">
        <v>389</v>
      </c>
      <c r="T27" s="160">
        <f>TripMode_input!R23*Index!$B$2</f>
        <v>0</v>
      </c>
      <c r="U27" s="160">
        <f>TripMode_input!S23*Index!$B$2</f>
        <v>0</v>
      </c>
      <c r="V27" s="160">
        <f>TripMode_input!T23*Index!$B$2</f>
        <v>1090</v>
      </c>
      <c r="W27" s="160">
        <f>TripMode_input!U23*Index!$B$2</f>
        <v>660</v>
      </c>
      <c r="X27" s="160">
        <f>TripMode_input!V23*Index!$B$2</f>
        <v>45</v>
      </c>
      <c r="Y27" s="160">
        <f>TripMode_input!W23*Index!$B$2</f>
        <v>5</v>
      </c>
      <c r="Z27" s="160">
        <f>TripMode_input!X23*Index!$B$2</f>
        <v>0</v>
      </c>
      <c r="AA27" s="160">
        <f>TripMode_input!Y23*Index!$B$2</f>
        <v>0</v>
      </c>
      <c r="AB27" s="160">
        <f>TripMode_input!Z23*Index!$B$2</f>
        <v>0</v>
      </c>
      <c r="AC27" s="160">
        <f>TripMode_input!AA23*Index!$B$2</f>
        <v>20</v>
      </c>
      <c r="AD27" s="160">
        <f>TripMode_input!AB23*Index!$B$2</f>
        <v>0</v>
      </c>
      <c r="AE27" s="160">
        <f>TripMode_input!AC23*Index!$B$2</f>
        <v>0</v>
      </c>
      <c r="AF27" s="160">
        <f>TripMode_input!AD23*Index!$B$2</f>
        <v>595</v>
      </c>
      <c r="AG27" s="160">
        <f>TripMode_input!AE23*Index!$B$2</f>
        <v>0</v>
      </c>
      <c r="AH27" s="162">
        <f t="shared" si="48"/>
        <v>2415</v>
      </c>
      <c r="AJ27" s="107" t="s">
        <v>389</v>
      </c>
      <c r="AK27" s="166">
        <f t="shared" si="79"/>
        <v>0</v>
      </c>
      <c r="AL27" s="166">
        <f t="shared" si="49"/>
        <v>0</v>
      </c>
      <c r="AM27" s="166">
        <f t="shared" si="50"/>
        <v>0</v>
      </c>
      <c r="AN27" s="166">
        <f t="shared" si="51"/>
        <v>6.0078488377516663E-3</v>
      </c>
      <c r="AO27" s="166">
        <f t="shared" si="52"/>
        <v>0</v>
      </c>
      <c r="AP27" s="166">
        <f t="shared" si="53"/>
        <v>0</v>
      </c>
      <c r="AQ27" s="166">
        <f t="shared" si="54"/>
        <v>0</v>
      </c>
      <c r="AR27" s="166">
        <f t="shared" si="55"/>
        <v>0</v>
      </c>
      <c r="AS27" s="166">
        <f t="shared" si="56"/>
        <v>0</v>
      </c>
      <c r="AT27" s="166">
        <f t="shared" si="57"/>
        <v>0</v>
      </c>
      <c r="AU27" s="166">
        <f t="shared" si="58"/>
        <v>0</v>
      </c>
      <c r="AV27" s="166">
        <f t="shared" si="59"/>
        <v>0</v>
      </c>
      <c r="AW27" s="166">
        <f t="shared" si="60"/>
        <v>0</v>
      </c>
      <c r="AX27" s="166">
        <f t="shared" si="61"/>
        <v>0</v>
      </c>
      <c r="AY27" s="168">
        <f t="shared" si="62"/>
        <v>4.7655383969520591E-5</v>
      </c>
      <c r="BA27" s="107" t="s">
        <v>389</v>
      </c>
      <c r="BB27" s="166">
        <f t="shared" si="80"/>
        <v>0</v>
      </c>
      <c r="BC27" s="166">
        <f t="shared" si="63"/>
        <v>0</v>
      </c>
      <c r="BD27" s="166">
        <f t="shared" si="64"/>
        <v>2.7246594175728035E-2</v>
      </c>
      <c r="BE27" s="166">
        <f t="shared" si="65"/>
        <v>0.15331010452961671</v>
      </c>
      <c r="BF27" s="166">
        <f t="shared" si="66"/>
        <v>6.0524546065904503E-3</v>
      </c>
      <c r="BG27" s="166">
        <f t="shared" si="67"/>
        <v>5.1282051282051282E-3</v>
      </c>
      <c r="BH27" s="166">
        <f t="shared" si="68"/>
        <v>0</v>
      </c>
      <c r="BI27" s="166">
        <f t="shared" si="69"/>
        <v>0</v>
      </c>
      <c r="BJ27" s="166" t="str">
        <f t="shared" si="70"/>
        <v/>
      </c>
      <c r="BK27" s="166">
        <f t="shared" si="71"/>
        <v>2.6737967914438503E-4</v>
      </c>
      <c r="BL27" s="166">
        <f t="shared" si="72"/>
        <v>0</v>
      </c>
      <c r="BM27" s="166">
        <f t="shared" si="73"/>
        <v>0</v>
      </c>
      <c r="BN27" s="166">
        <f t="shared" si="74"/>
        <v>2.1017308371600141E-2</v>
      </c>
      <c r="BO27" s="166" t="str">
        <f t="shared" si="75"/>
        <v/>
      </c>
      <c r="BP27" s="168">
        <f t="shared" si="76"/>
        <v>7.1964956195244055E-3</v>
      </c>
      <c r="BR27" s="107" t="s">
        <v>389</v>
      </c>
      <c r="BS27" s="166" t="str">
        <f t="shared" si="77"/>
        <v/>
      </c>
      <c r="BT27" s="166" t="str">
        <f t="shared" si="77"/>
        <v/>
      </c>
      <c r="BU27" s="166" t="str">
        <f t="shared" si="77"/>
        <v/>
      </c>
      <c r="BV27" s="166">
        <f t="shared" si="77"/>
        <v>24.51830258548755</v>
      </c>
      <c r="BW27" s="166"/>
      <c r="BX27" s="166"/>
      <c r="BY27" s="166"/>
      <c r="BZ27" s="166"/>
      <c r="CA27" s="166"/>
      <c r="CB27" s="166" t="str">
        <f t="shared" si="81"/>
        <v/>
      </c>
      <c r="CC27" s="166" t="str">
        <f t="shared" si="81"/>
        <v/>
      </c>
      <c r="CD27" s="166" t="str">
        <f t="shared" si="81"/>
        <v/>
      </c>
      <c r="CE27" s="166" t="str">
        <f t="shared" si="81"/>
        <v/>
      </c>
      <c r="CF27" s="166" t="str">
        <f t="shared" si="81"/>
        <v/>
      </c>
      <c r="CG27" s="168">
        <f t="shared" si="81"/>
        <v>150.01117691396919</v>
      </c>
    </row>
    <row r="28" spans="2:85" x14ac:dyDescent="0.25">
      <c r="B28" s="107" t="s">
        <v>390</v>
      </c>
      <c r="C28" s="160">
        <f>TripMode_input!B24</f>
        <v>0</v>
      </c>
      <c r="D28" s="160">
        <f>TripMode_input!C24</f>
        <v>0</v>
      </c>
      <c r="E28" s="160">
        <f>TripMode_input!D24</f>
        <v>0</v>
      </c>
      <c r="F28" s="160">
        <f>TripMode_input!E24</f>
        <v>0</v>
      </c>
      <c r="G28" s="160">
        <f>TripMode_input!F24</f>
        <v>7464.2771199999997</v>
      </c>
      <c r="H28" s="160">
        <f>TripMode_input!G24</f>
        <v>1059.8390400000001</v>
      </c>
      <c r="I28" s="160">
        <f>TripMode_input!H24</f>
        <v>0</v>
      </c>
      <c r="J28" s="160">
        <f>TripMode_input!I24</f>
        <v>0</v>
      </c>
      <c r="K28" s="160">
        <f>TripMode_input!J24</f>
        <v>169.00756000000001</v>
      </c>
      <c r="L28" s="160">
        <f>TripMode_input!K24</f>
        <v>0</v>
      </c>
      <c r="M28" s="160">
        <f>TripMode_input!L24</f>
        <v>307.89276999999998</v>
      </c>
      <c r="N28" s="160">
        <f>TripMode_input!M24</f>
        <v>851.58442000000002</v>
      </c>
      <c r="O28" s="160">
        <f>TripMode_input!N24</f>
        <v>0</v>
      </c>
      <c r="P28" s="160">
        <f>TripMode_input!O24</f>
        <v>0</v>
      </c>
      <c r="Q28" s="162">
        <f t="shared" si="47"/>
        <v>9852.6009099999992</v>
      </c>
      <c r="S28" s="107" t="s">
        <v>390</v>
      </c>
      <c r="T28" s="160">
        <f>TripMode_input!R24*Index!$B$2</f>
        <v>0</v>
      </c>
      <c r="U28" s="160">
        <f>TripMode_input!S24*Index!$B$2</f>
        <v>0</v>
      </c>
      <c r="V28" s="160">
        <f>TripMode_input!T24*Index!$B$2</f>
        <v>0</v>
      </c>
      <c r="W28" s="160">
        <f>TripMode_input!U24*Index!$B$2</f>
        <v>0</v>
      </c>
      <c r="X28" s="160">
        <f>TripMode_input!V24*Index!$B$2</f>
        <v>3190</v>
      </c>
      <c r="Y28" s="160">
        <f>TripMode_input!W24*Index!$B$2</f>
        <v>360</v>
      </c>
      <c r="Z28" s="160">
        <f>TripMode_input!X24*Index!$B$2</f>
        <v>0</v>
      </c>
      <c r="AA28" s="160">
        <f>TripMode_input!Y24*Index!$B$2</f>
        <v>0</v>
      </c>
      <c r="AB28" s="160">
        <f>TripMode_input!Z24*Index!$B$2</f>
        <v>0</v>
      </c>
      <c r="AC28" s="160">
        <f>TripMode_input!AA24*Index!$B$2</f>
        <v>150</v>
      </c>
      <c r="AD28" s="160">
        <f>TripMode_input!AB24*Index!$B$2</f>
        <v>0</v>
      </c>
      <c r="AE28" s="160">
        <f>TripMode_input!AC24*Index!$B$2</f>
        <v>0</v>
      </c>
      <c r="AF28" s="160">
        <f>TripMode_input!AD24*Index!$B$2</f>
        <v>5755</v>
      </c>
      <c r="AG28" s="160">
        <f>TripMode_input!AE24*Index!$B$2</f>
        <v>0</v>
      </c>
      <c r="AH28" s="162">
        <f t="shared" si="48"/>
        <v>9455</v>
      </c>
      <c r="AJ28" s="107" t="s">
        <v>390</v>
      </c>
      <c r="AK28" s="166">
        <f t="shared" si="79"/>
        <v>0</v>
      </c>
      <c r="AL28" s="166">
        <f t="shared" si="49"/>
        <v>0</v>
      </c>
      <c r="AM28" s="166">
        <f t="shared" si="50"/>
        <v>0</v>
      </c>
      <c r="AN28" s="166">
        <f t="shared" si="51"/>
        <v>0</v>
      </c>
      <c r="AO28" s="166">
        <f t="shared" si="52"/>
        <v>0.49060800000859184</v>
      </c>
      <c r="AP28" s="166">
        <f t="shared" si="53"/>
        <v>0.33333333333333331</v>
      </c>
      <c r="AQ28" s="166">
        <f t="shared" si="54"/>
        <v>0</v>
      </c>
      <c r="AR28" s="166">
        <f t="shared" si="55"/>
        <v>0</v>
      </c>
      <c r="AS28" s="166">
        <f t="shared" si="56"/>
        <v>2.0961305066058292E-3</v>
      </c>
      <c r="AT28" s="166">
        <f t="shared" si="57"/>
        <v>0</v>
      </c>
      <c r="AU28" s="166">
        <f t="shared" si="58"/>
        <v>2.8837590326331201E-2</v>
      </c>
      <c r="AV28" s="166">
        <f t="shared" si="59"/>
        <v>3.0405283110709263E-2</v>
      </c>
      <c r="AW28" s="166">
        <f t="shared" si="60"/>
        <v>0</v>
      </c>
      <c r="AX28" s="166">
        <f t="shared" si="61"/>
        <v>0</v>
      </c>
      <c r="AY28" s="168">
        <f t="shared" si="62"/>
        <v>2.086007784894333E-2</v>
      </c>
      <c r="BA28" s="107" t="s">
        <v>390</v>
      </c>
      <c r="BB28" s="166">
        <f t="shared" si="80"/>
        <v>0</v>
      </c>
      <c r="BC28" s="166">
        <f t="shared" si="63"/>
        <v>0</v>
      </c>
      <c r="BD28" s="166">
        <f t="shared" si="64"/>
        <v>0</v>
      </c>
      <c r="BE28" s="166">
        <f t="shared" si="65"/>
        <v>0</v>
      </c>
      <c r="BF28" s="166">
        <f t="shared" si="66"/>
        <v>0.42905178211163414</v>
      </c>
      <c r="BG28" s="166">
        <f t="shared" si="67"/>
        <v>0.36923076923076925</v>
      </c>
      <c r="BH28" s="166">
        <f t="shared" si="68"/>
        <v>0</v>
      </c>
      <c r="BI28" s="166">
        <f t="shared" si="69"/>
        <v>0</v>
      </c>
      <c r="BJ28" s="166" t="str">
        <f t="shared" si="70"/>
        <v/>
      </c>
      <c r="BK28" s="166">
        <f t="shared" si="71"/>
        <v>2.0053475935828879E-3</v>
      </c>
      <c r="BL28" s="166">
        <f t="shared" si="72"/>
        <v>0</v>
      </c>
      <c r="BM28" s="166">
        <f t="shared" si="73"/>
        <v>0</v>
      </c>
      <c r="BN28" s="166">
        <f t="shared" si="74"/>
        <v>0.20328505828329213</v>
      </c>
      <c r="BO28" s="166" t="str">
        <f t="shared" si="75"/>
        <v/>
      </c>
      <c r="BP28" s="168">
        <f t="shared" si="76"/>
        <v>2.8175099827164908E-2</v>
      </c>
      <c r="BR28" s="107" t="s">
        <v>390</v>
      </c>
      <c r="BS28" s="166"/>
      <c r="BT28" s="166"/>
      <c r="BU28" s="166"/>
      <c r="BV28" s="166"/>
      <c r="BW28" s="166"/>
      <c r="BX28" s="166"/>
      <c r="BY28" s="166"/>
      <c r="BZ28" s="166"/>
      <c r="CA28" s="166"/>
      <c r="CB28" s="166"/>
      <c r="CC28" s="166"/>
      <c r="CD28" s="166"/>
      <c r="CE28" s="166"/>
      <c r="CF28" s="166"/>
      <c r="CG28" s="168"/>
    </row>
    <row r="29" spans="2:85" x14ac:dyDescent="0.25">
      <c r="B29" s="107" t="s">
        <v>391</v>
      </c>
      <c r="C29" s="160">
        <f>TripMode_input!B25</f>
        <v>0</v>
      </c>
      <c r="D29" s="160">
        <f>TripMode_input!C25</f>
        <v>0</v>
      </c>
      <c r="E29" s="160">
        <f>TripMode_input!D25</f>
        <v>0</v>
      </c>
      <c r="F29" s="160">
        <f>TripMode_input!E25</f>
        <v>0</v>
      </c>
      <c r="G29" s="160">
        <f>TripMode_input!F25</f>
        <v>0</v>
      </c>
      <c r="H29" s="160">
        <f>TripMode_input!G25</f>
        <v>0</v>
      </c>
      <c r="I29" s="160">
        <f>TripMode_input!H25</f>
        <v>0</v>
      </c>
      <c r="J29" s="160">
        <f>TripMode_input!I25</f>
        <v>0</v>
      </c>
      <c r="K29" s="160">
        <f>TripMode_input!J25</f>
        <v>0</v>
      </c>
      <c r="L29" s="160">
        <f>TripMode_input!K25</f>
        <v>0</v>
      </c>
      <c r="M29" s="160">
        <f>TripMode_input!L25</f>
        <v>0</v>
      </c>
      <c r="N29" s="160">
        <f>TripMode_input!M25</f>
        <v>0</v>
      </c>
      <c r="O29" s="160">
        <f>TripMode_input!N25</f>
        <v>0</v>
      </c>
      <c r="P29" s="160">
        <f>TripMode_input!O25</f>
        <v>0</v>
      </c>
      <c r="Q29" s="162">
        <f t="shared" si="47"/>
        <v>0</v>
      </c>
      <c r="S29" s="107" t="s">
        <v>391</v>
      </c>
      <c r="T29" s="160">
        <f>TripMode_input!R25*Index!$B$2</f>
        <v>0</v>
      </c>
      <c r="U29" s="160">
        <f>TripMode_input!S25*Index!$B$2</f>
        <v>0</v>
      </c>
      <c r="V29" s="160">
        <f>TripMode_input!T25*Index!$B$2</f>
        <v>0</v>
      </c>
      <c r="W29" s="160">
        <f>TripMode_input!U25*Index!$B$2</f>
        <v>0</v>
      </c>
      <c r="X29" s="160">
        <f>TripMode_input!V25*Index!$B$2</f>
        <v>170</v>
      </c>
      <c r="Y29" s="160">
        <f>TripMode_input!W25*Index!$B$2</f>
        <v>95</v>
      </c>
      <c r="Z29" s="160">
        <f>TripMode_input!X25*Index!$B$2</f>
        <v>0</v>
      </c>
      <c r="AA29" s="160">
        <f>TripMode_input!Y25*Index!$B$2</f>
        <v>0</v>
      </c>
      <c r="AB29" s="160">
        <f>TripMode_input!Z25*Index!$B$2</f>
        <v>0</v>
      </c>
      <c r="AC29" s="160">
        <f>TripMode_input!AA25*Index!$B$2</f>
        <v>0</v>
      </c>
      <c r="AD29" s="160">
        <f>TripMode_input!AB25*Index!$B$2</f>
        <v>0</v>
      </c>
      <c r="AE29" s="160">
        <f>TripMode_input!AC25*Index!$B$2</f>
        <v>0</v>
      </c>
      <c r="AF29" s="160">
        <f>TripMode_input!AD25*Index!$B$2</f>
        <v>575</v>
      </c>
      <c r="AG29" s="160">
        <f>TripMode_input!AE25*Index!$B$2</f>
        <v>0</v>
      </c>
      <c r="AH29" s="162">
        <f t="shared" si="48"/>
        <v>840</v>
      </c>
      <c r="AJ29" s="107" t="s">
        <v>391</v>
      </c>
      <c r="AK29" s="166">
        <f t="shared" si="79"/>
        <v>0</v>
      </c>
      <c r="AL29" s="166">
        <f t="shared" si="49"/>
        <v>0</v>
      </c>
      <c r="AM29" s="166">
        <f t="shared" si="50"/>
        <v>0</v>
      </c>
      <c r="AN29" s="166">
        <f t="shared" si="51"/>
        <v>0</v>
      </c>
      <c r="AO29" s="166">
        <f t="shared" si="52"/>
        <v>0</v>
      </c>
      <c r="AP29" s="166">
        <f t="shared" si="53"/>
        <v>0</v>
      </c>
      <c r="AQ29" s="166">
        <f t="shared" si="54"/>
        <v>0</v>
      </c>
      <c r="AR29" s="166">
        <f t="shared" si="55"/>
        <v>0</v>
      </c>
      <c r="AS29" s="166">
        <f t="shared" si="56"/>
        <v>0</v>
      </c>
      <c r="AT29" s="166">
        <f t="shared" si="57"/>
        <v>0</v>
      </c>
      <c r="AU29" s="166">
        <f t="shared" si="58"/>
        <v>0</v>
      </c>
      <c r="AV29" s="166">
        <f t="shared" si="59"/>
        <v>0</v>
      </c>
      <c r="AW29" s="166">
        <f t="shared" si="60"/>
        <v>0</v>
      </c>
      <c r="AX29" s="166">
        <f t="shared" si="61"/>
        <v>0</v>
      </c>
      <c r="AY29" s="168">
        <f t="shared" si="62"/>
        <v>0</v>
      </c>
      <c r="BA29" s="107" t="s">
        <v>391</v>
      </c>
      <c r="BB29" s="166">
        <f t="shared" si="80"/>
        <v>0</v>
      </c>
      <c r="BC29" s="166">
        <f t="shared" si="63"/>
        <v>0</v>
      </c>
      <c r="BD29" s="166">
        <f t="shared" si="64"/>
        <v>0</v>
      </c>
      <c r="BE29" s="166">
        <f t="shared" si="65"/>
        <v>0</v>
      </c>
      <c r="BF29" s="166">
        <f t="shared" si="66"/>
        <v>2.2864828513786146E-2</v>
      </c>
      <c r="BG29" s="166">
        <f t="shared" si="67"/>
        <v>9.7435897435897437E-2</v>
      </c>
      <c r="BH29" s="166">
        <f t="shared" si="68"/>
        <v>0</v>
      </c>
      <c r="BI29" s="166">
        <f t="shared" si="69"/>
        <v>0</v>
      </c>
      <c r="BJ29" s="166" t="str">
        <f t="shared" si="70"/>
        <v/>
      </c>
      <c r="BK29" s="166">
        <f t="shared" si="71"/>
        <v>0</v>
      </c>
      <c r="BL29" s="166">
        <f t="shared" si="72"/>
        <v>0</v>
      </c>
      <c r="BM29" s="166">
        <f t="shared" si="73"/>
        <v>0</v>
      </c>
      <c r="BN29" s="166">
        <f t="shared" si="74"/>
        <v>2.0310844224655598E-2</v>
      </c>
      <c r="BO29" s="166" t="str">
        <f t="shared" si="75"/>
        <v/>
      </c>
      <c r="BP29" s="168">
        <f t="shared" si="76"/>
        <v>2.5031289111389237E-3</v>
      </c>
      <c r="BR29" s="107" t="s">
        <v>391</v>
      </c>
      <c r="BS29" s="166"/>
      <c r="BT29" s="166"/>
      <c r="BU29" s="166"/>
      <c r="BV29" s="166"/>
      <c r="BW29" s="166"/>
      <c r="BX29" s="166"/>
      <c r="BY29" s="166"/>
      <c r="BZ29" s="166"/>
      <c r="CA29" s="166"/>
      <c r="CB29" s="166"/>
      <c r="CC29" s="166"/>
      <c r="CD29" s="166"/>
      <c r="CE29" s="166"/>
      <c r="CF29" s="166"/>
      <c r="CG29" s="168"/>
    </row>
    <row r="30" spans="2:85" x14ac:dyDescent="0.25">
      <c r="B30" s="107" t="s">
        <v>392</v>
      </c>
      <c r="C30" s="160">
        <f>TripMode_input!B26</f>
        <v>34.875660000000003</v>
      </c>
      <c r="D30" s="160">
        <f>TripMode_input!C26</f>
        <v>0</v>
      </c>
      <c r="E30" s="160">
        <f>TripMode_input!D26</f>
        <v>1354.5531599999999</v>
      </c>
      <c r="F30" s="160">
        <f>TripMode_input!E26</f>
        <v>0</v>
      </c>
      <c r="G30" s="160">
        <f>TripMode_input!F26</f>
        <v>133.93227999999999</v>
      </c>
      <c r="H30" s="160">
        <f>TripMode_input!G26</f>
        <v>0</v>
      </c>
      <c r="I30" s="160">
        <f>TripMode_input!H26</f>
        <v>36459.788619999999</v>
      </c>
      <c r="J30" s="160">
        <f>TripMode_input!I26</f>
        <v>0</v>
      </c>
      <c r="K30" s="160">
        <f>TripMode_input!J26</f>
        <v>14645.91821</v>
      </c>
      <c r="L30" s="160">
        <f>TripMode_input!K26</f>
        <v>0</v>
      </c>
      <c r="M30" s="160">
        <f>TripMode_input!L26</f>
        <v>560.05425000000002</v>
      </c>
      <c r="N30" s="160">
        <f>TripMode_input!M26</f>
        <v>820.17341999999996</v>
      </c>
      <c r="O30" s="160">
        <f>TripMode_input!N26</f>
        <v>0</v>
      </c>
      <c r="P30" s="160">
        <f>TripMode_input!O26</f>
        <v>0</v>
      </c>
      <c r="Q30" s="162">
        <f t="shared" si="47"/>
        <v>54009.295600000005</v>
      </c>
      <c r="S30" s="107" t="s">
        <v>392</v>
      </c>
      <c r="T30" s="160">
        <f>TripMode_input!R26*Index!$B$2</f>
        <v>0</v>
      </c>
      <c r="U30" s="160">
        <f>TripMode_input!S26*Index!$B$2</f>
        <v>0</v>
      </c>
      <c r="V30" s="160">
        <f>TripMode_input!T26*Index!$B$2</f>
        <v>1165</v>
      </c>
      <c r="W30" s="160">
        <f>TripMode_input!U26*Index!$B$2</f>
        <v>25</v>
      </c>
      <c r="X30" s="160">
        <f>TripMode_input!V26*Index!$B$2</f>
        <v>10</v>
      </c>
      <c r="Y30" s="160">
        <f>TripMode_input!W26*Index!$B$2</f>
        <v>10</v>
      </c>
      <c r="Z30" s="160">
        <f>TripMode_input!X26*Index!$B$2</f>
        <v>29940</v>
      </c>
      <c r="AA30" s="160">
        <f>TripMode_input!Y26*Index!$B$2</f>
        <v>0</v>
      </c>
      <c r="AB30" s="160">
        <f>TripMode_input!Z26*Index!$B$2</f>
        <v>0</v>
      </c>
      <c r="AC30" s="160">
        <f>TripMode_input!AA26*Index!$B$2</f>
        <v>11660</v>
      </c>
      <c r="AD30" s="160">
        <f>TripMode_input!AB26*Index!$B$2</f>
        <v>0</v>
      </c>
      <c r="AE30" s="160">
        <f>TripMode_input!AC26*Index!$B$2</f>
        <v>0</v>
      </c>
      <c r="AF30" s="160">
        <f>TripMode_input!AD26*Index!$B$2</f>
        <v>155</v>
      </c>
      <c r="AG30" s="160">
        <f>TripMode_input!AE26*Index!$B$2</f>
        <v>0</v>
      </c>
      <c r="AH30" s="162">
        <f t="shared" si="48"/>
        <v>42965</v>
      </c>
      <c r="AJ30" s="107" t="s">
        <v>392</v>
      </c>
      <c r="AK30" s="166">
        <f t="shared" si="79"/>
        <v>1.8096823772840393E-4</v>
      </c>
      <c r="AL30" s="166">
        <f t="shared" si="49"/>
        <v>0</v>
      </c>
      <c r="AM30" s="166">
        <f t="shared" si="50"/>
        <v>2.0990459159146085E-2</v>
      </c>
      <c r="AN30" s="166">
        <f t="shared" si="51"/>
        <v>0</v>
      </c>
      <c r="AO30" s="166">
        <f t="shared" si="52"/>
        <v>8.8030290101810595E-3</v>
      </c>
      <c r="AP30" s="166">
        <f t="shared" si="53"/>
        <v>0</v>
      </c>
      <c r="AQ30" s="166">
        <f t="shared" si="54"/>
        <v>1</v>
      </c>
      <c r="AR30" s="166">
        <f t="shared" si="55"/>
        <v>0</v>
      </c>
      <c r="AS30" s="166">
        <f t="shared" si="56"/>
        <v>0.18164723493573207</v>
      </c>
      <c r="AT30" s="166">
        <f t="shared" si="57"/>
        <v>0</v>
      </c>
      <c r="AU30" s="166">
        <f t="shared" si="58"/>
        <v>5.2455324046812392E-2</v>
      </c>
      <c r="AV30" s="166">
        <f t="shared" si="59"/>
        <v>2.928377322236432E-2</v>
      </c>
      <c r="AW30" s="166">
        <f t="shared" si="60"/>
        <v>0</v>
      </c>
      <c r="AX30" s="166">
        <f t="shared" si="61"/>
        <v>0</v>
      </c>
      <c r="AY30" s="168">
        <f t="shared" si="62"/>
        <v>0.11434930949441986</v>
      </c>
      <c r="BA30" s="107" t="s">
        <v>392</v>
      </c>
      <c r="BB30" s="166">
        <f t="shared" si="80"/>
        <v>0</v>
      </c>
      <c r="BC30" s="166">
        <f t="shared" si="63"/>
        <v>0</v>
      </c>
      <c r="BD30" s="166">
        <f t="shared" si="64"/>
        <v>2.9121359830021246E-2</v>
      </c>
      <c r="BE30" s="166">
        <f t="shared" si="65"/>
        <v>5.8072009291521487E-3</v>
      </c>
      <c r="BF30" s="166">
        <f t="shared" si="66"/>
        <v>1.3449899125756557E-3</v>
      </c>
      <c r="BG30" s="166">
        <f t="shared" si="67"/>
        <v>1.0256410256410256E-2</v>
      </c>
      <c r="BH30" s="166">
        <f t="shared" si="68"/>
        <v>1</v>
      </c>
      <c r="BI30" s="166">
        <f t="shared" si="69"/>
        <v>0</v>
      </c>
      <c r="BJ30" s="166" t="str">
        <f t="shared" si="70"/>
        <v/>
      </c>
      <c r="BK30" s="166">
        <f t="shared" si="71"/>
        <v>0.15588235294117647</v>
      </c>
      <c r="BL30" s="166">
        <f t="shared" si="72"/>
        <v>0</v>
      </c>
      <c r="BM30" s="166">
        <f t="shared" si="73"/>
        <v>0</v>
      </c>
      <c r="BN30" s="166">
        <f t="shared" si="74"/>
        <v>5.4750971388202053E-3</v>
      </c>
      <c r="BO30" s="166" t="str">
        <f t="shared" si="75"/>
        <v/>
      </c>
      <c r="BP30" s="168">
        <f t="shared" si="76"/>
        <v>0.12803206388938554</v>
      </c>
      <c r="BR30" s="107" t="s">
        <v>392</v>
      </c>
      <c r="BS30" s="166"/>
      <c r="BT30" s="166"/>
      <c r="BU30" s="166"/>
      <c r="BV30" s="166"/>
      <c r="BW30" s="166"/>
      <c r="BX30" s="166"/>
      <c r="BY30" s="166"/>
      <c r="BZ30" s="166"/>
      <c r="CA30" s="166"/>
      <c r="CB30" s="166"/>
      <c r="CC30" s="166"/>
      <c r="CD30" s="166"/>
      <c r="CE30" s="166"/>
      <c r="CF30" s="166"/>
      <c r="CG30" s="168"/>
    </row>
    <row r="31" spans="2:85" x14ac:dyDescent="0.25">
      <c r="B31" s="107" t="s">
        <v>393</v>
      </c>
      <c r="C31" s="160">
        <f>TripMode_input!B27</f>
        <v>0</v>
      </c>
      <c r="D31" s="160">
        <f>TripMode_input!C27</f>
        <v>0</v>
      </c>
      <c r="E31" s="160">
        <f>TripMode_input!D27</f>
        <v>0</v>
      </c>
      <c r="F31" s="160">
        <f>TripMode_input!E27</f>
        <v>0</v>
      </c>
      <c r="G31" s="160">
        <f>TripMode_input!F27</f>
        <v>0</v>
      </c>
      <c r="H31" s="160">
        <f>TripMode_input!G27</f>
        <v>0</v>
      </c>
      <c r="I31" s="160">
        <f>TripMode_input!H27</f>
        <v>0</v>
      </c>
      <c r="J31" s="160">
        <f>TripMode_input!I27</f>
        <v>14886.48612</v>
      </c>
      <c r="K31" s="160">
        <f>TripMode_input!J27</f>
        <v>0</v>
      </c>
      <c r="L31" s="160">
        <f>TripMode_input!K27</f>
        <v>0</v>
      </c>
      <c r="M31" s="160">
        <f>TripMode_input!L27</f>
        <v>0</v>
      </c>
      <c r="N31" s="160">
        <f>TripMode_input!M27</f>
        <v>802.04670999999996</v>
      </c>
      <c r="O31" s="160">
        <f>TripMode_input!N27</f>
        <v>0</v>
      </c>
      <c r="P31" s="160">
        <f>TripMode_input!O27</f>
        <v>0</v>
      </c>
      <c r="Q31" s="162">
        <f t="shared" si="47"/>
        <v>15688.53283</v>
      </c>
      <c r="S31" s="107" t="s">
        <v>393</v>
      </c>
      <c r="T31" s="160">
        <f>TripMode_input!R27*Index!$B$2</f>
        <v>0</v>
      </c>
      <c r="U31" s="160">
        <f>TripMode_input!S27*Index!$B$2</f>
        <v>0</v>
      </c>
      <c r="V31" s="160">
        <f>TripMode_input!T27*Index!$B$2</f>
        <v>0</v>
      </c>
      <c r="W31" s="160">
        <f>TripMode_input!U27*Index!$B$2</f>
        <v>0</v>
      </c>
      <c r="X31" s="160">
        <f>TripMode_input!V27*Index!$B$2</f>
        <v>0</v>
      </c>
      <c r="Y31" s="160">
        <f>TripMode_input!W27*Index!$B$2</f>
        <v>0</v>
      </c>
      <c r="Z31" s="160">
        <f>TripMode_input!X27*Index!$B$2</f>
        <v>0</v>
      </c>
      <c r="AA31" s="160">
        <f>TripMode_input!Y27*Index!$B$2</f>
        <v>13075</v>
      </c>
      <c r="AB31" s="160">
        <f>TripMode_input!Z27*Index!$B$2</f>
        <v>0</v>
      </c>
      <c r="AC31" s="160">
        <f>TripMode_input!AA27*Index!$B$2</f>
        <v>0</v>
      </c>
      <c r="AD31" s="160">
        <f>TripMode_input!AB27*Index!$B$2</f>
        <v>0</v>
      </c>
      <c r="AE31" s="160">
        <f>TripMode_input!AC27*Index!$B$2</f>
        <v>0</v>
      </c>
      <c r="AF31" s="160">
        <f>TripMode_input!AD27*Index!$B$2</f>
        <v>0</v>
      </c>
      <c r="AG31" s="160">
        <f>TripMode_input!AE27*Index!$B$2</f>
        <v>0</v>
      </c>
      <c r="AH31" s="162">
        <f t="shared" si="48"/>
        <v>13075</v>
      </c>
      <c r="AJ31" s="107" t="s">
        <v>393</v>
      </c>
      <c r="AK31" s="166">
        <f t="shared" si="79"/>
        <v>0</v>
      </c>
      <c r="AL31" s="166">
        <f t="shared" si="49"/>
        <v>0</v>
      </c>
      <c r="AM31" s="166">
        <f t="shared" si="50"/>
        <v>0</v>
      </c>
      <c r="AN31" s="166">
        <f t="shared" si="51"/>
        <v>0</v>
      </c>
      <c r="AO31" s="166">
        <f t="shared" si="52"/>
        <v>0</v>
      </c>
      <c r="AP31" s="166">
        <f t="shared" si="53"/>
        <v>0</v>
      </c>
      <c r="AQ31" s="166">
        <f t="shared" si="54"/>
        <v>0</v>
      </c>
      <c r="AR31" s="166">
        <f t="shared" si="55"/>
        <v>1</v>
      </c>
      <c r="AS31" s="166">
        <f t="shared" si="56"/>
        <v>0</v>
      </c>
      <c r="AT31" s="166">
        <f t="shared" si="57"/>
        <v>0</v>
      </c>
      <c r="AU31" s="166">
        <f t="shared" si="58"/>
        <v>0</v>
      </c>
      <c r="AV31" s="166">
        <f t="shared" si="59"/>
        <v>2.8636570506495325E-2</v>
      </c>
      <c r="AW31" s="166">
        <f t="shared" si="60"/>
        <v>0</v>
      </c>
      <c r="AX31" s="166">
        <f t="shared" si="61"/>
        <v>0</v>
      </c>
      <c r="AY31" s="168">
        <f t="shared" si="62"/>
        <v>3.3216002470712401E-2</v>
      </c>
      <c r="BA31" s="107" t="s">
        <v>393</v>
      </c>
      <c r="BB31" s="166">
        <f t="shared" si="80"/>
        <v>0</v>
      </c>
      <c r="BC31" s="166">
        <f t="shared" si="63"/>
        <v>0</v>
      </c>
      <c r="BD31" s="166">
        <f t="shared" si="64"/>
        <v>0</v>
      </c>
      <c r="BE31" s="166">
        <f t="shared" si="65"/>
        <v>0</v>
      </c>
      <c r="BF31" s="166">
        <f t="shared" si="66"/>
        <v>0</v>
      </c>
      <c r="BG31" s="166">
        <f t="shared" si="67"/>
        <v>0</v>
      </c>
      <c r="BH31" s="166">
        <f t="shared" si="68"/>
        <v>0</v>
      </c>
      <c r="BI31" s="166">
        <f t="shared" si="69"/>
        <v>1</v>
      </c>
      <c r="BJ31" s="166" t="str">
        <f t="shared" si="70"/>
        <v/>
      </c>
      <c r="BK31" s="166">
        <f t="shared" si="71"/>
        <v>0</v>
      </c>
      <c r="BL31" s="166">
        <f t="shared" si="72"/>
        <v>0</v>
      </c>
      <c r="BM31" s="166">
        <f t="shared" si="73"/>
        <v>0</v>
      </c>
      <c r="BN31" s="166">
        <f t="shared" si="74"/>
        <v>0</v>
      </c>
      <c r="BO31" s="166" t="str">
        <f t="shared" si="75"/>
        <v/>
      </c>
      <c r="BP31" s="168">
        <f t="shared" si="76"/>
        <v>3.8962393468025505E-2</v>
      </c>
      <c r="BR31" s="107" t="s">
        <v>393</v>
      </c>
      <c r="BS31" s="166"/>
      <c r="BT31" s="166"/>
      <c r="BU31" s="166"/>
      <c r="BV31" s="166"/>
      <c r="BW31" s="166"/>
      <c r="BX31" s="166"/>
      <c r="BY31" s="166"/>
      <c r="BZ31" s="166"/>
      <c r="CA31" s="166"/>
      <c r="CB31" s="166"/>
      <c r="CC31" s="166"/>
      <c r="CD31" s="166"/>
      <c r="CE31" s="166"/>
      <c r="CF31" s="166"/>
      <c r="CG31" s="168"/>
    </row>
    <row r="32" spans="2:85" x14ac:dyDescent="0.25">
      <c r="B32" s="107" t="s">
        <v>394</v>
      </c>
      <c r="C32" s="160">
        <f>TripMode_input!B28</f>
        <v>0</v>
      </c>
      <c r="D32" s="160">
        <f>TripMode_input!C28</f>
        <v>0</v>
      </c>
      <c r="E32" s="160">
        <f>TripMode_input!D28</f>
        <v>0</v>
      </c>
      <c r="F32" s="160">
        <f>TripMode_input!E28</f>
        <v>0</v>
      </c>
      <c r="G32" s="160">
        <f>TripMode_input!F28</f>
        <v>0</v>
      </c>
      <c r="H32" s="160">
        <f>TripMode_input!G28</f>
        <v>0</v>
      </c>
      <c r="I32" s="160">
        <f>TripMode_input!H28</f>
        <v>0</v>
      </c>
      <c r="J32" s="160">
        <f>TripMode_input!I28</f>
        <v>0</v>
      </c>
      <c r="K32" s="160">
        <f>TripMode_input!J28</f>
        <v>64882.143649999998</v>
      </c>
      <c r="L32" s="160">
        <f>TripMode_input!K28</f>
        <v>1166.3624199999999</v>
      </c>
      <c r="M32" s="160">
        <f>TripMode_input!L28</f>
        <v>2172.8729199999998</v>
      </c>
      <c r="N32" s="160">
        <f>TripMode_input!M28</f>
        <v>985.94973000000005</v>
      </c>
      <c r="O32" s="160">
        <f>TripMode_input!N28</f>
        <v>0</v>
      </c>
      <c r="P32" s="160">
        <f>TripMode_input!O28</f>
        <v>0</v>
      </c>
      <c r="Q32" s="162">
        <f t="shared" si="47"/>
        <v>69207.32871999999</v>
      </c>
      <c r="S32" s="107" t="s">
        <v>394</v>
      </c>
      <c r="T32" s="160">
        <f>TripMode_input!R28*Index!$B$2</f>
        <v>0</v>
      </c>
      <c r="U32" s="160">
        <f>TripMode_input!S28*Index!$B$2</f>
        <v>0</v>
      </c>
      <c r="V32" s="160">
        <f>TripMode_input!T28*Index!$B$2</f>
        <v>0</v>
      </c>
      <c r="W32" s="160">
        <f>TripMode_input!U28*Index!$B$2</f>
        <v>0</v>
      </c>
      <c r="X32" s="160">
        <f>TripMode_input!V28*Index!$B$2</f>
        <v>0</v>
      </c>
      <c r="Y32" s="160">
        <f>TripMode_input!W28*Index!$B$2</f>
        <v>0</v>
      </c>
      <c r="Z32" s="160">
        <f>TripMode_input!X28*Index!$B$2</f>
        <v>0</v>
      </c>
      <c r="AA32" s="160">
        <f>TripMode_input!Y28*Index!$B$2</f>
        <v>0</v>
      </c>
      <c r="AB32" s="160">
        <f>TripMode_input!Z28*Index!$B$2</f>
        <v>0</v>
      </c>
      <c r="AC32" s="160">
        <f>TripMode_input!AA28*Index!$B$2</f>
        <v>0</v>
      </c>
      <c r="AD32" s="160">
        <f>TripMode_input!AB28*Index!$B$2</f>
        <v>0</v>
      </c>
      <c r="AE32" s="160">
        <f>TripMode_input!AC28*Index!$B$2</f>
        <v>0</v>
      </c>
      <c r="AF32" s="160">
        <f>TripMode_input!AD28*Index!$B$2</f>
        <v>0</v>
      </c>
      <c r="AG32" s="160">
        <f>TripMode_input!AE28*Index!$B$2</f>
        <v>0</v>
      </c>
      <c r="AH32" s="162">
        <f t="shared" si="48"/>
        <v>0</v>
      </c>
      <c r="AJ32" s="107" t="s">
        <v>394</v>
      </c>
      <c r="AK32" s="166">
        <f t="shared" si="79"/>
        <v>0</v>
      </c>
      <c r="AL32" s="166">
        <f t="shared" si="49"/>
        <v>0</v>
      </c>
      <c r="AM32" s="166">
        <f t="shared" si="50"/>
        <v>0</v>
      </c>
      <c r="AN32" s="166">
        <f t="shared" si="51"/>
        <v>0</v>
      </c>
      <c r="AO32" s="166">
        <f t="shared" si="52"/>
        <v>0</v>
      </c>
      <c r="AP32" s="166">
        <f t="shared" si="53"/>
        <v>0</v>
      </c>
      <c r="AQ32" s="166">
        <f t="shared" si="54"/>
        <v>0</v>
      </c>
      <c r="AR32" s="166">
        <f t="shared" si="55"/>
        <v>0</v>
      </c>
      <c r="AS32" s="166">
        <f t="shared" si="56"/>
        <v>0.80470625478970681</v>
      </c>
      <c r="AT32" s="166">
        <f t="shared" si="57"/>
        <v>0.19109505447333153</v>
      </c>
      <c r="AU32" s="166">
        <f t="shared" si="58"/>
        <v>0.20351377233748952</v>
      </c>
      <c r="AV32" s="166">
        <f t="shared" si="59"/>
        <v>3.5202711521633234E-2</v>
      </c>
      <c r="AW32" s="166">
        <f t="shared" si="60"/>
        <v>0</v>
      </c>
      <c r="AX32" s="166">
        <f t="shared" si="61"/>
        <v>0</v>
      </c>
      <c r="AY32" s="168">
        <f t="shared" si="62"/>
        <v>0.14652681845169871</v>
      </c>
      <c r="BA32" s="107" t="s">
        <v>394</v>
      </c>
      <c r="BB32" s="166">
        <f t="shared" si="80"/>
        <v>0</v>
      </c>
      <c r="BC32" s="166">
        <f t="shared" si="63"/>
        <v>0</v>
      </c>
      <c r="BD32" s="166">
        <f t="shared" si="64"/>
        <v>0</v>
      </c>
      <c r="BE32" s="166">
        <f t="shared" si="65"/>
        <v>0</v>
      </c>
      <c r="BF32" s="166">
        <f t="shared" si="66"/>
        <v>0</v>
      </c>
      <c r="BG32" s="166">
        <f t="shared" si="67"/>
        <v>0</v>
      </c>
      <c r="BH32" s="166">
        <f t="shared" si="68"/>
        <v>0</v>
      </c>
      <c r="BI32" s="166">
        <f t="shared" si="69"/>
        <v>0</v>
      </c>
      <c r="BJ32" s="166" t="str">
        <f t="shared" si="70"/>
        <v/>
      </c>
      <c r="BK32" s="166">
        <f t="shared" si="71"/>
        <v>0</v>
      </c>
      <c r="BL32" s="166">
        <f t="shared" si="72"/>
        <v>0</v>
      </c>
      <c r="BM32" s="166">
        <f t="shared" si="73"/>
        <v>0</v>
      </c>
      <c r="BN32" s="166">
        <f t="shared" si="74"/>
        <v>0</v>
      </c>
      <c r="BO32" s="166" t="str">
        <f t="shared" si="75"/>
        <v/>
      </c>
      <c r="BP32" s="168">
        <f t="shared" si="76"/>
        <v>0</v>
      </c>
      <c r="BR32" s="107" t="s">
        <v>394</v>
      </c>
      <c r="BS32" s="166"/>
      <c r="BT32" s="166"/>
      <c r="BU32" s="166"/>
      <c r="BV32" s="166"/>
      <c r="BW32" s="166"/>
      <c r="BX32" s="166"/>
      <c r="BY32" s="166"/>
      <c r="BZ32" s="166"/>
      <c r="CA32" s="166"/>
      <c r="CB32" s="166"/>
      <c r="CC32" s="166"/>
      <c r="CD32" s="166"/>
      <c r="CE32" s="166"/>
      <c r="CF32" s="166"/>
      <c r="CG32" s="168"/>
    </row>
    <row r="33" spans="2:85" x14ac:dyDescent="0.25">
      <c r="B33" s="107" t="s">
        <v>395</v>
      </c>
      <c r="C33" s="160">
        <f>TripMode_input!B29</f>
        <v>0</v>
      </c>
      <c r="D33" s="160">
        <f>TripMode_input!C29</f>
        <v>0</v>
      </c>
      <c r="E33" s="160">
        <f>TripMode_input!D29</f>
        <v>0</v>
      </c>
      <c r="F33" s="160">
        <f>TripMode_input!E29</f>
        <v>0</v>
      </c>
      <c r="G33" s="160">
        <f>TripMode_input!F29</f>
        <v>0</v>
      </c>
      <c r="H33" s="160">
        <f>TripMode_input!G29</f>
        <v>0</v>
      </c>
      <c r="I33" s="160">
        <f>TripMode_input!H29</f>
        <v>0</v>
      </c>
      <c r="J33" s="160">
        <f>TripMode_input!I29</f>
        <v>0</v>
      </c>
      <c r="K33" s="160">
        <f>TripMode_input!J29</f>
        <v>0</v>
      </c>
      <c r="L33" s="160">
        <f>TripMode_input!K29</f>
        <v>4760.6886400000003</v>
      </c>
      <c r="M33" s="160">
        <f>TripMode_input!L29</f>
        <v>887.86609999999996</v>
      </c>
      <c r="N33" s="160">
        <f>TripMode_input!M29</f>
        <v>5851.1980299999996</v>
      </c>
      <c r="O33" s="160">
        <f>TripMode_input!N29</f>
        <v>0</v>
      </c>
      <c r="P33" s="160">
        <f>TripMode_input!O29</f>
        <v>0</v>
      </c>
      <c r="Q33" s="162">
        <f t="shared" si="47"/>
        <v>11499.752769999999</v>
      </c>
      <c r="S33" s="107" t="s">
        <v>395</v>
      </c>
      <c r="T33" s="160">
        <f>TripMode_input!R29*Index!$B$2</f>
        <v>0</v>
      </c>
      <c r="U33" s="160">
        <f>TripMode_input!S29*Index!$B$2</f>
        <v>0</v>
      </c>
      <c r="V33" s="160">
        <f>TripMode_input!T29*Index!$B$2</f>
        <v>0</v>
      </c>
      <c r="W33" s="160">
        <f>TripMode_input!U29*Index!$B$2</f>
        <v>0</v>
      </c>
      <c r="X33" s="160">
        <f>TripMode_input!V29*Index!$B$2</f>
        <v>0</v>
      </c>
      <c r="Y33" s="160">
        <f>TripMode_input!W29*Index!$B$2</f>
        <v>0</v>
      </c>
      <c r="Z33" s="160">
        <f>TripMode_input!X29*Index!$B$2</f>
        <v>0</v>
      </c>
      <c r="AA33" s="160">
        <f>TripMode_input!Y29*Index!$B$2</f>
        <v>0</v>
      </c>
      <c r="AB33" s="160">
        <f>TripMode_input!Z29*Index!$B$2</f>
        <v>0</v>
      </c>
      <c r="AC33" s="160">
        <f>TripMode_input!AA29*Index!$B$2</f>
        <v>38485</v>
      </c>
      <c r="AD33" s="160">
        <f>TripMode_input!AB29*Index!$B$2</f>
        <v>0</v>
      </c>
      <c r="AE33" s="160">
        <f>TripMode_input!AC29*Index!$B$2</f>
        <v>0</v>
      </c>
      <c r="AF33" s="160">
        <f>TripMode_input!AD29*Index!$B$2</f>
        <v>0</v>
      </c>
      <c r="AG33" s="160">
        <f>TripMode_input!AE29*Index!$B$2</f>
        <v>0</v>
      </c>
      <c r="AH33" s="162">
        <f t="shared" si="48"/>
        <v>38485</v>
      </c>
      <c r="AJ33" s="107" t="s">
        <v>395</v>
      </c>
      <c r="AK33" s="166">
        <f t="shared" si="79"/>
        <v>0</v>
      </c>
      <c r="AL33" s="166">
        <f t="shared" si="49"/>
        <v>0</v>
      </c>
      <c r="AM33" s="166">
        <f t="shared" si="50"/>
        <v>0</v>
      </c>
      <c r="AN33" s="166">
        <f t="shared" si="51"/>
        <v>0</v>
      </c>
      <c r="AO33" s="166">
        <f t="shared" si="52"/>
        <v>0</v>
      </c>
      <c r="AP33" s="166">
        <f t="shared" si="53"/>
        <v>0</v>
      </c>
      <c r="AQ33" s="166">
        <f t="shared" si="54"/>
        <v>0</v>
      </c>
      <c r="AR33" s="166">
        <f t="shared" si="55"/>
        <v>0</v>
      </c>
      <c r="AS33" s="166">
        <f t="shared" si="56"/>
        <v>0</v>
      </c>
      <c r="AT33" s="166">
        <f t="shared" si="57"/>
        <v>0.77998402502660424</v>
      </c>
      <c r="AU33" s="166">
        <f t="shared" si="58"/>
        <v>8.3158558274809155E-2</v>
      </c>
      <c r="AV33" s="166">
        <f t="shared" si="59"/>
        <v>0.20891332492787301</v>
      </c>
      <c r="AW33" s="166">
        <f t="shared" si="60"/>
        <v>0</v>
      </c>
      <c r="AX33" s="166">
        <f t="shared" si="61"/>
        <v>0</v>
      </c>
      <c r="AY33" s="168">
        <f t="shared" si="62"/>
        <v>2.434745304484293E-2</v>
      </c>
      <c r="BA33" s="107" t="s">
        <v>395</v>
      </c>
      <c r="BB33" s="166">
        <f t="shared" si="80"/>
        <v>0</v>
      </c>
      <c r="BC33" s="166">
        <f t="shared" si="63"/>
        <v>0</v>
      </c>
      <c r="BD33" s="166">
        <f t="shared" si="64"/>
        <v>0</v>
      </c>
      <c r="BE33" s="166">
        <f t="shared" si="65"/>
        <v>0</v>
      </c>
      <c r="BF33" s="166">
        <f t="shared" si="66"/>
        <v>0</v>
      </c>
      <c r="BG33" s="166">
        <f t="shared" si="67"/>
        <v>0</v>
      </c>
      <c r="BH33" s="166">
        <f t="shared" si="68"/>
        <v>0</v>
      </c>
      <c r="BI33" s="166">
        <f t="shared" si="69"/>
        <v>0</v>
      </c>
      <c r="BJ33" s="166" t="str">
        <f t="shared" si="70"/>
        <v/>
      </c>
      <c r="BK33" s="166">
        <f t="shared" si="71"/>
        <v>0.51450534759358291</v>
      </c>
      <c r="BL33" s="166">
        <f t="shared" si="72"/>
        <v>0</v>
      </c>
      <c r="BM33" s="166">
        <f t="shared" si="73"/>
        <v>0</v>
      </c>
      <c r="BN33" s="166">
        <f t="shared" si="74"/>
        <v>0</v>
      </c>
      <c r="BO33" s="166" t="str">
        <f t="shared" si="75"/>
        <v/>
      </c>
      <c r="BP33" s="168">
        <f t="shared" si="76"/>
        <v>0.11468204302997795</v>
      </c>
      <c r="BR33" s="107" t="s">
        <v>395</v>
      </c>
      <c r="BS33" s="166" t="str">
        <f t="shared" ref="BS33:BS38" si="82">IF(OR(ISNA(AK33),AK33=0,AK33=""),"",(BB33-AK33)/AK33)</f>
        <v/>
      </c>
      <c r="BT33" s="166" t="str">
        <f t="shared" ref="BT33:BT38" si="83">IF(OR(ISNA(AL33),AL33=0,AL33=""),"",(BC33-AL33)/AL33)</f>
        <v/>
      </c>
      <c r="BU33" s="166" t="str">
        <f t="shared" ref="BU33:BU38" si="84">IF(OR(ISNA(AM33),AM33=0,AM33=""),"",(BD33-AM33)/AM33)</f>
        <v/>
      </c>
      <c r="BV33" s="166" t="str">
        <f t="shared" ref="BV33:BV38" si="85">IF(OR(ISNA(AN33),AN33=0,AN33=""),"",(BE33-AN33)/AN33)</f>
        <v/>
      </c>
      <c r="BW33" s="166"/>
      <c r="BX33" s="166"/>
      <c r="BY33" s="166"/>
      <c r="BZ33" s="166"/>
      <c r="CA33" s="166"/>
      <c r="CB33" s="166">
        <f t="shared" ref="CB33:CB38" si="86">IF(OR(ISNA(AT33),AT33=0,AT33=""),"",(BK33-AT33)/AT33)</f>
        <v>-0.34036424967032652</v>
      </c>
      <c r="CC33" s="166">
        <f t="shared" ref="CC33:CC38" si="87">IF(OR(ISNA(AU33),AU33=0,AU33=""),"",(BL33-AU33)/AU33)</f>
        <v>-1</v>
      </c>
      <c r="CD33" s="166">
        <f t="shared" ref="CD33:CD38" si="88">IF(OR(ISNA(AV33),AV33=0,AV33=""),"",(BM33-AV33)/AV33)</f>
        <v>-1</v>
      </c>
      <c r="CE33" s="166" t="str">
        <f t="shared" ref="CE33:CE38" si="89">IF(OR(ISNA(AW33),AW33=0,AW33=""),"",(BN33-AW33)/AW33)</f>
        <v/>
      </c>
      <c r="CF33" s="166" t="str">
        <f t="shared" ref="CF33:CF38" si="90">IF(OR(ISNA(AX33),AX33=0,AX33=""),"",(BO33-AX33)/AX33)</f>
        <v/>
      </c>
      <c r="CG33" s="168">
        <f t="shared" ref="CG33:CG38" si="91">IF(OR(ISNA(AY33),AY33=0,AY33=""),"",(BP33-AY33)/AY33)</f>
        <v>3.7102275058815208</v>
      </c>
    </row>
    <row r="34" spans="2:85" x14ac:dyDescent="0.25">
      <c r="B34" s="107" t="s">
        <v>396</v>
      </c>
      <c r="C34" s="160">
        <f>TripMode_input!B30</f>
        <v>0</v>
      </c>
      <c r="D34" s="160">
        <f>TripMode_input!C30</f>
        <v>0</v>
      </c>
      <c r="E34" s="160">
        <f>TripMode_input!D30</f>
        <v>0</v>
      </c>
      <c r="F34" s="160">
        <f>TripMode_input!E30</f>
        <v>0</v>
      </c>
      <c r="G34" s="160">
        <f>TripMode_input!F30</f>
        <v>0</v>
      </c>
      <c r="H34" s="160">
        <f>TripMode_input!G30</f>
        <v>0</v>
      </c>
      <c r="I34" s="160">
        <f>TripMode_input!H30</f>
        <v>0</v>
      </c>
      <c r="J34" s="160">
        <f>TripMode_input!I30</f>
        <v>0</v>
      </c>
      <c r="K34" s="160">
        <f>TripMode_input!J30</f>
        <v>0</v>
      </c>
      <c r="L34" s="160">
        <f>TripMode_input!K30</f>
        <v>176.52091999999999</v>
      </c>
      <c r="M34" s="160">
        <f>TripMode_input!L30</f>
        <v>4332.2475999999997</v>
      </c>
      <c r="N34" s="160">
        <f>TripMode_input!M30</f>
        <v>0</v>
      </c>
      <c r="O34" s="160">
        <f>TripMode_input!N30</f>
        <v>0</v>
      </c>
      <c r="P34" s="160">
        <f>TripMode_input!O30</f>
        <v>0</v>
      </c>
      <c r="Q34" s="162">
        <f t="shared" si="47"/>
        <v>4508.7685199999996</v>
      </c>
      <c r="S34" s="107" t="s">
        <v>396</v>
      </c>
      <c r="T34" s="160">
        <f>TripMode_input!R30*Index!$B$2</f>
        <v>0</v>
      </c>
      <c r="U34" s="160">
        <f>TripMode_input!S30*Index!$B$2</f>
        <v>0</v>
      </c>
      <c r="V34" s="160">
        <f>TripMode_input!T30*Index!$B$2</f>
        <v>0</v>
      </c>
      <c r="W34" s="160">
        <f>TripMode_input!U30*Index!$B$2</f>
        <v>0</v>
      </c>
      <c r="X34" s="160">
        <f>TripMode_input!V30*Index!$B$2</f>
        <v>0</v>
      </c>
      <c r="Y34" s="160">
        <f>TripMode_input!W30*Index!$B$2</f>
        <v>0</v>
      </c>
      <c r="Z34" s="160">
        <f>TripMode_input!X30*Index!$B$2</f>
        <v>0</v>
      </c>
      <c r="AA34" s="160">
        <f>TripMode_input!Y30*Index!$B$2</f>
        <v>0</v>
      </c>
      <c r="AB34" s="160">
        <f>TripMode_input!Z30*Index!$B$2</f>
        <v>0</v>
      </c>
      <c r="AC34" s="160">
        <f>TripMode_input!AA30*Index!$B$2</f>
        <v>0</v>
      </c>
      <c r="AD34" s="160">
        <f>TripMode_input!AB30*Index!$B$2</f>
        <v>1620</v>
      </c>
      <c r="AE34" s="160">
        <f>TripMode_input!AC30*Index!$B$2</f>
        <v>0</v>
      </c>
      <c r="AF34" s="160">
        <f>TripMode_input!AD30*Index!$B$2</f>
        <v>0</v>
      </c>
      <c r="AG34" s="160">
        <f>TripMode_input!AE30*Index!$B$2</f>
        <v>0</v>
      </c>
      <c r="AH34" s="162">
        <f t="shared" si="48"/>
        <v>1620</v>
      </c>
      <c r="AJ34" s="107" t="s">
        <v>396</v>
      </c>
      <c r="AK34" s="166">
        <f t="shared" si="79"/>
        <v>0</v>
      </c>
      <c r="AL34" s="166">
        <f t="shared" si="49"/>
        <v>0</v>
      </c>
      <c r="AM34" s="166">
        <f t="shared" si="50"/>
        <v>0</v>
      </c>
      <c r="AN34" s="166">
        <f t="shared" si="51"/>
        <v>0</v>
      </c>
      <c r="AO34" s="166">
        <f t="shared" si="52"/>
        <v>0</v>
      </c>
      <c r="AP34" s="166">
        <f t="shared" si="53"/>
        <v>0</v>
      </c>
      <c r="AQ34" s="166">
        <f t="shared" si="54"/>
        <v>0</v>
      </c>
      <c r="AR34" s="166">
        <f t="shared" si="55"/>
        <v>0</v>
      </c>
      <c r="AS34" s="166">
        <f t="shared" si="56"/>
        <v>0</v>
      </c>
      <c r="AT34" s="166">
        <f t="shared" si="57"/>
        <v>2.8920920500064291E-2</v>
      </c>
      <c r="AU34" s="166">
        <f t="shared" si="58"/>
        <v>0.4057632840194057</v>
      </c>
      <c r="AV34" s="166">
        <f t="shared" si="59"/>
        <v>0</v>
      </c>
      <c r="AW34" s="166">
        <f t="shared" si="60"/>
        <v>0</v>
      </c>
      <c r="AX34" s="166">
        <f t="shared" si="61"/>
        <v>0</v>
      </c>
      <c r="AY34" s="168">
        <f t="shared" si="62"/>
        <v>9.5460339040633092E-3</v>
      </c>
      <c r="BA34" s="107" t="s">
        <v>396</v>
      </c>
      <c r="BB34" s="166">
        <f t="shared" si="80"/>
        <v>0</v>
      </c>
      <c r="BC34" s="166">
        <f t="shared" si="63"/>
        <v>0</v>
      </c>
      <c r="BD34" s="166">
        <f t="shared" si="64"/>
        <v>0</v>
      </c>
      <c r="BE34" s="166">
        <f t="shared" si="65"/>
        <v>0</v>
      </c>
      <c r="BF34" s="166">
        <f t="shared" si="66"/>
        <v>0</v>
      </c>
      <c r="BG34" s="166">
        <f t="shared" si="67"/>
        <v>0</v>
      </c>
      <c r="BH34" s="166">
        <f t="shared" si="68"/>
        <v>0</v>
      </c>
      <c r="BI34" s="166">
        <f t="shared" si="69"/>
        <v>0</v>
      </c>
      <c r="BJ34" s="166" t="str">
        <f t="shared" si="70"/>
        <v/>
      </c>
      <c r="BK34" s="166">
        <f t="shared" si="71"/>
        <v>0</v>
      </c>
      <c r="BL34" s="166">
        <f t="shared" si="72"/>
        <v>1</v>
      </c>
      <c r="BM34" s="166">
        <f t="shared" si="73"/>
        <v>0</v>
      </c>
      <c r="BN34" s="166">
        <f t="shared" si="74"/>
        <v>0</v>
      </c>
      <c r="BO34" s="166" t="str">
        <f t="shared" si="75"/>
        <v/>
      </c>
      <c r="BP34" s="168">
        <f t="shared" si="76"/>
        <v>4.8274629000536386E-3</v>
      </c>
      <c r="BR34" s="107" t="s">
        <v>396</v>
      </c>
      <c r="BS34" s="166" t="str">
        <f t="shared" si="82"/>
        <v/>
      </c>
      <c r="BT34" s="166" t="str">
        <f t="shared" si="83"/>
        <v/>
      </c>
      <c r="BU34" s="166" t="str">
        <f t="shared" si="84"/>
        <v/>
      </c>
      <c r="BV34" s="166" t="str">
        <f t="shared" si="85"/>
        <v/>
      </c>
      <c r="BW34" s="166"/>
      <c r="BX34" s="166"/>
      <c r="BY34" s="166"/>
      <c r="BZ34" s="166"/>
      <c r="CA34" s="166"/>
      <c r="CB34" s="166">
        <f t="shared" si="86"/>
        <v>-1</v>
      </c>
      <c r="CC34" s="166">
        <f t="shared" si="87"/>
        <v>1.4644910946456529</v>
      </c>
      <c r="CD34" s="166" t="str">
        <f t="shared" si="88"/>
        <v/>
      </c>
      <c r="CE34" s="166" t="str">
        <f t="shared" si="89"/>
        <v/>
      </c>
      <c r="CF34" s="166" t="str">
        <f t="shared" si="90"/>
        <v/>
      </c>
      <c r="CG34" s="168">
        <f t="shared" si="91"/>
        <v>-0.49429648495184908</v>
      </c>
    </row>
    <row r="35" spans="2:85" x14ac:dyDescent="0.25">
      <c r="B35" s="107" t="s">
        <v>397</v>
      </c>
      <c r="C35" s="160">
        <f>TripMode_input!B31</f>
        <v>0</v>
      </c>
      <c r="D35" s="160">
        <f>TripMode_input!C31</f>
        <v>0</v>
      </c>
      <c r="E35" s="160">
        <f>TripMode_input!D31</f>
        <v>0</v>
      </c>
      <c r="F35" s="160">
        <f>TripMode_input!E31</f>
        <v>0</v>
      </c>
      <c r="G35" s="160">
        <f>TripMode_input!F31</f>
        <v>0</v>
      </c>
      <c r="H35" s="160">
        <f>TripMode_input!G31</f>
        <v>0</v>
      </c>
      <c r="I35" s="160">
        <f>TripMode_input!H31</f>
        <v>0</v>
      </c>
      <c r="J35" s="160">
        <f>TripMode_input!I31</f>
        <v>0</v>
      </c>
      <c r="K35" s="160">
        <f>TripMode_input!J31</f>
        <v>0</v>
      </c>
      <c r="L35" s="160">
        <f>TripMode_input!K31</f>
        <v>0</v>
      </c>
      <c r="M35" s="160">
        <f>TripMode_input!L31</f>
        <v>0</v>
      </c>
      <c r="N35" s="160">
        <f>TripMode_input!M31</f>
        <v>15258.03968</v>
      </c>
      <c r="O35" s="160">
        <f>TripMode_input!N31</f>
        <v>0</v>
      </c>
      <c r="P35" s="160">
        <f>TripMode_input!O31</f>
        <v>0</v>
      </c>
      <c r="Q35" s="162">
        <f t="shared" si="47"/>
        <v>15258.03968</v>
      </c>
      <c r="S35" s="107" t="s">
        <v>397</v>
      </c>
      <c r="T35" s="160">
        <f>TripMode_input!R31*Index!$B$2</f>
        <v>0</v>
      </c>
      <c r="U35" s="160">
        <f>TripMode_input!S31*Index!$B$2</f>
        <v>0</v>
      </c>
      <c r="V35" s="160">
        <f>TripMode_input!T31*Index!$B$2</f>
        <v>0</v>
      </c>
      <c r="W35" s="160">
        <f>TripMode_input!U31*Index!$B$2</f>
        <v>0</v>
      </c>
      <c r="X35" s="160">
        <f>TripMode_input!V31*Index!$B$2</f>
        <v>0</v>
      </c>
      <c r="Y35" s="160">
        <f>TripMode_input!W31*Index!$B$2</f>
        <v>0</v>
      </c>
      <c r="Z35" s="160">
        <f>TripMode_input!X31*Index!$B$2</f>
        <v>0</v>
      </c>
      <c r="AA35" s="160">
        <f>TripMode_input!Y31*Index!$B$2</f>
        <v>0</v>
      </c>
      <c r="AB35" s="160">
        <f>TripMode_input!Z31*Index!$B$2</f>
        <v>0</v>
      </c>
      <c r="AC35" s="160">
        <f>TripMode_input!AA31*Index!$B$2</f>
        <v>0</v>
      </c>
      <c r="AD35" s="160">
        <f>TripMode_input!AB31*Index!$B$2</f>
        <v>0</v>
      </c>
      <c r="AE35" s="160">
        <f>TripMode_input!AC31*Index!$B$2</f>
        <v>7870</v>
      </c>
      <c r="AF35" s="160">
        <f>TripMode_input!AD31*Index!$B$2</f>
        <v>0</v>
      </c>
      <c r="AG35" s="160">
        <f>TripMode_input!AE31*Index!$B$2</f>
        <v>0</v>
      </c>
      <c r="AH35" s="162">
        <f t="shared" si="48"/>
        <v>7870</v>
      </c>
      <c r="AJ35" s="107" t="s">
        <v>397</v>
      </c>
      <c r="AK35" s="166">
        <f t="shared" si="79"/>
        <v>0</v>
      </c>
      <c r="AL35" s="166">
        <f t="shared" si="49"/>
        <v>0</v>
      </c>
      <c r="AM35" s="166">
        <f t="shared" si="50"/>
        <v>0</v>
      </c>
      <c r="AN35" s="166">
        <f t="shared" si="51"/>
        <v>0</v>
      </c>
      <c r="AO35" s="166">
        <f t="shared" si="52"/>
        <v>0</v>
      </c>
      <c r="AP35" s="166">
        <f t="shared" si="53"/>
        <v>0</v>
      </c>
      <c r="AQ35" s="166">
        <f t="shared" si="54"/>
        <v>0</v>
      </c>
      <c r="AR35" s="166">
        <f t="shared" si="55"/>
        <v>0</v>
      </c>
      <c r="AS35" s="166">
        <f t="shared" si="56"/>
        <v>0</v>
      </c>
      <c r="AT35" s="166">
        <f t="shared" si="57"/>
        <v>0</v>
      </c>
      <c r="AU35" s="166">
        <f t="shared" si="58"/>
        <v>0</v>
      </c>
      <c r="AV35" s="166">
        <f t="shared" si="59"/>
        <v>0.54477865645409029</v>
      </c>
      <c r="AW35" s="166">
        <f t="shared" si="60"/>
        <v>0</v>
      </c>
      <c r="AX35" s="166">
        <f t="shared" si="61"/>
        <v>0</v>
      </c>
      <c r="AY35" s="168">
        <f t="shared" si="62"/>
        <v>3.230455576699761E-2</v>
      </c>
      <c r="BA35" s="107" t="s">
        <v>397</v>
      </c>
      <c r="BB35" s="166">
        <f t="shared" si="80"/>
        <v>0</v>
      </c>
      <c r="BC35" s="166">
        <f t="shared" si="63"/>
        <v>0</v>
      </c>
      <c r="BD35" s="166">
        <f t="shared" si="64"/>
        <v>0</v>
      </c>
      <c r="BE35" s="166">
        <f t="shared" si="65"/>
        <v>0</v>
      </c>
      <c r="BF35" s="166">
        <f t="shared" si="66"/>
        <v>0</v>
      </c>
      <c r="BG35" s="166">
        <f t="shared" si="67"/>
        <v>0</v>
      </c>
      <c r="BH35" s="166">
        <f t="shared" si="68"/>
        <v>0</v>
      </c>
      <c r="BI35" s="166">
        <f t="shared" si="69"/>
        <v>0</v>
      </c>
      <c r="BJ35" s="166" t="str">
        <f t="shared" si="70"/>
        <v/>
      </c>
      <c r="BK35" s="166">
        <f t="shared" si="71"/>
        <v>0</v>
      </c>
      <c r="BL35" s="166">
        <f t="shared" si="72"/>
        <v>0</v>
      </c>
      <c r="BM35" s="166">
        <f t="shared" si="73"/>
        <v>1</v>
      </c>
      <c r="BN35" s="166">
        <f t="shared" si="74"/>
        <v>0</v>
      </c>
      <c r="BO35" s="166" t="str">
        <f t="shared" si="75"/>
        <v/>
      </c>
      <c r="BP35" s="168">
        <f t="shared" si="76"/>
        <v>2.3451933965075392E-2</v>
      </c>
      <c r="BR35" s="107" t="s">
        <v>397</v>
      </c>
      <c r="BS35" s="166" t="str">
        <f t="shared" si="82"/>
        <v/>
      </c>
      <c r="BT35" s="166" t="str">
        <f t="shared" si="83"/>
        <v/>
      </c>
      <c r="BU35" s="166" t="str">
        <f t="shared" si="84"/>
        <v/>
      </c>
      <c r="BV35" s="166" t="str">
        <f t="shared" si="85"/>
        <v/>
      </c>
      <c r="BW35" s="166"/>
      <c r="BX35" s="166"/>
      <c r="BY35" s="166"/>
      <c r="BZ35" s="166"/>
      <c r="CA35" s="166"/>
      <c r="CB35" s="166" t="str">
        <f t="shared" si="86"/>
        <v/>
      </c>
      <c r="CC35" s="166" t="str">
        <f t="shared" si="87"/>
        <v/>
      </c>
      <c r="CD35" s="166">
        <f t="shared" si="88"/>
        <v>0.83560788983345979</v>
      </c>
      <c r="CE35" s="166" t="str">
        <f t="shared" si="89"/>
        <v/>
      </c>
      <c r="CF35" s="166" t="str">
        <f t="shared" si="90"/>
        <v/>
      </c>
      <c r="CG35" s="168">
        <f t="shared" si="91"/>
        <v>-0.2740363268194535</v>
      </c>
    </row>
    <row r="36" spans="2:85" x14ac:dyDescent="0.25">
      <c r="B36" s="107" t="s">
        <v>398</v>
      </c>
      <c r="C36" s="160">
        <f>TripMode_input!B32</f>
        <v>0</v>
      </c>
      <c r="D36" s="160">
        <f>TripMode_input!C32</f>
        <v>0</v>
      </c>
      <c r="E36" s="160">
        <f>TripMode_input!D32</f>
        <v>0</v>
      </c>
      <c r="F36" s="160">
        <f>TripMode_input!E32</f>
        <v>0</v>
      </c>
      <c r="G36" s="160">
        <f>TripMode_input!F32</f>
        <v>0</v>
      </c>
      <c r="H36" s="160">
        <f>TripMode_input!G32</f>
        <v>0</v>
      </c>
      <c r="I36" s="160">
        <f>TripMode_input!H32</f>
        <v>0</v>
      </c>
      <c r="J36" s="160">
        <f>TripMode_input!I32</f>
        <v>0</v>
      </c>
      <c r="K36" s="160">
        <f>TripMode_input!J32</f>
        <v>0</v>
      </c>
      <c r="L36" s="160">
        <f>TripMode_input!K32</f>
        <v>0</v>
      </c>
      <c r="M36" s="160">
        <f>TripMode_input!L32</f>
        <v>379.83015999999998</v>
      </c>
      <c r="N36" s="160">
        <f>TripMode_input!M32</f>
        <v>0</v>
      </c>
      <c r="O36" s="160">
        <f>TripMode_input!N32</f>
        <v>2954.9135999999999</v>
      </c>
      <c r="P36" s="160">
        <f>TripMode_input!O32</f>
        <v>0</v>
      </c>
      <c r="Q36" s="162">
        <f t="shared" si="47"/>
        <v>3334.7437599999998</v>
      </c>
      <c r="S36" s="107" t="s">
        <v>398</v>
      </c>
      <c r="T36" s="160">
        <f>TripMode_input!R32*Index!$B$2</f>
        <v>0</v>
      </c>
      <c r="U36" s="160">
        <f>TripMode_input!S32*Index!$B$2</f>
        <v>0</v>
      </c>
      <c r="V36" s="160">
        <f>TripMode_input!T32*Index!$B$2</f>
        <v>0</v>
      </c>
      <c r="W36" s="160">
        <f>TripMode_input!U32*Index!$B$2</f>
        <v>0</v>
      </c>
      <c r="X36" s="160">
        <f>TripMode_input!V32*Index!$B$2</f>
        <v>0</v>
      </c>
      <c r="Y36" s="160">
        <f>TripMode_input!W32*Index!$B$2</f>
        <v>0</v>
      </c>
      <c r="Z36" s="160">
        <f>TripMode_input!X32*Index!$B$2</f>
        <v>0</v>
      </c>
      <c r="AA36" s="160">
        <f>TripMode_input!Y32*Index!$B$2</f>
        <v>0</v>
      </c>
      <c r="AB36" s="160">
        <f>TripMode_input!Z32*Index!$B$2</f>
        <v>0</v>
      </c>
      <c r="AC36" s="160">
        <f>TripMode_input!AA32*Index!$B$2</f>
        <v>23410</v>
      </c>
      <c r="AD36" s="160">
        <f>TripMode_input!AB32*Index!$B$2</f>
        <v>0</v>
      </c>
      <c r="AE36" s="160">
        <f>TripMode_input!AC32*Index!$B$2</f>
        <v>0</v>
      </c>
      <c r="AF36" s="160">
        <f>TripMode_input!AD32*Index!$B$2</f>
        <v>15475</v>
      </c>
      <c r="AG36" s="160">
        <f>TripMode_input!AE32*Index!$B$2</f>
        <v>0</v>
      </c>
      <c r="AH36" s="162">
        <f t="shared" si="48"/>
        <v>38885</v>
      </c>
      <c r="AJ36" s="107" t="s">
        <v>398</v>
      </c>
      <c r="AK36" s="166">
        <f t="shared" si="79"/>
        <v>0</v>
      </c>
      <c r="AL36" s="166">
        <f t="shared" si="49"/>
        <v>0</v>
      </c>
      <c r="AM36" s="166">
        <f t="shared" si="50"/>
        <v>0</v>
      </c>
      <c r="AN36" s="166">
        <f t="shared" si="51"/>
        <v>0</v>
      </c>
      <c r="AO36" s="166">
        <f t="shared" si="52"/>
        <v>0</v>
      </c>
      <c r="AP36" s="166">
        <f t="shared" si="53"/>
        <v>0</v>
      </c>
      <c r="AQ36" s="166">
        <f t="shared" si="54"/>
        <v>0</v>
      </c>
      <c r="AR36" s="166">
        <f t="shared" si="55"/>
        <v>0</v>
      </c>
      <c r="AS36" s="166">
        <f t="shared" si="56"/>
        <v>0</v>
      </c>
      <c r="AT36" s="166">
        <f t="shared" si="57"/>
        <v>0</v>
      </c>
      <c r="AU36" s="166">
        <f t="shared" si="58"/>
        <v>3.5575328864217347E-2</v>
      </c>
      <c r="AV36" s="166">
        <f t="shared" si="59"/>
        <v>0</v>
      </c>
      <c r="AW36" s="166">
        <f t="shared" si="60"/>
        <v>1</v>
      </c>
      <c r="AX36" s="166">
        <f t="shared" si="61"/>
        <v>0</v>
      </c>
      <c r="AY36" s="168">
        <f t="shared" si="62"/>
        <v>7.0603706650976079E-3</v>
      </c>
      <c r="BA36" s="107" t="s">
        <v>398</v>
      </c>
      <c r="BB36" s="166">
        <f t="shared" si="80"/>
        <v>0</v>
      </c>
      <c r="BC36" s="166">
        <f t="shared" si="63"/>
        <v>0</v>
      </c>
      <c r="BD36" s="166">
        <f t="shared" si="64"/>
        <v>0</v>
      </c>
      <c r="BE36" s="166">
        <f t="shared" si="65"/>
        <v>0</v>
      </c>
      <c r="BF36" s="166">
        <f t="shared" si="66"/>
        <v>0</v>
      </c>
      <c r="BG36" s="166">
        <f t="shared" si="67"/>
        <v>0</v>
      </c>
      <c r="BH36" s="166">
        <f t="shared" si="68"/>
        <v>0</v>
      </c>
      <c r="BI36" s="166">
        <f t="shared" si="69"/>
        <v>0</v>
      </c>
      <c r="BJ36" s="166" t="str">
        <f t="shared" si="70"/>
        <v/>
      </c>
      <c r="BK36" s="166">
        <f t="shared" si="71"/>
        <v>0.31296791443850269</v>
      </c>
      <c r="BL36" s="166">
        <f t="shared" si="72"/>
        <v>0</v>
      </c>
      <c r="BM36" s="166">
        <f t="shared" si="73"/>
        <v>0</v>
      </c>
      <c r="BN36" s="166">
        <f t="shared" si="74"/>
        <v>0.54662663369833986</v>
      </c>
      <c r="BO36" s="166" t="str">
        <f t="shared" si="75"/>
        <v/>
      </c>
      <c r="BP36" s="168">
        <f t="shared" si="76"/>
        <v>0.11587400917813934</v>
      </c>
      <c r="BR36" s="107" t="s">
        <v>398</v>
      </c>
      <c r="BS36" s="166" t="str">
        <f t="shared" si="82"/>
        <v/>
      </c>
      <c r="BT36" s="166" t="str">
        <f t="shared" si="83"/>
        <v/>
      </c>
      <c r="BU36" s="166" t="str">
        <f t="shared" si="84"/>
        <v/>
      </c>
      <c r="BV36" s="166" t="str">
        <f t="shared" si="85"/>
        <v/>
      </c>
      <c r="BW36" s="166"/>
      <c r="BX36" s="166"/>
      <c r="BY36" s="166"/>
      <c r="BZ36" s="166"/>
      <c r="CA36" s="166"/>
      <c r="CB36" s="166" t="str">
        <f t="shared" si="86"/>
        <v/>
      </c>
      <c r="CC36" s="166">
        <f t="shared" si="87"/>
        <v>-1</v>
      </c>
      <c r="CD36" s="166" t="str">
        <f t="shared" si="88"/>
        <v/>
      </c>
      <c r="CE36" s="166">
        <f t="shared" si="89"/>
        <v>-0.45337336630166014</v>
      </c>
      <c r="CF36" s="166" t="str">
        <f t="shared" si="90"/>
        <v/>
      </c>
      <c r="CG36" s="168">
        <f t="shared" si="91"/>
        <v>15.411887516182892</v>
      </c>
    </row>
    <row r="37" spans="2:85" x14ac:dyDescent="0.25">
      <c r="B37" s="107" t="s">
        <v>399</v>
      </c>
      <c r="C37" s="160">
        <f>TripMode_input!B33</f>
        <v>0</v>
      </c>
      <c r="D37" s="160">
        <f>TripMode_input!C33</f>
        <v>0</v>
      </c>
      <c r="E37" s="160">
        <f>TripMode_input!D33</f>
        <v>0</v>
      </c>
      <c r="F37" s="160">
        <f>TripMode_input!E33</f>
        <v>0</v>
      </c>
      <c r="G37" s="160">
        <f>TripMode_input!F33</f>
        <v>0</v>
      </c>
      <c r="H37" s="160">
        <f>TripMode_input!G33</f>
        <v>0</v>
      </c>
      <c r="I37" s="160">
        <f>TripMode_input!H33</f>
        <v>0</v>
      </c>
      <c r="J37" s="160">
        <f>TripMode_input!I33</f>
        <v>0</v>
      </c>
      <c r="K37" s="160">
        <f>TripMode_input!J33</f>
        <v>0</v>
      </c>
      <c r="L37" s="160">
        <f>TripMode_input!K33</f>
        <v>0</v>
      </c>
      <c r="M37" s="160">
        <f>TripMode_input!L33</f>
        <v>0</v>
      </c>
      <c r="N37" s="160">
        <f>TripMode_input!M33</f>
        <v>0</v>
      </c>
      <c r="O37" s="160">
        <f>TripMode_input!N33</f>
        <v>0</v>
      </c>
      <c r="P37" s="160">
        <f>TripMode_input!O33</f>
        <v>1280.53171</v>
      </c>
      <c r="Q37" s="162">
        <f t="shared" si="47"/>
        <v>1280.53171</v>
      </c>
      <c r="S37" s="107" t="s">
        <v>399</v>
      </c>
      <c r="T37" s="160">
        <f>TripMode_input!R33*Index!$B$2</f>
        <v>0</v>
      </c>
      <c r="U37" s="160">
        <f>TripMode_input!S33*Index!$B$2</f>
        <v>0</v>
      </c>
      <c r="V37" s="160">
        <f>TripMode_input!T33*Index!$B$2</f>
        <v>0</v>
      </c>
      <c r="W37" s="160">
        <f>TripMode_input!U33*Index!$B$2</f>
        <v>0</v>
      </c>
      <c r="X37" s="160">
        <f>TripMode_input!V33*Index!$B$2</f>
        <v>0</v>
      </c>
      <c r="Y37" s="160">
        <f>TripMode_input!W33*Index!$B$2</f>
        <v>0</v>
      </c>
      <c r="Z37" s="160">
        <f>TripMode_input!X33*Index!$B$2</f>
        <v>0</v>
      </c>
      <c r="AA37" s="160">
        <f>TripMode_input!Y33*Index!$B$2</f>
        <v>0</v>
      </c>
      <c r="AB37" s="160">
        <f>TripMode_input!Z33*Index!$B$2</f>
        <v>0</v>
      </c>
      <c r="AC37" s="160">
        <f>TripMode_input!AA33*Index!$B$2</f>
        <v>0</v>
      </c>
      <c r="AD37" s="160">
        <f>TripMode_input!AB33*Index!$B$2</f>
        <v>0</v>
      </c>
      <c r="AE37" s="160">
        <f>TripMode_input!AC33*Index!$B$2</f>
        <v>0</v>
      </c>
      <c r="AF37" s="160">
        <f>TripMode_input!AD33*Index!$B$2</f>
        <v>0</v>
      </c>
      <c r="AG37" s="160">
        <f>TripMode_input!AE33*Index!$B$2</f>
        <v>0</v>
      </c>
      <c r="AH37" s="162">
        <f t="shared" si="48"/>
        <v>0</v>
      </c>
      <c r="AJ37" s="107" t="s">
        <v>399</v>
      </c>
      <c r="AK37" s="166">
        <f t="shared" si="79"/>
        <v>0</v>
      </c>
      <c r="AL37" s="166">
        <f t="shared" si="49"/>
        <v>0</v>
      </c>
      <c r="AM37" s="166">
        <f t="shared" si="50"/>
        <v>0</v>
      </c>
      <c r="AN37" s="166">
        <f t="shared" si="51"/>
        <v>0</v>
      </c>
      <c r="AO37" s="166">
        <f t="shared" si="52"/>
        <v>0</v>
      </c>
      <c r="AP37" s="166">
        <f t="shared" si="53"/>
        <v>0</v>
      </c>
      <c r="AQ37" s="166">
        <f t="shared" si="54"/>
        <v>0</v>
      </c>
      <c r="AR37" s="166">
        <f t="shared" si="55"/>
        <v>0</v>
      </c>
      <c r="AS37" s="166">
        <f t="shared" si="56"/>
        <v>0</v>
      </c>
      <c r="AT37" s="166">
        <f t="shared" si="57"/>
        <v>0</v>
      </c>
      <c r="AU37" s="166">
        <f t="shared" si="58"/>
        <v>0</v>
      </c>
      <c r="AV37" s="166">
        <f t="shared" si="59"/>
        <v>0</v>
      </c>
      <c r="AW37" s="166">
        <f t="shared" si="60"/>
        <v>0</v>
      </c>
      <c r="AX37" s="166">
        <f t="shared" si="61"/>
        <v>0.90740393585019241</v>
      </c>
      <c r="AY37" s="168">
        <f t="shared" si="62"/>
        <v>2.7111613880075984E-3</v>
      </c>
      <c r="BA37" s="107" t="s">
        <v>399</v>
      </c>
      <c r="BB37" s="166">
        <f t="shared" si="80"/>
        <v>0</v>
      </c>
      <c r="BC37" s="166">
        <f t="shared" si="63"/>
        <v>0</v>
      </c>
      <c r="BD37" s="166">
        <f t="shared" si="64"/>
        <v>0</v>
      </c>
      <c r="BE37" s="166">
        <f t="shared" si="65"/>
        <v>0</v>
      </c>
      <c r="BF37" s="166">
        <f t="shared" si="66"/>
        <v>0</v>
      </c>
      <c r="BG37" s="166">
        <f t="shared" si="67"/>
        <v>0</v>
      </c>
      <c r="BH37" s="166">
        <f t="shared" si="68"/>
        <v>0</v>
      </c>
      <c r="BI37" s="166">
        <f t="shared" si="69"/>
        <v>0</v>
      </c>
      <c r="BJ37" s="166" t="str">
        <f t="shared" si="70"/>
        <v/>
      </c>
      <c r="BK37" s="166">
        <f t="shared" si="71"/>
        <v>0</v>
      </c>
      <c r="BL37" s="166">
        <f t="shared" si="72"/>
        <v>0</v>
      </c>
      <c r="BM37" s="166">
        <f t="shared" si="73"/>
        <v>0</v>
      </c>
      <c r="BN37" s="166">
        <f t="shared" si="74"/>
        <v>0</v>
      </c>
      <c r="BO37" s="166" t="str">
        <f t="shared" si="75"/>
        <v/>
      </c>
      <c r="BP37" s="168">
        <f t="shared" si="76"/>
        <v>0</v>
      </c>
      <c r="BR37" s="107" t="s">
        <v>399</v>
      </c>
      <c r="BS37" s="166" t="str">
        <f t="shared" si="82"/>
        <v/>
      </c>
      <c r="BT37" s="166" t="str">
        <f t="shared" si="83"/>
        <v/>
      </c>
      <c r="BU37" s="166" t="str">
        <f t="shared" si="84"/>
        <v/>
      </c>
      <c r="BV37" s="166" t="str">
        <f t="shared" si="85"/>
        <v/>
      </c>
      <c r="BW37" s="166"/>
      <c r="BX37" s="166"/>
      <c r="BY37" s="166"/>
      <c r="BZ37" s="166"/>
      <c r="CA37" s="166"/>
      <c r="CB37" s="166" t="str">
        <f t="shared" si="86"/>
        <v/>
      </c>
      <c r="CC37" s="166" t="str">
        <f t="shared" si="87"/>
        <v/>
      </c>
      <c r="CD37" s="166" t="str">
        <f t="shared" si="88"/>
        <v/>
      </c>
      <c r="CE37" s="166" t="str">
        <f t="shared" si="89"/>
        <v/>
      </c>
      <c r="CF37" s="166" t="e">
        <f t="shared" si="90"/>
        <v>#VALUE!</v>
      </c>
      <c r="CG37" s="168">
        <f t="shared" si="91"/>
        <v>-1</v>
      </c>
    </row>
    <row r="38" spans="2:85" ht="15.75" thickBot="1" x14ac:dyDescent="0.3">
      <c r="B38" s="108" t="s">
        <v>29</v>
      </c>
      <c r="C38" s="109">
        <f t="shared" ref="C38:P38" si="92">SUM(C24:C37)</f>
        <v>192717.02281999998</v>
      </c>
      <c r="D38" s="110">
        <f t="shared" si="92"/>
        <v>11800.376609999999</v>
      </c>
      <c r="E38" s="110">
        <f t="shared" si="92"/>
        <v>64531.849910000004</v>
      </c>
      <c r="F38" s="110">
        <f t="shared" si="92"/>
        <v>3746.5190299999999</v>
      </c>
      <c r="G38" s="110">
        <f t="shared" si="92"/>
        <v>15214.340410000001</v>
      </c>
      <c r="H38" s="110">
        <f t="shared" si="92"/>
        <v>3179.5171200000004</v>
      </c>
      <c r="I38" s="110">
        <f t="shared" si="92"/>
        <v>36459.788619999999</v>
      </c>
      <c r="J38" s="110">
        <f t="shared" si="92"/>
        <v>14886.48612</v>
      </c>
      <c r="K38" s="110">
        <f t="shared" si="92"/>
        <v>80628.357569999993</v>
      </c>
      <c r="L38" s="110">
        <f t="shared" si="92"/>
        <v>6103.5719799999997</v>
      </c>
      <c r="M38" s="110">
        <f t="shared" si="92"/>
        <v>10676.78563</v>
      </c>
      <c r="N38" s="110">
        <f t="shared" si="92"/>
        <v>28007.778019999998</v>
      </c>
      <c r="O38" s="110">
        <f t="shared" si="92"/>
        <v>2954.9135999999999</v>
      </c>
      <c r="P38" s="110">
        <f t="shared" si="92"/>
        <v>1411.20361</v>
      </c>
      <c r="Q38" s="112">
        <f>SUM(Q24:Q37)</f>
        <v>472318.51104999991</v>
      </c>
      <c r="S38" s="108" t="s">
        <v>29</v>
      </c>
      <c r="T38" s="109">
        <f t="shared" ref="T38:AC38" si="93">SUM(T24:T37)</f>
        <v>106980</v>
      </c>
      <c r="U38" s="110">
        <f t="shared" si="93"/>
        <v>20265</v>
      </c>
      <c r="V38" s="110">
        <f t="shared" si="93"/>
        <v>40005</v>
      </c>
      <c r="W38" s="110">
        <f t="shared" si="93"/>
        <v>4305</v>
      </c>
      <c r="X38" s="110">
        <f t="shared" si="93"/>
        <v>7435</v>
      </c>
      <c r="Y38" s="110">
        <f t="shared" si="93"/>
        <v>975</v>
      </c>
      <c r="Z38" s="110">
        <f t="shared" si="93"/>
        <v>29940</v>
      </c>
      <c r="AA38" s="110">
        <f t="shared" si="93"/>
        <v>13075</v>
      </c>
      <c r="AB38" s="110">
        <f t="shared" si="93"/>
        <v>0</v>
      </c>
      <c r="AC38" s="110">
        <f t="shared" si="93"/>
        <v>74800</v>
      </c>
      <c r="AD38" s="110">
        <f>SUM(AD24:AD37)</f>
        <v>1620</v>
      </c>
      <c r="AE38" s="110">
        <f>SUM(AE24:AE37)</f>
        <v>7870</v>
      </c>
      <c r="AF38" s="110">
        <f>SUM(AF24:AF37)</f>
        <v>28310</v>
      </c>
      <c r="AG38" s="110">
        <f>SUM(AG24:AG37)</f>
        <v>0</v>
      </c>
      <c r="AH38" s="112">
        <f>SUM(AH24:AH37)</f>
        <v>335580</v>
      </c>
      <c r="AJ38" s="108" t="s">
        <v>29</v>
      </c>
      <c r="AK38" s="120">
        <f t="shared" si="79"/>
        <v>1</v>
      </c>
      <c r="AL38" s="121">
        <f t="shared" si="49"/>
        <v>1</v>
      </c>
      <c r="AM38" s="121">
        <f t="shared" si="50"/>
        <v>1</v>
      </c>
      <c r="AN38" s="121">
        <f t="shared" si="51"/>
        <v>1</v>
      </c>
      <c r="AO38" s="121">
        <f t="shared" si="52"/>
        <v>1</v>
      </c>
      <c r="AP38" s="121">
        <f t="shared" si="53"/>
        <v>1</v>
      </c>
      <c r="AQ38" s="121">
        <f t="shared" si="54"/>
        <v>1</v>
      </c>
      <c r="AR38" s="121">
        <f t="shared" si="55"/>
        <v>1</v>
      </c>
      <c r="AS38" s="121">
        <f t="shared" si="56"/>
        <v>1</v>
      </c>
      <c r="AT38" s="121">
        <f t="shared" si="57"/>
        <v>1</v>
      </c>
      <c r="AU38" s="121">
        <f t="shared" si="58"/>
        <v>1</v>
      </c>
      <c r="AV38" s="121">
        <f t="shared" si="59"/>
        <v>1</v>
      </c>
      <c r="AW38" s="121">
        <f t="shared" si="60"/>
        <v>1</v>
      </c>
      <c r="AX38" s="121">
        <f t="shared" si="61"/>
        <v>1</v>
      </c>
      <c r="AY38" s="123">
        <f t="shared" si="62"/>
        <v>1</v>
      </c>
      <c r="BA38" s="108" t="s">
        <v>29</v>
      </c>
      <c r="BB38" s="120">
        <f t="shared" si="80"/>
        <v>1</v>
      </c>
      <c r="BC38" s="121">
        <f t="shared" si="63"/>
        <v>1</v>
      </c>
      <c r="BD38" s="121">
        <f t="shared" si="64"/>
        <v>1</v>
      </c>
      <c r="BE38" s="121">
        <f t="shared" si="65"/>
        <v>1</v>
      </c>
      <c r="BF38" s="121">
        <f t="shared" si="66"/>
        <v>1</v>
      </c>
      <c r="BG38" s="121">
        <f t="shared" si="67"/>
        <v>1</v>
      </c>
      <c r="BH38" s="121">
        <f t="shared" si="68"/>
        <v>1</v>
      </c>
      <c r="BI38" s="121">
        <f t="shared" si="69"/>
        <v>1</v>
      </c>
      <c r="BJ38" s="121" t="str">
        <f t="shared" si="70"/>
        <v/>
      </c>
      <c r="BK38" s="121">
        <f t="shared" si="71"/>
        <v>1</v>
      </c>
      <c r="BL38" s="121">
        <f t="shared" si="72"/>
        <v>1</v>
      </c>
      <c r="BM38" s="121">
        <f t="shared" si="73"/>
        <v>1</v>
      </c>
      <c r="BN38" s="121">
        <f t="shared" si="74"/>
        <v>1</v>
      </c>
      <c r="BO38" s="121" t="str">
        <f t="shared" si="75"/>
        <v/>
      </c>
      <c r="BP38" s="123">
        <f t="shared" si="76"/>
        <v>1</v>
      </c>
      <c r="BR38" s="108" t="s">
        <v>29</v>
      </c>
      <c r="BS38" s="120">
        <f t="shared" si="82"/>
        <v>0</v>
      </c>
      <c r="BT38" s="121">
        <f t="shared" si="83"/>
        <v>0</v>
      </c>
      <c r="BU38" s="121">
        <f t="shared" si="84"/>
        <v>0</v>
      </c>
      <c r="BV38" s="121">
        <f t="shared" si="85"/>
        <v>0</v>
      </c>
      <c r="BW38" s="121"/>
      <c r="BX38" s="121"/>
      <c r="BY38" s="121"/>
      <c r="BZ38" s="121"/>
      <c r="CA38" s="121"/>
      <c r="CB38" s="121">
        <f t="shared" si="86"/>
        <v>0</v>
      </c>
      <c r="CC38" s="121">
        <f t="shared" si="87"/>
        <v>0</v>
      </c>
      <c r="CD38" s="121">
        <f t="shared" si="88"/>
        <v>0</v>
      </c>
      <c r="CE38" s="121">
        <f t="shared" si="89"/>
        <v>0</v>
      </c>
      <c r="CF38" s="121" t="e">
        <f t="shared" si="90"/>
        <v>#VALUE!</v>
      </c>
      <c r="CG38" s="123">
        <f t="shared" si="91"/>
        <v>0</v>
      </c>
    </row>
    <row r="39" spans="2:85" x14ac:dyDescent="0.25">
      <c r="B39" t="s">
        <v>218</v>
      </c>
      <c r="C39" s="383" t="s">
        <v>206</v>
      </c>
      <c r="D39" s="383"/>
      <c r="E39" s="383"/>
      <c r="F39" s="383"/>
      <c r="G39" s="383"/>
      <c r="H39" s="383"/>
      <c r="I39" s="383"/>
      <c r="J39" s="383"/>
      <c r="K39" s="383"/>
      <c r="L39" s="383"/>
      <c r="M39" s="383"/>
      <c r="N39" s="383"/>
      <c r="O39" s="383"/>
      <c r="P39" s="383"/>
      <c r="Q39" s="383"/>
      <c r="S39" t="s">
        <v>218</v>
      </c>
      <c r="T39" s="383" t="s">
        <v>206</v>
      </c>
      <c r="U39" s="383"/>
      <c r="V39" s="383"/>
      <c r="W39" s="383"/>
      <c r="X39" s="383"/>
      <c r="Y39" s="383"/>
      <c r="Z39" s="383"/>
      <c r="AA39" s="383"/>
      <c r="AB39" s="383"/>
      <c r="AC39" s="383"/>
      <c r="AD39" s="383"/>
      <c r="AE39" s="383"/>
      <c r="AF39" s="383"/>
      <c r="AG39" s="383"/>
      <c r="AH39" s="383"/>
      <c r="AJ39" t="s">
        <v>218</v>
      </c>
      <c r="AK39" s="383" t="s">
        <v>206</v>
      </c>
      <c r="AL39" s="383"/>
      <c r="AM39" s="383"/>
      <c r="AN39" s="383"/>
      <c r="AO39" s="383"/>
      <c r="AP39" s="383"/>
      <c r="AQ39" s="383"/>
      <c r="AR39" s="383"/>
      <c r="AS39" s="383"/>
      <c r="AT39" s="383"/>
      <c r="AU39" s="383"/>
      <c r="AV39" s="383"/>
      <c r="AW39" s="383"/>
      <c r="AX39" s="383"/>
      <c r="AY39" s="383"/>
      <c r="BA39" t="s">
        <v>218</v>
      </c>
      <c r="BB39" s="383" t="s">
        <v>206</v>
      </c>
      <c r="BC39" s="383"/>
      <c r="BD39" s="383"/>
      <c r="BE39" s="383"/>
      <c r="BF39" s="383"/>
      <c r="BG39" s="383"/>
      <c r="BH39" s="383"/>
      <c r="BI39" s="383"/>
      <c r="BJ39" s="383"/>
      <c r="BK39" s="383"/>
      <c r="BL39" s="383"/>
      <c r="BM39" s="383"/>
      <c r="BN39" s="383"/>
      <c r="BO39" s="383"/>
      <c r="BP39" s="383"/>
      <c r="BR39" t="s">
        <v>218</v>
      </c>
      <c r="BS39" s="383" t="s">
        <v>206</v>
      </c>
      <c r="BT39" s="383"/>
      <c r="BU39" s="383"/>
      <c r="BV39" s="383"/>
      <c r="BW39" s="383"/>
      <c r="BX39" s="383"/>
      <c r="BY39" s="383"/>
      <c r="BZ39" s="383"/>
      <c r="CA39" s="383"/>
      <c r="CB39" s="383"/>
      <c r="CC39" s="383"/>
      <c r="CD39" s="383"/>
      <c r="CE39" s="383"/>
      <c r="CF39" s="383"/>
      <c r="CG39" s="383"/>
    </row>
    <row r="40" spans="2:85" ht="35.450000000000003" customHeight="1" x14ac:dyDescent="0.25">
      <c r="B40" s="163" t="s">
        <v>207</v>
      </c>
      <c r="C40" s="164" t="s">
        <v>386</v>
      </c>
      <c r="D40" s="164" t="s">
        <v>387</v>
      </c>
      <c r="E40" s="164" t="s">
        <v>388</v>
      </c>
      <c r="F40" s="164" t="s">
        <v>389</v>
      </c>
      <c r="G40" s="164" t="s">
        <v>390</v>
      </c>
      <c r="H40" s="164" t="s">
        <v>391</v>
      </c>
      <c r="I40" s="164" t="s">
        <v>392</v>
      </c>
      <c r="J40" s="164" t="s">
        <v>393</v>
      </c>
      <c r="K40" s="164" t="s">
        <v>394</v>
      </c>
      <c r="L40" s="164" t="s">
        <v>395</v>
      </c>
      <c r="M40" s="164" t="s">
        <v>396</v>
      </c>
      <c r="N40" s="164" t="s">
        <v>397</v>
      </c>
      <c r="O40" s="164" t="s">
        <v>398</v>
      </c>
      <c r="P40" s="164" t="s">
        <v>399</v>
      </c>
      <c r="Q40" s="106" t="s">
        <v>29</v>
      </c>
      <c r="S40" s="163" t="s">
        <v>207</v>
      </c>
      <c r="T40" s="164" t="s">
        <v>386</v>
      </c>
      <c r="U40" s="164" t="s">
        <v>387</v>
      </c>
      <c r="V40" s="164" t="s">
        <v>388</v>
      </c>
      <c r="W40" s="164" t="s">
        <v>389</v>
      </c>
      <c r="X40" s="164" t="s">
        <v>390</v>
      </c>
      <c r="Y40" s="164" t="s">
        <v>391</v>
      </c>
      <c r="Z40" s="164" t="s">
        <v>392</v>
      </c>
      <c r="AA40" s="164" t="s">
        <v>393</v>
      </c>
      <c r="AB40" s="164" t="s">
        <v>394</v>
      </c>
      <c r="AC40" s="164" t="s">
        <v>395</v>
      </c>
      <c r="AD40" s="164" t="s">
        <v>396</v>
      </c>
      <c r="AE40" s="164" t="s">
        <v>397</v>
      </c>
      <c r="AF40" s="164" t="s">
        <v>398</v>
      </c>
      <c r="AG40" s="164" t="s">
        <v>399</v>
      </c>
      <c r="AH40" s="106" t="s">
        <v>29</v>
      </c>
      <c r="AJ40" s="163" t="s">
        <v>207</v>
      </c>
      <c r="AK40" s="164" t="s">
        <v>386</v>
      </c>
      <c r="AL40" s="164" t="s">
        <v>387</v>
      </c>
      <c r="AM40" s="164" t="s">
        <v>388</v>
      </c>
      <c r="AN40" s="164" t="s">
        <v>389</v>
      </c>
      <c r="AO40" s="164" t="s">
        <v>390</v>
      </c>
      <c r="AP40" s="164" t="s">
        <v>391</v>
      </c>
      <c r="AQ40" s="164" t="s">
        <v>392</v>
      </c>
      <c r="AR40" s="164" t="s">
        <v>393</v>
      </c>
      <c r="AS40" s="164" t="s">
        <v>394</v>
      </c>
      <c r="AT40" s="164" t="s">
        <v>395</v>
      </c>
      <c r="AU40" s="164" t="s">
        <v>396</v>
      </c>
      <c r="AV40" s="164" t="s">
        <v>397</v>
      </c>
      <c r="AW40" s="164" t="s">
        <v>398</v>
      </c>
      <c r="AX40" s="164" t="s">
        <v>399</v>
      </c>
      <c r="AY40" s="106" t="s">
        <v>29</v>
      </c>
      <c r="BA40" s="163" t="s">
        <v>207</v>
      </c>
      <c r="BB40" s="164" t="s">
        <v>386</v>
      </c>
      <c r="BC40" s="164" t="s">
        <v>387</v>
      </c>
      <c r="BD40" s="164" t="s">
        <v>388</v>
      </c>
      <c r="BE40" s="164" t="s">
        <v>389</v>
      </c>
      <c r="BF40" s="164" t="s">
        <v>390</v>
      </c>
      <c r="BG40" s="164" t="s">
        <v>391</v>
      </c>
      <c r="BH40" s="164" t="s">
        <v>392</v>
      </c>
      <c r="BI40" s="164" t="s">
        <v>393</v>
      </c>
      <c r="BJ40" s="164" t="s">
        <v>394</v>
      </c>
      <c r="BK40" s="164" t="s">
        <v>395</v>
      </c>
      <c r="BL40" s="164" t="s">
        <v>396</v>
      </c>
      <c r="BM40" s="164" t="s">
        <v>397</v>
      </c>
      <c r="BN40" s="164" t="s">
        <v>398</v>
      </c>
      <c r="BO40" s="164" t="s">
        <v>399</v>
      </c>
      <c r="BP40" s="106" t="s">
        <v>29</v>
      </c>
      <c r="BR40" s="163" t="s">
        <v>207</v>
      </c>
      <c r="BS40" s="164" t="s">
        <v>386</v>
      </c>
      <c r="BT40" s="164" t="s">
        <v>387</v>
      </c>
      <c r="BU40" s="164" t="s">
        <v>388</v>
      </c>
      <c r="BV40" s="164" t="s">
        <v>389</v>
      </c>
      <c r="BW40" s="164" t="s">
        <v>390</v>
      </c>
      <c r="BX40" s="164" t="s">
        <v>391</v>
      </c>
      <c r="BY40" s="164" t="s">
        <v>392</v>
      </c>
      <c r="BZ40" s="164" t="s">
        <v>393</v>
      </c>
      <c r="CA40" s="164" t="s">
        <v>394</v>
      </c>
      <c r="CB40" s="164" t="s">
        <v>395</v>
      </c>
      <c r="CC40" s="164" t="s">
        <v>396</v>
      </c>
      <c r="CD40" s="164" t="s">
        <v>397</v>
      </c>
      <c r="CE40" s="164" t="s">
        <v>398</v>
      </c>
      <c r="CF40" s="164" t="s">
        <v>399</v>
      </c>
      <c r="CG40" s="106" t="s">
        <v>29</v>
      </c>
    </row>
    <row r="41" spans="2:85" x14ac:dyDescent="0.25">
      <c r="B41" s="107" t="s">
        <v>386</v>
      </c>
      <c r="C41" s="160">
        <f>TripMode_input!B36</f>
        <v>101292.82913</v>
      </c>
      <c r="D41" s="160">
        <f>TripMode_input!C36</f>
        <v>0</v>
      </c>
      <c r="E41" s="160">
        <f>TripMode_input!D36</f>
        <v>8265.8421099999996</v>
      </c>
      <c r="F41" s="160">
        <f>TripMode_input!E36</f>
        <v>0</v>
      </c>
      <c r="G41" s="160">
        <f>TripMode_input!F36</f>
        <v>5946.1005500000001</v>
      </c>
      <c r="H41" s="160">
        <f>TripMode_input!G36</f>
        <v>0</v>
      </c>
      <c r="I41" s="160">
        <f>TripMode_input!H36</f>
        <v>0</v>
      </c>
      <c r="J41" s="160">
        <f>TripMode_input!I36</f>
        <v>0</v>
      </c>
      <c r="K41" s="160">
        <f>TripMode_input!J36</f>
        <v>1218.2488000000001</v>
      </c>
      <c r="L41" s="160">
        <f>TripMode_input!K36</f>
        <v>0</v>
      </c>
      <c r="M41" s="160">
        <f>TripMode_input!L36</f>
        <v>0</v>
      </c>
      <c r="N41" s="160">
        <f>TripMode_input!M36</f>
        <v>212.33784</v>
      </c>
      <c r="O41" s="160">
        <f>TripMode_input!N36</f>
        <v>0</v>
      </c>
      <c r="P41" s="160">
        <f>TripMode_input!O36</f>
        <v>2343.5918700000002</v>
      </c>
      <c r="Q41" s="161">
        <f t="shared" ref="Q41:Q54" si="94">SUM(C41:P41)</f>
        <v>119278.9503</v>
      </c>
      <c r="S41" s="107" t="s">
        <v>386</v>
      </c>
      <c r="T41" s="160">
        <f>TripMode_input!R36*Index!$B$2</f>
        <v>92680</v>
      </c>
      <c r="U41" s="160">
        <f>TripMode_input!S36*Index!$B$2</f>
        <v>10115</v>
      </c>
      <c r="V41" s="160">
        <f>TripMode_input!T36*Index!$B$2</f>
        <v>10670</v>
      </c>
      <c r="W41" s="160">
        <f>TripMode_input!U36*Index!$B$2</f>
        <v>280</v>
      </c>
      <c r="X41" s="160">
        <f>TripMode_input!V36*Index!$B$2</f>
        <v>5170</v>
      </c>
      <c r="Y41" s="160">
        <f>TripMode_input!W36*Index!$B$2</f>
        <v>355</v>
      </c>
      <c r="Z41" s="160">
        <f>TripMode_input!X36*Index!$B$2</f>
        <v>0</v>
      </c>
      <c r="AA41" s="160">
        <f>TripMode_input!Y36*Index!$B$2</f>
        <v>0</v>
      </c>
      <c r="AB41" s="160">
        <f>TripMode_input!Z36*Index!$B$2</f>
        <v>0</v>
      </c>
      <c r="AC41" s="160">
        <f>TripMode_input!AA36*Index!$B$2</f>
        <v>0</v>
      </c>
      <c r="AD41" s="160">
        <f>TripMode_input!AB36*Index!$B$2</f>
        <v>0</v>
      </c>
      <c r="AE41" s="160">
        <f>TripMode_input!AC36*Index!$B$2</f>
        <v>0</v>
      </c>
      <c r="AF41" s="160">
        <f>TripMode_input!AD36*Index!$B$2</f>
        <v>0</v>
      </c>
      <c r="AG41" s="160">
        <f>TripMode_input!AE36*Index!$B$2</f>
        <v>0</v>
      </c>
      <c r="AH41" s="161">
        <f t="shared" ref="AH41:AH54" si="95">SUM(T41:AG41)</f>
        <v>119270</v>
      </c>
      <c r="AJ41" s="107" t="s">
        <v>386</v>
      </c>
      <c r="AK41" s="166">
        <f>IF(C$55&gt;0,C41/C$55,"")</f>
        <v>0.99473995144873439</v>
      </c>
      <c r="AL41" s="166" t="str">
        <f t="shared" ref="AL41:AL55" si="96">IF(D$55&gt;0,D41/D$55,"")</f>
        <v/>
      </c>
      <c r="AM41" s="166">
        <f t="shared" ref="AM41:AM55" si="97">IF(E$55&gt;0,E41/E$55,"")</f>
        <v>1.6970718071825108E-2</v>
      </c>
      <c r="AN41" s="166">
        <f t="shared" ref="AN41:AN55" si="98">IF(F$55&gt;0,F41/F$55,"")</f>
        <v>0</v>
      </c>
      <c r="AO41" s="166">
        <f t="shared" ref="AO41:AO55" si="99">IF(G$55&gt;0,G41/G$55,"")</f>
        <v>5.3838168579114706E-3</v>
      </c>
      <c r="AP41" s="166">
        <f t="shared" ref="AP41:AP55" si="100">IF(H$55&gt;0,H41/H$55,"")</f>
        <v>0</v>
      </c>
      <c r="AQ41" s="166">
        <f t="shared" ref="AQ41:AQ55" si="101">IF(I$55&gt;0,I41/I$55,"")</f>
        <v>0</v>
      </c>
      <c r="AR41" s="166">
        <f t="shared" ref="AR41:AR55" si="102">IF(J$55&gt;0,J41/J$55,"")</f>
        <v>0</v>
      </c>
      <c r="AS41" s="166">
        <f t="shared" ref="AS41:AS55" si="103">IF(K$55&gt;0,K41/K$55,"")</f>
        <v>9.2781224169647489E-3</v>
      </c>
      <c r="AT41" s="166">
        <f t="shared" ref="AT41:AT55" si="104">IF(L$55&gt;0,L41/L$55,"")</f>
        <v>0</v>
      </c>
      <c r="AU41" s="166">
        <f t="shared" ref="AU41:AU55" si="105">IF(M$55&gt;0,M41/M$55,"")</f>
        <v>0</v>
      </c>
      <c r="AV41" s="166">
        <f t="shared" ref="AV41:AV55" si="106">IF(N$55&gt;0,N41/N$55,"")</f>
        <v>0.11886591360308266</v>
      </c>
      <c r="AW41" s="166">
        <f t="shared" ref="AW41:AW55" si="107">IF(O$55&gt;0,O41/O$55,"")</f>
        <v>0</v>
      </c>
      <c r="AX41" s="166">
        <f t="shared" ref="AX41:AX55" si="108">IF(P$55&gt;0,P41/P$55,"")</f>
        <v>1.9163766688055593E-3</v>
      </c>
      <c r="AY41" s="167">
        <f t="shared" ref="AY41:AY55" si="109">IF(Q$55&gt;0,Q41/Q$55,"")</f>
        <v>3.2962600724656219E-2</v>
      </c>
      <c r="BA41" s="107" t="s">
        <v>386</v>
      </c>
      <c r="BB41" s="166">
        <f>IF(T$55&gt;0,T41/T$55,"")</f>
        <v>0.98485734020509008</v>
      </c>
      <c r="BC41" s="166">
        <f t="shared" ref="BC41:BC55" si="110">IF(U$55&gt;0,U41/U$55,"")</f>
        <v>0.76978691019786916</v>
      </c>
      <c r="BD41" s="166">
        <f t="shared" ref="BD41:BD55" si="111">IF(V$55&gt;0,V41/V$55,"")</f>
        <v>1.9392419326990359E-2</v>
      </c>
      <c r="BE41" s="166">
        <f t="shared" ref="BE41:BE55" si="112">IF(W$55&gt;0,W41/W$55,"")</f>
        <v>3.3877797943133697E-2</v>
      </c>
      <c r="BF41" s="166">
        <f t="shared" ref="BF41:BF55" si="113">IF(X$55&gt;0,X41/X$55,"")</f>
        <v>4.8159102023706945E-3</v>
      </c>
      <c r="BG41" s="166">
        <f t="shared" ref="BG41:BG55" si="114">IF(Y$55&gt;0,Y41/Y$55,"")</f>
        <v>8.760024676125848E-3</v>
      </c>
      <c r="BH41" s="166">
        <f t="shared" ref="BH41:BH55" si="115">IF(Z$55&gt;0,Z41/Z$55,"")</f>
        <v>0</v>
      </c>
      <c r="BI41" s="166">
        <f t="shared" ref="BI41:BI55" si="116">IF(AA$55&gt;0,AA41/AA$55,"")</f>
        <v>0</v>
      </c>
      <c r="BJ41" s="166" t="str">
        <f t="shared" ref="BJ41:BJ55" si="117">IF(AB$55&gt;0,AB41/AB$55,"")</f>
        <v/>
      </c>
      <c r="BK41" s="166">
        <f t="shared" ref="BK41:BK55" si="118">IF(AC$55&gt;0,AC41/AC$55,"")</f>
        <v>0</v>
      </c>
      <c r="BL41" s="166">
        <f t="shared" ref="BL41:BL55" si="119">IF(AD$55&gt;0,AD41/AD$55,"")</f>
        <v>0</v>
      </c>
      <c r="BM41" s="166">
        <f t="shared" ref="BM41:BM55" si="120">IF(AE$55&gt;0,AE41/AE$55,"")</f>
        <v>0</v>
      </c>
      <c r="BN41" s="166">
        <f t="shared" ref="BN41:BN55" si="121">IF(AF$55&gt;0,AF41/AF$55,"")</f>
        <v>0</v>
      </c>
      <c r="BO41" s="166">
        <f t="shared" ref="BO41:BO55" si="122">IF(AG$55&gt;0,AG41/AG$55,"")</f>
        <v>0</v>
      </c>
      <c r="BP41" s="167">
        <f t="shared" ref="BP41:BP55" si="123">IF(AH$55&gt;0,AH41/AH$55,"")</f>
        <v>3.1716442716546424E-2</v>
      </c>
      <c r="BR41" s="107" t="s">
        <v>386</v>
      </c>
      <c r="BS41" s="166">
        <f t="shared" ref="BS41:BV44" si="124">IF(OR(ISNA(AK41),AK41=0,AK41=""),"",(BB41-AK41)/AK41)</f>
        <v>-9.9348691376588676E-3</v>
      </c>
      <c r="BT41" s="166" t="str">
        <f t="shared" si="124"/>
        <v/>
      </c>
      <c r="BU41" s="166">
        <f t="shared" si="124"/>
        <v>0.1426988089081378</v>
      </c>
      <c r="BV41" s="166" t="str">
        <f t="shared" si="124"/>
        <v/>
      </c>
      <c r="BW41" s="166"/>
      <c r="BX41" s="166"/>
      <c r="BY41" s="166"/>
      <c r="BZ41" s="166"/>
      <c r="CA41" s="166"/>
      <c r="CB41" s="166" t="str">
        <f t="shared" ref="CB41:CG41" si="125">IF(OR(ISNA(AT41),AT41=0,AT41=""),"",(BK41-AT41)/AT41)</f>
        <v/>
      </c>
      <c r="CC41" s="166" t="str">
        <f t="shared" si="125"/>
        <v/>
      </c>
      <c r="CD41" s="166">
        <f t="shared" si="125"/>
        <v>-1</v>
      </c>
      <c r="CE41" s="166" t="str">
        <f t="shared" si="125"/>
        <v/>
      </c>
      <c r="CF41" s="166">
        <f t="shared" si="125"/>
        <v>-1</v>
      </c>
      <c r="CG41" s="167">
        <f t="shared" si="125"/>
        <v>-3.7805208955422658E-2</v>
      </c>
    </row>
    <row r="42" spans="2:85" x14ac:dyDescent="0.25">
      <c r="B42" s="107" t="s">
        <v>387</v>
      </c>
      <c r="C42" s="160">
        <f>TripMode_input!B37</f>
        <v>0</v>
      </c>
      <c r="D42" s="160">
        <f>TripMode_input!C37</f>
        <v>0</v>
      </c>
      <c r="E42" s="160">
        <f>TripMode_input!D37</f>
        <v>0</v>
      </c>
      <c r="F42" s="160">
        <f>TripMode_input!E37</f>
        <v>0</v>
      </c>
      <c r="G42" s="160">
        <f>TripMode_input!F37</f>
        <v>0</v>
      </c>
      <c r="H42" s="160">
        <f>TripMode_input!G37</f>
        <v>0</v>
      </c>
      <c r="I42" s="160">
        <f>TripMode_input!H37</f>
        <v>0</v>
      </c>
      <c r="J42" s="160">
        <f>TripMode_input!I37</f>
        <v>0</v>
      </c>
      <c r="K42" s="160">
        <f>TripMode_input!J37</f>
        <v>0</v>
      </c>
      <c r="L42" s="160">
        <f>TripMode_input!K37</f>
        <v>0</v>
      </c>
      <c r="M42" s="160">
        <f>TripMode_input!L37</f>
        <v>0</v>
      </c>
      <c r="N42" s="160">
        <f>TripMode_input!M37</f>
        <v>0</v>
      </c>
      <c r="O42" s="160">
        <f>TripMode_input!N37</f>
        <v>0</v>
      </c>
      <c r="P42" s="160">
        <f>TripMode_input!O37</f>
        <v>0</v>
      </c>
      <c r="Q42" s="162">
        <f t="shared" si="94"/>
        <v>0</v>
      </c>
      <c r="S42" s="107" t="s">
        <v>387</v>
      </c>
      <c r="T42" s="160">
        <f>TripMode_input!R37*Index!$B$2</f>
        <v>1425</v>
      </c>
      <c r="U42" s="160">
        <f>TripMode_input!S37*Index!$B$2</f>
        <v>3025</v>
      </c>
      <c r="V42" s="160">
        <f>TripMode_input!T37*Index!$B$2</f>
        <v>270</v>
      </c>
      <c r="W42" s="160">
        <f>TripMode_input!U37*Index!$B$2</f>
        <v>85</v>
      </c>
      <c r="X42" s="160">
        <f>TripMode_input!V37*Index!$B$2</f>
        <v>180</v>
      </c>
      <c r="Y42" s="160">
        <f>TripMode_input!W37*Index!$B$2</f>
        <v>100</v>
      </c>
      <c r="Z42" s="160">
        <f>TripMode_input!X37*Index!$B$2</f>
        <v>0</v>
      </c>
      <c r="AA42" s="160">
        <f>TripMode_input!Y37*Index!$B$2</f>
        <v>0</v>
      </c>
      <c r="AB42" s="160">
        <f>TripMode_input!Z37*Index!$B$2</f>
        <v>0</v>
      </c>
      <c r="AC42" s="160">
        <f>TripMode_input!AA37*Index!$B$2</f>
        <v>0</v>
      </c>
      <c r="AD42" s="160">
        <f>TripMode_input!AB37*Index!$B$2</f>
        <v>0</v>
      </c>
      <c r="AE42" s="160">
        <f>TripMode_input!AC37*Index!$B$2</f>
        <v>0</v>
      </c>
      <c r="AF42" s="160">
        <f>TripMode_input!AD37*Index!$B$2</f>
        <v>0</v>
      </c>
      <c r="AG42" s="160">
        <f>TripMode_input!AE37*Index!$B$2</f>
        <v>0</v>
      </c>
      <c r="AH42" s="162">
        <f t="shared" si="95"/>
        <v>5085</v>
      </c>
      <c r="AJ42" s="107" t="s">
        <v>387</v>
      </c>
      <c r="AK42" s="166">
        <f t="shared" ref="AK42:AK55" si="126">IF(C$55&gt;0,C42/C$55,"")</f>
        <v>0</v>
      </c>
      <c r="AL42" s="166" t="str">
        <f t="shared" si="96"/>
        <v/>
      </c>
      <c r="AM42" s="166">
        <f t="shared" si="97"/>
        <v>0</v>
      </c>
      <c r="AN42" s="166">
        <f t="shared" si="98"/>
        <v>0</v>
      </c>
      <c r="AO42" s="166">
        <f t="shared" si="99"/>
        <v>0</v>
      </c>
      <c r="AP42" s="166">
        <f t="shared" si="100"/>
        <v>0</v>
      </c>
      <c r="AQ42" s="166">
        <f t="shared" si="101"/>
        <v>0</v>
      </c>
      <c r="AR42" s="166">
        <f t="shared" si="102"/>
        <v>0</v>
      </c>
      <c r="AS42" s="166">
        <f t="shared" si="103"/>
        <v>0</v>
      </c>
      <c r="AT42" s="166">
        <f t="shared" si="104"/>
        <v>0</v>
      </c>
      <c r="AU42" s="166">
        <f t="shared" si="105"/>
        <v>0</v>
      </c>
      <c r="AV42" s="166">
        <f t="shared" si="106"/>
        <v>0</v>
      </c>
      <c r="AW42" s="166">
        <f t="shared" si="107"/>
        <v>0</v>
      </c>
      <c r="AX42" s="166">
        <f t="shared" si="108"/>
        <v>0</v>
      </c>
      <c r="AY42" s="168">
        <f t="shared" si="109"/>
        <v>0</v>
      </c>
      <c r="BA42" s="107" t="s">
        <v>387</v>
      </c>
      <c r="BB42" s="166">
        <f t="shared" ref="BB42:BB55" si="127">IF(T$55&gt;0,T42/T$55,"")</f>
        <v>1.5142659794909941E-2</v>
      </c>
      <c r="BC42" s="166">
        <f t="shared" si="110"/>
        <v>0.2302130898021309</v>
      </c>
      <c r="BD42" s="166">
        <f t="shared" si="111"/>
        <v>4.9071726506910935E-4</v>
      </c>
      <c r="BE42" s="166">
        <f t="shared" si="112"/>
        <v>1.02843315184513E-2</v>
      </c>
      <c r="BF42" s="166">
        <f t="shared" si="113"/>
        <v>1.6767192193940523E-4</v>
      </c>
      <c r="BG42" s="166">
        <f t="shared" si="114"/>
        <v>2.4676125848241827E-3</v>
      </c>
      <c r="BH42" s="166">
        <f t="shared" si="115"/>
        <v>0</v>
      </c>
      <c r="BI42" s="166">
        <f t="shared" si="116"/>
        <v>0</v>
      </c>
      <c r="BJ42" s="166" t="str">
        <f t="shared" si="117"/>
        <v/>
      </c>
      <c r="BK42" s="166">
        <f t="shared" si="118"/>
        <v>0</v>
      </c>
      <c r="BL42" s="166">
        <f t="shared" si="119"/>
        <v>0</v>
      </c>
      <c r="BM42" s="166">
        <f t="shared" si="120"/>
        <v>0</v>
      </c>
      <c r="BN42" s="166">
        <f t="shared" si="121"/>
        <v>0</v>
      </c>
      <c r="BO42" s="166">
        <f t="shared" si="122"/>
        <v>0</v>
      </c>
      <c r="BP42" s="168">
        <f t="shared" si="123"/>
        <v>1.3522102055306328E-3</v>
      </c>
      <c r="BR42" s="107" t="s">
        <v>387</v>
      </c>
      <c r="BS42" s="166" t="str">
        <f t="shared" si="124"/>
        <v/>
      </c>
      <c r="BT42" s="166" t="str">
        <f t="shared" si="124"/>
        <v/>
      </c>
      <c r="BU42" s="166" t="str">
        <f t="shared" si="124"/>
        <v/>
      </c>
      <c r="BV42" s="166" t="str">
        <f t="shared" si="124"/>
        <v/>
      </c>
      <c r="BW42" s="166"/>
      <c r="BX42" s="166"/>
      <c r="BY42" s="166"/>
      <c r="BZ42" s="166"/>
      <c r="CA42" s="166"/>
      <c r="CB42" s="166" t="str">
        <f t="shared" ref="CB42:CG44" si="128">IF(OR(ISNA(AT42),AT42=0,AT42=""),"",(BK42-AT42)/AT42)</f>
        <v/>
      </c>
      <c r="CC42" s="166" t="str">
        <f t="shared" si="128"/>
        <v/>
      </c>
      <c r="CD42" s="166" t="str">
        <f t="shared" si="128"/>
        <v/>
      </c>
      <c r="CE42" s="166" t="str">
        <f t="shared" si="128"/>
        <v/>
      </c>
      <c r="CF42" s="166" t="str">
        <f t="shared" si="128"/>
        <v/>
      </c>
      <c r="CG42" s="168" t="str">
        <f t="shared" si="128"/>
        <v/>
      </c>
    </row>
    <row r="43" spans="2:85" x14ac:dyDescent="0.25">
      <c r="B43" s="107" t="s">
        <v>388</v>
      </c>
      <c r="C43" s="160">
        <f>TripMode_input!B38</f>
        <v>0</v>
      </c>
      <c r="D43" s="160">
        <f>TripMode_input!C38</f>
        <v>0</v>
      </c>
      <c r="E43" s="160">
        <f>TripMode_input!D38</f>
        <v>431497.08321999997</v>
      </c>
      <c r="F43" s="160">
        <f>TripMode_input!E38</f>
        <v>1349.0287900000001</v>
      </c>
      <c r="G43" s="160">
        <f>TripMode_input!F38</f>
        <v>192665.41321</v>
      </c>
      <c r="H43" s="160">
        <f>TripMode_input!G38</f>
        <v>183.60119</v>
      </c>
      <c r="I43" s="160">
        <f>TripMode_input!H38</f>
        <v>0</v>
      </c>
      <c r="J43" s="160">
        <f>TripMode_input!I38</f>
        <v>0</v>
      </c>
      <c r="K43" s="160">
        <f>TripMode_input!J38</f>
        <v>6259.8567000000003</v>
      </c>
      <c r="L43" s="160">
        <f>TripMode_input!K38</f>
        <v>616.58163999999999</v>
      </c>
      <c r="M43" s="160">
        <f>TripMode_input!L38</f>
        <v>4924.7187100000001</v>
      </c>
      <c r="N43" s="160">
        <f>TripMode_input!M38</f>
        <v>134.83625000000001</v>
      </c>
      <c r="O43" s="160">
        <f>TripMode_input!N38</f>
        <v>229.45972</v>
      </c>
      <c r="P43" s="160">
        <f>TripMode_input!O38</f>
        <v>136305.50284</v>
      </c>
      <c r="Q43" s="162">
        <f t="shared" si="94"/>
        <v>774166.08227000001</v>
      </c>
      <c r="S43" s="107" t="s">
        <v>388</v>
      </c>
      <c r="T43" s="160">
        <f>TripMode_input!R38*Index!$B$2</f>
        <v>0</v>
      </c>
      <c r="U43" s="160">
        <f>TripMode_input!S38*Index!$B$2</f>
        <v>0</v>
      </c>
      <c r="V43" s="160">
        <f>TripMode_input!T38*Index!$B$2</f>
        <v>478050</v>
      </c>
      <c r="W43" s="160">
        <f>TripMode_input!U38*Index!$B$2</f>
        <v>6160</v>
      </c>
      <c r="X43" s="160">
        <f>TripMode_input!V38*Index!$B$2</f>
        <v>231165</v>
      </c>
      <c r="Y43" s="160">
        <f>TripMode_input!W38*Index!$B$2</f>
        <v>6950</v>
      </c>
      <c r="Z43" s="160">
        <f>TripMode_input!X38*Index!$B$2</f>
        <v>0</v>
      </c>
      <c r="AA43" s="160">
        <f>TripMode_input!Y38*Index!$B$2</f>
        <v>0</v>
      </c>
      <c r="AB43" s="160">
        <f>TripMode_input!Z38*Index!$B$2</f>
        <v>0</v>
      </c>
      <c r="AC43" s="160">
        <f>TripMode_input!AA38*Index!$B$2</f>
        <v>6330</v>
      </c>
      <c r="AD43" s="160">
        <f>TripMode_input!AB38*Index!$B$2</f>
        <v>0</v>
      </c>
      <c r="AE43" s="160">
        <f>TripMode_input!AC38*Index!$B$2</f>
        <v>0</v>
      </c>
      <c r="AF43" s="160">
        <f>TripMode_input!AD38*Index!$B$2</f>
        <v>625</v>
      </c>
      <c r="AG43" s="160">
        <f>TripMode_input!AE38*Index!$B$2</f>
        <v>0</v>
      </c>
      <c r="AH43" s="162">
        <f t="shared" si="95"/>
        <v>729280</v>
      </c>
      <c r="AJ43" s="107" t="s">
        <v>388</v>
      </c>
      <c r="AK43" s="166">
        <f t="shared" si="126"/>
        <v>0</v>
      </c>
      <c r="AL43" s="166" t="str">
        <f t="shared" si="96"/>
        <v/>
      </c>
      <c r="AM43" s="166">
        <f t="shared" si="97"/>
        <v>0.88591280243332349</v>
      </c>
      <c r="AN43" s="166">
        <f t="shared" si="98"/>
        <v>0.53880257720747349</v>
      </c>
      <c r="AO43" s="166">
        <f t="shared" si="99"/>
        <v>0.174446309956275</v>
      </c>
      <c r="AP43" s="166">
        <f t="shared" si="100"/>
        <v>1.9039008855367232E-2</v>
      </c>
      <c r="AQ43" s="166">
        <f t="shared" si="101"/>
        <v>0</v>
      </c>
      <c r="AR43" s="166">
        <f t="shared" si="102"/>
        <v>0</v>
      </c>
      <c r="AS43" s="166">
        <f t="shared" si="103"/>
        <v>4.7674758042246364E-2</v>
      </c>
      <c r="AT43" s="166">
        <f t="shared" si="104"/>
        <v>7.3475003650503218E-2</v>
      </c>
      <c r="AU43" s="166">
        <f t="shared" si="105"/>
        <v>0.16380907297803818</v>
      </c>
      <c r="AV43" s="166">
        <f t="shared" si="106"/>
        <v>7.5480818883076395E-2</v>
      </c>
      <c r="AW43" s="166">
        <f t="shared" si="107"/>
        <v>0.15869824730138646</v>
      </c>
      <c r="AX43" s="166">
        <f t="shared" si="108"/>
        <v>0.11145826575699203</v>
      </c>
      <c r="AY43" s="168">
        <f t="shared" si="109"/>
        <v>0.21393990641479821</v>
      </c>
      <c r="BA43" s="107" t="s">
        <v>388</v>
      </c>
      <c r="BB43" s="166">
        <f t="shared" si="127"/>
        <v>0</v>
      </c>
      <c r="BC43" s="166">
        <f t="shared" si="110"/>
        <v>0</v>
      </c>
      <c r="BD43" s="166">
        <f t="shared" si="111"/>
        <v>0.86884217987513968</v>
      </c>
      <c r="BE43" s="166">
        <f t="shared" si="112"/>
        <v>0.74531155474894129</v>
      </c>
      <c r="BF43" s="166">
        <f t="shared" si="113"/>
        <v>0.21533266575068116</v>
      </c>
      <c r="BG43" s="166">
        <f t="shared" si="114"/>
        <v>0.17149907464528069</v>
      </c>
      <c r="BH43" s="166">
        <f t="shared" si="115"/>
        <v>0</v>
      </c>
      <c r="BI43" s="166">
        <f t="shared" si="116"/>
        <v>0</v>
      </c>
      <c r="BJ43" s="166" t="str">
        <f t="shared" si="117"/>
        <v/>
      </c>
      <c r="BK43" s="166">
        <f t="shared" si="118"/>
        <v>6.0406527340395075E-2</v>
      </c>
      <c r="BL43" s="166">
        <f t="shared" si="119"/>
        <v>0</v>
      </c>
      <c r="BM43" s="166">
        <f t="shared" si="120"/>
        <v>0</v>
      </c>
      <c r="BN43" s="166">
        <f t="shared" si="121"/>
        <v>0.20593080724876442</v>
      </c>
      <c r="BO43" s="166">
        <f t="shared" si="122"/>
        <v>0</v>
      </c>
      <c r="BP43" s="168">
        <f t="shared" si="123"/>
        <v>0.19393114231846212</v>
      </c>
      <c r="BR43" s="107" t="s">
        <v>388</v>
      </c>
      <c r="BS43" s="166" t="str">
        <f t="shared" si="124"/>
        <v/>
      </c>
      <c r="BT43" s="166" t="str">
        <f t="shared" si="124"/>
        <v/>
      </c>
      <c r="BU43" s="166">
        <f t="shared" si="124"/>
        <v>-1.9268964746074542E-2</v>
      </c>
      <c r="BV43" s="166">
        <f t="shared" si="124"/>
        <v>0.38327392309771491</v>
      </c>
      <c r="BW43" s="166"/>
      <c r="BX43" s="166"/>
      <c r="BY43" s="166"/>
      <c r="BZ43" s="166"/>
      <c r="CA43" s="166"/>
      <c r="CB43" s="166">
        <f t="shared" si="128"/>
        <v>-0.17786288752390744</v>
      </c>
      <c r="CC43" s="166">
        <f t="shared" si="128"/>
        <v>-1</v>
      </c>
      <c r="CD43" s="166">
        <f t="shared" si="128"/>
        <v>-1</v>
      </c>
      <c r="CE43" s="166">
        <f t="shared" si="128"/>
        <v>0.29762496278662631</v>
      </c>
      <c r="CF43" s="166">
        <f t="shared" si="128"/>
        <v>-1</v>
      </c>
      <c r="CG43" s="168">
        <f t="shared" si="128"/>
        <v>-9.3525160553926859E-2</v>
      </c>
    </row>
    <row r="44" spans="2:85" x14ac:dyDescent="0.25">
      <c r="B44" s="107" t="s">
        <v>389</v>
      </c>
      <c r="C44" s="160">
        <f>TripMode_input!B39</f>
        <v>0</v>
      </c>
      <c r="D44" s="160">
        <f>TripMode_input!C39</f>
        <v>0</v>
      </c>
      <c r="E44" s="160">
        <f>TripMode_input!D39</f>
        <v>0</v>
      </c>
      <c r="F44" s="160">
        <f>TripMode_input!E39</f>
        <v>1154.72462</v>
      </c>
      <c r="G44" s="160">
        <f>TripMode_input!F39</f>
        <v>0</v>
      </c>
      <c r="H44" s="160">
        <f>TripMode_input!G39</f>
        <v>276.16296</v>
      </c>
      <c r="I44" s="160">
        <f>TripMode_input!H39</f>
        <v>0</v>
      </c>
      <c r="J44" s="160">
        <f>TripMode_input!I39</f>
        <v>0</v>
      </c>
      <c r="K44" s="160">
        <f>TripMode_input!J39</f>
        <v>0</v>
      </c>
      <c r="L44" s="160">
        <f>TripMode_input!K39</f>
        <v>0</v>
      </c>
      <c r="M44" s="160">
        <f>TripMode_input!L39</f>
        <v>0</v>
      </c>
      <c r="N44" s="160">
        <f>TripMode_input!M39</f>
        <v>0</v>
      </c>
      <c r="O44" s="160">
        <f>TripMode_input!N39</f>
        <v>0</v>
      </c>
      <c r="P44" s="160">
        <f>TripMode_input!O39</f>
        <v>426.78379999999999</v>
      </c>
      <c r="Q44" s="162">
        <f t="shared" si="94"/>
        <v>1857.67138</v>
      </c>
      <c r="S44" s="107" t="s">
        <v>389</v>
      </c>
      <c r="T44" s="160">
        <f>TripMode_input!R39*Index!$B$2</f>
        <v>0</v>
      </c>
      <c r="U44" s="160">
        <f>TripMode_input!S39*Index!$B$2</f>
        <v>0</v>
      </c>
      <c r="V44" s="160">
        <f>TripMode_input!T39*Index!$B$2</f>
        <v>7645</v>
      </c>
      <c r="W44" s="160">
        <f>TripMode_input!U39*Index!$B$2</f>
        <v>1640</v>
      </c>
      <c r="X44" s="160">
        <f>TripMode_input!V39*Index!$B$2</f>
        <v>3370</v>
      </c>
      <c r="Y44" s="160">
        <f>TripMode_input!W39*Index!$B$2</f>
        <v>2270</v>
      </c>
      <c r="Z44" s="160">
        <f>TripMode_input!X39*Index!$B$2</f>
        <v>0</v>
      </c>
      <c r="AA44" s="160">
        <f>TripMode_input!Y39*Index!$B$2</f>
        <v>0</v>
      </c>
      <c r="AB44" s="160">
        <f>TripMode_input!Z39*Index!$B$2</f>
        <v>0</v>
      </c>
      <c r="AC44" s="160">
        <f>TripMode_input!AA39*Index!$B$2</f>
        <v>160</v>
      </c>
      <c r="AD44" s="160">
        <f>TripMode_input!AB39*Index!$B$2</f>
        <v>0</v>
      </c>
      <c r="AE44" s="160">
        <f>TripMode_input!AC39*Index!$B$2</f>
        <v>0</v>
      </c>
      <c r="AF44" s="160">
        <f>TripMode_input!AD39*Index!$B$2</f>
        <v>85</v>
      </c>
      <c r="AG44" s="160">
        <f>TripMode_input!AE39*Index!$B$2</f>
        <v>0</v>
      </c>
      <c r="AH44" s="162">
        <f t="shared" si="95"/>
        <v>15170</v>
      </c>
      <c r="AJ44" s="107" t="s">
        <v>389</v>
      </c>
      <c r="AK44" s="166">
        <f t="shared" si="126"/>
        <v>0</v>
      </c>
      <c r="AL44" s="166" t="str">
        <f t="shared" si="96"/>
        <v/>
      </c>
      <c r="AM44" s="166">
        <f t="shared" si="97"/>
        <v>0</v>
      </c>
      <c r="AN44" s="166">
        <f t="shared" si="98"/>
        <v>0.46119742279252646</v>
      </c>
      <c r="AO44" s="166">
        <f t="shared" si="99"/>
        <v>0</v>
      </c>
      <c r="AP44" s="166">
        <f t="shared" si="100"/>
        <v>2.8637445329000463E-2</v>
      </c>
      <c r="AQ44" s="166">
        <f t="shared" si="101"/>
        <v>0</v>
      </c>
      <c r="AR44" s="166">
        <f t="shared" si="102"/>
        <v>0</v>
      </c>
      <c r="AS44" s="166">
        <f t="shared" si="103"/>
        <v>0</v>
      </c>
      <c r="AT44" s="166">
        <f t="shared" si="104"/>
        <v>0</v>
      </c>
      <c r="AU44" s="166">
        <f t="shared" si="105"/>
        <v>0</v>
      </c>
      <c r="AV44" s="166">
        <f t="shared" si="106"/>
        <v>0</v>
      </c>
      <c r="AW44" s="166">
        <f t="shared" si="107"/>
        <v>0</v>
      </c>
      <c r="AX44" s="166">
        <f t="shared" si="108"/>
        <v>3.48985046165132E-4</v>
      </c>
      <c r="AY44" s="168">
        <f t="shared" si="109"/>
        <v>5.1336534923011575E-4</v>
      </c>
      <c r="BA44" s="107" t="s">
        <v>389</v>
      </c>
      <c r="BB44" s="166">
        <f t="shared" si="127"/>
        <v>0</v>
      </c>
      <c r="BC44" s="166">
        <f t="shared" si="110"/>
        <v>0</v>
      </c>
      <c r="BD44" s="166">
        <f t="shared" si="111"/>
        <v>1.3894568486864226E-2</v>
      </c>
      <c r="BE44" s="166">
        <f t="shared" si="112"/>
        <v>0.1984271022383545</v>
      </c>
      <c r="BF44" s="166">
        <f t="shared" si="113"/>
        <v>3.1391909829766424E-3</v>
      </c>
      <c r="BG44" s="166">
        <f t="shared" si="114"/>
        <v>5.6014805675508948E-2</v>
      </c>
      <c r="BH44" s="166">
        <f t="shared" si="115"/>
        <v>0</v>
      </c>
      <c r="BI44" s="166">
        <f t="shared" si="116"/>
        <v>0</v>
      </c>
      <c r="BJ44" s="166" t="str">
        <f t="shared" si="117"/>
        <v/>
      </c>
      <c r="BK44" s="166">
        <f t="shared" si="118"/>
        <v>1.5268632503101442E-3</v>
      </c>
      <c r="BL44" s="166">
        <f t="shared" si="119"/>
        <v>0</v>
      </c>
      <c r="BM44" s="166">
        <f t="shared" si="120"/>
        <v>0</v>
      </c>
      <c r="BN44" s="166">
        <f t="shared" si="121"/>
        <v>2.800658978583196E-2</v>
      </c>
      <c r="BO44" s="166">
        <f t="shared" si="122"/>
        <v>0</v>
      </c>
      <c r="BP44" s="168">
        <f t="shared" si="123"/>
        <v>4.0340272994886335E-3</v>
      </c>
      <c r="BR44" s="107" t="s">
        <v>389</v>
      </c>
      <c r="BS44" s="166" t="str">
        <f t="shared" si="124"/>
        <v/>
      </c>
      <c r="BT44" s="166" t="str">
        <f t="shared" si="124"/>
        <v/>
      </c>
      <c r="BU44" s="166" t="str">
        <f t="shared" si="124"/>
        <v/>
      </c>
      <c r="BV44" s="166">
        <f t="shared" si="124"/>
        <v>-0.56975669760492431</v>
      </c>
      <c r="BW44" s="166"/>
      <c r="BX44" s="166"/>
      <c r="BY44" s="166"/>
      <c r="BZ44" s="166"/>
      <c r="CA44" s="166"/>
      <c r="CB44" s="166" t="str">
        <f t="shared" si="128"/>
        <v/>
      </c>
      <c r="CC44" s="166" t="str">
        <f t="shared" si="128"/>
        <v/>
      </c>
      <c r="CD44" s="166" t="str">
        <f t="shared" si="128"/>
        <v/>
      </c>
      <c r="CE44" s="166" t="str">
        <f t="shared" si="128"/>
        <v/>
      </c>
      <c r="CF44" s="166">
        <f t="shared" si="128"/>
        <v>-1</v>
      </c>
      <c r="CG44" s="168">
        <f t="shared" si="128"/>
        <v>6.8580046462784985</v>
      </c>
    </row>
    <row r="45" spans="2:85" x14ac:dyDescent="0.25">
      <c r="B45" s="107" t="s">
        <v>390</v>
      </c>
      <c r="C45" s="160">
        <f>TripMode_input!B40</f>
        <v>0</v>
      </c>
      <c r="D45" s="160">
        <f>TripMode_input!C40</f>
        <v>0</v>
      </c>
      <c r="E45" s="160">
        <f>TripMode_input!D40</f>
        <v>0</v>
      </c>
      <c r="F45" s="160">
        <f>TripMode_input!E40</f>
        <v>0</v>
      </c>
      <c r="G45" s="160">
        <f>TripMode_input!F40</f>
        <v>833243.31449000002</v>
      </c>
      <c r="H45" s="160">
        <f>TripMode_input!G40</f>
        <v>5583.6349700000001</v>
      </c>
      <c r="I45" s="160">
        <f>TripMode_input!H40</f>
        <v>0</v>
      </c>
      <c r="J45" s="160">
        <f>TripMode_input!I40</f>
        <v>0</v>
      </c>
      <c r="K45" s="160">
        <f>TripMode_input!J40</f>
        <v>5264.9719999999998</v>
      </c>
      <c r="L45" s="160">
        <f>TripMode_input!K40</f>
        <v>0</v>
      </c>
      <c r="M45" s="160">
        <f>TripMode_input!L40</f>
        <v>6881.6426099999999</v>
      </c>
      <c r="N45" s="160">
        <f>TripMode_input!M40</f>
        <v>0</v>
      </c>
      <c r="O45" s="160">
        <f>TripMode_input!N40</f>
        <v>0</v>
      </c>
      <c r="P45" s="160">
        <f>TripMode_input!O40</f>
        <v>91541.193669999993</v>
      </c>
      <c r="Q45" s="162">
        <f t="shared" si="94"/>
        <v>942514.75773999991</v>
      </c>
      <c r="S45" s="107" t="s">
        <v>390</v>
      </c>
      <c r="T45" s="160">
        <f>TripMode_input!R40*Index!$B$2</f>
        <v>0</v>
      </c>
      <c r="U45" s="160">
        <f>TripMode_input!S40*Index!$B$2</f>
        <v>0</v>
      </c>
      <c r="V45" s="160">
        <f>TripMode_input!T40*Index!$B$2</f>
        <v>0</v>
      </c>
      <c r="W45" s="160">
        <f>TripMode_input!U40*Index!$B$2</f>
        <v>0</v>
      </c>
      <c r="X45" s="160">
        <f>TripMode_input!V40*Index!$B$2</f>
        <v>749780</v>
      </c>
      <c r="Y45" s="160">
        <f>TripMode_input!W40*Index!$B$2</f>
        <v>23505</v>
      </c>
      <c r="Z45" s="160">
        <f>TripMode_input!X40*Index!$B$2</f>
        <v>0</v>
      </c>
      <c r="AA45" s="160">
        <f>TripMode_input!Y40*Index!$B$2</f>
        <v>0</v>
      </c>
      <c r="AB45" s="160">
        <f>TripMode_input!Z40*Index!$B$2</f>
        <v>0</v>
      </c>
      <c r="AC45" s="160">
        <f>TripMode_input!AA40*Index!$B$2</f>
        <v>5420</v>
      </c>
      <c r="AD45" s="160">
        <f>TripMode_input!AB40*Index!$B$2</f>
        <v>0</v>
      </c>
      <c r="AE45" s="160">
        <f>TripMode_input!AC40*Index!$B$2</f>
        <v>0</v>
      </c>
      <c r="AF45" s="160">
        <f>TripMode_input!AD40*Index!$B$2</f>
        <v>5</v>
      </c>
      <c r="AG45" s="160">
        <f>TripMode_input!AE40*Index!$B$2</f>
        <v>0</v>
      </c>
      <c r="AH45" s="162">
        <f t="shared" si="95"/>
        <v>778710</v>
      </c>
      <c r="AJ45" s="107" t="s">
        <v>390</v>
      </c>
      <c r="AK45" s="166">
        <f t="shared" si="126"/>
        <v>0</v>
      </c>
      <c r="AL45" s="166" t="str">
        <f t="shared" si="96"/>
        <v/>
      </c>
      <c r="AM45" s="166">
        <f t="shared" si="97"/>
        <v>0</v>
      </c>
      <c r="AN45" s="166">
        <f t="shared" si="98"/>
        <v>0</v>
      </c>
      <c r="AO45" s="166">
        <f t="shared" si="99"/>
        <v>0.75444896458962352</v>
      </c>
      <c r="AP45" s="166">
        <f t="shared" si="100"/>
        <v>0.5790097310315262</v>
      </c>
      <c r="AQ45" s="166">
        <f t="shared" si="101"/>
        <v>0</v>
      </c>
      <c r="AR45" s="166">
        <f t="shared" si="102"/>
        <v>0</v>
      </c>
      <c r="AS45" s="166">
        <f t="shared" si="103"/>
        <v>4.0097765528594592E-2</v>
      </c>
      <c r="AT45" s="166">
        <f t="shared" si="104"/>
        <v>0</v>
      </c>
      <c r="AU45" s="166">
        <f t="shared" si="105"/>
        <v>0.22890149933259177</v>
      </c>
      <c r="AV45" s="166">
        <f t="shared" si="106"/>
        <v>0</v>
      </c>
      <c r="AW45" s="166">
        <f t="shared" si="107"/>
        <v>0</v>
      </c>
      <c r="AX45" s="166">
        <f t="shared" si="108"/>
        <v>7.4854077635880825E-2</v>
      </c>
      <c r="AY45" s="168">
        <f t="shared" si="109"/>
        <v>0.26046286925179035</v>
      </c>
      <c r="BA45" s="107" t="s">
        <v>390</v>
      </c>
      <c r="BB45" s="166">
        <f t="shared" si="127"/>
        <v>0</v>
      </c>
      <c r="BC45" s="166">
        <f t="shared" si="110"/>
        <v>0</v>
      </c>
      <c r="BD45" s="166">
        <f t="shared" si="111"/>
        <v>0</v>
      </c>
      <c r="BE45" s="166">
        <f t="shared" si="112"/>
        <v>0</v>
      </c>
      <c r="BF45" s="166">
        <f t="shared" si="113"/>
        <v>0.69842807573181809</v>
      </c>
      <c r="BG45" s="166">
        <f t="shared" si="114"/>
        <v>0.58001233806292407</v>
      </c>
      <c r="BH45" s="166">
        <f t="shared" si="115"/>
        <v>0</v>
      </c>
      <c r="BI45" s="166">
        <f t="shared" si="116"/>
        <v>0</v>
      </c>
      <c r="BJ45" s="166" t="str">
        <f t="shared" si="117"/>
        <v/>
      </c>
      <c r="BK45" s="166">
        <f t="shared" si="118"/>
        <v>5.1722492604256133E-2</v>
      </c>
      <c r="BL45" s="166">
        <f t="shared" si="119"/>
        <v>0</v>
      </c>
      <c r="BM45" s="166">
        <f t="shared" si="120"/>
        <v>0</v>
      </c>
      <c r="BN45" s="166">
        <f t="shared" si="121"/>
        <v>1.6474464579901153E-3</v>
      </c>
      <c r="BO45" s="166">
        <f t="shared" si="122"/>
        <v>0</v>
      </c>
      <c r="BP45" s="168">
        <f t="shared" si="123"/>
        <v>0.20707563601745507</v>
      </c>
      <c r="BR45" s="107" t="s">
        <v>390</v>
      </c>
      <c r="BS45" s="166"/>
      <c r="BT45" s="166"/>
      <c r="BU45" s="166"/>
      <c r="BV45" s="166"/>
      <c r="BW45" s="166"/>
      <c r="BX45" s="166"/>
      <c r="BY45" s="166"/>
      <c r="BZ45" s="166"/>
      <c r="CA45" s="166"/>
      <c r="CB45" s="166"/>
      <c r="CC45" s="166"/>
      <c r="CD45" s="166"/>
      <c r="CE45" s="166"/>
      <c r="CF45" s="166"/>
      <c r="CG45" s="168"/>
    </row>
    <row r="46" spans="2:85" x14ac:dyDescent="0.25">
      <c r="B46" s="107" t="s">
        <v>391</v>
      </c>
      <c r="C46" s="160">
        <f>TripMode_input!B41</f>
        <v>0</v>
      </c>
      <c r="D46" s="160">
        <f>TripMode_input!C41</f>
        <v>0</v>
      </c>
      <c r="E46" s="160">
        <f>TripMode_input!D41</f>
        <v>0</v>
      </c>
      <c r="F46" s="160">
        <f>TripMode_input!E41</f>
        <v>0</v>
      </c>
      <c r="G46" s="160">
        <f>TripMode_input!F41</f>
        <v>0</v>
      </c>
      <c r="H46" s="160">
        <f>TripMode_input!G41</f>
        <v>3600.02252</v>
      </c>
      <c r="I46" s="160">
        <f>TripMode_input!H41</f>
        <v>0</v>
      </c>
      <c r="J46" s="160">
        <f>TripMode_input!I41</f>
        <v>0</v>
      </c>
      <c r="K46" s="160">
        <f>TripMode_input!J41</f>
        <v>0</v>
      </c>
      <c r="L46" s="160">
        <f>TripMode_input!K41</f>
        <v>0</v>
      </c>
      <c r="M46" s="160">
        <f>TripMode_input!L41</f>
        <v>0</v>
      </c>
      <c r="N46" s="160">
        <f>TripMode_input!M41</f>
        <v>0</v>
      </c>
      <c r="O46" s="160">
        <f>TripMode_input!N41</f>
        <v>0</v>
      </c>
      <c r="P46" s="160">
        <f>TripMode_input!O41</f>
        <v>1800.01126</v>
      </c>
      <c r="Q46" s="162">
        <f t="shared" si="94"/>
        <v>5400.0337799999998</v>
      </c>
      <c r="S46" s="107" t="s">
        <v>391</v>
      </c>
      <c r="T46" s="160">
        <f>TripMode_input!R41*Index!$B$2</f>
        <v>0</v>
      </c>
      <c r="U46" s="160">
        <f>TripMode_input!S41*Index!$B$2</f>
        <v>0</v>
      </c>
      <c r="V46" s="160">
        <f>TripMode_input!T41*Index!$B$2</f>
        <v>0</v>
      </c>
      <c r="W46" s="160">
        <f>TripMode_input!U41*Index!$B$2</f>
        <v>0</v>
      </c>
      <c r="X46" s="160">
        <f>TripMode_input!V41*Index!$B$2</f>
        <v>11260</v>
      </c>
      <c r="Y46" s="160">
        <f>TripMode_input!W41*Index!$B$2</f>
        <v>6965</v>
      </c>
      <c r="Z46" s="160">
        <f>TripMode_input!X41*Index!$B$2</f>
        <v>0</v>
      </c>
      <c r="AA46" s="160">
        <f>TripMode_input!Y41*Index!$B$2</f>
        <v>0</v>
      </c>
      <c r="AB46" s="160">
        <f>TripMode_input!Z41*Index!$B$2</f>
        <v>0</v>
      </c>
      <c r="AC46" s="160">
        <f>TripMode_input!AA41*Index!$B$2</f>
        <v>135</v>
      </c>
      <c r="AD46" s="160">
        <f>TripMode_input!AB41*Index!$B$2</f>
        <v>0</v>
      </c>
      <c r="AE46" s="160">
        <f>TripMode_input!AC41*Index!$B$2</f>
        <v>0</v>
      </c>
      <c r="AF46" s="160">
        <f>TripMode_input!AD41*Index!$B$2</f>
        <v>0</v>
      </c>
      <c r="AG46" s="160">
        <f>TripMode_input!AE41*Index!$B$2</f>
        <v>0</v>
      </c>
      <c r="AH46" s="162">
        <f t="shared" si="95"/>
        <v>18360</v>
      </c>
      <c r="AJ46" s="107" t="s">
        <v>391</v>
      </c>
      <c r="AK46" s="166">
        <f t="shared" si="126"/>
        <v>0</v>
      </c>
      <c r="AL46" s="166" t="str">
        <f t="shared" si="96"/>
        <v/>
      </c>
      <c r="AM46" s="166">
        <f t="shared" si="97"/>
        <v>0</v>
      </c>
      <c r="AN46" s="166">
        <f t="shared" si="98"/>
        <v>0</v>
      </c>
      <c r="AO46" s="166">
        <f t="shared" si="99"/>
        <v>0</v>
      </c>
      <c r="AP46" s="166">
        <f t="shared" si="100"/>
        <v>0.37331381478410602</v>
      </c>
      <c r="AQ46" s="166">
        <f t="shared" si="101"/>
        <v>0</v>
      </c>
      <c r="AR46" s="166">
        <f t="shared" si="102"/>
        <v>0</v>
      </c>
      <c r="AS46" s="166">
        <f t="shared" si="103"/>
        <v>0</v>
      </c>
      <c r="AT46" s="166">
        <f t="shared" si="104"/>
        <v>0</v>
      </c>
      <c r="AU46" s="166">
        <f t="shared" si="105"/>
        <v>0</v>
      </c>
      <c r="AV46" s="166">
        <f t="shared" si="106"/>
        <v>0</v>
      </c>
      <c r="AW46" s="166">
        <f t="shared" si="107"/>
        <v>0</v>
      </c>
      <c r="AX46" s="166">
        <f t="shared" si="108"/>
        <v>1.4718857947955322E-3</v>
      </c>
      <c r="AY46" s="168">
        <f t="shared" si="109"/>
        <v>1.4922931241607015E-3</v>
      </c>
      <c r="BA46" s="107" t="s">
        <v>391</v>
      </c>
      <c r="BB46" s="166">
        <f t="shared" si="127"/>
        <v>0</v>
      </c>
      <c r="BC46" s="166">
        <f t="shared" si="110"/>
        <v>0</v>
      </c>
      <c r="BD46" s="166">
        <f t="shared" si="111"/>
        <v>0</v>
      </c>
      <c r="BE46" s="166">
        <f t="shared" si="112"/>
        <v>0</v>
      </c>
      <c r="BF46" s="166">
        <f t="shared" si="113"/>
        <v>1.0488810227987238E-2</v>
      </c>
      <c r="BG46" s="166">
        <f t="shared" si="114"/>
        <v>0.17186921653300433</v>
      </c>
      <c r="BH46" s="166">
        <f t="shared" si="115"/>
        <v>0</v>
      </c>
      <c r="BI46" s="166">
        <f t="shared" si="116"/>
        <v>0</v>
      </c>
      <c r="BJ46" s="166" t="str">
        <f t="shared" si="117"/>
        <v/>
      </c>
      <c r="BK46" s="166">
        <f t="shared" si="118"/>
        <v>1.288290867449184E-3</v>
      </c>
      <c r="BL46" s="166">
        <f t="shared" si="119"/>
        <v>0</v>
      </c>
      <c r="BM46" s="166">
        <f t="shared" si="120"/>
        <v>0</v>
      </c>
      <c r="BN46" s="166">
        <f t="shared" si="121"/>
        <v>0</v>
      </c>
      <c r="BO46" s="166">
        <f t="shared" si="122"/>
        <v>0</v>
      </c>
      <c r="BP46" s="168">
        <f t="shared" si="123"/>
        <v>4.882316494305294E-3</v>
      </c>
      <c r="BR46" s="107" t="s">
        <v>391</v>
      </c>
      <c r="BS46" s="166"/>
      <c r="BT46" s="166"/>
      <c r="BU46" s="166"/>
      <c r="BV46" s="166"/>
      <c r="BW46" s="166"/>
      <c r="BX46" s="166"/>
      <c r="BY46" s="166"/>
      <c r="BZ46" s="166"/>
      <c r="CA46" s="166"/>
      <c r="CB46" s="166"/>
      <c r="CC46" s="166"/>
      <c r="CD46" s="166"/>
      <c r="CE46" s="166"/>
      <c r="CF46" s="166"/>
      <c r="CG46" s="168"/>
    </row>
    <row r="47" spans="2:85" x14ac:dyDescent="0.25">
      <c r="B47" s="107" t="s">
        <v>392</v>
      </c>
      <c r="C47" s="160">
        <f>TripMode_input!B42</f>
        <v>535.62260000000003</v>
      </c>
      <c r="D47" s="160">
        <f>TripMode_input!C42</f>
        <v>0</v>
      </c>
      <c r="E47" s="160">
        <f>TripMode_input!D42</f>
        <v>46621.301630000002</v>
      </c>
      <c r="F47" s="160">
        <f>TripMode_input!E42</f>
        <v>0</v>
      </c>
      <c r="G47" s="160">
        <f>TripMode_input!F42</f>
        <v>70967.18909</v>
      </c>
      <c r="H47" s="160">
        <f>TripMode_input!G42</f>
        <v>0</v>
      </c>
      <c r="I47" s="160">
        <f>TripMode_input!H42</f>
        <v>484593.74177000002</v>
      </c>
      <c r="J47" s="160">
        <f>TripMode_input!I42</f>
        <v>420.45661999999999</v>
      </c>
      <c r="K47" s="160">
        <f>TripMode_input!J42</f>
        <v>10055.70486</v>
      </c>
      <c r="L47" s="160">
        <f>TripMode_input!K42</f>
        <v>0</v>
      </c>
      <c r="M47" s="160">
        <f>TripMode_input!L42</f>
        <v>1365.4938500000001</v>
      </c>
      <c r="N47" s="160">
        <f>TripMode_input!M42</f>
        <v>0</v>
      </c>
      <c r="O47" s="160">
        <f>TripMode_input!N42</f>
        <v>0</v>
      </c>
      <c r="P47" s="160">
        <f>TripMode_input!O42</f>
        <v>24947.201700000001</v>
      </c>
      <c r="Q47" s="162">
        <f t="shared" si="94"/>
        <v>639506.71211999992</v>
      </c>
      <c r="S47" s="107" t="s">
        <v>392</v>
      </c>
      <c r="T47" s="160">
        <f>TripMode_input!R42*Index!$B$2</f>
        <v>0</v>
      </c>
      <c r="U47" s="160">
        <f>TripMode_input!S42*Index!$B$2</f>
        <v>0</v>
      </c>
      <c r="V47" s="160">
        <f>TripMode_input!T42*Index!$B$2</f>
        <v>53580</v>
      </c>
      <c r="W47" s="160">
        <f>TripMode_input!U42*Index!$B$2</f>
        <v>100</v>
      </c>
      <c r="X47" s="160">
        <f>TripMode_input!V42*Index!$B$2</f>
        <v>72600</v>
      </c>
      <c r="Y47" s="160">
        <f>TripMode_input!W42*Index!$B$2</f>
        <v>380</v>
      </c>
      <c r="Z47" s="160">
        <f>TripMode_input!X42*Index!$B$2</f>
        <v>645360</v>
      </c>
      <c r="AA47" s="160">
        <f>TripMode_input!Y42*Index!$B$2</f>
        <v>0</v>
      </c>
      <c r="AB47" s="160">
        <f>TripMode_input!Z42*Index!$B$2</f>
        <v>0</v>
      </c>
      <c r="AC47" s="160">
        <f>TripMode_input!AA42*Index!$B$2</f>
        <v>9725</v>
      </c>
      <c r="AD47" s="160">
        <f>TripMode_input!AB42*Index!$B$2</f>
        <v>0</v>
      </c>
      <c r="AE47" s="160">
        <f>TripMode_input!AC42*Index!$B$2</f>
        <v>0</v>
      </c>
      <c r="AF47" s="160">
        <f>TripMode_input!AD42*Index!$B$2</f>
        <v>75</v>
      </c>
      <c r="AG47" s="160">
        <f>TripMode_input!AE42*Index!$B$2</f>
        <v>0</v>
      </c>
      <c r="AH47" s="162">
        <f t="shared" si="95"/>
        <v>781820</v>
      </c>
      <c r="AJ47" s="107" t="s">
        <v>392</v>
      </c>
      <c r="AK47" s="166">
        <f t="shared" si="126"/>
        <v>5.2600485512655452E-3</v>
      </c>
      <c r="AL47" s="166" t="str">
        <f t="shared" si="96"/>
        <v/>
      </c>
      <c r="AM47" s="166">
        <f t="shared" si="97"/>
        <v>9.5718857870157215E-2</v>
      </c>
      <c r="AN47" s="166">
        <f t="shared" si="98"/>
        <v>0</v>
      </c>
      <c r="AO47" s="166">
        <f t="shared" si="99"/>
        <v>6.4256287926603081E-2</v>
      </c>
      <c r="AP47" s="166">
        <f t="shared" si="100"/>
        <v>0</v>
      </c>
      <c r="AQ47" s="166">
        <f t="shared" si="101"/>
        <v>1</v>
      </c>
      <c r="AR47" s="166">
        <f t="shared" si="102"/>
        <v>1.2889141597580318E-2</v>
      </c>
      <c r="AS47" s="166">
        <f t="shared" si="103"/>
        <v>7.6583749296488021E-2</v>
      </c>
      <c r="AT47" s="166">
        <f t="shared" si="104"/>
        <v>0</v>
      </c>
      <c r="AU47" s="166">
        <f t="shared" si="105"/>
        <v>4.5419910231931267E-2</v>
      </c>
      <c r="AV47" s="166">
        <f t="shared" si="106"/>
        <v>0</v>
      </c>
      <c r="AW47" s="166">
        <f t="shared" si="107"/>
        <v>0</v>
      </c>
      <c r="AX47" s="166">
        <f t="shared" si="108"/>
        <v>2.039955672395569E-2</v>
      </c>
      <c r="AY47" s="168">
        <f t="shared" si="109"/>
        <v>0.17672694435465053</v>
      </c>
      <c r="BA47" s="107" t="s">
        <v>392</v>
      </c>
      <c r="BB47" s="166">
        <f t="shared" si="127"/>
        <v>0</v>
      </c>
      <c r="BC47" s="166">
        <f t="shared" si="110"/>
        <v>0</v>
      </c>
      <c r="BD47" s="166">
        <f t="shared" si="111"/>
        <v>9.7380115045936591E-2</v>
      </c>
      <c r="BE47" s="166">
        <f t="shared" si="112"/>
        <v>1.2099213551119177E-2</v>
      </c>
      <c r="BF47" s="166">
        <f t="shared" si="113"/>
        <v>6.7627675182226774E-2</v>
      </c>
      <c r="BG47" s="166">
        <f t="shared" si="114"/>
        <v>9.3769278223318937E-3</v>
      </c>
      <c r="BH47" s="166">
        <f t="shared" si="115"/>
        <v>1</v>
      </c>
      <c r="BI47" s="166">
        <f t="shared" si="116"/>
        <v>0</v>
      </c>
      <c r="BJ47" s="166" t="str">
        <f t="shared" si="117"/>
        <v/>
      </c>
      <c r="BK47" s="166">
        <f t="shared" si="118"/>
        <v>9.280465693291344E-2</v>
      </c>
      <c r="BL47" s="166">
        <f t="shared" si="119"/>
        <v>0</v>
      </c>
      <c r="BM47" s="166">
        <f t="shared" si="120"/>
        <v>0</v>
      </c>
      <c r="BN47" s="166">
        <f t="shared" si="121"/>
        <v>2.4711696869851731E-2</v>
      </c>
      <c r="BO47" s="166">
        <f t="shared" si="122"/>
        <v>0</v>
      </c>
      <c r="BP47" s="168">
        <f t="shared" si="123"/>
        <v>0.20790265150205689</v>
      </c>
      <c r="BR47" s="107" t="s">
        <v>392</v>
      </c>
      <c r="BS47" s="166"/>
      <c r="BT47" s="166"/>
      <c r="BU47" s="166"/>
      <c r="BV47" s="166"/>
      <c r="BW47" s="166"/>
      <c r="BX47" s="166"/>
      <c r="BY47" s="166"/>
      <c r="BZ47" s="166"/>
      <c r="CA47" s="166"/>
      <c r="CB47" s="166"/>
      <c r="CC47" s="166"/>
      <c r="CD47" s="166"/>
      <c r="CE47" s="166"/>
      <c r="CF47" s="166"/>
      <c r="CG47" s="168"/>
    </row>
    <row r="48" spans="2:85" x14ac:dyDescent="0.25">
      <c r="B48" s="107" t="s">
        <v>393</v>
      </c>
      <c r="C48" s="160">
        <f>TripMode_input!B43</f>
        <v>0</v>
      </c>
      <c r="D48" s="160">
        <f>TripMode_input!C43</f>
        <v>0</v>
      </c>
      <c r="E48" s="160">
        <f>TripMode_input!D43</f>
        <v>680.73252000000002</v>
      </c>
      <c r="F48" s="160">
        <f>TripMode_input!E43</f>
        <v>0</v>
      </c>
      <c r="G48" s="160">
        <f>TripMode_input!F43</f>
        <v>1617.5850700000001</v>
      </c>
      <c r="H48" s="160">
        <f>TripMode_input!G43</f>
        <v>0</v>
      </c>
      <c r="I48" s="160">
        <f>TripMode_input!H43</f>
        <v>0</v>
      </c>
      <c r="J48" s="160">
        <f>TripMode_input!I43</f>
        <v>32200.538100000002</v>
      </c>
      <c r="K48" s="160">
        <f>TripMode_input!J43</f>
        <v>0</v>
      </c>
      <c r="L48" s="160">
        <f>TripMode_input!K43</f>
        <v>0</v>
      </c>
      <c r="M48" s="160">
        <f>TripMode_input!L43</f>
        <v>0</v>
      </c>
      <c r="N48" s="160">
        <f>TripMode_input!M43</f>
        <v>0</v>
      </c>
      <c r="O48" s="160">
        <f>TripMode_input!N43</f>
        <v>0</v>
      </c>
      <c r="P48" s="160">
        <f>TripMode_input!O43</f>
        <v>1280.6207300000001</v>
      </c>
      <c r="Q48" s="162">
        <f t="shared" si="94"/>
        <v>35779.476420000006</v>
      </c>
      <c r="S48" s="107" t="s">
        <v>393</v>
      </c>
      <c r="T48" s="160">
        <f>TripMode_input!R43*Index!$B$2</f>
        <v>0</v>
      </c>
      <c r="U48" s="160">
        <f>TripMode_input!S43*Index!$B$2</f>
        <v>0</v>
      </c>
      <c r="V48" s="160">
        <f>TripMode_input!T43*Index!$B$2</f>
        <v>0</v>
      </c>
      <c r="W48" s="160">
        <f>TripMode_input!U43*Index!$B$2</f>
        <v>0</v>
      </c>
      <c r="X48" s="160">
        <f>TripMode_input!V43*Index!$B$2</f>
        <v>0</v>
      </c>
      <c r="Y48" s="160">
        <f>TripMode_input!W43*Index!$B$2</f>
        <v>0</v>
      </c>
      <c r="Z48" s="160">
        <f>TripMode_input!X43*Index!$B$2</f>
        <v>0</v>
      </c>
      <c r="AA48" s="160">
        <f>TripMode_input!Y43*Index!$B$2</f>
        <v>40660</v>
      </c>
      <c r="AB48" s="160">
        <f>TripMode_input!Z43*Index!$B$2</f>
        <v>0</v>
      </c>
      <c r="AC48" s="160">
        <f>TripMode_input!AA43*Index!$B$2</f>
        <v>0</v>
      </c>
      <c r="AD48" s="160">
        <f>TripMode_input!AB43*Index!$B$2</f>
        <v>0</v>
      </c>
      <c r="AE48" s="160">
        <f>TripMode_input!AC43*Index!$B$2</f>
        <v>0</v>
      </c>
      <c r="AF48" s="160">
        <f>TripMode_input!AD43*Index!$B$2</f>
        <v>0</v>
      </c>
      <c r="AG48" s="160">
        <f>TripMode_input!AE43*Index!$B$2</f>
        <v>0</v>
      </c>
      <c r="AH48" s="162">
        <f t="shared" si="95"/>
        <v>40660</v>
      </c>
      <c r="AJ48" s="107" t="s">
        <v>393</v>
      </c>
      <c r="AK48" s="166">
        <f t="shared" si="126"/>
        <v>0</v>
      </c>
      <c r="AL48" s="166" t="str">
        <f t="shared" si="96"/>
        <v/>
      </c>
      <c r="AM48" s="166">
        <f t="shared" si="97"/>
        <v>1.3976216246940926E-3</v>
      </c>
      <c r="AN48" s="166">
        <f t="shared" si="98"/>
        <v>0</v>
      </c>
      <c r="AO48" s="166">
        <f t="shared" si="99"/>
        <v>1.4646206695868784E-3</v>
      </c>
      <c r="AP48" s="166">
        <f t="shared" si="100"/>
        <v>0</v>
      </c>
      <c r="AQ48" s="166">
        <f t="shared" si="101"/>
        <v>0</v>
      </c>
      <c r="AR48" s="166">
        <f t="shared" si="102"/>
        <v>0.98711085840241963</v>
      </c>
      <c r="AS48" s="166">
        <f t="shared" si="103"/>
        <v>0</v>
      </c>
      <c r="AT48" s="166">
        <f t="shared" si="104"/>
        <v>0</v>
      </c>
      <c r="AU48" s="166">
        <f t="shared" si="105"/>
        <v>0</v>
      </c>
      <c r="AV48" s="166">
        <f t="shared" si="106"/>
        <v>0</v>
      </c>
      <c r="AW48" s="166">
        <f t="shared" si="107"/>
        <v>0</v>
      </c>
      <c r="AX48" s="166">
        <f t="shared" si="108"/>
        <v>1.0471753721183303E-3</v>
      </c>
      <c r="AY48" s="168">
        <f t="shared" si="109"/>
        <v>9.8876171562830417E-3</v>
      </c>
      <c r="BA48" s="107" t="s">
        <v>393</v>
      </c>
      <c r="BB48" s="166">
        <f t="shared" si="127"/>
        <v>0</v>
      </c>
      <c r="BC48" s="166">
        <f t="shared" si="110"/>
        <v>0</v>
      </c>
      <c r="BD48" s="166">
        <f t="shared" si="111"/>
        <v>0</v>
      </c>
      <c r="BE48" s="166">
        <f t="shared" si="112"/>
        <v>0</v>
      </c>
      <c r="BF48" s="166">
        <f t="shared" si="113"/>
        <v>0</v>
      </c>
      <c r="BG48" s="166">
        <f t="shared" si="114"/>
        <v>0</v>
      </c>
      <c r="BH48" s="166">
        <f t="shared" si="115"/>
        <v>0</v>
      </c>
      <c r="BI48" s="166">
        <f t="shared" si="116"/>
        <v>1</v>
      </c>
      <c r="BJ48" s="166" t="str">
        <f t="shared" si="117"/>
        <v/>
      </c>
      <c r="BK48" s="166">
        <f t="shared" si="118"/>
        <v>0</v>
      </c>
      <c r="BL48" s="166">
        <f t="shared" si="119"/>
        <v>0</v>
      </c>
      <c r="BM48" s="166">
        <f t="shared" si="120"/>
        <v>0</v>
      </c>
      <c r="BN48" s="166">
        <f t="shared" si="121"/>
        <v>0</v>
      </c>
      <c r="BO48" s="166">
        <f t="shared" si="122"/>
        <v>0</v>
      </c>
      <c r="BP48" s="168">
        <f t="shared" si="123"/>
        <v>1.0812363216691353E-2</v>
      </c>
      <c r="BR48" s="107" t="s">
        <v>393</v>
      </c>
      <c r="BS48" s="166"/>
      <c r="BT48" s="166"/>
      <c r="BU48" s="166"/>
      <c r="BV48" s="166"/>
      <c r="BW48" s="166"/>
      <c r="BX48" s="166"/>
      <c r="BY48" s="166"/>
      <c r="BZ48" s="166"/>
      <c r="CA48" s="166"/>
      <c r="CB48" s="166"/>
      <c r="CC48" s="166"/>
      <c r="CD48" s="166"/>
      <c r="CE48" s="166"/>
      <c r="CF48" s="166"/>
      <c r="CG48" s="168"/>
    </row>
    <row r="49" spans="2:85" x14ac:dyDescent="0.25">
      <c r="B49" s="107" t="s">
        <v>394</v>
      </c>
      <c r="C49" s="160">
        <f>TripMode_input!B44</f>
        <v>0</v>
      </c>
      <c r="D49" s="160">
        <f>TripMode_input!C44</f>
        <v>0</v>
      </c>
      <c r="E49" s="160">
        <f>TripMode_input!D44</f>
        <v>0</v>
      </c>
      <c r="F49" s="160">
        <f>TripMode_input!E44</f>
        <v>0</v>
      </c>
      <c r="G49" s="160">
        <f>TripMode_input!F44</f>
        <v>0</v>
      </c>
      <c r="H49" s="160">
        <f>TripMode_input!G44</f>
        <v>0</v>
      </c>
      <c r="I49" s="160">
        <f>TripMode_input!H44</f>
        <v>0</v>
      </c>
      <c r="J49" s="160">
        <f>TripMode_input!I44</f>
        <v>0</v>
      </c>
      <c r="K49" s="160">
        <f>TripMode_input!J44</f>
        <v>108380.98437999999</v>
      </c>
      <c r="L49" s="160">
        <f>TripMode_input!K44</f>
        <v>0</v>
      </c>
      <c r="M49" s="160">
        <f>TripMode_input!L44</f>
        <v>6608.4192199999998</v>
      </c>
      <c r="N49" s="160">
        <f>TripMode_input!M44</f>
        <v>331.16037999999998</v>
      </c>
      <c r="O49" s="160">
        <f>TripMode_input!N44</f>
        <v>0</v>
      </c>
      <c r="P49" s="160">
        <f>TripMode_input!O44</f>
        <v>5032.8784999999998</v>
      </c>
      <c r="Q49" s="162">
        <f t="shared" si="94"/>
        <v>120353.44248</v>
      </c>
      <c r="S49" s="107" t="s">
        <v>394</v>
      </c>
      <c r="T49" s="160">
        <f>TripMode_input!R44*Index!$B$2</f>
        <v>0</v>
      </c>
      <c r="U49" s="160">
        <f>TripMode_input!S44*Index!$B$2</f>
        <v>0</v>
      </c>
      <c r="V49" s="160">
        <f>TripMode_input!T44*Index!$B$2</f>
        <v>0</v>
      </c>
      <c r="W49" s="160">
        <f>TripMode_input!U44*Index!$B$2</f>
        <v>0</v>
      </c>
      <c r="X49" s="160">
        <f>TripMode_input!V44*Index!$B$2</f>
        <v>0</v>
      </c>
      <c r="Y49" s="160">
        <f>TripMode_input!W44*Index!$B$2</f>
        <v>0</v>
      </c>
      <c r="Z49" s="160">
        <f>TripMode_input!X44*Index!$B$2</f>
        <v>0</v>
      </c>
      <c r="AA49" s="160">
        <f>TripMode_input!Y44*Index!$B$2</f>
        <v>0</v>
      </c>
      <c r="AB49" s="160">
        <f>TripMode_input!Z44*Index!$B$2</f>
        <v>0</v>
      </c>
      <c r="AC49" s="160">
        <f>TripMode_input!AA44*Index!$B$2</f>
        <v>0</v>
      </c>
      <c r="AD49" s="160">
        <f>TripMode_input!AB44*Index!$B$2</f>
        <v>0</v>
      </c>
      <c r="AE49" s="160">
        <f>TripMode_input!AC44*Index!$B$2</f>
        <v>0</v>
      </c>
      <c r="AF49" s="160">
        <f>TripMode_input!AD44*Index!$B$2</f>
        <v>0</v>
      </c>
      <c r="AG49" s="160">
        <f>TripMode_input!AE44*Index!$B$2</f>
        <v>0</v>
      </c>
      <c r="AH49" s="162">
        <f t="shared" si="95"/>
        <v>0</v>
      </c>
      <c r="AJ49" s="107" t="s">
        <v>394</v>
      </c>
      <c r="AK49" s="166">
        <f t="shared" si="126"/>
        <v>0</v>
      </c>
      <c r="AL49" s="166" t="str">
        <f t="shared" si="96"/>
        <v/>
      </c>
      <c r="AM49" s="166">
        <f t="shared" si="97"/>
        <v>0</v>
      </c>
      <c r="AN49" s="166">
        <f t="shared" si="98"/>
        <v>0</v>
      </c>
      <c r="AO49" s="166">
        <f t="shared" si="99"/>
        <v>0</v>
      </c>
      <c r="AP49" s="166">
        <f t="shared" si="100"/>
        <v>0</v>
      </c>
      <c r="AQ49" s="166">
        <f t="shared" si="101"/>
        <v>0</v>
      </c>
      <c r="AR49" s="166">
        <f t="shared" si="102"/>
        <v>0</v>
      </c>
      <c r="AS49" s="166">
        <f t="shared" si="103"/>
        <v>0.82542419967808245</v>
      </c>
      <c r="AT49" s="166">
        <f t="shared" si="104"/>
        <v>0</v>
      </c>
      <c r="AU49" s="166">
        <f t="shared" si="105"/>
        <v>0.21981337209784518</v>
      </c>
      <c r="AV49" s="166">
        <f t="shared" si="106"/>
        <v>0.18538231865711743</v>
      </c>
      <c r="AW49" s="166">
        <f t="shared" si="107"/>
        <v>0</v>
      </c>
      <c r="AX49" s="166">
        <f t="shared" si="108"/>
        <v>4.1154311285151882E-3</v>
      </c>
      <c r="AY49" s="168">
        <f t="shared" si="109"/>
        <v>3.3259535402753442E-2</v>
      </c>
      <c r="BA49" s="107" t="s">
        <v>394</v>
      </c>
      <c r="BB49" s="166">
        <f t="shared" si="127"/>
        <v>0</v>
      </c>
      <c r="BC49" s="166">
        <f t="shared" si="110"/>
        <v>0</v>
      </c>
      <c r="BD49" s="166">
        <f t="shared" si="111"/>
        <v>0</v>
      </c>
      <c r="BE49" s="166">
        <f t="shared" si="112"/>
        <v>0</v>
      </c>
      <c r="BF49" s="166">
        <f t="shared" si="113"/>
        <v>0</v>
      </c>
      <c r="BG49" s="166">
        <f t="shared" si="114"/>
        <v>0</v>
      </c>
      <c r="BH49" s="166">
        <f t="shared" si="115"/>
        <v>0</v>
      </c>
      <c r="BI49" s="166">
        <f t="shared" si="116"/>
        <v>0</v>
      </c>
      <c r="BJ49" s="166" t="str">
        <f t="shared" si="117"/>
        <v/>
      </c>
      <c r="BK49" s="166">
        <f t="shared" si="118"/>
        <v>0</v>
      </c>
      <c r="BL49" s="166">
        <f t="shared" si="119"/>
        <v>0</v>
      </c>
      <c r="BM49" s="166">
        <f t="shared" si="120"/>
        <v>0</v>
      </c>
      <c r="BN49" s="166">
        <f t="shared" si="121"/>
        <v>0</v>
      </c>
      <c r="BO49" s="166">
        <f t="shared" si="122"/>
        <v>0</v>
      </c>
      <c r="BP49" s="168">
        <f t="shared" si="123"/>
        <v>0</v>
      </c>
      <c r="BR49" s="107" t="s">
        <v>394</v>
      </c>
      <c r="BS49" s="166"/>
      <c r="BT49" s="166"/>
      <c r="BU49" s="166"/>
      <c r="BV49" s="166"/>
      <c r="BW49" s="166"/>
      <c r="BX49" s="166"/>
      <c r="BY49" s="166"/>
      <c r="BZ49" s="166"/>
      <c r="CA49" s="166"/>
      <c r="CB49" s="166"/>
      <c r="CC49" s="166"/>
      <c r="CD49" s="166"/>
      <c r="CE49" s="166"/>
      <c r="CF49" s="166"/>
      <c r="CG49" s="168"/>
    </row>
    <row r="50" spans="2:85" x14ac:dyDescent="0.25">
      <c r="B50" s="107" t="s">
        <v>395</v>
      </c>
      <c r="C50" s="160">
        <f>TripMode_input!B45</f>
        <v>0</v>
      </c>
      <c r="D50" s="160">
        <f>TripMode_input!C45</f>
        <v>0</v>
      </c>
      <c r="E50" s="160">
        <f>TripMode_input!D45</f>
        <v>0</v>
      </c>
      <c r="F50" s="160">
        <f>TripMode_input!E45</f>
        <v>0</v>
      </c>
      <c r="G50" s="160">
        <f>TripMode_input!F45</f>
        <v>0</v>
      </c>
      <c r="H50" s="160">
        <f>TripMode_input!G45</f>
        <v>0</v>
      </c>
      <c r="I50" s="160">
        <f>TripMode_input!H45</f>
        <v>0</v>
      </c>
      <c r="J50" s="160">
        <f>TripMode_input!I45</f>
        <v>0</v>
      </c>
      <c r="K50" s="160">
        <f>TripMode_input!J45</f>
        <v>0</v>
      </c>
      <c r="L50" s="160">
        <f>TripMode_input!K45</f>
        <v>7775.1381199999996</v>
      </c>
      <c r="M50" s="160">
        <f>TripMode_input!L45</f>
        <v>225.88822999999999</v>
      </c>
      <c r="N50" s="160">
        <f>TripMode_input!M45</f>
        <v>70.77928</v>
      </c>
      <c r="O50" s="160">
        <f>TripMode_input!N45</f>
        <v>0</v>
      </c>
      <c r="P50" s="160">
        <f>TripMode_input!O45</f>
        <v>0</v>
      </c>
      <c r="Q50" s="162">
        <f t="shared" si="94"/>
        <v>8071.8056299999989</v>
      </c>
      <c r="S50" s="107" t="s">
        <v>395</v>
      </c>
      <c r="T50" s="160">
        <f>TripMode_input!R45*Index!$B$2</f>
        <v>0</v>
      </c>
      <c r="U50" s="160">
        <f>TripMode_input!S45*Index!$B$2</f>
        <v>0</v>
      </c>
      <c r="V50" s="160">
        <f>TripMode_input!T45*Index!$B$2</f>
        <v>0</v>
      </c>
      <c r="W50" s="160">
        <f>TripMode_input!U45*Index!$B$2</f>
        <v>0</v>
      </c>
      <c r="X50" s="160">
        <f>TripMode_input!V45*Index!$B$2</f>
        <v>0</v>
      </c>
      <c r="Y50" s="160">
        <f>TripMode_input!W45*Index!$B$2</f>
        <v>0</v>
      </c>
      <c r="Z50" s="160">
        <f>TripMode_input!X45*Index!$B$2</f>
        <v>0</v>
      </c>
      <c r="AA50" s="160">
        <f>TripMode_input!Y45*Index!$B$2</f>
        <v>0</v>
      </c>
      <c r="AB50" s="160">
        <f>TripMode_input!Z45*Index!$B$2</f>
        <v>0</v>
      </c>
      <c r="AC50" s="160">
        <f>TripMode_input!AA45*Index!$B$2</f>
        <v>82855</v>
      </c>
      <c r="AD50" s="160">
        <f>TripMode_input!AB45*Index!$B$2</f>
        <v>0</v>
      </c>
      <c r="AE50" s="160">
        <f>TripMode_input!AC45*Index!$B$2</f>
        <v>0</v>
      </c>
      <c r="AF50" s="160">
        <f>TripMode_input!AD45*Index!$B$2</f>
        <v>0</v>
      </c>
      <c r="AG50" s="160">
        <f>TripMode_input!AE45*Index!$B$2</f>
        <v>0</v>
      </c>
      <c r="AH50" s="162">
        <f t="shared" si="95"/>
        <v>82855</v>
      </c>
      <c r="AJ50" s="107" t="s">
        <v>395</v>
      </c>
      <c r="AK50" s="166">
        <f t="shared" si="126"/>
        <v>0</v>
      </c>
      <c r="AL50" s="166" t="str">
        <f t="shared" si="96"/>
        <v/>
      </c>
      <c r="AM50" s="166">
        <f t="shared" si="97"/>
        <v>0</v>
      </c>
      <c r="AN50" s="166">
        <f t="shared" si="98"/>
        <v>0</v>
      </c>
      <c r="AO50" s="166">
        <f t="shared" si="99"/>
        <v>0</v>
      </c>
      <c r="AP50" s="166">
        <f t="shared" si="100"/>
        <v>0</v>
      </c>
      <c r="AQ50" s="166">
        <f t="shared" si="101"/>
        <v>0</v>
      </c>
      <c r="AR50" s="166">
        <f t="shared" si="102"/>
        <v>0</v>
      </c>
      <c r="AS50" s="166">
        <f t="shared" si="103"/>
        <v>0</v>
      </c>
      <c r="AT50" s="166">
        <f t="shared" si="104"/>
        <v>0.9265249963494967</v>
      </c>
      <c r="AU50" s="166">
        <f t="shared" si="105"/>
        <v>7.5136355458868169E-3</v>
      </c>
      <c r="AV50" s="166">
        <f t="shared" si="106"/>
        <v>3.9621971201027548E-2</v>
      </c>
      <c r="AW50" s="166">
        <f t="shared" si="107"/>
        <v>0</v>
      </c>
      <c r="AX50" s="166">
        <f t="shared" si="108"/>
        <v>0</v>
      </c>
      <c r="AY50" s="168">
        <f t="shared" si="109"/>
        <v>2.2306342019235738E-3</v>
      </c>
      <c r="BA50" s="107" t="s">
        <v>395</v>
      </c>
      <c r="BB50" s="166">
        <f t="shared" si="127"/>
        <v>0</v>
      </c>
      <c r="BC50" s="166">
        <f t="shared" si="110"/>
        <v>0</v>
      </c>
      <c r="BD50" s="166">
        <f t="shared" si="111"/>
        <v>0</v>
      </c>
      <c r="BE50" s="166">
        <f t="shared" si="112"/>
        <v>0</v>
      </c>
      <c r="BF50" s="166">
        <f t="shared" si="113"/>
        <v>0</v>
      </c>
      <c r="BG50" s="166">
        <f t="shared" si="114"/>
        <v>0</v>
      </c>
      <c r="BH50" s="166">
        <f t="shared" si="115"/>
        <v>0</v>
      </c>
      <c r="BI50" s="166">
        <f t="shared" si="116"/>
        <v>0</v>
      </c>
      <c r="BJ50" s="166" t="str">
        <f t="shared" si="117"/>
        <v/>
      </c>
      <c r="BK50" s="166">
        <f t="shared" si="118"/>
        <v>0.79067659127779366</v>
      </c>
      <c r="BL50" s="166">
        <f t="shared" si="119"/>
        <v>0</v>
      </c>
      <c r="BM50" s="166">
        <f t="shared" si="120"/>
        <v>0</v>
      </c>
      <c r="BN50" s="166">
        <f t="shared" si="121"/>
        <v>0</v>
      </c>
      <c r="BO50" s="166">
        <f t="shared" si="122"/>
        <v>0</v>
      </c>
      <c r="BP50" s="168">
        <f t="shared" si="123"/>
        <v>2.2032915748129909E-2</v>
      </c>
      <c r="BR50" s="107" t="s">
        <v>395</v>
      </c>
      <c r="BS50" s="166" t="str">
        <f t="shared" ref="BS50:BS55" si="129">IF(OR(ISNA(AK50),AK50=0,AK50=""),"",(BB50-AK50)/AK50)</f>
        <v/>
      </c>
      <c r="BT50" s="166" t="str">
        <f t="shared" ref="BT50:BT55" si="130">IF(OR(ISNA(AL50),AL50=0,AL50=""),"",(BC50-AL50)/AL50)</f>
        <v/>
      </c>
      <c r="BU50" s="166" t="str">
        <f t="shared" ref="BU50:BU55" si="131">IF(OR(ISNA(AM50),AM50=0,AM50=""),"",(BD50-AM50)/AM50)</f>
        <v/>
      </c>
      <c r="BV50" s="166" t="str">
        <f t="shared" ref="BV50:BV55" si="132">IF(OR(ISNA(AN50),AN50=0,AN50=""),"",(BE50-AN50)/AN50)</f>
        <v/>
      </c>
      <c r="BW50" s="166"/>
      <c r="BX50" s="166"/>
      <c r="BY50" s="166"/>
      <c r="BZ50" s="166"/>
      <c r="CA50" s="166"/>
      <c r="CB50" s="166">
        <f t="shared" ref="CB50:CB55" si="133">IF(OR(ISNA(AT50),AT50=0,AT50=""),"",(BK50-AT50)/AT50)</f>
        <v>-0.14662141400064219</v>
      </c>
      <c r="CC50" s="166">
        <f t="shared" ref="CC50:CC55" si="134">IF(OR(ISNA(AU50),AU50=0,AU50=""),"",(BL50-AU50)/AU50)</f>
        <v>-1</v>
      </c>
      <c r="CD50" s="166">
        <f t="shared" ref="CD50:CD55" si="135">IF(OR(ISNA(AV50),AV50=0,AV50=""),"",(BM50-AV50)/AV50)</f>
        <v>-1</v>
      </c>
      <c r="CE50" s="166" t="str">
        <f t="shared" ref="CE50:CE55" si="136">IF(OR(ISNA(AW50),AW50=0,AW50=""),"",(BN50-AW50)/AW50)</f>
        <v/>
      </c>
      <c r="CF50" s="166" t="str">
        <f t="shared" ref="CF50:CF55" si="137">IF(OR(ISNA(AX50),AX50=0,AX50=""),"",(BO50-AX50)/AX50)</f>
        <v/>
      </c>
      <c r="CG50" s="168">
        <f t="shared" ref="CG50:CG55" si="138">IF(OR(ISNA(AY50),AY50=0,AY50=""),"",(BP50-AY50)/AY50)</f>
        <v>8.8774221829513582</v>
      </c>
    </row>
    <row r="51" spans="2:85" x14ac:dyDescent="0.25">
      <c r="B51" s="107" t="s">
        <v>396</v>
      </c>
      <c r="C51" s="160">
        <f>TripMode_input!B46</f>
        <v>0</v>
      </c>
      <c r="D51" s="160">
        <f>TripMode_input!C46</f>
        <v>0</v>
      </c>
      <c r="E51" s="160">
        <f>TripMode_input!D46</f>
        <v>0</v>
      </c>
      <c r="F51" s="160">
        <f>TripMode_input!E46</f>
        <v>0</v>
      </c>
      <c r="G51" s="160">
        <f>TripMode_input!F46</f>
        <v>0</v>
      </c>
      <c r="H51" s="160">
        <f>TripMode_input!G46</f>
        <v>0</v>
      </c>
      <c r="I51" s="160">
        <f>TripMode_input!H46</f>
        <v>0</v>
      </c>
      <c r="J51" s="160">
        <f>TripMode_input!I46</f>
        <v>0</v>
      </c>
      <c r="K51" s="160">
        <f>TripMode_input!J46</f>
        <v>0</v>
      </c>
      <c r="L51" s="160">
        <f>TripMode_input!K46</f>
        <v>0</v>
      </c>
      <c r="M51" s="160">
        <f>TripMode_input!L46</f>
        <v>10057.609920000001</v>
      </c>
      <c r="N51" s="160">
        <f>TripMode_input!M46</f>
        <v>0</v>
      </c>
      <c r="O51" s="160">
        <f>TripMode_input!N46</f>
        <v>0</v>
      </c>
      <c r="P51" s="160">
        <f>TripMode_input!O46</f>
        <v>0</v>
      </c>
      <c r="Q51" s="162">
        <f t="shared" si="94"/>
        <v>10057.609920000001</v>
      </c>
      <c r="S51" s="107" t="s">
        <v>396</v>
      </c>
      <c r="T51" s="160">
        <f>TripMode_input!R46*Index!$B$2</f>
        <v>0</v>
      </c>
      <c r="U51" s="160">
        <f>TripMode_input!S46*Index!$B$2</f>
        <v>0</v>
      </c>
      <c r="V51" s="160">
        <f>TripMode_input!T46*Index!$B$2</f>
        <v>0</v>
      </c>
      <c r="W51" s="160">
        <f>TripMode_input!U46*Index!$B$2</f>
        <v>0</v>
      </c>
      <c r="X51" s="160">
        <f>TripMode_input!V46*Index!$B$2</f>
        <v>0</v>
      </c>
      <c r="Y51" s="160">
        <f>TripMode_input!W46*Index!$B$2</f>
        <v>0</v>
      </c>
      <c r="Z51" s="160">
        <f>TripMode_input!X46*Index!$B$2</f>
        <v>0</v>
      </c>
      <c r="AA51" s="160">
        <f>TripMode_input!Y46*Index!$B$2</f>
        <v>0</v>
      </c>
      <c r="AB51" s="160">
        <f>TripMode_input!Z46*Index!$B$2</f>
        <v>0</v>
      </c>
      <c r="AC51" s="160">
        <f>TripMode_input!AA46*Index!$B$2</f>
        <v>0</v>
      </c>
      <c r="AD51" s="160">
        <f>TripMode_input!AB46*Index!$B$2</f>
        <v>5970</v>
      </c>
      <c r="AE51" s="160">
        <f>TripMode_input!AC46*Index!$B$2</f>
        <v>0</v>
      </c>
      <c r="AF51" s="160">
        <f>TripMode_input!AD46*Index!$B$2</f>
        <v>0</v>
      </c>
      <c r="AG51" s="160">
        <f>TripMode_input!AE46*Index!$B$2</f>
        <v>0</v>
      </c>
      <c r="AH51" s="162">
        <f t="shared" si="95"/>
        <v>5970</v>
      </c>
      <c r="AJ51" s="107" t="s">
        <v>396</v>
      </c>
      <c r="AK51" s="166">
        <f t="shared" si="126"/>
        <v>0</v>
      </c>
      <c r="AL51" s="166" t="str">
        <f t="shared" si="96"/>
        <v/>
      </c>
      <c r="AM51" s="166">
        <f t="shared" si="97"/>
        <v>0</v>
      </c>
      <c r="AN51" s="166">
        <f t="shared" si="98"/>
        <v>0</v>
      </c>
      <c r="AO51" s="166">
        <f t="shared" si="99"/>
        <v>0</v>
      </c>
      <c r="AP51" s="166">
        <f t="shared" si="100"/>
        <v>0</v>
      </c>
      <c r="AQ51" s="166">
        <f t="shared" si="101"/>
        <v>0</v>
      </c>
      <c r="AR51" s="166">
        <f t="shared" si="102"/>
        <v>0</v>
      </c>
      <c r="AS51" s="166">
        <f t="shared" si="103"/>
        <v>0</v>
      </c>
      <c r="AT51" s="166">
        <f t="shared" si="104"/>
        <v>0</v>
      </c>
      <c r="AU51" s="166">
        <f t="shared" si="105"/>
        <v>0.33454250981370687</v>
      </c>
      <c r="AV51" s="166">
        <f t="shared" si="106"/>
        <v>0</v>
      </c>
      <c r="AW51" s="166">
        <f t="shared" si="107"/>
        <v>0</v>
      </c>
      <c r="AX51" s="166">
        <f t="shared" si="108"/>
        <v>0</v>
      </c>
      <c r="AY51" s="168">
        <f t="shared" si="109"/>
        <v>2.7794089334579062E-3</v>
      </c>
      <c r="BA51" s="107" t="s">
        <v>396</v>
      </c>
      <c r="BB51" s="166">
        <f t="shared" si="127"/>
        <v>0</v>
      </c>
      <c r="BC51" s="166">
        <f t="shared" si="110"/>
        <v>0</v>
      </c>
      <c r="BD51" s="166">
        <f t="shared" si="111"/>
        <v>0</v>
      </c>
      <c r="BE51" s="166">
        <f t="shared" si="112"/>
        <v>0</v>
      </c>
      <c r="BF51" s="166">
        <f t="shared" si="113"/>
        <v>0</v>
      </c>
      <c r="BG51" s="166">
        <f t="shared" si="114"/>
        <v>0</v>
      </c>
      <c r="BH51" s="166">
        <f t="shared" si="115"/>
        <v>0</v>
      </c>
      <c r="BI51" s="166">
        <f t="shared" si="116"/>
        <v>0</v>
      </c>
      <c r="BJ51" s="166" t="str">
        <f t="shared" si="117"/>
        <v/>
      </c>
      <c r="BK51" s="166">
        <f t="shared" si="118"/>
        <v>0</v>
      </c>
      <c r="BL51" s="166">
        <f t="shared" si="119"/>
        <v>1</v>
      </c>
      <c r="BM51" s="166">
        <f t="shared" si="120"/>
        <v>0</v>
      </c>
      <c r="BN51" s="166">
        <f t="shared" si="121"/>
        <v>0</v>
      </c>
      <c r="BO51" s="166">
        <f t="shared" si="122"/>
        <v>0</v>
      </c>
      <c r="BP51" s="168">
        <f t="shared" si="123"/>
        <v>1.5875506247822768E-3</v>
      </c>
      <c r="BR51" s="107" t="s">
        <v>396</v>
      </c>
      <c r="BS51" s="166" t="str">
        <f t="shared" si="129"/>
        <v/>
      </c>
      <c r="BT51" s="166" t="str">
        <f t="shared" si="130"/>
        <v/>
      </c>
      <c r="BU51" s="166" t="str">
        <f t="shared" si="131"/>
        <v/>
      </c>
      <c r="BV51" s="166" t="str">
        <f t="shared" si="132"/>
        <v/>
      </c>
      <c r="BW51" s="166"/>
      <c r="BX51" s="166"/>
      <c r="BY51" s="166"/>
      <c r="BZ51" s="166"/>
      <c r="CA51" s="166"/>
      <c r="CB51" s="166" t="str">
        <f t="shared" si="133"/>
        <v/>
      </c>
      <c r="CC51" s="166">
        <f t="shared" si="134"/>
        <v>1.9891567459001229</v>
      </c>
      <c r="CD51" s="166" t="str">
        <f t="shared" si="135"/>
        <v/>
      </c>
      <c r="CE51" s="166" t="str">
        <f t="shared" si="136"/>
        <v/>
      </c>
      <c r="CF51" s="166" t="str">
        <f t="shared" si="137"/>
        <v/>
      </c>
      <c r="CG51" s="168">
        <f t="shared" si="138"/>
        <v>-0.42881718279318465</v>
      </c>
    </row>
    <row r="52" spans="2:85" x14ac:dyDescent="0.25">
      <c r="B52" s="107" t="s">
        <v>397</v>
      </c>
      <c r="C52" s="160">
        <f>TripMode_input!B47</f>
        <v>0</v>
      </c>
      <c r="D52" s="160">
        <f>TripMode_input!C47</f>
        <v>0</v>
      </c>
      <c r="E52" s="160">
        <f>TripMode_input!D47</f>
        <v>0</v>
      </c>
      <c r="F52" s="160">
        <f>TripMode_input!E47</f>
        <v>0</v>
      </c>
      <c r="G52" s="160">
        <f>TripMode_input!F47</f>
        <v>0</v>
      </c>
      <c r="H52" s="160">
        <f>TripMode_input!G47</f>
        <v>0</v>
      </c>
      <c r="I52" s="160">
        <f>TripMode_input!H47</f>
        <v>0</v>
      </c>
      <c r="J52" s="160">
        <f>TripMode_input!I47</f>
        <v>0</v>
      </c>
      <c r="K52" s="160">
        <f>TripMode_input!J47</f>
        <v>0</v>
      </c>
      <c r="L52" s="160">
        <f>TripMode_input!K47</f>
        <v>0</v>
      </c>
      <c r="M52" s="160">
        <f>TripMode_input!L47</f>
        <v>0</v>
      </c>
      <c r="N52" s="160">
        <f>TripMode_input!M47</f>
        <v>1037.2506800000001</v>
      </c>
      <c r="O52" s="160">
        <f>TripMode_input!N47</f>
        <v>0</v>
      </c>
      <c r="P52" s="160">
        <f>TripMode_input!O47</f>
        <v>0</v>
      </c>
      <c r="Q52" s="162">
        <f t="shared" si="94"/>
        <v>1037.2506800000001</v>
      </c>
      <c r="S52" s="107" t="s">
        <v>397</v>
      </c>
      <c r="T52" s="160">
        <f>TripMode_input!R47*Index!$B$2</f>
        <v>0</v>
      </c>
      <c r="U52" s="160">
        <f>TripMode_input!S47*Index!$B$2</f>
        <v>0</v>
      </c>
      <c r="V52" s="160">
        <f>TripMode_input!T47*Index!$B$2</f>
        <v>0</v>
      </c>
      <c r="W52" s="160">
        <f>TripMode_input!U47*Index!$B$2</f>
        <v>0</v>
      </c>
      <c r="X52" s="160">
        <f>TripMode_input!V47*Index!$B$2</f>
        <v>0</v>
      </c>
      <c r="Y52" s="160">
        <f>TripMode_input!W47*Index!$B$2</f>
        <v>0</v>
      </c>
      <c r="Z52" s="160">
        <f>TripMode_input!X47*Index!$B$2</f>
        <v>0</v>
      </c>
      <c r="AA52" s="160">
        <f>TripMode_input!Y47*Index!$B$2</f>
        <v>0</v>
      </c>
      <c r="AB52" s="160">
        <f>TripMode_input!Z47*Index!$B$2</f>
        <v>0</v>
      </c>
      <c r="AC52" s="160">
        <f>TripMode_input!AA47*Index!$B$2</f>
        <v>0</v>
      </c>
      <c r="AD52" s="160">
        <f>TripMode_input!AB47*Index!$B$2</f>
        <v>0</v>
      </c>
      <c r="AE52" s="160">
        <f>TripMode_input!AC47*Index!$B$2</f>
        <v>370</v>
      </c>
      <c r="AF52" s="160">
        <f>TripMode_input!AD47*Index!$B$2</f>
        <v>0</v>
      </c>
      <c r="AG52" s="160">
        <f>TripMode_input!AE47*Index!$B$2</f>
        <v>0</v>
      </c>
      <c r="AH52" s="162">
        <f t="shared" si="95"/>
        <v>370</v>
      </c>
      <c r="AJ52" s="107" t="s">
        <v>397</v>
      </c>
      <c r="AK52" s="166">
        <f t="shared" si="126"/>
        <v>0</v>
      </c>
      <c r="AL52" s="166" t="str">
        <f t="shared" si="96"/>
        <v/>
      </c>
      <c r="AM52" s="166">
        <f t="shared" si="97"/>
        <v>0</v>
      </c>
      <c r="AN52" s="166">
        <f t="shared" si="98"/>
        <v>0</v>
      </c>
      <c r="AO52" s="166">
        <f t="shared" si="99"/>
        <v>0</v>
      </c>
      <c r="AP52" s="166">
        <f t="shared" si="100"/>
        <v>0</v>
      </c>
      <c r="AQ52" s="166">
        <f t="shared" si="101"/>
        <v>0</v>
      </c>
      <c r="AR52" s="166">
        <f t="shared" si="102"/>
        <v>0</v>
      </c>
      <c r="AS52" s="166">
        <f t="shared" si="103"/>
        <v>0</v>
      </c>
      <c r="AT52" s="166">
        <f t="shared" si="104"/>
        <v>0</v>
      </c>
      <c r="AU52" s="166">
        <f t="shared" si="105"/>
        <v>0</v>
      </c>
      <c r="AV52" s="166">
        <f t="shared" si="106"/>
        <v>0.58064897765569601</v>
      </c>
      <c r="AW52" s="166">
        <f t="shared" si="107"/>
        <v>0</v>
      </c>
      <c r="AX52" s="166">
        <f t="shared" si="108"/>
        <v>0</v>
      </c>
      <c r="AY52" s="168">
        <f t="shared" si="109"/>
        <v>2.8664303240618104E-4</v>
      </c>
      <c r="BA52" s="107" t="s">
        <v>397</v>
      </c>
      <c r="BB52" s="166">
        <f t="shared" si="127"/>
        <v>0</v>
      </c>
      <c r="BC52" s="166">
        <f t="shared" si="110"/>
        <v>0</v>
      </c>
      <c r="BD52" s="166">
        <f t="shared" si="111"/>
        <v>0</v>
      </c>
      <c r="BE52" s="166">
        <f t="shared" si="112"/>
        <v>0</v>
      </c>
      <c r="BF52" s="166">
        <f t="shared" si="113"/>
        <v>0</v>
      </c>
      <c r="BG52" s="166">
        <f t="shared" si="114"/>
        <v>0</v>
      </c>
      <c r="BH52" s="166">
        <f t="shared" si="115"/>
        <v>0</v>
      </c>
      <c r="BI52" s="166">
        <f t="shared" si="116"/>
        <v>0</v>
      </c>
      <c r="BJ52" s="166" t="str">
        <f t="shared" si="117"/>
        <v/>
      </c>
      <c r="BK52" s="166">
        <f t="shared" si="118"/>
        <v>0</v>
      </c>
      <c r="BL52" s="166">
        <f t="shared" si="119"/>
        <v>0</v>
      </c>
      <c r="BM52" s="166">
        <f t="shared" si="120"/>
        <v>1</v>
      </c>
      <c r="BN52" s="166">
        <f t="shared" si="121"/>
        <v>0</v>
      </c>
      <c r="BO52" s="166">
        <f t="shared" si="122"/>
        <v>0</v>
      </c>
      <c r="BP52" s="168">
        <f t="shared" si="123"/>
        <v>9.8390909743625198E-5</v>
      </c>
      <c r="BR52" s="107" t="s">
        <v>397</v>
      </c>
      <c r="BS52" s="166" t="str">
        <f t="shared" si="129"/>
        <v/>
      </c>
      <c r="BT52" s="166" t="str">
        <f t="shared" si="130"/>
        <v/>
      </c>
      <c r="BU52" s="166" t="str">
        <f t="shared" si="131"/>
        <v/>
      </c>
      <c r="BV52" s="166" t="str">
        <f t="shared" si="132"/>
        <v/>
      </c>
      <c r="BW52" s="166"/>
      <c r="BX52" s="166"/>
      <c r="BY52" s="166"/>
      <c r="BZ52" s="166"/>
      <c r="CA52" s="166"/>
      <c r="CB52" s="166" t="str">
        <f t="shared" si="133"/>
        <v/>
      </c>
      <c r="CC52" s="166" t="str">
        <f t="shared" si="134"/>
        <v/>
      </c>
      <c r="CD52" s="166">
        <f t="shared" si="135"/>
        <v>0.72221090276846067</v>
      </c>
      <c r="CE52" s="166" t="str">
        <f t="shared" si="136"/>
        <v/>
      </c>
      <c r="CF52" s="166" t="str">
        <f t="shared" si="137"/>
        <v/>
      </c>
      <c r="CG52" s="168">
        <f t="shared" si="138"/>
        <v>-0.65674759676627137</v>
      </c>
    </row>
    <row r="53" spans="2:85" x14ac:dyDescent="0.25">
      <c r="B53" s="107" t="s">
        <v>398</v>
      </c>
      <c r="C53" s="160">
        <f>TripMode_input!B48</f>
        <v>0</v>
      </c>
      <c r="D53" s="160">
        <f>TripMode_input!C48</f>
        <v>0</v>
      </c>
      <c r="E53" s="160">
        <f>TripMode_input!D48</f>
        <v>0</v>
      </c>
      <c r="F53" s="160">
        <f>TripMode_input!E48</f>
        <v>0</v>
      </c>
      <c r="G53" s="160">
        <f>TripMode_input!F48</f>
        <v>0</v>
      </c>
      <c r="H53" s="160">
        <f>TripMode_input!G48</f>
        <v>0</v>
      </c>
      <c r="I53" s="160">
        <f>TripMode_input!H48</f>
        <v>0</v>
      </c>
      <c r="J53" s="160">
        <f>TripMode_input!I48</f>
        <v>0</v>
      </c>
      <c r="K53" s="160">
        <f>TripMode_input!J48</f>
        <v>123.60966000000001</v>
      </c>
      <c r="L53" s="160">
        <f>TripMode_input!K48</f>
        <v>0</v>
      </c>
      <c r="M53" s="160">
        <f>TripMode_input!L48</f>
        <v>0</v>
      </c>
      <c r="N53" s="160">
        <f>TripMode_input!M48</f>
        <v>0</v>
      </c>
      <c r="O53" s="160">
        <f>TripMode_input!N48</f>
        <v>1216.4272000000001</v>
      </c>
      <c r="P53" s="160">
        <f>TripMode_input!O48</f>
        <v>0</v>
      </c>
      <c r="Q53" s="162">
        <f t="shared" si="94"/>
        <v>1340.0368600000002</v>
      </c>
      <c r="S53" s="107" t="s">
        <v>398</v>
      </c>
      <c r="T53" s="160">
        <f>TripMode_input!R48*Index!$B$2</f>
        <v>0</v>
      </c>
      <c r="U53" s="160">
        <f>TripMode_input!S48*Index!$B$2</f>
        <v>0</v>
      </c>
      <c r="V53" s="160">
        <f>TripMode_input!T48*Index!$B$2</f>
        <v>0</v>
      </c>
      <c r="W53" s="160">
        <f>TripMode_input!U48*Index!$B$2</f>
        <v>0</v>
      </c>
      <c r="X53" s="160">
        <f>TripMode_input!V48*Index!$B$2</f>
        <v>0</v>
      </c>
      <c r="Y53" s="160">
        <f>TripMode_input!W48*Index!$B$2</f>
        <v>0</v>
      </c>
      <c r="Z53" s="160">
        <f>TripMode_input!X48*Index!$B$2</f>
        <v>0</v>
      </c>
      <c r="AA53" s="160">
        <f>TripMode_input!Y48*Index!$B$2</f>
        <v>0</v>
      </c>
      <c r="AB53" s="160">
        <f>TripMode_input!Z48*Index!$B$2</f>
        <v>0</v>
      </c>
      <c r="AC53" s="160">
        <f>TripMode_input!AA48*Index!$B$2</f>
        <v>165</v>
      </c>
      <c r="AD53" s="160">
        <f>TripMode_input!AB48*Index!$B$2</f>
        <v>0</v>
      </c>
      <c r="AE53" s="160">
        <f>TripMode_input!AC48*Index!$B$2</f>
        <v>0</v>
      </c>
      <c r="AF53" s="160">
        <f>TripMode_input!AD48*Index!$B$2</f>
        <v>2245</v>
      </c>
      <c r="AG53" s="160">
        <f>TripMode_input!AE48*Index!$B$2</f>
        <v>0</v>
      </c>
      <c r="AH53" s="162">
        <f t="shared" si="95"/>
        <v>2410</v>
      </c>
      <c r="AJ53" s="107" t="s">
        <v>398</v>
      </c>
      <c r="AK53" s="166">
        <f t="shared" si="126"/>
        <v>0</v>
      </c>
      <c r="AL53" s="166" t="str">
        <f t="shared" si="96"/>
        <v/>
      </c>
      <c r="AM53" s="166">
        <f t="shared" si="97"/>
        <v>0</v>
      </c>
      <c r="AN53" s="166">
        <f t="shared" si="98"/>
        <v>0</v>
      </c>
      <c r="AO53" s="166">
        <f t="shared" si="99"/>
        <v>0</v>
      </c>
      <c r="AP53" s="166">
        <f t="shared" si="100"/>
        <v>0</v>
      </c>
      <c r="AQ53" s="166">
        <f t="shared" si="101"/>
        <v>0</v>
      </c>
      <c r="AR53" s="166">
        <f t="shared" si="102"/>
        <v>0</v>
      </c>
      <c r="AS53" s="166">
        <f t="shared" si="103"/>
        <v>9.414050376239984E-4</v>
      </c>
      <c r="AT53" s="166">
        <f t="shared" si="104"/>
        <v>0</v>
      </c>
      <c r="AU53" s="166">
        <f t="shared" si="105"/>
        <v>0</v>
      </c>
      <c r="AV53" s="166">
        <f t="shared" si="106"/>
        <v>0</v>
      </c>
      <c r="AW53" s="166">
        <f t="shared" si="107"/>
        <v>0.84130175269861351</v>
      </c>
      <c r="AX53" s="166">
        <f t="shared" si="108"/>
        <v>0</v>
      </c>
      <c r="AY53" s="168">
        <f t="shared" si="109"/>
        <v>3.7031764499441649E-4</v>
      </c>
      <c r="BA53" s="107" t="s">
        <v>398</v>
      </c>
      <c r="BB53" s="166">
        <f t="shared" si="127"/>
        <v>0</v>
      </c>
      <c r="BC53" s="166">
        <f t="shared" si="110"/>
        <v>0</v>
      </c>
      <c r="BD53" s="166">
        <f t="shared" si="111"/>
        <v>0</v>
      </c>
      <c r="BE53" s="166">
        <f t="shared" si="112"/>
        <v>0</v>
      </c>
      <c r="BF53" s="166">
        <f t="shared" si="113"/>
        <v>0</v>
      </c>
      <c r="BG53" s="166">
        <f t="shared" si="114"/>
        <v>0</v>
      </c>
      <c r="BH53" s="166">
        <f t="shared" si="115"/>
        <v>0</v>
      </c>
      <c r="BI53" s="166">
        <f t="shared" si="116"/>
        <v>0</v>
      </c>
      <c r="BJ53" s="166" t="str">
        <f t="shared" si="117"/>
        <v/>
      </c>
      <c r="BK53" s="166">
        <f t="shared" si="118"/>
        <v>1.5745777268823362E-3</v>
      </c>
      <c r="BL53" s="166">
        <f t="shared" si="119"/>
        <v>0</v>
      </c>
      <c r="BM53" s="166">
        <f t="shared" si="120"/>
        <v>0</v>
      </c>
      <c r="BN53" s="166">
        <f t="shared" si="121"/>
        <v>0.73970345963756179</v>
      </c>
      <c r="BO53" s="166">
        <f t="shared" si="122"/>
        <v>0</v>
      </c>
      <c r="BP53" s="168">
        <f t="shared" si="123"/>
        <v>6.4087052022199112E-4</v>
      </c>
      <c r="BR53" s="107" t="s">
        <v>398</v>
      </c>
      <c r="BS53" s="166" t="str">
        <f t="shared" si="129"/>
        <v/>
      </c>
      <c r="BT53" s="166" t="str">
        <f t="shared" si="130"/>
        <v/>
      </c>
      <c r="BU53" s="166" t="str">
        <f t="shared" si="131"/>
        <v/>
      </c>
      <c r="BV53" s="166" t="str">
        <f t="shared" si="132"/>
        <v/>
      </c>
      <c r="BW53" s="166"/>
      <c r="BX53" s="166"/>
      <c r="BY53" s="166"/>
      <c r="BZ53" s="166"/>
      <c r="CA53" s="166"/>
      <c r="CB53" s="166" t="str">
        <f t="shared" si="133"/>
        <v/>
      </c>
      <c r="CC53" s="166" t="str">
        <f t="shared" si="134"/>
        <v/>
      </c>
      <c r="CD53" s="166" t="str">
        <f t="shared" si="135"/>
        <v/>
      </c>
      <c r="CE53" s="166">
        <f t="shared" si="136"/>
        <v>-0.1207632014733816</v>
      </c>
      <c r="CF53" s="166" t="str">
        <f t="shared" si="137"/>
        <v/>
      </c>
      <c r="CG53" s="168">
        <f t="shared" si="138"/>
        <v>0.73059676978571708</v>
      </c>
    </row>
    <row r="54" spans="2:85" x14ac:dyDescent="0.25">
      <c r="B54" s="107" t="s">
        <v>399</v>
      </c>
      <c r="C54" s="160">
        <f>TripMode_input!B49</f>
        <v>0</v>
      </c>
      <c r="D54" s="160">
        <f>TripMode_input!C49</f>
        <v>0</v>
      </c>
      <c r="E54" s="160">
        <f>TripMode_input!D49</f>
        <v>0</v>
      </c>
      <c r="F54" s="160">
        <f>TripMode_input!E49</f>
        <v>0</v>
      </c>
      <c r="G54" s="160">
        <f>TripMode_input!F49</f>
        <v>0</v>
      </c>
      <c r="H54" s="160">
        <f>TripMode_input!G49</f>
        <v>0</v>
      </c>
      <c r="I54" s="160">
        <f>TripMode_input!H49</f>
        <v>0</v>
      </c>
      <c r="J54" s="160">
        <f>TripMode_input!I49</f>
        <v>0</v>
      </c>
      <c r="K54" s="160">
        <f>TripMode_input!J49</f>
        <v>0</v>
      </c>
      <c r="L54" s="160">
        <f>TripMode_input!K49</f>
        <v>0</v>
      </c>
      <c r="M54" s="160">
        <f>TripMode_input!L49</f>
        <v>0</v>
      </c>
      <c r="N54" s="160">
        <f>TripMode_input!M49</f>
        <v>0</v>
      </c>
      <c r="O54" s="160">
        <f>TripMode_input!N49</f>
        <v>0</v>
      </c>
      <c r="P54" s="160">
        <f>TripMode_input!O49</f>
        <v>959250.83302999998</v>
      </c>
      <c r="Q54" s="162">
        <f t="shared" si="94"/>
        <v>959250.83302999998</v>
      </c>
      <c r="S54" s="107" t="s">
        <v>399</v>
      </c>
      <c r="T54" s="160">
        <f>TripMode_input!R49*Index!$B$2</f>
        <v>0</v>
      </c>
      <c r="U54" s="160">
        <f>TripMode_input!S49*Index!$B$2</f>
        <v>0</v>
      </c>
      <c r="V54" s="160">
        <f>TripMode_input!T49*Index!$B$2</f>
        <v>0</v>
      </c>
      <c r="W54" s="160">
        <f>TripMode_input!U49*Index!$B$2</f>
        <v>0</v>
      </c>
      <c r="X54" s="160">
        <f>TripMode_input!V49*Index!$B$2</f>
        <v>0</v>
      </c>
      <c r="Y54" s="160">
        <f>TripMode_input!W49*Index!$B$2</f>
        <v>0</v>
      </c>
      <c r="Z54" s="160">
        <f>TripMode_input!X49*Index!$B$2</f>
        <v>0</v>
      </c>
      <c r="AA54" s="160">
        <f>TripMode_input!Y49*Index!$B$2</f>
        <v>0</v>
      </c>
      <c r="AB54" s="160">
        <f>TripMode_input!Z49*Index!$B$2</f>
        <v>0</v>
      </c>
      <c r="AC54" s="160">
        <f>TripMode_input!AA49*Index!$B$2</f>
        <v>0</v>
      </c>
      <c r="AD54" s="160">
        <f>TripMode_input!AB49*Index!$B$2</f>
        <v>0</v>
      </c>
      <c r="AE54" s="160">
        <f>TripMode_input!AC49*Index!$B$2</f>
        <v>0</v>
      </c>
      <c r="AF54" s="160">
        <f>TripMode_input!AD49*Index!$B$2</f>
        <v>0</v>
      </c>
      <c r="AG54" s="160">
        <f>TripMode_input!AE49*Index!$B$2</f>
        <v>1180550</v>
      </c>
      <c r="AH54" s="162">
        <f t="shared" si="95"/>
        <v>1180550</v>
      </c>
      <c r="AJ54" s="107" t="s">
        <v>399</v>
      </c>
      <c r="AK54" s="166">
        <f t="shared" si="126"/>
        <v>0</v>
      </c>
      <c r="AL54" s="166" t="str">
        <f t="shared" si="96"/>
        <v/>
      </c>
      <c r="AM54" s="166">
        <f t="shared" si="97"/>
        <v>0</v>
      </c>
      <c r="AN54" s="166">
        <f t="shared" si="98"/>
        <v>0</v>
      </c>
      <c r="AO54" s="166">
        <f t="shared" si="99"/>
        <v>0</v>
      </c>
      <c r="AP54" s="166">
        <f t="shared" si="100"/>
        <v>0</v>
      </c>
      <c r="AQ54" s="166">
        <f t="shared" si="101"/>
        <v>0</v>
      </c>
      <c r="AR54" s="166">
        <f t="shared" si="102"/>
        <v>0</v>
      </c>
      <c r="AS54" s="166">
        <f t="shared" si="103"/>
        <v>0</v>
      </c>
      <c r="AT54" s="166">
        <f t="shared" si="104"/>
        <v>0</v>
      </c>
      <c r="AU54" s="166">
        <f t="shared" si="105"/>
        <v>0</v>
      </c>
      <c r="AV54" s="166">
        <f t="shared" si="106"/>
        <v>0</v>
      </c>
      <c r="AW54" s="166">
        <f t="shared" si="107"/>
        <v>0</v>
      </c>
      <c r="AX54" s="166">
        <f t="shared" si="108"/>
        <v>0.78438824587277178</v>
      </c>
      <c r="AY54" s="168">
        <f t="shared" si="109"/>
        <v>0.26508786440889526</v>
      </c>
      <c r="BA54" s="107" t="s">
        <v>399</v>
      </c>
      <c r="BB54" s="166">
        <f t="shared" si="127"/>
        <v>0</v>
      </c>
      <c r="BC54" s="166">
        <f t="shared" si="110"/>
        <v>0</v>
      </c>
      <c r="BD54" s="166">
        <f t="shared" si="111"/>
        <v>0</v>
      </c>
      <c r="BE54" s="166">
        <f t="shared" si="112"/>
        <v>0</v>
      </c>
      <c r="BF54" s="166">
        <f t="shared" si="113"/>
        <v>0</v>
      </c>
      <c r="BG54" s="166">
        <f t="shared" si="114"/>
        <v>0</v>
      </c>
      <c r="BH54" s="166">
        <f t="shared" si="115"/>
        <v>0</v>
      </c>
      <c r="BI54" s="166">
        <f t="shared" si="116"/>
        <v>0</v>
      </c>
      <c r="BJ54" s="166" t="str">
        <f t="shared" si="117"/>
        <v/>
      </c>
      <c r="BK54" s="166">
        <f t="shared" si="118"/>
        <v>0</v>
      </c>
      <c r="BL54" s="166">
        <f t="shared" si="119"/>
        <v>0</v>
      </c>
      <c r="BM54" s="166">
        <f t="shared" si="120"/>
        <v>0</v>
      </c>
      <c r="BN54" s="166">
        <f t="shared" si="121"/>
        <v>0</v>
      </c>
      <c r="BO54" s="166">
        <f t="shared" si="122"/>
        <v>1</v>
      </c>
      <c r="BP54" s="168">
        <f t="shared" si="123"/>
        <v>0.31393348242658575</v>
      </c>
      <c r="BR54" s="107" t="s">
        <v>399</v>
      </c>
      <c r="BS54" s="166" t="str">
        <f t="shared" si="129"/>
        <v/>
      </c>
      <c r="BT54" s="166" t="str">
        <f t="shared" si="130"/>
        <v/>
      </c>
      <c r="BU54" s="166" t="str">
        <f t="shared" si="131"/>
        <v/>
      </c>
      <c r="BV54" s="166" t="str">
        <f t="shared" si="132"/>
        <v/>
      </c>
      <c r="BW54" s="166"/>
      <c r="BX54" s="166"/>
      <c r="BY54" s="166"/>
      <c r="BZ54" s="166"/>
      <c r="CA54" s="166"/>
      <c r="CB54" s="166" t="str">
        <f t="shared" si="133"/>
        <v/>
      </c>
      <c r="CC54" s="166" t="str">
        <f t="shared" si="134"/>
        <v/>
      </c>
      <c r="CD54" s="166" t="str">
        <f t="shared" si="135"/>
        <v/>
      </c>
      <c r="CE54" s="166" t="str">
        <f t="shared" si="136"/>
        <v/>
      </c>
      <c r="CF54" s="166">
        <f t="shared" si="137"/>
        <v>0.27487886931212452</v>
      </c>
      <c r="CG54" s="168">
        <f t="shared" si="138"/>
        <v>0.1842619922515451</v>
      </c>
    </row>
    <row r="55" spans="2:85" ht="15.75" thickBot="1" x14ac:dyDescent="0.3">
      <c r="B55" s="108" t="s">
        <v>29</v>
      </c>
      <c r="C55" s="109">
        <f t="shared" ref="C55:P55" si="139">SUM(C41:C54)</f>
        <v>101828.45173</v>
      </c>
      <c r="D55" s="110">
        <f t="shared" si="139"/>
        <v>0</v>
      </c>
      <c r="E55" s="110">
        <f t="shared" si="139"/>
        <v>487064.95948000002</v>
      </c>
      <c r="F55" s="110">
        <f t="shared" si="139"/>
        <v>2503.7534100000003</v>
      </c>
      <c r="G55" s="110">
        <f t="shared" si="139"/>
        <v>1104439.6024100001</v>
      </c>
      <c r="H55" s="110">
        <f t="shared" si="139"/>
        <v>9643.4216400000005</v>
      </c>
      <c r="I55" s="110">
        <f t="shared" si="139"/>
        <v>484593.74177000002</v>
      </c>
      <c r="J55" s="110">
        <f t="shared" si="139"/>
        <v>32620.994720000002</v>
      </c>
      <c r="K55" s="110">
        <f t="shared" si="139"/>
        <v>131303.37639999998</v>
      </c>
      <c r="L55" s="110">
        <f t="shared" si="139"/>
        <v>8391.71976</v>
      </c>
      <c r="M55" s="110">
        <f t="shared" si="139"/>
        <v>30063.772539999998</v>
      </c>
      <c r="N55" s="110">
        <f t="shared" si="139"/>
        <v>1786.3644300000001</v>
      </c>
      <c r="O55" s="110">
        <f t="shared" si="139"/>
        <v>1445.8869200000001</v>
      </c>
      <c r="P55" s="110">
        <f t="shared" si="139"/>
        <v>1222928.6173999999</v>
      </c>
      <c r="Q55" s="112">
        <f>SUM(Q41:Q54)</f>
        <v>3618614.66261</v>
      </c>
      <c r="S55" s="108" t="s">
        <v>29</v>
      </c>
      <c r="T55" s="109">
        <f t="shared" ref="T55:AC55" si="140">SUM(T41:T54)</f>
        <v>94105</v>
      </c>
      <c r="U55" s="110">
        <f t="shared" si="140"/>
        <v>13140</v>
      </c>
      <c r="V55" s="110">
        <f t="shared" si="140"/>
        <v>550215</v>
      </c>
      <c r="W55" s="110">
        <f t="shared" si="140"/>
        <v>8265</v>
      </c>
      <c r="X55" s="110">
        <f t="shared" si="140"/>
        <v>1073525</v>
      </c>
      <c r="Y55" s="110">
        <f t="shared" si="140"/>
        <v>40525</v>
      </c>
      <c r="Z55" s="110">
        <f t="shared" si="140"/>
        <v>645360</v>
      </c>
      <c r="AA55" s="110">
        <f t="shared" si="140"/>
        <v>40660</v>
      </c>
      <c r="AB55" s="110">
        <f t="shared" si="140"/>
        <v>0</v>
      </c>
      <c r="AC55" s="110">
        <f t="shared" si="140"/>
        <v>104790</v>
      </c>
      <c r="AD55" s="110">
        <f>SUM(AD41:AD54)</f>
        <v>5970</v>
      </c>
      <c r="AE55" s="110">
        <f>SUM(AE41:AE54)</f>
        <v>370</v>
      </c>
      <c r="AF55" s="110">
        <f>SUM(AF41:AF54)</f>
        <v>3035</v>
      </c>
      <c r="AG55" s="110">
        <f>SUM(AG41:AG54)</f>
        <v>1180550</v>
      </c>
      <c r="AH55" s="112">
        <f>SUM(AH41:AH54)</f>
        <v>3760510</v>
      </c>
      <c r="AJ55" s="108" t="s">
        <v>29</v>
      </c>
      <c r="AK55" s="120">
        <f t="shared" si="126"/>
        <v>1</v>
      </c>
      <c r="AL55" s="121" t="str">
        <f t="shared" si="96"/>
        <v/>
      </c>
      <c r="AM55" s="121">
        <f t="shared" si="97"/>
        <v>1</v>
      </c>
      <c r="AN55" s="121">
        <f t="shared" si="98"/>
        <v>1</v>
      </c>
      <c r="AO55" s="121">
        <f t="shared" si="99"/>
        <v>1</v>
      </c>
      <c r="AP55" s="121">
        <f t="shared" si="100"/>
        <v>1</v>
      </c>
      <c r="AQ55" s="121">
        <f t="shared" si="101"/>
        <v>1</v>
      </c>
      <c r="AR55" s="121">
        <f t="shared" si="102"/>
        <v>1</v>
      </c>
      <c r="AS55" s="121">
        <f t="shared" si="103"/>
        <v>1</v>
      </c>
      <c r="AT55" s="121">
        <f t="shared" si="104"/>
        <v>1</v>
      </c>
      <c r="AU55" s="121">
        <f t="shared" si="105"/>
        <v>1</v>
      </c>
      <c r="AV55" s="121">
        <f t="shared" si="106"/>
        <v>1</v>
      </c>
      <c r="AW55" s="121">
        <f t="shared" si="107"/>
        <v>1</v>
      </c>
      <c r="AX55" s="121">
        <f t="shared" si="108"/>
        <v>1</v>
      </c>
      <c r="AY55" s="123">
        <f t="shared" si="109"/>
        <v>1</v>
      </c>
      <c r="BA55" s="108" t="s">
        <v>29</v>
      </c>
      <c r="BB55" s="120">
        <f t="shared" si="127"/>
        <v>1</v>
      </c>
      <c r="BC55" s="121">
        <f t="shared" si="110"/>
        <v>1</v>
      </c>
      <c r="BD55" s="121">
        <f t="shared" si="111"/>
        <v>1</v>
      </c>
      <c r="BE55" s="121">
        <f t="shared" si="112"/>
        <v>1</v>
      </c>
      <c r="BF55" s="121">
        <f t="shared" si="113"/>
        <v>1</v>
      </c>
      <c r="BG55" s="121">
        <f t="shared" si="114"/>
        <v>1</v>
      </c>
      <c r="BH55" s="121">
        <f t="shared" si="115"/>
        <v>1</v>
      </c>
      <c r="BI55" s="121">
        <f t="shared" si="116"/>
        <v>1</v>
      </c>
      <c r="BJ55" s="121" t="str">
        <f t="shared" si="117"/>
        <v/>
      </c>
      <c r="BK55" s="121">
        <f t="shared" si="118"/>
        <v>1</v>
      </c>
      <c r="BL55" s="121">
        <f t="shared" si="119"/>
        <v>1</v>
      </c>
      <c r="BM55" s="121">
        <f t="shared" si="120"/>
        <v>1</v>
      </c>
      <c r="BN55" s="121">
        <f t="shared" si="121"/>
        <v>1</v>
      </c>
      <c r="BO55" s="121">
        <f t="shared" si="122"/>
        <v>1</v>
      </c>
      <c r="BP55" s="123">
        <f t="shared" si="123"/>
        <v>1</v>
      </c>
      <c r="BR55" s="108" t="s">
        <v>29</v>
      </c>
      <c r="BS55" s="120">
        <f t="shared" si="129"/>
        <v>0</v>
      </c>
      <c r="BT55" s="121" t="str">
        <f t="shared" si="130"/>
        <v/>
      </c>
      <c r="BU55" s="121">
        <f t="shared" si="131"/>
        <v>0</v>
      </c>
      <c r="BV55" s="121">
        <f t="shared" si="132"/>
        <v>0</v>
      </c>
      <c r="BW55" s="121"/>
      <c r="BX55" s="121"/>
      <c r="BY55" s="121"/>
      <c r="BZ55" s="121"/>
      <c r="CA55" s="121"/>
      <c r="CB55" s="121">
        <f t="shared" si="133"/>
        <v>0</v>
      </c>
      <c r="CC55" s="121">
        <f t="shared" si="134"/>
        <v>0</v>
      </c>
      <c r="CD55" s="121">
        <f t="shared" si="135"/>
        <v>0</v>
      </c>
      <c r="CE55" s="121">
        <f t="shared" si="136"/>
        <v>0</v>
      </c>
      <c r="CF55" s="121">
        <f t="shared" si="137"/>
        <v>0</v>
      </c>
      <c r="CG55" s="123">
        <f t="shared" si="138"/>
        <v>0</v>
      </c>
    </row>
    <row r="56" spans="2:85" x14ac:dyDescent="0.25">
      <c r="B56" t="s">
        <v>548</v>
      </c>
      <c r="C56" s="383" t="s">
        <v>206</v>
      </c>
      <c r="D56" s="383"/>
      <c r="E56" s="383"/>
      <c r="F56" s="383"/>
      <c r="G56" s="383"/>
      <c r="H56" s="383"/>
      <c r="I56" s="383"/>
      <c r="J56" s="383"/>
      <c r="K56" s="383"/>
      <c r="L56" s="383"/>
      <c r="M56" s="383"/>
      <c r="N56" s="383"/>
      <c r="O56" s="383"/>
      <c r="P56" s="383"/>
      <c r="Q56" s="383"/>
      <c r="S56" t="s">
        <v>548</v>
      </c>
      <c r="T56" s="383" t="s">
        <v>206</v>
      </c>
      <c r="U56" s="383"/>
      <c r="V56" s="383"/>
      <c r="W56" s="383"/>
      <c r="X56" s="383"/>
      <c r="Y56" s="383"/>
      <c r="Z56" s="383"/>
      <c r="AA56" s="383"/>
      <c r="AB56" s="383"/>
      <c r="AC56" s="383"/>
      <c r="AD56" s="383"/>
      <c r="AE56" s="383"/>
      <c r="AF56" s="383"/>
      <c r="AG56" s="383"/>
      <c r="AH56" s="383"/>
      <c r="AJ56" t="s">
        <v>218</v>
      </c>
      <c r="AK56" s="383" t="s">
        <v>206</v>
      </c>
      <c r="AL56" s="383"/>
      <c r="AM56" s="383"/>
      <c r="AN56" s="383"/>
      <c r="AO56" s="383"/>
      <c r="AP56" s="383"/>
      <c r="AQ56" s="383"/>
      <c r="AR56" s="383"/>
      <c r="AS56" s="383"/>
      <c r="AT56" s="383"/>
      <c r="AU56" s="383"/>
      <c r="AV56" s="383"/>
      <c r="AW56" s="383"/>
      <c r="AX56" s="383"/>
      <c r="AY56" s="383"/>
      <c r="BA56" t="s">
        <v>218</v>
      </c>
      <c r="BB56" s="383" t="s">
        <v>206</v>
      </c>
      <c r="BC56" s="383"/>
      <c r="BD56" s="383"/>
      <c r="BE56" s="383"/>
      <c r="BF56" s="383"/>
      <c r="BG56" s="383"/>
      <c r="BH56" s="383"/>
      <c r="BI56" s="383"/>
      <c r="BJ56" s="383"/>
      <c r="BK56" s="383"/>
      <c r="BL56" s="383"/>
      <c r="BM56" s="383"/>
      <c r="BN56" s="383"/>
      <c r="BO56" s="383"/>
      <c r="BP56" s="383"/>
      <c r="BR56" t="s">
        <v>218</v>
      </c>
      <c r="BS56" s="383" t="s">
        <v>206</v>
      </c>
      <c r="BT56" s="383"/>
      <c r="BU56" s="383"/>
      <c r="BV56" s="383"/>
      <c r="BW56" s="383"/>
      <c r="BX56" s="383"/>
      <c r="BY56" s="383"/>
      <c r="BZ56" s="383"/>
      <c r="CA56" s="383"/>
      <c r="CB56" s="383"/>
      <c r="CC56" s="383"/>
      <c r="CD56" s="383"/>
      <c r="CE56" s="383"/>
      <c r="CF56" s="383"/>
      <c r="CG56" s="383"/>
    </row>
    <row r="57" spans="2:85" ht="35.450000000000003" customHeight="1" x14ac:dyDescent="0.25">
      <c r="B57" s="163" t="s">
        <v>207</v>
      </c>
      <c r="C57" s="164" t="s">
        <v>386</v>
      </c>
      <c r="D57" s="164" t="s">
        <v>387</v>
      </c>
      <c r="E57" s="164" t="s">
        <v>388</v>
      </c>
      <c r="F57" s="164" t="s">
        <v>389</v>
      </c>
      <c r="G57" s="164" t="s">
        <v>390</v>
      </c>
      <c r="H57" s="164" t="s">
        <v>391</v>
      </c>
      <c r="I57" s="164" t="s">
        <v>392</v>
      </c>
      <c r="J57" s="164" t="s">
        <v>393</v>
      </c>
      <c r="K57" s="164" t="s">
        <v>394</v>
      </c>
      <c r="L57" s="164" t="s">
        <v>395</v>
      </c>
      <c r="M57" s="164" t="s">
        <v>396</v>
      </c>
      <c r="N57" s="164" t="s">
        <v>397</v>
      </c>
      <c r="O57" s="164" t="s">
        <v>398</v>
      </c>
      <c r="P57" s="164" t="s">
        <v>399</v>
      </c>
      <c r="Q57" s="106" t="s">
        <v>29</v>
      </c>
      <c r="S57" s="163" t="s">
        <v>207</v>
      </c>
      <c r="T57" s="164" t="s">
        <v>386</v>
      </c>
      <c r="U57" s="164" t="s">
        <v>387</v>
      </c>
      <c r="V57" s="164" t="s">
        <v>388</v>
      </c>
      <c r="W57" s="164" t="s">
        <v>389</v>
      </c>
      <c r="X57" s="164" t="s">
        <v>390</v>
      </c>
      <c r="Y57" s="164" t="s">
        <v>391</v>
      </c>
      <c r="Z57" s="164" t="s">
        <v>392</v>
      </c>
      <c r="AA57" s="164" t="s">
        <v>393</v>
      </c>
      <c r="AB57" s="164" t="s">
        <v>394</v>
      </c>
      <c r="AC57" s="164" t="s">
        <v>395</v>
      </c>
      <c r="AD57" s="164" t="s">
        <v>396</v>
      </c>
      <c r="AE57" s="164" t="s">
        <v>397</v>
      </c>
      <c r="AF57" s="164" t="s">
        <v>398</v>
      </c>
      <c r="AG57" s="164" t="s">
        <v>399</v>
      </c>
      <c r="AH57" s="106" t="s">
        <v>29</v>
      </c>
      <c r="AJ57" s="163" t="s">
        <v>207</v>
      </c>
      <c r="AK57" s="164" t="s">
        <v>386</v>
      </c>
      <c r="AL57" s="164" t="s">
        <v>387</v>
      </c>
      <c r="AM57" s="164" t="s">
        <v>388</v>
      </c>
      <c r="AN57" s="164" t="s">
        <v>389</v>
      </c>
      <c r="AO57" s="164" t="s">
        <v>390</v>
      </c>
      <c r="AP57" s="164" t="s">
        <v>391</v>
      </c>
      <c r="AQ57" s="164" t="s">
        <v>392</v>
      </c>
      <c r="AR57" s="164" t="s">
        <v>393</v>
      </c>
      <c r="AS57" s="164" t="s">
        <v>394</v>
      </c>
      <c r="AT57" s="164" t="s">
        <v>395</v>
      </c>
      <c r="AU57" s="164" t="s">
        <v>396</v>
      </c>
      <c r="AV57" s="164" t="s">
        <v>397</v>
      </c>
      <c r="AW57" s="164" t="s">
        <v>398</v>
      </c>
      <c r="AX57" s="164" t="s">
        <v>399</v>
      </c>
      <c r="AY57" s="106" t="s">
        <v>29</v>
      </c>
      <c r="BA57" s="163" t="s">
        <v>207</v>
      </c>
      <c r="BB57" s="164" t="s">
        <v>386</v>
      </c>
      <c r="BC57" s="164" t="s">
        <v>387</v>
      </c>
      <c r="BD57" s="164" t="s">
        <v>388</v>
      </c>
      <c r="BE57" s="164" t="s">
        <v>389</v>
      </c>
      <c r="BF57" s="164" t="s">
        <v>390</v>
      </c>
      <c r="BG57" s="164" t="s">
        <v>391</v>
      </c>
      <c r="BH57" s="164" t="s">
        <v>392</v>
      </c>
      <c r="BI57" s="164" t="s">
        <v>393</v>
      </c>
      <c r="BJ57" s="164" t="s">
        <v>394</v>
      </c>
      <c r="BK57" s="164" t="s">
        <v>395</v>
      </c>
      <c r="BL57" s="164" t="s">
        <v>396</v>
      </c>
      <c r="BM57" s="164" t="s">
        <v>397</v>
      </c>
      <c r="BN57" s="164" t="s">
        <v>398</v>
      </c>
      <c r="BO57" s="164" t="s">
        <v>399</v>
      </c>
      <c r="BP57" s="106" t="s">
        <v>29</v>
      </c>
      <c r="BR57" s="163" t="s">
        <v>207</v>
      </c>
      <c r="BS57" s="164" t="s">
        <v>386</v>
      </c>
      <c r="BT57" s="164" t="s">
        <v>387</v>
      </c>
      <c r="BU57" s="164" t="s">
        <v>388</v>
      </c>
      <c r="BV57" s="164" t="s">
        <v>389</v>
      </c>
      <c r="BW57" s="164" t="s">
        <v>390</v>
      </c>
      <c r="BX57" s="164" t="s">
        <v>391</v>
      </c>
      <c r="BY57" s="164" t="s">
        <v>392</v>
      </c>
      <c r="BZ57" s="164" t="s">
        <v>393</v>
      </c>
      <c r="CA57" s="164" t="s">
        <v>394</v>
      </c>
      <c r="CB57" s="164" t="s">
        <v>395</v>
      </c>
      <c r="CC57" s="164" t="s">
        <v>396</v>
      </c>
      <c r="CD57" s="164" t="s">
        <v>397</v>
      </c>
      <c r="CE57" s="164" t="s">
        <v>398</v>
      </c>
      <c r="CF57" s="164" t="s">
        <v>399</v>
      </c>
      <c r="CG57" s="106" t="s">
        <v>29</v>
      </c>
    </row>
    <row r="58" spans="2:85" x14ac:dyDescent="0.25">
      <c r="B58" s="107" t="s">
        <v>386</v>
      </c>
      <c r="C58" s="160">
        <f>TripMode_input!B148</f>
        <v>0</v>
      </c>
      <c r="D58" s="160">
        <f>TripMode_input!C148</f>
        <v>0</v>
      </c>
      <c r="E58" s="160">
        <f>TripMode_input!D148</f>
        <v>438707.17473000003</v>
      </c>
      <c r="F58" s="160">
        <f>TripMode_input!E148</f>
        <v>102.29367999999999</v>
      </c>
      <c r="G58" s="160">
        <f>TripMode_input!F148</f>
        <v>179608.65805999999</v>
      </c>
      <c r="H58" s="160">
        <f>TripMode_input!G148</f>
        <v>268.62398999999999</v>
      </c>
      <c r="I58" s="160">
        <f>TripMode_input!H148</f>
        <v>0</v>
      </c>
      <c r="J58" s="160">
        <f>TripMode_input!I148</f>
        <v>0</v>
      </c>
      <c r="K58" s="160">
        <f>TripMode_input!J148</f>
        <v>771.05561999999998</v>
      </c>
      <c r="L58" s="160">
        <f>TripMode_input!K148</f>
        <v>0</v>
      </c>
      <c r="M58" s="160">
        <f>TripMode_input!L148</f>
        <v>0</v>
      </c>
      <c r="N58" s="160">
        <f>TripMode_input!M148</f>
        <v>0</v>
      </c>
      <c r="O58" s="160">
        <f>TripMode_input!N148</f>
        <v>0</v>
      </c>
      <c r="P58" s="160">
        <f>TripMode_input!O148</f>
        <v>75.386790000000005</v>
      </c>
      <c r="Q58" s="161">
        <f t="shared" ref="Q58:Q71" si="141">SUM(C58:P58)</f>
        <v>619533.19287000003</v>
      </c>
      <c r="S58" s="107" t="s">
        <v>386</v>
      </c>
      <c r="T58" s="160">
        <f>TripMode_input!R148</f>
        <v>0</v>
      </c>
      <c r="U58" s="160">
        <f>TripMode_input!S148</f>
        <v>0</v>
      </c>
      <c r="V58" s="160">
        <f>TripMode_input!T148</f>
        <v>102032</v>
      </c>
      <c r="W58" s="160">
        <f>TripMode_input!U148</f>
        <v>2125</v>
      </c>
      <c r="X58" s="160">
        <f>TripMode_input!V148</f>
        <v>63426</v>
      </c>
      <c r="Y58" s="160">
        <f>TripMode_input!W148</f>
        <v>1503</v>
      </c>
      <c r="Z58" s="160">
        <f>TripMode_input!X148</f>
        <v>0</v>
      </c>
      <c r="AA58" s="160">
        <f>TripMode_input!Y148</f>
        <v>0</v>
      </c>
      <c r="AB58" s="160">
        <f>TripMode_input!Z148</f>
        <v>0</v>
      </c>
      <c r="AC58" s="160">
        <f>TripMode_input!AA148</f>
        <v>0</v>
      </c>
      <c r="AD58" s="160">
        <f>TripMode_input!AB148</f>
        <v>0</v>
      </c>
      <c r="AE58" s="160">
        <f>TripMode_input!AC148</f>
        <v>0</v>
      </c>
      <c r="AF58" s="160">
        <f>TripMode_input!AD148</f>
        <v>0</v>
      </c>
      <c r="AG58" s="160">
        <f>TripMode_input!AE148</f>
        <v>0</v>
      </c>
      <c r="AH58" s="161">
        <f t="shared" ref="AH58:AH71" si="142">SUM(T58:AG58)</f>
        <v>169086</v>
      </c>
      <c r="AJ58" s="107" t="s">
        <v>386</v>
      </c>
      <c r="AK58" s="166">
        <f>IF(C$55&gt;0,C58/C$55,"")</f>
        <v>0</v>
      </c>
      <c r="AL58" s="166" t="str">
        <f t="shared" ref="AL58:AL72" si="143">IF(D$55&gt;0,D58/D$55,"")</f>
        <v/>
      </c>
      <c r="AM58" s="166">
        <f t="shared" ref="AM58:AM72" si="144">IF(E$55&gt;0,E58/E$55,"")</f>
        <v>0.90071594392331633</v>
      </c>
      <c r="AN58" s="166">
        <f t="shared" ref="AN58:AN72" si="145">IF(F$55&gt;0,F58/F$55,"")</f>
        <v>4.0856132074124654E-2</v>
      </c>
      <c r="AO58" s="166">
        <f t="shared" ref="AO58:AO72" si="146">IF(G$55&gt;0,G58/G$55,"")</f>
        <v>0.16262424642151146</v>
      </c>
      <c r="AP58" s="166">
        <f t="shared" ref="AP58:AP72" si="147">IF(H$55&gt;0,H58/H$55,"")</f>
        <v>2.7855671983248467E-2</v>
      </c>
      <c r="AQ58" s="166">
        <f t="shared" ref="AQ58:AQ72" si="148">IF(I$55&gt;0,I58/I$55,"")</f>
        <v>0</v>
      </c>
      <c r="AR58" s="166">
        <f t="shared" ref="AR58:AR72" si="149">IF(J$55&gt;0,J58/J$55,"")</f>
        <v>0</v>
      </c>
      <c r="AS58" s="166">
        <f t="shared" ref="AS58:AS72" si="150">IF(K$55&gt;0,K58/K$55,"")</f>
        <v>5.8723213457289288E-3</v>
      </c>
      <c r="AT58" s="166">
        <f t="shared" ref="AT58:AT72" si="151">IF(L$55&gt;0,L58/L$55,"")</f>
        <v>0</v>
      </c>
      <c r="AU58" s="166">
        <f t="shared" ref="AU58:AU72" si="152">IF(M$55&gt;0,M58/M$55,"")</f>
        <v>0</v>
      </c>
      <c r="AV58" s="166">
        <f t="shared" ref="AV58:AV72" si="153">IF(N$55&gt;0,N58/N$55,"")</f>
        <v>0</v>
      </c>
      <c r="AW58" s="166">
        <f t="shared" ref="AW58:AW72" si="154">IF(O$55&gt;0,O58/O$55,"")</f>
        <v>0</v>
      </c>
      <c r="AX58" s="166">
        <f t="shared" ref="AX58:AX72" si="155">IF(P$55&gt;0,P58/P$55,"")</f>
        <v>6.1644472888593973E-5</v>
      </c>
      <c r="AY58" s="167">
        <f t="shared" ref="AY58:AY72" si="156">IF(Q$55&gt;0,Q58/Q$55,"")</f>
        <v>0.17120728528280185</v>
      </c>
      <c r="BA58" s="107" t="s">
        <v>386</v>
      </c>
      <c r="BB58" s="166">
        <f>IF(T$55&gt;0,T58/T$55,"")</f>
        <v>0</v>
      </c>
      <c r="BC58" s="166">
        <f t="shared" ref="BC58:BC72" si="157">IF(U$55&gt;0,U58/U$55,"")</f>
        <v>0</v>
      </c>
      <c r="BD58" s="166">
        <f t="shared" ref="BD58:BD72" si="158">IF(V$55&gt;0,V58/V$55,"")</f>
        <v>0.18544023699826431</v>
      </c>
      <c r="BE58" s="166">
        <f t="shared" ref="BE58:BE72" si="159">IF(W$55&gt;0,W58/W$55,"")</f>
        <v>0.25710828796128249</v>
      </c>
      <c r="BF58" s="166">
        <f t="shared" ref="BF58:BF72" si="160">IF(X$55&gt;0,X58/X$55,"")</f>
        <v>5.9081996227381757E-2</v>
      </c>
      <c r="BG58" s="166">
        <f t="shared" ref="BG58:BG72" si="161">IF(Y$55&gt;0,Y58/Y$55,"")</f>
        <v>3.7088217149907461E-2</v>
      </c>
      <c r="BH58" s="166">
        <f t="shared" ref="BH58:BH72" si="162">IF(Z$55&gt;0,Z58/Z$55,"")</f>
        <v>0</v>
      </c>
      <c r="BI58" s="166">
        <f t="shared" ref="BI58:BI72" si="163">IF(AA$55&gt;0,AA58/AA$55,"")</f>
        <v>0</v>
      </c>
      <c r="BJ58" s="166" t="str">
        <f t="shared" ref="BJ58:BJ72" si="164">IF(AB$55&gt;0,AB58/AB$55,"")</f>
        <v/>
      </c>
      <c r="BK58" s="166">
        <f t="shared" ref="BK58:BK72" si="165">IF(AC$55&gt;0,AC58/AC$55,"")</f>
        <v>0</v>
      </c>
      <c r="BL58" s="166">
        <f t="shared" ref="BL58:BL72" si="166">IF(AD$55&gt;0,AD58/AD$55,"")</f>
        <v>0</v>
      </c>
      <c r="BM58" s="166">
        <f t="shared" ref="BM58:BM72" si="167">IF(AE$55&gt;0,AE58/AE$55,"")</f>
        <v>0</v>
      </c>
      <c r="BN58" s="166">
        <f t="shared" ref="BN58:BN72" si="168">IF(AF$55&gt;0,AF58/AF$55,"")</f>
        <v>0</v>
      </c>
      <c r="BO58" s="166">
        <f t="shared" ref="BO58:BO72" si="169">IF(AG$55&gt;0,AG58/AG$55,"")</f>
        <v>0</v>
      </c>
      <c r="BP58" s="167">
        <f t="shared" ref="BP58:BP72" si="170">IF(AH$55&gt;0,AH58/AH$55,"")</f>
        <v>4.4963582067325973E-2</v>
      </c>
      <c r="BR58" s="107" t="s">
        <v>386</v>
      </c>
      <c r="BS58" s="166" t="str">
        <f t="shared" ref="BS58:BV61" si="171">IF(OR(ISNA(AK58),AK58=0,AK58=""),"",(BB58-AK58)/AK58)</f>
        <v/>
      </c>
      <c r="BT58" s="166" t="str">
        <f t="shared" si="171"/>
        <v/>
      </c>
      <c r="BU58" s="166">
        <f t="shared" si="171"/>
        <v>-0.79411906911458874</v>
      </c>
      <c r="BV58" s="166">
        <f t="shared" si="171"/>
        <v>5.2930158805736891</v>
      </c>
      <c r="BW58" s="166"/>
      <c r="BX58" s="166"/>
      <c r="BY58" s="166"/>
      <c r="BZ58" s="166"/>
      <c r="CA58" s="166"/>
      <c r="CB58" s="166" t="str">
        <f t="shared" ref="CB58:CG61" si="172">IF(OR(ISNA(AT58),AT58=0,AT58=""),"",(BK58-AT58)/AT58)</f>
        <v/>
      </c>
      <c r="CC58" s="166" t="str">
        <f t="shared" si="172"/>
        <v/>
      </c>
      <c r="CD58" s="166" t="str">
        <f t="shared" si="172"/>
        <v/>
      </c>
      <c r="CE58" s="166" t="str">
        <f t="shared" si="172"/>
        <v/>
      </c>
      <c r="CF58" s="166">
        <f t="shared" si="172"/>
        <v>-1</v>
      </c>
      <c r="CG58" s="167">
        <f t="shared" si="172"/>
        <v>-0.73737343014898749</v>
      </c>
    </row>
    <row r="59" spans="2:85" x14ac:dyDescent="0.25">
      <c r="B59" s="107" t="s">
        <v>387</v>
      </c>
      <c r="C59" s="160">
        <f>TripMode_input!B149</f>
        <v>0</v>
      </c>
      <c r="D59" s="160">
        <f>TripMode_input!C149</f>
        <v>0</v>
      </c>
      <c r="E59" s="160">
        <f>TripMode_input!D149</f>
        <v>0</v>
      </c>
      <c r="F59" s="160">
        <f>TripMode_input!E149</f>
        <v>163.97425999999999</v>
      </c>
      <c r="G59" s="160">
        <f>TripMode_input!F149</f>
        <v>0</v>
      </c>
      <c r="H59" s="160">
        <f>TripMode_input!G149</f>
        <v>329.89438000000001</v>
      </c>
      <c r="I59" s="160">
        <f>TripMode_input!H149</f>
        <v>0</v>
      </c>
      <c r="J59" s="160">
        <f>TripMode_input!I149</f>
        <v>0</v>
      </c>
      <c r="K59" s="160">
        <f>TripMode_input!J149</f>
        <v>0</v>
      </c>
      <c r="L59" s="160">
        <f>TripMode_input!K149</f>
        <v>0</v>
      </c>
      <c r="M59" s="160">
        <f>TripMode_input!L149</f>
        <v>0</v>
      </c>
      <c r="N59" s="160">
        <f>TripMode_input!M149</f>
        <v>0</v>
      </c>
      <c r="O59" s="160">
        <f>TripMode_input!N149</f>
        <v>0</v>
      </c>
      <c r="P59" s="160">
        <f>TripMode_input!O149</f>
        <v>0</v>
      </c>
      <c r="Q59" s="162">
        <f t="shared" si="141"/>
        <v>493.86864000000003</v>
      </c>
      <c r="S59" s="107" t="s">
        <v>387</v>
      </c>
      <c r="T59" s="160">
        <f>TripMode_input!R149</f>
        <v>0</v>
      </c>
      <c r="U59" s="160">
        <f>TripMode_input!S149</f>
        <v>0</v>
      </c>
      <c r="V59" s="160">
        <f>TripMode_input!T149</f>
        <v>1276</v>
      </c>
      <c r="W59" s="160">
        <f>TripMode_input!U149</f>
        <v>479</v>
      </c>
      <c r="X59" s="160">
        <f>TripMode_input!V149</f>
        <v>896</v>
      </c>
      <c r="Y59" s="160">
        <f>TripMode_input!W149</f>
        <v>301</v>
      </c>
      <c r="Z59" s="160">
        <f>TripMode_input!X149</f>
        <v>0</v>
      </c>
      <c r="AA59" s="160">
        <f>TripMode_input!Y149</f>
        <v>0</v>
      </c>
      <c r="AB59" s="160">
        <f>TripMode_input!Z149</f>
        <v>0</v>
      </c>
      <c r="AC59" s="160">
        <f>TripMode_input!AA149</f>
        <v>0</v>
      </c>
      <c r="AD59" s="160">
        <f>TripMode_input!AB149</f>
        <v>0</v>
      </c>
      <c r="AE59" s="160">
        <f>TripMode_input!AC149</f>
        <v>0</v>
      </c>
      <c r="AF59" s="160">
        <f>TripMode_input!AD149</f>
        <v>0</v>
      </c>
      <c r="AG59" s="160">
        <f>TripMode_input!AE149</f>
        <v>0</v>
      </c>
      <c r="AH59" s="162">
        <f t="shared" si="142"/>
        <v>2952</v>
      </c>
      <c r="AJ59" s="107" t="s">
        <v>387</v>
      </c>
      <c r="AK59" s="166">
        <f t="shared" ref="AK59:AK72" si="173">IF(C$55&gt;0,C59/C$55,"")</f>
        <v>0</v>
      </c>
      <c r="AL59" s="166" t="str">
        <f t="shared" si="143"/>
        <v/>
      </c>
      <c r="AM59" s="166">
        <f t="shared" si="144"/>
        <v>0</v>
      </c>
      <c r="AN59" s="166">
        <f t="shared" si="145"/>
        <v>6.5491377603355896E-2</v>
      </c>
      <c r="AO59" s="166">
        <f t="shared" si="146"/>
        <v>0</v>
      </c>
      <c r="AP59" s="166">
        <f t="shared" si="147"/>
        <v>3.4209266411377198E-2</v>
      </c>
      <c r="AQ59" s="166">
        <f t="shared" si="148"/>
        <v>0</v>
      </c>
      <c r="AR59" s="166">
        <f t="shared" si="149"/>
        <v>0</v>
      </c>
      <c r="AS59" s="166">
        <f t="shared" si="150"/>
        <v>0</v>
      </c>
      <c r="AT59" s="166">
        <f t="shared" si="151"/>
        <v>0</v>
      </c>
      <c r="AU59" s="166">
        <f t="shared" si="152"/>
        <v>0</v>
      </c>
      <c r="AV59" s="166">
        <f t="shared" si="153"/>
        <v>0</v>
      </c>
      <c r="AW59" s="166">
        <f t="shared" si="154"/>
        <v>0</v>
      </c>
      <c r="AX59" s="166">
        <f t="shared" si="155"/>
        <v>0</v>
      </c>
      <c r="AY59" s="168">
        <f t="shared" si="156"/>
        <v>1.3648003063243742E-4</v>
      </c>
      <c r="BA59" s="107" t="s">
        <v>387</v>
      </c>
      <c r="BB59" s="166">
        <f t="shared" ref="BB59:BB72" si="174">IF(T$55&gt;0,T59/T$55,"")</f>
        <v>0</v>
      </c>
      <c r="BC59" s="166">
        <f t="shared" si="157"/>
        <v>0</v>
      </c>
      <c r="BD59" s="166">
        <f t="shared" si="158"/>
        <v>2.3190934452895686E-3</v>
      </c>
      <c r="BE59" s="166">
        <f t="shared" si="159"/>
        <v>5.7955232909860856E-2</v>
      </c>
      <c r="BF59" s="166">
        <f t="shared" si="160"/>
        <v>8.346335669872616E-4</v>
      </c>
      <c r="BG59" s="166">
        <f t="shared" si="161"/>
        <v>7.4275138803207895E-3</v>
      </c>
      <c r="BH59" s="166">
        <f t="shared" si="162"/>
        <v>0</v>
      </c>
      <c r="BI59" s="166">
        <f t="shared" si="163"/>
        <v>0</v>
      </c>
      <c r="BJ59" s="166" t="str">
        <f t="shared" si="164"/>
        <v/>
      </c>
      <c r="BK59" s="166">
        <f t="shared" si="165"/>
        <v>0</v>
      </c>
      <c r="BL59" s="166">
        <f t="shared" si="166"/>
        <v>0</v>
      </c>
      <c r="BM59" s="166">
        <f t="shared" si="167"/>
        <v>0</v>
      </c>
      <c r="BN59" s="166">
        <f t="shared" si="168"/>
        <v>0</v>
      </c>
      <c r="BO59" s="166">
        <f t="shared" si="169"/>
        <v>0</v>
      </c>
      <c r="BP59" s="168">
        <f t="shared" si="170"/>
        <v>7.8499990692751777E-4</v>
      </c>
      <c r="BR59" s="107" t="s">
        <v>387</v>
      </c>
      <c r="BS59" s="166" t="str">
        <f t="shared" si="171"/>
        <v/>
      </c>
      <c r="BT59" s="166" t="str">
        <f t="shared" si="171"/>
        <v/>
      </c>
      <c r="BU59" s="166" t="str">
        <f t="shared" si="171"/>
        <v/>
      </c>
      <c r="BV59" s="166">
        <f t="shared" si="171"/>
        <v>-0.11507079205353095</v>
      </c>
      <c r="BW59" s="166"/>
      <c r="BX59" s="166"/>
      <c r="BY59" s="166"/>
      <c r="BZ59" s="166"/>
      <c r="CA59" s="166"/>
      <c r="CB59" s="166" t="str">
        <f t="shared" si="172"/>
        <v/>
      </c>
      <c r="CC59" s="166" t="str">
        <f t="shared" si="172"/>
        <v/>
      </c>
      <c r="CD59" s="166" t="str">
        <f t="shared" si="172"/>
        <v/>
      </c>
      <c r="CE59" s="166" t="str">
        <f t="shared" si="172"/>
        <v/>
      </c>
      <c r="CF59" s="166" t="str">
        <f t="shared" si="172"/>
        <v/>
      </c>
      <c r="CG59" s="168">
        <f t="shared" si="172"/>
        <v>4.7517565265034865</v>
      </c>
    </row>
    <row r="60" spans="2:85" x14ac:dyDescent="0.25">
      <c r="B60" s="107" t="s">
        <v>388</v>
      </c>
      <c r="C60" s="160">
        <f>TripMode_input!B150</f>
        <v>0</v>
      </c>
      <c r="D60" s="160">
        <f>TripMode_input!C150</f>
        <v>0</v>
      </c>
      <c r="E60" s="160">
        <f>TripMode_input!D150</f>
        <v>487718.53811999998</v>
      </c>
      <c r="F60" s="160">
        <f>TripMode_input!E150</f>
        <v>0</v>
      </c>
      <c r="G60" s="160">
        <f>TripMode_input!F150</f>
        <v>348411.28759999998</v>
      </c>
      <c r="H60" s="160">
        <f>TripMode_input!G150</f>
        <v>805.16638999999998</v>
      </c>
      <c r="I60" s="160">
        <f>TripMode_input!H150</f>
        <v>0</v>
      </c>
      <c r="J60" s="160">
        <f>TripMode_input!I150</f>
        <v>0</v>
      </c>
      <c r="K60" s="160">
        <f>TripMode_input!J150</f>
        <v>146.35839999999999</v>
      </c>
      <c r="L60" s="160">
        <f>TripMode_input!K150</f>
        <v>0</v>
      </c>
      <c r="M60" s="160">
        <f>TripMode_input!L150</f>
        <v>0</v>
      </c>
      <c r="N60" s="160">
        <f>TripMode_input!M150</f>
        <v>0</v>
      </c>
      <c r="O60" s="160">
        <f>TripMode_input!N150</f>
        <v>0</v>
      </c>
      <c r="P60" s="160">
        <f>TripMode_input!O150</f>
        <v>0</v>
      </c>
      <c r="Q60" s="162">
        <f t="shared" si="141"/>
        <v>837081.35051000002</v>
      </c>
      <c r="S60" s="107" t="s">
        <v>388</v>
      </c>
      <c r="T60" s="160">
        <f>TripMode_input!R150</f>
        <v>0</v>
      </c>
      <c r="U60" s="160">
        <f>TripMode_input!S150</f>
        <v>0</v>
      </c>
      <c r="V60" s="160">
        <f>TripMode_input!T150</f>
        <v>118436</v>
      </c>
      <c r="W60" s="160">
        <f>TripMode_input!U150</f>
        <v>2377</v>
      </c>
      <c r="X60" s="160">
        <f>TripMode_input!V150</f>
        <v>47130</v>
      </c>
      <c r="Y60" s="160">
        <f>TripMode_input!W150</f>
        <v>1022</v>
      </c>
      <c r="Z60" s="160">
        <f>TripMode_input!X150</f>
        <v>0</v>
      </c>
      <c r="AA60" s="160">
        <f>TripMode_input!Y150</f>
        <v>0</v>
      </c>
      <c r="AB60" s="160">
        <f>TripMode_input!Z150</f>
        <v>0</v>
      </c>
      <c r="AC60" s="160">
        <f>TripMode_input!AA150</f>
        <v>31</v>
      </c>
      <c r="AD60" s="160">
        <f>TripMode_input!AB150</f>
        <v>0</v>
      </c>
      <c r="AE60" s="160">
        <f>TripMode_input!AC150</f>
        <v>0</v>
      </c>
      <c r="AF60" s="160">
        <f>TripMode_input!AD150</f>
        <v>0</v>
      </c>
      <c r="AG60" s="160">
        <f>TripMode_input!AE150</f>
        <v>0</v>
      </c>
      <c r="AH60" s="162">
        <f t="shared" si="142"/>
        <v>168996</v>
      </c>
      <c r="AJ60" s="107" t="s">
        <v>388</v>
      </c>
      <c r="AK60" s="166">
        <f t="shared" si="173"/>
        <v>0</v>
      </c>
      <c r="AL60" s="166" t="str">
        <f t="shared" si="143"/>
        <v/>
      </c>
      <c r="AM60" s="166">
        <f t="shared" si="144"/>
        <v>1.001341871607224</v>
      </c>
      <c r="AN60" s="166">
        <f t="shared" si="145"/>
        <v>0</v>
      </c>
      <c r="AO60" s="166">
        <f t="shared" si="146"/>
        <v>0.31546431949717391</v>
      </c>
      <c r="AP60" s="166">
        <f t="shared" si="147"/>
        <v>8.3493848973713439E-2</v>
      </c>
      <c r="AQ60" s="166">
        <f t="shared" si="148"/>
        <v>0</v>
      </c>
      <c r="AR60" s="166">
        <f t="shared" si="149"/>
        <v>0</v>
      </c>
      <c r="AS60" s="166">
        <f t="shared" si="150"/>
        <v>1.1146583127774009E-3</v>
      </c>
      <c r="AT60" s="166">
        <f t="shared" si="151"/>
        <v>0</v>
      </c>
      <c r="AU60" s="166">
        <f t="shared" si="152"/>
        <v>0</v>
      </c>
      <c r="AV60" s="166">
        <f t="shared" si="153"/>
        <v>0</v>
      </c>
      <c r="AW60" s="166">
        <f t="shared" si="154"/>
        <v>0</v>
      </c>
      <c r="AX60" s="166">
        <f t="shared" si="155"/>
        <v>0</v>
      </c>
      <c r="AY60" s="168">
        <f t="shared" si="156"/>
        <v>0.23132646842983773</v>
      </c>
      <c r="BA60" s="107" t="s">
        <v>388</v>
      </c>
      <c r="BB60" s="166">
        <f t="shared" si="174"/>
        <v>0</v>
      </c>
      <c r="BC60" s="166">
        <f t="shared" si="157"/>
        <v>0</v>
      </c>
      <c r="BD60" s="166">
        <f t="shared" si="158"/>
        <v>0.21525403705824087</v>
      </c>
      <c r="BE60" s="166">
        <f t="shared" si="159"/>
        <v>0.28759830611010284</v>
      </c>
      <c r="BF60" s="166">
        <f t="shared" si="160"/>
        <v>4.3902098227800938E-2</v>
      </c>
      <c r="BG60" s="166">
        <f t="shared" si="161"/>
        <v>2.5219000616903145E-2</v>
      </c>
      <c r="BH60" s="166">
        <f t="shared" si="162"/>
        <v>0</v>
      </c>
      <c r="BI60" s="166">
        <f t="shared" si="163"/>
        <v>0</v>
      </c>
      <c r="BJ60" s="166" t="str">
        <f t="shared" si="164"/>
        <v/>
      </c>
      <c r="BK60" s="166">
        <f t="shared" si="165"/>
        <v>2.9582975474759044E-4</v>
      </c>
      <c r="BL60" s="166">
        <f t="shared" si="166"/>
        <v>0</v>
      </c>
      <c r="BM60" s="166">
        <f t="shared" si="167"/>
        <v>0</v>
      </c>
      <c r="BN60" s="166">
        <f t="shared" si="168"/>
        <v>0</v>
      </c>
      <c r="BO60" s="166">
        <f t="shared" si="169"/>
        <v>0</v>
      </c>
      <c r="BP60" s="168">
        <f t="shared" si="170"/>
        <v>4.493964914333428E-2</v>
      </c>
      <c r="BR60" s="107" t="s">
        <v>388</v>
      </c>
      <c r="BS60" s="166" t="str">
        <f t="shared" si="171"/>
        <v/>
      </c>
      <c r="BT60" s="166" t="str">
        <f t="shared" si="171"/>
        <v/>
      </c>
      <c r="BU60" s="166">
        <f t="shared" si="171"/>
        <v>-0.78503441915123051</v>
      </c>
      <c r="BV60" s="166" t="str">
        <f t="shared" si="171"/>
        <v/>
      </c>
      <c r="BW60" s="166"/>
      <c r="BX60" s="166"/>
      <c r="BY60" s="166"/>
      <c r="BZ60" s="166"/>
      <c r="CA60" s="166"/>
      <c r="CB60" s="166" t="str">
        <f t="shared" si="172"/>
        <v/>
      </c>
      <c r="CC60" s="166" t="str">
        <f t="shared" si="172"/>
        <v/>
      </c>
      <c r="CD60" s="166" t="str">
        <f t="shared" si="172"/>
        <v/>
      </c>
      <c r="CE60" s="166" t="str">
        <f t="shared" si="172"/>
        <v/>
      </c>
      <c r="CF60" s="166" t="str">
        <f t="shared" si="172"/>
        <v/>
      </c>
      <c r="CG60" s="168">
        <f t="shared" si="172"/>
        <v>-0.80573062197175815</v>
      </c>
    </row>
    <row r="61" spans="2:85" x14ac:dyDescent="0.25">
      <c r="B61" s="107" t="s">
        <v>389</v>
      </c>
      <c r="C61" s="160">
        <f>TripMode_input!B151</f>
        <v>0</v>
      </c>
      <c r="D61" s="160">
        <f>TripMode_input!C151</f>
        <v>0</v>
      </c>
      <c r="E61" s="160">
        <f>TripMode_input!D151</f>
        <v>0</v>
      </c>
      <c r="F61" s="160">
        <f>TripMode_input!E151</f>
        <v>354.21521999999999</v>
      </c>
      <c r="G61" s="160">
        <f>TripMode_input!F151</f>
        <v>0</v>
      </c>
      <c r="H61" s="160">
        <f>TripMode_input!G151</f>
        <v>3072.40967</v>
      </c>
      <c r="I61" s="160">
        <f>TripMode_input!H151</f>
        <v>0</v>
      </c>
      <c r="J61" s="160">
        <f>TripMode_input!I151</f>
        <v>0</v>
      </c>
      <c r="K61" s="160">
        <f>TripMode_input!J151</f>
        <v>0</v>
      </c>
      <c r="L61" s="160">
        <f>TripMode_input!K151</f>
        <v>0</v>
      </c>
      <c r="M61" s="160">
        <f>TripMode_input!L151</f>
        <v>0</v>
      </c>
      <c r="N61" s="160">
        <f>TripMode_input!M151</f>
        <v>0</v>
      </c>
      <c r="O61" s="160">
        <f>TripMode_input!N151</f>
        <v>0</v>
      </c>
      <c r="P61" s="160">
        <f>TripMode_input!O151</f>
        <v>0</v>
      </c>
      <c r="Q61" s="162">
        <f t="shared" si="141"/>
        <v>3426.6248900000001</v>
      </c>
      <c r="S61" s="107" t="s">
        <v>389</v>
      </c>
      <c r="T61" s="160">
        <f>TripMode_input!R151</f>
        <v>0</v>
      </c>
      <c r="U61" s="160">
        <f>TripMode_input!S151</f>
        <v>0</v>
      </c>
      <c r="V61" s="160">
        <f>TripMode_input!T151</f>
        <v>1450</v>
      </c>
      <c r="W61" s="160">
        <f>TripMode_input!U151</f>
        <v>549</v>
      </c>
      <c r="X61" s="160">
        <f>TripMode_input!V151</f>
        <v>612</v>
      </c>
      <c r="Y61" s="160">
        <f>TripMode_input!W151</f>
        <v>225</v>
      </c>
      <c r="Z61" s="160">
        <f>TripMode_input!X151</f>
        <v>0</v>
      </c>
      <c r="AA61" s="160">
        <f>TripMode_input!Y151</f>
        <v>0</v>
      </c>
      <c r="AB61" s="160">
        <f>TripMode_input!Z151</f>
        <v>0</v>
      </c>
      <c r="AC61" s="160">
        <f>TripMode_input!AA151</f>
        <v>0</v>
      </c>
      <c r="AD61" s="160">
        <f>TripMode_input!AB151</f>
        <v>0</v>
      </c>
      <c r="AE61" s="160">
        <f>TripMode_input!AC151</f>
        <v>0</v>
      </c>
      <c r="AF61" s="160">
        <f>TripMode_input!AD151</f>
        <v>0</v>
      </c>
      <c r="AG61" s="160">
        <f>TripMode_input!AE151</f>
        <v>0</v>
      </c>
      <c r="AH61" s="162">
        <f t="shared" si="142"/>
        <v>2836</v>
      </c>
      <c r="AJ61" s="107" t="s">
        <v>389</v>
      </c>
      <c r="AK61" s="166">
        <f t="shared" si="173"/>
        <v>0</v>
      </c>
      <c r="AL61" s="166" t="str">
        <f t="shared" si="143"/>
        <v/>
      </c>
      <c r="AM61" s="166">
        <f t="shared" si="144"/>
        <v>0</v>
      </c>
      <c r="AN61" s="166">
        <f t="shared" si="145"/>
        <v>0.1414736845031396</v>
      </c>
      <c r="AO61" s="166">
        <f t="shared" si="146"/>
        <v>0</v>
      </c>
      <c r="AP61" s="166">
        <f t="shared" si="147"/>
        <v>0.31860161099416573</v>
      </c>
      <c r="AQ61" s="166">
        <f t="shared" si="148"/>
        <v>0</v>
      </c>
      <c r="AR61" s="166">
        <f t="shared" si="149"/>
        <v>0</v>
      </c>
      <c r="AS61" s="166">
        <f t="shared" si="150"/>
        <v>0</v>
      </c>
      <c r="AT61" s="166">
        <f t="shared" si="151"/>
        <v>0</v>
      </c>
      <c r="AU61" s="166">
        <f t="shared" si="152"/>
        <v>0</v>
      </c>
      <c r="AV61" s="166">
        <f t="shared" si="153"/>
        <v>0</v>
      </c>
      <c r="AW61" s="166">
        <f t="shared" si="154"/>
        <v>0</v>
      </c>
      <c r="AX61" s="166">
        <f t="shared" si="155"/>
        <v>0</v>
      </c>
      <c r="AY61" s="168">
        <f t="shared" si="156"/>
        <v>9.4694384715958587E-4</v>
      </c>
      <c r="BA61" s="107" t="s">
        <v>389</v>
      </c>
      <c r="BB61" s="166">
        <f t="shared" si="174"/>
        <v>0</v>
      </c>
      <c r="BC61" s="166">
        <f t="shared" si="157"/>
        <v>0</v>
      </c>
      <c r="BD61" s="166">
        <f t="shared" si="158"/>
        <v>2.635333460556328E-3</v>
      </c>
      <c r="BE61" s="166">
        <f t="shared" si="159"/>
        <v>6.642468239564428E-2</v>
      </c>
      <c r="BF61" s="166">
        <f t="shared" si="160"/>
        <v>5.7008453459397781E-4</v>
      </c>
      <c r="BG61" s="166">
        <f t="shared" si="161"/>
        <v>5.5521283158544111E-3</v>
      </c>
      <c r="BH61" s="166">
        <f t="shared" si="162"/>
        <v>0</v>
      </c>
      <c r="BI61" s="166">
        <f t="shared" si="163"/>
        <v>0</v>
      </c>
      <c r="BJ61" s="166" t="str">
        <f t="shared" si="164"/>
        <v/>
      </c>
      <c r="BK61" s="166">
        <f t="shared" si="165"/>
        <v>0</v>
      </c>
      <c r="BL61" s="166">
        <f t="shared" si="166"/>
        <v>0</v>
      </c>
      <c r="BM61" s="166">
        <f t="shared" si="167"/>
        <v>0</v>
      </c>
      <c r="BN61" s="166">
        <f t="shared" si="168"/>
        <v>0</v>
      </c>
      <c r="BO61" s="166">
        <f t="shared" si="169"/>
        <v>0</v>
      </c>
      <c r="BP61" s="168">
        <f t="shared" si="170"/>
        <v>7.5415302711600283E-4</v>
      </c>
      <c r="BR61" s="107" t="s">
        <v>389</v>
      </c>
      <c r="BS61" s="166" t="str">
        <f t="shared" si="171"/>
        <v/>
      </c>
      <c r="BT61" s="166" t="str">
        <f t="shared" si="171"/>
        <v/>
      </c>
      <c r="BU61" s="166" t="str">
        <f t="shared" si="171"/>
        <v/>
      </c>
      <c r="BV61" s="166">
        <f t="shared" si="171"/>
        <v>-0.53048029653762097</v>
      </c>
      <c r="BW61" s="166"/>
      <c r="BX61" s="166"/>
      <c r="BY61" s="166"/>
      <c r="BZ61" s="166"/>
      <c r="CA61" s="166"/>
      <c r="CB61" s="166" t="str">
        <f t="shared" si="172"/>
        <v/>
      </c>
      <c r="CC61" s="166" t="str">
        <f t="shared" si="172"/>
        <v/>
      </c>
      <c r="CD61" s="166" t="str">
        <f t="shared" si="172"/>
        <v/>
      </c>
      <c r="CE61" s="166" t="str">
        <f t="shared" si="172"/>
        <v/>
      </c>
      <c r="CF61" s="166" t="str">
        <f t="shared" si="172"/>
        <v/>
      </c>
      <c r="CG61" s="168">
        <f t="shared" si="172"/>
        <v>-0.20359266351629035</v>
      </c>
    </row>
    <row r="62" spans="2:85" x14ac:dyDescent="0.25">
      <c r="B62" s="107" t="s">
        <v>390</v>
      </c>
      <c r="C62" s="160">
        <f>TripMode_input!B152</f>
        <v>0</v>
      </c>
      <c r="D62" s="160">
        <f>TripMode_input!C152</f>
        <v>0</v>
      </c>
      <c r="E62" s="160">
        <f>TripMode_input!D152</f>
        <v>0</v>
      </c>
      <c r="F62" s="160">
        <f>TripMode_input!E152</f>
        <v>0</v>
      </c>
      <c r="G62" s="160">
        <f>TripMode_input!F152</f>
        <v>831291.12346999999</v>
      </c>
      <c r="H62" s="160">
        <f>TripMode_input!G152</f>
        <v>882.61325999999997</v>
      </c>
      <c r="I62" s="160">
        <f>TripMode_input!H152</f>
        <v>0</v>
      </c>
      <c r="J62" s="160">
        <f>TripMode_input!I152</f>
        <v>0</v>
      </c>
      <c r="K62" s="160">
        <f>TripMode_input!J152</f>
        <v>942.79116999999997</v>
      </c>
      <c r="L62" s="160">
        <f>TripMode_input!K152</f>
        <v>0</v>
      </c>
      <c r="M62" s="160">
        <f>TripMode_input!L152</f>
        <v>0</v>
      </c>
      <c r="N62" s="160">
        <f>TripMode_input!M152</f>
        <v>571.71141999999998</v>
      </c>
      <c r="O62" s="160">
        <f>TripMode_input!N152</f>
        <v>0</v>
      </c>
      <c r="P62" s="160">
        <f>TripMode_input!O152</f>
        <v>0</v>
      </c>
      <c r="Q62" s="162">
        <f t="shared" si="141"/>
        <v>833688.23931999994</v>
      </c>
      <c r="S62" s="107" t="s">
        <v>390</v>
      </c>
      <c r="T62" s="160">
        <f>TripMode_input!R152</f>
        <v>0</v>
      </c>
      <c r="U62" s="160">
        <f>TripMode_input!S152</f>
        <v>0</v>
      </c>
      <c r="V62" s="160">
        <f>TripMode_input!T152</f>
        <v>0</v>
      </c>
      <c r="W62" s="160">
        <f>TripMode_input!U152</f>
        <v>0</v>
      </c>
      <c r="X62" s="160">
        <f>TripMode_input!V152</f>
        <v>150965</v>
      </c>
      <c r="Y62" s="160">
        <f>TripMode_input!W152</f>
        <v>3317</v>
      </c>
      <c r="Z62" s="160">
        <f>TripMode_input!X152</f>
        <v>0</v>
      </c>
      <c r="AA62" s="160">
        <f>TripMode_input!Y152</f>
        <v>0</v>
      </c>
      <c r="AB62" s="160">
        <f>TripMode_input!Z152</f>
        <v>0</v>
      </c>
      <c r="AC62" s="160">
        <f>TripMode_input!AA152</f>
        <v>16</v>
      </c>
      <c r="AD62" s="160">
        <f>TripMode_input!AB152</f>
        <v>0</v>
      </c>
      <c r="AE62" s="160">
        <f>TripMode_input!AC152</f>
        <v>0</v>
      </c>
      <c r="AF62" s="160">
        <f>TripMode_input!AD152</f>
        <v>0</v>
      </c>
      <c r="AG62" s="160">
        <f>TripMode_input!AE152</f>
        <v>0</v>
      </c>
      <c r="AH62" s="162">
        <f t="shared" si="142"/>
        <v>154298</v>
      </c>
      <c r="AJ62" s="107" t="s">
        <v>390</v>
      </c>
      <c r="AK62" s="166">
        <f t="shared" si="173"/>
        <v>0</v>
      </c>
      <c r="AL62" s="166" t="str">
        <f t="shared" si="143"/>
        <v/>
      </c>
      <c r="AM62" s="166">
        <f t="shared" si="144"/>
        <v>0</v>
      </c>
      <c r="AN62" s="166">
        <f t="shared" si="145"/>
        <v>0</v>
      </c>
      <c r="AO62" s="166">
        <f t="shared" si="146"/>
        <v>0.75268137945799651</v>
      </c>
      <c r="AP62" s="166">
        <f t="shared" si="147"/>
        <v>9.1524906091319677E-2</v>
      </c>
      <c r="AQ62" s="166">
        <f t="shared" si="148"/>
        <v>0</v>
      </c>
      <c r="AR62" s="166">
        <f t="shared" si="149"/>
        <v>0</v>
      </c>
      <c r="AS62" s="166">
        <f t="shared" si="150"/>
        <v>7.1802507738102624E-3</v>
      </c>
      <c r="AT62" s="166">
        <f t="shared" si="151"/>
        <v>0</v>
      </c>
      <c r="AU62" s="166">
        <f t="shared" si="152"/>
        <v>0</v>
      </c>
      <c r="AV62" s="166">
        <f t="shared" si="153"/>
        <v>0.3200418740984447</v>
      </c>
      <c r="AW62" s="166">
        <f t="shared" si="154"/>
        <v>0</v>
      </c>
      <c r="AX62" s="166">
        <f t="shared" si="155"/>
        <v>0</v>
      </c>
      <c r="AY62" s="168">
        <f t="shared" si="156"/>
        <v>0.23038878605512675</v>
      </c>
      <c r="BA62" s="107" t="s">
        <v>390</v>
      </c>
      <c r="BB62" s="166">
        <f t="shared" si="174"/>
        <v>0</v>
      </c>
      <c r="BC62" s="166">
        <f t="shared" si="157"/>
        <v>0</v>
      </c>
      <c r="BD62" s="166">
        <f t="shared" si="158"/>
        <v>0</v>
      </c>
      <c r="BE62" s="166">
        <f t="shared" si="159"/>
        <v>0</v>
      </c>
      <c r="BF62" s="166">
        <f t="shared" si="160"/>
        <v>0.14062550941990173</v>
      </c>
      <c r="BG62" s="166">
        <f t="shared" si="161"/>
        <v>8.1850709438618136E-2</v>
      </c>
      <c r="BH62" s="166">
        <f t="shared" si="162"/>
        <v>0</v>
      </c>
      <c r="BI62" s="166">
        <f t="shared" si="163"/>
        <v>0</v>
      </c>
      <c r="BJ62" s="166" t="str">
        <f t="shared" si="164"/>
        <v/>
      </c>
      <c r="BK62" s="166">
        <f t="shared" si="165"/>
        <v>1.5268632503101441E-4</v>
      </c>
      <c r="BL62" s="166">
        <f t="shared" si="166"/>
        <v>0</v>
      </c>
      <c r="BM62" s="166">
        <f t="shared" si="167"/>
        <v>0</v>
      </c>
      <c r="BN62" s="166">
        <f t="shared" si="168"/>
        <v>0</v>
      </c>
      <c r="BO62" s="166">
        <f t="shared" si="169"/>
        <v>0</v>
      </c>
      <c r="BP62" s="168">
        <f t="shared" si="170"/>
        <v>4.103113673411319E-2</v>
      </c>
      <c r="BR62" s="107" t="s">
        <v>390</v>
      </c>
      <c r="BS62" s="166"/>
      <c r="BT62" s="166"/>
      <c r="BU62" s="166"/>
      <c r="BV62" s="166"/>
      <c r="BW62" s="166"/>
      <c r="BX62" s="166"/>
      <c r="BY62" s="166"/>
      <c r="BZ62" s="166"/>
      <c r="CA62" s="166"/>
      <c r="CB62" s="166"/>
      <c r="CC62" s="166"/>
      <c r="CD62" s="166"/>
      <c r="CE62" s="166"/>
      <c r="CF62" s="166"/>
      <c r="CG62" s="168"/>
    </row>
    <row r="63" spans="2:85" x14ac:dyDescent="0.25">
      <c r="B63" s="107" t="s">
        <v>391</v>
      </c>
      <c r="C63" s="160">
        <f>TripMode_input!B153</f>
        <v>0</v>
      </c>
      <c r="D63" s="160">
        <f>TripMode_input!C153</f>
        <v>0</v>
      </c>
      <c r="E63" s="160">
        <f>TripMode_input!D153</f>
        <v>0</v>
      </c>
      <c r="F63" s="160">
        <f>TripMode_input!E153</f>
        <v>0</v>
      </c>
      <c r="G63" s="160">
        <f>TripMode_input!F153</f>
        <v>0</v>
      </c>
      <c r="H63" s="160">
        <f>TripMode_input!G153</f>
        <v>5231.0796899999996</v>
      </c>
      <c r="I63" s="160">
        <f>TripMode_input!H153</f>
        <v>0</v>
      </c>
      <c r="J63" s="160">
        <f>TripMode_input!I153</f>
        <v>0</v>
      </c>
      <c r="K63" s="160">
        <f>TripMode_input!J153</f>
        <v>0</v>
      </c>
      <c r="L63" s="160">
        <f>TripMode_input!K153</f>
        <v>0</v>
      </c>
      <c r="M63" s="160">
        <f>TripMode_input!L153</f>
        <v>0</v>
      </c>
      <c r="N63" s="160">
        <f>TripMode_input!M153</f>
        <v>0</v>
      </c>
      <c r="O63" s="160">
        <f>TripMode_input!N153</f>
        <v>0</v>
      </c>
      <c r="P63" s="160">
        <f>TripMode_input!O153</f>
        <v>0</v>
      </c>
      <c r="Q63" s="162">
        <f t="shared" si="141"/>
        <v>5231.0796899999996</v>
      </c>
      <c r="S63" s="107" t="s">
        <v>391</v>
      </c>
      <c r="T63" s="160">
        <f>TripMode_input!R153</f>
        <v>0</v>
      </c>
      <c r="U63" s="160">
        <f>TripMode_input!S153</f>
        <v>0</v>
      </c>
      <c r="V63" s="160">
        <f>TripMode_input!T153</f>
        <v>0</v>
      </c>
      <c r="W63" s="160">
        <f>TripMode_input!U153</f>
        <v>0</v>
      </c>
      <c r="X63" s="160">
        <f>TripMode_input!V153</f>
        <v>1866</v>
      </c>
      <c r="Y63" s="160">
        <f>TripMode_input!W153</f>
        <v>692</v>
      </c>
      <c r="Z63" s="160">
        <f>TripMode_input!X153</f>
        <v>0</v>
      </c>
      <c r="AA63" s="160">
        <f>TripMode_input!Y153</f>
        <v>0</v>
      </c>
      <c r="AB63" s="160">
        <f>TripMode_input!Z153</f>
        <v>0</v>
      </c>
      <c r="AC63" s="160">
        <f>TripMode_input!AA153</f>
        <v>0</v>
      </c>
      <c r="AD63" s="160">
        <f>TripMode_input!AB153</f>
        <v>0</v>
      </c>
      <c r="AE63" s="160">
        <f>TripMode_input!AC153</f>
        <v>0</v>
      </c>
      <c r="AF63" s="160">
        <f>TripMode_input!AD153</f>
        <v>0</v>
      </c>
      <c r="AG63" s="160">
        <f>TripMode_input!AE153</f>
        <v>0</v>
      </c>
      <c r="AH63" s="162">
        <f t="shared" si="142"/>
        <v>2558</v>
      </c>
      <c r="AJ63" s="107" t="s">
        <v>391</v>
      </c>
      <c r="AK63" s="166">
        <f t="shared" si="173"/>
        <v>0</v>
      </c>
      <c r="AL63" s="166" t="str">
        <f t="shared" si="143"/>
        <v/>
      </c>
      <c r="AM63" s="166">
        <f t="shared" si="144"/>
        <v>0</v>
      </c>
      <c r="AN63" s="166">
        <f t="shared" si="145"/>
        <v>0</v>
      </c>
      <c r="AO63" s="166">
        <f t="shared" si="146"/>
        <v>0</v>
      </c>
      <c r="AP63" s="166">
        <f t="shared" si="147"/>
        <v>0.54245058292400861</v>
      </c>
      <c r="AQ63" s="166">
        <f t="shared" si="148"/>
        <v>0</v>
      </c>
      <c r="AR63" s="166">
        <f t="shared" si="149"/>
        <v>0</v>
      </c>
      <c r="AS63" s="166">
        <f t="shared" si="150"/>
        <v>0</v>
      </c>
      <c r="AT63" s="166">
        <f t="shared" si="151"/>
        <v>0</v>
      </c>
      <c r="AU63" s="166">
        <f t="shared" si="152"/>
        <v>0</v>
      </c>
      <c r="AV63" s="166">
        <f t="shared" si="153"/>
        <v>0</v>
      </c>
      <c r="AW63" s="166">
        <f t="shared" si="154"/>
        <v>0</v>
      </c>
      <c r="AX63" s="166">
        <f t="shared" si="155"/>
        <v>0</v>
      </c>
      <c r="AY63" s="168">
        <f t="shared" si="156"/>
        <v>1.4456028557146717E-3</v>
      </c>
      <c r="BA63" s="107" t="s">
        <v>391</v>
      </c>
      <c r="BB63" s="166">
        <f t="shared" si="174"/>
        <v>0</v>
      </c>
      <c r="BC63" s="166">
        <f t="shared" si="157"/>
        <v>0</v>
      </c>
      <c r="BD63" s="166">
        <f t="shared" si="158"/>
        <v>0</v>
      </c>
      <c r="BE63" s="166">
        <f t="shared" si="159"/>
        <v>0</v>
      </c>
      <c r="BF63" s="166">
        <f t="shared" si="160"/>
        <v>1.7381989241051676E-3</v>
      </c>
      <c r="BG63" s="166">
        <f t="shared" si="161"/>
        <v>1.7075879086983343E-2</v>
      </c>
      <c r="BH63" s="166">
        <f t="shared" si="162"/>
        <v>0</v>
      </c>
      <c r="BI63" s="166">
        <f t="shared" si="163"/>
        <v>0</v>
      </c>
      <c r="BJ63" s="166" t="str">
        <f t="shared" si="164"/>
        <v/>
      </c>
      <c r="BK63" s="166">
        <f t="shared" si="165"/>
        <v>0</v>
      </c>
      <c r="BL63" s="166">
        <f t="shared" si="166"/>
        <v>0</v>
      </c>
      <c r="BM63" s="166">
        <f t="shared" si="167"/>
        <v>0</v>
      </c>
      <c r="BN63" s="166">
        <f t="shared" si="168"/>
        <v>0</v>
      </c>
      <c r="BO63" s="166">
        <f t="shared" si="169"/>
        <v>0</v>
      </c>
      <c r="BP63" s="168">
        <f t="shared" si="170"/>
        <v>6.8022688411944121E-4</v>
      </c>
      <c r="BR63" s="107" t="s">
        <v>391</v>
      </c>
      <c r="BS63" s="166"/>
      <c r="BT63" s="166"/>
      <c r="BU63" s="166"/>
      <c r="BV63" s="166"/>
      <c r="BW63" s="166"/>
      <c r="BX63" s="166"/>
      <c r="BY63" s="166"/>
      <c r="BZ63" s="166"/>
      <c r="CA63" s="166"/>
      <c r="CB63" s="166"/>
      <c r="CC63" s="166"/>
      <c r="CD63" s="166"/>
      <c r="CE63" s="166"/>
      <c r="CF63" s="166"/>
      <c r="CG63" s="168"/>
    </row>
    <row r="64" spans="2:85" x14ac:dyDescent="0.25">
      <c r="B64" s="107" t="s">
        <v>392</v>
      </c>
      <c r="C64" s="160">
        <f>TripMode_input!B154</f>
        <v>0</v>
      </c>
      <c r="D64" s="160">
        <f>TripMode_input!C154</f>
        <v>0</v>
      </c>
      <c r="E64" s="160">
        <f>TripMode_input!D154</f>
        <v>2688.7374399999999</v>
      </c>
      <c r="F64" s="160">
        <f>TripMode_input!E154</f>
        <v>0</v>
      </c>
      <c r="G64" s="160">
        <f>TripMode_input!F154</f>
        <v>10185.892449999999</v>
      </c>
      <c r="H64" s="160">
        <f>TripMode_input!G154</f>
        <v>0</v>
      </c>
      <c r="I64" s="160">
        <f>TripMode_input!H154</f>
        <v>267033.64922999998</v>
      </c>
      <c r="J64" s="160">
        <f>TripMode_input!I154</f>
        <v>1356.6573000000001</v>
      </c>
      <c r="K64" s="160">
        <f>TripMode_input!J154</f>
        <v>2928.83484</v>
      </c>
      <c r="L64" s="160">
        <f>TripMode_input!K154</f>
        <v>0</v>
      </c>
      <c r="M64" s="160">
        <f>TripMode_input!L154</f>
        <v>0</v>
      </c>
      <c r="N64" s="160">
        <f>TripMode_input!M154</f>
        <v>0</v>
      </c>
      <c r="O64" s="160">
        <f>TripMode_input!N154</f>
        <v>0</v>
      </c>
      <c r="P64" s="160">
        <f>TripMode_input!O154</f>
        <v>0</v>
      </c>
      <c r="Q64" s="162">
        <f t="shared" si="141"/>
        <v>284193.77126000001</v>
      </c>
      <c r="S64" s="107" t="s">
        <v>392</v>
      </c>
      <c r="T64" s="160">
        <f>TripMode_input!R154</f>
        <v>0</v>
      </c>
      <c r="U64" s="160">
        <f>TripMode_input!S154</f>
        <v>0</v>
      </c>
      <c r="V64" s="160">
        <f>TripMode_input!T154</f>
        <v>4618</v>
      </c>
      <c r="W64" s="160">
        <f>TripMode_input!U154</f>
        <v>17</v>
      </c>
      <c r="X64" s="160">
        <f>TripMode_input!V154</f>
        <v>3390</v>
      </c>
      <c r="Y64" s="160">
        <f>TripMode_input!W154</f>
        <v>11</v>
      </c>
      <c r="Z64" s="160">
        <f>TripMode_input!X154</f>
        <v>98261</v>
      </c>
      <c r="AA64" s="160">
        <f>TripMode_input!Y154</f>
        <v>0</v>
      </c>
      <c r="AB64" s="160">
        <f>TripMode_input!Z154</f>
        <v>0</v>
      </c>
      <c r="AC64" s="160">
        <f>TripMode_input!AA154</f>
        <v>391</v>
      </c>
      <c r="AD64" s="160">
        <f>TripMode_input!AB154</f>
        <v>0</v>
      </c>
      <c r="AE64" s="160">
        <f>TripMode_input!AC154</f>
        <v>0</v>
      </c>
      <c r="AF64" s="160">
        <f>TripMode_input!AD154</f>
        <v>0</v>
      </c>
      <c r="AG64" s="160">
        <f>TripMode_input!AE154</f>
        <v>0</v>
      </c>
      <c r="AH64" s="162">
        <f t="shared" si="142"/>
        <v>106688</v>
      </c>
      <c r="AJ64" s="107" t="s">
        <v>392</v>
      </c>
      <c r="AK64" s="166">
        <f t="shared" si="173"/>
        <v>0</v>
      </c>
      <c r="AL64" s="166" t="str">
        <f t="shared" si="143"/>
        <v/>
      </c>
      <c r="AM64" s="166">
        <f t="shared" si="144"/>
        <v>5.5202851029779437E-3</v>
      </c>
      <c r="AN64" s="166">
        <f t="shared" si="145"/>
        <v>0</v>
      </c>
      <c r="AO64" s="166">
        <f t="shared" si="146"/>
        <v>9.2226794727147971E-3</v>
      </c>
      <c r="AP64" s="166">
        <f t="shared" si="147"/>
        <v>0</v>
      </c>
      <c r="AQ64" s="166">
        <f t="shared" si="148"/>
        <v>0.55104642551644967</v>
      </c>
      <c r="AR64" s="166">
        <f t="shared" si="149"/>
        <v>4.1588471217532508E-2</v>
      </c>
      <c r="AS64" s="166">
        <f t="shared" si="150"/>
        <v>2.2305860826287178E-2</v>
      </c>
      <c r="AT64" s="166">
        <f t="shared" si="151"/>
        <v>0</v>
      </c>
      <c r="AU64" s="166">
        <f t="shared" si="152"/>
        <v>0</v>
      </c>
      <c r="AV64" s="166">
        <f t="shared" si="153"/>
        <v>0</v>
      </c>
      <c r="AW64" s="166">
        <f t="shared" si="154"/>
        <v>0</v>
      </c>
      <c r="AX64" s="166">
        <f t="shared" si="155"/>
        <v>0</v>
      </c>
      <c r="AY64" s="168">
        <f t="shared" si="156"/>
        <v>7.8536621817317076E-2</v>
      </c>
      <c r="BA64" s="107" t="s">
        <v>392</v>
      </c>
      <c r="BB64" s="166">
        <f t="shared" si="174"/>
        <v>0</v>
      </c>
      <c r="BC64" s="166">
        <f t="shared" si="157"/>
        <v>0</v>
      </c>
      <c r="BD64" s="166">
        <f t="shared" si="158"/>
        <v>8.3930827040338777E-3</v>
      </c>
      <c r="BE64" s="166">
        <f t="shared" si="159"/>
        <v>2.0568663036902601E-3</v>
      </c>
      <c r="BF64" s="166">
        <f t="shared" si="160"/>
        <v>3.1578211965254651E-3</v>
      </c>
      <c r="BG64" s="166">
        <f t="shared" si="161"/>
        <v>2.7143738433066009E-4</v>
      </c>
      <c r="BH64" s="166">
        <f t="shared" si="162"/>
        <v>0.15225765464237015</v>
      </c>
      <c r="BI64" s="166">
        <f t="shared" si="163"/>
        <v>0</v>
      </c>
      <c r="BJ64" s="166" t="str">
        <f t="shared" si="164"/>
        <v/>
      </c>
      <c r="BK64" s="166">
        <f t="shared" si="165"/>
        <v>3.7312720679454148E-3</v>
      </c>
      <c r="BL64" s="166">
        <f t="shared" si="166"/>
        <v>0</v>
      </c>
      <c r="BM64" s="166">
        <f t="shared" si="167"/>
        <v>0</v>
      </c>
      <c r="BN64" s="166">
        <f t="shared" si="168"/>
        <v>0</v>
      </c>
      <c r="BO64" s="166">
        <f t="shared" si="169"/>
        <v>0</v>
      </c>
      <c r="BP64" s="168">
        <f t="shared" si="170"/>
        <v>2.8370619942507797E-2</v>
      </c>
      <c r="BR64" s="107" t="s">
        <v>392</v>
      </c>
      <c r="BS64" s="166"/>
      <c r="BT64" s="166"/>
      <c r="BU64" s="166"/>
      <c r="BV64" s="166"/>
      <c r="BW64" s="166"/>
      <c r="BX64" s="166"/>
      <c r="BY64" s="166"/>
      <c r="BZ64" s="166"/>
      <c r="CA64" s="166"/>
      <c r="CB64" s="166"/>
      <c r="CC64" s="166"/>
      <c r="CD64" s="166"/>
      <c r="CE64" s="166"/>
      <c r="CF64" s="166"/>
      <c r="CG64" s="168"/>
    </row>
    <row r="65" spans="2:85" x14ac:dyDescent="0.25">
      <c r="B65" s="107" t="s">
        <v>393</v>
      </c>
      <c r="C65" s="160">
        <f>TripMode_input!B155</f>
        <v>0</v>
      </c>
      <c r="D65" s="160">
        <f>TripMode_input!C155</f>
        <v>0</v>
      </c>
      <c r="E65" s="160">
        <f>TripMode_input!D155</f>
        <v>440.43038999999999</v>
      </c>
      <c r="F65" s="160">
        <f>TripMode_input!E155</f>
        <v>0</v>
      </c>
      <c r="G65" s="160">
        <f>TripMode_input!F155</f>
        <v>0</v>
      </c>
      <c r="H65" s="160">
        <f>TripMode_input!G155</f>
        <v>0</v>
      </c>
      <c r="I65" s="160">
        <f>TripMode_input!H155</f>
        <v>0</v>
      </c>
      <c r="J65" s="160">
        <f>TripMode_input!I155</f>
        <v>8242.5337600000003</v>
      </c>
      <c r="K65" s="160">
        <f>TripMode_input!J155</f>
        <v>0</v>
      </c>
      <c r="L65" s="160">
        <f>TripMode_input!K155</f>
        <v>0</v>
      </c>
      <c r="M65" s="160">
        <f>TripMode_input!L155</f>
        <v>0</v>
      </c>
      <c r="N65" s="160">
        <f>TripMode_input!M155</f>
        <v>0</v>
      </c>
      <c r="O65" s="160">
        <f>TripMode_input!N155</f>
        <v>0</v>
      </c>
      <c r="P65" s="160">
        <f>TripMode_input!O155</f>
        <v>0</v>
      </c>
      <c r="Q65" s="162">
        <f t="shared" si="141"/>
        <v>8682.9641499999998</v>
      </c>
      <c r="S65" s="107" t="s">
        <v>393</v>
      </c>
      <c r="T65" s="160">
        <f>TripMode_input!R155</f>
        <v>0</v>
      </c>
      <c r="U65" s="160">
        <f>TripMode_input!S155</f>
        <v>0</v>
      </c>
      <c r="V65" s="160">
        <f>TripMode_input!T155</f>
        <v>0</v>
      </c>
      <c r="W65" s="160">
        <f>TripMode_input!U155</f>
        <v>0</v>
      </c>
      <c r="X65" s="160">
        <f>TripMode_input!V155</f>
        <v>0</v>
      </c>
      <c r="Y65" s="160">
        <f>TripMode_input!W155</f>
        <v>0</v>
      </c>
      <c r="Z65" s="160">
        <f>TripMode_input!X155</f>
        <v>0</v>
      </c>
      <c r="AA65" s="160">
        <f>TripMode_input!Y155</f>
        <v>1955</v>
      </c>
      <c r="AB65" s="160">
        <f>TripMode_input!Z155</f>
        <v>0</v>
      </c>
      <c r="AC65" s="160">
        <f>TripMode_input!AA155</f>
        <v>0</v>
      </c>
      <c r="AD65" s="160">
        <f>TripMode_input!AB155</f>
        <v>0</v>
      </c>
      <c r="AE65" s="160">
        <f>TripMode_input!AC155</f>
        <v>0</v>
      </c>
      <c r="AF65" s="160">
        <f>TripMode_input!AD155</f>
        <v>0</v>
      </c>
      <c r="AG65" s="160">
        <f>TripMode_input!AE155</f>
        <v>0</v>
      </c>
      <c r="AH65" s="162">
        <f t="shared" si="142"/>
        <v>1955</v>
      </c>
      <c r="AJ65" s="107" t="s">
        <v>393</v>
      </c>
      <c r="AK65" s="166">
        <f t="shared" si="173"/>
        <v>0</v>
      </c>
      <c r="AL65" s="166" t="str">
        <f t="shared" si="143"/>
        <v/>
      </c>
      <c r="AM65" s="166">
        <f t="shared" si="144"/>
        <v>9.0425390171818562E-4</v>
      </c>
      <c r="AN65" s="166">
        <f t="shared" si="145"/>
        <v>0</v>
      </c>
      <c r="AO65" s="166">
        <f t="shared" si="146"/>
        <v>0</v>
      </c>
      <c r="AP65" s="166">
        <f t="shared" si="147"/>
        <v>0</v>
      </c>
      <c r="AQ65" s="166">
        <f t="shared" si="148"/>
        <v>0</v>
      </c>
      <c r="AR65" s="166">
        <f t="shared" si="149"/>
        <v>0.25267573324324427</v>
      </c>
      <c r="AS65" s="166">
        <f t="shared" si="150"/>
        <v>0</v>
      </c>
      <c r="AT65" s="166">
        <f t="shared" si="151"/>
        <v>0</v>
      </c>
      <c r="AU65" s="166">
        <f t="shared" si="152"/>
        <v>0</v>
      </c>
      <c r="AV65" s="166">
        <f t="shared" si="153"/>
        <v>0</v>
      </c>
      <c r="AW65" s="166">
        <f t="shared" si="154"/>
        <v>0</v>
      </c>
      <c r="AX65" s="166">
        <f t="shared" si="155"/>
        <v>0</v>
      </c>
      <c r="AY65" s="168">
        <f t="shared" si="156"/>
        <v>2.3995271559910259E-3</v>
      </c>
      <c r="BA65" s="107" t="s">
        <v>393</v>
      </c>
      <c r="BB65" s="166">
        <f t="shared" si="174"/>
        <v>0</v>
      </c>
      <c r="BC65" s="166">
        <f t="shared" si="157"/>
        <v>0</v>
      </c>
      <c r="BD65" s="166">
        <f t="shared" si="158"/>
        <v>0</v>
      </c>
      <c r="BE65" s="166">
        <f t="shared" si="159"/>
        <v>0</v>
      </c>
      <c r="BF65" s="166">
        <f t="shared" si="160"/>
        <v>0</v>
      </c>
      <c r="BG65" s="166">
        <f t="shared" si="161"/>
        <v>0</v>
      </c>
      <c r="BH65" s="166">
        <f t="shared" si="162"/>
        <v>0</v>
      </c>
      <c r="BI65" s="166">
        <f t="shared" si="163"/>
        <v>4.808165272995573E-2</v>
      </c>
      <c r="BJ65" s="166" t="str">
        <f t="shared" si="164"/>
        <v/>
      </c>
      <c r="BK65" s="166">
        <f t="shared" si="165"/>
        <v>0</v>
      </c>
      <c r="BL65" s="166">
        <f t="shared" si="166"/>
        <v>0</v>
      </c>
      <c r="BM65" s="166">
        <f t="shared" si="167"/>
        <v>0</v>
      </c>
      <c r="BN65" s="166">
        <f t="shared" si="168"/>
        <v>0</v>
      </c>
      <c r="BO65" s="166">
        <f t="shared" si="169"/>
        <v>0</v>
      </c>
      <c r="BP65" s="168">
        <f t="shared" si="170"/>
        <v>5.1987629337510075E-4</v>
      </c>
      <c r="BR65" s="107" t="s">
        <v>393</v>
      </c>
      <c r="BS65" s="166"/>
      <c r="BT65" s="166"/>
      <c r="BU65" s="166"/>
      <c r="BV65" s="166"/>
      <c r="BW65" s="166"/>
      <c r="BX65" s="166"/>
      <c r="BY65" s="166"/>
      <c r="BZ65" s="166"/>
      <c r="CA65" s="166"/>
      <c r="CB65" s="166"/>
      <c r="CC65" s="166"/>
      <c r="CD65" s="166"/>
      <c r="CE65" s="166"/>
      <c r="CF65" s="166"/>
      <c r="CG65" s="168"/>
    </row>
    <row r="66" spans="2:85" x14ac:dyDescent="0.25">
      <c r="B66" s="107" t="s">
        <v>394</v>
      </c>
      <c r="C66" s="160">
        <f>TripMode_input!B156</f>
        <v>0</v>
      </c>
      <c r="D66" s="160">
        <f>TripMode_input!C156</f>
        <v>0</v>
      </c>
      <c r="E66" s="160">
        <f>TripMode_input!D156</f>
        <v>0</v>
      </c>
      <c r="F66" s="160">
        <f>TripMode_input!E156</f>
        <v>0</v>
      </c>
      <c r="G66" s="160">
        <f>TripMode_input!F156</f>
        <v>0</v>
      </c>
      <c r="H66" s="160">
        <f>TripMode_input!G156</f>
        <v>0</v>
      </c>
      <c r="I66" s="160">
        <f>TripMode_input!H156</f>
        <v>0</v>
      </c>
      <c r="J66" s="160">
        <f>TripMode_input!I156</f>
        <v>0</v>
      </c>
      <c r="K66" s="160">
        <f>TripMode_input!J156</f>
        <v>12712.95939</v>
      </c>
      <c r="L66" s="160">
        <f>TripMode_input!K156</f>
        <v>0</v>
      </c>
      <c r="M66" s="160">
        <f>TripMode_input!L156</f>
        <v>0</v>
      </c>
      <c r="N66" s="160">
        <f>TripMode_input!M156</f>
        <v>0</v>
      </c>
      <c r="O66" s="160">
        <f>TripMode_input!N156</f>
        <v>0</v>
      </c>
      <c r="P66" s="160">
        <f>TripMode_input!O156</f>
        <v>0</v>
      </c>
      <c r="Q66" s="162">
        <f t="shared" si="141"/>
        <v>12712.95939</v>
      </c>
      <c r="S66" s="107" t="s">
        <v>394</v>
      </c>
      <c r="T66" s="160">
        <f>TripMode_input!R156</f>
        <v>0</v>
      </c>
      <c r="U66" s="160">
        <f>TripMode_input!S156</f>
        <v>0</v>
      </c>
      <c r="V66" s="160">
        <f>TripMode_input!T156</f>
        <v>0</v>
      </c>
      <c r="W66" s="160">
        <f>TripMode_input!U156</f>
        <v>0</v>
      </c>
      <c r="X66" s="160">
        <f>TripMode_input!V156</f>
        <v>0</v>
      </c>
      <c r="Y66" s="160">
        <f>TripMode_input!W156</f>
        <v>0</v>
      </c>
      <c r="Z66" s="160">
        <f>TripMode_input!X156</f>
        <v>0</v>
      </c>
      <c r="AA66" s="160">
        <f>TripMode_input!Y156</f>
        <v>0</v>
      </c>
      <c r="AB66" s="160">
        <f>TripMode_input!Z156</f>
        <v>0</v>
      </c>
      <c r="AC66" s="160">
        <f>TripMode_input!AA156</f>
        <v>0</v>
      </c>
      <c r="AD66" s="160">
        <f>TripMode_input!AB156</f>
        <v>0</v>
      </c>
      <c r="AE66" s="160">
        <f>TripMode_input!AC156</f>
        <v>0</v>
      </c>
      <c r="AF66" s="160">
        <f>TripMode_input!AD156</f>
        <v>0</v>
      </c>
      <c r="AG66" s="160">
        <f>TripMode_input!AE156</f>
        <v>0</v>
      </c>
      <c r="AH66" s="162">
        <f t="shared" si="142"/>
        <v>0</v>
      </c>
      <c r="AJ66" s="107" t="s">
        <v>394</v>
      </c>
      <c r="AK66" s="166">
        <f t="shared" si="173"/>
        <v>0</v>
      </c>
      <c r="AL66" s="166" t="str">
        <f t="shared" si="143"/>
        <v/>
      </c>
      <c r="AM66" s="166">
        <f t="shared" si="144"/>
        <v>0</v>
      </c>
      <c r="AN66" s="166">
        <f t="shared" si="145"/>
        <v>0</v>
      </c>
      <c r="AO66" s="166">
        <f t="shared" si="146"/>
        <v>0</v>
      </c>
      <c r="AP66" s="166">
        <f t="shared" si="147"/>
        <v>0</v>
      </c>
      <c r="AQ66" s="166">
        <f t="shared" si="148"/>
        <v>0</v>
      </c>
      <c r="AR66" s="166">
        <f t="shared" si="149"/>
        <v>0</v>
      </c>
      <c r="AS66" s="166">
        <f t="shared" si="150"/>
        <v>9.6821267956366142E-2</v>
      </c>
      <c r="AT66" s="166">
        <f t="shared" si="151"/>
        <v>0</v>
      </c>
      <c r="AU66" s="166">
        <f t="shared" si="152"/>
        <v>0</v>
      </c>
      <c r="AV66" s="166">
        <f t="shared" si="153"/>
        <v>0</v>
      </c>
      <c r="AW66" s="166">
        <f t="shared" si="154"/>
        <v>0</v>
      </c>
      <c r="AX66" s="166">
        <f t="shared" si="155"/>
        <v>0</v>
      </c>
      <c r="AY66" s="168">
        <f t="shared" si="156"/>
        <v>3.5132117053962627E-3</v>
      </c>
      <c r="BA66" s="107" t="s">
        <v>394</v>
      </c>
      <c r="BB66" s="166">
        <f t="shared" si="174"/>
        <v>0</v>
      </c>
      <c r="BC66" s="166">
        <f t="shared" si="157"/>
        <v>0</v>
      </c>
      <c r="BD66" s="166">
        <f t="shared" si="158"/>
        <v>0</v>
      </c>
      <c r="BE66" s="166">
        <f t="shared" si="159"/>
        <v>0</v>
      </c>
      <c r="BF66" s="166">
        <f t="shared" si="160"/>
        <v>0</v>
      </c>
      <c r="BG66" s="166">
        <f t="shared" si="161"/>
        <v>0</v>
      </c>
      <c r="BH66" s="166">
        <f t="shared" si="162"/>
        <v>0</v>
      </c>
      <c r="BI66" s="166">
        <f t="shared" si="163"/>
        <v>0</v>
      </c>
      <c r="BJ66" s="166" t="str">
        <f t="shared" si="164"/>
        <v/>
      </c>
      <c r="BK66" s="166">
        <f t="shared" si="165"/>
        <v>0</v>
      </c>
      <c r="BL66" s="166">
        <f t="shared" si="166"/>
        <v>0</v>
      </c>
      <c r="BM66" s="166">
        <f t="shared" si="167"/>
        <v>0</v>
      </c>
      <c r="BN66" s="166">
        <f t="shared" si="168"/>
        <v>0</v>
      </c>
      <c r="BO66" s="166">
        <f t="shared" si="169"/>
        <v>0</v>
      </c>
      <c r="BP66" s="168">
        <f t="shared" si="170"/>
        <v>0</v>
      </c>
      <c r="BR66" s="107" t="s">
        <v>394</v>
      </c>
      <c r="BS66" s="166"/>
      <c r="BT66" s="166"/>
      <c r="BU66" s="166"/>
      <c r="BV66" s="166"/>
      <c r="BW66" s="166"/>
      <c r="BX66" s="166"/>
      <c r="BY66" s="166"/>
      <c r="BZ66" s="166"/>
      <c r="CA66" s="166"/>
      <c r="CB66" s="166"/>
      <c r="CC66" s="166"/>
      <c r="CD66" s="166"/>
      <c r="CE66" s="166"/>
      <c r="CF66" s="166"/>
      <c r="CG66" s="168"/>
    </row>
    <row r="67" spans="2:85" x14ac:dyDescent="0.25">
      <c r="B67" s="107" t="s">
        <v>395</v>
      </c>
      <c r="C67" s="160">
        <f>TripMode_input!B157</f>
        <v>0</v>
      </c>
      <c r="D67" s="160">
        <f>TripMode_input!C157</f>
        <v>0</v>
      </c>
      <c r="E67" s="160">
        <f>TripMode_input!D157</f>
        <v>0</v>
      </c>
      <c r="F67" s="160">
        <f>TripMode_input!E157</f>
        <v>0</v>
      </c>
      <c r="G67" s="160">
        <f>TripMode_input!F157</f>
        <v>0</v>
      </c>
      <c r="H67" s="160">
        <f>TripMode_input!G157</f>
        <v>0</v>
      </c>
      <c r="I67" s="160">
        <f>TripMode_input!H157</f>
        <v>0</v>
      </c>
      <c r="J67" s="160">
        <f>TripMode_input!I157</f>
        <v>0</v>
      </c>
      <c r="K67" s="160">
        <f>TripMode_input!J157</f>
        <v>0</v>
      </c>
      <c r="L67" s="160">
        <f>TripMode_input!K157</f>
        <v>0</v>
      </c>
      <c r="M67" s="160">
        <f>TripMode_input!L157</f>
        <v>0</v>
      </c>
      <c r="N67" s="160">
        <f>TripMode_input!M157</f>
        <v>285.85570999999999</v>
      </c>
      <c r="O67" s="160">
        <f>TripMode_input!N157</f>
        <v>0</v>
      </c>
      <c r="P67" s="160">
        <f>TripMode_input!O157</f>
        <v>0</v>
      </c>
      <c r="Q67" s="162">
        <f t="shared" si="141"/>
        <v>285.85570999999999</v>
      </c>
      <c r="S67" s="107" t="s">
        <v>395</v>
      </c>
      <c r="T67" s="160">
        <f>TripMode_input!R157</f>
        <v>0</v>
      </c>
      <c r="U67" s="160">
        <f>TripMode_input!S157</f>
        <v>0</v>
      </c>
      <c r="V67" s="160">
        <f>TripMode_input!T157</f>
        <v>0</v>
      </c>
      <c r="W67" s="160">
        <f>TripMode_input!U157</f>
        <v>0</v>
      </c>
      <c r="X67" s="160">
        <f>TripMode_input!V157</f>
        <v>0</v>
      </c>
      <c r="Y67" s="160">
        <f>TripMode_input!W157</f>
        <v>0</v>
      </c>
      <c r="Z67" s="160">
        <f>TripMode_input!X157</f>
        <v>0</v>
      </c>
      <c r="AA67" s="160">
        <f>TripMode_input!Y157</f>
        <v>0</v>
      </c>
      <c r="AB67" s="160">
        <f>TripMode_input!Z157</f>
        <v>0</v>
      </c>
      <c r="AC67" s="160">
        <f>TripMode_input!AA157</f>
        <v>1175</v>
      </c>
      <c r="AD67" s="160">
        <f>TripMode_input!AB157</f>
        <v>0</v>
      </c>
      <c r="AE67" s="160">
        <f>TripMode_input!AC157</f>
        <v>0</v>
      </c>
      <c r="AF67" s="160">
        <f>TripMode_input!AD157</f>
        <v>0</v>
      </c>
      <c r="AG67" s="160">
        <f>TripMode_input!AE157</f>
        <v>0</v>
      </c>
      <c r="AH67" s="162">
        <f t="shared" si="142"/>
        <v>1175</v>
      </c>
      <c r="AJ67" s="107" t="s">
        <v>395</v>
      </c>
      <c r="AK67" s="166">
        <f t="shared" si="173"/>
        <v>0</v>
      </c>
      <c r="AL67" s="166" t="str">
        <f t="shared" si="143"/>
        <v/>
      </c>
      <c r="AM67" s="166">
        <f t="shared" si="144"/>
        <v>0</v>
      </c>
      <c r="AN67" s="166">
        <f t="shared" si="145"/>
        <v>0</v>
      </c>
      <c r="AO67" s="166">
        <f t="shared" si="146"/>
        <v>0</v>
      </c>
      <c r="AP67" s="166">
        <f t="shared" si="147"/>
        <v>0</v>
      </c>
      <c r="AQ67" s="166">
        <f t="shared" si="148"/>
        <v>0</v>
      </c>
      <c r="AR67" s="166">
        <f t="shared" si="149"/>
        <v>0</v>
      </c>
      <c r="AS67" s="166">
        <f t="shared" si="150"/>
        <v>0</v>
      </c>
      <c r="AT67" s="166">
        <f t="shared" si="151"/>
        <v>0</v>
      </c>
      <c r="AU67" s="166">
        <f t="shared" si="152"/>
        <v>0</v>
      </c>
      <c r="AV67" s="166">
        <f t="shared" si="153"/>
        <v>0.16002093704922235</v>
      </c>
      <c r="AW67" s="166">
        <f t="shared" si="154"/>
        <v>0</v>
      </c>
      <c r="AX67" s="166">
        <f t="shared" si="155"/>
        <v>0</v>
      </c>
      <c r="AY67" s="168">
        <f t="shared" si="156"/>
        <v>7.8995896676608478E-5</v>
      </c>
      <c r="BA67" s="107" t="s">
        <v>395</v>
      </c>
      <c r="BB67" s="166">
        <f t="shared" si="174"/>
        <v>0</v>
      </c>
      <c r="BC67" s="166">
        <f t="shared" si="157"/>
        <v>0</v>
      </c>
      <c r="BD67" s="166">
        <f t="shared" si="158"/>
        <v>0</v>
      </c>
      <c r="BE67" s="166">
        <f t="shared" si="159"/>
        <v>0</v>
      </c>
      <c r="BF67" s="166">
        <f t="shared" si="160"/>
        <v>0</v>
      </c>
      <c r="BG67" s="166">
        <f t="shared" si="161"/>
        <v>0</v>
      </c>
      <c r="BH67" s="166">
        <f t="shared" si="162"/>
        <v>0</v>
      </c>
      <c r="BI67" s="166">
        <f t="shared" si="163"/>
        <v>0</v>
      </c>
      <c r="BJ67" s="166" t="str">
        <f t="shared" si="164"/>
        <v/>
      </c>
      <c r="BK67" s="166">
        <f t="shared" si="165"/>
        <v>1.121290199446512E-2</v>
      </c>
      <c r="BL67" s="166">
        <f t="shared" si="166"/>
        <v>0</v>
      </c>
      <c r="BM67" s="166">
        <f t="shared" si="167"/>
        <v>0</v>
      </c>
      <c r="BN67" s="166">
        <f t="shared" si="168"/>
        <v>0</v>
      </c>
      <c r="BO67" s="166">
        <f t="shared" si="169"/>
        <v>0</v>
      </c>
      <c r="BP67" s="168">
        <f t="shared" si="170"/>
        <v>3.1245761878043139E-4</v>
      </c>
      <c r="BR67" s="107" t="s">
        <v>395</v>
      </c>
      <c r="BS67" s="166" t="str">
        <f t="shared" ref="BS67:BS72" si="175">IF(OR(ISNA(AK67),AK67=0,AK67=""),"",(BB67-AK67)/AK67)</f>
        <v/>
      </c>
      <c r="BT67" s="166" t="str">
        <f t="shared" ref="BT67:BT72" si="176">IF(OR(ISNA(AL67),AL67=0,AL67=""),"",(BC67-AL67)/AL67)</f>
        <v/>
      </c>
      <c r="BU67" s="166" t="str">
        <f t="shared" ref="BU67:BU72" si="177">IF(OR(ISNA(AM67),AM67=0,AM67=""),"",(BD67-AM67)/AM67)</f>
        <v/>
      </c>
      <c r="BV67" s="166" t="str">
        <f t="shared" ref="BV67:BV72" si="178">IF(OR(ISNA(AN67),AN67=0,AN67=""),"",(BE67-AN67)/AN67)</f>
        <v/>
      </c>
      <c r="BW67" s="166"/>
      <c r="BX67" s="166"/>
      <c r="BY67" s="166"/>
      <c r="BZ67" s="166"/>
      <c r="CA67" s="166"/>
      <c r="CB67" s="166" t="str">
        <f t="shared" ref="CB67:CB72" si="179">IF(OR(ISNA(AT67),AT67=0,AT67=""),"",(BK67-AT67)/AT67)</f>
        <v/>
      </c>
      <c r="CC67" s="166" t="str">
        <f t="shared" ref="CC67:CC72" si="180">IF(OR(ISNA(AU67),AU67=0,AU67=""),"",(BL67-AU67)/AU67)</f>
        <v/>
      </c>
      <c r="CD67" s="166">
        <f t="shared" ref="CD67:CD72" si="181">IF(OR(ISNA(AV67),AV67=0,AV67=""),"",(BM67-AV67)/AV67)</f>
        <v>-1</v>
      </c>
      <c r="CE67" s="166" t="str">
        <f t="shared" ref="CE67:CE72" si="182">IF(OR(ISNA(AW67),AW67=0,AW67=""),"",(BN67-AW67)/AW67)</f>
        <v/>
      </c>
      <c r="CF67" s="166" t="str">
        <f t="shared" ref="CF67:CF72" si="183">IF(OR(ISNA(AX67),AX67=0,AX67=""),"",(BO67-AX67)/AX67)</f>
        <v/>
      </c>
      <c r="CG67" s="168">
        <f t="shared" ref="CG67:CG72" si="184">IF(OR(ISNA(AY67),AY67=0,AY67=""),"",(BP67-AY67)/AY67)</f>
        <v>2.9553651762390007</v>
      </c>
    </row>
    <row r="68" spans="2:85" x14ac:dyDescent="0.25">
      <c r="B68" s="107" t="s">
        <v>396</v>
      </c>
      <c r="C68" s="160">
        <f>TripMode_input!B158</f>
        <v>0</v>
      </c>
      <c r="D68" s="160">
        <f>TripMode_input!C158</f>
        <v>0</v>
      </c>
      <c r="E68" s="160">
        <f>TripMode_input!D158</f>
        <v>0</v>
      </c>
      <c r="F68" s="160">
        <f>TripMode_input!E158</f>
        <v>0</v>
      </c>
      <c r="G68" s="160">
        <f>TripMode_input!F158</f>
        <v>0</v>
      </c>
      <c r="H68" s="160">
        <f>TripMode_input!G158</f>
        <v>0</v>
      </c>
      <c r="I68" s="160">
        <f>TripMode_input!H158</f>
        <v>0</v>
      </c>
      <c r="J68" s="160">
        <f>TripMode_input!I158</f>
        <v>0</v>
      </c>
      <c r="K68" s="160">
        <f>TripMode_input!J158</f>
        <v>0</v>
      </c>
      <c r="L68" s="160">
        <f>TripMode_input!K158</f>
        <v>0</v>
      </c>
      <c r="M68" s="160">
        <f>TripMode_input!L158</f>
        <v>0</v>
      </c>
      <c r="N68" s="160">
        <f>TripMode_input!M158</f>
        <v>0</v>
      </c>
      <c r="O68" s="160">
        <f>TripMode_input!N158</f>
        <v>0</v>
      </c>
      <c r="P68" s="160">
        <f>TripMode_input!O158</f>
        <v>0</v>
      </c>
      <c r="Q68" s="162">
        <f t="shared" si="141"/>
        <v>0</v>
      </c>
      <c r="S68" s="107" t="s">
        <v>396</v>
      </c>
      <c r="T68" s="160">
        <f>TripMode_input!R158</f>
        <v>0</v>
      </c>
      <c r="U68" s="160">
        <f>TripMode_input!S158</f>
        <v>0</v>
      </c>
      <c r="V68" s="160">
        <f>TripMode_input!T158</f>
        <v>0</v>
      </c>
      <c r="W68" s="160">
        <f>TripMode_input!U158</f>
        <v>0</v>
      </c>
      <c r="X68" s="160">
        <f>TripMode_input!V158</f>
        <v>0</v>
      </c>
      <c r="Y68" s="160">
        <f>TripMode_input!W158</f>
        <v>0</v>
      </c>
      <c r="Z68" s="160">
        <f>TripMode_input!X158</f>
        <v>0</v>
      </c>
      <c r="AA68" s="160">
        <f>TripMode_input!Y158</f>
        <v>0</v>
      </c>
      <c r="AB68" s="160">
        <f>TripMode_input!Z158</f>
        <v>0</v>
      </c>
      <c r="AC68" s="160">
        <f>TripMode_input!AA158</f>
        <v>0</v>
      </c>
      <c r="AD68" s="160">
        <f>TripMode_input!AB158</f>
        <v>0</v>
      </c>
      <c r="AE68" s="160">
        <f>TripMode_input!AC158</f>
        <v>0</v>
      </c>
      <c r="AF68" s="160">
        <f>TripMode_input!AD158</f>
        <v>0</v>
      </c>
      <c r="AG68" s="160">
        <f>TripMode_input!AE158</f>
        <v>0</v>
      </c>
      <c r="AH68" s="162">
        <f t="shared" si="142"/>
        <v>0</v>
      </c>
      <c r="AJ68" s="107" t="s">
        <v>396</v>
      </c>
      <c r="AK68" s="166">
        <f t="shared" si="173"/>
        <v>0</v>
      </c>
      <c r="AL68" s="166" t="str">
        <f t="shared" si="143"/>
        <v/>
      </c>
      <c r="AM68" s="166">
        <f t="shared" si="144"/>
        <v>0</v>
      </c>
      <c r="AN68" s="166">
        <f t="shared" si="145"/>
        <v>0</v>
      </c>
      <c r="AO68" s="166">
        <f t="shared" si="146"/>
        <v>0</v>
      </c>
      <c r="AP68" s="166">
        <f t="shared" si="147"/>
        <v>0</v>
      </c>
      <c r="AQ68" s="166">
        <f t="shared" si="148"/>
        <v>0</v>
      </c>
      <c r="AR68" s="166">
        <f t="shared" si="149"/>
        <v>0</v>
      </c>
      <c r="AS68" s="166">
        <f t="shared" si="150"/>
        <v>0</v>
      </c>
      <c r="AT68" s="166">
        <f t="shared" si="151"/>
        <v>0</v>
      </c>
      <c r="AU68" s="166">
        <f t="shared" si="152"/>
        <v>0</v>
      </c>
      <c r="AV68" s="166">
        <f t="shared" si="153"/>
        <v>0</v>
      </c>
      <c r="AW68" s="166">
        <f t="shared" si="154"/>
        <v>0</v>
      </c>
      <c r="AX68" s="166">
        <f t="shared" si="155"/>
        <v>0</v>
      </c>
      <c r="AY68" s="168">
        <f t="shared" si="156"/>
        <v>0</v>
      </c>
      <c r="BA68" s="107" t="s">
        <v>396</v>
      </c>
      <c r="BB68" s="166">
        <f t="shared" si="174"/>
        <v>0</v>
      </c>
      <c r="BC68" s="166">
        <f t="shared" si="157"/>
        <v>0</v>
      </c>
      <c r="BD68" s="166">
        <f t="shared" si="158"/>
        <v>0</v>
      </c>
      <c r="BE68" s="166">
        <f t="shared" si="159"/>
        <v>0</v>
      </c>
      <c r="BF68" s="166">
        <f t="shared" si="160"/>
        <v>0</v>
      </c>
      <c r="BG68" s="166">
        <f t="shared" si="161"/>
        <v>0</v>
      </c>
      <c r="BH68" s="166">
        <f t="shared" si="162"/>
        <v>0</v>
      </c>
      <c r="BI68" s="166">
        <f t="shared" si="163"/>
        <v>0</v>
      </c>
      <c r="BJ68" s="166" t="str">
        <f t="shared" si="164"/>
        <v/>
      </c>
      <c r="BK68" s="166">
        <f t="shared" si="165"/>
        <v>0</v>
      </c>
      <c r="BL68" s="166">
        <f t="shared" si="166"/>
        <v>0</v>
      </c>
      <c r="BM68" s="166">
        <f t="shared" si="167"/>
        <v>0</v>
      </c>
      <c r="BN68" s="166">
        <f t="shared" si="168"/>
        <v>0</v>
      </c>
      <c r="BO68" s="166">
        <f t="shared" si="169"/>
        <v>0</v>
      </c>
      <c r="BP68" s="168">
        <f t="shared" si="170"/>
        <v>0</v>
      </c>
      <c r="BR68" s="107" t="s">
        <v>396</v>
      </c>
      <c r="BS68" s="166" t="str">
        <f t="shared" si="175"/>
        <v/>
      </c>
      <c r="BT68" s="166" t="str">
        <f t="shared" si="176"/>
        <v/>
      </c>
      <c r="BU68" s="166" t="str">
        <f t="shared" si="177"/>
        <v/>
      </c>
      <c r="BV68" s="166" t="str">
        <f t="shared" si="178"/>
        <v/>
      </c>
      <c r="BW68" s="166"/>
      <c r="BX68" s="166"/>
      <c r="BY68" s="166"/>
      <c r="BZ68" s="166"/>
      <c r="CA68" s="166"/>
      <c r="CB68" s="166" t="str">
        <f t="shared" si="179"/>
        <v/>
      </c>
      <c r="CC68" s="166" t="str">
        <f t="shared" si="180"/>
        <v/>
      </c>
      <c r="CD68" s="166" t="str">
        <f t="shared" si="181"/>
        <v/>
      </c>
      <c r="CE68" s="166" t="str">
        <f t="shared" si="182"/>
        <v/>
      </c>
      <c r="CF68" s="166" t="str">
        <f t="shared" si="183"/>
        <v/>
      </c>
      <c r="CG68" s="168" t="str">
        <f t="shared" si="184"/>
        <v/>
      </c>
    </row>
    <row r="69" spans="2:85" x14ac:dyDescent="0.25">
      <c r="B69" s="107" t="s">
        <v>397</v>
      </c>
      <c r="C69" s="160">
        <f>TripMode_input!B159</f>
        <v>0</v>
      </c>
      <c r="D69" s="160">
        <f>TripMode_input!C159</f>
        <v>0</v>
      </c>
      <c r="E69" s="160">
        <f>TripMode_input!D159</f>
        <v>0</v>
      </c>
      <c r="F69" s="160">
        <f>TripMode_input!E159</f>
        <v>0</v>
      </c>
      <c r="G69" s="160">
        <f>TripMode_input!F159</f>
        <v>0</v>
      </c>
      <c r="H69" s="160">
        <f>TripMode_input!G159</f>
        <v>0</v>
      </c>
      <c r="I69" s="160">
        <f>TripMode_input!H159</f>
        <v>0</v>
      </c>
      <c r="J69" s="160">
        <f>TripMode_input!I159</f>
        <v>0</v>
      </c>
      <c r="K69" s="160">
        <f>TripMode_input!J159</f>
        <v>0</v>
      </c>
      <c r="L69" s="160">
        <f>TripMode_input!K159</f>
        <v>0</v>
      </c>
      <c r="M69" s="160">
        <f>TripMode_input!L159</f>
        <v>0</v>
      </c>
      <c r="N69" s="160">
        <f>TripMode_input!M159</f>
        <v>792.31780000000003</v>
      </c>
      <c r="O69" s="160">
        <f>TripMode_input!N159</f>
        <v>0</v>
      </c>
      <c r="P69" s="160">
        <f>TripMode_input!O159</f>
        <v>0</v>
      </c>
      <c r="Q69" s="162">
        <f t="shared" si="141"/>
        <v>792.31780000000003</v>
      </c>
      <c r="S69" s="107" t="s">
        <v>397</v>
      </c>
      <c r="T69" s="160">
        <f>TripMode_input!R159</f>
        <v>0</v>
      </c>
      <c r="U69" s="160">
        <f>TripMode_input!S159</f>
        <v>0</v>
      </c>
      <c r="V69" s="160">
        <f>TripMode_input!T159</f>
        <v>0</v>
      </c>
      <c r="W69" s="160">
        <f>TripMode_input!U159</f>
        <v>0</v>
      </c>
      <c r="X69" s="160">
        <f>TripMode_input!V159</f>
        <v>0</v>
      </c>
      <c r="Y69" s="160">
        <f>TripMode_input!W159</f>
        <v>0</v>
      </c>
      <c r="Z69" s="160">
        <f>TripMode_input!X159</f>
        <v>0</v>
      </c>
      <c r="AA69" s="160">
        <f>TripMode_input!Y159</f>
        <v>0</v>
      </c>
      <c r="AB69" s="160">
        <f>TripMode_input!Z159</f>
        <v>0</v>
      </c>
      <c r="AC69" s="160">
        <f>TripMode_input!AA159</f>
        <v>0</v>
      </c>
      <c r="AD69" s="160">
        <f>TripMode_input!AB159</f>
        <v>0</v>
      </c>
      <c r="AE69" s="160">
        <f>TripMode_input!AC159</f>
        <v>0</v>
      </c>
      <c r="AF69" s="160">
        <f>TripMode_input!AD159</f>
        <v>0</v>
      </c>
      <c r="AG69" s="160">
        <f>TripMode_input!AE159</f>
        <v>0</v>
      </c>
      <c r="AH69" s="162">
        <f t="shared" si="142"/>
        <v>0</v>
      </c>
      <c r="AJ69" s="107" t="s">
        <v>397</v>
      </c>
      <c r="AK69" s="166">
        <f t="shared" si="173"/>
        <v>0</v>
      </c>
      <c r="AL69" s="166" t="str">
        <f t="shared" si="143"/>
        <v/>
      </c>
      <c r="AM69" s="166">
        <f t="shared" si="144"/>
        <v>0</v>
      </c>
      <c r="AN69" s="166">
        <f t="shared" si="145"/>
        <v>0</v>
      </c>
      <c r="AO69" s="166">
        <f t="shared" si="146"/>
        <v>0</v>
      </c>
      <c r="AP69" s="166">
        <f t="shared" si="147"/>
        <v>0</v>
      </c>
      <c r="AQ69" s="166">
        <f t="shared" si="148"/>
        <v>0</v>
      </c>
      <c r="AR69" s="166">
        <f t="shared" si="149"/>
        <v>0</v>
      </c>
      <c r="AS69" s="166">
        <f t="shared" si="150"/>
        <v>0</v>
      </c>
      <c r="AT69" s="166">
        <f t="shared" si="151"/>
        <v>0</v>
      </c>
      <c r="AU69" s="166">
        <f t="shared" si="152"/>
        <v>0</v>
      </c>
      <c r="AV69" s="166">
        <f t="shared" si="153"/>
        <v>0.44353648488175507</v>
      </c>
      <c r="AW69" s="166">
        <f t="shared" si="154"/>
        <v>0</v>
      </c>
      <c r="AX69" s="166">
        <f t="shared" si="155"/>
        <v>0</v>
      </c>
      <c r="AY69" s="168">
        <f t="shared" si="156"/>
        <v>2.1895611273197146E-4</v>
      </c>
      <c r="BA69" s="107" t="s">
        <v>397</v>
      </c>
      <c r="BB69" s="166">
        <f t="shared" si="174"/>
        <v>0</v>
      </c>
      <c r="BC69" s="166">
        <f t="shared" si="157"/>
        <v>0</v>
      </c>
      <c r="BD69" s="166">
        <f t="shared" si="158"/>
        <v>0</v>
      </c>
      <c r="BE69" s="166">
        <f t="shared" si="159"/>
        <v>0</v>
      </c>
      <c r="BF69" s="166">
        <f t="shared" si="160"/>
        <v>0</v>
      </c>
      <c r="BG69" s="166">
        <f t="shared" si="161"/>
        <v>0</v>
      </c>
      <c r="BH69" s="166">
        <f t="shared" si="162"/>
        <v>0</v>
      </c>
      <c r="BI69" s="166">
        <f t="shared" si="163"/>
        <v>0</v>
      </c>
      <c r="BJ69" s="166" t="str">
        <f t="shared" si="164"/>
        <v/>
      </c>
      <c r="BK69" s="166">
        <f t="shared" si="165"/>
        <v>0</v>
      </c>
      <c r="BL69" s="166">
        <f t="shared" si="166"/>
        <v>0</v>
      </c>
      <c r="BM69" s="166">
        <f t="shared" si="167"/>
        <v>0</v>
      </c>
      <c r="BN69" s="166">
        <f t="shared" si="168"/>
        <v>0</v>
      </c>
      <c r="BO69" s="166">
        <f t="shared" si="169"/>
        <v>0</v>
      </c>
      <c r="BP69" s="168">
        <f t="shared" si="170"/>
        <v>0</v>
      </c>
      <c r="BR69" s="107" t="s">
        <v>397</v>
      </c>
      <c r="BS69" s="166" t="str">
        <f t="shared" si="175"/>
        <v/>
      </c>
      <c r="BT69" s="166" t="str">
        <f t="shared" si="176"/>
        <v/>
      </c>
      <c r="BU69" s="166" t="str">
        <f t="shared" si="177"/>
        <v/>
      </c>
      <c r="BV69" s="166" t="str">
        <f t="shared" si="178"/>
        <v/>
      </c>
      <c r="BW69" s="166"/>
      <c r="BX69" s="166"/>
      <c r="BY69" s="166"/>
      <c r="BZ69" s="166"/>
      <c r="CA69" s="166"/>
      <c r="CB69" s="166" t="str">
        <f t="shared" si="179"/>
        <v/>
      </c>
      <c r="CC69" s="166" t="str">
        <f t="shared" si="180"/>
        <v/>
      </c>
      <c r="CD69" s="166">
        <f t="shared" si="181"/>
        <v>-1</v>
      </c>
      <c r="CE69" s="166" t="str">
        <f t="shared" si="182"/>
        <v/>
      </c>
      <c r="CF69" s="166" t="str">
        <f t="shared" si="183"/>
        <v/>
      </c>
      <c r="CG69" s="168">
        <f t="shared" si="184"/>
        <v>-1</v>
      </c>
    </row>
    <row r="70" spans="2:85" x14ac:dyDescent="0.25">
      <c r="B70" s="107" t="s">
        <v>398</v>
      </c>
      <c r="C70" s="160">
        <f>TripMode_input!B160</f>
        <v>0</v>
      </c>
      <c r="D70" s="160">
        <f>TripMode_input!C160</f>
        <v>0</v>
      </c>
      <c r="E70" s="160">
        <f>TripMode_input!D160</f>
        <v>0</v>
      </c>
      <c r="F70" s="160">
        <f>TripMode_input!E160</f>
        <v>0</v>
      </c>
      <c r="G70" s="160">
        <f>TripMode_input!F160</f>
        <v>0</v>
      </c>
      <c r="H70" s="160">
        <f>TripMode_input!G160</f>
        <v>0</v>
      </c>
      <c r="I70" s="160">
        <f>TripMode_input!H160</f>
        <v>0</v>
      </c>
      <c r="J70" s="160">
        <f>TripMode_input!I160</f>
        <v>0</v>
      </c>
      <c r="K70" s="160">
        <f>TripMode_input!J160</f>
        <v>0</v>
      </c>
      <c r="L70" s="160">
        <f>TripMode_input!K160</f>
        <v>0</v>
      </c>
      <c r="M70" s="160">
        <f>TripMode_input!L160</f>
        <v>0</v>
      </c>
      <c r="N70" s="160">
        <f>TripMode_input!M160</f>
        <v>0</v>
      </c>
      <c r="O70" s="160">
        <f>TripMode_input!N160</f>
        <v>0</v>
      </c>
      <c r="P70" s="160">
        <f>TripMode_input!O160</f>
        <v>0</v>
      </c>
      <c r="Q70" s="162">
        <f t="shared" si="141"/>
        <v>0</v>
      </c>
      <c r="S70" s="107" t="s">
        <v>398</v>
      </c>
      <c r="T70" s="160">
        <f>TripMode_input!R160</f>
        <v>0</v>
      </c>
      <c r="U70" s="160">
        <f>TripMode_input!S160</f>
        <v>0</v>
      </c>
      <c r="V70" s="160">
        <f>TripMode_input!T160</f>
        <v>0</v>
      </c>
      <c r="W70" s="160">
        <f>TripMode_input!U160</f>
        <v>0</v>
      </c>
      <c r="X70" s="160">
        <f>TripMode_input!V160</f>
        <v>0</v>
      </c>
      <c r="Y70" s="160">
        <f>TripMode_input!W160</f>
        <v>0</v>
      </c>
      <c r="Z70" s="160">
        <f>TripMode_input!X160</f>
        <v>0</v>
      </c>
      <c r="AA70" s="160">
        <f>TripMode_input!Y160</f>
        <v>0</v>
      </c>
      <c r="AB70" s="160">
        <f>TripMode_input!Z160</f>
        <v>0</v>
      </c>
      <c r="AC70" s="160">
        <f>TripMode_input!AA160</f>
        <v>3</v>
      </c>
      <c r="AD70" s="160">
        <f>TripMode_input!AB160</f>
        <v>0</v>
      </c>
      <c r="AE70" s="160">
        <f>TripMode_input!AC160</f>
        <v>0</v>
      </c>
      <c r="AF70" s="160">
        <f>TripMode_input!AD160</f>
        <v>0</v>
      </c>
      <c r="AG70" s="160">
        <f>TripMode_input!AE160</f>
        <v>0</v>
      </c>
      <c r="AH70" s="162">
        <f t="shared" si="142"/>
        <v>3</v>
      </c>
      <c r="AJ70" s="107" t="s">
        <v>398</v>
      </c>
      <c r="AK70" s="166">
        <f t="shared" si="173"/>
        <v>0</v>
      </c>
      <c r="AL70" s="166" t="str">
        <f t="shared" si="143"/>
        <v/>
      </c>
      <c r="AM70" s="166">
        <f t="shared" si="144"/>
        <v>0</v>
      </c>
      <c r="AN70" s="166">
        <f t="shared" si="145"/>
        <v>0</v>
      </c>
      <c r="AO70" s="166">
        <f t="shared" si="146"/>
        <v>0</v>
      </c>
      <c r="AP70" s="166">
        <f t="shared" si="147"/>
        <v>0</v>
      </c>
      <c r="AQ70" s="166">
        <f t="shared" si="148"/>
        <v>0</v>
      </c>
      <c r="AR70" s="166">
        <f t="shared" si="149"/>
        <v>0</v>
      </c>
      <c r="AS70" s="166">
        <f t="shared" si="150"/>
        <v>0</v>
      </c>
      <c r="AT70" s="166">
        <f t="shared" si="151"/>
        <v>0</v>
      </c>
      <c r="AU70" s="166">
        <f t="shared" si="152"/>
        <v>0</v>
      </c>
      <c r="AV70" s="166">
        <f t="shared" si="153"/>
        <v>0</v>
      </c>
      <c r="AW70" s="166">
        <f t="shared" si="154"/>
        <v>0</v>
      </c>
      <c r="AX70" s="166">
        <f t="shared" si="155"/>
        <v>0</v>
      </c>
      <c r="AY70" s="168">
        <f t="shared" si="156"/>
        <v>0</v>
      </c>
      <c r="BA70" s="107" t="s">
        <v>398</v>
      </c>
      <c r="BB70" s="166">
        <f t="shared" si="174"/>
        <v>0</v>
      </c>
      <c r="BC70" s="166">
        <f t="shared" si="157"/>
        <v>0</v>
      </c>
      <c r="BD70" s="166">
        <f t="shared" si="158"/>
        <v>0</v>
      </c>
      <c r="BE70" s="166">
        <f t="shared" si="159"/>
        <v>0</v>
      </c>
      <c r="BF70" s="166">
        <f t="shared" si="160"/>
        <v>0</v>
      </c>
      <c r="BG70" s="166">
        <f t="shared" si="161"/>
        <v>0</v>
      </c>
      <c r="BH70" s="166">
        <f t="shared" si="162"/>
        <v>0</v>
      </c>
      <c r="BI70" s="166">
        <f t="shared" si="163"/>
        <v>0</v>
      </c>
      <c r="BJ70" s="166" t="str">
        <f t="shared" si="164"/>
        <v/>
      </c>
      <c r="BK70" s="166">
        <f t="shared" si="165"/>
        <v>2.8628685943315201E-5</v>
      </c>
      <c r="BL70" s="166">
        <f t="shared" si="166"/>
        <v>0</v>
      </c>
      <c r="BM70" s="166">
        <f t="shared" si="167"/>
        <v>0</v>
      </c>
      <c r="BN70" s="166">
        <f t="shared" si="168"/>
        <v>0</v>
      </c>
      <c r="BO70" s="166">
        <f t="shared" si="169"/>
        <v>0</v>
      </c>
      <c r="BP70" s="168">
        <f t="shared" si="170"/>
        <v>7.9776413305642058E-7</v>
      </c>
      <c r="BR70" s="107" t="s">
        <v>398</v>
      </c>
      <c r="BS70" s="166" t="str">
        <f t="shared" si="175"/>
        <v/>
      </c>
      <c r="BT70" s="166" t="str">
        <f t="shared" si="176"/>
        <v/>
      </c>
      <c r="BU70" s="166" t="str">
        <f t="shared" si="177"/>
        <v/>
      </c>
      <c r="BV70" s="166" t="str">
        <f t="shared" si="178"/>
        <v/>
      </c>
      <c r="BW70" s="166"/>
      <c r="BX70" s="166"/>
      <c r="BY70" s="166"/>
      <c r="BZ70" s="166"/>
      <c r="CA70" s="166"/>
      <c r="CB70" s="166" t="str">
        <f t="shared" si="179"/>
        <v/>
      </c>
      <c r="CC70" s="166" t="str">
        <f t="shared" si="180"/>
        <v/>
      </c>
      <c r="CD70" s="166" t="str">
        <f t="shared" si="181"/>
        <v/>
      </c>
      <c r="CE70" s="166" t="str">
        <f t="shared" si="182"/>
        <v/>
      </c>
      <c r="CF70" s="166" t="str">
        <f t="shared" si="183"/>
        <v/>
      </c>
      <c r="CG70" s="168" t="str">
        <f t="shared" si="184"/>
        <v/>
      </c>
    </row>
    <row r="71" spans="2:85" x14ac:dyDescent="0.25">
      <c r="B71" s="107" t="s">
        <v>399</v>
      </c>
      <c r="C71" s="160">
        <f>TripMode_input!B161</f>
        <v>0</v>
      </c>
      <c r="D71" s="160">
        <f>TripMode_input!C161</f>
        <v>0</v>
      </c>
      <c r="E71" s="160">
        <f>TripMode_input!D161</f>
        <v>0</v>
      </c>
      <c r="F71" s="160">
        <f>TripMode_input!E161</f>
        <v>0</v>
      </c>
      <c r="G71" s="160">
        <f>TripMode_input!F161</f>
        <v>0</v>
      </c>
      <c r="H71" s="160">
        <f>TripMode_input!G161</f>
        <v>0</v>
      </c>
      <c r="I71" s="160">
        <f>TripMode_input!H161</f>
        <v>0</v>
      </c>
      <c r="J71" s="160">
        <f>TripMode_input!I161</f>
        <v>0</v>
      </c>
      <c r="K71" s="160">
        <f>TripMode_input!J161</f>
        <v>0</v>
      </c>
      <c r="L71" s="160">
        <f>TripMode_input!K161</f>
        <v>0</v>
      </c>
      <c r="M71" s="160">
        <f>TripMode_input!L161</f>
        <v>0</v>
      </c>
      <c r="N71" s="160">
        <f>TripMode_input!M161</f>
        <v>0</v>
      </c>
      <c r="O71" s="160">
        <f>TripMode_input!N161</f>
        <v>0</v>
      </c>
      <c r="P71" s="160">
        <f>TripMode_input!O161</f>
        <v>100.51572</v>
      </c>
      <c r="Q71" s="162">
        <f t="shared" si="141"/>
        <v>100.51572</v>
      </c>
      <c r="S71" s="107" t="s">
        <v>399</v>
      </c>
      <c r="T71" s="160">
        <f>TripMode_input!R161</f>
        <v>0</v>
      </c>
      <c r="U71" s="160">
        <f>TripMode_input!S161</f>
        <v>0</v>
      </c>
      <c r="V71" s="160">
        <f>TripMode_input!T161</f>
        <v>0</v>
      </c>
      <c r="W71" s="160">
        <f>TripMode_input!U161</f>
        <v>0</v>
      </c>
      <c r="X71" s="160">
        <f>TripMode_input!V161</f>
        <v>0</v>
      </c>
      <c r="Y71" s="160">
        <f>TripMode_input!W161</f>
        <v>0</v>
      </c>
      <c r="Z71" s="160">
        <f>TripMode_input!X161</f>
        <v>0</v>
      </c>
      <c r="AA71" s="160">
        <f>TripMode_input!Y161</f>
        <v>0</v>
      </c>
      <c r="AB71" s="160">
        <f>TripMode_input!Z161</f>
        <v>0</v>
      </c>
      <c r="AC71" s="160">
        <f>TripMode_input!AA161</f>
        <v>0</v>
      </c>
      <c r="AD71" s="160">
        <f>TripMode_input!AB161</f>
        <v>0</v>
      </c>
      <c r="AE71" s="160">
        <f>TripMode_input!AC161</f>
        <v>0</v>
      </c>
      <c r="AF71" s="160">
        <f>TripMode_input!AD161</f>
        <v>0</v>
      </c>
      <c r="AG71" s="160">
        <f>TripMode_input!AE161</f>
        <v>0</v>
      </c>
      <c r="AH71" s="162">
        <f t="shared" si="142"/>
        <v>0</v>
      </c>
      <c r="AJ71" s="107" t="s">
        <v>399</v>
      </c>
      <c r="AK71" s="166">
        <f t="shared" si="173"/>
        <v>0</v>
      </c>
      <c r="AL71" s="166" t="str">
        <f t="shared" si="143"/>
        <v/>
      </c>
      <c r="AM71" s="166">
        <f t="shared" si="144"/>
        <v>0</v>
      </c>
      <c r="AN71" s="166">
        <f t="shared" si="145"/>
        <v>0</v>
      </c>
      <c r="AO71" s="166">
        <f t="shared" si="146"/>
        <v>0</v>
      </c>
      <c r="AP71" s="166">
        <f t="shared" si="147"/>
        <v>0</v>
      </c>
      <c r="AQ71" s="166">
        <f t="shared" si="148"/>
        <v>0</v>
      </c>
      <c r="AR71" s="166">
        <f t="shared" si="149"/>
        <v>0</v>
      </c>
      <c r="AS71" s="166">
        <f t="shared" si="150"/>
        <v>0</v>
      </c>
      <c r="AT71" s="166">
        <f t="shared" si="151"/>
        <v>0</v>
      </c>
      <c r="AU71" s="166">
        <f t="shared" si="152"/>
        <v>0</v>
      </c>
      <c r="AV71" s="166">
        <f t="shared" si="153"/>
        <v>0</v>
      </c>
      <c r="AW71" s="166">
        <f t="shared" si="154"/>
        <v>0</v>
      </c>
      <c r="AX71" s="166">
        <f t="shared" si="155"/>
        <v>8.2192630518125289E-5</v>
      </c>
      <c r="AY71" s="168">
        <f t="shared" si="156"/>
        <v>2.777740361210524E-5</v>
      </c>
      <c r="BA71" s="107" t="s">
        <v>399</v>
      </c>
      <c r="BB71" s="166">
        <f t="shared" si="174"/>
        <v>0</v>
      </c>
      <c r="BC71" s="166">
        <f t="shared" si="157"/>
        <v>0</v>
      </c>
      <c r="BD71" s="166">
        <f t="shared" si="158"/>
        <v>0</v>
      </c>
      <c r="BE71" s="166">
        <f t="shared" si="159"/>
        <v>0</v>
      </c>
      <c r="BF71" s="166">
        <f t="shared" si="160"/>
        <v>0</v>
      </c>
      <c r="BG71" s="166">
        <f t="shared" si="161"/>
        <v>0</v>
      </c>
      <c r="BH71" s="166">
        <f t="shared" si="162"/>
        <v>0</v>
      </c>
      <c r="BI71" s="166">
        <f t="shared" si="163"/>
        <v>0</v>
      </c>
      <c r="BJ71" s="166" t="str">
        <f t="shared" si="164"/>
        <v/>
      </c>
      <c r="BK71" s="166">
        <f t="shared" si="165"/>
        <v>0</v>
      </c>
      <c r="BL71" s="166">
        <f t="shared" si="166"/>
        <v>0</v>
      </c>
      <c r="BM71" s="166">
        <f t="shared" si="167"/>
        <v>0</v>
      </c>
      <c r="BN71" s="166">
        <f t="shared" si="168"/>
        <v>0</v>
      </c>
      <c r="BO71" s="166">
        <f t="shared" si="169"/>
        <v>0</v>
      </c>
      <c r="BP71" s="168">
        <f t="shared" si="170"/>
        <v>0</v>
      </c>
      <c r="BR71" s="107" t="s">
        <v>399</v>
      </c>
      <c r="BS71" s="166" t="str">
        <f t="shared" si="175"/>
        <v/>
      </c>
      <c r="BT71" s="166" t="str">
        <f t="shared" si="176"/>
        <v/>
      </c>
      <c r="BU71" s="166" t="str">
        <f t="shared" si="177"/>
        <v/>
      </c>
      <c r="BV71" s="166" t="str">
        <f t="shared" si="178"/>
        <v/>
      </c>
      <c r="BW71" s="166"/>
      <c r="BX71" s="166"/>
      <c r="BY71" s="166"/>
      <c r="BZ71" s="166"/>
      <c r="CA71" s="166"/>
      <c r="CB71" s="166" t="str">
        <f t="shared" si="179"/>
        <v/>
      </c>
      <c r="CC71" s="166" t="str">
        <f t="shared" si="180"/>
        <v/>
      </c>
      <c r="CD71" s="166" t="str">
        <f t="shared" si="181"/>
        <v/>
      </c>
      <c r="CE71" s="166" t="str">
        <f t="shared" si="182"/>
        <v/>
      </c>
      <c r="CF71" s="166">
        <f t="shared" si="183"/>
        <v>-1</v>
      </c>
      <c r="CG71" s="168">
        <f t="shared" si="184"/>
        <v>-1</v>
      </c>
    </row>
    <row r="72" spans="2:85" ht="15.75" thickBot="1" x14ac:dyDescent="0.3">
      <c r="B72" s="108" t="s">
        <v>29</v>
      </c>
      <c r="C72" s="109">
        <f t="shared" ref="C72:P72" si="185">SUM(C58:C71)</f>
        <v>0</v>
      </c>
      <c r="D72" s="110">
        <f t="shared" si="185"/>
        <v>0</v>
      </c>
      <c r="E72" s="110">
        <f t="shared" si="185"/>
        <v>929554.88068000006</v>
      </c>
      <c r="F72" s="110">
        <f t="shared" si="185"/>
        <v>620.48316</v>
      </c>
      <c r="G72" s="110">
        <f t="shared" si="185"/>
        <v>1369496.9615799999</v>
      </c>
      <c r="H72" s="110">
        <f t="shared" si="185"/>
        <v>10589.78738</v>
      </c>
      <c r="I72" s="110">
        <f t="shared" si="185"/>
        <v>267033.64922999998</v>
      </c>
      <c r="J72" s="110">
        <f t="shared" si="185"/>
        <v>9599.191060000001</v>
      </c>
      <c r="K72" s="110">
        <f t="shared" si="185"/>
        <v>17501.99942</v>
      </c>
      <c r="L72" s="110">
        <f t="shared" si="185"/>
        <v>0</v>
      </c>
      <c r="M72" s="110">
        <f t="shared" si="185"/>
        <v>0</v>
      </c>
      <c r="N72" s="110">
        <f t="shared" si="185"/>
        <v>1649.8849299999999</v>
      </c>
      <c r="O72" s="110">
        <f t="shared" si="185"/>
        <v>0</v>
      </c>
      <c r="P72" s="110">
        <f t="shared" si="185"/>
        <v>175.90251000000001</v>
      </c>
      <c r="Q72" s="112">
        <f>SUM(Q58:Q71)</f>
        <v>2606222.7399499994</v>
      </c>
      <c r="S72" s="108" t="s">
        <v>29</v>
      </c>
      <c r="T72" s="109">
        <f t="shared" ref="T72:AH72" si="186">SUM(T58:T71)</f>
        <v>0</v>
      </c>
      <c r="U72" s="110">
        <f t="shared" si="186"/>
        <v>0</v>
      </c>
      <c r="V72" s="110">
        <f t="shared" si="186"/>
        <v>227812</v>
      </c>
      <c r="W72" s="110">
        <f t="shared" si="186"/>
        <v>5547</v>
      </c>
      <c r="X72" s="110">
        <f t="shared" si="186"/>
        <v>268285</v>
      </c>
      <c r="Y72" s="110">
        <f t="shared" si="186"/>
        <v>7071</v>
      </c>
      <c r="Z72" s="110">
        <f t="shared" si="186"/>
        <v>98261</v>
      </c>
      <c r="AA72" s="110">
        <f t="shared" si="186"/>
        <v>1955</v>
      </c>
      <c r="AB72" s="110">
        <f t="shared" si="186"/>
        <v>0</v>
      </c>
      <c r="AC72" s="110">
        <f t="shared" si="186"/>
        <v>1616</v>
      </c>
      <c r="AD72" s="110">
        <f t="shared" si="186"/>
        <v>0</v>
      </c>
      <c r="AE72" s="110">
        <f t="shared" si="186"/>
        <v>0</v>
      </c>
      <c r="AF72" s="110">
        <f t="shared" si="186"/>
        <v>0</v>
      </c>
      <c r="AG72" s="110">
        <f t="shared" si="186"/>
        <v>0</v>
      </c>
      <c r="AH72" s="112">
        <f t="shared" si="186"/>
        <v>610547</v>
      </c>
      <c r="AJ72" s="108" t="s">
        <v>29</v>
      </c>
      <c r="AK72" s="120">
        <f t="shared" si="173"/>
        <v>0</v>
      </c>
      <c r="AL72" s="121" t="str">
        <f t="shared" si="143"/>
        <v/>
      </c>
      <c r="AM72" s="121">
        <f t="shared" si="144"/>
        <v>1.9084823545352367</v>
      </c>
      <c r="AN72" s="121">
        <f t="shared" si="145"/>
        <v>0.24782119418062018</v>
      </c>
      <c r="AO72" s="121">
        <f t="shared" si="146"/>
        <v>1.2399926248493967</v>
      </c>
      <c r="AP72" s="121">
        <f t="shared" si="147"/>
        <v>1.0981358873778331</v>
      </c>
      <c r="AQ72" s="121">
        <f t="shared" si="148"/>
        <v>0.55104642551644967</v>
      </c>
      <c r="AR72" s="121">
        <f t="shared" si="149"/>
        <v>0.29426420446077678</v>
      </c>
      <c r="AS72" s="121">
        <f t="shared" si="150"/>
        <v>0.1332943592149699</v>
      </c>
      <c r="AT72" s="121">
        <f t="shared" si="151"/>
        <v>0</v>
      </c>
      <c r="AU72" s="121">
        <f t="shared" si="152"/>
        <v>0</v>
      </c>
      <c r="AV72" s="121">
        <f t="shared" si="153"/>
        <v>0.92359929602942215</v>
      </c>
      <c r="AW72" s="121">
        <f t="shared" si="154"/>
        <v>0</v>
      </c>
      <c r="AX72" s="121">
        <f t="shared" si="155"/>
        <v>1.4383710340671926E-4</v>
      </c>
      <c r="AY72" s="123">
        <f t="shared" si="156"/>
        <v>0.72022665659299789</v>
      </c>
      <c r="BA72" s="108" t="s">
        <v>29</v>
      </c>
      <c r="BB72" s="120">
        <f t="shared" si="174"/>
        <v>0</v>
      </c>
      <c r="BC72" s="121">
        <f t="shared" si="157"/>
        <v>0</v>
      </c>
      <c r="BD72" s="121">
        <f t="shared" si="158"/>
        <v>0.41404178366638494</v>
      </c>
      <c r="BE72" s="121">
        <f t="shared" si="159"/>
        <v>0.6711433756805808</v>
      </c>
      <c r="BF72" s="121">
        <f t="shared" si="160"/>
        <v>0.24991034209729629</v>
      </c>
      <c r="BG72" s="121">
        <f t="shared" si="161"/>
        <v>0.17448488587291794</v>
      </c>
      <c r="BH72" s="121">
        <f t="shared" si="162"/>
        <v>0.15225765464237015</v>
      </c>
      <c r="BI72" s="121">
        <f t="shared" si="163"/>
        <v>4.808165272995573E-2</v>
      </c>
      <c r="BJ72" s="121" t="str">
        <f t="shared" si="164"/>
        <v/>
      </c>
      <c r="BK72" s="121">
        <f t="shared" si="165"/>
        <v>1.5421318828132455E-2</v>
      </c>
      <c r="BL72" s="121">
        <f t="shared" si="166"/>
        <v>0</v>
      </c>
      <c r="BM72" s="121">
        <f t="shared" si="167"/>
        <v>0</v>
      </c>
      <c r="BN72" s="121">
        <f t="shared" si="168"/>
        <v>0</v>
      </c>
      <c r="BO72" s="121">
        <f t="shared" si="169"/>
        <v>0</v>
      </c>
      <c r="BP72" s="123">
        <f t="shared" si="170"/>
        <v>0.1623574993817328</v>
      </c>
      <c r="BR72" s="108" t="s">
        <v>29</v>
      </c>
      <c r="BS72" s="120" t="str">
        <f t="shared" si="175"/>
        <v/>
      </c>
      <c r="BT72" s="121" t="str">
        <f t="shared" si="176"/>
        <v/>
      </c>
      <c r="BU72" s="121">
        <f t="shared" si="177"/>
        <v>-0.78305181460940754</v>
      </c>
      <c r="BV72" s="121">
        <f t="shared" si="178"/>
        <v>1.7081758600171604</v>
      </c>
      <c r="BW72" s="121"/>
      <c r="BX72" s="121"/>
      <c r="BY72" s="121"/>
      <c r="BZ72" s="121"/>
      <c r="CA72" s="121"/>
      <c r="CB72" s="121" t="str">
        <f t="shared" si="179"/>
        <v/>
      </c>
      <c r="CC72" s="121" t="str">
        <f t="shared" si="180"/>
        <v/>
      </c>
      <c r="CD72" s="121">
        <f t="shared" si="181"/>
        <v>-1</v>
      </c>
      <c r="CE72" s="121" t="str">
        <f t="shared" si="182"/>
        <v/>
      </c>
      <c r="CF72" s="121">
        <f t="shared" si="183"/>
        <v>-1</v>
      </c>
      <c r="CG72" s="123">
        <f t="shared" si="184"/>
        <v>-0.77457443723374775</v>
      </c>
    </row>
    <row r="73" spans="2:85" x14ac:dyDescent="0.25">
      <c r="B73" t="s">
        <v>220</v>
      </c>
      <c r="C73" s="383" t="s">
        <v>206</v>
      </c>
      <c r="D73" s="383"/>
      <c r="E73" s="383"/>
      <c r="F73" s="383"/>
      <c r="G73" s="383"/>
      <c r="H73" s="383"/>
      <c r="I73" s="383"/>
      <c r="J73" s="383"/>
      <c r="K73" s="383"/>
      <c r="L73" s="383"/>
      <c r="M73" s="383"/>
      <c r="N73" s="383"/>
      <c r="O73" s="383"/>
      <c r="P73" s="383"/>
      <c r="Q73" s="383"/>
      <c r="S73" t="s">
        <v>226</v>
      </c>
      <c r="T73" s="383" t="s">
        <v>206</v>
      </c>
      <c r="U73" s="383"/>
      <c r="V73" s="383"/>
      <c r="W73" s="383"/>
      <c r="X73" s="383"/>
      <c r="Y73" s="383"/>
      <c r="Z73" s="383"/>
      <c r="AA73" s="383"/>
      <c r="AB73" s="383"/>
      <c r="AC73" s="383"/>
      <c r="AD73" s="383"/>
      <c r="AE73" s="383"/>
      <c r="AF73" s="383"/>
      <c r="AG73" s="383"/>
      <c r="AH73" s="383"/>
      <c r="AJ73" t="s">
        <v>220</v>
      </c>
      <c r="AK73" s="383" t="s">
        <v>206</v>
      </c>
      <c r="AL73" s="383"/>
      <c r="AM73" s="383"/>
      <c r="AN73" s="383"/>
      <c r="AO73" s="383"/>
      <c r="AP73" s="383"/>
      <c r="AQ73" s="383"/>
      <c r="AR73" s="383"/>
      <c r="AS73" s="383"/>
      <c r="AT73" s="383"/>
      <c r="AU73" s="383"/>
      <c r="AV73" s="383"/>
      <c r="AW73" s="383"/>
      <c r="AX73" s="383"/>
      <c r="AY73" s="383"/>
      <c r="BA73" t="s">
        <v>220</v>
      </c>
      <c r="BB73" s="383" t="s">
        <v>206</v>
      </c>
      <c r="BC73" s="383"/>
      <c r="BD73" s="383"/>
      <c r="BE73" s="383"/>
      <c r="BF73" s="383"/>
      <c r="BG73" s="383"/>
      <c r="BH73" s="383"/>
      <c r="BI73" s="383"/>
      <c r="BJ73" s="383"/>
      <c r="BK73" s="383"/>
      <c r="BL73" s="383"/>
      <c r="BM73" s="383"/>
      <c r="BN73" s="383"/>
      <c r="BO73" s="383"/>
      <c r="BP73" s="383"/>
      <c r="BR73" t="s">
        <v>220</v>
      </c>
      <c r="BS73" s="383" t="s">
        <v>206</v>
      </c>
      <c r="BT73" s="383"/>
      <c r="BU73" s="383"/>
      <c r="BV73" s="383"/>
      <c r="BW73" s="383"/>
      <c r="BX73" s="383"/>
      <c r="BY73" s="383"/>
      <c r="BZ73" s="383"/>
      <c r="CA73" s="383"/>
      <c r="CB73" s="383"/>
      <c r="CC73" s="383"/>
      <c r="CD73" s="383"/>
      <c r="CE73" s="383"/>
      <c r="CF73" s="383"/>
      <c r="CG73" s="383"/>
    </row>
    <row r="74" spans="2:85" ht="35.450000000000003" customHeight="1" x14ac:dyDescent="0.25">
      <c r="B74" s="163" t="s">
        <v>207</v>
      </c>
      <c r="C74" s="164" t="s">
        <v>386</v>
      </c>
      <c r="D74" s="164" t="s">
        <v>387</v>
      </c>
      <c r="E74" s="164" t="s">
        <v>388</v>
      </c>
      <c r="F74" s="164" t="s">
        <v>389</v>
      </c>
      <c r="G74" s="164" t="s">
        <v>390</v>
      </c>
      <c r="H74" s="164" t="s">
        <v>391</v>
      </c>
      <c r="I74" s="164" t="s">
        <v>392</v>
      </c>
      <c r="J74" s="164" t="s">
        <v>393</v>
      </c>
      <c r="K74" s="164" t="s">
        <v>394</v>
      </c>
      <c r="L74" s="164" t="s">
        <v>395</v>
      </c>
      <c r="M74" s="164" t="s">
        <v>396</v>
      </c>
      <c r="N74" s="164" t="s">
        <v>397</v>
      </c>
      <c r="O74" s="164" t="s">
        <v>398</v>
      </c>
      <c r="P74" s="164" t="s">
        <v>399</v>
      </c>
      <c r="Q74" s="106" t="s">
        <v>29</v>
      </c>
      <c r="S74" s="163" t="s">
        <v>207</v>
      </c>
      <c r="T74" s="164" t="s">
        <v>386</v>
      </c>
      <c r="U74" s="164" t="s">
        <v>387</v>
      </c>
      <c r="V74" s="164" t="s">
        <v>388</v>
      </c>
      <c r="W74" s="164" t="s">
        <v>389</v>
      </c>
      <c r="X74" s="164" t="s">
        <v>390</v>
      </c>
      <c r="Y74" s="164" t="s">
        <v>391</v>
      </c>
      <c r="Z74" s="164" t="s">
        <v>392</v>
      </c>
      <c r="AA74" s="164" t="s">
        <v>393</v>
      </c>
      <c r="AB74" s="164" t="s">
        <v>394</v>
      </c>
      <c r="AC74" s="164" t="s">
        <v>395</v>
      </c>
      <c r="AD74" s="164" t="s">
        <v>396</v>
      </c>
      <c r="AE74" s="164" t="s">
        <v>397</v>
      </c>
      <c r="AF74" s="164" t="s">
        <v>398</v>
      </c>
      <c r="AG74" s="164" t="s">
        <v>399</v>
      </c>
      <c r="AH74" s="106" t="s">
        <v>29</v>
      </c>
      <c r="AJ74" s="163" t="s">
        <v>207</v>
      </c>
      <c r="AK74" s="164" t="s">
        <v>386</v>
      </c>
      <c r="AL74" s="164" t="s">
        <v>387</v>
      </c>
      <c r="AM74" s="164" t="s">
        <v>388</v>
      </c>
      <c r="AN74" s="164" t="s">
        <v>389</v>
      </c>
      <c r="AO74" s="164" t="s">
        <v>390</v>
      </c>
      <c r="AP74" s="164" t="s">
        <v>391</v>
      </c>
      <c r="AQ74" s="164" t="s">
        <v>392</v>
      </c>
      <c r="AR74" s="164" t="s">
        <v>393</v>
      </c>
      <c r="AS74" s="164" t="s">
        <v>394</v>
      </c>
      <c r="AT74" s="164" t="s">
        <v>395</v>
      </c>
      <c r="AU74" s="164" t="s">
        <v>396</v>
      </c>
      <c r="AV74" s="164" t="s">
        <v>397</v>
      </c>
      <c r="AW74" s="164" t="s">
        <v>398</v>
      </c>
      <c r="AX74" s="164" t="s">
        <v>399</v>
      </c>
      <c r="AY74" s="106" t="s">
        <v>29</v>
      </c>
      <c r="BA74" s="163" t="s">
        <v>207</v>
      </c>
      <c r="BB74" s="164" t="s">
        <v>386</v>
      </c>
      <c r="BC74" s="164" t="s">
        <v>387</v>
      </c>
      <c r="BD74" s="164" t="s">
        <v>388</v>
      </c>
      <c r="BE74" s="164" t="s">
        <v>389</v>
      </c>
      <c r="BF74" s="164" t="s">
        <v>390</v>
      </c>
      <c r="BG74" s="164" t="s">
        <v>391</v>
      </c>
      <c r="BH74" s="164" t="s">
        <v>392</v>
      </c>
      <c r="BI74" s="164" t="s">
        <v>393</v>
      </c>
      <c r="BJ74" s="164" t="s">
        <v>394</v>
      </c>
      <c r="BK74" s="164" t="s">
        <v>395</v>
      </c>
      <c r="BL74" s="164" t="s">
        <v>396</v>
      </c>
      <c r="BM74" s="164" t="s">
        <v>397</v>
      </c>
      <c r="BN74" s="164" t="s">
        <v>398</v>
      </c>
      <c r="BO74" s="164" t="s">
        <v>399</v>
      </c>
      <c r="BP74" s="106" t="s">
        <v>29</v>
      </c>
      <c r="BR74" s="163" t="s">
        <v>207</v>
      </c>
      <c r="BS74" s="164" t="s">
        <v>386</v>
      </c>
      <c r="BT74" s="164" t="s">
        <v>387</v>
      </c>
      <c r="BU74" s="164" t="s">
        <v>388</v>
      </c>
      <c r="BV74" s="164" t="s">
        <v>389</v>
      </c>
      <c r="BW74" s="164" t="s">
        <v>390</v>
      </c>
      <c r="BX74" s="164" t="s">
        <v>391</v>
      </c>
      <c r="BY74" s="164" t="s">
        <v>392</v>
      </c>
      <c r="BZ74" s="164" t="s">
        <v>393</v>
      </c>
      <c r="CA74" s="164" t="s">
        <v>394</v>
      </c>
      <c r="CB74" s="164" t="s">
        <v>395</v>
      </c>
      <c r="CC74" s="164" t="s">
        <v>396</v>
      </c>
      <c r="CD74" s="164" t="s">
        <v>397</v>
      </c>
      <c r="CE74" s="164" t="s">
        <v>398</v>
      </c>
      <c r="CF74" s="164" t="s">
        <v>399</v>
      </c>
      <c r="CG74" s="106" t="s">
        <v>29</v>
      </c>
    </row>
    <row r="75" spans="2:85" x14ac:dyDescent="0.25">
      <c r="B75" s="107" t="s">
        <v>386</v>
      </c>
      <c r="C75" s="160">
        <f>TripMode_input!B52</f>
        <v>475183.17744</v>
      </c>
      <c r="D75" s="160">
        <f>TripMode_input!C52</f>
        <v>49745.782749999998</v>
      </c>
      <c r="E75" s="160">
        <f>TripMode_input!D52</f>
        <v>59583.898150000001</v>
      </c>
      <c r="F75" s="160">
        <f>TripMode_input!E52</f>
        <v>6078.6759000000002</v>
      </c>
      <c r="G75" s="160">
        <f>TripMode_input!F52</f>
        <v>26056.003120000001</v>
      </c>
      <c r="H75" s="160">
        <f>TripMode_input!G52</f>
        <v>2528.48317</v>
      </c>
      <c r="I75" s="160">
        <f>TripMode_input!H52</f>
        <v>224.07056</v>
      </c>
      <c r="J75" s="160">
        <f>TripMode_input!I52</f>
        <v>4361.1678000000002</v>
      </c>
      <c r="K75" s="160">
        <f>TripMode_input!J52</f>
        <v>615.78553999999997</v>
      </c>
      <c r="L75" s="160">
        <f>TripMode_input!K52</f>
        <v>0</v>
      </c>
      <c r="M75" s="160">
        <f>TripMode_input!L52</f>
        <v>223.74852000000001</v>
      </c>
      <c r="N75" s="160">
        <f>TripMode_input!M52</f>
        <v>116.82013999999999</v>
      </c>
      <c r="O75" s="160">
        <f>TripMode_input!N52</f>
        <v>0</v>
      </c>
      <c r="P75" s="160">
        <f>TripMode_input!O52</f>
        <v>0</v>
      </c>
      <c r="Q75" s="161">
        <f t="shared" ref="Q75:Q88" si="187">SUM(C75:P75)</f>
        <v>624717.61309000012</v>
      </c>
      <c r="S75" s="107" t="s">
        <v>386</v>
      </c>
      <c r="T75" s="160">
        <f>TripMode_input!R52*Index!$B$2</f>
        <v>1487605</v>
      </c>
      <c r="U75" s="160">
        <f>TripMode_input!S52*Index!$B$2</f>
        <v>79405</v>
      </c>
      <c r="V75" s="160">
        <f>TripMode_input!T52*Index!$B$2</f>
        <v>103665</v>
      </c>
      <c r="W75" s="160">
        <f>TripMode_input!U52*Index!$B$2</f>
        <v>4135</v>
      </c>
      <c r="X75" s="160">
        <f>TripMode_input!V52*Index!$B$2</f>
        <v>23460</v>
      </c>
      <c r="Y75" s="160">
        <f>TripMode_input!W52*Index!$B$2</f>
        <v>155</v>
      </c>
      <c r="Z75" s="160">
        <f>TripMode_input!X52*Index!$B$2</f>
        <v>0</v>
      </c>
      <c r="AA75" s="160">
        <f>TripMode_input!Y52*Index!$B$2</f>
        <v>0</v>
      </c>
      <c r="AB75" s="160">
        <f>TripMode_input!Z52*Index!$B$2</f>
        <v>0</v>
      </c>
      <c r="AC75" s="160">
        <f>TripMode_input!AA52*Index!$B$2</f>
        <v>0</v>
      </c>
      <c r="AD75" s="160">
        <f>TripMode_input!AB52*Index!$B$2</f>
        <v>0</v>
      </c>
      <c r="AE75" s="160">
        <f>TripMode_input!AC52*Index!$B$2</f>
        <v>0</v>
      </c>
      <c r="AF75" s="160">
        <f>TripMode_input!AD52*Index!$B$2</f>
        <v>0</v>
      </c>
      <c r="AG75" s="160">
        <f>TripMode_input!AE52*Index!$B$2</f>
        <v>0</v>
      </c>
      <c r="AH75" s="161">
        <f t="shared" ref="AH75:AH88" si="188">SUM(T75:AG75)</f>
        <v>1698425</v>
      </c>
      <c r="AJ75" s="107" t="s">
        <v>386</v>
      </c>
      <c r="AK75" s="166">
        <f>IF(C$89&gt;0,C75/C$89,"")</f>
        <v>0.82218206408518424</v>
      </c>
      <c r="AL75" s="166">
        <f t="shared" ref="AL75:AL89" si="189">IF(D$89&gt;0,D75/D$89,"")</f>
        <v>0.76566942137650607</v>
      </c>
      <c r="AM75" s="166">
        <f t="shared" ref="AM75:AM89" si="190">IF(E$89&gt;0,E75/E$89,"")</f>
        <v>0.59018221592182307</v>
      </c>
      <c r="AN75" s="166">
        <f t="shared" ref="AN75:AN89" si="191">IF(F$89&gt;0,F75/F$89,"")</f>
        <v>0.78254874945814401</v>
      </c>
      <c r="AO75" s="166">
        <f t="shared" ref="AO75:AO89" si="192">IF(G$89&gt;0,G75/G$89,"")</f>
        <v>0.67149350171158351</v>
      </c>
      <c r="AP75" s="166">
        <f t="shared" ref="AP75:AP89" si="193">IF(H$89&gt;0,H75/H$89,"")</f>
        <v>0.45937585381843216</v>
      </c>
      <c r="AQ75" s="166">
        <f t="shared" ref="AQ75:AQ89" si="194">IF(I$89&gt;0,I75/I$89,"")</f>
        <v>2.0367505304214335E-2</v>
      </c>
      <c r="AR75" s="166">
        <f t="shared" ref="AR75:AR89" si="195">IF(J$89&gt;0,J75/J$89,"")</f>
        <v>0.21959453657045061</v>
      </c>
      <c r="AS75" s="166">
        <f t="shared" ref="AS75:AS89" si="196">IF(K$89&gt;0,K75/K$89,"")</f>
        <v>6.6621785702959575E-3</v>
      </c>
      <c r="AT75" s="166">
        <f t="shared" ref="AT75:AT89" si="197">IF(L$89&gt;0,L75/L$89,"")</f>
        <v>0</v>
      </c>
      <c r="AU75" s="166">
        <f t="shared" ref="AU75:AU89" si="198">IF(M$89&gt;0,M75/M$89,"")</f>
        <v>1.3476935148074236E-2</v>
      </c>
      <c r="AV75" s="166">
        <f t="shared" ref="AV75:AV89" si="199">IF(N$89&gt;0,N75/N$89,"")</f>
        <v>2.2343912919746724E-3</v>
      </c>
      <c r="AW75" s="166">
        <f t="shared" ref="AW75:AW89" si="200">IF(O$89&gt;0,O75/O$89,"")</f>
        <v>0</v>
      </c>
      <c r="AX75" s="166">
        <f t="shared" ref="AX75:AX89" si="201">IF(P$89&gt;0,P75/P$89,"")</f>
        <v>0</v>
      </c>
      <c r="AY75" s="167">
        <f t="shared" ref="AY75:AY89" si="202">IF(Q$89&gt;0,Q75/Q$89,"")</f>
        <v>0.60575698369455611</v>
      </c>
      <c r="BA75" s="107" t="s">
        <v>386</v>
      </c>
      <c r="BB75" s="166">
        <f>IF(T$89&gt;0,T75/T$89,"")</f>
        <v>0.99582952601860308</v>
      </c>
      <c r="BC75" s="166">
        <f t="shared" ref="BC75:BC89" si="203">IF(U$89&gt;0,U75/U$89,"")</f>
        <v>0.84137748344370866</v>
      </c>
      <c r="BD75" s="166">
        <f t="shared" ref="BD75:BD89" si="204">IF(V$89&gt;0,V75/V$89,"")</f>
        <v>0.56156554712892737</v>
      </c>
      <c r="BE75" s="166">
        <f t="shared" ref="BE75:BE89" si="205">IF(W$89&gt;0,W75/W$89,"")</f>
        <v>0.57751396648044695</v>
      </c>
      <c r="BF75" s="166">
        <f t="shared" ref="BF75:BF89" si="206">IF(X$89&gt;0,X75/X$89,"")</f>
        <v>0.6262680192205019</v>
      </c>
      <c r="BG75" s="166">
        <f t="shared" ref="BG75:BG89" si="207">IF(Y$89&gt;0,Y75/Y$89,"")</f>
        <v>0.47692307692307695</v>
      </c>
      <c r="BH75" s="166">
        <f t="shared" ref="BH75:BH89" si="208">IF(Z$89&gt;0,Z75/Z$89,"")</f>
        <v>0</v>
      </c>
      <c r="BI75" s="166">
        <f t="shared" ref="BI75:BI89" si="209">IF(AA$89&gt;0,AA75/AA$89,"")</f>
        <v>0</v>
      </c>
      <c r="BJ75" s="166" t="str">
        <f t="shared" ref="BJ75:BJ89" si="210">IF(AB$89&gt;0,AB75/AB$89,"")</f>
        <v/>
      </c>
      <c r="BK75" s="166">
        <f t="shared" ref="BK75:BK89" si="211">IF(AC$89&gt;0,AC75/AC$89,"")</f>
        <v>0</v>
      </c>
      <c r="BL75" s="166" t="str">
        <f t="shared" ref="BL75:BL89" si="212">IF(AD$89&gt;0,AD75/AD$89,"")</f>
        <v/>
      </c>
      <c r="BM75" s="166" t="str">
        <f t="shared" ref="BM75:BM89" si="213">IF(AE$89&gt;0,AE75/AE$89,"")</f>
        <v/>
      </c>
      <c r="BN75" s="166">
        <f t="shared" ref="BN75:BN89" si="214">IF(AF$89&gt;0,AF75/AF$89,"")</f>
        <v>0</v>
      </c>
      <c r="BO75" s="166" t="str">
        <f t="shared" ref="BO75:BO89" si="215">IF(AG$89&gt;0,AG75/AG$89,"")</f>
        <v/>
      </c>
      <c r="BP75" s="167">
        <f t="shared" ref="BP75:BP89" si="216">IF(AH$89&gt;0,AH75/AH$89,"")</f>
        <v>0.58987017768084127</v>
      </c>
      <c r="BR75" s="107" t="s">
        <v>386</v>
      </c>
      <c r="BS75" s="166">
        <f t="shared" ref="BS75:BV78" si="217">IF(OR(ISNA(AK75),AK75=0,AK75=""),"",(BB75-AK75)/AK75)</f>
        <v>0.21120317447770018</v>
      </c>
      <c r="BT75" s="166">
        <f t="shared" si="217"/>
        <v>9.88782625419415E-2</v>
      </c>
      <c r="BU75" s="166">
        <f t="shared" si="217"/>
        <v>-4.8487853447428071E-2</v>
      </c>
      <c r="BV75" s="166">
        <f t="shared" si="217"/>
        <v>-0.262008958700232</v>
      </c>
      <c r="BW75" s="166"/>
      <c r="BX75" s="166"/>
      <c r="BY75" s="166"/>
      <c r="BZ75" s="166"/>
      <c r="CA75" s="166"/>
      <c r="CB75" s="166" t="str">
        <f t="shared" ref="CB75:CG75" si="218">IF(OR(ISNA(AT75),AT75=0,AT75=""),"",(BK75-AT75)/AT75)</f>
        <v/>
      </c>
      <c r="CC75" s="166" t="e">
        <f t="shared" si="218"/>
        <v>#VALUE!</v>
      </c>
      <c r="CD75" s="166" t="e">
        <f t="shared" si="218"/>
        <v>#VALUE!</v>
      </c>
      <c r="CE75" s="166" t="str">
        <f t="shared" si="218"/>
        <v/>
      </c>
      <c r="CF75" s="166" t="str">
        <f t="shared" si="218"/>
        <v/>
      </c>
      <c r="CG75" s="167">
        <f t="shared" si="218"/>
        <v>-2.6226368727637357E-2</v>
      </c>
    </row>
    <row r="76" spans="2:85" x14ac:dyDescent="0.25">
      <c r="B76" s="107" t="s">
        <v>387</v>
      </c>
      <c r="C76" s="160">
        <f>TripMode_input!B53</f>
        <v>0</v>
      </c>
      <c r="D76" s="160">
        <f>TripMode_input!C53</f>
        <v>7492.3817499999996</v>
      </c>
      <c r="E76" s="160">
        <f>TripMode_input!D53</f>
        <v>0</v>
      </c>
      <c r="F76" s="160">
        <f>TripMode_input!E53</f>
        <v>640.95856000000003</v>
      </c>
      <c r="G76" s="160">
        <f>TripMode_input!F53</f>
        <v>0</v>
      </c>
      <c r="H76" s="160">
        <f>TripMode_input!G53</f>
        <v>36.45082</v>
      </c>
      <c r="I76" s="160">
        <f>TripMode_input!H53</f>
        <v>0</v>
      </c>
      <c r="J76" s="160">
        <f>TripMode_input!I53</f>
        <v>0</v>
      </c>
      <c r="K76" s="160">
        <f>TripMode_input!J53</f>
        <v>0</v>
      </c>
      <c r="L76" s="160">
        <f>TripMode_input!K53</f>
        <v>0</v>
      </c>
      <c r="M76" s="160">
        <f>TripMode_input!L53</f>
        <v>0</v>
      </c>
      <c r="N76" s="160">
        <f>TripMode_input!M53</f>
        <v>0</v>
      </c>
      <c r="O76" s="160">
        <f>TripMode_input!N53</f>
        <v>0</v>
      </c>
      <c r="P76" s="160">
        <f>TripMode_input!O53</f>
        <v>0</v>
      </c>
      <c r="Q76" s="162">
        <f t="shared" si="187"/>
        <v>8169.7911299999996</v>
      </c>
      <c r="S76" s="107" t="s">
        <v>387</v>
      </c>
      <c r="T76" s="160">
        <f>TripMode_input!R53*Index!$B$2</f>
        <v>6230</v>
      </c>
      <c r="U76" s="160">
        <f>TripMode_input!S53*Index!$B$2</f>
        <v>14970</v>
      </c>
      <c r="V76" s="160">
        <f>TripMode_input!T53*Index!$B$2</f>
        <v>730</v>
      </c>
      <c r="W76" s="160">
        <f>TripMode_input!U53*Index!$B$2</f>
        <v>855</v>
      </c>
      <c r="X76" s="160">
        <f>TripMode_input!V53*Index!$B$2</f>
        <v>295</v>
      </c>
      <c r="Y76" s="160">
        <f>TripMode_input!W53*Index!$B$2</f>
        <v>60</v>
      </c>
      <c r="Z76" s="160">
        <f>TripMode_input!X53*Index!$B$2</f>
        <v>0</v>
      </c>
      <c r="AA76" s="160">
        <f>TripMode_input!Y53*Index!$B$2</f>
        <v>0</v>
      </c>
      <c r="AB76" s="160">
        <f>TripMode_input!Z53*Index!$B$2</f>
        <v>0</v>
      </c>
      <c r="AC76" s="160">
        <f>TripMode_input!AA53*Index!$B$2</f>
        <v>0</v>
      </c>
      <c r="AD76" s="160">
        <f>TripMode_input!AB53*Index!$B$2</f>
        <v>0</v>
      </c>
      <c r="AE76" s="160">
        <f>TripMode_input!AC53*Index!$B$2</f>
        <v>0</v>
      </c>
      <c r="AF76" s="160">
        <f>TripMode_input!AD53*Index!$B$2</f>
        <v>0</v>
      </c>
      <c r="AG76" s="160">
        <f>TripMode_input!AE53*Index!$B$2</f>
        <v>0</v>
      </c>
      <c r="AH76" s="162">
        <f t="shared" si="188"/>
        <v>23140</v>
      </c>
      <c r="AJ76" s="107" t="s">
        <v>387</v>
      </c>
      <c r="AK76" s="166">
        <f t="shared" ref="AK76:AK89" si="219">IF(C$89&gt;0,C76/C$89,"")</f>
        <v>0</v>
      </c>
      <c r="AL76" s="166">
        <f t="shared" si="189"/>
        <v>0.11532007905241765</v>
      </c>
      <c r="AM76" s="166">
        <f t="shared" si="190"/>
        <v>0</v>
      </c>
      <c r="AN76" s="166">
        <f t="shared" si="191"/>
        <v>8.2514897624743039E-2</v>
      </c>
      <c r="AO76" s="166">
        <f t="shared" si="192"/>
        <v>0</v>
      </c>
      <c r="AP76" s="166">
        <f t="shared" si="193"/>
        <v>6.6223998476849597E-3</v>
      </c>
      <c r="AQ76" s="166">
        <f t="shared" si="194"/>
        <v>0</v>
      </c>
      <c r="AR76" s="166">
        <f t="shared" si="195"/>
        <v>0</v>
      </c>
      <c r="AS76" s="166">
        <f t="shared" si="196"/>
        <v>0</v>
      </c>
      <c r="AT76" s="166">
        <f t="shared" si="197"/>
        <v>0</v>
      </c>
      <c r="AU76" s="166">
        <f t="shared" si="198"/>
        <v>0</v>
      </c>
      <c r="AV76" s="166">
        <f t="shared" si="199"/>
        <v>0</v>
      </c>
      <c r="AW76" s="166">
        <f t="shared" si="200"/>
        <v>0</v>
      </c>
      <c r="AX76" s="166">
        <f t="shared" si="201"/>
        <v>0</v>
      </c>
      <c r="AY76" s="168">
        <f t="shared" si="202"/>
        <v>7.9218320864124139E-3</v>
      </c>
      <c r="BA76" s="107" t="s">
        <v>387</v>
      </c>
      <c r="BB76" s="166">
        <f t="shared" ref="BB76:BB89" si="220">IF(T$89&gt;0,T76/T$89,"")</f>
        <v>4.1704739813968744E-3</v>
      </c>
      <c r="BC76" s="166">
        <f t="shared" si="203"/>
        <v>0.15862251655629139</v>
      </c>
      <c r="BD76" s="166">
        <f t="shared" si="204"/>
        <v>3.9544962080173352E-3</v>
      </c>
      <c r="BE76" s="166">
        <f t="shared" si="205"/>
        <v>0.11941340782122906</v>
      </c>
      <c r="BF76" s="166">
        <f t="shared" si="206"/>
        <v>7.8750667378537104E-3</v>
      </c>
      <c r="BG76" s="166">
        <f t="shared" si="207"/>
        <v>0.18461538461538463</v>
      </c>
      <c r="BH76" s="166">
        <f t="shared" si="208"/>
        <v>0</v>
      </c>
      <c r="BI76" s="166">
        <f t="shared" si="209"/>
        <v>0</v>
      </c>
      <c r="BJ76" s="166" t="str">
        <f t="shared" si="210"/>
        <v/>
      </c>
      <c r="BK76" s="166">
        <f t="shared" si="211"/>
        <v>0</v>
      </c>
      <c r="BL76" s="166" t="str">
        <f t="shared" si="212"/>
        <v/>
      </c>
      <c r="BM76" s="166" t="str">
        <f t="shared" si="213"/>
        <v/>
      </c>
      <c r="BN76" s="166">
        <f t="shared" si="214"/>
        <v>0</v>
      </c>
      <c r="BO76" s="166" t="str">
        <f t="shared" si="215"/>
        <v/>
      </c>
      <c r="BP76" s="168">
        <f t="shared" si="216"/>
        <v>8.0366197574427301E-3</v>
      </c>
      <c r="BR76" s="107" t="s">
        <v>387</v>
      </c>
      <c r="BS76" s="166" t="str">
        <f t="shared" si="217"/>
        <v/>
      </c>
      <c r="BT76" s="166">
        <f t="shared" si="217"/>
        <v>0.37549781321421949</v>
      </c>
      <c r="BU76" s="166" t="str">
        <f t="shared" si="217"/>
        <v/>
      </c>
      <c r="BV76" s="166">
        <f t="shared" si="217"/>
        <v>0.44717391960287151</v>
      </c>
      <c r="BW76" s="166"/>
      <c r="BX76" s="166"/>
      <c r="BY76" s="166"/>
      <c r="BZ76" s="166"/>
      <c r="CA76" s="166"/>
      <c r="CB76" s="166" t="str">
        <f t="shared" ref="CB76:CG78" si="221">IF(OR(ISNA(AT76),AT76=0,AT76=""),"",(BK76-AT76)/AT76)</f>
        <v/>
      </c>
      <c r="CC76" s="166" t="str">
        <f t="shared" si="221"/>
        <v/>
      </c>
      <c r="CD76" s="166" t="str">
        <f t="shared" si="221"/>
        <v/>
      </c>
      <c r="CE76" s="166" t="str">
        <f t="shared" si="221"/>
        <v/>
      </c>
      <c r="CF76" s="166" t="str">
        <f t="shared" si="221"/>
        <v/>
      </c>
      <c r="CG76" s="168">
        <f t="shared" si="221"/>
        <v>1.4490040912026011E-2</v>
      </c>
    </row>
    <row r="77" spans="2:85" x14ac:dyDescent="0.25">
      <c r="B77" s="107" t="s">
        <v>388</v>
      </c>
      <c r="C77" s="160">
        <f>TripMode_input!B54</f>
        <v>36098.2984</v>
      </c>
      <c r="D77" s="160">
        <f>TripMode_input!C54</f>
        <v>4523.7521900000002</v>
      </c>
      <c r="E77" s="160">
        <f>TripMode_input!D54</f>
        <v>17196.23432</v>
      </c>
      <c r="F77" s="160">
        <f>TripMode_input!E54</f>
        <v>1048.15752</v>
      </c>
      <c r="G77" s="160">
        <f>TripMode_input!F54</f>
        <v>2490.3839800000001</v>
      </c>
      <c r="H77" s="160">
        <f>TripMode_input!G54</f>
        <v>0</v>
      </c>
      <c r="I77" s="160">
        <f>TripMode_input!H54</f>
        <v>112.84287</v>
      </c>
      <c r="J77" s="160">
        <f>TripMode_input!I54</f>
        <v>909.47104000000002</v>
      </c>
      <c r="K77" s="160">
        <f>TripMode_input!J54</f>
        <v>1557.1419900000001</v>
      </c>
      <c r="L77" s="160">
        <f>TripMode_input!K54</f>
        <v>205.77510000000001</v>
      </c>
      <c r="M77" s="160">
        <f>TripMode_input!L54</f>
        <v>111.87426000000001</v>
      </c>
      <c r="N77" s="160">
        <f>TripMode_input!M54</f>
        <v>20.368780000000001</v>
      </c>
      <c r="O77" s="160">
        <f>TripMode_input!N54</f>
        <v>0</v>
      </c>
      <c r="P77" s="160">
        <f>TripMode_input!O54</f>
        <v>0</v>
      </c>
      <c r="Q77" s="162">
        <f t="shared" si="187"/>
        <v>64274.300449999988</v>
      </c>
      <c r="S77" s="107" t="s">
        <v>388</v>
      </c>
      <c r="T77" s="160">
        <f>TripMode_input!R54*Index!$B$2</f>
        <v>0</v>
      </c>
      <c r="U77" s="160">
        <f>TripMode_input!S54*Index!$B$2</f>
        <v>0</v>
      </c>
      <c r="V77" s="160">
        <f>TripMode_input!T54*Index!$B$2</f>
        <v>38145</v>
      </c>
      <c r="W77" s="160">
        <f>TripMode_input!U54*Index!$B$2</f>
        <v>1565</v>
      </c>
      <c r="X77" s="160">
        <f>TripMode_input!V54*Index!$B$2</f>
        <v>2080</v>
      </c>
      <c r="Y77" s="160">
        <f>TripMode_input!W54*Index!$B$2</f>
        <v>15</v>
      </c>
      <c r="Z77" s="160">
        <f>TripMode_input!X54*Index!$B$2</f>
        <v>0</v>
      </c>
      <c r="AA77" s="160">
        <f>TripMode_input!Y54*Index!$B$2</f>
        <v>0</v>
      </c>
      <c r="AB77" s="160">
        <f>TripMode_input!Z54*Index!$B$2</f>
        <v>0</v>
      </c>
      <c r="AC77" s="160">
        <f>TripMode_input!AA54*Index!$B$2</f>
        <v>10</v>
      </c>
      <c r="AD77" s="160">
        <f>TripMode_input!AB54*Index!$B$2</f>
        <v>0</v>
      </c>
      <c r="AE77" s="160">
        <f>TripMode_input!AC54*Index!$B$2</f>
        <v>0</v>
      </c>
      <c r="AF77" s="160">
        <f>TripMode_input!AD54*Index!$B$2</f>
        <v>0</v>
      </c>
      <c r="AG77" s="160">
        <f>TripMode_input!AE54*Index!$B$2</f>
        <v>0</v>
      </c>
      <c r="AH77" s="162">
        <f t="shared" si="188"/>
        <v>41815</v>
      </c>
      <c r="AJ77" s="107" t="s">
        <v>388</v>
      </c>
      <c r="AK77" s="166">
        <f t="shared" si="219"/>
        <v>6.2458805146195291E-2</v>
      </c>
      <c r="AL77" s="166">
        <f t="shared" si="189"/>
        <v>6.9627987143653952E-2</v>
      </c>
      <c r="AM77" s="166">
        <f t="shared" si="190"/>
        <v>0.17032977014929501</v>
      </c>
      <c r="AN77" s="166">
        <f t="shared" si="191"/>
        <v>0.13493635291711301</v>
      </c>
      <c r="AO77" s="166">
        <f t="shared" si="192"/>
        <v>6.4180091306982864E-2</v>
      </c>
      <c r="AP77" s="166">
        <f t="shared" si="193"/>
        <v>0</v>
      </c>
      <c r="AQ77" s="166">
        <f t="shared" si="194"/>
        <v>1.0257160750023425E-2</v>
      </c>
      <c r="AR77" s="166">
        <f t="shared" si="195"/>
        <v>4.5793897577856492E-2</v>
      </c>
      <c r="AS77" s="166">
        <f t="shared" si="196"/>
        <v>1.6846706073491109E-2</v>
      </c>
      <c r="AT77" s="166">
        <f t="shared" si="197"/>
        <v>4.9663030318546665E-3</v>
      </c>
      <c r="AU77" s="166">
        <f t="shared" si="198"/>
        <v>6.7384675740371179E-3</v>
      </c>
      <c r="AV77" s="166">
        <f t="shared" si="199"/>
        <v>3.8958885565577877E-4</v>
      </c>
      <c r="AW77" s="166">
        <f t="shared" si="200"/>
        <v>0</v>
      </c>
      <c r="AX77" s="166">
        <f t="shared" si="201"/>
        <v>0</v>
      </c>
      <c r="AY77" s="168">
        <f t="shared" si="202"/>
        <v>6.2323529149578373E-2</v>
      </c>
      <c r="BA77" s="107" t="s">
        <v>388</v>
      </c>
      <c r="BB77" s="166">
        <f t="shared" si="220"/>
        <v>0</v>
      </c>
      <c r="BC77" s="166">
        <f t="shared" si="203"/>
        <v>0</v>
      </c>
      <c r="BD77" s="166">
        <f t="shared" si="204"/>
        <v>0.20663596966413869</v>
      </c>
      <c r="BE77" s="166">
        <f t="shared" si="205"/>
        <v>0.21857541899441341</v>
      </c>
      <c r="BF77" s="166">
        <f t="shared" si="206"/>
        <v>5.5525894287239724E-2</v>
      </c>
      <c r="BG77" s="166">
        <f t="shared" si="207"/>
        <v>4.6153846153846156E-2</v>
      </c>
      <c r="BH77" s="166">
        <f t="shared" si="208"/>
        <v>0</v>
      </c>
      <c r="BI77" s="166">
        <f t="shared" si="209"/>
        <v>0</v>
      </c>
      <c r="BJ77" s="166" t="str">
        <f t="shared" si="210"/>
        <v/>
      </c>
      <c r="BK77" s="166">
        <f t="shared" si="211"/>
        <v>3.134796238244514E-3</v>
      </c>
      <c r="BL77" s="166" t="str">
        <f t="shared" si="212"/>
        <v/>
      </c>
      <c r="BM77" s="166" t="str">
        <f t="shared" si="213"/>
        <v/>
      </c>
      <c r="BN77" s="166">
        <f t="shared" si="214"/>
        <v>0</v>
      </c>
      <c r="BO77" s="166" t="str">
        <f t="shared" si="215"/>
        <v/>
      </c>
      <c r="BP77" s="168">
        <f t="shared" si="216"/>
        <v>1.4522526152008114E-2</v>
      </c>
      <c r="BR77" s="107" t="s">
        <v>388</v>
      </c>
      <c r="BS77" s="166">
        <f t="shared" si="217"/>
        <v>-1</v>
      </c>
      <c r="BT77" s="166">
        <f t="shared" si="217"/>
        <v>-1</v>
      </c>
      <c r="BU77" s="166">
        <f t="shared" si="217"/>
        <v>0.21315240126855739</v>
      </c>
      <c r="BV77" s="166">
        <f t="shared" si="217"/>
        <v>0.61984086770654867</v>
      </c>
      <c r="BW77" s="166"/>
      <c r="BX77" s="166"/>
      <c r="BY77" s="166"/>
      <c r="BZ77" s="166"/>
      <c r="CA77" s="166"/>
      <c r="CB77" s="166">
        <f t="shared" si="221"/>
        <v>-0.3687867578483579</v>
      </c>
      <c r="CC77" s="166" t="e">
        <f t="shared" si="221"/>
        <v>#VALUE!</v>
      </c>
      <c r="CD77" s="166" t="e">
        <f t="shared" si="221"/>
        <v>#VALUE!</v>
      </c>
      <c r="CE77" s="166" t="str">
        <f t="shared" si="221"/>
        <v/>
      </c>
      <c r="CF77" s="166" t="str">
        <f t="shared" si="221"/>
        <v/>
      </c>
      <c r="CG77" s="168">
        <f t="shared" si="221"/>
        <v>-0.76698164641553579</v>
      </c>
    </row>
    <row r="78" spans="2:85" x14ac:dyDescent="0.25">
      <c r="B78" s="107" t="s">
        <v>389</v>
      </c>
      <c r="C78" s="160">
        <f>TripMode_input!B55</f>
        <v>0</v>
      </c>
      <c r="D78" s="160">
        <f>TripMode_input!C55</f>
        <v>298.39301999999998</v>
      </c>
      <c r="E78" s="160">
        <f>TripMode_input!D55</f>
        <v>0</v>
      </c>
      <c r="F78" s="160">
        <f>TripMode_input!E55</f>
        <v>0</v>
      </c>
      <c r="G78" s="160">
        <f>TripMode_input!F55</f>
        <v>0</v>
      </c>
      <c r="H78" s="160">
        <f>TripMode_input!G55</f>
        <v>0</v>
      </c>
      <c r="I78" s="160">
        <f>TripMode_input!H55</f>
        <v>0</v>
      </c>
      <c r="J78" s="160">
        <f>TripMode_input!I55</f>
        <v>0</v>
      </c>
      <c r="K78" s="160">
        <f>TripMode_input!J55</f>
        <v>0</v>
      </c>
      <c r="L78" s="160">
        <f>TripMode_input!K55</f>
        <v>0</v>
      </c>
      <c r="M78" s="160">
        <f>TripMode_input!L55</f>
        <v>0</v>
      </c>
      <c r="N78" s="160">
        <f>TripMode_input!M55</f>
        <v>0</v>
      </c>
      <c r="O78" s="160">
        <f>TripMode_input!N55</f>
        <v>0</v>
      </c>
      <c r="P78" s="160">
        <f>TripMode_input!O55</f>
        <v>0</v>
      </c>
      <c r="Q78" s="162">
        <f t="shared" si="187"/>
        <v>298.39301999999998</v>
      </c>
      <c r="S78" s="107" t="s">
        <v>389</v>
      </c>
      <c r="T78" s="160">
        <f>TripMode_input!R55*Index!$B$2</f>
        <v>0</v>
      </c>
      <c r="U78" s="160">
        <f>TripMode_input!S55*Index!$B$2</f>
        <v>0</v>
      </c>
      <c r="V78" s="160">
        <f>TripMode_input!T55*Index!$B$2</f>
        <v>265</v>
      </c>
      <c r="W78" s="160">
        <f>TripMode_input!U55*Index!$B$2</f>
        <v>360</v>
      </c>
      <c r="X78" s="160">
        <f>TripMode_input!V55*Index!$B$2</f>
        <v>25</v>
      </c>
      <c r="Y78" s="160">
        <f>TripMode_input!W55*Index!$B$2</f>
        <v>5</v>
      </c>
      <c r="Z78" s="160">
        <f>TripMode_input!X55*Index!$B$2</f>
        <v>0</v>
      </c>
      <c r="AA78" s="160">
        <f>TripMode_input!Y55*Index!$B$2</f>
        <v>0</v>
      </c>
      <c r="AB78" s="160">
        <f>TripMode_input!Z55*Index!$B$2</f>
        <v>0</v>
      </c>
      <c r="AC78" s="160">
        <f>TripMode_input!AA55*Index!$B$2</f>
        <v>0</v>
      </c>
      <c r="AD78" s="160">
        <f>TripMode_input!AB55*Index!$B$2</f>
        <v>0</v>
      </c>
      <c r="AE78" s="160">
        <f>TripMode_input!AC55*Index!$B$2</f>
        <v>0</v>
      </c>
      <c r="AF78" s="160">
        <f>TripMode_input!AD55*Index!$B$2</f>
        <v>0</v>
      </c>
      <c r="AG78" s="160">
        <f>TripMode_input!AE55*Index!$B$2</f>
        <v>0</v>
      </c>
      <c r="AH78" s="162">
        <f t="shared" si="188"/>
        <v>655</v>
      </c>
      <c r="AJ78" s="107" t="s">
        <v>389</v>
      </c>
      <c r="AK78" s="166">
        <f t="shared" si="219"/>
        <v>0</v>
      </c>
      <c r="AL78" s="166">
        <f t="shared" si="189"/>
        <v>4.5927593925776189E-3</v>
      </c>
      <c r="AM78" s="166">
        <f t="shared" si="190"/>
        <v>0</v>
      </c>
      <c r="AN78" s="166">
        <f t="shared" si="191"/>
        <v>0</v>
      </c>
      <c r="AO78" s="166">
        <f t="shared" si="192"/>
        <v>0</v>
      </c>
      <c r="AP78" s="166">
        <f t="shared" si="193"/>
        <v>0</v>
      </c>
      <c r="AQ78" s="166">
        <f t="shared" si="194"/>
        <v>0</v>
      </c>
      <c r="AR78" s="166">
        <f t="shared" si="195"/>
        <v>0</v>
      </c>
      <c r="AS78" s="166">
        <f t="shared" si="196"/>
        <v>0</v>
      </c>
      <c r="AT78" s="166">
        <f t="shared" si="197"/>
        <v>0</v>
      </c>
      <c r="AU78" s="166">
        <f t="shared" si="198"/>
        <v>0</v>
      </c>
      <c r="AV78" s="166">
        <f t="shared" si="199"/>
        <v>0</v>
      </c>
      <c r="AW78" s="166">
        <f t="shared" si="200"/>
        <v>0</v>
      </c>
      <c r="AX78" s="166">
        <f t="shared" si="201"/>
        <v>0</v>
      </c>
      <c r="AY78" s="168">
        <f t="shared" si="202"/>
        <v>2.8933657698021237E-4</v>
      </c>
      <c r="BA78" s="107" t="s">
        <v>389</v>
      </c>
      <c r="BB78" s="166">
        <f t="shared" si="220"/>
        <v>0</v>
      </c>
      <c r="BC78" s="166">
        <f t="shared" si="203"/>
        <v>0</v>
      </c>
      <c r="BD78" s="166">
        <f t="shared" si="204"/>
        <v>1.4355362946912242E-3</v>
      </c>
      <c r="BE78" s="166">
        <f t="shared" si="205"/>
        <v>5.027932960893855E-2</v>
      </c>
      <c r="BF78" s="166">
        <f t="shared" si="206"/>
        <v>6.6737853710624668E-4</v>
      </c>
      <c r="BG78" s="166">
        <f t="shared" si="207"/>
        <v>1.5384615384615385E-2</v>
      </c>
      <c r="BH78" s="166">
        <f t="shared" si="208"/>
        <v>0</v>
      </c>
      <c r="BI78" s="166">
        <f t="shared" si="209"/>
        <v>0</v>
      </c>
      <c r="BJ78" s="166" t="str">
        <f t="shared" si="210"/>
        <v/>
      </c>
      <c r="BK78" s="166">
        <f t="shared" si="211"/>
        <v>0</v>
      </c>
      <c r="BL78" s="166" t="str">
        <f t="shared" si="212"/>
        <v/>
      </c>
      <c r="BM78" s="166" t="str">
        <f t="shared" si="213"/>
        <v/>
      </c>
      <c r="BN78" s="166">
        <f t="shared" si="214"/>
        <v>0</v>
      </c>
      <c r="BO78" s="166" t="str">
        <f t="shared" si="215"/>
        <v/>
      </c>
      <c r="BP78" s="168">
        <f t="shared" si="216"/>
        <v>2.2748426711862523E-4</v>
      </c>
      <c r="BR78" s="107" t="s">
        <v>389</v>
      </c>
      <c r="BS78" s="166" t="str">
        <f t="shared" si="217"/>
        <v/>
      </c>
      <c r="BT78" s="166">
        <f t="shared" si="217"/>
        <v>-1</v>
      </c>
      <c r="BU78" s="166" t="str">
        <f t="shared" si="217"/>
        <v/>
      </c>
      <c r="BV78" s="166" t="str">
        <f t="shared" si="217"/>
        <v/>
      </c>
      <c r="BW78" s="166"/>
      <c r="BX78" s="166"/>
      <c r="BY78" s="166"/>
      <c r="BZ78" s="166"/>
      <c r="CA78" s="166"/>
      <c r="CB78" s="166" t="str">
        <f t="shared" si="221"/>
        <v/>
      </c>
      <c r="CC78" s="166" t="str">
        <f t="shared" si="221"/>
        <v/>
      </c>
      <c r="CD78" s="166" t="str">
        <f t="shared" si="221"/>
        <v/>
      </c>
      <c r="CE78" s="166" t="str">
        <f t="shared" si="221"/>
        <v/>
      </c>
      <c r="CF78" s="166" t="str">
        <f t="shared" si="221"/>
        <v/>
      </c>
      <c r="CG78" s="168">
        <f t="shared" si="221"/>
        <v>-0.21377286794202036</v>
      </c>
    </row>
    <row r="79" spans="2:85" x14ac:dyDescent="0.25">
      <c r="B79" s="107" t="s">
        <v>390</v>
      </c>
      <c r="C79" s="160">
        <f>TripMode_input!B56</f>
        <v>1461.04441</v>
      </c>
      <c r="D79" s="160">
        <f>TripMode_input!C56</f>
        <v>0</v>
      </c>
      <c r="E79" s="160">
        <f>TripMode_input!D56</f>
        <v>0</v>
      </c>
      <c r="F79" s="160">
        <f>TripMode_input!E56</f>
        <v>0</v>
      </c>
      <c r="G79" s="160">
        <f>TripMode_input!F56</f>
        <v>5613.7472299999999</v>
      </c>
      <c r="H79" s="160">
        <f>TripMode_input!G56</f>
        <v>1800.01126</v>
      </c>
      <c r="I79" s="160">
        <f>TripMode_input!H56</f>
        <v>0</v>
      </c>
      <c r="J79" s="160">
        <f>TripMode_input!I56</f>
        <v>0</v>
      </c>
      <c r="K79" s="160">
        <f>TripMode_input!J56</f>
        <v>497.00704999999999</v>
      </c>
      <c r="L79" s="160">
        <f>TripMode_input!K56</f>
        <v>0</v>
      </c>
      <c r="M79" s="160">
        <f>TripMode_input!L56</f>
        <v>0</v>
      </c>
      <c r="N79" s="160">
        <f>TripMode_input!M56</f>
        <v>0</v>
      </c>
      <c r="O79" s="160">
        <f>TripMode_input!N56</f>
        <v>0</v>
      </c>
      <c r="P79" s="160">
        <f>TripMode_input!O56</f>
        <v>0</v>
      </c>
      <c r="Q79" s="162">
        <f t="shared" si="187"/>
        <v>9371.8099499999989</v>
      </c>
      <c r="S79" s="107" t="s">
        <v>390</v>
      </c>
      <c r="T79" s="160">
        <f>TripMode_input!R56*Index!$B$2</f>
        <v>0</v>
      </c>
      <c r="U79" s="160">
        <f>TripMode_input!S56*Index!$B$2</f>
        <v>0</v>
      </c>
      <c r="V79" s="160">
        <f>TripMode_input!T56*Index!$B$2</f>
        <v>0</v>
      </c>
      <c r="W79" s="160">
        <f>TripMode_input!U56*Index!$B$2</f>
        <v>0</v>
      </c>
      <c r="X79" s="160">
        <f>TripMode_input!V56*Index!$B$2</f>
        <v>6450</v>
      </c>
      <c r="Y79" s="160">
        <f>TripMode_input!W56*Index!$B$2</f>
        <v>65</v>
      </c>
      <c r="Z79" s="160">
        <f>TripMode_input!X56*Index!$B$2</f>
        <v>0</v>
      </c>
      <c r="AA79" s="160">
        <f>TripMode_input!Y56*Index!$B$2</f>
        <v>0</v>
      </c>
      <c r="AB79" s="160">
        <f>TripMode_input!Z56*Index!$B$2</f>
        <v>0</v>
      </c>
      <c r="AC79" s="160">
        <f>TripMode_input!AA56*Index!$B$2</f>
        <v>0</v>
      </c>
      <c r="AD79" s="160">
        <f>TripMode_input!AB56*Index!$B$2</f>
        <v>0</v>
      </c>
      <c r="AE79" s="160">
        <f>TripMode_input!AC56*Index!$B$2</f>
        <v>0</v>
      </c>
      <c r="AF79" s="160">
        <f>TripMode_input!AD56*Index!$B$2</f>
        <v>0</v>
      </c>
      <c r="AG79" s="160">
        <f>TripMode_input!AE56*Index!$B$2</f>
        <v>0</v>
      </c>
      <c r="AH79" s="162">
        <f t="shared" si="188"/>
        <v>6515</v>
      </c>
      <c r="AJ79" s="107" t="s">
        <v>390</v>
      </c>
      <c r="AK79" s="166">
        <f t="shared" si="219"/>
        <v>2.527960933308919E-3</v>
      </c>
      <c r="AL79" s="166">
        <f t="shared" si="189"/>
        <v>0</v>
      </c>
      <c r="AM79" s="166">
        <f t="shared" si="190"/>
        <v>0</v>
      </c>
      <c r="AN79" s="166">
        <f t="shared" si="191"/>
        <v>0</v>
      </c>
      <c r="AO79" s="166">
        <f t="shared" si="192"/>
        <v>0.14467279451248402</v>
      </c>
      <c r="AP79" s="166">
        <f t="shared" si="193"/>
        <v>0.32702678003005725</v>
      </c>
      <c r="AQ79" s="166">
        <f t="shared" si="194"/>
        <v>0</v>
      </c>
      <c r="AR79" s="166">
        <f t="shared" si="195"/>
        <v>0</v>
      </c>
      <c r="AS79" s="166">
        <f t="shared" si="196"/>
        <v>5.3771150874962273E-3</v>
      </c>
      <c r="AT79" s="166">
        <f t="shared" si="197"/>
        <v>0</v>
      </c>
      <c r="AU79" s="166">
        <f t="shared" si="198"/>
        <v>0</v>
      </c>
      <c r="AV79" s="166">
        <f t="shared" si="199"/>
        <v>0</v>
      </c>
      <c r="AW79" s="166">
        <f t="shared" si="200"/>
        <v>0</v>
      </c>
      <c r="AX79" s="166">
        <f t="shared" si="201"/>
        <v>0</v>
      </c>
      <c r="AY79" s="168">
        <f t="shared" si="202"/>
        <v>9.0873687696920499E-3</v>
      </c>
      <c r="BA79" s="107" t="s">
        <v>390</v>
      </c>
      <c r="BB79" s="166">
        <f t="shared" si="220"/>
        <v>0</v>
      </c>
      <c r="BC79" s="166">
        <f t="shared" si="203"/>
        <v>0</v>
      </c>
      <c r="BD79" s="166">
        <f t="shared" si="204"/>
        <v>0</v>
      </c>
      <c r="BE79" s="166">
        <f t="shared" si="205"/>
        <v>0</v>
      </c>
      <c r="BF79" s="166">
        <f t="shared" si="206"/>
        <v>0.17218366257341164</v>
      </c>
      <c r="BG79" s="166">
        <f t="shared" si="207"/>
        <v>0.2</v>
      </c>
      <c r="BH79" s="166">
        <f t="shared" si="208"/>
        <v>0</v>
      </c>
      <c r="BI79" s="166">
        <f t="shared" si="209"/>
        <v>0</v>
      </c>
      <c r="BJ79" s="166" t="str">
        <f t="shared" si="210"/>
        <v/>
      </c>
      <c r="BK79" s="166">
        <f t="shared" si="211"/>
        <v>0</v>
      </c>
      <c r="BL79" s="166" t="str">
        <f t="shared" si="212"/>
        <v/>
      </c>
      <c r="BM79" s="166" t="str">
        <f t="shared" si="213"/>
        <v/>
      </c>
      <c r="BN79" s="166">
        <f t="shared" si="214"/>
        <v>0</v>
      </c>
      <c r="BO79" s="166" t="str">
        <f t="shared" si="215"/>
        <v/>
      </c>
      <c r="BP79" s="168">
        <f t="shared" si="216"/>
        <v>2.2626870233249516E-3</v>
      </c>
      <c r="BR79" s="107" t="s">
        <v>390</v>
      </c>
      <c r="BS79" s="166"/>
      <c r="BT79" s="166"/>
      <c r="BU79" s="166"/>
      <c r="BV79" s="166"/>
      <c r="BW79" s="166"/>
      <c r="BX79" s="166"/>
      <c r="BY79" s="166"/>
      <c r="BZ79" s="166"/>
      <c r="CA79" s="166"/>
      <c r="CB79" s="166"/>
      <c r="CC79" s="166"/>
      <c r="CD79" s="166"/>
      <c r="CE79" s="166"/>
      <c r="CF79" s="166"/>
      <c r="CG79" s="168"/>
    </row>
    <row r="80" spans="2:85" x14ac:dyDescent="0.25">
      <c r="B80" s="107" t="s">
        <v>391</v>
      </c>
      <c r="C80" s="160">
        <f>TripMode_input!B57</f>
        <v>0</v>
      </c>
      <c r="D80" s="160">
        <f>TripMode_input!C57</f>
        <v>0</v>
      </c>
      <c r="E80" s="160">
        <f>TripMode_input!D57</f>
        <v>0</v>
      </c>
      <c r="F80" s="160">
        <f>TripMode_input!E57</f>
        <v>0</v>
      </c>
      <c r="G80" s="160">
        <f>TripMode_input!F57</f>
        <v>0</v>
      </c>
      <c r="H80" s="160">
        <f>TripMode_input!G57</f>
        <v>0</v>
      </c>
      <c r="I80" s="160">
        <f>TripMode_input!H57</f>
        <v>0</v>
      </c>
      <c r="J80" s="160">
        <f>TripMode_input!I57</f>
        <v>0</v>
      </c>
      <c r="K80" s="160">
        <f>TripMode_input!J57</f>
        <v>0</v>
      </c>
      <c r="L80" s="160">
        <f>TripMode_input!K57</f>
        <v>0</v>
      </c>
      <c r="M80" s="160">
        <f>TripMode_input!L57</f>
        <v>0</v>
      </c>
      <c r="N80" s="160">
        <f>TripMode_input!M57</f>
        <v>0</v>
      </c>
      <c r="O80" s="160">
        <f>TripMode_input!N57</f>
        <v>0</v>
      </c>
      <c r="P80" s="160">
        <f>TripMode_input!O57</f>
        <v>0</v>
      </c>
      <c r="Q80" s="162">
        <f t="shared" si="187"/>
        <v>0</v>
      </c>
      <c r="S80" s="107" t="s">
        <v>391</v>
      </c>
      <c r="T80" s="160">
        <f>TripMode_input!R57*Index!$B$2</f>
        <v>0</v>
      </c>
      <c r="U80" s="160">
        <f>TripMode_input!S57*Index!$B$2</f>
        <v>0</v>
      </c>
      <c r="V80" s="160">
        <f>TripMode_input!T57*Index!$B$2</f>
        <v>0</v>
      </c>
      <c r="W80" s="160">
        <f>TripMode_input!U57*Index!$B$2</f>
        <v>0</v>
      </c>
      <c r="X80" s="160">
        <f>TripMode_input!V57*Index!$B$2</f>
        <v>75</v>
      </c>
      <c r="Y80" s="160">
        <f>TripMode_input!W57*Index!$B$2</f>
        <v>10</v>
      </c>
      <c r="Z80" s="160">
        <f>TripMode_input!X57*Index!$B$2</f>
        <v>0</v>
      </c>
      <c r="AA80" s="160">
        <f>TripMode_input!Y57*Index!$B$2</f>
        <v>0</v>
      </c>
      <c r="AB80" s="160">
        <f>TripMode_input!Z57*Index!$B$2</f>
        <v>0</v>
      </c>
      <c r="AC80" s="160">
        <f>TripMode_input!AA57*Index!$B$2</f>
        <v>0</v>
      </c>
      <c r="AD80" s="160">
        <f>TripMode_input!AB57*Index!$B$2</f>
        <v>0</v>
      </c>
      <c r="AE80" s="160">
        <f>TripMode_input!AC57*Index!$B$2</f>
        <v>0</v>
      </c>
      <c r="AF80" s="160">
        <f>TripMode_input!AD57*Index!$B$2</f>
        <v>0</v>
      </c>
      <c r="AG80" s="160">
        <f>TripMode_input!AE57*Index!$B$2</f>
        <v>0</v>
      </c>
      <c r="AH80" s="162">
        <f t="shared" si="188"/>
        <v>85</v>
      </c>
      <c r="AJ80" s="107" t="s">
        <v>391</v>
      </c>
      <c r="AK80" s="166">
        <f t="shared" si="219"/>
        <v>0</v>
      </c>
      <c r="AL80" s="166">
        <f t="shared" si="189"/>
        <v>0</v>
      </c>
      <c r="AM80" s="166">
        <f t="shared" si="190"/>
        <v>0</v>
      </c>
      <c r="AN80" s="166">
        <f t="shared" si="191"/>
        <v>0</v>
      </c>
      <c r="AO80" s="166">
        <f t="shared" si="192"/>
        <v>0</v>
      </c>
      <c r="AP80" s="166">
        <f t="shared" si="193"/>
        <v>0</v>
      </c>
      <c r="AQ80" s="166">
        <f t="shared" si="194"/>
        <v>0</v>
      </c>
      <c r="AR80" s="166">
        <f t="shared" si="195"/>
        <v>0</v>
      </c>
      <c r="AS80" s="166">
        <f t="shared" si="196"/>
        <v>0</v>
      </c>
      <c r="AT80" s="166">
        <f t="shared" si="197"/>
        <v>0</v>
      </c>
      <c r="AU80" s="166">
        <f t="shared" si="198"/>
        <v>0</v>
      </c>
      <c r="AV80" s="166">
        <f t="shared" si="199"/>
        <v>0</v>
      </c>
      <c r="AW80" s="166">
        <f t="shared" si="200"/>
        <v>0</v>
      </c>
      <c r="AX80" s="166">
        <f t="shared" si="201"/>
        <v>0</v>
      </c>
      <c r="AY80" s="168">
        <f t="shared" si="202"/>
        <v>0</v>
      </c>
      <c r="BA80" s="107" t="s">
        <v>391</v>
      </c>
      <c r="BB80" s="166">
        <f t="shared" si="220"/>
        <v>0</v>
      </c>
      <c r="BC80" s="166">
        <f t="shared" si="203"/>
        <v>0</v>
      </c>
      <c r="BD80" s="166">
        <f t="shared" si="204"/>
        <v>0</v>
      </c>
      <c r="BE80" s="166">
        <f t="shared" si="205"/>
        <v>0</v>
      </c>
      <c r="BF80" s="166">
        <f t="shared" si="206"/>
        <v>2.0021356113187399E-3</v>
      </c>
      <c r="BG80" s="166">
        <f t="shared" si="207"/>
        <v>3.0769230769230771E-2</v>
      </c>
      <c r="BH80" s="166">
        <f t="shared" si="208"/>
        <v>0</v>
      </c>
      <c r="BI80" s="166">
        <f t="shared" si="209"/>
        <v>0</v>
      </c>
      <c r="BJ80" s="166" t="str">
        <f t="shared" si="210"/>
        <v/>
      </c>
      <c r="BK80" s="166">
        <f t="shared" si="211"/>
        <v>0</v>
      </c>
      <c r="BL80" s="166" t="str">
        <f t="shared" si="212"/>
        <v/>
      </c>
      <c r="BM80" s="166" t="str">
        <f t="shared" si="213"/>
        <v/>
      </c>
      <c r="BN80" s="166">
        <f t="shared" si="214"/>
        <v>0</v>
      </c>
      <c r="BO80" s="166" t="str">
        <f t="shared" si="215"/>
        <v/>
      </c>
      <c r="BP80" s="168">
        <f t="shared" si="216"/>
        <v>2.952085909172999E-5</v>
      </c>
      <c r="BR80" s="107" t="s">
        <v>391</v>
      </c>
      <c r="BS80" s="166"/>
      <c r="BT80" s="166"/>
      <c r="BU80" s="166"/>
      <c r="BV80" s="166"/>
      <c r="BW80" s="166"/>
      <c r="BX80" s="166"/>
      <c r="BY80" s="166"/>
      <c r="BZ80" s="166"/>
      <c r="CA80" s="166"/>
      <c r="CB80" s="166"/>
      <c r="CC80" s="166"/>
      <c r="CD80" s="166"/>
      <c r="CE80" s="166"/>
      <c r="CF80" s="166"/>
      <c r="CG80" s="168"/>
    </row>
    <row r="81" spans="2:85" x14ac:dyDescent="0.25">
      <c r="B81" s="107" t="s">
        <v>392</v>
      </c>
      <c r="C81" s="160">
        <f>TripMode_input!B58</f>
        <v>56980.855750000002</v>
      </c>
      <c r="D81" s="160">
        <f>TripMode_input!C58</f>
        <v>2822.89896</v>
      </c>
      <c r="E81" s="160">
        <f>TripMode_input!D58</f>
        <v>22653.358209999999</v>
      </c>
      <c r="F81" s="160">
        <f>TripMode_input!E58</f>
        <v>0</v>
      </c>
      <c r="G81" s="160">
        <f>TripMode_input!F58</f>
        <v>4642.9263899999996</v>
      </c>
      <c r="H81" s="160">
        <f>TripMode_input!G58</f>
        <v>1046.6638</v>
      </c>
      <c r="I81" s="160">
        <f>TripMode_input!H58</f>
        <v>9702.8818699999993</v>
      </c>
      <c r="J81" s="160">
        <f>TripMode_input!I58</f>
        <v>12938.608120000001</v>
      </c>
      <c r="K81" s="160">
        <f>TripMode_input!J58</f>
        <v>86807.661829999997</v>
      </c>
      <c r="L81" s="160">
        <f>TripMode_input!K58</f>
        <v>38635.851029999998</v>
      </c>
      <c r="M81" s="160">
        <f>TripMode_input!L58</f>
        <v>15924.738509999999</v>
      </c>
      <c r="N81" s="160">
        <f>TripMode_input!M58</f>
        <v>49851.734270000001</v>
      </c>
      <c r="O81" s="160">
        <f>TripMode_input!N58</f>
        <v>1682.05898</v>
      </c>
      <c r="P81" s="160">
        <f>TripMode_input!O58</f>
        <v>0</v>
      </c>
      <c r="Q81" s="162">
        <f t="shared" si="187"/>
        <v>303690.23771999992</v>
      </c>
      <c r="S81" s="107" t="s">
        <v>392</v>
      </c>
      <c r="T81" s="160">
        <f>TripMode_input!R58*Index!$B$2</f>
        <v>0</v>
      </c>
      <c r="U81" s="160">
        <f>TripMode_input!S58*Index!$B$2</f>
        <v>0</v>
      </c>
      <c r="V81" s="160">
        <f>TripMode_input!T58*Index!$B$2</f>
        <v>41795</v>
      </c>
      <c r="W81" s="160">
        <f>TripMode_input!U58*Index!$B$2</f>
        <v>245</v>
      </c>
      <c r="X81" s="160">
        <f>TripMode_input!V58*Index!$B$2</f>
        <v>5075</v>
      </c>
      <c r="Y81" s="160">
        <f>TripMode_input!W58*Index!$B$2</f>
        <v>15</v>
      </c>
      <c r="Z81" s="160">
        <f>TripMode_input!X58*Index!$B$2</f>
        <v>1006120</v>
      </c>
      <c r="AA81" s="160">
        <f>TripMode_input!Y58*Index!$B$2</f>
        <v>0</v>
      </c>
      <c r="AB81" s="160">
        <f>TripMode_input!Z58*Index!$B$2</f>
        <v>0</v>
      </c>
      <c r="AC81" s="160">
        <f>TripMode_input!AA58*Index!$B$2</f>
        <v>2175</v>
      </c>
      <c r="AD81" s="160">
        <f>TripMode_input!AB58*Index!$B$2</f>
        <v>0</v>
      </c>
      <c r="AE81" s="160">
        <f>TripMode_input!AC58*Index!$B$2</f>
        <v>0</v>
      </c>
      <c r="AF81" s="160">
        <f>TripMode_input!AD58*Index!$B$2</f>
        <v>9810</v>
      </c>
      <c r="AG81" s="160">
        <f>TripMode_input!AE58*Index!$B$2</f>
        <v>0</v>
      </c>
      <c r="AH81" s="162">
        <f t="shared" si="188"/>
        <v>1065235</v>
      </c>
      <c r="AJ81" s="107" t="s">
        <v>392</v>
      </c>
      <c r="AK81" s="166">
        <f t="shared" si="219"/>
        <v>9.859069053384277E-2</v>
      </c>
      <c r="AL81" s="166">
        <f t="shared" si="189"/>
        <v>4.3449058268312017E-2</v>
      </c>
      <c r="AM81" s="166">
        <f t="shared" si="190"/>
        <v>0.22438292158715739</v>
      </c>
      <c r="AN81" s="166">
        <f t="shared" si="191"/>
        <v>0</v>
      </c>
      <c r="AO81" s="166">
        <f t="shared" si="192"/>
        <v>0.11965361246894958</v>
      </c>
      <c r="AP81" s="166">
        <f t="shared" si="193"/>
        <v>0.19015830616972021</v>
      </c>
      <c r="AQ81" s="166">
        <f t="shared" si="194"/>
        <v>0.88196993818996161</v>
      </c>
      <c r="AR81" s="166">
        <f t="shared" si="195"/>
        <v>0.65148780883369573</v>
      </c>
      <c r="AS81" s="166">
        <f t="shared" si="196"/>
        <v>0.93917136212929642</v>
      </c>
      <c r="AT81" s="166">
        <f t="shared" si="197"/>
        <v>0.93246143050628694</v>
      </c>
      <c r="AU81" s="166">
        <f t="shared" si="198"/>
        <v>0.95918698433987548</v>
      </c>
      <c r="AV81" s="166">
        <f t="shared" si="199"/>
        <v>0.95350237504186652</v>
      </c>
      <c r="AW81" s="166">
        <f t="shared" si="200"/>
        <v>1</v>
      </c>
      <c r="AX81" s="166">
        <f t="shared" si="201"/>
        <v>0</v>
      </c>
      <c r="AY81" s="168">
        <f t="shared" si="202"/>
        <v>0.29447302032806183</v>
      </c>
      <c r="BA81" s="107" t="s">
        <v>392</v>
      </c>
      <c r="BB81" s="166">
        <f t="shared" si="220"/>
        <v>0</v>
      </c>
      <c r="BC81" s="166">
        <f t="shared" si="203"/>
        <v>0</v>
      </c>
      <c r="BD81" s="166">
        <f t="shared" si="204"/>
        <v>0.22640845070422536</v>
      </c>
      <c r="BE81" s="166">
        <f t="shared" si="205"/>
        <v>3.4217877094972066E-2</v>
      </c>
      <c r="BF81" s="166">
        <f t="shared" si="206"/>
        <v>0.13547784303256807</v>
      </c>
      <c r="BG81" s="166">
        <f t="shared" si="207"/>
        <v>4.6153846153846156E-2</v>
      </c>
      <c r="BH81" s="166">
        <f t="shared" si="208"/>
        <v>1</v>
      </c>
      <c r="BI81" s="166">
        <f t="shared" si="209"/>
        <v>0</v>
      </c>
      <c r="BJ81" s="166" t="str">
        <f t="shared" si="210"/>
        <v/>
      </c>
      <c r="BK81" s="166">
        <f t="shared" si="211"/>
        <v>0.68181818181818177</v>
      </c>
      <c r="BL81" s="166" t="str">
        <f t="shared" si="212"/>
        <v/>
      </c>
      <c r="BM81" s="166" t="str">
        <f t="shared" si="213"/>
        <v/>
      </c>
      <c r="BN81" s="166">
        <f t="shared" si="214"/>
        <v>0.24797775530839231</v>
      </c>
      <c r="BO81" s="166" t="str">
        <f t="shared" si="215"/>
        <v/>
      </c>
      <c r="BP81" s="168">
        <f t="shared" si="216"/>
        <v>0.36996061570092936</v>
      </c>
      <c r="BR81" s="107" t="s">
        <v>392</v>
      </c>
      <c r="BS81" s="166"/>
      <c r="BT81" s="166"/>
      <c r="BU81" s="166"/>
      <c r="BV81" s="166"/>
      <c r="BW81" s="166"/>
      <c r="BX81" s="166"/>
      <c r="BY81" s="166"/>
      <c r="BZ81" s="166"/>
      <c r="CA81" s="166"/>
      <c r="CB81" s="166"/>
      <c r="CC81" s="166"/>
      <c r="CD81" s="166"/>
      <c r="CE81" s="166"/>
      <c r="CF81" s="166"/>
      <c r="CG81" s="168"/>
    </row>
    <row r="82" spans="2:85" x14ac:dyDescent="0.25">
      <c r="B82" s="107" t="s">
        <v>393</v>
      </c>
      <c r="C82" s="160">
        <f>TripMode_input!B59</f>
        <v>1419.346</v>
      </c>
      <c r="D82" s="160">
        <f>TripMode_input!C59</f>
        <v>0</v>
      </c>
      <c r="E82" s="160">
        <f>TripMode_input!D59</f>
        <v>0</v>
      </c>
      <c r="F82" s="160">
        <f>TripMode_input!E59</f>
        <v>0</v>
      </c>
      <c r="G82" s="160">
        <f>TripMode_input!F59</f>
        <v>0</v>
      </c>
      <c r="H82" s="160">
        <f>TripMode_input!G59</f>
        <v>0</v>
      </c>
      <c r="I82" s="160">
        <f>TripMode_input!H59</f>
        <v>0</v>
      </c>
      <c r="J82" s="160">
        <f>TripMode_input!I59</f>
        <v>1393.48236</v>
      </c>
      <c r="K82" s="160">
        <f>TripMode_input!J59</f>
        <v>503.83353</v>
      </c>
      <c r="L82" s="160">
        <f>TripMode_input!K59</f>
        <v>0</v>
      </c>
      <c r="M82" s="160">
        <f>TripMode_input!L59</f>
        <v>0</v>
      </c>
      <c r="N82" s="160">
        <f>TripMode_input!M59</f>
        <v>0</v>
      </c>
      <c r="O82" s="160">
        <f>TripMode_input!N59</f>
        <v>0</v>
      </c>
      <c r="P82" s="160">
        <f>TripMode_input!O59</f>
        <v>0</v>
      </c>
      <c r="Q82" s="162">
        <f t="shared" si="187"/>
        <v>3316.6618899999999</v>
      </c>
      <c r="S82" s="107" t="s">
        <v>393</v>
      </c>
      <c r="T82" s="160">
        <f>TripMode_input!R59*Index!$B$2</f>
        <v>0</v>
      </c>
      <c r="U82" s="160">
        <f>TripMode_input!S59*Index!$B$2</f>
        <v>0</v>
      </c>
      <c r="V82" s="160">
        <f>TripMode_input!T59*Index!$B$2</f>
        <v>0</v>
      </c>
      <c r="W82" s="160">
        <f>TripMode_input!U59*Index!$B$2</f>
        <v>0</v>
      </c>
      <c r="X82" s="160">
        <f>TripMode_input!V59*Index!$B$2</f>
        <v>0</v>
      </c>
      <c r="Y82" s="160">
        <f>TripMode_input!W59*Index!$B$2</f>
        <v>0</v>
      </c>
      <c r="Z82" s="160">
        <f>TripMode_input!X59*Index!$B$2</f>
        <v>0</v>
      </c>
      <c r="AA82" s="160">
        <f>TripMode_input!Y59*Index!$B$2</f>
        <v>12695</v>
      </c>
      <c r="AB82" s="160">
        <f>TripMode_input!Z59*Index!$B$2</f>
        <v>0</v>
      </c>
      <c r="AC82" s="160">
        <f>TripMode_input!AA59*Index!$B$2</f>
        <v>0</v>
      </c>
      <c r="AD82" s="160">
        <f>TripMode_input!AB59*Index!$B$2</f>
        <v>0</v>
      </c>
      <c r="AE82" s="160">
        <f>TripMode_input!AC59*Index!$B$2</f>
        <v>0</v>
      </c>
      <c r="AF82" s="160">
        <f>TripMode_input!AD59*Index!$B$2</f>
        <v>0</v>
      </c>
      <c r="AG82" s="160">
        <f>TripMode_input!AE59*Index!$B$2</f>
        <v>0</v>
      </c>
      <c r="AH82" s="162">
        <f t="shared" si="188"/>
        <v>12695</v>
      </c>
      <c r="AJ82" s="107" t="s">
        <v>393</v>
      </c>
      <c r="AK82" s="166">
        <f t="shared" si="219"/>
        <v>2.4558125778314168E-3</v>
      </c>
      <c r="AL82" s="166">
        <f t="shared" si="189"/>
        <v>0</v>
      </c>
      <c r="AM82" s="166">
        <f t="shared" si="190"/>
        <v>0</v>
      </c>
      <c r="AN82" s="166">
        <f t="shared" si="191"/>
        <v>0</v>
      </c>
      <c r="AO82" s="166">
        <f t="shared" si="192"/>
        <v>0</v>
      </c>
      <c r="AP82" s="166">
        <f t="shared" si="193"/>
        <v>0</v>
      </c>
      <c r="AQ82" s="166">
        <f t="shared" si="194"/>
        <v>0</v>
      </c>
      <c r="AR82" s="166">
        <f t="shared" si="195"/>
        <v>7.0164948265301272E-2</v>
      </c>
      <c r="AS82" s="166">
        <f t="shared" si="196"/>
        <v>5.4509707171145417E-3</v>
      </c>
      <c r="AT82" s="166">
        <f t="shared" si="197"/>
        <v>0</v>
      </c>
      <c r="AU82" s="166">
        <f t="shared" si="198"/>
        <v>0</v>
      </c>
      <c r="AV82" s="166">
        <f t="shared" si="199"/>
        <v>0</v>
      </c>
      <c r="AW82" s="166">
        <f t="shared" si="200"/>
        <v>0</v>
      </c>
      <c r="AX82" s="166">
        <f t="shared" si="201"/>
        <v>0</v>
      </c>
      <c r="AY82" s="168">
        <f t="shared" si="202"/>
        <v>3.215998813421714E-3</v>
      </c>
      <c r="BA82" s="107" t="s">
        <v>393</v>
      </c>
      <c r="BB82" s="166">
        <f t="shared" si="220"/>
        <v>0</v>
      </c>
      <c r="BC82" s="166">
        <f t="shared" si="203"/>
        <v>0</v>
      </c>
      <c r="BD82" s="166">
        <f t="shared" si="204"/>
        <v>0</v>
      </c>
      <c r="BE82" s="166">
        <f t="shared" si="205"/>
        <v>0</v>
      </c>
      <c r="BF82" s="166">
        <f t="shared" si="206"/>
        <v>0</v>
      </c>
      <c r="BG82" s="166">
        <f t="shared" si="207"/>
        <v>0</v>
      </c>
      <c r="BH82" s="166">
        <f t="shared" si="208"/>
        <v>0</v>
      </c>
      <c r="BI82" s="166">
        <f t="shared" si="209"/>
        <v>1</v>
      </c>
      <c r="BJ82" s="166" t="str">
        <f t="shared" si="210"/>
        <v/>
      </c>
      <c r="BK82" s="166">
        <f t="shared" si="211"/>
        <v>0</v>
      </c>
      <c r="BL82" s="166" t="str">
        <f t="shared" si="212"/>
        <v/>
      </c>
      <c r="BM82" s="166" t="str">
        <f t="shared" si="213"/>
        <v/>
      </c>
      <c r="BN82" s="166">
        <f t="shared" si="214"/>
        <v>0</v>
      </c>
      <c r="BO82" s="166" t="str">
        <f t="shared" si="215"/>
        <v/>
      </c>
      <c r="BP82" s="168">
        <f t="shared" si="216"/>
        <v>4.4090271314060261E-3</v>
      </c>
      <c r="BR82" s="107" t="s">
        <v>393</v>
      </c>
      <c r="BS82" s="166"/>
      <c r="BT82" s="166"/>
      <c r="BU82" s="166"/>
      <c r="BV82" s="166"/>
      <c r="BW82" s="166"/>
      <c r="BX82" s="166"/>
      <c r="BY82" s="166"/>
      <c r="BZ82" s="166"/>
      <c r="CA82" s="166"/>
      <c r="CB82" s="166"/>
      <c r="CC82" s="166"/>
      <c r="CD82" s="166"/>
      <c r="CE82" s="166"/>
      <c r="CF82" s="166"/>
      <c r="CG82" s="168"/>
    </row>
    <row r="83" spans="2:85" x14ac:dyDescent="0.25">
      <c r="B83" s="107" t="s">
        <v>394</v>
      </c>
      <c r="C83" s="160">
        <f>TripMode_input!B60</f>
        <v>1821.29186</v>
      </c>
      <c r="D83" s="160">
        <f>TripMode_input!C60</f>
        <v>0</v>
      </c>
      <c r="E83" s="160">
        <f>TripMode_input!D60</f>
        <v>307.83839</v>
      </c>
      <c r="F83" s="160">
        <f>TripMode_input!E60</f>
        <v>0</v>
      </c>
      <c r="G83" s="160">
        <f>TripMode_input!F60</f>
        <v>0</v>
      </c>
      <c r="H83" s="160">
        <f>TripMode_input!G60</f>
        <v>0</v>
      </c>
      <c r="I83" s="160">
        <f>TripMode_input!H60</f>
        <v>961.57952</v>
      </c>
      <c r="J83" s="160">
        <f>TripMode_input!I60</f>
        <v>257.36313999999999</v>
      </c>
      <c r="K83" s="160">
        <f>TripMode_input!J60</f>
        <v>1039.5472400000001</v>
      </c>
      <c r="L83" s="160">
        <f>TripMode_input!K60</f>
        <v>252.90235999999999</v>
      </c>
      <c r="M83" s="160">
        <f>TripMode_input!L60</f>
        <v>30.008050000000001</v>
      </c>
      <c r="N83" s="160">
        <f>TripMode_input!M60</f>
        <v>913.27135999999996</v>
      </c>
      <c r="O83" s="160">
        <f>TripMode_input!N60</f>
        <v>0</v>
      </c>
      <c r="P83" s="160">
        <f>TripMode_input!O60</f>
        <v>0</v>
      </c>
      <c r="Q83" s="162">
        <f t="shared" si="187"/>
        <v>5583.8019200000008</v>
      </c>
      <c r="S83" s="107" t="s">
        <v>394</v>
      </c>
      <c r="T83" s="160">
        <f>TripMode_input!R60*Index!$B$2</f>
        <v>0</v>
      </c>
      <c r="U83" s="160">
        <f>TripMode_input!S60*Index!$B$2</f>
        <v>0</v>
      </c>
      <c r="V83" s="160">
        <f>TripMode_input!T60*Index!$B$2</f>
        <v>0</v>
      </c>
      <c r="W83" s="160">
        <f>TripMode_input!U60*Index!$B$2</f>
        <v>0</v>
      </c>
      <c r="X83" s="160">
        <f>TripMode_input!V60*Index!$B$2</f>
        <v>0</v>
      </c>
      <c r="Y83" s="160">
        <f>TripMode_input!W60*Index!$B$2</f>
        <v>0</v>
      </c>
      <c r="Z83" s="160">
        <f>TripMode_input!X60*Index!$B$2</f>
        <v>0</v>
      </c>
      <c r="AA83" s="160">
        <f>TripMode_input!Y60*Index!$B$2</f>
        <v>0</v>
      </c>
      <c r="AB83" s="160">
        <f>TripMode_input!Z60*Index!$B$2</f>
        <v>0</v>
      </c>
      <c r="AC83" s="160">
        <f>TripMode_input!AA60*Index!$B$2</f>
        <v>0</v>
      </c>
      <c r="AD83" s="160">
        <f>TripMode_input!AB60*Index!$B$2</f>
        <v>0</v>
      </c>
      <c r="AE83" s="160">
        <f>TripMode_input!AC60*Index!$B$2</f>
        <v>0</v>
      </c>
      <c r="AF83" s="160">
        <f>TripMode_input!AD60*Index!$B$2</f>
        <v>0</v>
      </c>
      <c r="AG83" s="160">
        <f>TripMode_input!AE60*Index!$B$2</f>
        <v>0</v>
      </c>
      <c r="AH83" s="162">
        <f t="shared" si="188"/>
        <v>0</v>
      </c>
      <c r="AJ83" s="107" t="s">
        <v>394</v>
      </c>
      <c r="AK83" s="166">
        <f t="shared" si="219"/>
        <v>3.1512763326841911E-3</v>
      </c>
      <c r="AL83" s="166">
        <f t="shared" si="189"/>
        <v>0</v>
      </c>
      <c r="AM83" s="166">
        <f t="shared" si="190"/>
        <v>3.0491583934074374E-3</v>
      </c>
      <c r="AN83" s="166">
        <f t="shared" si="191"/>
        <v>0</v>
      </c>
      <c r="AO83" s="166">
        <f t="shared" si="192"/>
        <v>0</v>
      </c>
      <c r="AP83" s="166">
        <f t="shared" si="193"/>
        <v>0</v>
      </c>
      <c r="AQ83" s="166">
        <f t="shared" si="194"/>
        <v>8.7405395755800641E-2</v>
      </c>
      <c r="AR83" s="166">
        <f t="shared" si="195"/>
        <v>1.2958808752696008E-2</v>
      </c>
      <c r="AS83" s="166">
        <f t="shared" si="196"/>
        <v>1.1246852833111848E-2</v>
      </c>
      <c r="AT83" s="166">
        <f t="shared" si="197"/>
        <v>6.1037013576044933E-3</v>
      </c>
      <c r="AU83" s="166">
        <f t="shared" si="198"/>
        <v>1.8074601958045088E-3</v>
      </c>
      <c r="AV83" s="166">
        <f t="shared" si="199"/>
        <v>1.7467926112687982E-2</v>
      </c>
      <c r="AW83" s="166">
        <f t="shared" si="200"/>
        <v>0</v>
      </c>
      <c r="AX83" s="166">
        <f t="shared" si="201"/>
        <v>0</v>
      </c>
      <c r="AY83" s="168">
        <f t="shared" si="202"/>
        <v>5.4143295110198556E-3</v>
      </c>
      <c r="BA83" s="107" t="s">
        <v>394</v>
      </c>
      <c r="BB83" s="166">
        <f t="shared" si="220"/>
        <v>0</v>
      </c>
      <c r="BC83" s="166">
        <f t="shared" si="203"/>
        <v>0</v>
      </c>
      <c r="BD83" s="166">
        <f t="shared" si="204"/>
        <v>0</v>
      </c>
      <c r="BE83" s="166">
        <f t="shared" si="205"/>
        <v>0</v>
      </c>
      <c r="BF83" s="166">
        <f t="shared" si="206"/>
        <v>0</v>
      </c>
      <c r="BG83" s="166">
        <f t="shared" si="207"/>
        <v>0</v>
      </c>
      <c r="BH83" s="166">
        <f t="shared" si="208"/>
        <v>0</v>
      </c>
      <c r="BI83" s="166">
        <f t="shared" si="209"/>
        <v>0</v>
      </c>
      <c r="BJ83" s="166" t="str">
        <f t="shared" si="210"/>
        <v/>
      </c>
      <c r="BK83" s="166">
        <f t="shared" si="211"/>
        <v>0</v>
      </c>
      <c r="BL83" s="166" t="str">
        <f t="shared" si="212"/>
        <v/>
      </c>
      <c r="BM83" s="166" t="str">
        <f t="shared" si="213"/>
        <v/>
      </c>
      <c r="BN83" s="166">
        <f t="shared" si="214"/>
        <v>0</v>
      </c>
      <c r="BO83" s="166" t="str">
        <f t="shared" si="215"/>
        <v/>
      </c>
      <c r="BP83" s="168">
        <f t="shared" si="216"/>
        <v>0</v>
      </c>
      <c r="BR83" s="107" t="s">
        <v>394</v>
      </c>
      <c r="BS83" s="166"/>
      <c r="BT83" s="166"/>
      <c r="BU83" s="166"/>
      <c r="BV83" s="166"/>
      <c r="BW83" s="166"/>
      <c r="BX83" s="166"/>
      <c r="BY83" s="166"/>
      <c r="BZ83" s="166"/>
      <c r="CA83" s="166"/>
      <c r="CB83" s="166"/>
      <c r="CC83" s="166"/>
      <c r="CD83" s="166"/>
      <c r="CE83" s="166"/>
      <c r="CF83" s="166"/>
      <c r="CG83" s="168"/>
    </row>
    <row r="84" spans="2:85" x14ac:dyDescent="0.25">
      <c r="B84" s="107" t="s">
        <v>395</v>
      </c>
      <c r="C84" s="160">
        <f>TripMode_input!B61</f>
        <v>733.91264000000001</v>
      </c>
      <c r="D84" s="160">
        <f>TripMode_input!C61</f>
        <v>0</v>
      </c>
      <c r="E84" s="160">
        <f>TripMode_input!D61</f>
        <v>0</v>
      </c>
      <c r="F84" s="160">
        <f>TripMode_input!E61</f>
        <v>0</v>
      </c>
      <c r="G84" s="160">
        <f>TripMode_input!F61</f>
        <v>0</v>
      </c>
      <c r="H84" s="160">
        <f>TripMode_input!G61</f>
        <v>0</v>
      </c>
      <c r="I84" s="160">
        <f>TripMode_input!H61</f>
        <v>0</v>
      </c>
      <c r="J84" s="160">
        <f>TripMode_input!I61</f>
        <v>0</v>
      </c>
      <c r="K84" s="160">
        <f>TripMode_input!J61</f>
        <v>0</v>
      </c>
      <c r="L84" s="160">
        <f>TripMode_input!K61</f>
        <v>0</v>
      </c>
      <c r="M84" s="160">
        <f>TripMode_input!L61</f>
        <v>0</v>
      </c>
      <c r="N84" s="160">
        <f>TripMode_input!M61</f>
        <v>369.28928000000002</v>
      </c>
      <c r="O84" s="160">
        <f>TripMode_input!N61</f>
        <v>0</v>
      </c>
      <c r="P84" s="160">
        <f>TripMode_input!O61</f>
        <v>0</v>
      </c>
      <c r="Q84" s="162">
        <f t="shared" si="187"/>
        <v>1103.20192</v>
      </c>
      <c r="S84" s="107" t="s">
        <v>395</v>
      </c>
      <c r="T84" s="160">
        <f>TripMode_input!R61*Index!$B$2</f>
        <v>0</v>
      </c>
      <c r="U84" s="160">
        <f>TripMode_input!S61*Index!$B$2</f>
        <v>0</v>
      </c>
      <c r="V84" s="160">
        <f>TripMode_input!T61*Index!$B$2</f>
        <v>0</v>
      </c>
      <c r="W84" s="160">
        <f>TripMode_input!U61*Index!$B$2</f>
        <v>0</v>
      </c>
      <c r="X84" s="160">
        <f>TripMode_input!V61*Index!$B$2</f>
        <v>0</v>
      </c>
      <c r="Y84" s="160">
        <f>TripMode_input!W61*Index!$B$2</f>
        <v>0</v>
      </c>
      <c r="Z84" s="160">
        <f>TripMode_input!X61*Index!$B$2</f>
        <v>0</v>
      </c>
      <c r="AA84" s="160">
        <f>TripMode_input!Y61*Index!$B$2</f>
        <v>0</v>
      </c>
      <c r="AB84" s="160">
        <f>TripMode_input!Z61*Index!$B$2</f>
        <v>0</v>
      </c>
      <c r="AC84" s="160">
        <f>TripMode_input!AA61*Index!$B$2</f>
        <v>50</v>
      </c>
      <c r="AD84" s="160">
        <f>TripMode_input!AB61*Index!$B$2</f>
        <v>0</v>
      </c>
      <c r="AE84" s="160">
        <f>TripMode_input!AC61*Index!$B$2</f>
        <v>0</v>
      </c>
      <c r="AF84" s="160">
        <f>TripMode_input!AD61*Index!$B$2</f>
        <v>0</v>
      </c>
      <c r="AG84" s="160">
        <f>TripMode_input!AE61*Index!$B$2</f>
        <v>0</v>
      </c>
      <c r="AH84" s="162">
        <f t="shared" si="188"/>
        <v>50</v>
      </c>
      <c r="AJ84" s="107" t="s">
        <v>395</v>
      </c>
      <c r="AK84" s="166">
        <f t="shared" si="219"/>
        <v>1.2698467409225521E-3</v>
      </c>
      <c r="AL84" s="166">
        <f t="shared" si="189"/>
        <v>0</v>
      </c>
      <c r="AM84" s="166">
        <f t="shared" si="190"/>
        <v>0</v>
      </c>
      <c r="AN84" s="166">
        <f t="shared" si="191"/>
        <v>0</v>
      </c>
      <c r="AO84" s="166">
        <f t="shared" si="192"/>
        <v>0</v>
      </c>
      <c r="AP84" s="166">
        <f t="shared" si="193"/>
        <v>0</v>
      </c>
      <c r="AQ84" s="166">
        <f t="shared" si="194"/>
        <v>0</v>
      </c>
      <c r="AR84" s="166">
        <f t="shared" si="195"/>
        <v>0</v>
      </c>
      <c r="AS84" s="166">
        <f t="shared" si="196"/>
        <v>0</v>
      </c>
      <c r="AT84" s="166">
        <f t="shared" si="197"/>
        <v>0</v>
      </c>
      <c r="AU84" s="166">
        <f t="shared" si="198"/>
        <v>0</v>
      </c>
      <c r="AV84" s="166">
        <f t="shared" si="199"/>
        <v>7.063309044584235E-3</v>
      </c>
      <c r="AW84" s="166">
        <f t="shared" si="200"/>
        <v>0</v>
      </c>
      <c r="AX84" s="166">
        <f t="shared" si="201"/>
        <v>0</v>
      </c>
      <c r="AY84" s="168">
        <f t="shared" si="202"/>
        <v>1.0697189473493653E-3</v>
      </c>
      <c r="BA84" s="107" t="s">
        <v>395</v>
      </c>
      <c r="BB84" s="166">
        <f t="shared" si="220"/>
        <v>0</v>
      </c>
      <c r="BC84" s="166">
        <f t="shared" si="203"/>
        <v>0</v>
      </c>
      <c r="BD84" s="166">
        <f t="shared" si="204"/>
        <v>0</v>
      </c>
      <c r="BE84" s="166">
        <f t="shared" si="205"/>
        <v>0</v>
      </c>
      <c r="BF84" s="166">
        <f t="shared" si="206"/>
        <v>0</v>
      </c>
      <c r="BG84" s="166">
        <f t="shared" si="207"/>
        <v>0</v>
      </c>
      <c r="BH84" s="166">
        <f t="shared" si="208"/>
        <v>0</v>
      </c>
      <c r="BI84" s="166">
        <f t="shared" si="209"/>
        <v>0</v>
      </c>
      <c r="BJ84" s="166" t="str">
        <f t="shared" si="210"/>
        <v/>
      </c>
      <c r="BK84" s="166">
        <f t="shared" si="211"/>
        <v>1.5673981191222569E-2</v>
      </c>
      <c r="BL84" s="166" t="str">
        <f t="shared" si="212"/>
        <v/>
      </c>
      <c r="BM84" s="166" t="str">
        <f t="shared" si="213"/>
        <v/>
      </c>
      <c r="BN84" s="166">
        <f t="shared" si="214"/>
        <v>0</v>
      </c>
      <c r="BO84" s="166" t="str">
        <f t="shared" si="215"/>
        <v/>
      </c>
      <c r="BP84" s="168">
        <f t="shared" si="216"/>
        <v>1.7365211230429406E-5</v>
      </c>
      <c r="BR84" s="107" t="s">
        <v>395</v>
      </c>
      <c r="BS84" s="166">
        <f t="shared" ref="BS84:BS89" si="222">IF(OR(ISNA(AK84),AK84=0,AK84=""),"",(BB84-AK84)/AK84)</f>
        <v>-1</v>
      </c>
      <c r="BT84" s="166" t="str">
        <f t="shared" ref="BT84:BT89" si="223">IF(OR(ISNA(AL84),AL84=0,AL84=""),"",(BC84-AL84)/AL84)</f>
        <v/>
      </c>
      <c r="BU84" s="166" t="str">
        <f t="shared" ref="BU84:BU89" si="224">IF(OR(ISNA(AM84),AM84=0,AM84=""),"",(BD84-AM84)/AM84)</f>
        <v/>
      </c>
      <c r="BV84" s="166" t="str">
        <f t="shared" ref="BV84:BV89" si="225">IF(OR(ISNA(AN84),AN84=0,AN84=""),"",(BE84-AN84)/AN84)</f>
        <v/>
      </c>
      <c r="BW84" s="166"/>
      <c r="BX84" s="166"/>
      <c r="BY84" s="166"/>
      <c r="BZ84" s="166"/>
      <c r="CA84" s="166"/>
      <c r="CB84" s="166" t="str">
        <f t="shared" ref="CB84:CB89" si="226">IF(OR(ISNA(AT84),AT84=0,AT84=""),"",(BK84-AT84)/AT84)</f>
        <v/>
      </c>
      <c r="CC84" s="166" t="str">
        <f t="shared" ref="CC84:CC89" si="227">IF(OR(ISNA(AU84),AU84=0,AU84=""),"",(BL84-AU84)/AU84)</f>
        <v/>
      </c>
      <c r="CD84" s="166" t="e">
        <f t="shared" ref="CD84:CD89" si="228">IF(OR(ISNA(AV84),AV84=0,AV84=""),"",(BM84-AV84)/AV84)</f>
        <v>#VALUE!</v>
      </c>
      <c r="CE84" s="166" t="str">
        <f t="shared" ref="CE84:CE89" si="229">IF(OR(ISNA(AW84),AW84=0,AW84=""),"",(BN84-AW84)/AW84)</f>
        <v/>
      </c>
      <c r="CF84" s="166" t="str">
        <f t="shared" ref="CF84:CF89" si="230">IF(OR(ISNA(AX84),AX84=0,AX84=""),"",(BO84-AX84)/AX84)</f>
        <v/>
      </c>
      <c r="CG84" s="168">
        <f t="shared" ref="CG84:CG89" si="231">IF(OR(ISNA(AY84),AY84=0,AY84=""),"",(BP84-AY84)/AY84)</f>
        <v>-0.98376656665429885</v>
      </c>
    </row>
    <row r="85" spans="2:85" x14ac:dyDescent="0.25">
      <c r="B85" s="107" t="s">
        <v>396</v>
      </c>
      <c r="C85" s="160">
        <f>TripMode_input!B62</f>
        <v>0</v>
      </c>
      <c r="D85" s="160">
        <f>TripMode_input!C62</f>
        <v>0</v>
      </c>
      <c r="E85" s="160">
        <f>TripMode_input!D62</f>
        <v>0</v>
      </c>
      <c r="F85" s="160">
        <f>TripMode_input!E62</f>
        <v>0</v>
      </c>
      <c r="G85" s="160">
        <f>TripMode_input!F62</f>
        <v>0</v>
      </c>
      <c r="H85" s="160">
        <f>TripMode_input!G62</f>
        <v>0</v>
      </c>
      <c r="I85" s="160">
        <f>TripMode_input!H62</f>
        <v>0</v>
      </c>
      <c r="J85" s="160">
        <f>TripMode_input!I62</f>
        <v>0</v>
      </c>
      <c r="K85" s="160">
        <f>TripMode_input!J62</f>
        <v>0</v>
      </c>
      <c r="L85" s="160">
        <f>TripMode_input!K62</f>
        <v>0</v>
      </c>
      <c r="M85" s="160">
        <f>TripMode_input!L62</f>
        <v>0</v>
      </c>
      <c r="N85" s="160">
        <f>TripMode_input!M62</f>
        <v>0</v>
      </c>
      <c r="O85" s="160">
        <f>TripMode_input!N62</f>
        <v>0</v>
      </c>
      <c r="P85" s="160">
        <f>TripMode_input!O62</f>
        <v>0</v>
      </c>
      <c r="Q85" s="162">
        <f t="shared" si="187"/>
        <v>0</v>
      </c>
      <c r="S85" s="107" t="s">
        <v>396</v>
      </c>
      <c r="T85" s="160">
        <f>TripMode_input!R62*Index!$B$2</f>
        <v>0</v>
      </c>
      <c r="U85" s="160">
        <f>TripMode_input!S62*Index!$B$2</f>
        <v>0</v>
      </c>
      <c r="V85" s="160">
        <f>TripMode_input!T62*Index!$B$2</f>
        <v>0</v>
      </c>
      <c r="W85" s="160">
        <f>TripMode_input!U62*Index!$B$2</f>
        <v>0</v>
      </c>
      <c r="X85" s="160">
        <f>TripMode_input!V62*Index!$B$2</f>
        <v>0</v>
      </c>
      <c r="Y85" s="160">
        <f>TripMode_input!W62*Index!$B$2</f>
        <v>0</v>
      </c>
      <c r="Z85" s="160">
        <f>TripMode_input!X62*Index!$B$2</f>
        <v>0</v>
      </c>
      <c r="AA85" s="160">
        <f>TripMode_input!Y62*Index!$B$2</f>
        <v>0</v>
      </c>
      <c r="AB85" s="160">
        <f>TripMode_input!Z62*Index!$B$2</f>
        <v>0</v>
      </c>
      <c r="AC85" s="160">
        <f>TripMode_input!AA62*Index!$B$2</f>
        <v>0</v>
      </c>
      <c r="AD85" s="160">
        <f>TripMode_input!AB62*Index!$B$2</f>
        <v>0</v>
      </c>
      <c r="AE85" s="160">
        <f>TripMode_input!AC62*Index!$B$2</f>
        <v>0</v>
      </c>
      <c r="AF85" s="160">
        <f>TripMode_input!AD62*Index!$B$2</f>
        <v>0</v>
      </c>
      <c r="AG85" s="160">
        <f>TripMode_input!AE62*Index!$B$2</f>
        <v>0</v>
      </c>
      <c r="AH85" s="162">
        <f t="shared" si="188"/>
        <v>0</v>
      </c>
      <c r="AJ85" s="107" t="s">
        <v>396</v>
      </c>
      <c r="AK85" s="166">
        <f t="shared" si="219"/>
        <v>0</v>
      </c>
      <c r="AL85" s="166">
        <f t="shared" si="189"/>
        <v>0</v>
      </c>
      <c r="AM85" s="166">
        <f t="shared" si="190"/>
        <v>0</v>
      </c>
      <c r="AN85" s="166">
        <f t="shared" si="191"/>
        <v>0</v>
      </c>
      <c r="AO85" s="166">
        <f t="shared" si="192"/>
        <v>0</v>
      </c>
      <c r="AP85" s="166">
        <f t="shared" si="193"/>
        <v>0</v>
      </c>
      <c r="AQ85" s="166">
        <f t="shared" si="194"/>
        <v>0</v>
      </c>
      <c r="AR85" s="166">
        <f t="shared" si="195"/>
        <v>0</v>
      </c>
      <c r="AS85" s="166">
        <f t="shared" si="196"/>
        <v>0</v>
      </c>
      <c r="AT85" s="166">
        <f t="shared" si="197"/>
        <v>0</v>
      </c>
      <c r="AU85" s="166">
        <f t="shared" si="198"/>
        <v>0</v>
      </c>
      <c r="AV85" s="166">
        <f t="shared" si="199"/>
        <v>0</v>
      </c>
      <c r="AW85" s="166">
        <f t="shared" si="200"/>
        <v>0</v>
      </c>
      <c r="AX85" s="166">
        <f t="shared" si="201"/>
        <v>0</v>
      </c>
      <c r="AY85" s="168">
        <f t="shared" si="202"/>
        <v>0</v>
      </c>
      <c r="BA85" s="107" t="s">
        <v>396</v>
      </c>
      <c r="BB85" s="166">
        <f t="shared" si="220"/>
        <v>0</v>
      </c>
      <c r="BC85" s="166">
        <f t="shared" si="203"/>
        <v>0</v>
      </c>
      <c r="BD85" s="166">
        <f t="shared" si="204"/>
        <v>0</v>
      </c>
      <c r="BE85" s="166">
        <f t="shared" si="205"/>
        <v>0</v>
      </c>
      <c r="BF85" s="166">
        <f t="shared" si="206"/>
        <v>0</v>
      </c>
      <c r="BG85" s="166">
        <f t="shared" si="207"/>
        <v>0</v>
      </c>
      <c r="BH85" s="166">
        <f t="shared" si="208"/>
        <v>0</v>
      </c>
      <c r="BI85" s="166">
        <f t="shared" si="209"/>
        <v>0</v>
      </c>
      <c r="BJ85" s="166" t="str">
        <f t="shared" si="210"/>
        <v/>
      </c>
      <c r="BK85" s="166">
        <f t="shared" si="211"/>
        <v>0</v>
      </c>
      <c r="BL85" s="166" t="str">
        <f t="shared" si="212"/>
        <v/>
      </c>
      <c r="BM85" s="166" t="str">
        <f t="shared" si="213"/>
        <v/>
      </c>
      <c r="BN85" s="166">
        <f t="shared" si="214"/>
        <v>0</v>
      </c>
      <c r="BO85" s="166" t="str">
        <f t="shared" si="215"/>
        <v/>
      </c>
      <c r="BP85" s="168">
        <f t="shared" si="216"/>
        <v>0</v>
      </c>
      <c r="BR85" s="107" t="s">
        <v>396</v>
      </c>
      <c r="BS85" s="166" t="str">
        <f t="shared" si="222"/>
        <v/>
      </c>
      <c r="BT85" s="166" t="str">
        <f t="shared" si="223"/>
        <v/>
      </c>
      <c r="BU85" s="166" t="str">
        <f t="shared" si="224"/>
        <v/>
      </c>
      <c r="BV85" s="166" t="str">
        <f t="shared" si="225"/>
        <v/>
      </c>
      <c r="BW85" s="166"/>
      <c r="BX85" s="166"/>
      <c r="BY85" s="166"/>
      <c r="BZ85" s="166"/>
      <c r="CA85" s="166"/>
      <c r="CB85" s="166" t="str">
        <f t="shared" si="226"/>
        <v/>
      </c>
      <c r="CC85" s="166" t="str">
        <f t="shared" si="227"/>
        <v/>
      </c>
      <c r="CD85" s="166" t="str">
        <f t="shared" si="228"/>
        <v/>
      </c>
      <c r="CE85" s="166" t="str">
        <f t="shared" si="229"/>
        <v/>
      </c>
      <c r="CF85" s="166" t="str">
        <f t="shared" si="230"/>
        <v/>
      </c>
      <c r="CG85" s="168" t="str">
        <f t="shared" si="231"/>
        <v/>
      </c>
    </row>
    <row r="86" spans="2:85" x14ac:dyDescent="0.25">
      <c r="B86" s="107" t="s">
        <v>397</v>
      </c>
      <c r="C86" s="160">
        <f>TripMode_input!B63</f>
        <v>0</v>
      </c>
      <c r="D86" s="160">
        <f>TripMode_input!C63</f>
        <v>0</v>
      </c>
      <c r="E86" s="160">
        <f>TripMode_input!D63</f>
        <v>692.68317999999999</v>
      </c>
      <c r="F86" s="160">
        <f>TripMode_input!E63</f>
        <v>0</v>
      </c>
      <c r="G86" s="160">
        <f>TripMode_input!F63</f>
        <v>0</v>
      </c>
      <c r="H86" s="160">
        <f>TripMode_input!G63</f>
        <v>0</v>
      </c>
      <c r="I86" s="160">
        <f>TripMode_input!H63</f>
        <v>0</v>
      </c>
      <c r="J86" s="160">
        <f>TripMode_input!I63</f>
        <v>0</v>
      </c>
      <c r="K86" s="160">
        <f>TripMode_input!J63</f>
        <v>0</v>
      </c>
      <c r="L86" s="160">
        <f>TripMode_input!K63</f>
        <v>0</v>
      </c>
      <c r="M86" s="160">
        <f>TripMode_input!L63</f>
        <v>0</v>
      </c>
      <c r="N86" s="160">
        <f>TripMode_input!M63</f>
        <v>0</v>
      </c>
      <c r="O86" s="160">
        <f>TripMode_input!N63</f>
        <v>0</v>
      </c>
      <c r="P86" s="160">
        <f>TripMode_input!O63</f>
        <v>0</v>
      </c>
      <c r="Q86" s="162">
        <f t="shared" si="187"/>
        <v>692.68317999999999</v>
      </c>
      <c r="S86" s="107" t="s">
        <v>397</v>
      </c>
      <c r="T86" s="160">
        <f>TripMode_input!R63*Index!$B$2</f>
        <v>0</v>
      </c>
      <c r="U86" s="160">
        <f>TripMode_input!S63*Index!$B$2</f>
        <v>0</v>
      </c>
      <c r="V86" s="160">
        <f>TripMode_input!T63*Index!$B$2</f>
        <v>0</v>
      </c>
      <c r="W86" s="160">
        <f>TripMode_input!U63*Index!$B$2</f>
        <v>0</v>
      </c>
      <c r="X86" s="160">
        <f>TripMode_input!V63*Index!$B$2</f>
        <v>0</v>
      </c>
      <c r="Y86" s="160">
        <f>TripMode_input!W63*Index!$B$2</f>
        <v>0</v>
      </c>
      <c r="Z86" s="160">
        <f>TripMode_input!X63*Index!$B$2</f>
        <v>0</v>
      </c>
      <c r="AA86" s="160">
        <f>TripMode_input!Y63*Index!$B$2</f>
        <v>0</v>
      </c>
      <c r="AB86" s="160">
        <f>TripMode_input!Z63*Index!$B$2</f>
        <v>0</v>
      </c>
      <c r="AC86" s="160">
        <f>TripMode_input!AA63*Index!$B$2</f>
        <v>0</v>
      </c>
      <c r="AD86" s="160">
        <f>TripMode_input!AB63*Index!$B$2</f>
        <v>0</v>
      </c>
      <c r="AE86" s="160">
        <f>TripMode_input!AC63*Index!$B$2</f>
        <v>0</v>
      </c>
      <c r="AF86" s="160">
        <f>TripMode_input!AD63*Index!$B$2</f>
        <v>0</v>
      </c>
      <c r="AG86" s="160">
        <f>TripMode_input!AE63*Index!$B$2</f>
        <v>0</v>
      </c>
      <c r="AH86" s="162">
        <f t="shared" si="188"/>
        <v>0</v>
      </c>
      <c r="AJ86" s="107" t="s">
        <v>397</v>
      </c>
      <c r="AK86" s="166">
        <f t="shared" si="219"/>
        <v>0</v>
      </c>
      <c r="AL86" s="166">
        <f t="shared" si="189"/>
        <v>0</v>
      </c>
      <c r="AM86" s="166">
        <f t="shared" si="190"/>
        <v>6.861069966839271E-3</v>
      </c>
      <c r="AN86" s="166">
        <f t="shared" si="191"/>
        <v>0</v>
      </c>
      <c r="AO86" s="166">
        <f t="shared" si="192"/>
        <v>0</v>
      </c>
      <c r="AP86" s="166">
        <f t="shared" si="193"/>
        <v>0</v>
      </c>
      <c r="AQ86" s="166">
        <f t="shared" si="194"/>
        <v>0</v>
      </c>
      <c r="AR86" s="166">
        <f t="shared" si="195"/>
        <v>0</v>
      </c>
      <c r="AS86" s="166">
        <f t="shared" si="196"/>
        <v>0</v>
      </c>
      <c r="AT86" s="166">
        <f t="shared" si="197"/>
        <v>0</v>
      </c>
      <c r="AU86" s="166">
        <f t="shared" si="198"/>
        <v>0</v>
      </c>
      <c r="AV86" s="166">
        <f t="shared" si="199"/>
        <v>0</v>
      </c>
      <c r="AW86" s="166">
        <f t="shared" si="200"/>
        <v>0</v>
      </c>
      <c r="AX86" s="166">
        <f t="shared" si="201"/>
        <v>0</v>
      </c>
      <c r="AY86" s="168">
        <f t="shared" si="202"/>
        <v>6.7165974670911643E-4</v>
      </c>
      <c r="BA86" s="107" t="s">
        <v>397</v>
      </c>
      <c r="BB86" s="166">
        <f t="shared" si="220"/>
        <v>0</v>
      </c>
      <c r="BC86" s="166">
        <f t="shared" si="203"/>
        <v>0</v>
      </c>
      <c r="BD86" s="166">
        <f t="shared" si="204"/>
        <v>0</v>
      </c>
      <c r="BE86" s="166">
        <f t="shared" si="205"/>
        <v>0</v>
      </c>
      <c r="BF86" s="166">
        <f t="shared" si="206"/>
        <v>0</v>
      </c>
      <c r="BG86" s="166">
        <f t="shared" si="207"/>
        <v>0</v>
      </c>
      <c r="BH86" s="166">
        <f t="shared" si="208"/>
        <v>0</v>
      </c>
      <c r="BI86" s="166">
        <f t="shared" si="209"/>
        <v>0</v>
      </c>
      <c r="BJ86" s="166" t="str">
        <f t="shared" si="210"/>
        <v/>
      </c>
      <c r="BK86" s="166">
        <f t="shared" si="211"/>
        <v>0</v>
      </c>
      <c r="BL86" s="166" t="str">
        <f t="shared" si="212"/>
        <v/>
      </c>
      <c r="BM86" s="166" t="str">
        <f t="shared" si="213"/>
        <v/>
      </c>
      <c r="BN86" s="166">
        <f t="shared" si="214"/>
        <v>0</v>
      </c>
      <c r="BO86" s="166" t="str">
        <f t="shared" si="215"/>
        <v/>
      </c>
      <c r="BP86" s="168">
        <f t="shared" si="216"/>
        <v>0</v>
      </c>
      <c r="BR86" s="107" t="s">
        <v>397</v>
      </c>
      <c r="BS86" s="166" t="str">
        <f t="shared" si="222"/>
        <v/>
      </c>
      <c r="BT86" s="166" t="str">
        <f t="shared" si="223"/>
        <v/>
      </c>
      <c r="BU86" s="166">
        <f t="shared" si="224"/>
        <v>-1</v>
      </c>
      <c r="BV86" s="166" t="str">
        <f t="shared" si="225"/>
        <v/>
      </c>
      <c r="BW86" s="166"/>
      <c r="BX86" s="166"/>
      <c r="BY86" s="166"/>
      <c r="BZ86" s="166"/>
      <c r="CA86" s="166"/>
      <c r="CB86" s="166" t="str">
        <f t="shared" si="226"/>
        <v/>
      </c>
      <c r="CC86" s="166" t="str">
        <f t="shared" si="227"/>
        <v/>
      </c>
      <c r="CD86" s="166" t="str">
        <f t="shared" si="228"/>
        <v/>
      </c>
      <c r="CE86" s="166" t="str">
        <f t="shared" si="229"/>
        <v/>
      </c>
      <c r="CF86" s="166" t="str">
        <f t="shared" si="230"/>
        <v/>
      </c>
      <c r="CG86" s="168">
        <f t="shared" si="231"/>
        <v>-1</v>
      </c>
    </row>
    <row r="87" spans="2:85" x14ac:dyDescent="0.25">
      <c r="B87" s="107" t="s">
        <v>398</v>
      </c>
      <c r="C87" s="160">
        <f>TripMode_input!B64</f>
        <v>2524.7735600000001</v>
      </c>
      <c r="D87" s="160">
        <f>TripMode_input!C64</f>
        <v>87.105360000000005</v>
      </c>
      <c r="E87" s="160">
        <f>TripMode_input!D64</f>
        <v>524.46555999999998</v>
      </c>
      <c r="F87" s="160">
        <f>TripMode_input!E64</f>
        <v>0</v>
      </c>
      <c r="G87" s="160">
        <f>TripMode_input!F64</f>
        <v>0</v>
      </c>
      <c r="H87" s="160">
        <f>TripMode_input!G64</f>
        <v>92.561769999999996</v>
      </c>
      <c r="I87" s="160">
        <f>TripMode_input!H64</f>
        <v>0</v>
      </c>
      <c r="J87" s="160">
        <f>TripMode_input!I64</f>
        <v>0</v>
      </c>
      <c r="K87" s="160">
        <f>TripMode_input!J64</f>
        <v>1409.07907</v>
      </c>
      <c r="L87" s="160">
        <f>TripMode_input!K64</f>
        <v>2339.7333100000001</v>
      </c>
      <c r="M87" s="160">
        <f>TripMode_input!L64</f>
        <v>311.96030999999999</v>
      </c>
      <c r="N87" s="160">
        <f>TripMode_input!M64</f>
        <v>1011.27453</v>
      </c>
      <c r="O87" s="160">
        <f>TripMode_input!N64</f>
        <v>0</v>
      </c>
      <c r="P87" s="160">
        <f>TripMode_input!O64</f>
        <v>0</v>
      </c>
      <c r="Q87" s="162">
        <f t="shared" si="187"/>
        <v>8300.9534700000004</v>
      </c>
      <c r="S87" s="107" t="s">
        <v>398</v>
      </c>
      <c r="T87" s="160">
        <f>TripMode_input!R64*Index!$B$2</f>
        <v>0</v>
      </c>
      <c r="U87" s="160">
        <f>TripMode_input!S64*Index!$B$2</f>
        <v>0</v>
      </c>
      <c r="V87" s="160">
        <f>TripMode_input!T64*Index!$B$2</f>
        <v>0</v>
      </c>
      <c r="W87" s="160">
        <f>TripMode_input!U64*Index!$B$2</f>
        <v>0</v>
      </c>
      <c r="X87" s="160">
        <f>TripMode_input!V64*Index!$B$2</f>
        <v>0</v>
      </c>
      <c r="Y87" s="160">
        <f>TripMode_input!W64*Index!$B$2</f>
        <v>0</v>
      </c>
      <c r="Z87" s="160">
        <f>TripMode_input!X64*Index!$B$2</f>
        <v>0</v>
      </c>
      <c r="AA87" s="160">
        <f>TripMode_input!Y64*Index!$B$2</f>
        <v>0</v>
      </c>
      <c r="AB87" s="160">
        <f>TripMode_input!Z64*Index!$B$2</f>
        <v>0</v>
      </c>
      <c r="AC87" s="160">
        <f>TripMode_input!AA64*Index!$B$2</f>
        <v>955</v>
      </c>
      <c r="AD87" s="160">
        <f>TripMode_input!AB64*Index!$B$2</f>
        <v>0</v>
      </c>
      <c r="AE87" s="160">
        <f>TripMode_input!AC64*Index!$B$2</f>
        <v>0</v>
      </c>
      <c r="AF87" s="160">
        <f>TripMode_input!AD64*Index!$B$2</f>
        <v>29750</v>
      </c>
      <c r="AG87" s="160">
        <f>TripMode_input!AE64*Index!$B$2</f>
        <v>0</v>
      </c>
      <c r="AH87" s="162">
        <f t="shared" si="188"/>
        <v>30705</v>
      </c>
      <c r="AJ87" s="107" t="s">
        <v>398</v>
      </c>
      <c r="AK87" s="166">
        <f t="shared" si="219"/>
        <v>4.3684701720540326E-3</v>
      </c>
      <c r="AL87" s="166">
        <f t="shared" si="189"/>
        <v>1.3406947665325914E-3</v>
      </c>
      <c r="AM87" s="166">
        <f t="shared" si="190"/>
        <v>5.1948639814778522E-3</v>
      </c>
      <c r="AN87" s="166">
        <f t="shared" si="191"/>
        <v>0</v>
      </c>
      <c r="AO87" s="166">
        <f t="shared" si="192"/>
        <v>0</v>
      </c>
      <c r="AP87" s="166">
        <f t="shared" si="193"/>
        <v>1.6816660134105356E-2</v>
      </c>
      <c r="AQ87" s="166">
        <f t="shared" si="194"/>
        <v>0</v>
      </c>
      <c r="AR87" s="166">
        <f t="shared" si="195"/>
        <v>0</v>
      </c>
      <c r="AS87" s="166">
        <f t="shared" si="196"/>
        <v>1.524481458919376E-2</v>
      </c>
      <c r="AT87" s="166">
        <f t="shared" si="197"/>
        <v>5.6468565104253896E-2</v>
      </c>
      <c r="AU87" s="166">
        <f t="shared" si="198"/>
        <v>1.8790152742208681E-2</v>
      </c>
      <c r="AV87" s="166">
        <f t="shared" si="199"/>
        <v>1.9342409653230853E-2</v>
      </c>
      <c r="AW87" s="166">
        <f t="shared" si="200"/>
        <v>0</v>
      </c>
      <c r="AX87" s="166">
        <f t="shared" si="201"/>
        <v>0</v>
      </c>
      <c r="AY87" s="168">
        <f t="shared" si="202"/>
        <v>8.049013554947821E-3</v>
      </c>
      <c r="BA87" s="107" t="s">
        <v>398</v>
      </c>
      <c r="BB87" s="166">
        <f t="shared" si="220"/>
        <v>0</v>
      </c>
      <c r="BC87" s="166">
        <f t="shared" si="203"/>
        <v>0</v>
      </c>
      <c r="BD87" s="166">
        <f t="shared" si="204"/>
        <v>0</v>
      </c>
      <c r="BE87" s="166">
        <f t="shared" si="205"/>
        <v>0</v>
      </c>
      <c r="BF87" s="166">
        <f t="shared" si="206"/>
        <v>0</v>
      </c>
      <c r="BG87" s="166">
        <f t="shared" si="207"/>
        <v>0</v>
      </c>
      <c r="BH87" s="166">
        <f t="shared" si="208"/>
        <v>0</v>
      </c>
      <c r="BI87" s="166">
        <f t="shared" si="209"/>
        <v>0</v>
      </c>
      <c r="BJ87" s="166" t="str">
        <f t="shared" si="210"/>
        <v/>
      </c>
      <c r="BK87" s="166">
        <f t="shared" si="211"/>
        <v>0.29937304075235111</v>
      </c>
      <c r="BL87" s="166" t="str">
        <f t="shared" si="212"/>
        <v/>
      </c>
      <c r="BM87" s="166" t="str">
        <f t="shared" si="213"/>
        <v/>
      </c>
      <c r="BN87" s="166">
        <f t="shared" si="214"/>
        <v>0.75202224469160772</v>
      </c>
      <c r="BO87" s="166" t="str">
        <f t="shared" si="215"/>
        <v/>
      </c>
      <c r="BP87" s="168">
        <f t="shared" si="216"/>
        <v>1.0663976216606698E-2</v>
      </c>
      <c r="BR87" s="107" t="s">
        <v>398</v>
      </c>
      <c r="BS87" s="166">
        <f t="shared" si="222"/>
        <v>-1</v>
      </c>
      <c r="BT87" s="166">
        <f t="shared" si="223"/>
        <v>-1</v>
      </c>
      <c r="BU87" s="166">
        <f t="shared" si="224"/>
        <v>-1</v>
      </c>
      <c r="BV87" s="166" t="str">
        <f t="shared" si="225"/>
        <v/>
      </c>
      <c r="BW87" s="166"/>
      <c r="BX87" s="166"/>
      <c r="BY87" s="166"/>
      <c r="BZ87" s="166"/>
      <c r="CA87" s="166"/>
      <c r="CB87" s="166">
        <f t="shared" si="226"/>
        <v>4.3015875328094477</v>
      </c>
      <c r="CC87" s="166" t="e">
        <f t="shared" si="227"/>
        <v>#VALUE!</v>
      </c>
      <c r="CD87" s="166" t="e">
        <f t="shared" si="228"/>
        <v>#VALUE!</v>
      </c>
      <c r="CE87" s="166" t="str">
        <f t="shared" si="229"/>
        <v/>
      </c>
      <c r="CF87" s="166" t="str">
        <f t="shared" si="230"/>
        <v/>
      </c>
      <c r="CG87" s="168">
        <f t="shared" si="231"/>
        <v>0.32487989289711527</v>
      </c>
    </row>
    <row r="88" spans="2:85" x14ac:dyDescent="0.25">
      <c r="B88" s="107" t="s">
        <v>399</v>
      </c>
      <c r="C88" s="160">
        <f>TripMode_input!B65</f>
        <v>1731.0138400000001</v>
      </c>
      <c r="D88" s="160">
        <f>TripMode_input!C65</f>
        <v>0</v>
      </c>
      <c r="E88" s="160">
        <f>TripMode_input!D65</f>
        <v>0</v>
      </c>
      <c r="F88" s="160">
        <f>TripMode_input!E65</f>
        <v>0</v>
      </c>
      <c r="G88" s="160">
        <f>TripMode_input!F65</f>
        <v>0</v>
      </c>
      <c r="H88" s="160">
        <f>TripMode_input!G65</f>
        <v>0</v>
      </c>
      <c r="I88" s="160">
        <f>TripMode_input!H65</f>
        <v>0</v>
      </c>
      <c r="J88" s="160">
        <f>TripMode_input!I65</f>
        <v>0</v>
      </c>
      <c r="K88" s="160">
        <f>TripMode_input!J65</f>
        <v>0</v>
      </c>
      <c r="L88" s="160">
        <f>TripMode_input!K65</f>
        <v>0</v>
      </c>
      <c r="M88" s="160">
        <f>TripMode_input!L65</f>
        <v>0</v>
      </c>
      <c r="N88" s="160">
        <f>TripMode_input!M65</f>
        <v>0</v>
      </c>
      <c r="O88" s="160">
        <f>TripMode_input!N65</f>
        <v>0</v>
      </c>
      <c r="P88" s="160">
        <f>TripMode_input!O65</f>
        <v>50.257860000000001</v>
      </c>
      <c r="Q88" s="162">
        <f t="shared" si="187"/>
        <v>1781.2717</v>
      </c>
      <c r="S88" s="107" t="s">
        <v>399</v>
      </c>
      <c r="T88" s="160">
        <f>TripMode_input!R65*Index!$B$2</f>
        <v>0</v>
      </c>
      <c r="U88" s="160">
        <f>TripMode_input!S65*Index!$B$2</f>
        <v>0</v>
      </c>
      <c r="V88" s="160">
        <f>TripMode_input!T65*Index!$B$2</f>
        <v>0</v>
      </c>
      <c r="W88" s="160">
        <f>TripMode_input!U65*Index!$B$2</f>
        <v>0</v>
      </c>
      <c r="X88" s="160">
        <f>TripMode_input!V65*Index!$B$2</f>
        <v>0</v>
      </c>
      <c r="Y88" s="160">
        <f>TripMode_input!W65*Index!$B$2</f>
        <v>0</v>
      </c>
      <c r="Z88" s="160">
        <f>TripMode_input!X65*Index!$B$2</f>
        <v>0</v>
      </c>
      <c r="AA88" s="160">
        <f>TripMode_input!Y65*Index!$B$2</f>
        <v>0</v>
      </c>
      <c r="AB88" s="160">
        <f>TripMode_input!Z65*Index!$B$2</f>
        <v>0</v>
      </c>
      <c r="AC88" s="160">
        <f>TripMode_input!AA65*Index!$B$2</f>
        <v>0</v>
      </c>
      <c r="AD88" s="160">
        <f>TripMode_input!AB65*Index!$B$2</f>
        <v>0</v>
      </c>
      <c r="AE88" s="160">
        <f>TripMode_input!AC65*Index!$B$2</f>
        <v>0</v>
      </c>
      <c r="AF88" s="160">
        <f>TripMode_input!AD65*Index!$B$2</f>
        <v>0</v>
      </c>
      <c r="AG88" s="160">
        <f>TripMode_input!AE65*Index!$B$2</f>
        <v>0</v>
      </c>
      <c r="AH88" s="162">
        <f t="shared" si="188"/>
        <v>0</v>
      </c>
      <c r="AJ88" s="107" t="s">
        <v>399</v>
      </c>
      <c r="AK88" s="166">
        <f t="shared" si="219"/>
        <v>2.9950734779766596E-3</v>
      </c>
      <c r="AL88" s="166">
        <f t="shared" si="189"/>
        <v>0</v>
      </c>
      <c r="AM88" s="166">
        <f t="shared" si="190"/>
        <v>0</v>
      </c>
      <c r="AN88" s="166">
        <f t="shared" si="191"/>
        <v>0</v>
      </c>
      <c r="AO88" s="166">
        <f t="shared" si="192"/>
        <v>0</v>
      </c>
      <c r="AP88" s="166">
        <f t="shared" si="193"/>
        <v>0</v>
      </c>
      <c r="AQ88" s="166">
        <f t="shared" si="194"/>
        <v>0</v>
      </c>
      <c r="AR88" s="166">
        <f t="shared" si="195"/>
        <v>0</v>
      </c>
      <c r="AS88" s="166">
        <f t="shared" si="196"/>
        <v>0</v>
      </c>
      <c r="AT88" s="166">
        <f t="shared" si="197"/>
        <v>0</v>
      </c>
      <c r="AU88" s="166">
        <f t="shared" si="198"/>
        <v>0</v>
      </c>
      <c r="AV88" s="166">
        <f t="shared" si="199"/>
        <v>0</v>
      </c>
      <c r="AW88" s="166">
        <f t="shared" si="200"/>
        <v>0</v>
      </c>
      <c r="AX88" s="166">
        <f t="shared" si="201"/>
        <v>1</v>
      </c>
      <c r="AY88" s="168">
        <f t="shared" si="202"/>
        <v>1.7272088212711002E-3</v>
      </c>
      <c r="BA88" s="107" t="s">
        <v>399</v>
      </c>
      <c r="BB88" s="166">
        <f t="shared" si="220"/>
        <v>0</v>
      </c>
      <c r="BC88" s="166">
        <f t="shared" si="203"/>
        <v>0</v>
      </c>
      <c r="BD88" s="166">
        <f t="shared" si="204"/>
        <v>0</v>
      </c>
      <c r="BE88" s="166">
        <f t="shared" si="205"/>
        <v>0</v>
      </c>
      <c r="BF88" s="166">
        <f t="shared" si="206"/>
        <v>0</v>
      </c>
      <c r="BG88" s="166">
        <f t="shared" si="207"/>
        <v>0</v>
      </c>
      <c r="BH88" s="166">
        <f t="shared" si="208"/>
        <v>0</v>
      </c>
      <c r="BI88" s="166">
        <f t="shared" si="209"/>
        <v>0</v>
      </c>
      <c r="BJ88" s="166" t="str">
        <f t="shared" si="210"/>
        <v/>
      </c>
      <c r="BK88" s="166">
        <f t="shared" si="211"/>
        <v>0</v>
      </c>
      <c r="BL88" s="166" t="str">
        <f t="shared" si="212"/>
        <v/>
      </c>
      <c r="BM88" s="166" t="str">
        <f t="shared" si="213"/>
        <v/>
      </c>
      <c r="BN88" s="166">
        <f t="shared" si="214"/>
        <v>0</v>
      </c>
      <c r="BO88" s="166" t="str">
        <f t="shared" si="215"/>
        <v/>
      </c>
      <c r="BP88" s="168">
        <f t="shared" si="216"/>
        <v>0</v>
      </c>
      <c r="BR88" s="107" t="s">
        <v>399</v>
      </c>
      <c r="BS88" s="166">
        <f t="shared" si="222"/>
        <v>-1</v>
      </c>
      <c r="BT88" s="166" t="str">
        <f t="shared" si="223"/>
        <v/>
      </c>
      <c r="BU88" s="166" t="str">
        <f t="shared" si="224"/>
        <v/>
      </c>
      <c r="BV88" s="166" t="str">
        <f t="shared" si="225"/>
        <v/>
      </c>
      <c r="BW88" s="166"/>
      <c r="BX88" s="166"/>
      <c r="BY88" s="166"/>
      <c r="BZ88" s="166"/>
      <c r="CA88" s="166"/>
      <c r="CB88" s="166" t="str">
        <f t="shared" si="226"/>
        <v/>
      </c>
      <c r="CC88" s="166" t="str">
        <f t="shared" si="227"/>
        <v/>
      </c>
      <c r="CD88" s="166" t="str">
        <f t="shared" si="228"/>
        <v/>
      </c>
      <c r="CE88" s="166" t="str">
        <f t="shared" si="229"/>
        <v/>
      </c>
      <c r="CF88" s="166" t="e">
        <f t="shared" si="230"/>
        <v>#VALUE!</v>
      </c>
      <c r="CG88" s="168">
        <f t="shared" si="231"/>
        <v>-1</v>
      </c>
    </row>
    <row r="89" spans="2:85" ht="15.75" thickBot="1" x14ac:dyDescent="0.3">
      <c r="B89" s="108" t="s">
        <v>29</v>
      </c>
      <c r="C89" s="109">
        <f t="shared" ref="C89:P89" si="232">SUM(C75:C88)</f>
        <v>577953.71389999997</v>
      </c>
      <c r="D89" s="110">
        <f t="shared" si="232"/>
        <v>64970.314030000001</v>
      </c>
      <c r="E89" s="110">
        <f t="shared" si="232"/>
        <v>100958.47781</v>
      </c>
      <c r="F89" s="110">
        <f t="shared" si="232"/>
        <v>7767.79198</v>
      </c>
      <c r="G89" s="110">
        <f t="shared" si="232"/>
        <v>38803.060720000001</v>
      </c>
      <c r="H89" s="110">
        <f t="shared" si="232"/>
        <v>5504.1708200000003</v>
      </c>
      <c r="I89" s="110">
        <f t="shared" si="232"/>
        <v>11001.374819999999</v>
      </c>
      <c r="J89" s="110">
        <f t="shared" si="232"/>
        <v>19860.09246</v>
      </c>
      <c r="K89" s="110">
        <f t="shared" si="232"/>
        <v>92430.056250000009</v>
      </c>
      <c r="L89" s="110">
        <f t="shared" si="232"/>
        <v>41434.2618</v>
      </c>
      <c r="M89" s="110">
        <f t="shared" si="232"/>
        <v>16602.32965</v>
      </c>
      <c r="N89" s="110">
        <f t="shared" si="232"/>
        <v>52282.75836</v>
      </c>
      <c r="O89" s="110">
        <f t="shared" si="232"/>
        <v>1682.05898</v>
      </c>
      <c r="P89" s="110">
        <f t="shared" si="232"/>
        <v>50.257860000000001</v>
      </c>
      <c r="Q89" s="112">
        <f>SUM(Q75:Q88)</f>
        <v>1031300.71944</v>
      </c>
      <c r="S89" s="108" t="s">
        <v>29</v>
      </c>
      <c r="T89" s="109">
        <f t="shared" ref="T89:AC89" si="233">SUM(T75:T88)</f>
        <v>1493835</v>
      </c>
      <c r="U89" s="110">
        <f t="shared" si="233"/>
        <v>94375</v>
      </c>
      <c r="V89" s="110">
        <f t="shared" si="233"/>
        <v>184600</v>
      </c>
      <c r="W89" s="110">
        <f t="shared" si="233"/>
        <v>7160</v>
      </c>
      <c r="X89" s="110">
        <f t="shared" si="233"/>
        <v>37460</v>
      </c>
      <c r="Y89" s="110">
        <f t="shared" si="233"/>
        <v>325</v>
      </c>
      <c r="Z89" s="110">
        <f t="shared" si="233"/>
        <v>1006120</v>
      </c>
      <c r="AA89" s="110">
        <f t="shared" si="233"/>
        <v>12695</v>
      </c>
      <c r="AB89" s="110">
        <f t="shared" si="233"/>
        <v>0</v>
      </c>
      <c r="AC89" s="110">
        <f t="shared" si="233"/>
        <v>3190</v>
      </c>
      <c r="AD89" s="110">
        <f>SUM(AD75:AD88)</f>
        <v>0</v>
      </c>
      <c r="AE89" s="110">
        <f>SUM(AE75:AE88)</f>
        <v>0</v>
      </c>
      <c r="AF89" s="110">
        <f>SUM(AF75:AF88)</f>
        <v>39560</v>
      </c>
      <c r="AG89" s="110">
        <f>SUM(AG75:AG88)</f>
        <v>0</v>
      </c>
      <c r="AH89" s="112">
        <f>SUM(AH75:AH88)</f>
        <v>2879320</v>
      </c>
      <c r="AJ89" s="108" t="s">
        <v>29</v>
      </c>
      <c r="AK89" s="120">
        <f t="shared" si="219"/>
        <v>1</v>
      </c>
      <c r="AL89" s="121">
        <f t="shared" si="189"/>
        <v>1</v>
      </c>
      <c r="AM89" s="121">
        <f t="shared" si="190"/>
        <v>1</v>
      </c>
      <c r="AN89" s="121">
        <f t="shared" si="191"/>
        <v>1</v>
      </c>
      <c r="AO89" s="121">
        <f t="shared" si="192"/>
        <v>1</v>
      </c>
      <c r="AP89" s="121">
        <f t="shared" si="193"/>
        <v>1</v>
      </c>
      <c r="AQ89" s="121">
        <f t="shared" si="194"/>
        <v>1</v>
      </c>
      <c r="AR89" s="121">
        <f t="shared" si="195"/>
        <v>1</v>
      </c>
      <c r="AS89" s="121">
        <f t="shared" si="196"/>
        <v>1</v>
      </c>
      <c r="AT89" s="121">
        <f t="shared" si="197"/>
        <v>1</v>
      </c>
      <c r="AU89" s="121">
        <f t="shared" si="198"/>
        <v>1</v>
      </c>
      <c r="AV89" s="121">
        <f t="shared" si="199"/>
        <v>1</v>
      </c>
      <c r="AW89" s="121">
        <f t="shared" si="200"/>
        <v>1</v>
      </c>
      <c r="AX89" s="121">
        <f t="shared" si="201"/>
        <v>1</v>
      </c>
      <c r="AY89" s="123">
        <f t="shared" si="202"/>
        <v>1</v>
      </c>
      <c r="BA89" s="108" t="s">
        <v>29</v>
      </c>
      <c r="BB89" s="120">
        <f t="shared" si="220"/>
        <v>1</v>
      </c>
      <c r="BC89" s="121">
        <f t="shared" si="203"/>
        <v>1</v>
      </c>
      <c r="BD89" s="121">
        <f t="shared" si="204"/>
        <v>1</v>
      </c>
      <c r="BE89" s="121">
        <f t="shared" si="205"/>
        <v>1</v>
      </c>
      <c r="BF89" s="121">
        <f t="shared" si="206"/>
        <v>1</v>
      </c>
      <c r="BG89" s="121">
        <f t="shared" si="207"/>
        <v>1</v>
      </c>
      <c r="BH89" s="121">
        <f t="shared" si="208"/>
        <v>1</v>
      </c>
      <c r="BI89" s="121">
        <f t="shared" si="209"/>
        <v>1</v>
      </c>
      <c r="BJ89" s="121" t="str">
        <f t="shared" si="210"/>
        <v/>
      </c>
      <c r="BK89" s="121">
        <f t="shared" si="211"/>
        <v>1</v>
      </c>
      <c r="BL89" s="121" t="str">
        <f t="shared" si="212"/>
        <v/>
      </c>
      <c r="BM89" s="121" t="str">
        <f t="shared" si="213"/>
        <v/>
      </c>
      <c r="BN89" s="121">
        <f t="shared" si="214"/>
        <v>1</v>
      </c>
      <c r="BO89" s="121" t="str">
        <f t="shared" si="215"/>
        <v/>
      </c>
      <c r="BP89" s="123">
        <f t="shared" si="216"/>
        <v>1</v>
      </c>
      <c r="BR89" s="108" t="s">
        <v>29</v>
      </c>
      <c r="BS89" s="120">
        <f t="shared" si="222"/>
        <v>0</v>
      </c>
      <c r="BT89" s="121">
        <f t="shared" si="223"/>
        <v>0</v>
      </c>
      <c r="BU89" s="121">
        <f t="shared" si="224"/>
        <v>0</v>
      </c>
      <c r="BV89" s="121">
        <f t="shared" si="225"/>
        <v>0</v>
      </c>
      <c r="BW89" s="121"/>
      <c r="BX89" s="121"/>
      <c r="BY89" s="121"/>
      <c r="BZ89" s="121"/>
      <c r="CA89" s="121"/>
      <c r="CB89" s="121">
        <f t="shared" si="226"/>
        <v>0</v>
      </c>
      <c r="CC89" s="121" t="e">
        <f t="shared" si="227"/>
        <v>#VALUE!</v>
      </c>
      <c r="CD89" s="121" t="e">
        <f t="shared" si="228"/>
        <v>#VALUE!</v>
      </c>
      <c r="CE89" s="121">
        <f t="shared" si="229"/>
        <v>0</v>
      </c>
      <c r="CF89" s="121" t="e">
        <f t="shared" si="230"/>
        <v>#VALUE!</v>
      </c>
      <c r="CG89" s="123">
        <f t="shared" si="231"/>
        <v>0</v>
      </c>
    </row>
    <row r="90" spans="2:85" x14ac:dyDescent="0.25">
      <c r="B90" t="s">
        <v>221</v>
      </c>
      <c r="C90" s="383" t="s">
        <v>206</v>
      </c>
      <c r="D90" s="383"/>
      <c r="E90" s="383"/>
      <c r="F90" s="383"/>
      <c r="G90" s="383"/>
      <c r="H90" s="383"/>
      <c r="I90" s="383"/>
      <c r="J90" s="383"/>
      <c r="K90" s="383"/>
      <c r="L90" s="383"/>
      <c r="M90" s="383"/>
      <c r="N90" s="383"/>
      <c r="O90" s="383"/>
      <c r="P90" s="383"/>
      <c r="Q90" s="383"/>
      <c r="S90" t="s">
        <v>221</v>
      </c>
      <c r="T90" s="383" t="s">
        <v>206</v>
      </c>
      <c r="U90" s="383"/>
      <c r="V90" s="383"/>
      <c r="W90" s="383"/>
      <c r="X90" s="383"/>
      <c r="Y90" s="383"/>
      <c r="Z90" s="383"/>
      <c r="AA90" s="383"/>
      <c r="AB90" s="383"/>
      <c r="AC90" s="383"/>
      <c r="AD90" s="383"/>
      <c r="AE90" s="383"/>
      <c r="AF90" s="383"/>
      <c r="AG90" s="383"/>
      <c r="AH90" s="383"/>
      <c r="AJ90" t="s">
        <v>221</v>
      </c>
      <c r="AK90" s="383" t="s">
        <v>206</v>
      </c>
      <c r="AL90" s="383"/>
      <c r="AM90" s="383"/>
      <c r="AN90" s="383"/>
      <c r="AO90" s="383"/>
      <c r="AP90" s="383"/>
      <c r="AQ90" s="383"/>
      <c r="AR90" s="383"/>
      <c r="AS90" s="383"/>
      <c r="AT90" s="383"/>
      <c r="AU90" s="383"/>
      <c r="AV90" s="383"/>
      <c r="AW90" s="383"/>
      <c r="AX90" s="383"/>
      <c r="AY90" s="383"/>
      <c r="BA90" t="s">
        <v>221</v>
      </c>
      <c r="BB90" s="383" t="s">
        <v>206</v>
      </c>
      <c r="BC90" s="383"/>
      <c r="BD90" s="383"/>
      <c r="BE90" s="383"/>
      <c r="BF90" s="383"/>
      <c r="BG90" s="383"/>
      <c r="BH90" s="383"/>
      <c r="BI90" s="383"/>
      <c r="BJ90" s="383"/>
      <c r="BK90" s="383"/>
      <c r="BL90" s="383"/>
      <c r="BM90" s="383"/>
      <c r="BN90" s="383"/>
      <c r="BO90" s="383"/>
      <c r="BP90" s="383"/>
      <c r="BR90" t="s">
        <v>221</v>
      </c>
      <c r="BS90" s="383" t="s">
        <v>206</v>
      </c>
      <c r="BT90" s="383"/>
      <c r="BU90" s="383"/>
      <c r="BV90" s="383"/>
      <c r="BW90" s="383"/>
      <c r="BX90" s="383"/>
      <c r="BY90" s="383"/>
      <c r="BZ90" s="383"/>
      <c r="CA90" s="383"/>
      <c r="CB90" s="383"/>
      <c r="CC90" s="383"/>
      <c r="CD90" s="383"/>
      <c r="CE90" s="383"/>
      <c r="CF90" s="383"/>
      <c r="CG90" s="383"/>
    </row>
    <row r="91" spans="2:85" ht="35.450000000000003" customHeight="1" x14ac:dyDescent="0.25">
      <c r="B91" s="163" t="s">
        <v>207</v>
      </c>
      <c r="C91" s="164" t="s">
        <v>386</v>
      </c>
      <c r="D91" s="164" t="s">
        <v>387</v>
      </c>
      <c r="E91" s="164" t="s">
        <v>388</v>
      </c>
      <c r="F91" s="164" t="s">
        <v>389</v>
      </c>
      <c r="G91" s="164" t="s">
        <v>390</v>
      </c>
      <c r="H91" s="164" t="s">
        <v>391</v>
      </c>
      <c r="I91" s="164" t="s">
        <v>392</v>
      </c>
      <c r="J91" s="164" t="s">
        <v>393</v>
      </c>
      <c r="K91" s="164" t="s">
        <v>394</v>
      </c>
      <c r="L91" s="164" t="s">
        <v>395</v>
      </c>
      <c r="M91" s="164" t="s">
        <v>396</v>
      </c>
      <c r="N91" s="164" t="s">
        <v>397</v>
      </c>
      <c r="O91" s="164" t="s">
        <v>398</v>
      </c>
      <c r="P91" s="164" t="s">
        <v>399</v>
      </c>
      <c r="Q91" s="106" t="s">
        <v>29</v>
      </c>
      <c r="S91" s="163" t="s">
        <v>207</v>
      </c>
      <c r="T91" s="164" t="s">
        <v>386</v>
      </c>
      <c r="U91" s="164" t="s">
        <v>387</v>
      </c>
      <c r="V91" s="164" t="s">
        <v>388</v>
      </c>
      <c r="W91" s="164" t="s">
        <v>389</v>
      </c>
      <c r="X91" s="164" t="s">
        <v>390</v>
      </c>
      <c r="Y91" s="164" t="s">
        <v>391</v>
      </c>
      <c r="Z91" s="164" t="s">
        <v>392</v>
      </c>
      <c r="AA91" s="164" t="s">
        <v>393</v>
      </c>
      <c r="AB91" s="164" t="s">
        <v>394</v>
      </c>
      <c r="AC91" s="164" t="s">
        <v>395</v>
      </c>
      <c r="AD91" s="164" t="s">
        <v>396</v>
      </c>
      <c r="AE91" s="164" t="s">
        <v>397</v>
      </c>
      <c r="AF91" s="164" t="s">
        <v>398</v>
      </c>
      <c r="AG91" s="164" t="s">
        <v>399</v>
      </c>
      <c r="AH91" s="106" t="s">
        <v>29</v>
      </c>
      <c r="AJ91" s="163" t="s">
        <v>207</v>
      </c>
      <c r="AK91" s="164" t="s">
        <v>386</v>
      </c>
      <c r="AL91" s="164" t="s">
        <v>387</v>
      </c>
      <c r="AM91" s="164" t="s">
        <v>388</v>
      </c>
      <c r="AN91" s="164" t="s">
        <v>389</v>
      </c>
      <c r="AO91" s="164" t="s">
        <v>390</v>
      </c>
      <c r="AP91" s="164" t="s">
        <v>391</v>
      </c>
      <c r="AQ91" s="164" t="s">
        <v>392</v>
      </c>
      <c r="AR91" s="164" t="s">
        <v>393</v>
      </c>
      <c r="AS91" s="164" t="s">
        <v>394</v>
      </c>
      <c r="AT91" s="164" t="s">
        <v>395</v>
      </c>
      <c r="AU91" s="164" t="s">
        <v>396</v>
      </c>
      <c r="AV91" s="164" t="s">
        <v>397</v>
      </c>
      <c r="AW91" s="164" t="s">
        <v>398</v>
      </c>
      <c r="AX91" s="164" t="s">
        <v>399</v>
      </c>
      <c r="AY91" s="106" t="s">
        <v>29</v>
      </c>
      <c r="BA91" s="163" t="s">
        <v>207</v>
      </c>
      <c r="BB91" s="164" t="s">
        <v>386</v>
      </c>
      <c r="BC91" s="164" t="s">
        <v>387</v>
      </c>
      <c r="BD91" s="164" t="s">
        <v>388</v>
      </c>
      <c r="BE91" s="164" t="s">
        <v>389</v>
      </c>
      <c r="BF91" s="164" t="s">
        <v>390</v>
      </c>
      <c r="BG91" s="164" t="s">
        <v>391</v>
      </c>
      <c r="BH91" s="164" t="s">
        <v>392</v>
      </c>
      <c r="BI91" s="164" t="s">
        <v>393</v>
      </c>
      <c r="BJ91" s="164" t="s">
        <v>394</v>
      </c>
      <c r="BK91" s="164" t="s">
        <v>395</v>
      </c>
      <c r="BL91" s="164" t="s">
        <v>396</v>
      </c>
      <c r="BM91" s="164" t="s">
        <v>397</v>
      </c>
      <c r="BN91" s="164" t="s">
        <v>398</v>
      </c>
      <c r="BO91" s="164" t="s">
        <v>399</v>
      </c>
      <c r="BP91" s="106" t="s">
        <v>29</v>
      </c>
      <c r="BR91" s="163" t="s">
        <v>207</v>
      </c>
      <c r="BS91" s="164" t="s">
        <v>386</v>
      </c>
      <c r="BT91" s="164" t="s">
        <v>387</v>
      </c>
      <c r="BU91" s="164" t="s">
        <v>388</v>
      </c>
      <c r="BV91" s="164" t="s">
        <v>389</v>
      </c>
      <c r="BW91" s="164" t="s">
        <v>390</v>
      </c>
      <c r="BX91" s="164" t="s">
        <v>391</v>
      </c>
      <c r="BY91" s="164" t="s">
        <v>392</v>
      </c>
      <c r="BZ91" s="164" t="s">
        <v>393</v>
      </c>
      <c r="CA91" s="164" t="s">
        <v>394</v>
      </c>
      <c r="CB91" s="164" t="s">
        <v>395</v>
      </c>
      <c r="CC91" s="164" t="s">
        <v>396</v>
      </c>
      <c r="CD91" s="164" t="s">
        <v>397</v>
      </c>
      <c r="CE91" s="164" t="s">
        <v>398</v>
      </c>
      <c r="CF91" s="164" t="s">
        <v>399</v>
      </c>
      <c r="CG91" s="106" t="s">
        <v>29</v>
      </c>
    </row>
    <row r="92" spans="2:85" x14ac:dyDescent="0.25">
      <c r="B92" s="107" t="s">
        <v>386</v>
      </c>
      <c r="C92" s="160">
        <f>TripMode_input!B68</f>
        <v>3422655.3421499999</v>
      </c>
      <c r="D92" s="160">
        <f>TripMode_input!C68</f>
        <v>21301.578949999999</v>
      </c>
      <c r="E92" s="160">
        <f>TripMode_input!D68</f>
        <v>186250.79381999999</v>
      </c>
      <c r="F92" s="160">
        <f>TripMode_input!E68</f>
        <v>843.22050000000002</v>
      </c>
      <c r="G92" s="160">
        <f>TripMode_input!F68</f>
        <v>61038.916940000003</v>
      </c>
      <c r="H92" s="160">
        <f>TripMode_input!G68</f>
        <v>485.08679999999998</v>
      </c>
      <c r="I92" s="160">
        <f>TripMode_input!H68</f>
        <v>0</v>
      </c>
      <c r="J92" s="160">
        <f>TripMode_input!I68</f>
        <v>0</v>
      </c>
      <c r="K92" s="160">
        <f>TripMode_input!J68</f>
        <v>102.79218</v>
      </c>
      <c r="L92" s="160">
        <f>TripMode_input!K68</f>
        <v>0</v>
      </c>
      <c r="M92" s="160">
        <f>TripMode_input!L68</f>
        <v>712.75788</v>
      </c>
      <c r="N92" s="160">
        <f>TripMode_input!M68</f>
        <v>4469.9257900000002</v>
      </c>
      <c r="O92" s="160">
        <f>TripMode_input!N68</f>
        <v>893.28845999999999</v>
      </c>
      <c r="P92" s="160">
        <f>TripMode_input!O68</f>
        <v>18.830400000000001</v>
      </c>
      <c r="Q92" s="161">
        <f t="shared" ref="Q92:Q105" si="234">SUM(C92:P92)</f>
        <v>3698772.533869999</v>
      </c>
      <c r="S92" s="107" t="s">
        <v>386</v>
      </c>
      <c r="T92" s="160">
        <f>TripMode_input!R68*Index!$B$2</f>
        <v>4665440</v>
      </c>
      <c r="U92" s="160">
        <f>TripMode_input!S68*Index!$B$2</f>
        <v>188935</v>
      </c>
      <c r="V92" s="160">
        <f>TripMode_input!T68*Index!$B$2</f>
        <v>187720</v>
      </c>
      <c r="W92" s="160">
        <f>TripMode_input!U68*Index!$B$2</f>
        <v>4605</v>
      </c>
      <c r="X92" s="160">
        <f>TripMode_input!V68*Index!$B$2</f>
        <v>32760</v>
      </c>
      <c r="Y92" s="160">
        <f>TripMode_input!W68*Index!$B$2</f>
        <v>950</v>
      </c>
      <c r="Z92" s="160">
        <f>TripMode_input!X68*Index!$B$2</f>
        <v>0</v>
      </c>
      <c r="AA92" s="160">
        <f>TripMode_input!Y68*Index!$B$2</f>
        <v>0</v>
      </c>
      <c r="AB92" s="160">
        <f>TripMode_input!Z68*Index!$B$2</f>
        <v>0</v>
      </c>
      <c r="AC92" s="160">
        <f>TripMode_input!AA68*Index!$B$2</f>
        <v>0</v>
      </c>
      <c r="AD92" s="160">
        <f>TripMode_input!AB68*Index!$B$2</f>
        <v>0</v>
      </c>
      <c r="AE92" s="160">
        <f>TripMode_input!AC68*Index!$B$2</f>
        <v>0</v>
      </c>
      <c r="AF92" s="160">
        <f>TripMode_input!AD68*Index!$B$2</f>
        <v>0</v>
      </c>
      <c r="AG92" s="160">
        <f>TripMode_input!AE68*Index!$B$2</f>
        <v>0</v>
      </c>
      <c r="AH92" s="161">
        <f t="shared" ref="AH92:AH105" si="235">SUM(T92:AG92)</f>
        <v>5080410</v>
      </c>
      <c r="AJ92" s="107" t="s">
        <v>386</v>
      </c>
      <c r="AK92" s="166">
        <f>IF(C$106&gt;0,C92/C$106,"")</f>
        <v>0.99054528320194313</v>
      </c>
      <c r="AL92" s="166">
        <f t="shared" ref="AL92:AL106" si="236">IF(D$106&gt;0,D92/D$106,"")</f>
        <v>0.4625872099150794</v>
      </c>
      <c r="AM92" s="166">
        <f t="shared" ref="AM92:AM106" si="237">IF(E$106&gt;0,E92/E$106,"")</f>
        <v>0.25902452354594102</v>
      </c>
      <c r="AN92" s="166">
        <f t="shared" ref="AN92:AN106" si="238">IF(F$106&gt;0,F92/F$106,"")</f>
        <v>0.14471442561269243</v>
      </c>
      <c r="AO92" s="166">
        <f t="shared" ref="AO92:AO106" si="239">IF(G$106&gt;0,G92/G$106,"")</f>
        <v>0.19037255137021278</v>
      </c>
      <c r="AP92" s="166">
        <f t="shared" ref="AP92:AP106" si="240">IF(H$106&gt;0,H92/H$106,"")</f>
        <v>0.31848810534378885</v>
      </c>
      <c r="AQ92" s="166">
        <f t="shared" ref="AQ92:AQ106" si="241">IF(I$106&gt;0,I92/I$106,"")</f>
        <v>0</v>
      </c>
      <c r="AR92" s="166">
        <f t="shared" ref="AR92:AR106" si="242">IF(J$106&gt;0,J92/J$106,"")</f>
        <v>0</v>
      </c>
      <c r="AS92" s="166">
        <f t="shared" ref="AS92:AS106" si="243">IF(K$106&gt;0,K92/K$106,"")</f>
        <v>4.5551046566668767E-4</v>
      </c>
      <c r="AT92" s="166">
        <f t="shared" ref="AT92:AT106" si="244">IF(L$106&gt;0,L92/L$106,"")</f>
        <v>0</v>
      </c>
      <c r="AU92" s="166">
        <f t="shared" ref="AU92:AU106" si="245">IF(M$106&gt;0,M92/M$106,"")</f>
        <v>3.5080636665798019E-2</v>
      </c>
      <c r="AV92" s="166">
        <f t="shared" ref="AV92:AV106" si="246">IF(N$106&gt;0,N92/N$106,"")</f>
        <v>0.2081792931575116</v>
      </c>
      <c r="AW92" s="166">
        <f t="shared" ref="AW92:AW106" si="247">IF(O$106&gt;0,O92/O$106,"")</f>
        <v>3.5365355787773618E-2</v>
      </c>
      <c r="AX92" s="166">
        <f t="shared" ref="AX92:AX106" si="248">IF(P$106&gt;0,P92/P$106,"")</f>
        <v>9.718489518692355E-3</v>
      </c>
      <c r="AY92" s="167">
        <f t="shared" ref="AY92:AY106" si="249">IF(Q$106&gt;0,Q92/Q$106,"")</f>
        <v>0.68561535237547588</v>
      </c>
      <c r="BA92" s="107" t="s">
        <v>386</v>
      </c>
      <c r="BB92" s="166">
        <f>IF(T$106&gt;0,T92/T$106,"")</f>
        <v>0.99194084210280131</v>
      </c>
      <c r="BC92" s="166">
        <f t="shared" ref="BC92:BC106" si="250">IF(U$106&gt;0,U92/U$106,"")</f>
        <v>0.8639398234944442</v>
      </c>
      <c r="BD92" s="166">
        <f t="shared" ref="BD92:BD106" si="251">IF(V$106&gt;0,V92/V$106,"")</f>
        <v>0.18855624695524653</v>
      </c>
      <c r="BE92" s="166">
        <f t="shared" ref="BE92:BE106" si="252">IF(W$106&gt;0,W92/W$106,"")</f>
        <v>0.15689948892674616</v>
      </c>
      <c r="BF92" s="166">
        <f t="shared" ref="BF92:BF106" si="253">IF(X$106&gt;0,X92/X$106,"")</f>
        <v>8.0305927342256209E-2</v>
      </c>
      <c r="BG92" s="166">
        <f t="shared" ref="BG92:BG106" si="254">IF(Y$106&gt;0,Y92/Y$106,"")</f>
        <v>7.8805474906677733E-2</v>
      </c>
      <c r="BH92" s="166">
        <f t="shared" ref="BH92:BH106" si="255">IF(Z$106&gt;0,Z92/Z$106,"")</f>
        <v>0</v>
      </c>
      <c r="BI92" s="166">
        <f t="shared" ref="BI92:BI106" si="256">IF(AA$106&gt;0,AA92/AA$106,"")</f>
        <v>0</v>
      </c>
      <c r="BJ92" s="166" t="str">
        <f t="shared" ref="BJ92:BJ106" si="257">IF(AB$106&gt;0,AB92/AB$106,"")</f>
        <v/>
      </c>
      <c r="BK92" s="166">
        <f t="shared" ref="BK92:BK106" si="258">IF(AC$106&gt;0,AC92/AC$106,"")</f>
        <v>0</v>
      </c>
      <c r="BL92" s="166">
        <f t="shared" ref="BL92:BL106" si="259">IF(AD$106&gt;0,AD92/AD$106,"")</f>
        <v>0</v>
      </c>
      <c r="BM92" s="166">
        <f t="shared" ref="BM92:BM106" si="260">IF(AE$106&gt;0,AE92/AE$106,"")</f>
        <v>0</v>
      </c>
      <c r="BN92" s="166">
        <f t="shared" ref="BN92:BN106" si="261">IF(AF$106&gt;0,AF92/AF$106,"")</f>
        <v>0</v>
      </c>
      <c r="BO92" s="166" t="str">
        <f t="shared" ref="BO92:BO106" si="262">IF(AG$106&gt;0,AG92/AG$106,"")</f>
        <v/>
      </c>
      <c r="BP92" s="167">
        <f t="shared" ref="BP92:BP106" si="263">IF(AH$106&gt;0,AH92/AH$106,"")</f>
        <v>0.67445143843704514</v>
      </c>
      <c r="BR92" s="107" t="s">
        <v>386</v>
      </c>
      <c r="BS92" s="166">
        <f t="shared" ref="BS92:BV95" si="264">IF(OR(ISNA(AK92),AK92=0,AK92=""),"",(BB92-AK92)/AK92)</f>
        <v>1.4088794571279295E-3</v>
      </c>
      <c r="BT92" s="166">
        <f t="shared" si="264"/>
        <v>0.86762583352238409</v>
      </c>
      <c r="BU92" s="166">
        <f t="shared" si="264"/>
        <v>-0.27205252856375245</v>
      </c>
      <c r="BV92" s="166">
        <f t="shared" si="264"/>
        <v>8.4200750978795383E-2</v>
      </c>
      <c r="BW92" s="166"/>
      <c r="BX92" s="166"/>
      <c r="BY92" s="166"/>
      <c r="BZ92" s="166"/>
      <c r="CA92" s="166"/>
      <c r="CB92" s="166" t="str">
        <f t="shared" ref="CB92:CG92" si="265">IF(OR(ISNA(AT92),AT92=0,AT92=""),"",(BK92-AT92)/AT92)</f>
        <v/>
      </c>
      <c r="CC92" s="166">
        <f t="shared" si="265"/>
        <v>-1</v>
      </c>
      <c r="CD92" s="166">
        <f t="shared" si="265"/>
        <v>-1</v>
      </c>
      <c r="CE92" s="166">
        <f t="shared" si="265"/>
        <v>-1</v>
      </c>
      <c r="CF92" s="166" t="e">
        <f t="shared" si="265"/>
        <v>#VALUE!</v>
      </c>
      <c r="CG92" s="167">
        <f t="shared" si="265"/>
        <v>-1.6283057110303523E-2</v>
      </c>
    </row>
    <row r="93" spans="2:85" x14ac:dyDescent="0.25">
      <c r="B93" s="107" t="s">
        <v>387</v>
      </c>
      <c r="C93" s="160">
        <f>TripMode_input!B69</f>
        <v>0</v>
      </c>
      <c r="D93" s="160">
        <f>TripMode_input!C69</f>
        <v>24747.205999999998</v>
      </c>
      <c r="E93" s="160">
        <f>TripMode_input!D69</f>
        <v>0</v>
      </c>
      <c r="F93" s="160">
        <f>TripMode_input!E69</f>
        <v>1140.6657700000001</v>
      </c>
      <c r="G93" s="160">
        <f>TripMode_input!F69</f>
        <v>0</v>
      </c>
      <c r="H93" s="160">
        <f>TripMode_input!G69</f>
        <v>0</v>
      </c>
      <c r="I93" s="160">
        <f>TripMode_input!H69</f>
        <v>0</v>
      </c>
      <c r="J93" s="160">
        <f>TripMode_input!I69</f>
        <v>0</v>
      </c>
      <c r="K93" s="160">
        <f>TripMode_input!J69</f>
        <v>0</v>
      </c>
      <c r="L93" s="160">
        <f>TripMode_input!K69</f>
        <v>0</v>
      </c>
      <c r="M93" s="160">
        <f>TripMode_input!L69</f>
        <v>0</v>
      </c>
      <c r="N93" s="160">
        <f>TripMode_input!M69</f>
        <v>0</v>
      </c>
      <c r="O93" s="160">
        <f>TripMode_input!N69</f>
        <v>0</v>
      </c>
      <c r="P93" s="160">
        <f>TripMode_input!O69</f>
        <v>0</v>
      </c>
      <c r="Q93" s="162">
        <f t="shared" si="234"/>
        <v>25887.871769999998</v>
      </c>
      <c r="S93" s="107" t="s">
        <v>387</v>
      </c>
      <c r="T93" s="160">
        <f>TripMode_input!R69*Index!$B$2</f>
        <v>37905</v>
      </c>
      <c r="U93" s="160">
        <f>TripMode_input!S69*Index!$B$2</f>
        <v>29755</v>
      </c>
      <c r="V93" s="160">
        <f>TripMode_input!T69*Index!$B$2</f>
        <v>2300</v>
      </c>
      <c r="W93" s="160">
        <f>TripMode_input!U69*Index!$B$2</f>
        <v>905</v>
      </c>
      <c r="X93" s="160">
        <f>TripMode_input!V69*Index!$B$2</f>
        <v>400</v>
      </c>
      <c r="Y93" s="160">
        <f>TripMode_input!W69*Index!$B$2</f>
        <v>195</v>
      </c>
      <c r="Z93" s="160">
        <f>TripMode_input!X69*Index!$B$2</f>
        <v>0</v>
      </c>
      <c r="AA93" s="160">
        <f>TripMode_input!Y69*Index!$B$2</f>
        <v>0</v>
      </c>
      <c r="AB93" s="160">
        <f>TripMode_input!Z69*Index!$B$2</f>
        <v>0</v>
      </c>
      <c r="AC93" s="160">
        <f>TripMode_input!AA69*Index!$B$2</f>
        <v>0</v>
      </c>
      <c r="AD93" s="160">
        <f>TripMode_input!AB69*Index!$B$2</f>
        <v>0</v>
      </c>
      <c r="AE93" s="160">
        <f>TripMode_input!AC69*Index!$B$2</f>
        <v>0</v>
      </c>
      <c r="AF93" s="160">
        <f>TripMode_input!AD69*Index!$B$2</f>
        <v>0</v>
      </c>
      <c r="AG93" s="160">
        <f>TripMode_input!AE69*Index!$B$2</f>
        <v>0</v>
      </c>
      <c r="AH93" s="162">
        <f t="shared" si="235"/>
        <v>71460</v>
      </c>
      <c r="AJ93" s="107" t="s">
        <v>387</v>
      </c>
      <c r="AK93" s="166">
        <f t="shared" ref="AK93:AK106" si="266">IF(C$106&gt;0,C93/C$106,"")</f>
        <v>0</v>
      </c>
      <c r="AL93" s="166">
        <f t="shared" si="236"/>
        <v>0.53741279008492049</v>
      </c>
      <c r="AM93" s="166">
        <f t="shared" si="237"/>
        <v>0</v>
      </c>
      <c r="AN93" s="166">
        <f t="shared" si="238"/>
        <v>0.19576230857955843</v>
      </c>
      <c r="AO93" s="166">
        <f t="shared" si="239"/>
        <v>0</v>
      </c>
      <c r="AP93" s="166">
        <f t="shared" si="240"/>
        <v>0</v>
      </c>
      <c r="AQ93" s="166">
        <f t="shared" si="241"/>
        <v>0</v>
      </c>
      <c r="AR93" s="166">
        <f t="shared" si="242"/>
        <v>0</v>
      </c>
      <c r="AS93" s="166">
        <f t="shared" si="243"/>
        <v>0</v>
      </c>
      <c r="AT93" s="166">
        <f t="shared" si="244"/>
        <v>0</v>
      </c>
      <c r="AU93" s="166">
        <f t="shared" si="245"/>
        <v>0</v>
      </c>
      <c r="AV93" s="166">
        <f t="shared" si="246"/>
        <v>0</v>
      </c>
      <c r="AW93" s="166">
        <f t="shared" si="247"/>
        <v>0</v>
      </c>
      <c r="AX93" s="166">
        <f t="shared" si="248"/>
        <v>0</v>
      </c>
      <c r="AY93" s="168">
        <f t="shared" si="249"/>
        <v>4.7986520293717286E-3</v>
      </c>
      <c r="BA93" s="107" t="s">
        <v>387</v>
      </c>
      <c r="BB93" s="166">
        <f t="shared" ref="BB93:BB106" si="267">IF(T$106&gt;0,T93/T$106,"")</f>
        <v>8.0591578971986964E-3</v>
      </c>
      <c r="BC93" s="166">
        <f t="shared" si="250"/>
        <v>0.1360601765055558</v>
      </c>
      <c r="BD93" s="166">
        <f t="shared" si="251"/>
        <v>2.3102459407472139E-3</v>
      </c>
      <c r="BE93" s="166">
        <f t="shared" si="252"/>
        <v>3.0834752981260646E-2</v>
      </c>
      <c r="BF93" s="166">
        <f t="shared" si="253"/>
        <v>9.8053635338530166E-4</v>
      </c>
      <c r="BG93" s="166">
        <f t="shared" si="254"/>
        <v>1.6175860638739114E-2</v>
      </c>
      <c r="BH93" s="166">
        <f t="shared" si="255"/>
        <v>0</v>
      </c>
      <c r="BI93" s="166">
        <f t="shared" si="256"/>
        <v>0</v>
      </c>
      <c r="BJ93" s="166" t="str">
        <f t="shared" si="257"/>
        <v/>
      </c>
      <c r="BK93" s="166">
        <f t="shared" si="258"/>
        <v>0</v>
      </c>
      <c r="BL93" s="166">
        <f t="shared" si="259"/>
        <v>0</v>
      </c>
      <c r="BM93" s="166">
        <f t="shared" si="260"/>
        <v>0</v>
      </c>
      <c r="BN93" s="166">
        <f t="shared" si="261"/>
        <v>0</v>
      </c>
      <c r="BO93" s="166" t="str">
        <f t="shared" si="262"/>
        <v/>
      </c>
      <c r="BP93" s="168">
        <f t="shared" si="263"/>
        <v>9.4866949302735894E-3</v>
      </c>
      <c r="BR93" s="107" t="s">
        <v>387</v>
      </c>
      <c r="BS93" s="166" t="str">
        <f t="shared" si="264"/>
        <v/>
      </c>
      <c r="BT93" s="166">
        <f t="shared" si="264"/>
        <v>-0.74682370978916235</v>
      </c>
      <c r="BU93" s="166" t="str">
        <f t="shared" si="264"/>
        <v/>
      </c>
      <c r="BV93" s="166">
        <f t="shared" si="264"/>
        <v>-0.84248881613117421</v>
      </c>
      <c r="BW93" s="166"/>
      <c r="BX93" s="166"/>
      <c r="BY93" s="166"/>
      <c r="BZ93" s="166"/>
      <c r="CA93" s="166"/>
      <c r="CB93" s="166" t="str">
        <f t="shared" ref="CB93:CG95" si="268">IF(OR(ISNA(AT93),AT93=0,AT93=""),"",(BK93-AT93)/AT93)</f>
        <v/>
      </c>
      <c r="CC93" s="166" t="str">
        <f t="shared" si="268"/>
        <v/>
      </c>
      <c r="CD93" s="166" t="str">
        <f t="shared" si="268"/>
        <v/>
      </c>
      <c r="CE93" s="166" t="str">
        <f t="shared" si="268"/>
        <v/>
      </c>
      <c r="CF93" s="166" t="str">
        <f t="shared" si="268"/>
        <v/>
      </c>
      <c r="CG93" s="168">
        <f t="shared" si="268"/>
        <v>0.97694995848983257</v>
      </c>
    </row>
    <row r="94" spans="2:85" x14ac:dyDescent="0.25">
      <c r="B94" s="107" t="s">
        <v>388</v>
      </c>
      <c r="C94" s="160">
        <f>TripMode_input!B70</f>
        <v>0</v>
      </c>
      <c r="D94" s="160">
        <f>TripMode_input!C70</f>
        <v>0</v>
      </c>
      <c r="E94" s="160">
        <f>TripMode_input!D70</f>
        <v>518634.80859999999</v>
      </c>
      <c r="F94" s="160">
        <f>TripMode_input!E70</f>
        <v>2218.7144899999998</v>
      </c>
      <c r="G94" s="160">
        <f>TripMode_input!F70</f>
        <v>55977.961499999998</v>
      </c>
      <c r="H94" s="160">
        <f>TripMode_input!G70</f>
        <v>155.18768</v>
      </c>
      <c r="I94" s="160">
        <f>TripMode_input!H70</f>
        <v>0</v>
      </c>
      <c r="J94" s="160">
        <f>TripMode_input!I70</f>
        <v>0</v>
      </c>
      <c r="K94" s="160">
        <f>TripMode_input!J70</f>
        <v>3023.7469799999999</v>
      </c>
      <c r="L94" s="160">
        <f>TripMode_input!K70</f>
        <v>327.06900000000002</v>
      </c>
      <c r="M94" s="160">
        <f>TripMode_input!L70</f>
        <v>3134.1766499999999</v>
      </c>
      <c r="N94" s="160">
        <f>TripMode_input!M70</f>
        <v>2545.5630299999998</v>
      </c>
      <c r="O94" s="160">
        <f>TripMode_input!N70</f>
        <v>136.0624</v>
      </c>
      <c r="P94" s="160">
        <f>TripMode_input!O70</f>
        <v>430.44335000000001</v>
      </c>
      <c r="Q94" s="162">
        <f t="shared" si="234"/>
        <v>586583.73368000006</v>
      </c>
      <c r="S94" s="107" t="s">
        <v>388</v>
      </c>
      <c r="T94" s="160">
        <f>TripMode_input!R70*Index!$B$2</f>
        <v>0</v>
      </c>
      <c r="U94" s="160">
        <f>TripMode_input!S70*Index!$B$2</f>
        <v>0</v>
      </c>
      <c r="V94" s="160">
        <f>TripMode_input!T70*Index!$B$2</f>
        <v>777845</v>
      </c>
      <c r="W94" s="160">
        <f>TripMode_input!U70*Index!$B$2</f>
        <v>20570</v>
      </c>
      <c r="X94" s="160">
        <f>TripMode_input!V70*Index!$B$2</f>
        <v>88145</v>
      </c>
      <c r="Y94" s="160">
        <f>TripMode_input!W70*Index!$B$2</f>
        <v>2170</v>
      </c>
      <c r="Z94" s="160">
        <f>TripMode_input!X70*Index!$B$2</f>
        <v>0</v>
      </c>
      <c r="AA94" s="160">
        <f>TripMode_input!Y70*Index!$B$2</f>
        <v>0</v>
      </c>
      <c r="AB94" s="160">
        <f>TripMode_input!Z70*Index!$B$2</f>
        <v>0</v>
      </c>
      <c r="AC94" s="160">
        <f>TripMode_input!AA70*Index!$B$2</f>
        <v>8135</v>
      </c>
      <c r="AD94" s="160">
        <f>TripMode_input!AB70*Index!$B$2</f>
        <v>0</v>
      </c>
      <c r="AE94" s="160">
        <f>TripMode_input!AC70*Index!$B$2</f>
        <v>0</v>
      </c>
      <c r="AF94" s="160">
        <f>TripMode_input!AD70*Index!$B$2</f>
        <v>2775</v>
      </c>
      <c r="AG94" s="160">
        <f>TripMode_input!AE70*Index!$B$2</f>
        <v>0</v>
      </c>
      <c r="AH94" s="162">
        <f t="shared" si="235"/>
        <v>899640</v>
      </c>
      <c r="AJ94" s="107" t="s">
        <v>388</v>
      </c>
      <c r="AK94" s="166">
        <f t="shared" si="266"/>
        <v>0</v>
      </c>
      <c r="AL94" s="166">
        <f t="shared" si="236"/>
        <v>0</v>
      </c>
      <c r="AM94" s="166">
        <f t="shared" si="237"/>
        <v>0.72128086778403677</v>
      </c>
      <c r="AN94" s="166">
        <f t="shared" si="238"/>
        <v>0.38077821046678517</v>
      </c>
      <c r="AO94" s="166">
        <f t="shared" si="239"/>
        <v>0.17458808061312467</v>
      </c>
      <c r="AP94" s="166">
        <f t="shared" si="240"/>
        <v>0.10188986832026391</v>
      </c>
      <c r="AQ94" s="166">
        <f t="shared" si="241"/>
        <v>0</v>
      </c>
      <c r="AR94" s="166">
        <f t="shared" si="242"/>
        <v>0</v>
      </c>
      <c r="AS94" s="166">
        <f t="shared" si="243"/>
        <v>1.339934997893848E-2</v>
      </c>
      <c r="AT94" s="166">
        <f t="shared" si="244"/>
        <v>1.2683069172383722E-2</v>
      </c>
      <c r="AU94" s="166">
        <f t="shared" si="245"/>
        <v>0.15425843107490864</v>
      </c>
      <c r="AV94" s="166">
        <f t="shared" si="246"/>
        <v>0.11855532668100369</v>
      </c>
      <c r="AW94" s="166">
        <f t="shared" si="247"/>
        <v>5.3867204165364115E-3</v>
      </c>
      <c r="AX94" s="166">
        <f t="shared" si="248"/>
        <v>0.22215455780895915</v>
      </c>
      <c r="AY94" s="168">
        <f t="shared" si="249"/>
        <v>0.1087308856065142</v>
      </c>
      <c r="BA94" s="107" t="s">
        <v>388</v>
      </c>
      <c r="BB94" s="166">
        <f t="shared" si="267"/>
        <v>0</v>
      </c>
      <c r="BC94" s="166">
        <f t="shared" si="250"/>
        <v>0</v>
      </c>
      <c r="BD94" s="166">
        <f t="shared" si="251"/>
        <v>0.78131011033935505</v>
      </c>
      <c r="BE94" s="166">
        <f t="shared" si="252"/>
        <v>0.70085178875638843</v>
      </c>
      <c r="BF94" s="166">
        <f t="shared" si="253"/>
        <v>0.21607344217286856</v>
      </c>
      <c r="BG94" s="166">
        <f t="shared" si="254"/>
        <v>0.18000829531314808</v>
      </c>
      <c r="BH94" s="166">
        <f t="shared" si="255"/>
        <v>0</v>
      </c>
      <c r="BI94" s="166">
        <f t="shared" si="256"/>
        <v>0</v>
      </c>
      <c r="BJ94" s="166" t="str">
        <f t="shared" si="257"/>
        <v/>
      </c>
      <c r="BK94" s="166">
        <f t="shared" si="258"/>
        <v>4.7143022716736205E-2</v>
      </c>
      <c r="BL94" s="166">
        <f t="shared" si="259"/>
        <v>0</v>
      </c>
      <c r="BM94" s="166">
        <f t="shared" si="260"/>
        <v>0</v>
      </c>
      <c r="BN94" s="166">
        <f t="shared" si="261"/>
        <v>6.092206366630077E-2</v>
      </c>
      <c r="BO94" s="166" t="str">
        <f t="shared" si="262"/>
        <v/>
      </c>
      <c r="BP94" s="168">
        <f t="shared" si="263"/>
        <v>0.11943199310203374</v>
      </c>
      <c r="BR94" s="107" t="s">
        <v>388</v>
      </c>
      <c r="BS94" s="166" t="str">
        <f t="shared" si="264"/>
        <v/>
      </c>
      <c r="BT94" s="166" t="str">
        <f t="shared" si="264"/>
        <v/>
      </c>
      <c r="BU94" s="166">
        <f t="shared" si="264"/>
        <v>8.3225890546277465E-2</v>
      </c>
      <c r="BV94" s="166">
        <f t="shared" si="264"/>
        <v>0.8405774529410025</v>
      </c>
      <c r="BW94" s="166"/>
      <c r="BX94" s="166"/>
      <c r="BY94" s="166"/>
      <c r="BZ94" s="166"/>
      <c r="CA94" s="166"/>
      <c r="CB94" s="166">
        <f t="shared" si="268"/>
        <v>2.7170043051871096</v>
      </c>
      <c r="CC94" s="166">
        <f t="shared" si="268"/>
        <v>-1</v>
      </c>
      <c r="CD94" s="166">
        <f t="shared" si="268"/>
        <v>-1</v>
      </c>
      <c r="CE94" s="166">
        <f t="shared" si="268"/>
        <v>10.309676195422972</v>
      </c>
      <c r="CF94" s="166" t="e">
        <f t="shared" si="268"/>
        <v>#VALUE!</v>
      </c>
      <c r="CG94" s="168">
        <f t="shared" si="268"/>
        <v>9.8418286909257247E-2</v>
      </c>
    </row>
    <row r="95" spans="2:85" x14ac:dyDescent="0.25">
      <c r="B95" s="107" t="s">
        <v>389</v>
      </c>
      <c r="C95" s="160">
        <f>TripMode_input!B71</f>
        <v>0</v>
      </c>
      <c r="D95" s="160">
        <f>TripMode_input!C71</f>
        <v>0</v>
      </c>
      <c r="E95" s="160">
        <f>TripMode_input!D71</f>
        <v>0</v>
      </c>
      <c r="F95" s="160">
        <f>TripMode_input!E71</f>
        <v>1561.1919800000001</v>
      </c>
      <c r="G95" s="160">
        <f>TripMode_input!F71</f>
        <v>0</v>
      </c>
      <c r="H95" s="160">
        <f>TripMode_input!G71</f>
        <v>77.59384</v>
      </c>
      <c r="I95" s="160">
        <f>TripMode_input!H71</f>
        <v>0</v>
      </c>
      <c r="J95" s="160">
        <f>TripMode_input!I71</f>
        <v>0</v>
      </c>
      <c r="K95" s="160">
        <f>TripMode_input!J71</f>
        <v>0</v>
      </c>
      <c r="L95" s="160">
        <f>TripMode_input!K71</f>
        <v>0</v>
      </c>
      <c r="M95" s="160">
        <f>TripMode_input!L71</f>
        <v>0</v>
      </c>
      <c r="N95" s="160">
        <f>TripMode_input!M71</f>
        <v>0</v>
      </c>
      <c r="O95" s="160">
        <f>TripMode_input!N71</f>
        <v>217.97167999999999</v>
      </c>
      <c r="P95" s="160">
        <f>TripMode_input!O71</f>
        <v>0</v>
      </c>
      <c r="Q95" s="162">
        <f t="shared" si="234"/>
        <v>1856.7575000000002</v>
      </c>
      <c r="S95" s="107" t="s">
        <v>389</v>
      </c>
      <c r="T95" s="160">
        <f>TripMode_input!R71*Index!$B$2</f>
        <v>0</v>
      </c>
      <c r="U95" s="160">
        <f>TripMode_input!S71*Index!$B$2</f>
        <v>0</v>
      </c>
      <c r="V95" s="160">
        <f>TripMode_input!T71*Index!$B$2</f>
        <v>8535</v>
      </c>
      <c r="W95" s="160">
        <f>TripMode_input!U71*Index!$B$2</f>
        <v>3095</v>
      </c>
      <c r="X95" s="160">
        <f>TripMode_input!V71*Index!$B$2</f>
        <v>1155</v>
      </c>
      <c r="Y95" s="160">
        <f>TripMode_input!W71*Index!$B$2</f>
        <v>465</v>
      </c>
      <c r="Z95" s="160">
        <f>TripMode_input!X71*Index!$B$2</f>
        <v>0</v>
      </c>
      <c r="AA95" s="160">
        <f>TripMode_input!Y71*Index!$B$2</f>
        <v>0</v>
      </c>
      <c r="AB95" s="160">
        <f>TripMode_input!Z71*Index!$B$2</f>
        <v>0</v>
      </c>
      <c r="AC95" s="160">
        <f>TripMode_input!AA71*Index!$B$2</f>
        <v>65</v>
      </c>
      <c r="AD95" s="160">
        <f>TripMode_input!AB71*Index!$B$2</f>
        <v>0</v>
      </c>
      <c r="AE95" s="160">
        <f>TripMode_input!AC71*Index!$B$2</f>
        <v>0</v>
      </c>
      <c r="AF95" s="160">
        <f>TripMode_input!AD71*Index!$B$2</f>
        <v>785</v>
      </c>
      <c r="AG95" s="160">
        <f>TripMode_input!AE71*Index!$B$2</f>
        <v>0</v>
      </c>
      <c r="AH95" s="162">
        <f t="shared" si="235"/>
        <v>14100</v>
      </c>
      <c r="AJ95" s="107" t="s">
        <v>389</v>
      </c>
      <c r="AK95" s="166">
        <f t="shared" si="266"/>
        <v>0</v>
      </c>
      <c r="AL95" s="166">
        <f t="shared" si="236"/>
        <v>0</v>
      </c>
      <c r="AM95" s="166">
        <f t="shared" si="237"/>
        <v>0</v>
      </c>
      <c r="AN95" s="166">
        <f t="shared" si="238"/>
        <v>0.26793347725398281</v>
      </c>
      <c r="AO95" s="166">
        <f t="shared" si="239"/>
        <v>0</v>
      </c>
      <c r="AP95" s="166">
        <f t="shared" si="240"/>
        <v>5.0944934160131954E-2</v>
      </c>
      <c r="AQ95" s="166">
        <f t="shared" si="241"/>
        <v>0</v>
      </c>
      <c r="AR95" s="166">
        <f t="shared" si="242"/>
        <v>0</v>
      </c>
      <c r="AS95" s="166">
        <f t="shared" si="243"/>
        <v>0</v>
      </c>
      <c r="AT95" s="166">
        <f t="shared" si="244"/>
        <v>0</v>
      </c>
      <c r="AU95" s="166">
        <f t="shared" si="245"/>
        <v>0</v>
      </c>
      <c r="AV95" s="166">
        <f t="shared" si="246"/>
        <v>0</v>
      </c>
      <c r="AW95" s="166">
        <f t="shared" si="247"/>
        <v>8.6295148320383978E-3</v>
      </c>
      <c r="AX95" s="166">
        <f t="shared" si="248"/>
        <v>0</v>
      </c>
      <c r="AY95" s="168">
        <f t="shared" si="249"/>
        <v>3.4417402962229598E-4</v>
      </c>
      <c r="BA95" s="107" t="s">
        <v>389</v>
      </c>
      <c r="BB95" s="166">
        <f t="shared" si="267"/>
        <v>0</v>
      </c>
      <c r="BC95" s="166">
        <f t="shared" si="250"/>
        <v>0</v>
      </c>
      <c r="BD95" s="166">
        <f t="shared" si="251"/>
        <v>8.5730213496858568E-3</v>
      </c>
      <c r="BE95" s="166">
        <f t="shared" si="252"/>
        <v>0.10545144804088585</v>
      </c>
      <c r="BF95" s="166">
        <f t="shared" si="253"/>
        <v>2.8312987204000589E-3</v>
      </c>
      <c r="BG95" s="166">
        <f t="shared" si="254"/>
        <v>3.8573206138531727E-2</v>
      </c>
      <c r="BH95" s="166">
        <f t="shared" si="255"/>
        <v>0</v>
      </c>
      <c r="BI95" s="166">
        <f t="shared" si="256"/>
        <v>0</v>
      </c>
      <c r="BJ95" s="166" t="str">
        <f t="shared" si="257"/>
        <v/>
      </c>
      <c r="BK95" s="166">
        <f t="shared" si="258"/>
        <v>3.7668057487250811E-4</v>
      </c>
      <c r="BL95" s="166">
        <f t="shared" si="259"/>
        <v>0</v>
      </c>
      <c r="BM95" s="166">
        <f t="shared" si="260"/>
        <v>0</v>
      </c>
      <c r="BN95" s="166">
        <f t="shared" si="261"/>
        <v>1.7233809001097694E-2</v>
      </c>
      <c r="BO95" s="166" t="str">
        <f t="shared" si="262"/>
        <v/>
      </c>
      <c r="BP95" s="168">
        <f t="shared" si="263"/>
        <v>1.8718499652512959E-3</v>
      </c>
      <c r="BR95" s="107" t="s">
        <v>389</v>
      </c>
      <c r="BS95" s="166" t="str">
        <f t="shared" si="264"/>
        <v/>
      </c>
      <c r="BT95" s="166" t="str">
        <f t="shared" si="264"/>
        <v/>
      </c>
      <c r="BU95" s="166" t="str">
        <f t="shared" si="264"/>
        <v/>
      </c>
      <c r="BV95" s="166">
        <f t="shared" si="264"/>
        <v>-0.60642675517204958</v>
      </c>
      <c r="BW95" s="166"/>
      <c r="BX95" s="166"/>
      <c r="BY95" s="166"/>
      <c r="BZ95" s="166"/>
      <c r="CA95" s="166"/>
      <c r="CB95" s="166" t="str">
        <f t="shared" si="268"/>
        <v/>
      </c>
      <c r="CC95" s="166" t="str">
        <f t="shared" si="268"/>
        <v/>
      </c>
      <c r="CD95" s="166" t="str">
        <f t="shared" si="268"/>
        <v/>
      </c>
      <c r="CE95" s="166">
        <f t="shared" si="268"/>
        <v>0.99707739502509851</v>
      </c>
      <c r="CF95" s="166" t="str">
        <f t="shared" si="268"/>
        <v/>
      </c>
      <c r="CG95" s="168">
        <f t="shared" si="268"/>
        <v>4.4386728926220975</v>
      </c>
    </row>
    <row r="96" spans="2:85" x14ac:dyDescent="0.25">
      <c r="B96" s="107" t="s">
        <v>390</v>
      </c>
      <c r="C96" s="160">
        <f>TripMode_input!B72</f>
        <v>0</v>
      </c>
      <c r="D96" s="160">
        <f>TripMode_input!C72</f>
        <v>0</v>
      </c>
      <c r="E96" s="160">
        <f>TripMode_input!D72</f>
        <v>0</v>
      </c>
      <c r="F96" s="160">
        <f>TripMode_input!E72</f>
        <v>0</v>
      </c>
      <c r="G96" s="160">
        <f>TripMode_input!F72</f>
        <v>198284.16229000001</v>
      </c>
      <c r="H96" s="160">
        <f>TripMode_input!G72</f>
        <v>320.13724000000002</v>
      </c>
      <c r="I96" s="160">
        <f>TripMode_input!H72</f>
        <v>0</v>
      </c>
      <c r="J96" s="160">
        <f>TripMode_input!I72</f>
        <v>0</v>
      </c>
      <c r="K96" s="160">
        <f>TripMode_input!J72</f>
        <v>0</v>
      </c>
      <c r="L96" s="160">
        <f>TripMode_input!K72</f>
        <v>0</v>
      </c>
      <c r="M96" s="160">
        <f>TripMode_input!L72</f>
        <v>612.79145000000005</v>
      </c>
      <c r="N96" s="160">
        <f>TripMode_input!M72</f>
        <v>2424.0488099999998</v>
      </c>
      <c r="O96" s="160">
        <f>TripMode_input!N72</f>
        <v>177.24843999999999</v>
      </c>
      <c r="P96" s="160">
        <f>TripMode_input!O72</f>
        <v>0</v>
      </c>
      <c r="Q96" s="162">
        <f t="shared" si="234"/>
        <v>201818.38823000001</v>
      </c>
      <c r="S96" s="107" t="s">
        <v>390</v>
      </c>
      <c r="T96" s="160">
        <f>TripMode_input!R72*Index!$B$2</f>
        <v>0</v>
      </c>
      <c r="U96" s="160">
        <f>TripMode_input!S72*Index!$B$2</f>
        <v>0</v>
      </c>
      <c r="V96" s="160">
        <f>TripMode_input!T72*Index!$B$2</f>
        <v>0</v>
      </c>
      <c r="W96" s="160">
        <f>TripMode_input!U72*Index!$B$2</f>
        <v>0</v>
      </c>
      <c r="X96" s="160">
        <f>TripMode_input!V72*Index!$B$2</f>
        <v>276730</v>
      </c>
      <c r="Y96" s="160">
        <f>TripMode_input!W72*Index!$B$2</f>
        <v>6740</v>
      </c>
      <c r="Z96" s="160">
        <f>TripMode_input!X72*Index!$B$2</f>
        <v>0</v>
      </c>
      <c r="AA96" s="160">
        <f>TripMode_input!Y72*Index!$B$2</f>
        <v>0</v>
      </c>
      <c r="AB96" s="160">
        <f>TripMode_input!Z72*Index!$B$2</f>
        <v>0</v>
      </c>
      <c r="AC96" s="160">
        <f>TripMode_input!AA72*Index!$B$2</f>
        <v>2870</v>
      </c>
      <c r="AD96" s="160">
        <f>TripMode_input!AB72*Index!$B$2</f>
        <v>0</v>
      </c>
      <c r="AE96" s="160">
        <f>TripMode_input!AC72*Index!$B$2</f>
        <v>0</v>
      </c>
      <c r="AF96" s="160">
        <f>TripMode_input!AD72*Index!$B$2</f>
        <v>405</v>
      </c>
      <c r="AG96" s="160">
        <f>TripMode_input!AE72*Index!$B$2</f>
        <v>0</v>
      </c>
      <c r="AH96" s="162">
        <f t="shared" si="235"/>
        <v>286745</v>
      </c>
      <c r="AJ96" s="107" t="s">
        <v>390</v>
      </c>
      <c r="AK96" s="166">
        <f t="shared" si="266"/>
        <v>0</v>
      </c>
      <c r="AL96" s="166">
        <f t="shared" si="236"/>
        <v>0</v>
      </c>
      <c r="AM96" s="166">
        <f t="shared" si="237"/>
        <v>0</v>
      </c>
      <c r="AN96" s="166">
        <f t="shared" si="238"/>
        <v>0</v>
      </c>
      <c r="AO96" s="166">
        <f t="shared" si="239"/>
        <v>0.61842286468742558</v>
      </c>
      <c r="AP96" s="166">
        <f t="shared" si="240"/>
        <v>0.21018898683202639</v>
      </c>
      <c r="AQ96" s="166">
        <f t="shared" si="241"/>
        <v>0</v>
      </c>
      <c r="AR96" s="166">
        <f t="shared" si="242"/>
        <v>0</v>
      </c>
      <c r="AS96" s="166">
        <f t="shared" si="243"/>
        <v>0</v>
      </c>
      <c r="AT96" s="166">
        <f t="shared" si="244"/>
        <v>0</v>
      </c>
      <c r="AU96" s="166">
        <f t="shared" si="245"/>
        <v>3.0160472177954083E-2</v>
      </c>
      <c r="AV96" s="166">
        <f t="shared" si="246"/>
        <v>0.11289600578471955</v>
      </c>
      <c r="AW96" s="166">
        <f t="shared" si="247"/>
        <v>7.0172787672952196E-3</v>
      </c>
      <c r="AX96" s="166">
        <f t="shared" si="248"/>
        <v>0</v>
      </c>
      <c r="AY96" s="168">
        <f t="shared" si="249"/>
        <v>3.7409649848726093E-2</v>
      </c>
      <c r="BA96" s="107" t="s">
        <v>390</v>
      </c>
      <c r="BB96" s="166">
        <f t="shared" si="267"/>
        <v>0</v>
      </c>
      <c r="BC96" s="166">
        <f t="shared" si="250"/>
        <v>0</v>
      </c>
      <c r="BD96" s="166">
        <f t="shared" si="251"/>
        <v>0</v>
      </c>
      <c r="BE96" s="166">
        <f t="shared" si="252"/>
        <v>0</v>
      </c>
      <c r="BF96" s="166">
        <f t="shared" si="253"/>
        <v>0.67835956268078634</v>
      </c>
      <c r="BG96" s="166">
        <f t="shared" si="254"/>
        <v>0.55910410618000828</v>
      </c>
      <c r="BH96" s="166">
        <f t="shared" si="255"/>
        <v>0</v>
      </c>
      <c r="BI96" s="166">
        <f t="shared" si="256"/>
        <v>0</v>
      </c>
      <c r="BJ96" s="166" t="str">
        <f t="shared" si="257"/>
        <v/>
      </c>
      <c r="BK96" s="166">
        <f t="shared" si="258"/>
        <v>1.663189615206305E-2</v>
      </c>
      <c r="BL96" s="166">
        <f t="shared" si="259"/>
        <v>0</v>
      </c>
      <c r="BM96" s="166">
        <f t="shared" si="260"/>
        <v>0</v>
      </c>
      <c r="BN96" s="166">
        <f t="shared" si="261"/>
        <v>8.8913282107574102E-3</v>
      </c>
      <c r="BO96" s="166" t="str">
        <f t="shared" si="262"/>
        <v/>
      </c>
      <c r="BP96" s="168">
        <f t="shared" si="263"/>
        <v>3.8066923282693815E-2</v>
      </c>
      <c r="BR96" s="107" t="s">
        <v>390</v>
      </c>
      <c r="BS96" s="166"/>
      <c r="BT96" s="166"/>
      <c r="BU96" s="166"/>
      <c r="BV96" s="166"/>
      <c r="BW96" s="166"/>
      <c r="BX96" s="166"/>
      <c r="BY96" s="166"/>
      <c r="BZ96" s="166"/>
      <c r="CA96" s="166"/>
      <c r="CB96" s="166"/>
      <c r="CC96" s="166"/>
      <c r="CD96" s="166"/>
      <c r="CE96" s="166"/>
      <c r="CF96" s="166"/>
      <c r="CG96" s="168"/>
    </row>
    <row r="97" spans="2:85" x14ac:dyDescent="0.25">
      <c r="B97" s="107" t="s">
        <v>391</v>
      </c>
      <c r="C97" s="160">
        <f>TripMode_input!B73</f>
        <v>0</v>
      </c>
      <c r="D97" s="160">
        <f>TripMode_input!C73</f>
        <v>0</v>
      </c>
      <c r="E97" s="160">
        <f>TripMode_input!D73</f>
        <v>0</v>
      </c>
      <c r="F97" s="160">
        <f>TripMode_input!E73</f>
        <v>0</v>
      </c>
      <c r="G97" s="160">
        <f>TripMode_input!F73</f>
        <v>0</v>
      </c>
      <c r="H97" s="160">
        <f>TripMode_input!G73</f>
        <v>485.08679999999998</v>
      </c>
      <c r="I97" s="160">
        <f>TripMode_input!H73</f>
        <v>0</v>
      </c>
      <c r="J97" s="160">
        <f>TripMode_input!I73</f>
        <v>0</v>
      </c>
      <c r="K97" s="160">
        <f>TripMode_input!J73</f>
        <v>354.02075000000002</v>
      </c>
      <c r="L97" s="160">
        <f>TripMode_input!K73</f>
        <v>0</v>
      </c>
      <c r="M97" s="160">
        <f>TripMode_input!L73</f>
        <v>0</v>
      </c>
      <c r="N97" s="160">
        <f>TripMode_input!M73</f>
        <v>0</v>
      </c>
      <c r="O97" s="160">
        <f>TripMode_input!N73</f>
        <v>0</v>
      </c>
      <c r="P97" s="160">
        <f>TripMode_input!O73</f>
        <v>0</v>
      </c>
      <c r="Q97" s="162">
        <f t="shared" si="234"/>
        <v>839.10754999999995</v>
      </c>
      <c r="S97" s="107" t="s">
        <v>391</v>
      </c>
      <c r="T97" s="160">
        <f>TripMode_input!R73*Index!$B$2</f>
        <v>0</v>
      </c>
      <c r="U97" s="160">
        <f>TripMode_input!S73*Index!$B$2</f>
        <v>0</v>
      </c>
      <c r="V97" s="160">
        <f>TripMode_input!T73*Index!$B$2</f>
        <v>0</v>
      </c>
      <c r="W97" s="160">
        <f>TripMode_input!U73*Index!$B$2</f>
        <v>0</v>
      </c>
      <c r="X97" s="160">
        <f>TripMode_input!V73*Index!$B$2</f>
        <v>3460</v>
      </c>
      <c r="Y97" s="160">
        <f>TripMode_input!W73*Index!$B$2</f>
        <v>1460</v>
      </c>
      <c r="Z97" s="160">
        <f>TripMode_input!X73*Index!$B$2</f>
        <v>0</v>
      </c>
      <c r="AA97" s="160">
        <f>TripMode_input!Y73*Index!$B$2</f>
        <v>0</v>
      </c>
      <c r="AB97" s="160">
        <f>TripMode_input!Z73*Index!$B$2</f>
        <v>0</v>
      </c>
      <c r="AC97" s="160">
        <f>TripMode_input!AA73*Index!$B$2</f>
        <v>15</v>
      </c>
      <c r="AD97" s="160">
        <f>TripMode_input!AB73*Index!$B$2</f>
        <v>0</v>
      </c>
      <c r="AE97" s="160">
        <f>TripMode_input!AC73*Index!$B$2</f>
        <v>0</v>
      </c>
      <c r="AF97" s="160">
        <f>TripMode_input!AD73*Index!$B$2</f>
        <v>115</v>
      </c>
      <c r="AG97" s="160">
        <f>TripMode_input!AE73*Index!$B$2</f>
        <v>0</v>
      </c>
      <c r="AH97" s="162">
        <f t="shared" si="235"/>
        <v>5050</v>
      </c>
      <c r="AJ97" s="107" t="s">
        <v>391</v>
      </c>
      <c r="AK97" s="166">
        <f t="shared" si="266"/>
        <v>0</v>
      </c>
      <c r="AL97" s="166">
        <f t="shared" si="236"/>
        <v>0</v>
      </c>
      <c r="AM97" s="166">
        <f t="shared" si="237"/>
        <v>0</v>
      </c>
      <c r="AN97" s="166">
        <f t="shared" si="238"/>
        <v>0</v>
      </c>
      <c r="AO97" s="166">
        <f t="shared" si="239"/>
        <v>0</v>
      </c>
      <c r="AP97" s="166">
        <f t="shared" si="240"/>
        <v>0.31848810534378885</v>
      </c>
      <c r="AQ97" s="166">
        <f t="shared" si="241"/>
        <v>0</v>
      </c>
      <c r="AR97" s="166">
        <f t="shared" si="242"/>
        <v>0</v>
      </c>
      <c r="AS97" s="166">
        <f t="shared" si="243"/>
        <v>1.568797905523261E-3</v>
      </c>
      <c r="AT97" s="166">
        <f t="shared" si="244"/>
        <v>0</v>
      </c>
      <c r="AU97" s="166">
        <f t="shared" si="245"/>
        <v>0</v>
      </c>
      <c r="AV97" s="166">
        <f t="shared" si="246"/>
        <v>0</v>
      </c>
      <c r="AW97" s="166">
        <f t="shared" si="247"/>
        <v>0</v>
      </c>
      <c r="AX97" s="166">
        <f t="shared" si="248"/>
        <v>0</v>
      </c>
      <c r="AY97" s="168">
        <f t="shared" si="249"/>
        <v>1.5553944269512424E-4</v>
      </c>
      <c r="BA97" s="107" t="s">
        <v>391</v>
      </c>
      <c r="BB97" s="166">
        <f t="shared" si="267"/>
        <v>0</v>
      </c>
      <c r="BC97" s="166">
        <f t="shared" si="250"/>
        <v>0</v>
      </c>
      <c r="BD97" s="166">
        <f t="shared" si="251"/>
        <v>0</v>
      </c>
      <c r="BE97" s="166">
        <f t="shared" si="252"/>
        <v>0</v>
      </c>
      <c r="BF97" s="166">
        <f t="shared" si="253"/>
        <v>8.4816394567828607E-3</v>
      </c>
      <c r="BG97" s="166">
        <f t="shared" si="254"/>
        <v>0.12111157196184157</v>
      </c>
      <c r="BH97" s="166">
        <f t="shared" si="255"/>
        <v>0</v>
      </c>
      <c r="BI97" s="166">
        <f t="shared" si="256"/>
        <v>0</v>
      </c>
      <c r="BJ97" s="166" t="str">
        <f t="shared" si="257"/>
        <v/>
      </c>
      <c r="BK97" s="166">
        <f t="shared" si="258"/>
        <v>8.692628650904033E-5</v>
      </c>
      <c r="BL97" s="166">
        <f t="shared" si="259"/>
        <v>0</v>
      </c>
      <c r="BM97" s="166">
        <f t="shared" si="260"/>
        <v>0</v>
      </c>
      <c r="BN97" s="166">
        <f t="shared" si="261"/>
        <v>2.5246981339187707E-3</v>
      </c>
      <c r="BO97" s="166" t="str">
        <f t="shared" si="262"/>
        <v/>
      </c>
      <c r="BP97" s="168">
        <f t="shared" si="263"/>
        <v>6.7041434925666984E-4</v>
      </c>
      <c r="BR97" s="107" t="s">
        <v>391</v>
      </c>
      <c r="BS97" s="166"/>
      <c r="BT97" s="166"/>
      <c r="BU97" s="166"/>
      <c r="BV97" s="166"/>
      <c r="BW97" s="166"/>
      <c r="BX97" s="166"/>
      <c r="BY97" s="166"/>
      <c r="BZ97" s="166"/>
      <c r="CA97" s="166"/>
      <c r="CB97" s="166"/>
      <c r="CC97" s="166"/>
      <c r="CD97" s="166"/>
      <c r="CE97" s="166"/>
      <c r="CF97" s="166"/>
      <c r="CG97" s="168"/>
    </row>
    <row r="98" spans="2:85" x14ac:dyDescent="0.25">
      <c r="B98" s="107" t="s">
        <v>392</v>
      </c>
      <c r="C98" s="160">
        <f>TripMode_input!B74</f>
        <v>31726.40165</v>
      </c>
      <c r="D98" s="160">
        <f>TripMode_input!C74</f>
        <v>0</v>
      </c>
      <c r="E98" s="160">
        <f>TripMode_input!D74</f>
        <v>14161.348309999999</v>
      </c>
      <c r="F98" s="160">
        <f>TripMode_input!E74</f>
        <v>62.996789999999997</v>
      </c>
      <c r="G98" s="160">
        <f>TripMode_input!F74</f>
        <v>5117.0298000000003</v>
      </c>
      <c r="H98" s="160">
        <f>TripMode_input!G74</f>
        <v>0</v>
      </c>
      <c r="I98" s="160">
        <f>TripMode_input!H74</f>
        <v>470717.41733000003</v>
      </c>
      <c r="J98" s="160">
        <f>TripMode_input!I74</f>
        <v>771.81784000000005</v>
      </c>
      <c r="K98" s="160">
        <f>TripMode_input!J74</f>
        <v>34613.843359999999</v>
      </c>
      <c r="L98" s="160">
        <f>TripMode_input!K74</f>
        <v>5913.86967</v>
      </c>
      <c r="M98" s="160">
        <f>TripMode_input!L74</f>
        <v>4102.2316899999996</v>
      </c>
      <c r="N98" s="160">
        <f>TripMode_input!M74</f>
        <v>1877.0561499999999</v>
      </c>
      <c r="O98" s="160">
        <f>TripMode_input!N74</f>
        <v>3318.0587300000002</v>
      </c>
      <c r="P98" s="160">
        <f>TripMode_input!O74</f>
        <v>503.00439999999998</v>
      </c>
      <c r="Q98" s="162">
        <f t="shared" si="234"/>
        <v>572885.07572000008</v>
      </c>
      <c r="S98" s="107" t="s">
        <v>392</v>
      </c>
      <c r="T98" s="160">
        <f>TripMode_input!R74*Index!$B$2</f>
        <v>0</v>
      </c>
      <c r="U98" s="160">
        <f>TripMode_input!S74*Index!$B$2</f>
        <v>0</v>
      </c>
      <c r="V98" s="160">
        <f>TripMode_input!T74*Index!$B$2</f>
        <v>19165</v>
      </c>
      <c r="W98" s="160">
        <f>TripMode_input!U74*Index!$B$2</f>
        <v>175</v>
      </c>
      <c r="X98" s="160">
        <f>TripMode_input!V74*Index!$B$2</f>
        <v>5290</v>
      </c>
      <c r="Y98" s="160">
        <f>TripMode_input!W74*Index!$B$2</f>
        <v>75</v>
      </c>
      <c r="Z98" s="160">
        <f>TripMode_input!X74*Index!$B$2</f>
        <v>839375</v>
      </c>
      <c r="AA98" s="160">
        <f>TripMode_input!Y74*Index!$B$2</f>
        <v>0</v>
      </c>
      <c r="AB98" s="160">
        <f>TripMode_input!Z74*Index!$B$2</f>
        <v>0</v>
      </c>
      <c r="AC98" s="160">
        <f>TripMode_input!AA74*Index!$B$2</f>
        <v>40115</v>
      </c>
      <c r="AD98" s="160">
        <f>TripMode_input!AB74*Index!$B$2</f>
        <v>0</v>
      </c>
      <c r="AE98" s="160">
        <f>TripMode_input!AC74*Index!$B$2</f>
        <v>0</v>
      </c>
      <c r="AF98" s="160">
        <f>TripMode_input!AD74*Index!$B$2</f>
        <v>10245</v>
      </c>
      <c r="AG98" s="160">
        <f>TripMode_input!AE74*Index!$B$2</f>
        <v>0</v>
      </c>
      <c r="AH98" s="162">
        <f t="shared" si="235"/>
        <v>914440</v>
      </c>
      <c r="AJ98" s="107" t="s">
        <v>392</v>
      </c>
      <c r="AK98" s="166">
        <f t="shared" si="266"/>
        <v>9.1818878519146444E-3</v>
      </c>
      <c r="AL98" s="166">
        <f t="shared" si="236"/>
        <v>0</v>
      </c>
      <c r="AM98" s="166">
        <f t="shared" si="237"/>
        <v>1.9694608670022082E-2</v>
      </c>
      <c r="AN98" s="166">
        <f t="shared" si="238"/>
        <v>1.0811578086981289E-2</v>
      </c>
      <c r="AO98" s="166">
        <f t="shared" si="239"/>
        <v>1.5959359492255919E-2</v>
      </c>
      <c r="AP98" s="166">
        <f t="shared" si="240"/>
        <v>0</v>
      </c>
      <c r="AQ98" s="166">
        <f t="shared" si="241"/>
        <v>1</v>
      </c>
      <c r="AR98" s="166">
        <f t="shared" si="242"/>
        <v>1.396496395906055E-2</v>
      </c>
      <c r="AS98" s="166">
        <f t="shared" si="243"/>
        <v>0.1533868423398296</v>
      </c>
      <c r="AT98" s="166">
        <f t="shared" si="244"/>
        <v>0.22932781187172155</v>
      </c>
      <c r="AU98" s="166">
        <f t="shared" si="245"/>
        <v>0.20190432610273287</v>
      </c>
      <c r="AV98" s="166">
        <f t="shared" si="246"/>
        <v>8.7420740495998267E-2</v>
      </c>
      <c r="AW98" s="166">
        <f t="shared" si="247"/>
        <v>0.13136218899679764</v>
      </c>
      <c r="AX98" s="166">
        <f t="shared" si="248"/>
        <v>0.25960377842510707</v>
      </c>
      <c r="AY98" s="168">
        <f t="shared" si="249"/>
        <v>0.10619166208889774</v>
      </c>
      <c r="BA98" s="107" t="s">
        <v>392</v>
      </c>
      <c r="BB98" s="166">
        <f t="shared" si="267"/>
        <v>0</v>
      </c>
      <c r="BC98" s="166">
        <f t="shared" si="250"/>
        <v>0</v>
      </c>
      <c r="BD98" s="166">
        <f t="shared" si="251"/>
        <v>1.9250375414965371E-2</v>
      </c>
      <c r="BE98" s="166">
        <f t="shared" si="252"/>
        <v>5.96252129471891E-3</v>
      </c>
      <c r="BF98" s="166">
        <f t="shared" si="253"/>
        <v>1.2967593273520615E-2</v>
      </c>
      <c r="BG98" s="166">
        <f t="shared" si="254"/>
        <v>6.2214848610535048E-3</v>
      </c>
      <c r="BH98" s="166">
        <f t="shared" si="255"/>
        <v>1</v>
      </c>
      <c r="BI98" s="166">
        <f t="shared" si="256"/>
        <v>0</v>
      </c>
      <c r="BJ98" s="166" t="str">
        <f t="shared" si="257"/>
        <v/>
      </c>
      <c r="BK98" s="166">
        <f t="shared" si="258"/>
        <v>0.2324698655540102</v>
      </c>
      <c r="BL98" s="166">
        <f t="shared" si="259"/>
        <v>0</v>
      </c>
      <c r="BM98" s="166">
        <f t="shared" si="260"/>
        <v>0</v>
      </c>
      <c r="BN98" s="166">
        <f t="shared" si="261"/>
        <v>0.22491767288693743</v>
      </c>
      <c r="BO98" s="166" t="str">
        <f t="shared" si="262"/>
        <v/>
      </c>
      <c r="BP98" s="168">
        <f t="shared" si="263"/>
        <v>0.12139677178896419</v>
      </c>
      <c r="BR98" s="107" t="s">
        <v>392</v>
      </c>
      <c r="BS98" s="166"/>
      <c r="BT98" s="166"/>
      <c r="BU98" s="166"/>
      <c r="BV98" s="166"/>
      <c r="BW98" s="166"/>
      <c r="BX98" s="166"/>
      <c r="BY98" s="166"/>
      <c r="BZ98" s="166"/>
      <c r="CA98" s="166"/>
      <c r="CB98" s="166"/>
      <c r="CC98" s="166"/>
      <c r="CD98" s="166"/>
      <c r="CE98" s="166"/>
      <c r="CF98" s="166"/>
      <c r="CG98" s="168"/>
    </row>
    <row r="99" spans="2:85" x14ac:dyDescent="0.25">
      <c r="B99" s="107" t="s">
        <v>393</v>
      </c>
      <c r="C99" s="160">
        <f>TripMode_input!B75</f>
        <v>942.71253000000002</v>
      </c>
      <c r="D99" s="160">
        <f>TripMode_input!C75</f>
        <v>0</v>
      </c>
      <c r="E99" s="160">
        <f>TripMode_input!D75</f>
        <v>0</v>
      </c>
      <c r="F99" s="160">
        <f>TripMode_input!E75</f>
        <v>0</v>
      </c>
      <c r="G99" s="160">
        <f>TripMode_input!F75</f>
        <v>210.69922</v>
      </c>
      <c r="H99" s="160">
        <f>TripMode_input!G75</f>
        <v>0</v>
      </c>
      <c r="I99" s="160">
        <f>TripMode_input!H75</f>
        <v>0</v>
      </c>
      <c r="J99" s="160">
        <f>TripMode_input!I75</f>
        <v>54496.340550000001</v>
      </c>
      <c r="K99" s="160">
        <f>TripMode_input!J75</f>
        <v>616.64139999999998</v>
      </c>
      <c r="L99" s="160">
        <f>TripMode_input!K75</f>
        <v>0</v>
      </c>
      <c r="M99" s="160">
        <f>TripMode_input!L75</f>
        <v>0</v>
      </c>
      <c r="N99" s="160">
        <f>TripMode_input!M75</f>
        <v>0</v>
      </c>
      <c r="O99" s="160">
        <f>TripMode_input!N75</f>
        <v>88.062920000000005</v>
      </c>
      <c r="P99" s="160">
        <f>TripMode_input!O75</f>
        <v>0</v>
      </c>
      <c r="Q99" s="162">
        <f t="shared" si="234"/>
        <v>56354.456619999997</v>
      </c>
      <c r="S99" s="107" t="s">
        <v>393</v>
      </c>
      <c r="T99" s="160">
        <f>TripMode_input!R75*Index!$B$2</f>
        <v>0</v>
      </c>
      <c r="U99" s="160">
        <f>TripMode_input!S75*Index!$B$2</f>
        <v>0</v>
      </c>
      <c r="V99" s="160">
        <f>TripMode_input!T75*Index!$B$2</f>
        <v>0</v>
      </c>
      <c r="W99" s="160">
        <f>TripMode_input!U75*Index!$B$2</f>
        <v>0</v>
      </c>
      <c r="X99" s="160">
        <f>TripMode_input!V75*Index!$B$2</f>
        <v>0</v>
      </c>
      <c r="Y99" s="160">
        <f>TripMode_input!W75*Index!$B$2</f>
        <v>0</v>
      </c>
      <c r="Z99" s="160">
        <f>TripMode_input!X75*Index!$B$2</f>
        <v>0</v>
      </c>
      <c r="AA99" s="160">
        <f>TripMode_input!Y75*Index!$B$2</f>
        <v>102585</v>
      </c>
      <c r="AB99" s="160">
        <f>TripMode_input!Z75*Index!$B$2</f>
        <v>0</v>
      </c>
      <c r="AC99" s="160">
        <f>TripMode_input!AA75*Index!$B$2</f>
        <v>0</v>
      </c>
      <c r="AD99" s="160">
        <f>TripMode_input!AB75*Index!$B$2</f>
        <v>0</v>
      </c>
      <c r="AE99" s="160">
        <f>TripMode_input!AC75*Index!$B$2</f>
        <v>0</v>
      </c>
      <c r="AF99" s="160">
        <f>TripMode_input!AD75*Index!$B$2</f>
        <v>0</v>
      </c>
      <c r="AG99" s="160">
        <f>TripMode_input!AE75*Index!$B$2</f>
        <v>0</v>
      </c>
      <c r="AH99" s="162">
        <f t="shared" si="235"/>
        <v>102585</v>
      </c>
      <c r="AJ99" s="107" t="s">
        <v>393</v>
      </c>
      <c r="AK99" s="166">
        <f t="shared" si="266"/>
        <v>2.7282894614223354E-4</v>
      </c>
      <c r="AL99" s="166">
        <f t="shared" si="236"/>
        <v>0</v>
      </c>
      <c r="AM99" s="166">
        <f t="shared" si="237"/>
        <v>0</v>
      </c>
      <c r="AN99" s="166">
        <f t="shared" si="238"/>
        <v>0</v>
      </c>
      <c r="AO99" s="166">
        <f t="shared" si="239"/>
        <v>6.5714383698096067E-4</v>
      </c>
      <c r="AP99" s="166">
        <f t="shared" si="240"/>
        <v>0</v>
      </c>
      <c r="AQ99" s="166">
        <f t="shared" si="241"/>
        <v>0</v>
      </c>
      <c r="AR99" s="166">
        <f t="shared" si="242"/>
        <v>0.98603503604093934</v>
      </c>
      <c r="AS99" s="166">
        <f t="shared" si="243"/>
        <v>2.7325678982910782E-3</v>
      </c>
      <c r="AT99" s="166">
        <f t="shared" si="244"/>
        <v>0</v>
      </c>
      <c r="AU99" s="166">
        <f t="shared" si="245"/>
        <v>0</v>
      </c>
      <c r="AV99" s="166">
        <f t="shared" si="246"/>
        <v>0</v>
      </c>
      <c r="AW99" s="166">
        <f t="shared" si="247"/>
        <v>3.4864174753922667E-3</v>
      </c>
      <c r="AX99" s="166">
        <f t="shared" si="248"/>
        <v>0</v>
      </c>
      <c r="AY99" s="168">
        <f t="shared" si="249"/>
        <v>1.0446027778037935E-2</v>
      </c>
      <c r="BA99" s="107" t="s">
        <v>393</v>
      </c>
      <c r="BB99" s="166">
        <f t="shared" si="267"/>
        <v>0</v>
      </c>
      <c r="BC99" s="166">
        <f t="shared" si="250"/>
        <v>0</v>
      </c>
      <c r="BD99" s="166">
        <f t="shared" si="251"/>
        <v>0</v>
      </c>
      <c r="BE99" s="166">
        <f t="shared" si="252"/>
        <v>0</v>
      </c>
      <c r="BF99" s="166">
        <f t="shared" si="253"/>
        <v>0</v>
      </c>
      <c r="BG99" s="166">
        <f t="shared" si="254"/>
        <v>0</v>
      </c>
      <c r="BH99" s="166">
        <f t="shared" si="255"/>
        <v>0</v>
      </c>
      <c r="BI99" s="166">
        <f t="shared" si="256"/>
        <v>1</v>
      </c>
      <c r="BJ99" s="166" t="str">
        <f t="shared" si="257"/>
        <v/>
      </c>
      <c r="BK99" s="166">
        <f t="shared" si="258"/>
        <v>0</v>
      </c>
      <c r="BL99" s="166">
        <f t="shared" si="259"/>
        <v>0</v>
      </c>
      <c r="BM99" s="166">
        <f t="shared" si="260"/>
        <v>0</v>
      </c>
      <c r="BN99" s="166">
        <f t="shared" si="261"/>
        <v>0</v>
      </c>
      <c r="BO99" s="166" t="str">
        <f t="shared" si="262"/>
        <v/>
      </c>
      <c r="BP99" s="168">
        <f t="shared" si="263"/>
        <v>1.3618704162078311E-2</v>
      </c>
      <c r="BR99" s="107" t="s">
        <v>393</v>
      </c>
      <c r="BS99" s="166"/>
      <c r="BT99" s="166"/>
      <c r="BU99" s="166"/>
      <c r="BV99" s="166"/>
      <c r="BW99" s="166"/>
      <c r="BX99" s="166"/>
      <c r="BY99" s="166"/>
      <c r="BZ99" s="166"/>
      <c r="CA99" s="166"/>
      <c r="CB99" s="166"/>
      <c r="CC99" s="166"/>
      <c r="CD99" s="166"/>
      <c r="CE99" s="166"/>
      <c r="CF99" s="166"/>
      <c r="CG99" s="168"/>
    </row>
    <row r="100" spans="2:85" x14ac:dyDescent="0.25">
      <c r="B100" s="107" t="s">
        <v>394</v>
      </c>
      <c r="C100" s="160">
        <f>TripMode_input!B76</f>
        <v>0</v>
      </c>
      <c r="D100" s="160">
        <f>TripMode_input!C76</f>
        <v>0</v>
      </c>
      <c r="E100" s="160">
        <f>TripMode_input!D76</f>
        <v>0</v>
      </c>
      <c r="F100" s="160">
        <f>TripMode_input!E76</f>
        <v>0</v>
      </c>
      <c r="G100" s="160">
        <f>TripMode_input!F76</f>
        <v>0</v>
      </c>
      <c r="H100" s="160">
        <f>TripMode_input!G76</f>
        <v>0</v>
      </c>
      <c r="I100" s="160">
        <f>TripMode_input!H76</f>
        <v>0</v>
      </c>
      <c r="J100" s="160">
        <f>TripMode_input!I76</f>
        <v>0</v>
      </c>
      <c r="K100" s="160">
        <f>TripMode_input!J76</f>
        <v>185516.76775</v>
      </c>
      <c r="L100" s="160">
        <f>TripMode_input!K76</f>
        <v>5098.1360699999996</v>
      </c>
      <c r="M100" s="160">
        <f>TripMode_input!L76</f>
        <v>6397.3261199999997</v>
      </c>
      <c r="N100" s="160">
        <f>TripMode_input!M76</f>
        <v>2063.5517500000001</v>
      </c>
      <c r="O100" s="160">
        <f>TripMode_input!N76</f>
        <v>0</v>
      </c>
      <c r="P100" s="160">
        <f>TripMode_input!O76</f>
        <v>168.20352</v>
      </c>
      <c r="Q100" s="162">
        <f t="shared" si="234"/>
        <v>199243.98521000004</v>
      </c>
      <c r="S100" s="107" t="s">
        <v>394</v>
      </c>
      <c r="T100" s="160">
        <f>TripMode_input!R76*Index!$B$2</f>
        <v>0</v>
      </c>
      <c r="U100" s="160">
        <f>TripMode_input!S76*Index!$B$2</f>
        <v>0</v>
      </c>
      <c r="V100" s="160">
        <f>TripMode_input!T76*Index!$B$2</f>
        <v>0</v>
      </c>
      <c r="W100" s="160">
        <f>TripMode_input!U76*Index!$B$2</f>
        <v>0</v>
      </c>
      <c r="X100" s="160">
        <f>TripMode_input!V76*Index!$B$2</f>
        <v>0</v>
      </c>
      <c r="Y100" s="160">
        <f>TripMode_input!W76*Index!$B$2</f>
        <v>0</v>
      </c>
      <c r="Z100" s="160">
        <f>TripMode_input!X76*Index!$B$2</f>
        <v>0</v>
      </c>
      <c r="AA100" s="160">
        <f>TripMode_input!Y76*Index!$B$2</f>
        <v>0</v>
      </c>
      <c r="AB100" s="160">
        <f>TripMode_input!Z76*Index!$B$2</f>
        <v>0</v>
      </c>
      <c r="AC100" s="160">
        <f>TripMode_input!AA76*Index!$B$2</f>
        <v>0</v>
      </c>
      <c r="AD100" s="160">
        <f>TripMode_input!AB76*Index!$B$2</f>
        <v>0</v>
      </c>
      <c r="AE100" s="160">
        <f>TripMode_input!AC76*Index!$B$2</f>
        <v>0</v>
      </c>
      <c r="AF100" s="160">
        <f>TripMode_input!AD76*Index!$B$2</f>
        <v>0</v>
      </c>
      <c r="AG100" s="160">
        <f>TripMode_input!AE76*Index!$B$2</f>
        <v>0</v>
      </c>
      <c r="AH100" s="162">
        <f t="shared" si="235"/>
        <v>0</v>
      </c>
      <c r="AJ100" s="107" t="s">
        <v>394</v>
      </c>
      <c r="AK100" s="166">
        <f t="shared" si="266"/>
        <v>0</v>
      </c>
      <c r="AL100" s="166">
        <f t="shared" si="236"/>
        <v>0</v>
      </c>
      <c r="AM100" s="166">
        <f t="shared" si="237"/>
        <v>0</v>
      </c>
      <c r="AN100" s="166">
        <f t="shared" si="238"/>
        <v>0</v>
      </c>
      <c r="AO100" s="166">
        <f t="shared" si="239"/>
        <v>0</v>
      </c>
      <c r="AP100" s="166">
        <f t="shared" si="240"/>
        <v>0</v>
      </c>
      <c r="AQ100" s="166">
        <f t="shared" si="241"/>
        <v>0</v>
      </c>
      <c r="AR100" s="166">
        <f t="shared" si="242"/>
        <v>0</v>
      </c>
      <c r="AS100" s="166">
        <f t="shared" si="243"/>
        <v>0.82209394981973583</v>
      </c>
      <c r="AT100" s="166">
        <f t="shared" si="244"/>
        <v>0.19769532553080388</v>
      </c>
      <c r="AU100" s="166">
        <f t="shared" si="245"/>
        <v>0.31486466799685098</v>
      </c>
      <c r="AV100" s="166">
        <f t="shared" si="246"/>
        <v>9.6106460127371854E-2</v>
      </c>
      <c r="AW100" s="166">
        <f t="shared" si="247"/>
        <v>0</v>
      </c>
      <c r="AX100" s="166">
        <f t="shared" si="248"/>
        <v>8.681090928111776E-2</v>
      </c>
      <c r="AY100" s="168">
        <f t="shared" si="249"/>
        <v>3.6932450935424174E-2</v>
      </c>
      <c r="BA100" s="107" t="s">
        <v>394</v>
      </c>
      <c r="BB100" s="166">
        <f t="shared" si="267"/>
        <v>0</v>
      </c>
      <c r="BC100" s="166">
        <f t="shared" si="250"/>
        <v>0</v>
      </c>
      <c r="BD100" s="166">
        <f t="shared" si="251"/>
        <v>0</v>
      </c>
      <c r="BE100" s="166">
        <f t="shared" si="252"/>
        <v>0</v>
      </c>
      <c r="BF100" s="166">
        <f t="shared" si="253"/>
        <v>0</v>
      </c>
      <c r="BG100" s="166">
        <f t="shared" si="254"/>
        <v>0</v>
      </c>
      <c r="BH100" s="166">
        <f t="shared" si="255"/>
        <v>0</v>
      </c>
      <c r="BI100" s="166">
        <f t="shared" si="256"/>
        <v>0</v>
      </c>
      <c r="BJ100" s="166" t="str">
        <f t="shared" si="257"/>
        <v/>
      </c>
      <c r="BK100" s="166">
        <f t="shared" si="258"/>
        <v>0</v>
      </c>
      <c r="BL100" s="166">
        <f t="shared" si="259"/>
        <v>0</v>
      </c>
      <c r="BM100" s="166">
        <f t="shared" si="260"/>
        <v>0</v>
      </c>
      <c r="BN100" s="166">
        <f t="shared" si="261"/>
        <v>0</v>
      </c>
      <c r="BO100" s="166" t="str">
        <f t="shared" si="262"/>
        <v/>
      </c>
      <c r="BP100" s="168">
        <f t="shared" si="263"/>
        <v>0</v>
      </c>
      <c r="BR100" s="107" t="s">
        <v>394</v>
      </c>
      <c r="BS100" s="166"/>
      <c r="BT100" s="166"/>
      <c r="BU100" s="166"/>
      <c r="BV100" s="166"/>
      <c r="BW100" s="166"/>
      <c r="BX100" s="166"/>
      <c r="BY100" s="166"/>
      <c r="BZ100" s="166"/>
      <c r="CA100" s="166"/>
      <c r="CB100" s="166"/>
      <c r="CC100" s="166"/>
      <c r="CD100" s="166"/>
      <c r="CE100" s="166"/>
      <c r="CF100" s="166"/>
      <c r="CG100" s="168"/>
    </row>
    <row r="101" spans="2:85" x14ac:dyDescent="0.25">
      <c r="B101" s="107" t="s">
        <v>395</v>
      </c>
      <c r="C101" s="160">
        <f>TripMode_input!B77</f>
        <v>0</v>
      </c>
      <c r="D101" s="160">
        <f>TripMode_input!C77</f>
        <v>0</v>
      </c>
      <c r="E101" s="160">
        <f>TripMode_input!D77</f>
        <v>0</v>
      </c>
      <c r="F101" s="160">
        <f>TripMode_input!E77</f>
        <v>0</v>
      </c>
      <c r="G101" s="160">
        <f>TripMode_input!F77</f>
        <v>0</v>
      </c>
      <c r="H101" s="160">
        <f>TripMode_input!G77</f>
        <v>0</v>
      </c>
      <c r="I101" s="160">
        <f>TripMode_input!H77</f>
        <v>0</v>
      </c>
      <c r="J101" s="160">
        <f>TripMode_input!I77</f>
        <v>0</v>
      </c>
      <c r="K101" s="160">
        <f>TripMode_input!J77</f>
        <v>0</v>
      </c>
      <c r="L101" s="160">
        <f>TripMode_input!K77</f>
        <v>14157.85158</v>
      </c>
      <c r="M101" s="160">
        <f>TripMode_input!L77</f>
        <v>142.28895</v>
      </c>
      <c r="N101" s="160">
        <f>TripMode_input!M77</f>
        <v>402.96429000000001</v>
      </c>
      <c r="O101" s="160">
        <f>TripMode_input!N77</f>
        <v>0</v>
      </c>
      <c r="P101" s="160">
        <f>TripMode_input!O77</f>
        <v>0</v>
      </c>
      <c r="Q101" s="162">
        <f t="shared" si="234"/>
        <v>14703.10482</v>
      </c>
      <c r="S101" s="107" t="s">
        <v>395</v>
      </c>
      <c r="T101" s="160">
        <f>TripMode_input!R77*Index!$B$2</f>
        <v>0</v>
      </c>
      <c r="U101" s="160">
        <f>TripMode_input!S77*Index!$B$2</f>
        <v>0</v>
      </c>
      <c r="V101" s="160">
        <f>TripMode_input!T77*Index!$B$2</f>
        <v>0</v>
      </c>
      <c r="W101" s="160">
        <f>TripMode_input!U77*Index!$B$2</f>
        <v>0</v>
      </c>
      <c r="X101" s="160">
        <f>TripMode_input!V77*Index!$B$2</f>
        <v>0</v>
      </c>
      <c r="Y101" s="160">
        <f>TripMode_input!W77*Index!$B$2</f>
        <v>0</v>
      </c>
      <c r="Z101" s="160">
        <f>TripMode_input!X77*Index!$B$2</f>
        <v>0</v>
      </c>
      <c r="AA101" s="160">
        <f>TripMode_input!Y77*Index!$B$2</f>
        <v>0</v>
      </c>
      <c r="AB101" s="160">
        <f>TripMode_input!Z77*Index!$B$2</f>
        <v>0</v>
      </c>
      <c r="AC101" s="160">
        <f>TripMode_input!AA77*Index!$B$2</f>
        <v>119720</v>
      </c>
      <c r="AD101" s="160">
        <f>TripMode_input!AB77*Index!$B$2</f>
        <v>0</v>
      </c>
      <c r="AE101" s="160">
        <f>TripMode_input!AC77*Index!$B$2</f>
        <v>0</v>
      </c>
      <c r="AF101" s="160">
        <f>TripMode_input!AD77*Index!$B$2</f>
        <v>0</v>
      </c>
      <c r="AG101" s="160">
        <f>TripMode_input!AE77*Index!$B$2</f>
        <v>0</v>
      </c>
      <c r="AH101" s="162">
        <f t="shared" si="235"/>
        <v>119720</v>
      </c>
      <c r="AJ101" s="107" t="s">
        <v>395</v>
      </c>
      <c r="AK101" s="166">
        <f t="shared" si="266"/>
        <v>0</v>
      </c>
      <c r="AL101" s="166">
        <f t="shared" si="236"/>
        <v>0</v>
      </c>
      <c r="AM101" s="166">
        <f t="shared" si="237"/>
        <v>0</v>
      </c>
      <c r="AN101" s="166">
        <f t="shared" si="238"/>
        <v>0</v>
      </c>
      <c r="AO101" s="166">
        <f t="shared" si="239"/>
        <v>0</v>
      </c>
      <c r="AP101" s="166">
        <f t="shared" si="240"/>
        <v>0</v>
      </c>
      <c r="AQ101" s="166">
        <f t="shared" si="241"/>
        <v>0</v>
      </c>
      <c r="AR101" s="166">
        <f t="shared" si="242"/>
        <v>0</v>
      </c>
      <c r="AS101" s="166">
        <f t="shared" si="243"/>
        <v>0</v>
      </c>
      <c r="AT101" s="166">
        <f t="shared" si="244"/>
        <v>0.54901262706487675</v>
      </c>
      <c r="AU101" s="166">
        <f t="shared" si="245"/>
        <v>7.0032013627234829E-3</v>
      </c>
      <c r="AV101" s="166">
        <f t="shared" si="246"/>
        <v>1.8767385634811295E-2</v>
      </c>
      <c r="AW101" s="166">
        <f t="shared" si="247"/>
        <v>0</v>
      </c>
      <c r="AX101" s="166">
        <f t="shared" si="248"/>
        <v>0</v>
      </c>
      <c r="AY101" s="168">
        <f t="shared" si="249"/>
        <v>2.7254107409601966E-3</v>
      </c>
      <c r="BA101" s="107" t="s">
        <v>395</v>
      </c>
      <c r="BB101" s="166">
        <f t="shared" si="267"/>
        <v>0</v>
      </c>
      <c r="BC101" s="166">
        <f t="shared" si="250"/>
        <v>0</v>
      </c>
      <c r="BD101" s="166">
        <f t="shared" si="251"/>
        <v>0</v>
      </c>
      <c r="BE101" s="166">
        <f t="shared" si="252"/>
        <v>0</v>
      </c>
      <c r="BF101" s="166">
        <f t="shared" si="253"/>
        <v>0</v>
      </c>
      <c r="BG101" s="166">
        <f t="shared" si="254"/>
        <v>0</v>
      </c>
      <c r="BH101" s="166">
        <f t="shared" si="255"/>
        <v>0</v>
      </c>
      <c r="BI101" s="166">
        <f t="shared" si="256"/>
        <v>0</v>
      </c>
      <c r="BJ101" s="166" t="str">
        <f t="shared" si="257"/>
        <v/>
      </c>
      <c r="BK101" s="166">
        <f t="shared" si="258"/>
        <v>0.69378766805748726</v>
      </c>
      <c r="BL101" s="166">
        <f t="shared" si="259"/>
        <v>0</v>
      </c>
      <c r="BM101" s="166">
        <f t="shared" si="260"/>
        <v>0</v>
      </c>
      <c r="BN101" s="166">
        <f t="shared" si="261"/>
        <v>0</v>
      </c>
      <c r="BO101" s="166" t="str">
        <f t="shared" si="262"/>
        <v/>
      </c>
      <c r="BP101" s="168">
        <f t="shared" si="263"/>
        <v>1.5893466513467031E-2</v>
      </c>
      <c r="BR101" s="107" t="s">
        <v>395</v>
      </c>
      <c r="BS101" s="166" t="str">
        <f t="shared" ref="BS101:BS106" si="269">IF(OR(ISNA(AK101),AK101=0,AK101=""),"",(BB101-AK101)/AK101)</f>
        <v/>
      </c>
      <c r="BT101" s="166" t="str">
        <f t="shared" ref="BT101:BT106" si="270">IF(OR(ISNA(AL101),AL101=0,AL101=""),"",(BC101-AL101)/AL101)</f>
        <v/>
      </c>
      <c r="BU101" s="166" t="str">
        <f t="shared" ref="BU101:BU106" si="271">IF(OR(ISNA(AM101),AM101=0,AM101=""),"",(BD101-AM101)/AM101)</f>
        <v/>
      </c>
      <c r="BV101" s="166" t="str">
        <f t="shared" ref="BV101:BV106" si="272">IF(OR(ISNA(AN101),AN101=0,AN101=""),"",(BE101-AN101)/AN101)</f>
        <v/>
      </c>
      <c r="BW101" s="166"/>
      <c r="BX101" s="166"/>
      <c r="BY101" s="166"/>
      <c r="BZ101" s="166"/>
      <c r="CA101" s="166"/>
      <c r="CB101" s="166">
        <f t="shared" ref="CB101:CB106" si="273">IF(OR(ISNA(AT101),AT101=0,AT101=""),"",(BK101-AT101)/AT101)</f>
        <v>0.2637007490458001</v>
      </c>
      <c r="CC101" s="166">
        <f t="shared" ref="CC101:CC106" si="274">IF(OR(ISNA(AU101),AU101=0,AU101=""),"",(BL101-AU101)/AU101)</f>
        <v>-1</v>
      </c>
      <c r="CD101" s="166">
        <f t="shared" ref="CD101:CD106" si="275">IF(OR(ISNA(AV101),AV101=0,AV101=""),"",(BM101-AV101)/AV101)</f>
        <v>-1</v>
      </c>
      <c r="CE101" s="166" t="str">
        <f t="shared" ref="CE101:CE106" si="276">IF(OR(ISNA(AW101),AW101=0,AW101=""),"",(BN101-AW101)/AW101)</f>
        <v/>
      </c>
      <c r="CF101" s="166" t="str">
        <f t="shared" ref="CF101:CF106" si="277">IF(OR(ISNA(AX101),AX101=0,AX101=""),"",(BO101-AX101)/AX101)</f>
        <v/>
      </c>
      <c r="CG101" s="168">
        <f t="shared" ref="CG101:CG106" si="278">IF(OR(ISNA(AY101),AY101=0,AY101=""),"",(BP101-AY101)/AY101)</f>
        <v>4.83158577700019</v>
      </c>
    </row>
    <row r="102" spans="2:85" x14ac:dyDescent="0.25">
      <c r="B102" s="107" t="s">
        <v>396</v>
      </c>
      <c r="C102" s="160">
        <f>TripMode_input!B78</f>
        <v>0</v>
      </c>
      <c r="D102" s="160">
        <f>TripMode_input!C78</f>
        <v>0</v>
      </c>
      <c r="E102" s="160">
        <f>TripMode_input!D78</f>
        <v>0</v>
      </c>
      <c r="F102" s="160">
        <f>TripMode_input!E78</f>
        <v>0</v>
      </c>
      <c r="G102" s="160">
        <f>TripMode_input!F78</f>
        <v>0</v>
      </c>
      <c r="H102" s="160">
        <f>TripMode_input!G78</f>
        <v>0</v>
      </c>
      <c r="I102" s="160">
        <f>TripMode_input!H78</f>
        <v>0</v>
      </c>
      <c r="J102" s="160">
        <f>TripMode_input!I78</f>
        <v>0</v>
      </c>
      <c r="K102" s="160">
        <f>TripMode_input!J78</f>
        <v>0</v>
      </c>
      <c r="L102" s="160">
        <f>TripMode_input!K78</f>
        <v>290.91694999999999</v>
      </c>
      <c r="M102" s="160">
        <f>TripMode_input!L78</f>
        <v>5052.5892700000004</v>
      </c>
      <c r="N102" s="160">
        <f>TripMode_input!M78</f>
        <v>721.14337</v>
      </c>
      <c r="O102" s="160">
        <f>TripMode_input!N78</f>
        <v>0</v>
      </c>
      <c r="P102" s="160">
        <f>TripMode_input!O78</f>
        <v>0</v>
      </c>
      <c r="Q102" s="162">
        <f t="shared" si="234"/>
        <v>6064.64959</v>
      </c>
      <c r="S102" s="107" t="s">
        <v>396</v>
      </c>
      <c r="T102" s="160">
        <f>TripMode_input!R78*Index!$B$2</f>
        <v>0</v>
      </c>
      <c r="U102" s="160">
        <f>TripMode_input!S78*Index!$B$2</f>
        <v>0</v>
      </c>
      <c r="V102" s="160">
        <f>TripMode_input!T78*Index!$B$2</f>
        <v>0</v>
      </c>
      <c r="W102" s="160">
        <f>TripMode_input!U78*Index!$B$2</f>
        <v>0</v>
      </c>
      <c r="X102" s="160">
        <f>TripMode_input!V78*Index!$B$2</f>
        <v>0</v>
      </c>
      <c r="Y102" s="160">
        <f>TripMode_input!W78*Index!$B$2</f>
        <v>0</v>
      </c>
      <c r="Z102" s="160">
        <f>TripMode_input!X78*Index!$B$2</f>
        <v>0</v>
      </c>
      <c r="AA102" s="160">
        <f>TripMode_input!Y78*Index!$B$2</f>
        <v>0</v>
      </c>
      <c r="AB102" s="160">
        <f>TripMode_input!Z78*Index!$B$2</f>
        <v>0</v>
      </c>
      <c r="AC102" s="160">
        <f>TripMode_input!AA78*Index!$B$2</f>
        <v>0</v>
      </c>
      <c r="AD102" s="160">
        <f>TripMode_input!AB78*Index!$B$2</f>
        <v>3600</v>
      </c>
      <c r="AE102" s="160">
        <f>TripMode_input!AC78*Index!$B$2</f>
        <v>0</v>
      </c>
      <c r="AF102" s="160">
        <f>TripMode_input!AD78*Index!$B$2</f>
        <v>0</v>
      </c>
      <c r="AG102" s="160">
        <f>TripMode_input!AE78*Index!$B$2</f>
        <v>0</v>
      </c>
      <c r="AH102" s="162">
        <f t="shared" si="235"/>
        <v>3600</v>
      </c>
      <c r="AJ102" s="107" t="s">
        <v>396</v>
      </c>
      <c r="AK102" s="166">
        <f t="shared" si="266"/>
        <v>0</v>
      </c>
      <c r="AL102" s="166">
        <f t="shared" si="236"/>
        <v>0</v>
      </c>
      <c r="AM102" s="166">
        <f t="shared" si="237"/>
        <v>0</v>
      </c>
      <c r="AN102" s="166">
        <f t="shared" si="238"/>
        <v>0</v>
      </c>
      <c r="AO102" s="166">
        <f t="shared" si="239"/>
        <v>0</v>
      </c>
      <c r="AP102" s="166">
        <f t="shared" si="240"/>
        <v>0</v>
      </c>
      <c r="AQ102" s="166">
        <f t="shared" si="241"/>
        <v>0</v>
      </c>
      <c r="AR102" s="166">
        <f t="shared" si="242"/>
        <v>0</v>
      </c>
      <c r="AS102" s="166">
        <f t="shared" si="243"/>
        <v>0</v>
      </c>
      <c r="AT102" s="166">
        <f t="shared" si="244"/>
        <v>1.1281166360214194E-2</v>
      </c>
      <c r="AU102" s="166">
        <f t="shared" si="245"/>
        <v>0.24867918458141725</v>
      </c>
      <c r="AV102" s="166">
        <f t="shared" si="246"/>
        <v>3.3586042383004722E-2</v>
      </c>
      <c r="AW102" s="166">
        <f t="shared" si="247"/>
        <v>0</v>
      </c>
      <c r="AX102" s="166">
        <f t="shared" si="248"/>
        <v>0</v>
      </c>
      <c r="AY102" s="168">
        <f t="shared" si="249"/>
        <v>1.1241612798857713E-3</v>
      </c>
      <c r="BA102" s="107" t="s">
        <v>396</v>
      </c>
      <c r="BB102" s="166">
        <f t="shared" si="267"/>
        <v>0</v>
      </c>
      <c r="BC102" s="166">
        <f t="shared" si="250"/>
        <v>0</v>
      </c>
      <c r="BD102" s="166">
        <f t="shared" si="251"/>
        <v>0</v>
      </c>
      <c r="BE102" s="166">
        <f t="shared" si="252"/>
        <v>0</v>
      </c>
      <c r="BF102" s="166">
        <f t="shared" si="253"/>
        <v>0</v>
      </c>
      <c r="BG102" s="166">
        <f t="shared" si="254"/>
        <v>0</v>
      </c>
      <c r="BH102" s="166">
        <f t="shared" si="255"/>
        <v>0</v>
      </c>
      <c r="BI102" s="166">
        <f t="shared" si="256"/>
        <v>0</v>
      </c>
      <c r="BJ102" s="166" t="str">
        <f t="shared" si="257"/>
        <v/>
      </c>
      <c r="BK102" s="166">
        <f t="shared" si="258"/>
        <v>0</v>
      </c>
      <c r="BL102" s="166">
        <f t="shared" si="259"/>
        <v>1</v>
      </c>
      <c r="BM102" s="166">
        <f t="shared" si="260"/>
        <v>0</v>
      </c>
      <c r="BN102" s="166">
        <f t="shared" si="261"/>
        <v>0</v>
      </c>
      <c r="BO102" s="166" t="str">
        <f t="shared" si="262"/>
        <v/>
      </c>
      <c r="BP102" s="168">
        <f t="shared" si="263"/>
        <v>4.7791914006416067E-4</v>
      </c>
      <c r="BR102" s="107" t="s">
        <v>396</v>
      </c>
      <c r="BS102" s="166" t="str">
        <f t="shared" si="269"/>
        <v/>
      </c>
      <c r="BT102" s="166" t="str">
        <f t="shared" si="270"/>
        <v/>
      </c>
      <c r="BU102" s="166" t="str">
        <f t="shared" si="271"/>
        <v/>
      </c>
      <c r="BV102" s="166" t="str">
        <f t="shared" si="272"/>
        <v/>
      </c>
      <c r="BW102" s="166"/>
      <c r="BX102" s="166"/>
      <c r="BY102" s="166"/>
      <c r="BZ102" s="166"/>
      <c r="CA102" s="166"/>
      <c r="CB102" s="166">
        <f t="shared" si="273"/>
        <v>-1</v>
      </c>
      <c r="CC102" s="166">
        <f t="shared" si="274"/>
        <v>3.0212452911297096</v>
      </c>
      <c r="CD102" s="166">
        <f t="shared" si="275"/>
        <v>-1</v>
      </c>
      <c r="CE102" s="166" t="str">
        <f t="shared" si="276"/>
        <v/>
      </c>
      <c r="CF102" s="166" t="str">
        <f t="shared" si="277"/>
        <v/>
      </c>
      <c r="CG102" s="168">
        <f t="shared" si="278"/>
        <v>-0.57486603691534088</v>
      </c>
    </row>
    <row r="103" spans="2:85" x14ac:dyDescent="0.25">
      <c r="B103" s="107" t="s">
        <v>397</v>
      </c>
      <c r="C103" s="160">
        <f>TripMode_input!B79</f>
        <v>0</v>
      </c>
      <c r="D103" s="160">
        <f>TripMode_input!C79</f>
        <v>0</v>
      </c>
      <c r="E103" s="160">
        <f>TripMode_input!D79</f>
        <v>0</v>
      </c>
      <c r="F103" s="160">
        <f>TripMode_input!E79</f>
        <v>0</v>
      </c>
      <c r="G103" s="160">
        <f>TripMode_input!F79</f>
        <v>0</v>
      </c>
      <c r="H103" s="160">
        <f>TripMode_input!G79</f>
        <v>0</v>
      </c>
      <c r="I103" s="160">
        <f>TripMode_input!H79</f>
        <v>0</v>
      </c>
      <c r="J103" s="160">
        <f>TripMode_input!I79</f>
        <v>0</v>
      </c>
      <c r="K103" s="160">
        <f>TripMode_input!J79</f>
        <v>0</v>
      </c>
      <c r="L103" s="160">
        <f>TripMode_input!K79</f>
        <v>0</v>
      </c>
      <c r="M103" s="160">
        <f>TripMode_input!L79</f>
        <v>0</v>
      </c>
      <c r="N103" s="160">
        <f>TripMode_input!M79</f>
        <v>6967.26649</v>
      </c>
      <c r="O103" s="160">
        <f>TripMode_input!N79</f>
        <v>0</v>
      </c>
      <c r="P103" s="160">
        <f>TripMode_input!O79</f>
        <v>0</v>
      </c>
      <c r="Q103" s="162">
        <f t="shared" si="234"/>
        <v>6967.26649</v>
      </c>
      <c r="S103" s="107" t="s">
        <v>397</v>
      </c>
      <c r="T103" s="160">
        <f>TripMode_input!R79*Index!$B$2</f>
        <v>0</v>
      </c>
      <c r="U103" s="160">
        <f>TripMode_input!S79*Index!$B$2</f>
        <v>0</v>
      </c>
      <c r="V103" s="160">
        <f>TripMode_input!T79*Index!$B$2</f>
        <v>0</v>
      </c>
      <c r="W103" s="160">
        <f>TripMode_input!U79*Index!$B$2</f>
        <v>0</v>
      </c>
      <c r="X103" s="160">
        <f>TripMode_input!V79*Index!$B$2</f>
        <v>0</v>
      </c>
      <c r="Y103" s="160">
        <f>TripMode_input!W79*Index!$B$2</f>
        <v>0</v>
      </c>
      <c r="Z103" s="160">
        <f>TripMode_input!X79*Index!$B$2</f>
        <v>0</v>
      </c>
      <c r="AA103" s="160">
        <f>TripMode_input!Y79*Index!$B$2</f>
        <v>0</v>
      </c>
      <c r="AB103" s="160">
        <f>TripMode_input!Z79*Index!$B$2</f>
        <v>0</v>
      </c>
      <c r="AC103" s="160">
        <f>TripMode_input!AA79*Index!$B$2</f>
        <v>0</v>
      </c>
      <c r="AD103" s="160">
        <f>TripMode_input!AB79*Index!$B$2</f>
        <v>0</v>
      </c>
      <c r="AE103" s="160">
        <f>TripMode_input!AC79*Index!$B$2</f>
        <v>2040</v>
      </c>
      <c r="AF103" s="160">
        <f>TripMode_input!AD79*Index!$B$2</f>
        <v>0</v>
      </c>
      <c r="AG103" s="160">
        <f>TripMode_input!AE79*Index!$B$2</f>
        <v>0</v>
      </c>
      <c r="AH103" s="162">
        <f t="shared" si="235"/>
        <v>2040</v>
      </c>
      <c r="AJ103" s="107" t="s">
        <v>397</v>
      </c>
      <c r="AK103" s="166">
        <f t="shared" si="266"/>
        <v>0</v>
      </c>
      <c r="AL103" s="166">
        <f t="shared" si="236"/>
        <v>0</v>
      </c>
      <c r="AM103" s="166">
        <f t="shared" si="237"/>
        <v>0</v>
      </c>
      <c r="AN103" s="166">
        <f t="shared" si="238"/>
        <v>0</v>
      </c>
      <c r="AO103" s="166">
        <f t="shared" si="239"/>
        <v>0</v>
      </c>
      <c r="AP103" s="166">
        <f t="shared" si="240"/>
        <v>0</v>
      </c>
      <c r="AQ103" s="166">
        <f t="shared" si="241"/>
        <v>0</v>
      </c>
      <c r="AR103" s="166">
        <f t="shared" si="242"/>
        <v>0</v>
      </c>
      <c r="AS103" s="166">
        <f t="shared" si="243"/>
        <v>0</v>
      </c>
      <c r="AT103" s="166">
        <f t="shared" si="244"/>
        <v>0</v>
      </c>
      <c r="AU103" s="166">
        <f t="shared" si="245"/>
        <v>0</v>
      </c>
      <c r="AV103" s="166">
        <f t="shared" si="246"/>
        <v>0.32448874573557895</v>
      </c>
      <c r="AW103" s="166">
        <f t="shared" si="247"/>
        <v>0</v>
      </c>
      <c r="AX103" s="166">
        <f t="shared" si="248"/>
        <v>0</v>
      </c>
      <c r="AY103" s="168">
        <f t="shared" si="249"/>
        <v>1.2914730024333762E-3</v>
      </c>
      <c r="BA103" s="107" t="s">
        <v>397</v>
      </c>
      <c r="BB103" s="166">
        <f t="shared" si="267"/>
        <v>0</v>
      </c>
      <c r="BC103" s="166">
        <f t="shared" si="250"/>
        <v>0</v>
      </c>
      <c r="BD103" s="166">
        <f t="shared" si="251"/>
        <v>0</v>
      </c>
      <c r="BE103" s="166">
        <f t="shared" si="252"/>
        <v>0</v>
      </c>
      <c r="BF103" s="166">
        <f t="shared" si="253"/>
        <v>0</v>
      </c>
      <c r="BG103" s="166">
        <f t="shared" si="254"/>
        <v>0</v>
      </c>
      <c r="BH103" s="166">
        <f t="shared" si="255"/>
        <v>0</v>
      </c>
      <c r="BI103" s="166">
        <f t="shared" si="256"/>
        <v>0</v>
      </c>
      <c r="BJ103" s="166" t="str">
        <f t="shared" si="257"/>
        <v/>
      </c>
      <c r="BK103" s="166">
        <f t="shared" si="258"/>
        <v>0</v>
      </c>
      <c r="BL103" s="166">
        <f t="shared" si="259"/>
        <v>0</v>
      </c>
      <c r="BM103" s="166">
        <f t="shared" si="260"/>
        <v>1</v>
      </c>
      <c r="BN103" s="166">
        <f t="shared" si="261"/>
        <v>0</v>
      </c>
      <c r="BO103" s="166" t="str">
        <f t="shared" si="262"/>
        <v/>
      </c>
      <c r="BP103" s="168">
        <f t="shared" si="263"/>
        <v>2.7082084603635768E-4</v>
      </c>
      <c r="BR103" s="107" t="s">
        <v>397</v>
      </c>
      <c r="BS103" s="166" t="str">
        <f t="shared" si="269"/>
        <v/>
      </c>
      <c r="BT103" s="166" t="str">
        <f t="shared" si="270"/>
        <v/>
      </c>
      <c r="BU103" s="166" t="str">
        <f t="shared" si="271"/>
        <v/>
      </c>
      <c r="BV103" s="166" t="str">
        <f t="shared" si="272"/>
        <v/>
      </c>
      <c r="BW103" s="166"/>
      <c r="BX103" s="166"/>
      <c r="BY103" s="166"/>
      <c r="BZ103" s="166"/>
      <c r="CA103" s="166"/>
      <c r="CB103" s="166" t="str">
        <f t="shared" si="273"/>
        <v/>
      </c>
      <c r="CC103" s="166" t="str">
        <f t="shared" si="274"/>
        <v/>
      </c>
      <c r="CD103" s="166">
        <f t="shared" si="275"/>
        <v>2.08177098017102</v>
      </c>
      <c r="CE103" s="166" t="str">
        <f t="shared" si="276"/>
        <v/>
      </c>
      <c r="CF103" s="166" t="str">
        <f t="shared" si="277"/>
        <v/>
      </c>
      <c r="CG103" s="168">
        <f t="shared" si="278"/>
        <v>-0.79030080727504126</v>
      </c>
    </row>
    <row r="104" spans="2:85" x14ac:dyDescent="0.25">
      <c r="B104" s="107" t="s">
        <v>398</v>
      </c>
      <c r="C104" s="160">
        <f>TripMode_input!B80</f>
        <v>0</v>
      </c>
      <c r="D104" s="160">
        <f>TripMode_input!C80</f>
        <v>0</v>
      </c>
      <c r="E104" s="160">
        <f>TripMode_input!D80</f>
        <v>0</v>
      </c>
      <c r="F104" s="160">
        <f>TripMode_input!E80</f>
        <v>0</v>
      </c>
      <c r="G104" s="160">
        <f>TripMode_input!F80</f>
        <v>0</v>
      </c>
      <c r="H104" s="160">
        <f>TripMode_input!G80</f>
        <v>0</v>
      </c>
      <c r="I104" s="160">
        <f>TripMode_input!H80</f>
        <v>0</v>
      </c>
      <c r="J104" s="160">
        <f>TripMode_input!I80</f>
        <v>0</v>
      </c>
      <c r="K104" s="160">
        <f>TripMode_input!J80</f>
        <v>1435.89401</v>
      </c>
      <c r="L104" s="160">
        <f>TripMode_input!K80</f>
        <v>0</v>
      </c>
      <c r="M104" s="160">
        <f>TripMode_input!L80</f>
        <v>163.53880000000001</v>
      </c>
      <c r="N104" s="160">
        <f>TripMode_input!M80</f>
        <v>0</v>
      </c>
      <c r="O104" s="160">
        <f>TripMode_input!N80</f>
        <v>20428.164239999998</v>
      </c>
      <c r="P104" s="160">
        <f>TripMode_input!O80</f>
        <v>84.101759999999999</v>
      </c>
      <c r="Q104" s="162">
        <f t="shared" si="234"/>
        <v>22111.698809999998</v>
      </c>
      <c r="S104" s="107" t="s">
        <v>398</v>
      </c>
      <c r="T104" s="160">
        <f>TripMode_input!R80*Index!$B$2</f>
        <v>0</v>
      </c>
      <c r="U104" s="160">
        <f>TripMode_input!S80*Index!$B$2</f>
        <v>0</v>
      </c>
      <c r="V104" s="160">
        <f>TripMode_input!T80*Index!$B$2</f>
        <v>0</v>
      </c>
      <c r="W104" s="160">
        <f>TripMode_input!U80*Index!$B$2</f>
        <v>0</v>
      </c>
      <c r="X104" s="160">
        <f>TripMode_input!V80*Index!$B$2</f>
        <v>0</v>
      </c>
      <c r="Y104" s="160">
        <f>TripMode_input!W80*Index!$B$2</f>
        <v>0</v>
      </c>
      <c r="Z104" s="160">
        <f>TripMode_input!X80*Index!$B$2</f>
        <v>0</v>
      </c>
      <c r="AA104" s="160">
        <f>TripMode_input!Y80*Index!$B$2</f>
        <v>0</v>
      </c>
      <c r="AB104" s="160">
        <f>TripMode_input!Z80*Index!$B$2</f>
        <v>0</v>
      </c>
      <c r="AC104" s="160">
        <f>TripMode_input!AA80*Index!$B$2</f>
        <v>1640</v>
      </c>
      <c r="AD104" s="160">
        <f>TripMode_input!AB80*Index!$B$2</f>
        <v>0</v>
      </c>
      <c r="AE104" s="160">
        <f>TripMode_input!AC80*Index!$B$2</f>
        <v>0</v>
      </c>
      <c r="AF104" s="160">
        <f>TripMode_input!AD80*Index!$B$2</f>
        <v>31225</v>
      </c>
      <c r="AG104" s="160">
        <f>TripMode_input!AE80*Index!$B$2</f>
        <v>0</v>
      </c>
      <c r="AH104" s="162">
        <f t="shared" si="235"/>
        <v>32865</v>
      </c>
      <c r="AJ104" s="107" t="s">
        <v>398</v>
      </c>
      <c r="AK104" s="166">
        <f t="shared" si="266"/>
        <v>0</v>
      </c>
      <c r="AL104" s="166">
        <f t="shared" si="236"/>
        <v>0</v>
      </c>
      <c r="AM104" s="166">
        <f t="shared" si="237"/>
        <v>0</v>
      </c>
      <c r="AN104" s="166">
        <f t="shared" si="238"/>
        <v>0</v>
      </c>
      <c r="AO104" s="166">
        <f t="shared" si="239"/>
        <v>0</v>
      </c>
      <c r="AP104" s="166">
        <f t="shared" si="240"/>
        <v>0</v>
      </c>
      <c r="AQ104" s="166">
        <f t="shared" si="241"/>
        <v>0</v>
      </c>
      <c r="AR104" s="166">
        <f t="shared" si="242"/>
        <v>0</v>
      </c>
      <c r="AS104" s="166">
        <f t="shared" si="243"/>
        <v>6.3629815920151463E-3</v>
      </c>
      <c r="AT104" s="166">
        <f t="shared" si="244"/>
        <v>0</v>
      </c>
      <c r="AU104" s="166">
        <f t="shared" si="245"/>
        <v>8.04908003761475E-3</v>
      </c>
      <c r="AV104" s="166">
        <f t="shared" si="246"/>
        <v>0</v>
      </c>
      <c r="AW104" s="166">
        <f t="shared" si="247"/>
        <v>0.80875252372416639</v>
      </c>
      <c r="AX104" s="166">
        <f t="shared" si="248"/>
        <v>4.340545464055888E-2</v>
      </c>
      <c r="AY104" s="168">
        <f t="shared" si="249"/>
        <v>4.0986895064283975E-3</v>
      </c>
      <c r="BA104" s="107" t="s">
        <v>398</v>
      </c>
      <c r="BB104" s="166">
        <f t="shared" si="267"/>
        <v>0</v>
      </c>
      <c r="BC104" s="166">
        <f t="shared" si="250"/>
        <v>0</v>
      </c>
      <c r="BD104" s="166">
        <f t="shared" si="251"/>
        <v>0</v>
      </c>
      <c r="BE104" s="166">
        <f t="shared" si="252"/>
        <v>0</v>
      </c>
      <c r="BF104" s="166">
        <f t="shared" si="253"/>
        <v>0</v>
      </c>
      <c r="BG104" s="166">
        <f t="shared" si="254"/>
        <v>0</v>
      </c>
      <c r="BH104" s="166">
        <f t="shared" si="255"/>
        <v>0</v>
      </c>
      <c r="BI104" s="166">
        <f t="shared" si="256"/>
        <v>0</v>
      </c>
      <c r="BJ104" s="166" t="str">
        <f t="shared" si="257"/>
        <v/>
      </c>
      <c r="BK104" s="166">
        <f t="shared" si="258"/>
        <v>9.5039406583217433E-3</v>
      </c>
      <c r="BL104" s="166">
        <f t="shared" si="259"/>
        <v>0</v>
      </c>
      <c r="BM104" s="166">
        <f t="shared" si="260"/>
        <v>0</v>
      </c>
      <c r="BN104" s="166">
        <f t="shared" si="261"/>
        <v>0.68551042810098795</v>
      </c>
      <c r="BO104" s="166" t="str">
        <f t="shared" si="262"/>
        <v/>
      </c>
      <c r="BP104" s="168">
        <f t="shared" si="263"/>
        <v>4.363003482835733E-3</v>
      </c>
      <c r="BR104" s="107" t="s">
        <v>398</v>
      </c>
      <c r="BS104" s="166" t="str">
        <f t="shared" si="269"/>
        <v/>
      </c>
      <c r="BT104" s="166" t="str">
        <f t="shared" si="270"/>
        <v/>
      </c>
      <c r="BU104" s="166" t="str">
        <f t="shared" si="271"/>
        <v/>
      </c>
      <c r="BV104" s="166" t="str">
        <f t="shared" si="272"/>
        <v/>
      </c>
      <c r="BW104" s="166"/>
      <c r="BX104" s="166"/>
      <c r="BY104" s="166"/>
      <c r="BZ104" s="166"/>
      <c r="CA104" s="166"/>
      <c r="CB104" s="166" t="str">
        <f t="shared" si="273"/>
        <v/>
      </c>
      <c r="CC104" s="166">
        <f t="shared" si="274"/>
        <v>-1</v>
      </c>
      <c r="CD104" s="166" t="str">
        <f t="shared" si="275"/>
        <v/>
      </c>
      <c r="CE104" s="166">
        <f t="shared" si="276"/>
        <v>-0.15238542323882931</v>
      </c>
      <c r="CF104" s="166" t="e">
        <f t="shared" si="277"/>
        <v>#VALUE!</v>
      </c>
      <c r="CG104" s="168">
        <f t="shared" si="278"/>
        <v>6.4487435799365805E-2</v>
      </c>
    </row>
    <row r="105" spans="2:85" x14ac:dyDescent="0.25">
      <c r="B105" s="107" t="s">
        <v>399</v>
      </c>
      <c r="C105" s="160">
        <f>TripMode_input!B81</f>
        <v>0</v>
      </c>
      <c r="D105" s="160">
        <f>TripMode_input!C81</f>
        <v>0</v>
      </c>
      <c r="E105" s="160">
        <f>TripMode_input!D81</f>
        <v>0</v>
      </c>
      <c r="F105" s="160">
        <f>TripMode_input!E81</f>
        <v>0</v>
      </c>
      <c r="G105" s="160">
        <f>TripMode_input!F81</f>
        <v>0</v>
      </c>
      <c r="H105" s="160">
        <f>TripMode_input!G81</f>
        <v>0</v>
      </c>
      <c r="I105" s="160">
        <f>TripMode_input!H81</f>
        <v>0</v>
      </c>
      <c r="J105" s="160">
        <f>TripMode_input!I81</f>
        <v>0</v>
      </c>
      <c r="K105" s="160">
        <f>TripMode_input!J81</f>
        <v>0</v>
      </c>
      <c r="L105" s="160">
        <f>TripMode_input!K81</f>
        <v>0</v>
      </c>
      <c r="M105" s="160">
        <f>TripMode_input!L81</f>
        <v>0</v>
      </c>
      <c r="N105" s="160">
        <f>TripMode_input!M81</f>
        <v>0</v>
      </c>
      <c r="O105" s="160">
        <f>TripMode_input!N81</f>
        <v>0</v>
      </c>
      <c r="P105" s="160">
        <f>TripMode_input!O81</f>
        <v>733.00162</v>
      </c>
      <c r="Q105" s="162">
        <f t="shared" si="234"/>
        <v>733.00162</v>
      </c>
      <c r="S105" s="107" t="s">
        <v>399</v>
      </c>
      <c r="T105" s="160">
        <f>TripMode_input!R81*Index!$B$2</f>
        <v>0</v>
      </c>
      <c r="U105" s="160">
        <f>TripMode_input!S81*Index!$B$2</f>
        <v>0</v>
      </c>
      <c r="V105" s="160">
        <f>TripMode_input!T81*Index!$B$2</f>
        <v>0</v>
      </c>
      <c r="W105" s="160">
        <f>TripMode_input!U81*Index!$B$2</f>
        <v>0</v>
      </c>
      <c r="X105" s="160">
        <f>TripMode_input!V81*Index!$B$2</f>
        <v>0</v>
      </c>
      <c r="Y105" s="160">
        <f>TripMode_input!W81*Index!$B$2</f>
        <v>0</v>
      </c>
      <c r="Z105" s="160">
        <f>TripMode_input!X81*Index!$B$2</f>
        <v>0</v>
      </c>
      <c r="AA105" s="160">
        <f>TripMode_input!Y81*Index!$B$2</f>
        <v>0</v>
      </c>
      <c r="AB105" s="160">
        <f>TripMode_input!Z81*Index!$B$2</f>
        <v>0</v>
      </c>
      <c r="AC105" s="160">
        <f>TripMode_input!AA81*Index!$B$2</f>
        <v>0</v>
      </c>
      <c r="AD105" s="160">
        <f>TripMode_input!AB81*Index!$B$2</f>
        <v>0</v>
      </c>
      <c r="AE105" s="160">
        <f>TripMode_input!AC81*Index!$B$2</f>
        <v>0</v>
      </c>
      <c r="AF105" s="160">
        <f>TripMode_input!AD81*Index!$B$2</f>
        <v>0</v>
      </c>
      <c r="AG105" s="160">
        <f>TripMode_input!AE81*Index!$B$2</f>
        <v>0</v>
      </c>
      <c r="AH105" s="162">
        <f t="shared" si="235"/>
        <v>0</v>
      </c>
      <c r="AJ105" s="107" t="s">
        <v>399</v>
      </c>
      <c r="AK105" s="166">
        <f t="shared" si="266"/>
        <v>0</v>
      </c>
      <c r="AL105" s="166">
        <f t="shared" si="236"/>
        <v>0</v>
      </c>
      <c r="AM105" s="166">
        <f t="shared" si="237"/>
        <v>0</v>
      </c>
      <c r="AN105" s="166">
        <f t="shared" si="238"/>
        <v>0</v>
      </c>
      <c r="AO105" s="166">
        <f t="shared" si="239"/>
        <v>0</v>
      </c>
      <c r="AP105" s="166">
        <f t="shared" si="240"/>
        <v>0</v>
      </c>
      <c r="AQ105" s="166">
        <f t="shared" si="241"/>
        <v>0</v>
      </c>
      <c r="AR105" s="166">
        <f t="shared" si="242"/>
        <v>0</v>
      </c>
      <c r="AS105" s="166">
        <f t="shared" si="243"/>
        <v>0</v>
      </c>
      <c r="AT105" s="166">
        <f t="shared" si="244"/>
        <v>0</v>
      </c>
      <c r="AU105" s="166">
        <f t="shared" si="245"/>
        <v>0</v>
      </c>
      <c r="AV105" s="166">
        <f t="shared" si="246"/>
        <v>0</v>
      </c>
      <c r="AW105" s="166">
        <f t="shared" si="247"/>
        <v>0</v>
      </c>
      <c r="AX105" s="166">
        <f t="shared" si="248"/>
        <v>0.37830681032556485</v>
      </c>
      <c r="AY105" s="168">
        <f t="shared" si="249"/>
        <v>1.3587133552716007E-4</v>
      </c>
      <c r="BA105" s="107" t="s">
        <v>399</v>
      </c>
      <c r="BB105" s="166">
        <f t="shared" si="267"/>
        <v>0</v>
      </c>
      <c r="BC105" s="166">
        <f t="shared" si="250"/>
        <v>0</v>
      </c>
      <c r="BD105" s="166">
        <f t="shared" si="251"/>
        <v>0</v>
      </c>
      <c r="BE105" s="166">
        <f t="shared" si="252"/>
        <v>0</v>
      </c>
      <c r="BF105" s="166">
        <f t="shared" si="253"/>
        <v>0</v>
      </c>
      <c r="BG105" s="166">
        <f t="shared" si="254"/>
        <v>0</v>
      </c>
      <c r="BH105" s="166">
        <f t="shared" si="255"/>
        <v>0</v>
      </c>
      <c r="BI105" s="166">
        <f t="shared" si="256"/>
        <v>0</v>
      </c>
      <c r="BJ105" s="166" t="str">
        <f t="shared" si="257"/>
        <v/>
      </c>
      <c r="BK105" s="166">
        <f t="shared" si="258"/>
        <v>0</v>
      </c>
      <c r="BL105" s="166">
        <f t="shared" si="259"/>
        <v>0</v>
      </c>
      <c r="BM105" s="166">
        <f t="shared" si="260"/>
        <v>0</v>
      </c>
      <c r="BN105" s="166">
        <f t="shared" si="261"/>
        <v>0</v>
      </c>
      <c r="BO105" s="166" t="str">
        <f t="shared" si="262"/>
        <v/>
      </c>
      <c r="BP105" s="168">
        <f t="shared" si="263"/>
        <v>0</v>
      </c>
      <c r="BR105" s="107" t="s">
        <v>399</v>
      </c>
      <c r="BS105" s="166" t="str">
        <f t="shared" si="269"/>
        <v/>
      </c>
      <c r="BT105" s="166" t="str">
        <f t="shared" si="270"/>
        <v/>
      </c>
      <c r="BU105" s="166" t="str">
        <f t="shared" si="271"/>
        <v/>
      </c>
      <c r="BV105" s="166" t="str">
        <f t="shared" si="272"/>
        <v/>
      </c>
      <c r="BW105" s="166"/>
      <c r="BX105" s="166"/>
      <c r="BY105" s="166"/>
      <c r="BZ105" s="166"/>
      <c r="CA105" s="166"/>
      <c r="CB105" s="166" t="str">
        <f t="shared" si="273"/>
        <v/>
      </c>
      <c r="CC105" s="166" t="str">
        <f t="shared" si="274"/>
        <v/>
      </c>
      <c r="CD105" s="166" t="str">
        <f t="shared" si="275"/>
        <v/>
      </c>
      <c r="CE105" s="166" t="str">
        <f t="shared" si="276"/>
        <v/>
      </c>
      <c r="CF105" s="166" t="e">
        <f t="shared" si="277"/>
        <v>#VALUE!</v>
      </c>
      <c r="CG105" s="168">
        <f t="shared" si="278"/>
        <v>-1</v>
      </c>
    </row>
    <row r="106" spans="2:85" ht="15.75" thickBot="1" x14ac:dyDescent="0.3">
      <c r="B106" s="108" t="s">
        <v>29</v>
      </c>
      <c r="C106" s="109">
        <f t="shared" ref="C106:P106" si="279">SUM(C92:C105)</f>
        <v>3455324.45633</v>
      </c>
      <c r="D106" s="110">
        <f t="shared" si="279"/>
        <v>46048.784950000001</v>
      </c>
      <c r="E106" s="110">
        <f t="shared" si="279"/>
        <v>719046.95073000004</v>
      </c>
      <c r="F106" s="110">
        <f t="shared" si="279"/>
        <v>5826.7895299999991</v>
      </c>
      <c r="G106" s="110">
        <f t="shared" si="279"/>
        <v>320628.76975000004</v>
      </c>
      <c r="H106" s="110">
        <f t="shared" si="279"/>
        <v>1523.0923600000001</v>
      </c>
      <c r="I106" s="110">
        <f t="shared" si="279"/>
        <v>470717.41733000003</v>
      </c>
      <c r="J106" s="110">
        <f t="shared" si="279"/>
        <v>55268.158390000004</v>
      </c>
      <c r="K106" s="110">
        <f t="shared" si="279"/>
        <v>225663.70642999999</v>
      </c>
      <c r="L106" s="110">
        <f t="shared" si="279"/>
        <v>25787.843269999998</v>
      </c>
      <c r="M106" s="110">
        <f t="shared" si="279"/>
        <v>20317.700809999998</v>
      </c>
      <c r="N106" s="110">
        <f t="shared" si="279"/>
        <v>21471.519680000001</v>
      </c>
      <c r="O106" s="110">
        <f t="shared" si="279"/>
        <v>25258.85687</v>
      </c>
      <c r="P106" s="110">
        <f t="shared" si="279"/>
        <v>1937.5850499999999</v>
      </c>
      <c r="Q106" s="112">
        <f>SUM(Q92:Q105)</f>
        <v>5394821.6314799991</v>
      </c>
      <c r="S106" s="108" t="s">
        <v>29</v>
      </c>
      <c r="T106" s="109">
        <f t="shared" ref="T106:AC106" si="280">SUM(T92:T105)</f>
        <v>4703345</v>
      </c>
      <c r="U106" s="110">
        <f t="shared" si="280"/>
        <v>218690</v>
      </c>
      <c r="V106" s="110">
        <f t="shared" si="280"/>
        <v>995565</v>
      </c>
      <c r="W106" s="110">
        <f t="shared" si="280"/>
        <v>29350</v>
      </c>
      <c r="X106" s="110">
        <f t="shared" si="280"/>
        <v>407940</v>
      </c>
      <c r="Y106" s="110">
        <f t="shared" si="280"/>
        <v>12055</v>
      </c>
      <c r="Z106" s="110">
        <f t="shared" si="280"/>
        <v>839375</v>
      </c>
      <c r="AA106" s="110">
        <f t="shared" si="280"/>
        <v>102585</v>
      </c>
      <c r="AB106" s="110">
        <f t="shared" si="280"/>
        <v>0</v>
      </c>
      <c r="AC106" s="110">
        <f t="shared" si="280"/>
        <v>172560</v>
      </c>
      <c r="AD106" s="110">
        <f>SUM(AD92:AD105)</f>
        <v>3600</v>
      </c>
      <c r="AE106" s="110">
        <f>SUM(AE92:AE105)</f>
        <v>2040</v>
      </c>
      <c r="AF106" s="110">
        <f>SUM(AF92:AF105)</f>
        <v>45550</v>
      </c>
      <c r="AG106" s="110">
        <f>SUM(AG92:AG105)</f>
        <v>0</v>
      </c>
      <c r="AH106" s="112">
        <f>SUM(AH92:AH105)</f>
        <v>7532655</v>
      </c>
      <c r="AJ106" s="108" t="s">
        <v>29</v>
      </c>
      <c r="AK106" s="120">
        <f t="shared" si="266"/>
        <v>1</v>
      </c>
      <c r="AL106" s="121">
        <f t="shared" si="236"/>
        <v>1</v>
      </c>
      <c r="AM106" s="121">
        <f t="shared" si="237"/>
        <v>1</v>
      </c>
      <c r="AN106" s="121">
        <f t="shared" si="238"/>
        <v>1</v>
      </c>
      <c r="AO106" s="121">
        <f t="shared" si="239"/>
        <v>1</v>
      </c>
      <c r="AP106" s="121">
        <f t="shared" si="240"/>
        <v>1</v>
      </c>
      <c r="AQ106" s="121">
        <f t="shared" si="241"/>
        <v>1</v>
      </c>
      <c r="AR106" s="121">
        <f t="shared" si="242"/>
        <v>1</v>
      </c>
      <c r="AS106" s="121">
        <f t="shared" si="243"/>
        <v>1</v>
      </c>
      <c r="AT106" s="121">
        <f t="shared" si="244"/>
        <v>1</v>
      </c>
      <c r="AU106" s="121">
        <f t="shared" si="245"/>
        <v>1</v>
      </c>
      <c r="AV106" s="121">
        <f t="shared" si="246"/>
        <v>1</v>
      </c>
      <c r="AW106" s="121">
        <f t="shared" si="247"/>
        <v>1</v>
      </c>
      <c r="AX106" s="121">
        <f t="shared" si="248"/>
        <v>1</v>
      </c>
      <c r="AY106" s="123">
        <f t="shared" si="249"/>
        <v>1</v>
      </c>
      <c r="BA106" s="108" t="s">
        <v>29</v>
      </c>
      <c r="BB106" s="120">
        <f t="shared" si="267"/>
        <v>1</v>
      </c>
      <c r="BC106" s="121">
        <f t="shared" si="250"/>
        <v>1</v>
      </c>
      <c r="BD106" s="121">
        <f t="shared" si="251"/>
        <v>1</v>
      </c>
      <c r="BE106" s="121">
        <f t="shared" si="252"/>
        <v>1</v>
      </c>
      <c r="BF106" s="121">
        <f t="shared" si="253"/>
        <v>1</v>
      </c>
      <c r="BG106" s="121">
        <f t="shared" si="254"/>
        <v>1</v>
      </c>
      <c r="BH106" s="121">
        <f t="shared" si="255"/>
        <v>1</v>
      </c>
      <c r="BI106" s="121">
        <f t="shared" si="256"/>
        <v>1</v>
      </c>
      <c r="BJ106" s="121" t="str">
        <f t="shared" si="257"/>
        <v/>
      </c>
      <c r="BK106" s="121">
        <f t="shared" si="258"/>
        <v>1</v>
      </c>
      <c r="BL106" s="121">
        <f t="shared" si="259"/>
        <v>1</v>
      </c>
      <c r="BM106" s="121">
        <f t="shared" si="260"/>
        <v>1</v>
      </c>
      <c r="BN106" s="121">
        <f t="shared" si="261"/>
        <v>1</v>
      </c>
      <c r="BO106" s="121" t="str">
        <f t="shared" si="262"/>
        <v/>
      </c>
      <c r="BP106" s="123">
        <f t="shared" si="263"/>
        <v>1</v>
      </c>
      <c r="BR106" s="108" t="s">
        <v>29</v>
      </c>
      <c r="BS106" s="120">
        <f t="shared" si="269"/>
        <v>0</v>
      </c>
      <c r="BT106" s="121">
        <f t="shared" si="270"/>
        <v>0</v>
      </c>
      <c r="BU106" s="121">
        <f t="shared" si="271"/>
        <v>0</v>
      </c>
      <c r="BV106" s="121">
        <f t="shared" si="272"/>
        <v>0</v>
      </c>
      <c r="BW106" s="121"/>
      <c r="BX106" s="121"/>
      <c r="BY106" s="121"/>
      <c r="BZ106" s="121"/>
      <c r="CA106" s="121"/>
      <c r="CB106" s="121">
        <f t="shared" si="273"/>
        <v>0</v>
      </c>
      <c r="CC106" s="121">
        <f t="shared" si="274"/>
        <v>0</v>
      </c>
      <c r="CD106" s="121">
        <f t="shared" si="275"/>
        <v>0</v>
      </c>
      <c r="CE106" s="121">
        <f t="shared" si="276"/>
        <v>0</v>
      </c>
      <c r="CF106" s="121" t="e">
        <f t="shared" si="277"/>
        <v>#VALUE!</v>
      </c>
      <c r="CG106" s="123">
        <f t="shared" si="278"/>
        <v>0</v>
      </c>
    </row>
    <row r="107" spans="2:85" x14ac:dyDescent="0.25">
      <c r="B107" t="s">
        <v>222</v>
      </c>
      <c r="C107" s="383" t="s">
        <v>206</v>
      </c>
      <c r="D107" s="383"/>
      <c r="E107" s="383"/>
      <c r="F107" s="383"/>
      <c r="G107" s="383"/>
      <c r="H107" s="383"/>
      <c r="I107" s="383"/>
      <c r="J107" s="383"/>
      <c r="K107" s="383"/>
      <c r="L107" s="383"/>
      <c r="M107" s="383"/>
      <c r="N107" s="383"/>
      <c r="O107" s="383"/>
      <c r="P107" s="383"/>
      <c r="Q107" s="383"/>
      <c r="S107" t="s">
        <v>222</v>
      </c>
      <c r="T107" s="383" t="s">
        <v>206</v>
      </c>
      <c r="U107" s="383"/>
      <c r="V107" s="383"/>
      <c r="W107" s="383"/>
      <c r="X107" s="383"/>
      <c r="Y107" s="383"/>
      <c r="Z107" s="383"/>
      <c r="AA107" s="383"/>
      <c r="AB107" s="383"/>
      <c r="AC107" s="383"/>
      <c r="AD107" s="383"/>
      <c r="AE107" s="383"/>
      <c r="AF107" s="383"/>
      <c r="AG107" s="383"/>
      <c r="AH107" s="383"/>
      <c r="AJ107" t="s">
        <v>222</v>
      </c>
      <c r="AK107" s="383" t="s">
        <v>206</v>
      </c>
      <c r="AL107" s="383"/>
      <c r="AM107" s="383"/>
      <c r="AN107" s="383"/>
      <c r="AO107" s="383"/>
      <c r="AP107" s="383"/>
      <c r="AQ107" s="383"/>
      <c r="AR107" s="383"/>
      <c r="AS107" s="383"/>
      <c r="AT107" s="383"/>
      <c r="AU107" s="383"/>
      <c r="AV107" s="383"/>
      <c r="AW107" s="383"/>
      <c r="AX107" s="383"/>
      <c r="AY107" s="383"/>
      <c r="BA107" t="s">
        <v>222</v>
      </c>
      <c r="BB107" s="383" t="s">
        <v>206</v>
      </c>
      <c r="BC107" s="383"/>
      <c r="BD107" s="383"/>
      <c r="BE107" s="383"/>
      <c r="BF107" s="383"/>
      <c r="BG107" s="383"/>
      <c r="BH107" s="383"/>
      <c r="BI107" s="383"/>
      <c r="BJ107" s="383"/>
      <c r="BK107" s="383"/>
      <c r="BL107" s="383"/>
      <c r="BM107" s="383"/>
      <c r="BN107" s="383"/>
      <c r="BO107" s="383"/>
      <c r="BP107" s="383"/>
      <c r="BR107" t="s">
        <v>222</v>
      </c>
      <c r="BS107" s="383" t="s">
        <v>206</v>
      </c>
      <c r="BT107" s="383"/>
      <c r="BU107" s="383"/>
      <c r="BV107" s="383"/>
      <c r="BW107" s="383"/>
      <c r="BX107" s="383"/>
      <c r="BY107" s="383"/>
      <c r="BZ107" s="383"/>
      <c r="CA107" s="383"/>
      <c r="CB107" s="383"/>
      <c r="CC107" s="383"/>
      <c r="CD107" s="383"/>
      <c r="CE107" s="383"/>
      <c r="CF107" s="383"/>
      <c r="CG107" s="383"/>
    </row>
    <row r="108" spans="2:85" ht="35.450000000000003" customHeight="1" x14ac:dyDescent="0.25">
      <c r="B108" s="163" t="s">
        <v>207</v>
      </c>
      <c r="C108" s="164" t="s">
        <v>386</v>
      </c>
      <c r="D108" s="164" t="s">
        <v>387</v>
      </c>
      <c r="E108" s="164" t="s">
        <v>388</v>
      </c>
      <c r="F108" s="164" t="s">
        <v>389</v>
      </c>
      <c r="G108" s="164" t="s">
        <v>390</v>
      </c>
      <c r="H108" s="164" t="s">
        <v>391</v>
      </c>
      <c r="I108" s="164" t="s">
        <v>392</v>
      </c>
      <c r="J108" s="164" t="s">
        <v>393</v>
      </c>
      <c r="K108" s="164" t="s">
        <v>394</v>
      </c>
      <c r="L108" s="164" t="s">
        <v>395</v>
      </c>
      <c r="M108" s="164" t="s">
        <v>396</v>
      </c>
      <c r="N108" s="164" t="s">
        <v>397</v>
      </c>
      <c r="O108" s="164" t="s">
        <v>398</v>
      </c>
      <c r="P108" s="164" t="s">
        <v>399</v>
      </c>
      <c r="Q108" s="106" t="s">
        <v>29</v>
      </c>
      <c r="S108" s="163" t="s">
        <v>207</v>
      </c>
      <c r="T108" s="164" t="s">
        <v>386</v>
      </c>
      <c r="U108" s="164" t="s">
        <v>387</v>
      </c>
      <c r="V108" s="164" t="s">
        <v>388</v>
      </c>
      <c r="W108" s="164" t="s">
        <v>389</v>
      </c>
      <c r="X108" s="164" t="s">
        <v>390</v>
      </c>
      <c r="Y108" s="164" t="s">
        <v>391</v>
      </c>
      <c r="Z108" s="164" t="s">
        <v>392</v>
      </c>
      <c r="AA108" s="164" t="s">
        <v>393</v>
      </c>
      <c r="AB108" s="164" t="s">
        <v>394</v>
      </c>
      <c r="AC108" s="164" t="s">
        <v>395</v>
      </c>
      <c r="AD108" s="164" t="s">
        <v>396</v>
      </c>
      <c r="AE108" s="164" t="s">
        <v>397</v>
      </c>
      <c r="AF108" s="164" t="s">
        <v>398</v>
      </c>
      <c r="AG108" s="164" t="s">
        <v>399</v>
      </c>
      <c r="AH108" s="106" t="s">
        <v>29</v>
      </c>
      <c r="AJ108" s="163" t="s">
        <v>207</v>
      </c>
      <c r="AK108" s="164" t="s">
        <v>386</v>
      </c>
      <c r="AL108" s="164" t="s">
        <v>387</v>
      </c>
      <c r="AM108" s="164" t="s">
        <v>388</v>
      </c>
      <c r="AN108" s="164" t="s">
        <v>389</v>
      </c>
      <c r="AO108" s="164" t="s">
        <v>390</v>
      </c>
      <c r="AP108" s="164" t="s">
        <v>391</v>
      </c>
      <c r="AQ108" s="164" t="s">
        <v>392</v>
      </c>
      <c r="AR108" s="164" t="s">
        <v>393</v>
      </c>
      <c r="AS108" s="164" t="s">
        <v>394</v>
      </c>
      <c r="AT108" s="164" t="s">
        <v>395</v>
      </c>
      <c r="AU108" s="164" t="s">
        <v>396</v>
      </c>
      <c r="AV108" s="164" t="s">
        <v>397</v>
      </c>
      <c r="AW108" s="164" t="s">
        <v>398</v>
      </c>
      <c r="AX108" s="164" t="s">
        <v>399</v>
      </c>
      <c r="AY108" s="106" t="s">
        <v>29</v>
      </c>
      <c r="BA108" s="163" t="s">
        <v>207</v>
      </c>
      <c r="BB108" s="164" t="s">
        <v>386</v>
      </c>
      <c r="BC108" s="164" t="s">
        <v>387</v>
      </c>
      <c r="BD108" s="164" t="s">
        <v>388</v>
      </c>
      <c r="BE108" s="164" t="s">
        <v>389</v>
      </c>
      <c r="BF108" s="164" t="s">
        <v>390</v>
      </c>
      <c r="BG108" s="164" t="s">
        <v>391</v>
      </c>
      <c r="BH108" s="164" t="s">
        <v>392</v>
      </c>
      <c r="BI108" s="164" t="s">
        <v>393</v>
      </c>
      <c r="BJ108" s="164" t="s">
        <v>394</v>
      </c>
      <c r="BK108" s="164" t="s">
        <v>395</v>
      </c>
      <c r="BL108" s="164" t="s">
        <v>396</v>
      </c>
      <c r="BM108" s="164" t="s">
        <v>397</v>
      </c>
      <c r="BN108" s="164" t="s">
        <v>398</v>
      </c>
      <c r="BO108" s="164" t="s">
        <v>399</v>
      </c>
      <c r="BP108" s="106" t="s">
        <v>29</v>
      </c>
      <c r="BR108" s="163" t="s">
        <v>207</v>
      </c>
      <c r="BS108" s="164" t="s">
        <v>386</v>
      </c>
      <c r="BT108" s="164" t="s">
        <v>387</v>
      </c>
      <c r="BU108" s="164" t="s">
        <v>388</v>
      </c>
      <c r="BV108" s="164" t="s">
        <v>389</v>
      </c>
      <c r="BW108" s="164" t="s">
        <v>390</v>
      </c>
      <c r="BX108" s="164" t="s">
        <v>391</v>
      </c>
      <c r="BY108" s="164" t="s">
        <v>392</v>
      </c>
      <c r="BZ108" s="164" t="s">
        <v>393</v>
      </c>
      <c r="CA108" s="164" t="s">
        <v>394</v>
      </c>
      <c r="CB108" s="164" t="s">
        <v>395</v>
      </c>
      <c r="CC108" s="164" t="s">
        <v>396</v>
      </c>
      <c r="CD108" s="164" t="s">
        <v>397</v>
      </c>
      <c r="CE108" s="164" t="s">
        <v>398</v>
      </c>
      <c r="CF108" s="164" t="s">
        <v>399</v>
      </c>
      <c r="CG108" s="106" t="s">
        <v>29</v>
      </c>
    </row>
    <row r="109" spans="2:85" x14ac:dyDescent="0.25">
      <c r="B109" s="107" t="s">
        <v>386</v>
      </c>
      <c r="C109" s="160">
        <f>TripMode_input!B84</f>
        <v>1777601.0380200001</v>
      </c>
      <c r="D109" s="160">
        <f>TripMode_input!C84</f>
        <v>11582.41519</v>
      </c>
      <c r="E109" s="160">
        <f>TripMode_input!D84</f>
        <v>110040.76648999999</v>
      </c>
      <c r="F109" s="160">
        <f>TripMode_input!E84</f>
        <v>806.92841999999996</v>
      </c>
      <c r="G109" s="160">
        <f>TripMode_input!F84</f>
        <v>41922.475270000003</v>
      </c>
      <c r="H109" s="160">
        <f>TripMode_input!G84</f>
        <v>307.89278000000002</v>
      </c>
      <c r="I109" s="160">
        <f>TripMode_input!H84</f>
        <v>0</v>
      </c>
      <c r="J109" s="160">
        <f>TripMode_input!I84</f>
        <v>0</v>
      </c>
      <c r="K109" s="160">
        <f>TripMode_input!J84</f>
        <v>103.00684</v>
      </c>
      <c r="L109" s="160">
        <f>TripMode_input!K84</f>
        <v>0</v>
      </c>
      <c r="M109" s="160">
        <f>TripMode_input!L84</f>
        <v>383.44731999999999</v>
      </c>
      <c r="N109" s="160">
        <f>TripMode_input!M84</f>
        <v>2711.26449</v>
      </c>
      <c r="O109" s="160">
        <f>TripMode_input!N84</f>
        <v>839.28886</v>
      </c>
      <c r="P109" s="160">
        <f>TripMode_input!O84</f>
        <v>2236.0849800000001</v>
      </c>
      <c r="Q109" s="161">
        <f t="shared" ref="Q109:Q122" si="281">SUM(C109:P109)</f>
        <v>1948534.6086600004</v>
      </c>
      <c r="S109" s="107" t="s">
        <v>386</v>
      </c>
      <c r="T109" s="160">
        <f>TripMode_input!R84*Index!$B$2</f>
        <v>2530025</v>
      </c>
      <c r="U109" s="160">
        <f>TripMode_input!S84*Index!$B$2</f>
        <v>146725</v>
      </c>
      <c r="V109" s="160">
        <f>TripMode_input!T84*Index!$B$2</f>
        <v>244125</v>
      </c>
      <c r="W109" s="160">
        <f>TripMode_input!U84*Index!$B$2</f>
        <v>3530</v>
      </c>
      <c r="X109" s="160">
        <f>TripMode_input!V84*Index!$B$2</f>
        <v>59435</v>
      </c>
      <c r="Y109" s="160">
        <f>TripMode_input!W84*Index!$B$2</f>
        <v>680</v>
      </c>
      <c r="Z109" s="160">
        <f>TripMode_input!X84*Index!$B$2</f>
        <v>0</v>
      </c>
      <c r="AA109" s="160">
        <f>TripMode_input!Y84*Index!$B$2</f>
        <v>0</v>
      </c>
      <c r="AB109" s="160">
        <f>TripMode_input!Z84*Index!$B$2</f>
        <v>0</v>
      </c>
      <c r="AC109" s="160">
        <f>TripMode_input!AA84*Index!$B$2</f>
        <v>0</v>
      </c>
      <c r="AD109" s="160">
        <f>TripMode_input!AB84*Index!$B$2</f>
        <v>0</v>
      </c>
      <c r="AE109" s="160">
        <f>TripMode_input!AC84*Index!$B$2</f>
        <v>0</v>
      </c>
      <c r="AF109" s="160">
        <f>TripMode_input!AD84*Index!$B$2</f>
        <v>0</v>
      </c>
      <c r="AG109" s="160">
        <f>TripMode_input!AE84*Index!$B$2</f>
        <v>0</v>
      </c>
      <c r="AH109" s="161">
        <f t="shared" ref="AH109:AH122" si="282">SUM(T109:AG109)</f>
        <v>2984520</v>
      </c>
      <c r="AJ109" s="107" t="s">
        <v>386</v>
      </c>
      <c r="AK109" s="166">
        <f>IF(C$123&gt;0,C109/C$123,"")</f>
        <v>0.98797447589711707</v>
      </c>
      <c r="AL109" s="166">
        <f t="shared" ref="AL109:AL123" si="283">IF(D$123&gt;0,D109/D$123,"")</f>
        <v>0.33519062460643206</v>
      </c>
      <c r="AM109" s="166">
        <f t="shared" ref="AM109:AM123" si="284">IF(E$123&gt;0,E109/E$123,"")</f>
        <v>0.15541531996710853</v>
      </c>
      <c r="AN109" s="166">
        <f t="shared" ref="AN109:AN123" si="285">IF(F$123&gt;0,F109/F$123,"")</f>
        <v>8.3436371658527839E-2</v>
      </c>
      <c r="AO109" s="166">
        <f t="shared" ref="AO109:AO123" si="286">IF(G$123&gt;0,G109/G$123,"")</f>
        <v>7.3211679084738412E-2</v>
      </c>
      <c r="AP109" s="166">
        <f t="shared" ref="AP109:AP123" si="287">IF(H$123&gt;0,H109/H$123,"")</f>
        <v>3.2091692746086642E-2</v>
      </c>
      <c r="AQ109" s="166">
        <f t="shared" ref="AQ109:AQ123" si="288">IF(I$123&gt;0,I109/I$123,"")</f>
        <v>0</v>
      </c>
      <c r="AR109" s="166">
        <f t="shared" ref="AR109:AR123" si="289">IF(J$123&gt;0,J109/J$123,"")</f>
        <v>0</v>
      </c>
      <c r="AS109" s="166">
        <f t="shared" ref="AS109:AS123" si="290">IF(K$123&gt;0,K109/K$123,"")</f>
        <v>9.4809225454973599E-4</v>
      </c>
      <c r="AT109" s="166">
        <f t="shared" ref="AT109:AT123" si="291">IF(L$123&gt;0,L109/L$123,"")</f>
        <v>0</v>
      </c>
      <c r="AU109" s="166">
        <f t="shared" ref="AU109:AU123" si="292">IF(M$123&gt;0,M109/M$123,"")</f>
        <v>1.7841476618068258E-2</v>
      </c>
      <c r="AV109" s="166">
        <f t="shared" ref="AV109:AV123" si="293">IF(N$123&gt;0,N109/N$123,"")</f>
        <v>0.18720600890480626</v>
      </c>
      <c r="AW109" s="166">
        <f t="shared" ref="AW109:AW123" si="294">IF(O$123&gt;0,O109/O$123,"")</f>
        <v>6.0098978968811036E-2</v>
      </c>
      <c r="AX109" s="166">
        <f t="shared" ref="AX109:AX123" si="295">IF(P$123&gt;0,P109/P$123,"")</f>
        <v>0.1690213546956576</v>
      </c>
      <c r="AY109" s="167">
        <f t="shared" ref="AY109:AY123" si="296">IF(Q$123&gt;0,Q109/Q$123,"")</f>
        <v>0.50864937190966619</v>
      </c>
      <c r="BA109" s="107" t="s">
        <v>386</v>
      </c>
      <c r="BB109" s="166">
        <f>IF(T$123&gt;0,T109/T$123,"")</f>
        <v>0.97817114732929056</v>
      </c>
      <c r="BC109" s="166">
        <f t="shared" ref="BC109:BC123" si="297">IF(U$123&gt;0,U109/U$123,"")</f>
        <v>0.80199508062312108</v>
      </c>
      <c r="BD109" s="166">
        <f t="shared" ref="BD109:BD123" si="298">IF(V$123&gt;0,V109/V$123,"")</f>
        <v>0.19599460487969364</v>
      </c>
      <c r="BE109" s="166">
        <f t="shared" ref="BE109:BE123" si="299">IF(W$123&gt;0,W109/W$123,"")</f>
        <v>0.1721951219512195</v>
      </c>
      <c r="BF109" s="166">
        <f t="shared" ref="BF109:BF123" si="300">IF(X$123&gt;0,X109/X$123,"")</f>
        <v>6.5630158844087655E-2</v>
      </c>
      <c r="BG109" s="166">
        <f t="shared" ref="BG109:BG123" si="301">IF(Y$123&gt;0,Y109/Y$123,"")</f>
        <v>8.8541666666666671E-2</v>
      </c>
      <c r="BH109" s="166">
        <f t="shared" ref="BH109:BH123" si="302">IF(Z$123&gt;0,Z109/Z$123,"")</f>
        <v>0</v>
      </c>
      <c r="BI109" s="166">
        <f t="shared" ref="BI109:BI123" si="303">IF(AA$123&gt;0,AA109/AA$123,"")</f>
        <v>0</v>
      </c>
      <c r="BJ109" s="166" t="str">
        <f t="shared" ref="BJ109:BJ123" si="304">IF(AB$123&gt;0,AB109/AB$123,"")</f>
        <v/>
      </c>
      <c r="BK109" s="166">
        <f t="shared" ref="BK109:BK123" si="305">IF(AC$123&gt;0,AC109/AC$123,"")</f>
        <v>0</v>
      </c>
      <c r="BL109" s="166">
        <f t="shared" ref="BL109:BL123" si="306">IF(AD$123&gt;0,AD109/AD$123,"")</f>
        <v>0</v>
      </c>
      <c r="BM109" s="166">
        <f t="shared" ref="BM109:BM123" si="307">IF(AE$123&gt;0,AE109/AE$123,"")</f>
        <v>0</v>
      </c>
      <c r="BN109" s="166">
        <f t="shared" ref="BN109:BN123" si="308">IF(AF$123&gt;0,AF109/AF$123,"")</f>
        <v>0</v>
      </c>
      <c r="BO109" s="166" t="str">
        <f t="shared" ref="BO109:BO123" si="309">IF(AG$123&gt;0,AG109/AG$123,"")</f>
        <v/>
      </c>
      <c r="BP109" s="167">
        <f t="shared" ref="BP109:BP123" si="310">IF(AH$123&gt;0,AH109/AH$123,"")</f>
        <v>0.48846721014996802</v>
      </c>
      <c r="BR109" s="107" t="s">
        <v>386</v>
      </c>
      <c r="BS109" s="166">
        <f t="shared" ref="BS109:BV112" si="311">IF(OR(ISNA(AK109),AK109=0,AK109=""),"",(BB109-AK109)/AK109)</f>
        <v>-9.9226536788055448E-3</v>
      </c>
      <c r="BT109" s="166">
        <f t="shared" si="311"/>
        <v>1.392653677485141</v>
      </c>
      <c r="BU109" s="166">
        <f t="shared" si="311"/>
        <v>0.26110221901658826</v>
      </c>
      <c r="BV109" s="166">
        <f t="shared" si="311"/>
        <v>1.0637896702405303</v>
      </c>
      <c r="BW109" s="166"/>
      <c r="BX109" s="166"/>
      <c r="BY109" s="166"/>
      <c r="BZ109" s="166"/>
      <c r="CA109" s="166"/>
      <c r="CB109" s="166" t="str">
        <f t="shared" ref="CB109:CG109" si="312">IF(OR(ISNA(AT109),AT109=0,AT109=""),"",(BK109-AT109)/AT109)</f>
        <v/>
      </c>
      <c r="CC109" s="166">
        <f t="shared" si="312"/>
        <v>-1</v>
      </c>
      <c r="CD109" s="166">
        <f t="shared" si="312"/>
        <v>-1</v>
      </c>
      <c r="CE109" s="166">
        <f t="shared" si="312"/>
        <v>-1</v>
      </c>
      <c r="CF109" s="166" t="e">
        <f t="shared" si="312"/>
        <v>#VALUE!</v>
      </c>
      <c r="CG109" s="167">
        <f t="shared" si="312"/>
        <v>-3.967794491503359E-2</v>
      </c>
    </row>
    <row r="110" spans="2:85" x14ac:dyDescent="0.25">
      <c r="B110" s="107" t="s">
        <v>387</v>
      </c>
      <c r="C110" s="160">
        <f>TripMode_input!B85</f>
        <v>0</v>
      </c>
      <c r="D110" s="160">
        <f>TripMode_input!C85</f>
        <v>22786.197540000001</v>
      </c>
      <c r="E110" s="160">
        <f>TripMode_input!D85</f>
        <v>0</v>
      </c>
      <c r="F110" s="160">
        <f>TripMode_input!E85</f>
        <v>490.77112</v>
      </c>
      <c r="G110" s="160">
        <f>TripMode_input!F85</f>
        <v>0</v>
      </c>
      <c r="H110" s="160">
        <f>TripMode_input!G85</f>
        <v>157.63799</v>
      </c>
      <c r="I110" s="160">
        <f>TripMode_input!H85</f>
        <v>0</v>
      </c>
      <c r="J110" s="160">
        <f>TripMode_input!I85</f>
        <v>0</v>
      </c>
      <c r="K110" s="160">
        <f>TripMode_input!J85</f>
        <v>0</v>
      </c>
      <c r="L110" s="160">
        <f>TripMode_input!K85</f>
        <v>0</v>
      </c>
      <c r="M110" s="160">
        <f>TripMode_input!L85</f>
        <v>0</v>
      </c>
      <c r="N110" s="160">
        <f>TripMode_input!M85</f>
        <v>110.45578999999999</v>
      </c>
      <c r="O110" s="160">
        <f>TripMode_input!N85</f>
        <v>30.008050000000001</v>
      </c>
      <c r="P110" s="160">
        <f>TripMode_input!O85</f>
        <v>0</v>
      </c>
      <c r="Q110" s="162">
        <f t="shared" si="281"/>
        <v>23575.070490000002</v>
      </c>
      <c r="S110" s="107" t="s">
        <v>387</v>
      </c>
      <c r="T110" s="160">
        <f>TripMode_input!R85*Index!$B$2</f>
        <v>56460</v>
      </c>
      <c r="U110" s="160">
        <f>TripMode_input!S85*Index!$B$2</f>
        <v>36225</v>
      </c>
      <c r="V110" s="160">
        <f>TripMode_input!T85*Index!$B$2</f>
        <v>7675</v>
      </c>
      <c r="W110" s="160">
        <f>TripMode_input!U85*Index!$B$2</f>
        <v>885</v>
      </c>
      <c r="X110" s="160">
        <f>TripMode_input!V85*Index!$B$2</f>
        <v>2150</v>
      </c>
      <c r="Y110" s="160">
        <f>TripMode_input!W85*Index!$B$2</f>
        <v>95</v>
      </c>
      <c r="Z110" s="160">
        <f>TripMode_input!X85*Index!$B$2</f>
        <v>0</v>
      </c>
      <c r="AA110" s="160">
        <f>TripMode_input!Y85*Index!$B$2</f>
        <v>0</v>
      </c>
      <c r="AB110" s="160">
        <f>TripMode_input!Z85*Index!$B$2</f>
        <v>0</v>
      </c>
      <c r="AC110" s="160">
        <f>TripMode_input!AA85*Index!$B$2</f>
        <v>0</v>
      </c>
      <c r="AD110" s="160">
        <f>TripMode_input!AB85*Index!$B$2</f>
        <v>0</v>
      </c>
      <c r="AE110" s="160">
        <f>TripMode_input!AC85*Index!$B$2</f>
        <v>0</v>
      </c>
      <c r="AF110" s="160">
        <f>TripMode_input!AD85*Index!$B$2</f>
        <v>0</v>
      </c>
      <c r="AG110" s="160">
        <f>TripMode_input!AE85*Index!$B$2</f>
        <v>0</v>
      </c>
      <c r="AH110" s="162">
        <f t="shared" si="282"/>
        <v>103490</v>
      </c>
      <c r="AJ110" s="107" t="s">
        <v>387</v>
      </c>
      <c r="AK110" s="166">
        <f t="shared" ref="AK110:AK123" si="313">IF(C$123&gt;0,C110/C$123,"")</f>
        <v>0</v>
      </c>
      <c r="AL110" s="166">
        <f t="shared" si="283"/>
        <v>0.65942376098142164</v>
      </c>
      <c r="AM110" s="166">
        <f t="shared" si="284"/>
        <v>0</v>
      </c>
      <c r="AN110" s="166">
        <f t="shared" si="285"/>
        <v>5.0745717405258774E-2</v>
      </c>
      <c r="AO110" s="166">
        <f t="shared" si="286"/>
        <v>0</v>
      </c>
      <c r="AP110" s="166">
        <f t="shared" si="287"/>
        <v>1.6430622180197529E-2</v>
      </c>
      <c r="AQ110" s="166">
        <f t="shared" si="288"/>
        <v>0</v>
      </c>
      <c r="AR110" s="166">
        <f t="shared" si="289"/>
        <v>0</v>
      </c>
      <c r="AS110" s="166">
        <f t="shared" si="290"/>
        <v>0</v>
      </c>
      <c r="AT110" s="166">
        <f t="shared" si="291"/>
        <v>0</v>
      </c>
      <c r="AU110" s="166">
        <f t="shared" si="292"/>
        <v>0</v>
      </c>
      <c r="AV110" s="166">
        <f t="shared" si="293"/>
        <v>7.6266951020803608E-3</v>
      </c>
      <c r="AW110" s="166">
        <f t="shared" si="294"/>
        <v>2.1487872075950467E-3</v>
      </c>
      <c r="AX110" s="166">
        <f t="shared" si="295"/>
        <v>0</v>
      </c>
      <c r="AY110" s="168">
        <f t="shared" si="296"/>
        <v>6.1540835580596014E-3</v>
      </c>
      <c r="BA110" s="107" t="s">
        <v>387</v>
      </c>
      <c r="BB110" s="166">
        <f t="shared" ref="BB110:BB123" si="314">IF(T$123&gt;0,T110/T$123,"")</f>
        <v>2.1828852670709477E-2</v>
      </c>
      <c r="BC110" s="166">
        <f t="shared" si="297"/>
        <v>0.19800491937687892</v>
      </c>
      <c r="BD110" s="166">
        <f t="shared" si="298"/>
        <v>6.161837552285299E-3</v>
      </c>
      <c r="BE110" s="166">
        <f t="shared" si="299"/>
        <v>4.317073170731707E-2</v>
      </c>
      <c r="BF110" s="166">
        <f t="shared" si="300"/>
        <v>2.3741034998702526E-3</v>
      </c>
      <c r="BG110" s="166">
        <f t="shared" si="301"/>
        <v>1.2369791666666666E-2</v>
      </c>
      <c r="BH110" s="166">
        <f t="shared" si="302"/>
        <v>0</v>
      </c>
      <c r="BI110" s="166">
        <f t="shared" si="303"/>
        <v>0</v>
      </c>
      <c r="BJ110" s="166" t="str">
        <f t="shared" si="304"/>
        <v/>
      </c>
      <c r="BK110" s="166">
        <f t="shared" si="305"/>
        <v>0</v>
      </c>
      <c r="BL110" s="166">
        <f t="shared" si="306"/>
        <v>0</v>
      </c>
      <c r="BM110" s="166">
        <f t="shared" si="307"/>
        <v>0</v>
      </c>
      <c r="BN110" s="166">
        <f t="shared" si="308"/>
        <v>0</v>
      </c>
      <c r="BO110" s="166" t="str">
        <f t="shared" si="309"/>
        <v/>
      </c>
      <c r="BP110" s="168">
        <f t="shared" si="310"/>
        <v>1.693789003873996E-2</v>
      </c>
      <c r="BR110" s="107" t="s">
        <v>387</v>
      </c>
      <c r="BS110" s="166" t="str">
        <f t="shared" si="311"/>
        <v/>
      </c>
      <c r="BT110" s="166">
        <f t="shared" si="311"/>
        <v>-0.69973038417331546</v>
      </c>
      <c r="BU110" s="166" t="str">
        <f t="shared" si="311"/>
        <v/>
      </c>
      <c r="BV110" s="166">
        <f t="shared" si="311"/>
        <v>-0.14927339853031044</v>
      </c>
      <c r="BW110" s="166"/>
      <c r="BX110" s="166"/>
      <c r="BY110" s="166"/>
      <c r="BZ110" s="166"/>
      <c r="CA110" s="166"/>
      <c r="CB110" s="166" t="str">
        <f t="shared" ref="CB110:CG112" si="315">IF(OR(ISNA(AT110),AT110=0,AT110=""),"",(BK110-AT110)/AT110)</f>
        <v/>
      </c>
      <c r="CC110" s="166" t="str">
        <f t="shared" si="315"/>
        <v/>
      </c>
      <c r="CD110" s="166">
        <f t="shared" si="315"/>
        <v>-1</v>
      </c>
      <c r="CE110" s="166">
        <f t="shared" si="315"/>
        <v>-1</v>
      </c>
      <c r="CF110" s="166" t="str">
        <f t="shared" si="315"/>
        <v/>
      </c>
      <c r="CG110" s="168">
        <f t="shared" si="315"/>
        <v>1.7523009525207878</v>
      </c>
    </row>
    <row r="111" spans="2:85" x14ac:dyDescent="0.25">
      <c r="B111" s="107" t="s">
        <v>388</v>
      </c>
      <c r="C111" s="160">
        <f>TripMode_input!B86</f>
        <v>0</v>
      </c>
      <c r="D111" s="160">
        <f>TripMode_input!C86</f>
        <v>0</v>
      </c>
      <c r="E111" s="160">
        <f>TripMode_input!D86</f>
        <v>565908.65312000003</v>
      </c>
      <c r="F111" s="160">
        <f>TripMode_input!E86</f>
        <v>3421.25254</v>
      </c>
      <c r="G111" s="160">
        <f>TripMode_input!F86</f>
        <v>102983.95591</v>
      </c>
      <c r="H111" s="160">
        <f>TripMode_input!G86</f>
        <v>231.75418999999999</v>
      </c>
      <c r="I111" s="160">
        <f>TripMode_input!H86</f>
        <v>0</v>
      </c>
      <c r="J111" s="160">
        <f>TripMode_input!I86</f>
        <v>0</v>
      </c>
      <c r="K111" s="160">
        <f>TripMode_input!J86</f>
        <v>4006.8906499999998</v>
      </c>
      <c r="L111" s="160">
        <f>TripMode_input!K86</f>
        <v>9541.0011300000006</v>
      </c>
      <c r="M111" s="160">
        <f>TripMode_input!L86</f>
        <v>5899.1992600000003</v>
      </c>
      <c r="N111" s="160">
        <f>TripMode_input!M86</f>
        <v>1458.58465</v>
      </c>
      <c r="O111" s="160">
        <f>TripMode_input!N86</f>
        <v>825.20600000000002</v>
      </c>
      <c r="P111" s="160">
        <f>TripMode_input!O86</f>
        <v>3886.7184999999999</v>
      </c>
      <c r="Q111" s="162">
        <f t="shared" si="281"/>
        <v>698163.21594999998</v>
      </c>
      <c r="S111" s="107" t="s">
        <v>388</v>
      </c>
      <c r="T111" s="160">
        <f>TripMode_input!R86*Index!$B$2</f>
        <v>0</v>
      </c>
      <c r="U111" s="160">
        <f>TripMode_input!S86*Index!$B$2</f>
        <v>0</v>
      </c>
      <c r="V111" s="160">
        <f>TripMode_input!T86*Index!$B$2</f>
        <v>948100</v>
      </c>
      <c r="W111" s="160">
        <f>TripMode_input!U86*Index!$B$2</f>
        <v>12935</v>
      </c>
      <c r="X111" s="160">
        <f>TripMode_input!V86*Index!$B$2</f>
        <v>191690</v>
      </c>
      <c r="Y111" s="160">
        <f>TripMode_input!W86*Index!$B$2</f>
        <v>1170</v>
      </c>
      <c r="Z111" s="160">
        <f>TripMode_input!X86*Index!$B$2</f>
        <v>0</v>
      </c>
      <c r="AA111" s="160">
        <f>TripMode_input!Y86*Index!$B$2</f>
        <v>0</v>
      </c>
      <c r="AB111" s="160">
        <f>TripMode_input!Z86*Index!$B$2</f>
        <v>0</v>
      </c>
      <c r="AC111" s="160">
        <f>TripMode_input!AA86*Index!$B$2</f>
        <v>3385</v>
      </c>
      <c r="AD111" s="160">
        <f>TripMode_input!AB86*Index!$B$2</f>
        <v>0</v>
      </c>
      <c r="AE111" s="160">
        <f>TripMode_input!AC86*Index!$B$2</f>
        <v>0</v>
      </c>
      <c r="AF111" s="160">
        <f>TripMode_input!AD86*Index!$B$2</f>
        <v>2485</v>
      </c>
      <c r="AG111" s="160">
        <f>TripMode_input!AE86*Index!$B$2</f>
        <v>0</v>
      </c>
      <c r="AH111" s="162">
        <f t="shared" si="282"/>
        <v>1159765</v>
      </c>
      <c r="AJ111" s="107" t="s">
        <v>388</v>
      </c>
      <c r="AK111" s="166">
        <f t="shared" si="313"/>
        <v>0</v>
      </c>
      <c r="AL111" s="166">
        <f t="shared" si="283"/>
        <v>0</v>
      </c>
      <c r="AM111" s="166">
        <f t="shared" si="284"/>
        <v>0.79925719533035799</v>
      </c>
      <c r="AN111" s="166">
        <f t="shared" si="285"/>
        <v>0.35375739828958108</v>
      </c>
      <c r="AO111" s="166">
        <f t="shared" si="286"/>
        <v>0.17984692655672405</v>
      </c>
      <c r="AP111" s="166">
        <f t="shared" si="287"/>
        <v>2.4155760515391707E-2</v>
      </c>
      <c r="AQ111" s="166">
        <f t="shared" si="288"/>
        <v>0</v>
      </c>
      <c r="AR111" s="166">
        <f t="shared" si="289"/>
        <v>0</v>
      </c>
      <c r="AS111" s="166">
        <f t="shared" si="290"/>
        <v>3.6880094468413525E-2</v>
      </c>
      <c r="AT111" s="166">
        <f t="shared" si="291"/>
        <v>0.3845534327741934</v>
      </c>
      <c r="AU111" s="166">
        <f t="shared" si="292"/>
        <v>0.27448470799747821</v>
      </c>
      <c r="AV111" s="166">
        <f t="shared" si="293"/>
        <v>0.10071160965056335</v>
      </c>
      <c r="AW111" s="166">
        <f t="shared" si="294"/>
        <v>5.9090547250843624E-2</v>
      </c>
      <c r="AX111" s="166">
        <f t="shared" si="295"/>
        <v>0.29378956169665532</v>
      </c>
      <c r="AY111" s="168">
        <f t="shared" si="296"/>
        <v>0.18224992243151122</v>
      </c>
      <c r="BA111" s="107" t="s">
        <v>388</v>
      </c>
      <c r="BB111" s="166">
        <f t="shared" si="314"/>
        <v>0</v>
      </c>
      <c r="BC111" s="166">
        <f t="shared" si="297"/>
        <v>0</v>
      </c>
      <c r="BD111" s="166">
        <f t="shared" si="298"/>
        <v>0.76117761346210977</v>
      </c>
      <c r="BE111" s="166">
        <f t="shared" si="299"/>
        <v>0.63097560975609757</v>
      </c>
      <c r="BF111" s="166">
        <f t="shared" si="300"/>
        <v>0.21167065111168776</v>
      </c>
      <c r="BG111" s="166">
        <f t="shared" si="301"/>
        <v>0.15234375</v>
      </c>
      <c r="BH111" s="166">
        <f t="shared" si="302"/>
        <v>0</v>
      </c>
      <c r="BI111" s="166">
        <f t="shared" si="303"/>
        <v>0</v>
      </c>
      <c r="BJ111" s="166" t="str">
        <f t="shared" si="304"/>
        <v/>
      </c>
      <c r="BK111" s="166">
        <f t="shared" si="305"/>
        <v>4.9629792537204016E-2</v>
      </c>
      <c r="BL111" s="166">
        <f t="shared" si="306"/>
        <v>0</v>
      </c>
      <c r="BM111" s="166">
        <f t="shared" si="307"/>
        <v>0</v>
      </c>
      <c r="BN111" s="166">
        <f t="shared" si="308"/>
        <v>0.125</v>
      </c>
      <c r="BO111" s="166" t="str">
        <f t="shared" si="309"/>
        <v/>
      </c>
      <c r="BP111" s="168">
        <f t="shared" si="310"/>
        <v>0.18981517094191952</v>
      </c>
      <c r="BR111" s="107" t="s">
        <v>388</v>
      </c>
      <c r="BS111" s="166" t="str">
        <f t="shared" si="311"/>
        <v/>
      </c>
      <c r="BT111" s="166" t="str">
        <f t="shared" si="311"/>
        <v/>
      </c>
      <c r="BU111" s="166">
        <f t="shared" si="311"/>
        <v>-4.7643714802603362E-2</v>
      </c>
      <c r="BV111" s="166">
        <f t="shared" si="311"/>
        <v>0.78363933251111639</v>
      </c>
      <c r="BW111" s="166"/>
      <c r="BX111" s="166"/>
      <c r="BY111" s="166"/>
      <c r="BZ111" s="166"/>
      <c r="CA111" s="166"/>
      <c r="CB111" s="166">
        <f t="shared" si="315"/>
        <v>-0.87094175137334895</v>
      </c>
      <c r="CC111" s="166">
        <f t="shared" si="315"/>
        <v>-1</v>
      </c>
      <c r="CD111" s="166">
        <f t="shared" si="315"/>
        <v>-1</v>
      </c>
      <c r="CE111" s="166">
        <f t="shared" si="315"/>
        <v>1.1153975689100664</v>
      </c>
      <c r="CF111" s="166" t="e">
        <f t="shared" si="315"/>
        <v>#VALUE!</v>
      </c>
      <c r="CG111" s="168">
        <f t="shared" si="315"/>
        <v>4.1510297559941539E-2</v>
      </c>
    </row>
    <row r="112" spans="2:85" x14ac:dyDescent="0.25">
      <c r="B112" s="107" t="s">
        <v>389</v>
      </c>
      <c r="C112" s="160">
        <f>TripMode_input!B87</f>
        <v>0</v>
      </c>
      <c r="D112" s="160">
        <f>TripMode_input!C87</f>
        <v>0</v>
      </c>
      <c r="E112" s="160">
        <f>TripMode_input!D87</f>
        <v>0</v>
      </c>
      <c r="F112" s="160">
        <f>TripMode_input!E87</f>
        <v>4952.2309299999997</v>
      </c>
      <c r="G112" s="160">
        <f>TripMode_input!F87</f>
        <v>0</v>
      </c>
      <c r="H112" s="160">
        <f>TripMode_input!G87</f>
        <v>192.85982000000001</v>
      </c>
      <c r="I112" s="160">
        <f>TripMode_input!H87</f>
        <v>0</v>
      </c>
      <c r="J112" s="160">
        <f>TripMode_input!I87</f>
        <v>0</v>
      </c>
      <c r="K112" s="160">
        <f>TripMode_input!J87</f>
        <v>0</v>
      </c>
      <c r="L112" s="160">
        <f>TripMode_input!K87</f>
        <v>14.922029999999999</v>
      </c>
      <c r="M112" s="160">
        <f>TripMode_input!L87</f>
        <v>0</v>
      </c>
      <c r="N112" s="160">
        <f>TripMode_input!M87</f>
        <v>0</v>
      </c>
      <c r="O112" s="160">
        <f>TripMode_input!N87</f>
        <v>0</v>
      </c>
      <c r="P112" s="160">
        <f>TripMode_input!O87</f>
        <v>0</v>
      </c>
      <c r="Q112" s="162">
        <f t="shared" si="281"/>
        <v>5160.0127799999991</v>
      </c>
      <c r="S112" s="107" t="s">
        <v>389</v>
      </c>
      <c r="T112" s="160">
        <f>TripMode_input!R87*Index!$B$2</f>
        <v>0</v>
      </c>
      <c r="U112" s="160">
        <f>TripMode_input!S87*Index!$B$2</f>
        <v>0</v>
      </c>
      <c r="V112" s="160">
        <f>TripMode_input!T87*Index!$B$2</f>
        <v>26940</v>
      </c>
      <c r="W112" s="160">
        <f>TripMode_input!U87*Index!$B$2</f>
        <v>3105</v>
      </c>
      <c r="X112" s="160">
        <f>TripMode_input!V87*Index!$B$2</f>
        <v>5930</v>
      </c>
      <c r="Y112" s="160">
        <f>TripMode_input!W87*Index!$B$2</f>
        <v>325</v>
      </c>
      <c r="Z112" s="160">
        <f>TripMode_input!X87*Index!$B$2</f>
        <v>0</v>
      </c>
      <c r="AA112" s="160">
        <f>TripMode_input!Y87*Index!$B$2</f>
        <v>0</v>
      </c>
      <c r="AB112" s="160">
        <f>TripMode_input!Z87*Index!$B$2</f>
        <v>0</v>
      </c>
      <c r="AC112" s="160">
        <f>TripMode_input!AA87*Index!$B$2</f>
        <v>70</v>
      </c>
      <c r="AD112" s="160">
        <f>TripMode_input!AB87*Index!$B$2</f>
        <v>0</v>
      </c>
      <c r="AE112" s="160">
        <f>TripMode_input!AC87*Index!$B$2</f>
        <v>0</v>
      </c>
      <c r="AF112" s="160">
        <f>TripMode_input!AD87*Index!$B$2</f>
        <v>955</v>
      </c>
      <c r="AG112" s="160">
        <f>TripMode_input!AE87*Index!$B$2</f>
        <v>0</v>
      </c>
      <c r="AH112" s="162">
        <f t="shared" si="282"/>
        <v>37325</v>
      </c>
      <c r="AJ112" s="107" t="s">
        <v>389</v>
      </c>
      <c r="AK112" s="166">
        <f t="shared" si="313"/>
        <v>0</v>
      </c>
      <c r="AL112" s="166">
        <f t="shared" si="283"/>
        <v>0</v>
      </c>
      <c r="AM112" s="166">
        <f t="shared" si="284"/>
        <v>0</v>
      </c>
      <c r="AN112" s="166">
        <f t="shared" si="285"/>
        <v>0.51206051264663222</v>
      </c>
      <c r="AO112" s="166">
        <f t="shared" si="286"/>
        <v>0</v>
      </c>
      <c r="AP112" s="166">
        <f t="shared" si="287"/>
        <v>2.0101796756993053E-2</v>
      </c>
      <c r="AQ112" s="166">
        <f t="shared" si="288"/>
        <v>0</v>
      </c>
      <c r="AR112" s="166">
        <f t="shared" si="289"/>
        <v>0</v>
      </c>
      <c r="AS112" s="166">
        <f t="shared" si="290"/>
        <v>0</v>
      </c>
      <c r="AT112" s="166">
        <f t="shared" si="291"/>
        <v>6.0143770892305689E-4</v>
      </c>
      <c r="AU112" s="166">
        <f t="shared" si="292"/>
        <v>0</v>
      </c>
      <c r="AV112" s="166">
        <f t="shared" si="293"/>
        <v>0</v>
      </c>
      <c r="AW112" s="166">
        <f t="shared" si="294"/>
        <v>0</v>
      </c>
      <c r="AX112" s="166">
        <f t="shared" si="295"/>
        <v>0</v>
      </c>
      <c r="AY112" s="168">
        <f t="shared" si="296"/>
        <v>1.3469800576946401E-3</v>
      </c>
      <c r="BA112" s="107" t="s">
        <v>389</v>
      </c>
      <c r="BB112" s="166">
        <f t="shared" si="314"/>
        <v>0</v>
      </c>
      <c r="BC112" s="166">
        <f t="shared" si="297"/>
        <v>0</v>
      </c>
      <c r="BD112" s="166">
        <f t="shared" si="298"/>
        <v>2.1628651942484162E-2</v>
      </c>
      <c r="BE112" s="166">
        <f t="shared" si="299"/>
        <v>0.15146341463414634</v>
      </c>
      <c r="BF112" s="166">
        <f t="shared" si="300"/>
        <v>6.548108722897952E-3</v>
      </c>
      <c r="BG112" s="166">
        <f t="shared" si="301"/>
        <v>4.2317708333333336E-2</v>
      </c>
      <c r="BH112" s="166">
        <f t="shared" si="302"/>
        <v>0</v>
      </c>
      <c r="BI112" s="166">
        <f t="shared" si="303"/>
        <v>0</v>
      </c>
      <c r="BJ112" s="166" t="str">
        <f t="shared" si="304"/>
        <v/>
      </c>
      <c r="BK112" s="166">
        <f t="shared" si="305"/>
        <v>1.0263177186423283E-3</v>
      </c>
      <c r="BL112" s="166">
        <f t="shared" si="306"/>
        <v>0</v>
      </c>
      <c r="BM112" s="166">
        <f t="shared" si="307"/>
        <v>0</v>
      </c>
      <c r="BN112" s="166">
        <f t="shared" si="308"/>
        <v>4.8038229376257548E-2</v>
      </c>
      <c r="BO112" s="166" t="str">
        <f t="shared" si="309"/>
        <v/>
      </c>
      <c r="BP112" s="168">
        <f t="shared" si="310"/>
        <v>6.1088679649818249E-3</v>
      </c>
      <c r="BR112" s="107" t="s">
        <v>389</v>
      </c>
      <c r="BS112" s="166" t="str">
        <f t="shared" si="311"/>
        <v/>
      </c>
      <c r="BT112" s="166" t="str">
        <f t="shared" si="311"/>
        <v/>
      </c>
      <c r="BU112" s="166" t="str">
        <f t="shared" si="311"/>
        <v/>
      </c>
      <c r="BV112" s="166">
        <f t="shared" si="311"/>
        <v>-0.70420797758590348</v>
      </c>
      <c r="BW112" s="166"/>
      <c r="BX112" s="166"/>
      <c r="BY112" s="166"/>
      <c r="BZ112" s="166"/>
      <c r="CA112" s="166"/>
      <c r="CB112" s="166">
        <f t="shared" si="315"/>
        <v>0.70644058963324352</v>
      </c>
      <c r="CC112" s="166" t="str">
        <f t="shared" si="315"/>
        <v/>
      </c>
      <c r="CD112" s="166" t="str">
        <f t="shared" si="315"/>
        <v/>
      </c>
      <c r="CE112" s="166" t="str">
        <f t="shared" si="315"/>
        <v/>
      </c>
      <c r="CF112" s="166" t="str">
        <f t="shared" si="315"/>
        <v/>
      </c>
      <c r="CG112" s="168">
        <f t="shared" si="315"/>
        <v>3.5352326711036604</v>
      </c>
    </row>
    <row r="113" spans="2:85" x14ac:dyDescent="0.25">
      <c r="B113" s="107" t="s">
        <v>390</v>
      </c>
      <c r="C113" s="160">
        <f>TripMode_input!B88</f>
        <v>0</v>
      </c>
      <c r="D113" s="160">
        <f>TripMode_input!C88</f>
        <v>0</v>
      </c>
      <c r="E113" s="160">
        <f>TripMode_input!D88</f>
        <v>0</v>
      </c>
      <c r="F113" s="160">
        <f>TripMode_input!E88</f>
        <v>0</v>
      </c>
      <c r="G113" s="160">
        <f>TripMode_input!F88</f>
        <v>413616.87102000002</v>
      </c>
      <c r="H113" s="160">
        <f>TripMode_input!G88</f>
        <v>2679.2465200000001</v>
      </c>
      <c r="I113" s="160">
        <f>TripMode_input!H88</f>
        <v>0</v>
      </c>
      <c r="J113" s="160">
        <f>TripMode_input!I88</f>
        <v>0</v>
      </c>
      <c r="K113" s="160">
        <f>TripMode_input!J88</f>
        <v>0</v>
      </c>
      <c r="L113" s="160">
        <f>TripMode_input!K88</f>
        <v>2154.82692</v>
      </c>
      <c r="M113" s="160">
        <f>TripMode_input!L88</f>
        <v>1331.2198699999999</v>
      </c>
      <c r="N113" s="160">
        <f>TripMode_input!M88</f>
        <v>0</v>
      </c>
      <c r="O113" s="160">
        <f>TripMode_input!N88</f>
        <v>0</v>
      </c>
      <c r="P113" s="160">
        <f>TripMode_input!O88</f>
        <v>594.66646000000003</v>
      </c>
      <c r="Q113" s="162">
        <f t="shared" si="281"/>
        <v>420376.83078999998</v>
      </c>
      <c r="S113" s="107" t="s">
        <v>390</v>
      </c>
      <c r="T113" s="160">
        <f>TripMode_input!R88*Index!$B$2</f>
        <v>0</v>
      </c>
      <c r="U113" s="160">
        <f>TripMode_input!S88*Index!$B$2</f>
        <v>0</v>
      </c>
      <c r="V113" s="160">
        <f>TripMode_input!T88*Index!$B$2</f>
        <v>0</v>
      </c>
      <c r="W113" s="160">
        <f>TripMode_input!U88*Index!$B$2</f>
        <v>0</v>
      </c>
      <c r="X113" s="160">
        <f>TripMode_input!V88*Index!$B$2</f>
        <v>619475</v>
      </c>
      <c r="Y113" s="160">
        <f>TripMode_input!W88*Index!$B$2</f>
        <v>4280</v>
      </c>
      <c r="Z113" s="160">
        <f>TripMode_input!X88*Index!$B$2</f>
        <v>0</v>
      </c>
      <c r="AA113" s="160">
        <f>TripMode_input!Y88*Index!$B$2</f>
        <v>0</v>
      </c>
      <c r="AB113" s="160">
        <f>TripMode_input!Z88*Index!$B$2</f>
        <v>0</v>
      </c>
      <c r="AC113" s="160">
        <f>TripMode_input!AA88*Index!$B$2</f>
        <v>1040</v>
      </c>
      <c r="AD113" s="160">
        <f>TripMode_input!AB88*Index!$B$2</f>
        <v>0</v>
      </c>
      <c r="AE113" s="160">
        <f>TripMode_input!AC88*Index!$B$2</f>
        <v>0</v>
      </c>
      <c r="AF113" s="160">
        <f>TripMode_input!AD88*Index!$B$2</f>
        <v>270</v>
      </c>
      <c r="AG113" s="160">
        <f>TripMode_input!AE88*Index!$B$2</f>
        <v>0</v>
      </c>
      <c r="AH113" s="162">
        <f t="shared" si="282"/>
        <v>625065</v>
      </c>
      <c r="AJ113" s="107" t="s">
        <v>390</v>
      </c>
      <c r="AK113" s="166">
        <f t="shared" si="313"/>
        <v>0</v>
      </c>
      <c r="AL113" s="166">
        <f t="shared" si="283"/>
        <v>0</v>
      </c>
      <c r="AM113" s="166">
        <f t="shared" si="284"/>
        <v>0</v>
      </c>
      <c r="AN113" s="166">
        <f t="shared" si="285"/>
        <v>0</v>
      </c>
      <c r="AO113" s="166">
        <f t="shared" si="286"/>
        <v>0.72232341793089649</v>
      </c>
      <c r="AP113" s="166">
        <f t="shared" si="287"/>
        <v>0.27925811092699832</v>
      </c>
      <c r="AQ113" s="166">
        <f t="shared" si="288"/>
        <v>0</v>
      </c>
      <c r="AR113" s="166">
        <f t="shared" si="289"/>
        <v>0</v>
      </c>
      <c r="AS113" s="166">
        <f t="shared" si="290"/>
        <v>0</v>
      </c>
      <c r="AT113" s="166">
        <f t="shared" si="291"/>
        <v>8.6851062884240757E-2</v>
      </c>
      <c r="AU113" s="166">
        <f t="shared" si="292"/>
        <v>6.1940524670019509E-2</v>
      </c>
      <c r="AV113" s="166">
        <f t="shared" si="293"/>
        <v>0</v>
      </c>
      <c r="AW113" s="166">
        <f t="shared" si="294"/>
        <v>0</v>
      </c>
      <c r="AX113" s="166">
        <f t="shared" si="295"/>
        <v>4.4949691787326919E-2</v>
      </c>
      <c r="AY113" s="168">
        <f t="shared" si="296"/>
        <v>0.1097360087916302</v>
      </c>
      <c r="BA113" s="107" t="s">
        <v>390</v>
      </c>
      <c r="BB113" s="166">
        <f t="shared" si="314"/>
        <v>0</v>
      </c>
      <c r="BC113" s="166">
        <f t="shared" si="297"/>
        <v>0</v>
      </c>
      <c r="BD113" s="166">
        <f t="shared" si="298"/>
        <v>0</v>
      </c>
      <c r="BE113" s="166">
        <f t="shared" si="299"/>
        <v>0</v>
      </c>
      <c r="BF113" s="166">
        <f t="shared" si="300"/>
        <v>0.68404547236377888</v>
      </c>
      <c r="BG113" s="166">
        <f t="shared" si="301"/>
        <v>0.55729166666666663</v>
      </c>
      <c r="BH113" s="166">
        <f t="shared" si="302"/>
        <v>0</v>
      </c>
      <c r="BI113" s="166">
        <f t="shared" si="303"/>
        <v>0</v>
      </c>
      <c r="BJ113" s="166" t="str">
        <f t="shared" si="304"/>
        <v/>
      </c>
      <c r="BK113" s="166">
        <f t="shared" si="305"/>
        <v>1.5248148962686021E-2</v>
      </c>
      <c r="BL113" s="166">
        <f t="shared" si="306"/>
        <v>0</v>
      </c>
      <c r="BM113" s="166">
        <f t="shared" si="307"/>
        <v>0</v>
      </c>
      <c r="BN113" s="166">
        <f t="shared" si="308"/>
        <v>1.358148893360161E-2</v>
      </c>
      <c r="BO113" s="166" t="str">
        <f t="shared" si="309"/>
        <v/>
      </c>
      <c r="BP113" s="168">
        <f t="shared" si="310"/>
        <v>0.10230246629688852</v>
      </c>
      <c r="BR113" s="107" t="s">
        <v>390</v>
      </c>
      <c r="BS113" s="166"/>
      <c r="BT113" s="166"/>
      <c r="BU113" s="166"/>
      <c r="BV113" s="166"/>
      <c r="BW113" s="166"/>
      <c r="BX113" s="166"/>
      <c r="BY113" s="166"/>
      <c r="BZ113" s="166"/>
      <c r="CA113" s="166"/>
      <c r="CB113" s="166"/>
      <c r="CC113" s="166"/>
      <c r="CD113" s="166"/>
      <c r="CE113" s="166"/>
      <c r="CF113" s="166"/>
      <c r="CG113" s="168"/>
    </row>
    <row r="114" spans="2:85" x14ac:dyDescent="0.25">
      <c r="B114" s="107" t="s">
        <v>391</v>
      </c>
      <c r="C114" s="160">
        <f>TripMode_input!B89</f>
        <v>0</v>
      </c>
      <c r="D114" s="160">
        <f>TripMode_input!C89</f>
        <v>0</v>
      </c>
      <c r="E114" s="160">
        <f>TripMode_input!D89</f>
        <v>0</v>
      </c>
      <c r="F114" s="160">
        <f>TripMode_input!E89</f>
        <v>0</v>
      </c>
      <c r="G114" s="160">
        <f>TripMode_input!F89</f>
        <v>0</v>
      </c>
      <c r="H114" s="160">
        <f>TripMode_input!G89</f>
        <v>5387.8463499999998</v>
      </c>
      <c r="I114" s="160">
        <f>TripMode_input!H89</f>
        <v>0</v>
      </c>
      <c r="J114" s="160">
        <f>TripMode_input!I89</f>
        <v>0</v>
      </c>
      <c r="K114" s="160">
        <f>TripMode_input!J89</f>
        <v>0</v>
      </c>
      <c r="L114" s="160">
        <f>TripMode_input!K89</f>
        <v>0</v>
      </c>
      <c r="M114" s="160">
        <f>TripMode_input!L89</f>
        <v>0</v>
      </c>
      <c r="N114" s="160">
        <f>TripMode_input!M89</f>
        <v>0</v>
      </c>
      <c r="O114" s="160">
        <f>TripMode_input!N89</f>
        <v>0</v>
      </c>
      <c r="P114" s="160">
        <f>TripMode_input!O89</f>
        <v>0</v>
      </c>
      <c r="Q114" s="162">
        <f t="shared" si="281"/>
        <v>5387.8463499999998</v>
      </c>
      <c r="S114" s="107" t="s">
        <v>391</v>
      </c>
      <c r="T114" s="160">
        <f>TripMode_input!R89*Index!$B$2</f>
        <v>0</v>
      </c>
      <c r="U114" s="160">
        <f>TripMode_input!S89*Index!$B$2</f>
        <v>0</v>
      </c>
      <c r="V114" s="160">
        <f>TripMode_input!T89*Index!$B$2</f>
        <v>0</v>
      </c>
      <c r="W114" s="160">
        <f>TripMode_input!U89*Index!$B$2</f>
        <v>0</v>
      </c>
      <c r="X114" s="160">
        <f>TripMode_input!V89*Index!$B$2</f>
        <v>19075</v>
      </c>
      <c r="Y114" s="160">
        <f>TripMode_input!W89*Index!$B$2</f>
        <v>1125</v>
      </c>
      <c r="Z114" s="160">
        <f>TripMode_input!X89*Index!$B$2</f>
        <v>0</v>
      </c>
      <c r="AA114" s="160">
        <f>TripMode_input!Y89*Index!$B$2</f>
        <v>0</v>
      </c>
      <c r="AB114" s="160">
        <f>TripMode_input!Z89*Index!$B$2</f>
        <v>0</v>
      </c>
      <c r="AC114" s="160">
        <f>TripMode_input!AA89*Index!$B$2</f>
        <v>20</v>
      </c>
      <c r="AD114" s="160">
        <f>TripMode_input!AB89*Index!$B$2</f>
        <v>0</v>
      </c>
      <c r="AE114" s="160">
        <f>TripMode_input!AC89*Index!$B$2</f>
        <v>0</v>
      </c>
      <c r="AF114" s="160">
        <f>TripMode_input!AD89*Index!$B$2</f>
        <v>90</v>
      </c>
      <c r="AG114" s="160">
        <f>TripMode_input!AE89*Index!$B$2</f>
        <v>0</v>
      </c>
      <c r="AH114" s="162">
        <f t="shared" si="282"/>
        <v>20310</v>
      </c>
      <c r="AJ114" s="107" t="s">
        <v>391</v>
      </c>
      <c r="AK114" s="166">
        <f t="shared" si="313"/>
        <v>0</v>
      </c>
      <c r="AL114" s="166">
        <f t="shared" si="283"/>
        <v>0</v>
      </c>
      <c r="AM114" s="166">
        <f t="shared" si="284"/>
        <v>0</v>
      </c>
      <c r="AN114" s="166">
        <f t="shared" si="285"/>
        <v>0</v>
      </c>
      <c r="AO114" s="166">
        <f t="shared" si="286"/>
        <v>0</v>
      </c>
      <c r="AP114" s="166">
        <f t="shared" si="287"/>
        <v>0.56157572005204015</v>
      </c>
      <c r="AQ114" s="166">
        <f t="shared" si="288"/>
        <v>0</v>
      </c>
      <c r="AR114" s="166">
        <f t="shared" si="289"/>
        <v>0</v>
      </c>
      <c r="AS114" s="166">
        <f t="shared" si="290"/>
        <v>0</v>
      </c>
      <c r="AT114" s="166">
        <f t="shared" si="291"/>
        <v>0</v>
      </c>
      <c r="AU114" s="166">
        <f t="shared" si="292"/>
        <v>0</v>
      </c>
      <c r="AV114" s="166">
        <f t="shared" si="293"/>
        <v>0</v>
      </c>
      <c r="AW114" s="166">
        <f t="shared" si="294"/>
        <v>0</v>
      </c>
      <c r="AX114" s="166">
        <f t="shared" si="295"/>
        <v>0</v>
      </c>
      <c r="AY114" s="168">
        <f t="shared" si="296"/>
        <v>1.4064541885442496E-3</v>
      </c>
      <c r="BA114" s="107" t="s">
        <v>391</v>
      </c>
      <c r="BB114" s="166">
        <f t="shared" si="314"/>
        <v>0</v>
      </c>
      <c r="BC114" s="166">
        <f t="shared" si="297"/>
        <v>0</v>
      </c>
      <c r="BD114" s="166">
        <f t="shared" si="298"/>
        <v>0</v>
      </c>
      <c r="BE114" s="166">
        <f t="shared" si="299"/>
        <v>0</v>
      </c>
      <c r="BF114" s="166">
        <f t="shared" si="300"/>
        <v>2.1063267097686078E-2</v>
      </c>
      <c r="BG114" s="166">
        <f t="shared" si="301"/>
        <v>0.146484375</v>
      </c>
      <c r="BH114" s="166">
        <f t="shared" si="302"/>
        <v>0</v>
      </c>
      <c r="BI114" s="166">
        <f t="shared" si="303"/>
        <v>0</v>
      </c>
      <c r="BJ114" s="166" t="str">
        <f t="shared" si="304"/>
        <v/>
      </c>
      <c r="BK114" s="166">
        <f t="shared" si="305"/>
        <v>2.9323363389780805E-4</v>
      </c>
      <c r="BL114" s="166">
        <f t="shared" si="306"/>
        <v>0</v>
      </c>
      <c r="BM114" s="166">
        <f t="shared" si="307"/>
        <v>0</v>
      </c>
      <c r="BN114" s="166">
        <f t="shared" si="308"/>
        <v>4.5271629778672034E-3</v>
      </c>
      <c r="BO114" s="166" t="str">
        <f t="shared" si="309"/>
        <v/>
      </c>
      <c r="BP114" s="168">
        <f t="shared" si="310"/>
        <v>3.3240752409586299E-3</v>
      </c>
      <c r="BR114" s="107" t="s">
        <v>391</v>
      </c>
      <c r="BS114" s="166"/>
      <c r="BT114" s="166"/>
      <c r="BU114" s="166"/>
      <c r="BV114" s="166"/>
      <c r="BW114" s="166"/>
      <c r="BX114" s="166"/>
      <c r="BY114" s="166"/>
      <c r="BZ114" s="166"/>
      <c r="CA114" s="166"/>
      <c r="CB114" s="166"/>
      <c r="CC114" s="166"/>
      <c r="CD114" s="166"/>
      <c r="CE114" s="166"/>
      <c r="CF114" s="166"/>
      <c r="CG114" s="168"/>
    </row>
    <row r="115" spans="2:85" x14ac:dyDescent="0.25">
      <c r="B115" s="107" t="s">
        <v>392</v>
      </c>
      <c r="C115" s="160">
        <f>TripMode_input!B90</f>
        <v>21122.54261</v>
      </c>
      <c r="D115" s="160">
        <f>TripMode_input!C90</f>
        <v>186.09835000000001</v>
      </c>
      <c r="E115" s="160">
        <f>TripMode_input!D90</f>
        <v>28295.990659999999</v>
      </c>
      <c r="F115" s="160">
        <f>TripMode_input!E90</f>
        <v>0</v>
      </c>
      <c r="G115" s="160">
        <f>TripMode_input!F90</f>
        <v>11814.251689999999</v>
      </c>
      <c r="H115" s="160">
        <f>TripMode_input!G90</f>
        <v>636.92064000000005</v>
      </c>
      <c r="I115" s="160">
        <f>TripMode_input!H90</f>
        <v>412680.64807</v>
      </c>
      <c r="J115" s="160">
        <f>TripMode_input!I90</f>
        <v>989.64156000000003</v>
      </c>
      <c r="K115" s="160">
        <f>TripMode_input!J90</f>
        <v>17746.464929999998</v>
      </c>
      <c r="L115" s="160">
        <f>TripMode_input!K90</f>
        <v>2147.5040800000002</v>
      </c>
      <c r="M115" s="160">
        <f>TripMode_input!L90</f>
        <v>2788.14264</v>
      </c>
      <c r="N115" s="160">
        <f>TripMode_input!M90</f>
        <v>746.77871000000005</v>
      </c>
      <c r="O115" s="160">
        <f>TripMode_input!N90</f>
        <v>2720.89426</v>
      </c>
      <c r="P115" s="160">
        <f>TripMode_input!O90</f>
        <v>114.31437</v>
      </c>
      <c r="Q115" s="162">
        <f t="shared" si="281"/>
        <v>501990.1925699999</v>
      </c>
      <c r="S115" s="107" t="s">
        <v>392</v>
      </c>
      <c r="T115" s="160">
        <f>TripMode_input!R90*Index!$B$2</f>
        <v>0</v>
      </c>
      <c r="U115" s="160">
        <f>TripMode_input!S90*Index!$B$2</f>
        <v>0</v>
      </c>
      <c r="V115" s="160">
        <f>TripMode_input!T90*Index!$B$2</f>
        <v>18730</v>
      </c>
      <c r="W115" s="160">
        <f>TripMode_input!U90*Index!$B$2</f>
        <v>45</v>
      </c>
      <c r="X115" s="160">
        <f>TripMode_input!V90*Index!$B$2</f>
        <v>7850</v>
      </c>
      <c r="Y115" s="160">
        <f>TripMode_input!W90*Index!$B$2</f>
        <v>5</v>
      </c>
      <c r="Z115" s="160">
        <f>TripMode_input!X90*Index!$B$2</f>
        <v>906205</v>
      </c>
      <c r="AA115" s="160">
        <f>TripMode_input!Y90*Index!$B$2</f>
        <v>0</v>
      </c>
      <c r="AB115" s="160">
        <f>TripMode_input!Z90*Index!$B$2</f>
        <v>0</v>
      </c>
      <c r="AC115" s="160">
        <f>TripMode_input!AA90*Index!$B$2</f>
        <v>14985</v>
      </c>
      <c r="AD115" s="160">
        <f>TripMode_input!AB90*Index!$B$2</f>
        <v>0</v>
      </c>
      <c r="AE115" s="160">
        <f>TripMode_input!AC90*Index!$B$2</f>
        <v>0</v>
      </c>
      <c r="AF115" s="160">
        <f>TripMode_input!AD90*Index!$B$2</f>
        <v>2355</v>
      </c>
      <c r="AG115" s="160">
        <f>TripMode_input!AE90*Index!$B$2</f>
        <v>0</v>
      </c>
      <c r="AH115" s="162">
        <f t="shared" si="282"/>
        <v>950175</v>
      </c>
      <c r="AJ115" s="107" t="s">
        <v>392</v>
      </c>
      <c r="AK115" s="166">
        <f t="shared" si="313"/>
        <v>1.1739716909691902E-2</v>
      </c>
      <c r="AL115" s="166">
        <f t="shared" si="283"/>
        <v>5.3856144121463166E-3</v>
      </c>
      <c r="AM115" s="166">
        <f t="shared" si="284"/>
        <v>3.9963647859630747E-2</v>
      </c>
      <c r="AN115" s="166">
        <f t="shared" si="285"/>
        <v>0</v>
      </c>
      <c r="AO115" s="166">
        <f t="shared" si="286"/>
        <v>2.0631921130228825E-2</v>
      </c>
      <c r="AP115" s="166">
        <f t="shared" si="287"/>
        <v>6.638629682229269E-2</v>
      </c>
      <c r="AQ115" s="166">
        <f t="shared" si="288"/>
        <v>1</v>
      </c>
      <c r="AR115" s="166">
        <f t="shared" si="289"/>
        <v>1.1275019746508725E-2</v>
      </c>
      <c r="AS115" s="166">
        <f t="shared" si="290"/>
        <v>0.16334144359511971</v>
      </c>
      <c r="AT115" s="166">
        <f t="shared" si="291"/>
        <v>8.6555913222136474E-2</v>
      </c>
      <c r="AU115" s="166">
        <f t="shared" si="292"/>
        <v>0.12972989801936577</v>
      </c>
      <c r="AV115" s="166">
        <f t="shared" si="293"/>
        <v>5.1563195826084728E-2</v>
      </c>
      <c r="AW115" s="166">
        <f t="shared" si="294"/>
        <v>0.19483514520626269</v>
      </c>
      <c r="AX115" s="166">
        <f t="shared" si="295"/>
        <v>8.6408029441620952E-3</v>
      </c>
      <c r="AY115" s="168">
        <f t="shared" si="296"/>
        <v>0.13104052400236149</v>
      </c>
      <c r="BA115" s="107" t="s">
        <v>392</v>
      </c>
      <c r="BB115" s="166">
        <f t="shared" si="314"/>
        <v>0</v>
      </c>
      <c r="BC115" s="166">
        <f t="shared" si="297"/>
        <v>0</v>
      </c>
      <c r="BD115" s="166">
        <f t="shared" si="298"/>
        <v>1.5037292163427186E-2</v>
      </c>
      <c r="BE115" s="166">
        <f t="shared" si="299"/>
        <v>2.1951219512195124E-3</v>
      </c>
      <c r="BF115" s="166">
        <f t="shared" si="300"/>
        <v>8.6682383599913874E-3</v>
      </c>
      <c r="BG115" s="166">
        <f t="shared" si="301"/>
        <v>6.5104166666666663E-4</v>
      </c>
      <c r="BH115" s="166">
        <f t="shared" si="302"/>
        <v>1</v>
      </c>
      <c r="BI115" s="166">
        <f t="shared" si="303"/>
        <v>0</v>
      </c>
      <c r="BJ115" s="166" t="str">
        <f t="shared" si="304"/>
        <v/>
      </c>
      <c r="BK115" s="166">
        <f t="shared" si="305"/>
        <v>0.21970530019793269</v>
      </c>
      <c r="BL115" s="166">
        <f t="shared" si="306"/>
        <v>0</v>
      </c>
      <c r="BM115" s="166">
        <f t="shared" si="307"/>
        <v>0</v>
      </c>
      <c r="BN115" s="166">
        <f t="shared" si="308"/>
        <v>0.11846076458752515</v>
      </c>
      <c r="BO115" s="166" t="str">
        <f t="shared" si="309"/>
        <v/>
      </c>
      <c r="BP115" s="168">
        <f t="shared" si="310"/>
        <v>0.15551222019093383</v>
      </c>
      <c r="BR115" s="107" t="s">
        <v>392</v>
      </c>
      <c r="BS115" s="166"/>
      <c r="BT115" s="166"/>
      <c r="BU115" s="166"/>
      <c r="BV115" s="166"/>
      <c r="BW115" s="166"/>
      <c r="BX115" s="166"/>
      <c r="BY115" s="166"/>
      <c r="BZ115" s="166"/>
      <c r="CA115" s="166"/>
      <c r="CB115" s="166"/>
      <c r="CC115" s="166"/>
      <c r="CD115" s="166"/>
      <c r="CE115" s="166"/>
      <c r="CF115" s="166"/>
      <c r="CG115" s="168"/>
    </row>
    <row r="116" spans="2:85" x14ac:dyDescent="0.25">
      <c r="B116" s="107" t="s">
        <v>393</v>
      </c>
      <c r="C116" s="160">
        <f>TripMode_input!B91</f>
        <v>514.23510999999996</v>
      </c>
      <c r="D116" s="160">
        <f>TripMode_input!C91</f>
        <v>0</v>
      </c>
      <c r="E116" s="160">
        <f>TripMode_input!D91</f>
        <v>3797.8284100000001</v>
      </c>
      <c r="F116" s="160">
        <f>TripMode_input!E91</f>
        <v>0</v>
      </c>
      <c r="G116" s="160">
        <f>TripMode_input!F91</f>
        <v>2282.4951799999999</v>
      </c>
      <c r="H116" s="160">
        <f>TripMode_input!G91</f>
        <v>0</v>
      </c>
      <c r="I116" s="160">
        <f>TripMode_input!H91</f>
        <v>0</v>
      </c>
      <c r="J116" s="160">
        <f>TripMode_input!I91</f>
        <v>86783.292079999999</v>
      </c>
      <c r="K116" s="160">
        <f>TripMode_input!J91</f>
        <v>1826.00136</v>
      </c>
      <c r="L116" s="160">
        <f>TripMode_input!K91</f>
        <v>0</v>
      </c>
      <c r="M116" s="160">
        <f>TripMode_input!L91</f>
        <v>0</v>
      </c>
      <c r="N116" s="160">
        <f>TripMode_input!M91</f>
        <v>0</v>
      </c>
      <c r="O116" s="160">
        <f>TripMode_input!N91</f>
        <v>0</v>
      </c>
      <c r="P116" s="160">
        <f>TripMode_input!O91</f>
        <v>0</v>
      </c>
      <c r="Q116" s="162">
        <f t="shared" si="281"/>
        <v>95203.852139999988</v>
      </c>
      <c r="S116" s="107" t="s">
        <v>393</v>
      </c>
      <c r="T116" s="160">
        <f>TripMode_input!R91*Index!$B$2</f>
        <v>0</v>
      </c>
      <c r="U116" s="160">
        <f>TripMode_input!S91*Index!$B$2</f>
        <v>0</v>
      </c>
      <c r="V116" s="160">
        <f>TripMode_input!T91*Index!$B$2</f>
        <v>0</v>
      </c>
      <c r="W116" s="160">
        <f>TripMode_input!U91*Index!$B$2</f>
        <v>0</v>
      </c>
      <c r="X116" s="160">
        <f>TripMode_input!V91*Index!$B$2</f>
        <v>0</v>
      </c>
      <c r="Y116" s="160">
        <f>TripMode_input!W91*Index!$B$2</f>
        <v>0</v>
      </c>
      <c r="Z116" s="160">
        <f>TripMode_input!X91*Index!$B$2</f>
        <v>0</v>
      </c>
      <c r="AA116" s="160">
        <f>TripMode_input!Y91*Index!$B$2</f>
        <v>162330</v>
      </c>
      <c r="AB116" s="160">
        <f>TripMode_input!Z91*Index!$B$2</f>
        <v>0</v>
      </c>
      <c r="AC116" s="160">
        <f>TripMode_input!AA91*Index!$B$2</f>
        <v>0</v>
      </c>
      <c r="AD116" s="160">
        <f>TripMode_input!AB91*Index!$B$2</f>
        <v>0</v>
      </c>
      <c r="AE116" s="160">
        <f>TripMode_input!AC91*Index!$B$2</f>
        <v>0</v>
      </c>
      <c r="AF116" s="160">
        <f>TripMode_input!AD91*Index!$B$2</f>
        <v>0</v>
      </c>
      <c r="AG116" s="160">
        <f>TripMode_input!AE91*Index!$B$2</f>
        <v>0</v>
      </c>
      <c r="AH116" s="162">
        <f t="shared" si="282"/>
        <v>162330</v>
      </c>
      <c r="AJ116" s="107" t="s">
        <v>393</v>
      </c>
      <c r="AK116" s="166">
        <f t="shared" si="313"/>
        <v>2.8580719319113611E-4</v>
      </c>
      <c r="AL116" s="166">
        <f t="shared" si="283"/>
        <v>0</v>
      </c>
      <c r="AM116" s="166">
        <f t="shared" si="284"/>
        <v>5.3638368429027939E-3</v>
      </c>
      <c r="AN116" s="166">
        <f t="shared" si="285"/>
        <v>0</v>
      </c>
      <c r="AO116" s="166">
        <f t="shared" si="286"/>
        <v>3.9860552974123617E-3</v>
      </c>
      <c r="AP116" s="166">
        <f t="shared" si="287"/>
        <v>0</v>
      </c>
      <c r="AQ116" s="166">
        <f t="shared" si="288"/>
        <v>0</v>
      </c>
      <c r="AR116" s="166">
        <f t="shared" si="289"/>
        <v>0.9887249802534912</v>
      </c>
      <c r="AS116" s="166">
        <f t="shared" si="290"/>
        <v>1.680682318002653E-2</v>
      </c>
      <c r="AT116" s="166">
        <f t="shared" si="291"/>
        <v>0</v>
      </c>
      <c r="AU116" s="166">
        <f t="shared" si="292"/>
        <v>0</v>
      </c>
      <c r="AV116" s="166">
        <f t="shared" si="293"/>
        <v>0</v>
      </c>
      <c r="AW116" s="166">
        <f t="shared" si="294"/>
        <v>0</v>
      </c>
      <c r="AX116" s="166">
        <f t="shared" si="295"/>
        <v>0</v>
      </c>
      <c r="AY116" s="168">
        <f t="shared" si="296"/>
        <v>2.4852203999442261E-2</v>
      </c>
      <c r="BA116" s="107" t="s">
        <v>393</v>
      </c>
      <c r="BB116" s="166">
        <f t="shared" si="314"/>
        <v>0</v>
      </c>
      <c r="BC116" s="166">
        <f t="shared" si="297"/>
        <v>0</v>
      </c>
      <c r="BD116" s="166">
        <f t="shared" si="298"/>
        <v>0</v>
      </c>
      <c r="BE116" s="166">
        <f t="shared" si="299"/>
        <v>0</v>
      </c>
      <c r="BF116" s="166">
        <f t="shared" si="300"/>
        <v>0</v>
      </c>
      <c r="BG116" s="166">
        <f t="shared" si="301"/>
        <v>0</v>
      </c>
      <c r="BH116" s="166">
        <f t="shared" si="302"/>
        <v>0</v>
      </c>
      <c r="BI116" s="166">
        <f t="shared" si="303"/>
        <v>1</v>
      </c>
      <c r="BJ116" s="166" t="str">
        <f t="shared" si="304"/>
        <v/>
      </c>
      <c r="BK116" s="166">
        <f t="shared" si="305"/>
        <v>0</v>
      </c>
      <c r="BL116" s="166">
        <f t="shared" si="306"/>
        <v>0</v>
      </c>
      <c r="BM116" s="166">
        <f t="shared" si="307"/>
        <v>0</v>
      </c>
      <c r="BN116" s="166">
        <f t="shared" si="308"/>
        <v>0</v>
      </c>
      <c r="BO116" s="166" t="str">
        <f t="shared" si="309"/>
        <v/>
      </c>
      <c r="BP116" s="168">
        <f t="shared" si="310"/>
        <v>2.6568051888961813E-2</v>
      </c>
      <c r="BR116" s="107" t="s">
        <v>393</v>
      </c>
      <c r="BS116" s="166"/>
      <c r="BT116" s="166"/>
      <c r="BU116" s="166"/>
      <c r="BV116" s="166"/>
      <c r="BW116" s="166"/>
      <c r="BX116" s="166"/>
      <c r="BY116" s="166"/>
      <c r="BZ116" s="166"/>
      <c r="CA116" s="166"/>
      <c r="CB116" s="166"/>
      <c r="CC116" s="166"/>
      <c r="CD116" s="166"/>
      <c r="CE116" s="166"/>
      <c r="CF116" s="166"/>
      <c r="CG116" s="168"/>
    </row>
    <row r="117" spans="2:85" x14ac:dyDescent="0.25">
      <c r="B117" s="107" t="s">
        <v>394</v>
      </c>
      <c r="C117" s="160">
        <f>TripMode_input!B92</f>
        <v>0</v>
      </c>
      <c r="D117" s="160">
        <f>TripMode_input!C92</f>
        <v>0</v>
      </c>
      <c r="E117" s="160">
        <f>TripMode_input!D92</f>
        <v>0</v>
      </c>
      <c r="F117" s="160">
        <f>TripMode_input!E92</f>
        <v>0</v>
      </c>
      <c r="G117" s="160">
        <f>TripMode_input!F92</f>
        <v>0</v>
      </c>
      <c r="H117" s="160">
        <f>TripMode_input!G92</f>
        <v>0</v>
      </c>
      <c r="I117" s="160">
        <f>TripMode_input!H92</f>
        <v>0</v>
      </c>
      <c r="J117" s="160">
        <f>TripMode_input!I92</f>
        <v>0</v>
      </c>
      <c r="K117" s="160">
        <f>TripMode_input!J92</f>
        <v>82623.688869999998</v>
      </c>
      <c r="L117" s="160">
        <f>TripMode_input!K92</f>
        <v>1470.5625299999999</v>
      </c>
      <c r="M117" s="160">
        <f>TripMode_input!L92</f>
        <v>4573.8177699999997</v>
      </c>
      <c r="N117" s="160">
        <f>TripMode_input!M92</f>
        <v>1010.3799</v>
      </c>
      <c r="O117" s="160">
        <f>TripMode_input!N92</f>
        <v>0</v>
      </c>
      <c r="P117" s="160">
        <f>TripMode_input!O92</f>
        <v>0</v>
      </c>
      <c r="Q117" s="162">
        <f t="shared" si="281"/>
        <v>89678.449069999988</v>
      </c>
      <c r="S117" s="107" t="s">
        <v>394</v>
      </c>
      <c r="T117" s="160">
        <f>TripMode_input!R92*Index!$B$2</f>
        <v>0</v>
      </c>
      <c r="U117" s="160">
        <f>TripMode_input!S92*Index!$B$2</f>
        <v>0</v>
      </c>
      <c r="V117" s="160">
        <f>TripMode_input!T92*Index!$B$2</f>
        <v>0</v>
      </c>
      <c r="W117" s="160">
        <f>TripMode_input!U92*Index!$B$2</f>
        <v>0</v>
      </c>
      <c r="X117" s="160">
        <f>TripMode_input!V92*Index!$B$2</f>
        <v>0</v>
      </c>
      <c r="Y117" s="160">
        <f>TripMode_input!W92*Index!$B$2</f>
        <v>0</v>
      </c>
      <c r="Z117" s="160">
        <f>TripMode_input!X92*Index!$B$2</f>
        <v>0</v>
      </c>
      <c r="AA117" s="160">
        <f>TripMode_input!Y92*Index!$B$2</f>
        <v>0</v>
      </c>
      <c r="AB117" s="160">
        <f>TripMode_input!Z92*Index!$B$2</f>
        <v>0</v>
      </c>
      <c r="AC117" s="160">
        <f>TripMode_input!AA92*Index!$B$2</f>
        <v>0</v>
      </c>
      <c r="AD117" s="160">
        <f>TripMode_input!AB92*Index!$B$2</f>
        <v>0</v>
      </c>
      <c r="AE117" s="160">
        <f>TripMode_input!AC92*Index!$B$2</f>
        <v>0</v>
      </c>
      <c r="AF117" s="160">
        <f>TripMode_input!AD92*Index!$B$2</f>
        <v>0</v>
      </c>
      <c r="AG117" s="160">
        <f>TripMode_input!AE92*Index!$B$2</f>
        <v>0</v>
      </c>
      <c r="AH117" s="162">
        <f t="shared" si="282"/>
        <v>0</v>
      </c>
      <c r="AJ117" s="107" t="s">
        <v>394</v>
      </c>
      <c r="AK117" s="166">
        <f t="shared" si="313"/>
        <v>0</v>
      </c>
      <c r="AL117" s="166">
        <f t="shared" si="283"/>
        <v>0</v>
      </c>
      <c r="AM117" s="166">
        <f t="shared" si="284"/>
        <v>0</v>
      </c>
      <c r="AN117" s="166">
        <f t="shared" si="285"/>
        <v>0</v>
      </c>
      <c r="AO117" s="166">
        <f t="shared" si="286"/>
        <v>0</v>
      </c>
      <c r="AP117" s="166">
        <f t="shared" si="287"/>
        <v>0</v>
      </c>
      <c r="AQ117" s="166">
        <f t="shared" si="288"/>
        <v>0</v>
      </c>
      <c r="AR117" s="166">
        <f t="shared" si="289"/>
        <v>0</v>
      </c>
      <c r="AS117" s="166">
        <f t="shared" si="290"/>
        <v>0.76048230835907815</v>
      </c>
      <c r="AT117" s="166">
        <f t="shared" si="291"/>
        <v>5.9271544077534627E-2</v>
      </c>
      <c r="AU117" s="166">
        <f t="shared" si="292"/>
        <v>0.21281583816718316</v>
      </c>
      <c r="AV117" s="166">
        <f t="shared" si="293"/>
        <v>6.9764196467839726E-2</v>
      </c>
      <c r="AW117" s="166">
        <f t="shared" si="294"/>
        <v>0</v>
      </c>
      <c r="AX117" s="166">
        <f t="shared" si="295"/>
        <v>0</v>
      </c>
      <c r="AY117" s="168">
        <f t="shared" si="296"/>
        <v>2.340984172955371E-2</v>
      </c>
      <c r="BA117" s="107" t="s">
        <v>394</v>
      </c>
      <c r="BB117" s="166">
        <f t="shared" si="314"/>
        <v>0</v>
      </c>
      <c r="BC117" s="166">
        <f t="shared" si="297"/>
        <v>0</v>
      </c>
      <c r="BD117" s="166">
        <f t="shared" si="298"/>
        <v>0</v>
      </c>
      <c r="BE117" s="166">
        <f t="shared" si="299"/>
        <v>0</v>
      </c>
      <c r="BF117" s="166">
        <f t="shared" si="300"/>
        <v>0</v>
      </c>
      <c r="BG117" s="166">
        <f t="shared" si="301"/>
        <v>0</v>
      </c>
      <c r="BH117" s="166">
        <f t="shared" si="302"/>
        <v>0</v>
      </c>
      <c r="BI117" s="166">
        <f t="shared" si="303"/>
        <v>0</v>
      </c>
      <c r="BJ117" s="166" t="str">
        <f t="shared" si="304"/>
        <v/>
      </c>
      <c r="BK117" s="166">
        <f t="shared" si="305"/>
        <v>0</v>
      </c>
      <c r="BL117" s="166">
        <f t="shared" si="306"/>
        <v>0</v>
      </c>
      <c r="BM117" s="166">
        <f t="shared" si="307"/>
        <v>0</v>
      </c>
      <c r="BN117" s="166">
        <f t="shared" si="308"/>
        <v>0</v>
      </c>
      <c r="BO117" s="166" t="str">
        <f t="shared" si="309"/>
        <v/>
      </c>
      <c r="BP117" s="168">
        <f t="shared" si="310"/>
        <v>0</v>
      </c>
      <c r="BR117" s="107" t="s">
        <v>394</v>
      </c>
      <c r="BS117" s="166"/>
      <c r="BT117" s="166"/>
      <c r="BU117" s="166"/>
      <c r="BV117" s="166"/>
      <c r="BW117" s="166"/>
      <c r="BX117" s="166"/>
      <c r="BY117" s="166"/>
      <c r="BZ117" s="166"/>
      <c r="CA117" s="166"/>
      <c r="CB117" s="166"/>
      <c r="CC117" s="166"/>
      <c r="CD117" s="166"/>
      <c r="CE117" s="166"/>
      <c r="CF117" s="166"/>
      <c r="CG117" s="168"/>
    </row>
    <row r="118" spans="2:85" x14ac:dyDescent="0.25">
      <c r="B118" s="107" t="s">
        <v>395</v>
      </c>
      <c r="C118" s="160">
        <f>TripMode_input!B93</f>
        <v>0</v>
      </c>
      <c r="D118" s="160">
        <f>TripMode_input!C93</f>
        <v>0</v>
      </c>
      <c r="E118" s="160">
        <f>TripMode_input!D93</f>
        <v>0</v>
      </c>
      <c r="F118" s="160">
        <f>TripMode_input!E93</f>
        <v>0</v>
      </c>
      <c r="G118" s="160">
        <f>TripMode_input!F93</f>
        <v>0</v>
      </c>
      <c r="H118" s="160">
        <f>TripMode_input!G93</f>
        <v>0</v>
      </c>
      <c r="I118" s="160">
        <f>TripMode_input!H93</f>
        <v>0</v>
      </c>
      <c r="J118" s="160">
        <f>TripMode_input!I93</f>
        <v>0</v>
      </c>
      <c r="K118" s="160">
        <f>TripMode_input!J93</f>
        <v>0</v>
      </c>
      <c r="L118" s="160">
        <f>TripMode_input!K93</f>
        <v>9291.9097999999994</v>
      </c>
      <c r="M118" s="160">
        <f>TripMode_input!L93</f>
        <v>149.19650999999999</v>
      </c>
      <c r="N118" s="160">
        <f>TripMode_input!M93</f>
        <v>132.71929</v>
      </c>
      <c r="O118" s="160">
        <f>TripMode_input!N93</f>
        <v>0</v>
      </c>
      <c r="P118" s="160">
        <f>TripMode_input!O93</f>
        <v>0</v>
      </c>
      <c r="Q118" s="162">
        <f t="shared" si="281"/>
        <v>9573.8256000000001</v>
      </c>
      <c r="S118" s="107" t="s">
        <v>395</v>
      </c>
      <c r="T118" s="160">
        <f>TripMode_input!R93*Index!$B$2</f>
        <v>0</v>
      </c>
      <c r="U118" s="160">
        <f>TripMode_input!S93*Index!$B$2</f>
        <v>0</v>
      </c>
      <c r="V118" s="160">
        <f>TripMode_input!T93*Index!$B$2</f>
        <v>0</v>
      </c>
      <c r="W118" s="160">
        <f>TripMode_input!U93*Index!$B$2</f>
        <v>0</v>
      </c>
      <c r="X118" s="160">
        <f>TripMode_input!V93*Index!$B$2</f>
        <v>0</v>
      </c>
      <c r="Y118" s="160">
        <f>TripMode_input!W93*Index!$B$2</f>
        <v>0</v>
      </c>
      <c r="Z118" s="160">
        <f>TripMode_input!X93*Index!$B$2</f>
        <v>0</v>
      </c>
      <c r="AA118" s="160">
        <f>TripMode_input!Y93*Index!$B$2</f>
        <v>0</v>
      </c>
      <c r="AB118" s="160">
        <f>TripMode_input!Z93*Index!$B$2</f>
        <v>0</v>
      </c>
      <c r="AC118" s="160">
        <f>TripMode_input!AA93*Index!$B$2</f>
        <v>47920</v>
      </c>
      <c r="AD118" s="160">
        <f>TripMode_input!AB93*Index!$B$2</f>
        <v>0</v>
      </c>
      <c r="AE118" s="160">
        <f>TripMode_input!AC93*Index!$B$2</f>
        <v>0</v>
      </c>
      <c r="AF118" s="160">
        <f>TripMode_input!AD93*Index!$B$2</f>
        <v>0</v>
      </c>
      <c r="AG118" s="160">
        <f>TripMode_input!AE93*Index!$B$2</f>
        <v>0</v>
      </c>
      <c r="AH118" s="162">
        <f t="shared" si="282"/>
        <v>47920</v>
      </c>
      <c r="AJ118" s="107" t="s">
        <v>395</v>
      </c>
      <c r="AK118" s="166">
        <f t="shared" si="313"/>
        <v>0</v>
      </c>
      <c r="AL118" s="166">
        <f t="shared" si="283"/>
        <v>0</v>
      </c>
      <c r="AM118" s="166">
        <f t="shared" si="284"/>
        <v>0</v>
      </c>
      <c r="AN118" s="166">
        <f t="shared" si="285"/>
        <v>0</v>
      </c>
      <c r="AO118" s="166">
        <f t="shared" si="286"/>
        <v>0</v>
      </c>
      <c r="AP118" s="166">
        <f t="shared" si="287"/>
        <v>0</v>
      </c>
      <c r="AQ118" s="166">
        <f t="shared" si="288"/>
        <v>0</v>
      </c>
      <c r="AR118" s="166">
        <f t="shared" si="289"/>
        <v>0</v>
      </c>
      <c r="AS118" s="166">
        <f t="shared" si="290"/>
        <v>0</v>
      </c>
      <c r="AT118" s="166">
        <f t="shared" si="291"/>
        <v>0.37451371841711212</v>
      </c>
      <c r="AU118" s="166">
        <f t="shared" si="292"/>
        <v>6.9419863063911545E-3</v>
      </c>
      <c r="AV118" s="166">
        <f t="shared" si="293"/>
        <v>9.1639339050907445E-3</v>
      </c>
      <c r="AW118" s="166">
        <f t="shared" si="294"/>
        <v>0</v>
      </c>
      <c r="AX118" s="166">
        <f t="shared" si="295"/>
        <v>0</v>
      </c>
      <c r="AY118" s="168">
        <f t="shared" si="296"/>
        <v>2.4991705852027801E-3</v>
      </c>
      <c r="BA118" s="107" t="s">
        <v>395</v>
      </c>
      <c r="BB118" s="166">
        <f t="shared" si="314"/>
        <v>0</v>
      </c>
      <c r="BC118" s="166">
        <f t="shared" si="297"/>
        <v>0</v>
      </c>
      <c r="BD118" s="166">
        <f t="shared" si="298"/>
        <v>0</v>
      </c>
      <c r="BE118" s="166">
        <f t="shared" si="299"/>
        <v>0</v>
      </c>
      <c r="BF118" s="166">
        <f t="shared" si="300"/>
        <v>0</v>
      </c>
      <c r="BG118" s="166">
        <f t="shared" si="301"/>
        <v>0</v>
      </c>
      <c r="BH118" s="166">
        <f t="shared" si="302"/>
        <v>0</v>
      </c>
      <c r="BI118" s="166">
        <f t="shared" si="303"/>
        <v>0</v>
      </c>
      <c r="BJ118" s="166" t="str">
        <f t="shared" si="304"/>
        <v/>
      </c>
      <c r="BK118" s="166">
        <f t="shared" si="305"/>
        <v>0.70258778681914813</v>
      </c>
      <c r="BL118" s="166">
        <f t="shared" si="306"/>
        <v>0</v>
      </c>
      <c r="BM118" s="166">
        <f t="shared" si="307"/>
        <v>0</v>
      </c>
      <c r="BN118" s="166">
        <f t="shared" si="308"/>
        <v>0</v>
      </c>
      <c r="BO118" s="166" t="str">
        <f t="shared" si="309"/>
        <v/>
      </c>
      <c r="BP118" s="168">
        <f t="shared" si="310"/>
        <v>7.8429190323356743E-3</v>
      </c>
      <c r="BR118" s="107" t="s">
        <v>395</v>
      </c>
      <c r="BS118" s="166" t="str">
        <f t="shared" ref="BS118:BS123" si="316">IF(OR(ISNA(AK118),AK118=0,AK118=""),"",(BB118-AK118)/AK118)</f>
        <v/>
      </c>
      <c r="BT118" s="166" t="str">
        <f t="shared" ref="BT118:BT123" si="317">IF(OR(ISNA(AL118),AL118=0,AL118=""),"",(BC118-AL118)/AL118)</f>
        <v/>
      </c>
      <c r="BU118" s="166" t="str">
        <f t="shared" ref="BU118:BU123" si="318">IF(OR(ISNA(AM118),AM118=0,AM118=""),"",(BD118-AM118)/AM118)</f>
        <v/>
      </c>
      <c r="BV118" s="166" t="str">
        <f t="shared" ref="BV118:BV123" si="319">IF(OR(ISNA(AN118),AN118=0,AN118=""),"",(BE118-AN118)/AN118)</f>
        <v/>
      </c>
      <c r="BW118" s="166"/>
      <c r="BX118" s="166"/>
      <c r="BY118" s="166"/>
      <c r="BZ118" s="166"/>
      <c r="CA118" s="166"/>
      <c r="CB118" s="166">
        <f t="shared" ref="CB118:CB123" si="320">IF(OR(ISNA(AT118),AT118=0,AT118=""),"",(BK118-AT118)/AT118)</f>
        <v>0.87600013635988028</v>
      </c>
      <c r="CC118" s="166">
        <f t="shared" ref="CC118:CC123" si="321">IF(OR(ISNA(AU118),AU118=0,AU118=""),"",(BL118-AU118)/AU118)</f>
        <v>-1</v>
      </c>
      <c r="CD118" s="166">
        <f t="shared" ref="CD118:CD123" si="322">IF(OR(ISNA(AV118),AV118=0,AV118=""),"",(BM118-AV118)/AV118)</f>
        <v>-1</v>
      </c>
      <c r="CE118" s="166" t="str">
        <f t="shared" ref="CE118:CE123" si="323">IF(OR(ISNA(AW118),AW118=0,AW118=""),"",(BN118-AW118)/AW118)</f>
        <v/>
      </c>
      <c r="CF118" s="166" t="str">
        <f t="shared" ref="CF118:CF123" si="324">IF(OR(ISNA(AX118),AX118=0,AX118=""),"",(BO118-AX118)/AX118)</f>
        <v/>
      </c>
      <c r="CG118" s="168">
        <f t="shared" ref="CG118:CG123" si="325">IF(OR(ISNA(AY118),AY118=0,AY118=""),"",(BP118-AY118)/AY118)</f>
        <v>2.1382087636484037</v>
      </c>
    </row>
    <row r="119" spans="2:85" x14ac:dyDescent="0.25">
      <c r="B119" s="107" t="s">
        <v>396</v>
      </c>
      <c r="C119" s="160">
        <f>TripMode_input!B94</f>
        <v>0</v>
      </c>
      <c r="D119" s="160">
        <f>TripMode_input!C94</f>
        <v>0</v>
      </c>
      <c r="E119" s="160">
        <f>TripMode_input!D94</f>
        <v>0</v>
      </c>
      <c r="F119" s="160">
        <f>TripMode_input!E94</f>
        <v>0</v>
      </c>
      <c r="G119" s="160">
        <f>TripMode_input!F94</f>
        <v>0</v>
      </c>
      <c r="H119" s="160">
        <f>TripMode_input!G94</f>
        <v>0</v>
      </c>
      <c r="I119" s="160">
        <f>TripMode_input!H94</f>
        <v>0</v>
      </c>
      <c r="J119" s="160">
        <f>TripMode_input!I94</f>
        <v>0</v>
      </c>
      <c r="K119" s="160">
        <f>TripMode_input!J94</f>
        <v>0</v>
      </c>
      <c r="L119" s="160">
        <f>TripMode_input!K94</f>
        <v>0</v>
      </c>
      <c r="M119" s="160">
        <f>TripMode_input!L94</f>
        <v>6053.6508899999999</v>
      </c>
      <c r="N119" s="160">
        <f>TripMode_input!M94</f>
        <v>207.87018</v>
      </c>
      <c r="O119" s="160">
        <f>TripMode_input!N94</f>
        <v>0</v>
      </c>
      <c r="P119" s="160">
        <f>TripMode_input!O94</f>
        <v>0</v>
      </c>
      <c r="Q119" s="162">
        <f t="shared" si="281"/>
        <v>6261.5210699999998</v>
      </c>
      <c r="S119" s="107" t="s">
        <v>396</v>
      </c>
      <c r="T119" s="160">
        <f>TripMode_input!R94*Index!$B$2</f>
        <v>0</v>
      </c>
      <c r="U119" s="160">
        <f>TripMode_input!S94*Index!$B$2</f>
        <v>0</v>
      </c>
      <c r="V119" s="160">
        <f>TripMode_input!T94*Index!$B$2</f>
        <v>0</v>
      </c>
      <c r="W119" s="160">
        <f>TripMode_input!U94*Index!$B$2</f>
        <v>0</v>
      </c>
      <c r="X119" s="160">
        <f>TripMode_input!V94*Index!$B$2</f>
        <v>0</v>
      </c>
      <c r="Y119" s="160">
        <f>TripMode_input!W94*Index!$B$2</f>
        <v>0</v>
      </c>
      <c r="Z119" s="160">
        <f>TripMode_input!X94*Index!$B$2</f>
        <v>0</v>
      </c>
      <c r="AA119" s="160">
        <f>TripMode_input!Y94*Index!$B$2</f>
        <v>0</v>
      </c>
      <c r="AB119" s="160">
        <f>TripMode_input!Z94*Index!$B$2</f>
        <v>0</v>
      </c>
      <c r="AC119" s="160">
        <f>TripMode_input!AA94*Index!$B$2</f>
        <v>0</v>
      </c>
      <c r="AD119" s="160">
        <f>TripMode_input!AB94*Index!$B$2</f>
        <v>2390</v>
      </c>
      <c r="AE119" s="160">
        <f>TripMode_input!AC94*Index!$B$2</f>
        <v>0</v>
      </c>
      <c r="AF119" s="160">
        <f>TripMode_input!AD94*Index!$B$2</f>
        <v>0</v>
      </c>
      <c r="AG119" s="160">
        <f>TripMode_input!AE94*Index!$B$2</f>
        <v>0</v>
      </c>
      <c r="AH119" s="162">
        <f t="shared" si="282"/>
        <v>2390</v>
      </c>
      <c r="AJ119" s="107" t="s">
        <v>396</v>
      </c>
      <c r="AK119" s="166">
        <f t="shared" si="313"/>
        <v>0</v>
      </c>
      <c r="AL119" s="166">
        <f t="shared" si="283"/>
        <v>0</v>
      </c>
      <c r="AM119" s="166">
        <f t="shared" si="284"/>
        <v>0</v>
      </c>
      <c r="AN119" s="166">
        <f t="shared" si="285"/>
        <v>0</v>
      </c>
      <c r="AO119" s="166">
        <f t="shared" si="286"/>
        <v>0</v>
      </c>
      <c r="AP119" s="166">
        <f t="shared" si="287"/>
        <v>0</v>
      </c>
      <c r="AQ119" s="166">
        <f t="shared" si="288"/>
        <v>0</v>
      </c>
      <c r="AR119" s="166">
        <f t="shared" si="289"/>
        <v>0</v>
      </c>
      <c r="AS119" s="166">
        <f t="shared" si="290"/>
        <v>0</v>
      </c>
      <c r="AT119" s="166">
        <f t="shared" si="291"/>
        <v>0</v>
      </c>
      <c r="AU119" s="166">
        <f t="shared" si="292"/>
        <v>0.28167121055346822</v>
      </c>
      <c r="AV119" s="166">
        <f t="shared" si="293"/>
        <v>1.4352914262571145E-2</v>
      </c>
      <c r="AW119" s="166">
        <f t="shared" si="294"/>
        <v>0</v>
      </c>
      <c r="AX119" s="166">
        <f t="shared" si="295"/>
        <v>0</v>
      </c>
      <c r="AY119" s="168">
        <f t="shared" si="296"/>
        <v>1.6345199850696505E-3</v>
      </c>
      <c r="BA119" s="107" t="s">
        <v>396</v>
      </c>
      <c r="BB119" s="166">
        <f t="shared" si="314"/>
        <v>0</v>
      </c>
      <c r="BC119" s="166">
        <f t="shared" si="297"/>
        <v>0</v>
      </c>
      <c r="BD119" s="166">
        <f t="shared" si="298"/>
        <v>0</v>
      </c>
      <c r="BE119" s="166">
        <f t="shared" si="299"/>
        <v>0</v>
      </c>
      <c r="BF119" s="166">
        <f t="shared" si="300"/>
        <v>0</v>
      </c>
      <c r="BG119" s="166">
        <f t="shared" si="301"/>
        <v>0</v>
      </c>
      <c r="BH119" s="166">
        <f t="shared" si="302"/>
        <v>0</v>
      </c>
      <c r="BI119" s="166">
        <f t="shared" si="303"/>
        <v>0</v>
      </c>
      <c r="BJ119" s="166" t="str">
        <f t="shared" si="304"/>
        <v/>
      </c>
      <c r="BK119" s="166">
        <f t="shared" si="305"/>
        <v>0</v>
      </c>
      <c r="BL119" s="166">
        <f t="shared" si="306"/>
        <v>1</v>
      </c>
      <c r="BM119" s="166">
        <f t="shared" si="307"/>
        <v>0</v>
      </c>
      <c r="BN119" s="166">
        <f t="shared" si="308"/>
        <v>0</v>
      </c>
      <c r="BO119" s="166" t="str">
        <f t="shared" si="309"/>
        <v/>
      </c>
      <c r="BP119" s="168">
        <f t="shared" si="310"/>
        <v>3.9116395006849462E-4</v>
      </c>
      <c r="BR119" s="107" t="s">
        <v>396</v>
      </c>
      <c r="BS119" s="166" t="str">
        <f t="shared" si="316"/>
        <v/>
      </c>
      <c r="BT119" s="166" t="str">
        <f t="shared" si="317"/>
        <v/>
      </c>
      <c r="BU119" s="166" t="str">
        <f t="shared" si="318"/>
        <v/>
      </c>
      <c r="BV119" s="166" t="str">
        <f t="shared" si="319"/>
        <v/>
      </c>
      <c r="BW119" s="166"/>
      <c r="BX119" s="166"/>
      <c r="BY119" s="166"/>
      <c r="BZ119" s="166"/>
      <c r="CA119" s="166"/>
      <c r="CB119" s="166" t="str">
        <f t="shared" si="320"/>
        <v/>
      </c>
      <c r="CC119" s="166">
        <f t="shared" si="321"/>
        <v>2.5502385850334357</v>
      </c>
      <c r="CD119" s="166">
        <f t="shared" si="322"/>
        <v>-1</v>
      </c>
      <c r="CE119" s="166" t="str">
        <f t="shared" si="323"/>
        <v/>
      </c>
      <c r="CF119" s="166" t="str">
        <f t="shared" si="324"/>
        <v/>
      </c>
      <c r="CG119" s="168">
        <f t="shared" si="325"/>
        <v>-0.76068573425743313</v>
      </c>
    </row>
    <row r="120" spans="2:85" x14ac:dyDescent="0.25">
      <c r="B120" s="107" t="s">
        <v>397</v>
      </c>
      <c r="C120" s="160">
        <f>TripMode_input!B95</f>
        <v>0</v>
      </c>
      <c r="D120" s="160">
        <f>TripMode_input!C95</f>
        <v>0</v>
      </c>
      <c r="E120" s="160">
        <f>TripMode_input!D95</f>
        <v>0</v>
      </c>
      <c r="F120" s="160">
        <f>TripMode_input!E95</f>
        <v>0</v>
      </c>
      <c r="G120" s="160">
        <f>TripMode_input!F95</f>
        <v>0</v>
      </c>
      <c r="H120" s="160">
        <f>TripMode_input!G95</f>
        <v>0</v>
      </c>
      <c r="I120" s="160">
        <f>TripMode_input!H95</f>
        <v>0</v>
      </c>
      <c r="J120" s="160">
        <f>TripMode_input!I95</f>
        <v>0</v>
      </c>
      <c r="K120" s="160">
        <f>TripMode_input!J95</f>
        <v>0</v>
      </c>
      <c r="L120" s="160">
        <f>TripMode_input!K95</f>
        <v>0</v>
      </c>
      <c r="M120" s="160">
        <f>TripMode_input!L95</f>
        <v>44.190469999999998</v>
      </c>
      <c r="N120" s="160">
        <f>TripMode_input!M95</f>
        <v>7790.4192599999997</v>
      </c>
      <c r="O120" s="160">
        <f>TripMode_input!N95</f>
        <v>0</v>
      </c>
      <c r="P120" s="160">
        <f>TripMode_input!O95</f>
        <v>0</v>
      </c>
      <c r="Q120" s="162">
        <f t="shared" si="281"/>
        <v>7834.6097299999992</v>
      </c>
      <c r="S120" s="107" t="s">
        <v>397</v>
      </c>
      <c r="T120" s="160">
        <f>TripMode_input!R95*Index!$B$2</f>
        <v>0</v>
      </c>
      <c r="U120" s="160">
        <f>TripMode_input!S95*Index!$B$2</f>
        <v>0</v>
      </c>
      <c r="V120" s="160">
        <f>TripMode_input!T95*Index!$B$2</f>
        <v>0</v>
      </c>
      <c r="W120" s="160">
        <f>TripMode_input!U95*Index!$B$2</f>
        <v>0</v>
      </c>
      <c r="X120" s="160">
        <f>TripMode_input!V95*Index!$B$2</f>
        <v>0</v>
      </c>
      <c r="Y120" s="160">
        <f>TripMode_input!W95*Index!$B$2</f>
        <v>0</v>
      </c>
      <c r="Z120" s="160">
        <f>TripMode_input!X95*Index!$B$2</f>
        <v>0</v>
      </c>
      <c r="AA120" s="160">
        <f>TripMode_input!Y95*Index!$B$2</f>
        <v>0</v>
      </c>
      <c r="AB120" s="160">
        <f>TripMode_input!Z95*Index!$B$2</f>
        <v>0</v>
      </c>
      <c r="AC120" s="160">
        <f>TripMode_input!AA95*Index!$B$2</f>
        <v>0</v>
      </c>
      <c r="AD120" s="160">
        <f>TripMode_input!AB95*Index!$B$2</f>
        <v>0</v>
      </c>
      <c r="AE120" s="160">
        <f>TripMode_input!AC95*Index!$B$2</f>
        <v>2170</v>
      </c>
      <c r="AF120" s="160">
        <f>TripMode_input!AD95*Index!$B$2</f>
        <v>0</v>
      </c>
      <c r="AG120" s="160">
        <f>TripMode_input!AE95*Index!$B$2</f>
        <v>0</v>
      </c>
      <c r="AH120" s="162">
        <f t="shared" si="282"/>
        <v>2170</v>
      </c>
      <c r="AJ120" s="107" t="s">
        <v>397</v>
      </c>
      <c r="AK120" s="166">
        <f t="shared" si="313"/>
        <v>0</v>
      </c>
      <c r="AL120" s="166">
        <f t="shared" si="283"/>
        <v>0</v>
      </c>
      <c r="AM120" s="166">
        <f t="shared" si="284"/>
        <v>0</v>
      </c>
      <c r="AN120" s="166">
        <f t="shared" si="285"/>
        <v>0</v>
      </c>
      <c r="AO120" s="166">
        <f t="shared" si="286"/>
        <v>0</v>
      </c>
      <c r="AP120" s="166">
        <f t="shared" si="287"/>
        <v>0</v>
      </c>
      <c r="AQ120" s="166">
        <f t="shared" si="288"/>
        <v>0</v>
      </c>
      <c r="AR120" s="166">
        <f t="shared" si="289"/>
        <v>0</v>
      </c>
      <c r="AS120" s="166">
        <f t="shared" si="290"/>
        <v>0</v>
      </c>
      <c r="AT120" s="166">
        <f t="shared" si="291"/>
        <v>0</v>
      </c>
      <c r="AU120" s="166">
        <f t="shared" si="292"/>
        <v>2.0561448629930357E-3</v>
      </c>
      <c r="AV120" s="166">
        <f t="shared" si="293"/>
        <v>0.53790889923827911</v>
      </c>
      <c r="AW120" s="166">
        <f t="shared" si="294"/>
        <v>0</v>
      </c>
      <c r="AX120" s="166">
        <f t="shared" si="295"/>
        <v>0</v>
      </c>
      <c r="AY120" s="168">
        <f t="shared" si="296"/>
        <v>2.0451621955344052E-3</v>
      </c>
      <c r="BA120" s="107" t="s">
        <v>397</v>
      </c>
      <c r="BB120" s="166">
        <f t="shared" si="314"/>
        <v>0</v>
      </c>
      <c r="BC120" s="166">
        <f t="shared" si="297"/>
        <v>0</v>
      </c>
      <c r="BD120" s="166">
        <f t="shared" si="298"/>
        <v>0</v>
      </c>
      <c r="BE120" s="166">
        <f t="shared" si="299"/>
        <v>0</v>
      </c>
      <c r="BF120" s="166">
        <f t="shared" si="300"/>
        <v>0</v>
      </c>
      <c r="BG120" s="166">
        <f t="shared" si="301"/>
        <v>0</v>
      </c>
      <c r="BH120" s="166">
        <f t="shared" si="302"/>
        <v>0</v>
      </c>
      <c r="BI120" s="166">
        <f t="shared" si="303"/>
        <v>0</v>
      </c>
      <c r="BJ120" s="166" t="str">
        <f t="shared" si="304"/>
        <v/>
      </c>
      <c r="BK120" s="166">
        <f t="shared" si="305"/>
        <v>0</v>
      </c>
      <c r="BL120" s="166">
        <f t="shared" si="306"/>
        <v>0</v>
      </c>
      <c r="BM120" s="166">
        <f t="shared" si="307"/>
        <v>1</v>
      </c>
      <c r="BN120" s="166">
        <f t="shared" si="308"/>
        <v>0</v>
      </c>
      <c r="BO120" s="166" t="str">
        <f t="shared" si="309"/>
        <v/>
      </c>
      <c r="BP120" s="168">
        <f t="shared" si="310"/>
        <v>3.5515722663122734E-4</v>
      </c>
      <c r="BR120" s="107" t="s">
        <v>397</v>
      </c>
      <c r="BS120" s="166" t="str">
        <f t="shared" si="316"/>
        <v/>
      </c>
      <c r="BT120" s="166" t="str">
        <f t="shared" si="317"/>
        <v/>
      </c>
      <c r="BU120" s="166" t="str">
        <f t="shared" si="318"/>
        <v/>
      </c>
      <c r="BV120" s="166" t="str">
        <f t="shared" si="319"/>
        <v/>
      </c>
      <c r="BW120" s="166"/>
      <c r="BX120" s="166"/>
      <c r="BY120" s="166"/>
      <c r="BZ120" s="166"/>
      <c r="CA120" s="166"/>
      <c r="CB120" s="166" t="str">
        <f t="shared" si="320"/>
        <v/>
      </c>
      <c r="CC120" s="166">
        <f t="shared" si="321"/>
        <v>-1</v>
      </c>
      <c r="CD120" s="166">
        <f t="shared" si="322"/>
        <v>0.85905085678277093</v>
      </c>
      <c r="CE120" s="166" t="str">
        <f t="shared" si="323"/>
        <v/>
      </c>
      <c r="CF120" s="166" t="str">
        <f t="shared" si="324"/>
        <v/>
      </c>
      <c r="CG120" s="168">
        <f t="shared" si="325"/>
        <v>-0.82634275784741662</v>
      </c>
    </row>
    <row r="121" spans="2:85" x14ac:dyDescent="0.25">
      <c r="B121" s="107" t="s">
        <v>398</v>
      </c>
      <c r="C121" s="160">
        <f>TripMode_input!B96</f>
        <v>0</v>
      </c>
      <c r="D121" s="160">
        <f>TripMode_input!C96</f>
        <v>0</v>
      </c>
      <c r="E121" s="160">
        <f>TripMode_input!D96</f>
        <v>0</v>
      </c>
      <c r="F121" s="160">
        <f>TripMode_input!E96</f>
        <v>0</v>
      </c>
      <c r="G121" s="160">
        <f>TripMode_input!F96</f>
        <v>0</v>
      </c>
      <c r="H121" s="160">
        <f>TripMode_input!G96</f>
        <v>0</v>
      </c>
      <c r="I121" s="160">
        <f>TripMode_input!H96</f>
        <v>0</v>
      </c>
      <c r="J121" s="160">
        <f>TripMode_input!I96</f>
        <v>0</v>
      </c>
      <c r="K121" s="160">
        <f>TripMode_input!J96</f>
        <v>2340.3786500000001</v>
      </c>
      <c r="L121" s="160">
        <f>TripMode_input!K96</f>
        <v>189.87280999999999</v>
      </c>
      <c r="M121" s="160">
        <f>TripMode_input!L96</f>
        <v>269.04023999999998</v>
      </c>
      <c r="N121" s="160">
        <f>TripMode_input!M96</f>
        <v>314.31333000000001</v>
      </c>
      <c r="O121" s="160">
        <f>TripMode_input!N96</f>
        <v>9549.7129600000007</v>
      </c>
      <c r="P121" s="160">
        <f>TripMode_input!O96</f>
        <v>0</v>
      </c>
      <c r="Q121" s="162">
        <f t="shared" si="281"/>
        <v>12663.31799</v>
      </c>
      <c r="S121" s="107" t="s">
        <v>398</v>
      </c>
      <c r="T121" s="160">
        <f>TripMode_input!R96*Index!$B$2</f>
        <v>0</v>
      </c>
      <c r="U121" s="160">
        <f>TripMode_input!S96*Index!$B$2</f>
        <v>0</v>
      </c>
      <c r="V121" s="160">
        <f>TripMode_input!T96*Index!$B$2</f>
        <v>0</v>
      </c>
      <c r="W121" s="160">
        <f>TripMode_input!U96*Index!$B$2</f>
        <v>0</v>
      </c>
      <c r="X121" s="160">
        <f>TripMode_input!V96*Index!$B$2</f>
        <v>0</v>
      </c>
      <c r="Y121" s="160">
        <f>TripMode_input!W96*Index!$B$2</f>
        <v>0</v>
      </c>
      <c r="Z121" s="160">
        <f>TripMode_input!X96*Index!$B$2</f>
        <v>0</v>
      </c>
      <c r="AA121" s="160">
        <f>TripMode_input!Y96*Index!$B$2</f>
        <v>0</v>
      </c>
      <c r="AB121" s="160">
        <f>TripMode_input!Z96*Index!$B$2</f>
        <v>0</v>
      </c>
      <c r="AC121" s="160">
        <f>TripMode_input!AA96*Index!$B$2</f>
        <v>785</v>
      </c>
      <c r="AD121" s="160">
        <f>TripMode_input!AB96*Index!$B$2</f>
        <v>0</v>
      </c>
      <c r="AE121" s="160">
        <f>TripMode_input!AC96*Index!$B$2</f>
        <v>0</v>
      </c>
      <c r="AF121" s="160">
        <f>TripMode_input!AD96*Index!$B$2</f>
        <v>13725</v>
      </c>
      <c r="AG121" s="160">
        <f>TripMode_input!AE96*Index!$B$2</f>
        <v>0</v>
      </c>
      <c r="AH121" s="162">
        <f t="shared" si="282"/>
        <v>14510</v>
      </c>
      <c r="AJ121" s="107" t="s">
        <v>398</v>
      </c>
      <c r="AK121" s="166">
        <f t="shared" si="313"/>
        <v>0</v>
      </c>
      <c r="AL121" s="166">
        <f t="shared" si="283"/>
        <v>0</v>
      </c>
      <c r="AM121" s="166">
        <f t="shared" si="284"/>
        <v>0</v>
      </c>
      <c r="AN121" s="166">
        <f t="shared" si="285"/>
        <v>0</v>
      </c>
      <c r="AO121" s="166">
        <f t="shared" si="286"/>
        <v>0</v>
      </c>
      <c r="AP121" s="166">
        <f t="shared" si="287"/>
        <v>0</v>
      </c>
      <c r="AQ121" s="166">
        <f t="shared" si="288"/>
        <v>0</v>
      </c>
      <c r="AR121" s="166">
        <f t="shared" si="289"/>
        <v>0</v>
      </c>
      <c r="AS121" s="166">
        <f t="shared" si="290"/>
        <v>2.1541238142812336E-2</v>
      </c>
      <c r="AT121" s="166">
        <f t="shared" si="291"/>
        <v>7.6528909158594957E-3</v>
      </c>
      <c r="AU121" s="166">
        <f t="shared" si="292"/>
        <v>1.2518212805032703E-2</v>
      </c>
      <c r="AV121" s="166">
        <f t="shared" si="293"/>
        <v>2.1702546642684537E-2</v>
      </c>
      <c r="AW121" s="166">
        <f t="shared" si="294"/>
        <v>0.68382654136648757</v>
      </c>
      <c r="AX121" s="166">
        <f t="shared" si="295"/>
        <v>0</v>
      </c>
      <c r="AY121" s="168">
        <f t="shared" si="296"/>
        <v>3.305657858617896E-3</v>
      </c>
      <c r="BA121" s="107" t="s">
        <v>398</v>
      </c>
      <c r="BB121" s="166">
        <f t="shared" si="314"/>
        <v>0</v>
      </c>
      <c r="BC121" s="166">
        <f t="shared" si="297"/>
        <v>0</v>
      </c>
      <c r="BD121" s="166">
        <f t="shared" si="298"/>
        <v>0</v>
      </c>
      <c r="BE121" s="166">
        <f t="shared" si="299"/>
        <v>0</v>
      </c>
      <c r="BF121" s="166">
        <f t="shared" si="300"/>
        <v>0</v>
      </c>
      <c r="BG121" s="166">
        <f t="shared" si="301"/>
        <v>0</v>
      </c>
      <c r="BH121" s="166">
        <f t="shared" si="302"/>
        <v>0</v>
      </c>
      <c r="BI121" s="166">
        <f t="shared" si="303"/>
        <v>0</v>
      </c>
      <c r="BJ121" s="166" t="str">
        <f t="shared" si="304"/>
        <v/>
      </c>
      <c r="BK121" s="166">
        <f t="shared" si="305"/>
        <v>1.1509420130488966E-2</v>
      </c>
      <c r="BL121" s="166">
        <f t="shared" si="306"/>
        <v>0</v>
      </c>
      <c r="BM121" s="166">
        <f t="shared" si="307"/>
        <v>0</v>
      </c>
      <c r="BN121" s="166">
        <f t="shared" si="308"/>
        <v>0.69039235412474853</v>
      </c>
      <c r="BO121" s="166" t="str">
        <f t="shared" si="309"/>
        <v/>
      </c>
      <c r="BP121" s="168">
        <f t="shared" si="310"/>
        <v>2.3748070776124924E-3</v>
      </c>
      <c r="BR121" s="107" t="s">
        <v>398</v>
      </c>
      <c r="BS121" s="166" t="str">
        <f t="shared" si="316"/>
        <v/>
      </c>
      <c r="BT121" s="166" t="str">
        <f t="shared" si="317"/>
        <v/>
      </c>
      <c r="BU121" s="166" t="str">
        <f t="shared" si="318"/>
        <v/>
      </c>
      <c r="BV121" s="166" t="str">
        <f t="shared" si="319"/>
        <v/>
      </c>
      <c r="BW121" s="166"/>
      <c r="BX121" s="166"/>
      <c r="BY121" s="166"/>
      <c r="BZ121" s="166"/>
      <c r="CA121" s="166"/>
      <c r="CB121" s="166">
        <f t="shared" si="320"/>
        <v>0.50393103168861042</v>
      </c>
      <c r="CC121" s="166">
        <f t="shared" si="321"/>
        <v>-1</v>
      </c>
      <c r="CD121" s="166">
        <f t="shared" si="322"/>
        <v>-1</v>
      </c>
      <c r="CE121" s="166">
        <f t="shared" si="323"/>
        <v>9.6015763663406858E-3</v>
      </c>
      <c r="CF121" s="166" t="str">
        <f t="shared" si="324"/>
        <v/>
      </c>
      <c r="CG121" s="168">
        <f t="shared" si="325"/>
        <v>-0.28159320196391852</v>
      </c>
    </row>
    <row r="122" spans="2:85" x14ac:dyDescent="0.25">
      <c r="B122" s="107" t="s">
        <v>399</v>
      </c>
      <c r="C122" s="160">
        <f>TripMode_input!B97</f>
        <v>0</v>
      </c>
      <c r="D122" s="160">
        <f>TripMode_input!C97</f>
        <v>0</v>
      </c>
      <c r="E122" s="160">
        <f>TripMode_input!D97</f>
        <v>0</v>
      </c>
      <c r="F122" s="160">
        <f>TripMode_input!E97</f>
        <v>0</v>
      </c>
      <c r="G122" s="160">
        <f>TripMode_input!F97</f>
        <v>0</v>
      </c>
      <c r="H122" s="160">
        <f>TripMode_input!G97</f>
        <v>0</v>
      </c>
      <c r="I122" s="160">
        <f>TripMode_input!H97</f>
        <v>0</v>
      </c>
      <c r="J122" s="160">
        <f>TripMode_input!I97</f>
        <v>0</v>
      </c>
      <c r="K122" s="160">
        <f>TripMode_input!J97</f>
        <v>0</v>
      </c>
      <c r="L122" s="160">
        <f>TripMode_input!K97</f>
        <v>0</v>
      </c>
      <c r="M122" s="160">
        <f>TripMode_input!L97</f>
        <v>0</v>
      </c>
      <c r="N122" s="160">
        <f>TripMode_input!M97</f>
        <v>0</v>
      </c>
      <c r="O122" s="160">
        <f>TripMode_input!N97</f>
        <v>0</v>
      </c>
      <c r="P122" s="160">
        <f>TripMode_input!O97</f>
        <v>6397.8160799999996</v>
      </c>
      <c r="Q122" s="162">
        <f t="shared" si="281"/>
        <v>6397.8160799999996</v>
      </c>
      <c r="S122" s="107" t="s">
        <v>399</v>
      </c>
      <c r="T122" s="160">
        <f>TripMode_input!R97*Index!$B$2</f>
        <v>0</v>
      </c>
      <c r="U122" s="160">
        <f>TripMode_input!S97*Index!$B$2</f>
        <v>0</v>
      </c>
      <c r="V122" s="160">
        <f>TripMode_input!T97*Index!$B$2</f>
        <v>0</v>
      </c>
      <c r="W122" s="160">
        <f>TripMode_input!U97*Index!$B$2</f>
        <v>0</v>
      </c>
      <c r="X122" s="160">
        <f>TripMode_input!V97*Index!$B$2</f>
        <v>0</v>
      </c>
      <c r="Y122" s="160">
        <f>TripMode_input!W97*Index!$B$2</f>
        <v>0</v>
      </c>
      <c r="Z122" s="160">
        <f>TripMode_input!X97*Index!$B$2</f>
        <v>0</v>
      </c>
      <c r="AA122" s="160">
        <f>TripMode_input!Y97*Index!$B$2</f>
        <v>0</v>
      </c>
      <c r="AB122" s="160">
        <f>TripMode_input!Z97*Index!$B$2</f>
        <v>0</v>
      </c>
      <c r="AC122" s="160">
        <f>TripMode_input!AA97*Index!$B$2</f>
        <v>0</v>
      </c>
      <c r="AD122" s="160">
        <f>TripMode_input!AB97*Index!$B$2</f>
        <v>0</v>
      </c>
      <c r="AE122" s="160">
        <f>TripMode_input!AC97*Index!$B$2</f>
        <v>0</v>
      </c>
      <c r="AF122" s="160">
        <f>TripMode_input!AD97*Index!$B$2</f>
        <v>0</v>
      </c>
      <c r="AG122" s="160">
        <f>TripMode_input!AE97*Index!$B$2</f>
        <v>0</v>
      </c>
      <c r="AH122" s="162">
        <f t="shared" si="282"/>
        <v>0</v>
      </c>
      <c r="AJ122" s="107" t="s">
        <v>399</v>
      </c>
      <c r="AK122" s="166">
        <f t="shared" si="313"/>
        <v>0</v>
      </c>
      <c r="AL122" s="166">
        <f t="shared" si="283"/>
        <v>0</v>
      </c>
      <c r="AM122" s="166">
        <f t="shared" si="284"/>
        <v>0</v>
      </c>
      <c r="AN122" s="166">
        <f t="shared" si="285"/>
        <v>0</v>
      </c>
      <c r="AO122" s="166">
        <f t="shared" si="286"/>
        <v>0</v>
      </c>
      <c r="AP122" s="166">
        <f t="shared" si="287"/>
        <v>0</v>
      </c>
      <c r="AQ122" s="166">
        <f t="shared" si="288"/>
        <v>0</v>
      </c>
      <c r="AR122" s="166">
        <f t="shared" si="289"/>
        <v>0</v>
      </c>
      <c r="AS122" s="166">
        <f t="shared" si="290"/>
        <v>0</v>
      </c>
      <c r="AT122" s="166">
        <f t="shared" si="291"/>
        <v>0</v>
      </c>
      <c r="AU122" s="166">
        <f t="shared" si="292"/>
        <v>0</v>
      </c>
      <c r="AV122" s="166">
        <f t="shared" si="293"/>
        <v>0</v>
      </c>
      <c r="AW122" s="166">
        <f t="shared" si="294"/>
        <v>0</v>
      </c>
      <c r="AX122" s="166">
        <f t="shared" si="295"/>
        <v>0.48359858887619805</v>
      </c>
      <c r="AY122" s="168">
        <f t="shared" si="296"/>
        <v>1.6700987071117481E-3</v>
      </c>
      <c r="BA122" s="107" t="s">
        <v>399</v>
      </c>
      <c r="BB122" s="166">
        <f t="shared" si="314"/>
        <v>0</v>
      </c>
      <c r="BC122" s="166">
        <f t="shared" si="297"/>
        <v>0</v>
      </c>
      <c r="BD122" s="166">
        <f t="shared" si="298"/>
        <v>0</v>
      </c>
      <c r="BE122" s="166">
        <f t="shared" si="299"/>
        <v>0</v>
      </c>
      <c r="BF122" s="166">
        <f t="shared" si="300"/>
        <v>0</v>
      </c>
      <c r="BG122" s="166">
        <f t="shared" si="301"/>
        <v>0</v>
      </c>
      <c r="BH122" s="166">
        <f t="shared" si="302"/>
        <v>0</v>
      </c>
      <c r="BI122" s="166">
        <f t="shared" si="303"/>
        <v>0</v>
      </c>
      <c r="BJ122" s="166" t="str">
        <f t="shared" si="304"/>
        <v/>
      </c>
      <c r="BK122" s="166">
        <f t="shared" si="305"/>
        <v>0</v>
      </c>
      <c r="BL122" s="166">
        <f t="shared" si="306"/>
        <v>0</v>
      </c>
      <c r="BM122" s="166">
        <f t="shared" si="307"/>
        <v>0</v>
      </c>
      <c r="BN122" s="166">
        <f t="shared" si="308"/>
        <v>0</v>
      </c>
      <c r="BO122" s="166" t="str">
        <f t="shared" si="309"/>
        <v/>
      </c>
      <c r="BP122" s="168">
        <f t="shared" si="310"/>
        <v>0</v>
      </c>
      <c r="BR122" s="107" t="s">
        <v>399</v>
      </c>
      <c r="BS122" s="166" t="str">
        <f t="shared" si="316"/>
        <v/>
      </c>
      <c r="BT122" s="166" t="str">
        <f t="shared" si="317"/>
        <v/>
      </c>
      <c r="BU122" s="166" t="str">
        <f t="shared" si="318"/>
        <v/>
      </c>
      <c r="BV122" s="166" t="str">
        <f t="shared" si="319"/>
        <v/>
      </c>
      <c r="BW122" s="166"/>
      <c r="BX122" s="166"/>
      <c r="BY122" s="166"/>
      <c r="BZ122" s="166"/>
      <c r="CA122" s="166"/>
      <c r="CB122" s="166" t="str">
        <f t="shared" si="320"/>
        <v/>
      </c>
      <c r="CC122" s="166" t="str">
        <f t="shared" si="321"/>
        <v/>
      </c>
      <c r="CD122" s="166" t="str">
        <f t="shared" si="322"/>
        <v/>
      </c>
      <c r="CE122" s="166" t="str">
        <f t="shared" si="323"/>
        <v/>
      </c>
      <c r="CF122" s="166" t="e">
        <f t="shared" si="324"/>
        <v>#VALUE!</v>
      </c>
      <c r="CG122" s="168">
        <f t="shared" si="325"/>
        <v>-1</v>
      </c>
    </row>
    <row r="123" spans="2:85" ht="15.75" thickBot="1" x14ac:dyDescent="0.3">
      <c r="B123" s="108" t="s">
        <v>29</v>
      </c>
      <c r="C123" s="109">
        <f t="shared" ref="C123:P123" si="326">SUM(C109:C122)</f>
        <v>1799237.81574</v>
      </c>
      <c r="D123" s="110">
        <f t="shared" si="326"/>
        <v>34554.711080000001</v>
      </c>
      <c r="E123" s="110">
        <f t="shared" si="326"/>
        <v>708043.23867999995</v>
      </c>
      <c r="F123" s="110">
        <f t="shared" si="326"/>
        <v>9671.1830100000006</v>
      </c>
      <c r="G123" s="110">
        <f t="shared" si="326"/>
        <v>572620.04906999995</v>
      </c>
      <c r="H123" s="110">
        <f t="shared" si="326"/>
        <v>9594.1582899999994</v>
      </c>
      <c r="I123" s="110">
        <f t="shared" si="326"/>
        <v>412680.64807</v>
      </c>
      <c r="J123" s="110">
        <f t="shared" si="326"/>
        <v>87772.933640000003</v>
      </c>
      <c r="K123" s="110">
        <f t="shared" si="326"/>
        <v>108646.4313</v>
      </c>
      <c r="L123" s="110">
        <f t="shared" si="326"/>
        <v>24810.599300000002</v>
      </c>
      <c r="M123" s="110">
        <f t="shared" si="326"/>
        <v>21491.90497</v>
      </c>
      <c r="N123" s="110">
        <f t="shared" si="326"/>
        <v>14482.785600000001</v>
      </c>
      <c r="O123" s="110">
        <f t="shared" si="326"/>
        <v>13965.110130000001</v>
      </c>
      <c r="P123" s="110">
        <f t="shared" si="326"/>
        <v>13229.60039</v>
      </c>
      <c r="Q123" s="112">
        <f>SUM(Q109:Q122)</f>
        <v>3830801.16927</v>
      </c>
      <c r="S123" s="108" t="s">
        <v>29</v>
      </c>
      <c r="T123" s="109">
        <f t="shared" ref="T123:AC123" si="327">SUM(T109:T122)</f>
        <v>2586485</v>
      </c>
      <c r="U123" s="110">
        <f t="shared" si="327"/>
        <v>182950</v>
      </c>
      <c r="V123" s="110">
        <f t="shared" si="327"/>
        <v>1245570</v>
      </c>
      <c r="W123" s="110">
        <f t="shared" si="327"/>
        <v>20500</v>
      </c>
      <c r="X123" s="110">
        <f t="shared" si="327"/>
        <v>905605</v>
      </c>
      <c r="Y123" s="110">
        <f t="shared" si="327"/>
        <v>7680</v>
      </c>
      <c r="Z123" s="110">
        <f t="shared" si="327"/>
        <v>906205</v>
      </c>
      <c r="AA123" s="110">
        <f t="shared" si="327"/>
        <v>162330</v>
      </c>
      <c r="AB123" s="110">
        <f t="shared" si="327"/>
        <v>0</v>
      </c>
      <c r="AC123" s="110">
        <f t="shared" si="327"/>
        <v>68205</v>
      </c>
      <c r="AD123" s="110">
        <f>SUM(AD109:AD122)</f>
        <v>2390</v>
      </c>
      <c r="AE123" s="110">
        <f>SUM(AE109:AE122)</f>
        <v>2170</v>
      </c>
      <c r="AF123" s="110">
        <f>SUM(AF109:AF122)</f>
        <v>19880</v>
      </c>
      <c r="AG123" s="110">
        <f>SUM(AG109:AG122)</f>
        <v>0</v>
      </c>
      <c r="AH123" s="112">
        <f>SUM(AH109:AH122)</f>
        <v>6109970</v>
      </c>
      <c r="AJ123" s="108" t="s">
        <v>29</v>
      </c>
      <c r="AK123" s="120">
        <f t="shared" si="313"/>
        <v>1</v>
      </c>
      <c r="AL123" s="121">
        <f t="shared" si="283"/>
        <v>1</v>
      </c>
      <c r="AM123" s="121">
        <f t="shared" si="284"/>
        <v>1</v>
      </c>
      <c r="AN123" s="121">
        <f t="shared" si="285"/>
        <v>1</v>
      </c>
      <c r="AO123" s="121">
        <f t="shared" si="286"/>
        <v>1</v>
      </c>
      <c r="AP123" s="121">
        <f t="shared" si="287"/>
        <v>1</v>
      </c>
      <c r="AQ123" s="121">
        <f t="shared" si="288"/>
        <v>1</v>
      </c>
      <c r="AR123" s="121">
        <f t="shared" si="289"/>
        <v>1</v>
      </c>
      <c r="AS123" s="121">
        <f t="shared" si="290"/>
        <v>1</v>
      </c>
      <c r="AT123" s="121">
        <f t="shared" si="291"/>
        <v>1</v>
      </c>
      <c r="AU123" s="121">
        <f t="shared" si="292"/>
        <v>1</v>
      </c>
      <c r="AV123" s="121">
        <f t="shared" si="293"/>
        <v>1</v>
      </c>
      <c r="AW123" s="121">
        <f t="shared" si="294"/>
        <v>1</v>
      </c>
      <c r="AX123" s="121">
        <f t="shared" si="295"/>
        <v>1</v>
      </c>
      <c r="AY123" s="123">
        <f t="shared" si="296"/>
        <v>1</v>
      </c>
      <c r="BA123" s="108" t="s">
        <v>29</v>
      </c>
      <c r="BB123" s="120">
        <f t="shared" si="314"/>
        <v>1</v>
      </c>
      <c r="BC123" s="121">
        <f t="shared" si="297"/>
        <v>1</v>
      </c>
      <c r="BD123" s="121">
        <f t="shared" si="298"/>
        <v>1</v>
      </c>
      <c r="BE123" s="121">
        <f t="shared" si="299"/>
        <v>1</v>
      </c>
      <c r="BF123" s="121">
        <f t="shared" si="300"/>
        <v>1</v>
      </c>
      <c r="BG123" s="121">
        <f t="shared" si="301"/>
        <v>1</v>
      </c>
      <c r="BH123" s="121">
        <f t="shared" si="302"/>
        <v>1</v>
      </c>
      <c r="BI123" s="121">
        <f t="shared" si="303"/>
        <v>1</v>
      </c>
      <c r="BJ123" s="121" t="str">
        <f t="shared" si="304"/>
        <v/>
      </c>
      <c r="BK123" s="121">
        <f t="shared" si="305"/>
        <v>1</v>
      </c>
      <c r="BL123" s="121">
        <f t="shared" si="306"/>
        <v>1</v>
      </c>
      <c r="BM123" s="121">
        <f t="shared" si="307"/>
        <v>1</v>
      </c>
      <c r="BN123" s="121">
        <f t="shared" si="308"/>
        <v>1</v>
      </c>
      <c r="BO123" s="121" t="str">
        <f t="shared" si="309"/>
        <v/>
      </c>
      <c r="BP123" s="123">
        <f t="shared" si="310"/>
        <v>1</v>
      </c>
      <c r="BR123" s="108" t="s">
        <v>29</v>
      </c>
      <c r="BS123" s="120">
        <f t="shared" si="316"/>
        <v>0</v>
      </c>
      <c r="BT123" s="121">
        <f t="shared" si="317"/>
        <v>0</v>
      </c>
      <c r="BU123" s="121">
        <f t="shared" si="318"/>
        <v>0</v>
      </c>
      <c r="BV123" s="121">
        <f t="shared" si="319"/>
        <v>0</v>
      </c>
      <c r="BW123" s="121"/>
      <c r="BX123" s="121"/>
      <c r="BY123" s="121"/>
      <c r="BZ123" s="121"/>
      <c r="CA123" s="121"/>
      <c r="CB123" s="121">
        <f t="shared" si="320"/>
        <v>0</v>
      </c>
      <c r="CC123" s="121">
        <f t="shared" si="321"/>
        <v>0</v>
      </c>
      <c r="CD123" s="121">
        <f t="shared" si="322"/>
        <v>0</v>
      </c>
      <c r="CE123" s="121">
        <f t="shared" si="323"/>
        <v>0</v>
      </c>
      <c r="CF123" s="121" t="e">
        <f t="shared" si="324"/>
        <v>#VALUE!</v>
      </c>
      <c r="CG123" s="123">
        <f t="shared" si="325"/>
        <v>0</v>
      </c>
    </row>
    <row r="124" spans="2:85" x14ac:dyDescent="0.25">
      <c r="B124" t="s">
        <v>223</v>
      </c>
      <c r="C124" s="383" t="s">
        <v>206</v>
      </c>
      <c r="D124" s="383"/>
      <c r="E124" s="383"/>
      <c r="F124" s="383"/>
      <c r="G124" s="383"/>
      <c r="H124" s="383"/>
      <c r="I124" s="383"/>
      <c r="J124" s="383"/>
      <c r="K124" s="383"/>
      <c r="L124" s="383"/>
      <c r="M124" s="383"/>
      <c r="N124" s="383"/>
      <c r="O124" s="383"/>
      <c r="P124" s="383"/>
      <c r="Q124" s="383"/>
      <c r="S124" t="s">
        <v>223</v>
      </c>
      <c r="T124" s="383" t="s">
        <v>206</v>
      </c>
      <c r="U124" s="383"/>
      <c r="V124" s="383"/>
      <c r="W124" s="383"/>
      <c r="X124" s="383"/>
      <c r="Y124" s="383"/>
      <c r="Z124" s="383"/>
      <c r="AA124" s="383"/>
      <c r="AB124" s="383"/>
      <c r="AC124" s="383"/>
      <c r="AD124" s="383"/>
      <c r="AE124" s="383"/>
      <c r="AF124" s="383"/>
      <c r="AG124" s="383"/>
      <c r="AH124" s="383"/>
      <c r="AJ124" t="s">
        <v>223</v>
      </c>
      <c r="AK124" s="383" t="s">
        <v>206</v>
      </c>
      <c r="AL124" s="383"/>
      <c r="AM124" s="383"/>
      <c r="AN124" s="383"/>
      <c r="AO124" s="383"/>
      <c r="AP124" s="383"/>
      <c r="AQ124" s="383"/>
      <c r="AR124" s="383"/>
      <c r="AS124" s="383"/>
      <c r="AT124" s="383"/>
      <c r="AU124" s="383"/>
      <c r="AV124" s="383"/>
      <c r="AW124" s="383"/>
      <c r="AX124" s="383"/>
      <c r="AY124" s="383"/>
      <c r="BA124" t="s">
        <v>223</v>
      </c>
      <c r="BB124" s="383" t="s">
        <v>206</v>
      </c>
      <c r="BC124" s="383"/>
      <c r="BD124" s="383"/>
      <c r="BE124" s="383"/>
      <c r="BF124" s="383"/>
      <c r="BG124" s="383"/>
      <c r="BH124" s="383"/>
      <c r="BI124" s="383"/>
      <c r="BJ124" s="383"/>
      <c r="BK124" s="383"/>
      <c r="BL124" s="383"/>
      <c r="BM124" s="383"/>
      <c r="BN124" s="383"/>
      <c r="BO124" s="383"/>
      <c r="BP124" s="383"/>
      <c r="BR124" t="s">
        <v>223</v>
      </c>
      <c r="BS124" s="383" t="s">
        <v>206</v>
      </c>
      <c r="BT124" s="383"/>
      <c r="BU124" s="383"/>
      <c r="BV124" s="383"/>
      <c r="BW124" s="383"/>
      <c r="BX124" s="383"/>
      <c r="BY124" s="383"/>
      <c r="BZ124" s="383"/>
      <c r="CA124" s="383"/>
      <c r="CB124" s="383"/>
      <c r="CC124" s="383"/>
      <c r="CD124" s="383"/>
      <c r="CE124" s="383"/>
      <c r="CF124" s="383"/>
      <c r="CG124" s="383"/>
    </row>
    <row r="125" spans="2:85" ht="35.450000000000003" customHeight="1" x14ac:dyDescent="0.25">
      <c r="B125" s="163" t="s">
        <v>207</v>
      </c>
      <c r="C125" s="164" t="s">
        <v>386</v>
      </c>
      <c r="D125" s="164" t="s">
        <v>387</v>
      </c>
      <c r="E125" s="164" t="s">
        <v>388</v>
      </c>
      <c r="F125" s="164" t="s">
        <v>389</v>
      </c>
      <c r="G125" s="164" t="s">
        <v>390</v>
      </c>
      <c r="H125" s="164" t="s">
        <v>391</v>
      </c>
      <c r="I125" s="164" t="s">
        <v>392</v>
      </c>
      <c r="J125" s="164" t="s">
        <v>393</v>
      </c>
      <c r="K125" s="164" t="s">
        <v>394</v>
      </c>
      <c r="L125" s="164" t="s">
        <v>395</v>
      </c>
      <c r="M125" s="164" t="s">
        <v>396</v>
      </c>
      <c r="N125" s="164" t="s">
        <v>397</v>
      </c>
      <c r="O125" s="164" t="s">
        <v>398</v>
      </c>
      <c r="P125" s="164" t="s">
        <v>399</v>
      </c>
      <c r="Q125" s="106" t="s">
        <v>29</v>
      </c>
      <c r="S125" s="163" t="s">
        <v>207</v>
      </c>
      <c r="T125" s="164" t="s">
        <v>386</v>
      </c>
      <c r="U125" s="164" t="s">
        <v>387</v>
      </c>
      <c r="V125" s="164" t="s">
        <v>388</v>
      </c>
      <c r="W125" s="164" t="s">
        <v>389</v>
      </c>
      <c r="X125" s="164" t="s">
        <v>390</v>
      </c>
      <c r="Y125" s="164" t="s">
        <v>391</v>
      </c>
      <c r="Z125" s="164" t="s">
        <v>392</v>
      </c>
      <c r="AA125" s="164" t="s">
        <v>393</v>
      </c>
      <c r="AB125" s="164" t="s">
        <v>394</v>
      </c>
      <c r="AC125" s="164" t="s">
        <v>395</v>
      </c>
      <c r="AD125" s="164" t="s">
        <v>396</v>
      </c>
      <c r="AE125" s="164" t="s">
        <v>397</v>
      </c>
      <c r="AF125" s="164" t="s">
        <v>398</v>
      </c>
      <c r="AG125" s="164" t="s">
        <v>399</v>
      </c>
      <c r="AH125" s="106" t="s">
        <v>29</v>
      </c>
      <c r="AJ125" s="163" t="s">
        <v>207</v>
      </c>
      <c r="AK125" s="164" t="s">
        <v>386</v>
      </c>
      <c r="AL125" s="164" t="s">
        <v>387</v>
      </c>
      <c r="AM125" s="164" t="s">
        <v>388</v>
      </c>
      <c r="AN125" s="164" t="s">
        <v>389</v>
      </c>
      <c r="AO125" s="164" t="s">
        <v>390</v>
      </c>
      <c r="AP125" s="164" t="s">
        <v>391</v>
      </c>
      <c r="AQ125" s="164" t="s">
        <v>392</v>
      </c>
      <c r="AR125" s="164" t="s">
        <v>393</v>
      </c>
      <c r="AS125" s="164" t="s">
        <v>394</v>
      </c>
      <c r="AT125" s="164" t="s">
        <v>395</v>
      </c>
      <c r="AU125" s="164" t="s">
        <v>396</v>
      </c>
      <c r="AV125" s="164" t="s">
        <v>397</v>
      </c>
      <c r="AW125" s="164" t="s">
        <v>398</v>
      </c>
      <c r="AX125" s="164" t="s">
        <v>399</v>
      </c>
      <c r="AY125" s="106" t="s">
        <v>29</v>
      </c>
      <c r="BA125" s="163" t="s">
        <v>207</v>
      </c>
      <c r="BB125" s="164" t="s">
        <v>386</v>
      </c>
      <c r="BC125" s="164" t="s">
        <v>387</v>
      </c>
      <c r="BD125" s="164" t="s">
        <v>388</v>
      </c>
      <c r="BE125" s="164" t="s">
        <v>389</v>
      </c>
      <c r="BF125" s="164" t="s">
        <v>390</v>
      </c>
      <c r="BG125" s="164" t="s">
        <v>391</v>
      </c>
      <c r="BH125" s="164" t="s">
        <v>392</v>
      </c>
      <c r="BI125" s="164" t="s">
        <v>393</v>
      </c>
      <c r="BJ125" s="164" t="s">
        <v>394</v>
      </c>
      <c r="BK125" s="164" t="s">
        <v>395</v>
      </c>
      <c r="BL125" s="164" t="s">
        <v>396</v>
      </c>
      <c r="BM125" s="164" t="s">
        <v>397</v>
      </c>
      <c r="BN125" s="164" t="s">
        <v>398</v>
      </c>
      <c r="BO125" s="164" t="s">
        <v>399</v>
      </c>
      <c r="BP125" s="106" t="s">
        <v>29</v>
      </c>
      <c r="BR125" s="163" t="s">
        <v>207</v>
      </c>
      <c r="BS125" s="164" t="s">
        <v>386</v>
      </c>
      <c r="BT125" s="164" t="s">
        <v>387</v>
      </c>
      <c r="BU125" s="164" t="s">
        <v>388</v>
      </c>
      <c r="BV125" s="164" t="s">
        <v>389</v>
      </c>
      <c r="BW125" s="164" t="s">
        <v>390</v>
      </c>
      <c r="BX125" s="164" t="s">
        <v>391</v>
      </c>
      <c r="BY125" s="164" t="s">
        <v>392</v>
      </c>
      <c r="BZ125" s="164" t="s">
        <v>393</v>
      </c>
      <c r="CA125" s="164" t="s">
        <v>394</v>
      </c>
      <c r="CB125" s="164" t="s">
        <v>395</v>
      </c>
      <c r="CC125" s="164" t="s">
        <v>396</v>
      </c>
      <c r="CD125" s="164" t="s">
        <v>397</v>
      </c>
      <c r="CE125" s="164" t="s">
        <v>398</v>
      </c>
      <c r="CF125" s="164" t="s">
        <v>399</v>
      </c>
      <c r="CG125" s="106" t="s">
        <v>29</v>
      </c>
    </row>
    <row r="126" spans="2:85" x14ac:dyDescent="0.25">
      <c r="B126" s="107" t="s">
        <v>386</v>
      </c>
      <c r="C126" s="160">
        <f>TripMode_input!B100</f>
        <v>642.06829000000005</v>
      </c>
      <c r="D126" s="160">
        <f>TripMode_input!C100</f>
        <v>0</v>
      </c>
      <c r="E126" s="160">
        <f>TripMode_input!D100</f>
        <v>5295.4974599999996</v>
      </c>
      <c r="F126" s="160">
        <f>TripMode_input!E100</f>
        <v>0</v>
      </c>
      <c r="G126" s="160">
        <f>TripMode_input!F100</f>
        <v>3249.5358000000001</v>
      </c>
      <c r="H126" s="160">
        <f>TripMode_input!G100</f>
        <v>0</v>
      </c>
      <c r="I126" s="160">
        <f>TripMode_input!H100</f>
        <v>0</v>
      </c>
      <c r="J126" s="160">
        <f>TripMode_input!I100</f>
        <v>0</v>
      </c>
      <c r="K126" s="160">
        <f>TripMode_input!J100</f>
        <v>0</v>
      </c>
      <c r="L126" s="160">
        <f>TripMode_input!K100</f>
        <v>0</v>
      </c>
      <c r="M126" s="160">
        <f>TripMode_input!L100</f>
        <v>0</v>
      </c>
      <c r="N126" s="160">
        <f>TripMode_input!M100</f>
        <v>0</v>
      </c>
      <c r="O126" s="160">
        <f>TripMode_input!N100</f>
        <v>0</v>
      </c>
      <c r="P126" s="160">
        <f>TripMode_input!O100</f>
        <v>0</v>
      </c>
      <c r="Q126" s="161">
        <f t="shared" ref="Q126:Q139" si="328">SUM(C126:P126)</f>
        <v>9187.1015499999994</v>
      </c>
      <c r="S126" s="107" t="s">
        <v>386</v>
      </c>
      <c r="T126" s="160">
        <f>TripMode_input!R100*Index!$B$2</f>
        <v>0</v>
      </c>
      <c r="U126" s="160">
        <f>TripMode_input!S100*Index!$B$2</f>
        <v>0</v>
      </c>
      <c r="V126" s="160">
        <f>TripMode_input!T100*Index!$B$2</f>
        <v>0</v>
      </c>
      <c r="W126" s="160">
        <f>TripMode_input!U100*Index!$B$2</f>
        <v>0</v>
      </c>
      <c r="X126" s="160">
        <f>TripMode_input!V100*Index!$B$2</f>
        <v>0</v>
      </c>
      <c r="Y126" s="160">
        <f>TripMode_input!W100*Index!$B$2</f>
        <v>0</v>
      </c>
      <c r="Z126" s="160">
        <f>TripMode_input!X100*Index!$B$2</f>
        <v>0</v>
      </c>
      <c r="AA126" s="160">
        <f>TripMode_input!Y100*Index!$B$2</f>
        <v>0</v>
      </c>
      <c r="AB126" s="160">
        <f>TripMode_input!Z100*Index!$B$2</f>
        <v>0</v>
      </c>
      <c r="AC126" s="160">
        <f>TripMode_input!AA100*Index!$B$2</f>
        <v>0</v>
      </c>
      <c r="AD126" s="160">
        <f>TripMode_input!AB100*Index!$B$2</f>
        <v>0</v>
      </c>
      <c r="AE126" s="160">
        <f>TripMode_input!AC100*Index!$B$2</f>
        <v>0</v>
      </c>
      <c r="AF126" s="160">
        <f>TripMode_input!AD100*Index!$B$2</f>
        <v>0</v>
      </c>
      <c r="AG126" s="160">
        <f>TripMode_input!AE100*Index!$B$2</f>
        <v>0</v>
      </c>
      <c r="AH126" s="161">
        <f t="shared" ref="AH126:AH139" si="329">SUM(T126:AG126)</f>
        <v>0</v>
      </c>
      <c r="AJ126" s="107" t="s">
        <v>386</v>
      </c>
      <c r="AK126" s="166">
        <f>IF(C$140&gt;0,C126/C$140,"")</f>
        <v>0.89043714940252683</v>
      </c>
      <c r="AL126" s="166" t="str">
        <f t="shared" ref="AL126:AL140" si="330">IF(D$140&gt;0,D126/D$140,"")</f>
        <v/>
      </c>
      <c r="AM126" s="166">
        <f t="shared" ref="AM126:AM140" si="331">IF(E$140&gt;0,E126/E$140,"")</f>
        <v>3.3996740956715151E-3</v>
      </c>
      <c r="AN126" s="166">
        <f t="shared" ref="AN126:AN140" si="332">IF(F$140&gt;0,F126/F$140,"")</f>
        <v>0</v>
      </c>
      <c r="AO126" s="166">
        <f t="shared" ref="AO126:AO140" si="333">IF(G$140&gt;0,G126/G$140,"")</f>
        <v>2.2537105116557745E-3</v>
      </c>
      <c r="AP126" s="166">
        <f t="shared" ref="AP126:AP140" si="334">IF(H$140&gt;0,H126/H$140,"")</f>
        <v>0</v>
      </c>
      <c r="AQ126" s="166">
        <f t="shared" ref="AQ126:AQ140" si="335">IF(I$140&gt;0,I126/I$140,"")</f>
        <v>0</v>
      </c>
      <c r="AR126" s="166">
        <f t="shared" ref="AR126:AR140" si="336">IF(J$140&gt;0,J126/J$140,"")</f>
        <v>0</v>
      </c>
      <c r="AS126" s="166">
        <f t="shared" ref="AS126:AS140" si="337">IF(K$140&gt;0,K126/K$140,"")</f>
        <v>0</v>
      </c>
      <c r="AT126" s="166">
        <f t="shared" ref="AT126:AT140" si="338">IF(L$140&gt;0,L126/L$140,"")</f>
        <v>0</v>
      </c>
      <c r="AU126" s="166">
        <f t="shared" ref="AU126:AU140" si="339">IF(M$140&gt;0,M126/M$140,"")</f>
        <v>0</v>
      </c>
      <c r="AV126" s="166">
        <f t="shared" ref="AV126:AV140" si="340">IF(N$140&gt;0,N126/N$140,"")</f>
        <v>0</v>
      </c>
      <c r="AW126" s="166">
        <f t="shared" ref="AW126:AW140" si="341">IF(O$140&gt;0,O126/O$140,"")</f>
        <v>0</v>
      </c>
      <c r="AX126" s="166" t="str">
        <f t="shared" ref="AX126:AX140" si="342">IF(P$140&gt;0,P126/P$140,"")</f>
        <v/>
      </c>
      <c r="AY126" s="167">
        <f t="shared" ref="AY126:AY140" si="343">IF(Q$140&gt;0,Q126/Q$140,"")</f>
        <v>2.7609021330040678E-3</v>
      </c>
      <c r="BA126" s="107" t="s">
        <v>386</v>
      </c>
      <c r="BB126" s="166" t="str">
        <f>IF(T$140&gt;0,T126/T$140,"")</f>
        <v/>
      </c>
      <c r="BC126" s="166" t="str">
        <f t="shared" ref="BC126:BC140" si="344">IF(U$140&gt;0,U126/U$140,"")</f>
        <v/>
      </c>
      <c r="BD126" s="166">
        <f t="shared" ref="BD126:BD140" si="345">IF(V$140&gt;0,V126/V$140,"")</f>
        <v>0</v>
      </c>
      <c r="BE126" s="166">
        <f t="shared" ref="BE126:BE140" si="346">IF(W$140&gt;0,W126/W$140,"")</f>
        <v>0</v>
      </c>
      <c r="BF126" s="166">
        <f t="shared" ref="BF126:BF140" si="347">IF(X$140&gt;0,X126/X$140,"")</f>
        <v>0</v>
      </c>
      <c r="BG126" s="166">
        <f t="shared" ref="BG126:BG140" si="348">IF(Y$140&gt;0,Y126/Y$140,"")</f>
        <v>0</v>
      </c>
      <c r="BH126" s="166">
        <f t="shared" ref="BH126:BH140" si="349">IF(Z$140&gt;0,Z126/Z$140,"")</f>
        <v>0</v>
      </c>
      <c r="BI126" s="166">
        <f t="shared" ref="BI126:BI140" si="350">IF(AA$140&gt;0,AA126/AA$140,"")</f>
        <v>0</v>
      </c>
      <c r="BJ126" s="166" t="str">
        <f t="shared" ref="BJ126:BJ140" si="351">IF(AB$140&gt;0,AB126/AB$140,"")</f>
        <v/>
      </c>
      <c r="BK126" s="166">
        <f t="shared" ref="BK126:BK140" si="352">IF(AC$140&gt;0,AC126/AC$140,"")</f>
        <v>0</v>
      </c>
      <c r="BL126" s="166">
        <f t="shared" ref="BL126:BL140" si="353">IF(AD$140&gt;0,AD126/AD$140,"")</f>
        <v>0</v>
      </c>
      <c r="BM126" s="166" t="str">
        <f t="shared" ref="BM126:BM140" si="354">IF(AE$140&gt;0,AE126/AE$140,"")</f>
        <v/>
      </c>
      <c r="BN126" s="166">
        <f t="shared" ref="BN126:BN140" si="355">IF(AF$140&gt;0,AF126/AF$140,"")</f>
        <v>0</v>
      </c>
      <c r="BO126" s="166" t="str">
        <f t="shared" ref="BO126:BO140" si="356">IF(AG$140&gt;0,AG126/AG$140,"")</f>
        <v/>
      </c>
      <c r="BP126" s="167">
        <f t="shared" ref="BP126:BP140" si="357">IF(AH$140&gt;0,AH126/AH$140,"")</f>
        <v>0</v>
      </c>
      <c r="BR126" s="107" t="s">
        <v>386</v>
      </c>
      <c r="BS126" s="166" t="e">
        <f t="shared" ref="BS126:BV129" si="358">IF(OR(ISNA(AK126),AK126=0,AK126=""),"",(BB126-AK126)/AK126)</f>
        <v>#VALUE!</v>
      </c>
      <c r="BT126" s="166" t="str">
        <f t="shared" si="358"/>
        <v/>
      </c>
      <c r="BU126" s="166">
        <f t="shared" si="358"/>
        <v>-1</v>
      </c>
      <c r="BV126" s="166" t="str">
        <f t="shared" si="358"/>
        <v/>
      </c>
      <c r="BW126" s="166"/>
      <c r="BX126" s="166"/>
      <c r="BY126" s="166"/>
      <c r="BZ126" s="166"/>
      <c r="CA126" s="166"/>
      <c r="CB126" s="166" t="str">
        <f t="shared" ref="CB126:CG126" si="359">IF(OR(ISNA(AT126),AT126=0,AT126=""),"",(BK126-AT126)/AT126)</f>
        <v/>
      </c>
      <c r="CC126" s="166" t="str">
        <f t="shared" si="359"/>
        <v/>
      </c>
      <c r="CD126" s="166" t="str">
        <f t="shared" si="359"/>
        <v/>
      </c>
      <c r="CE126" s="166" t="str">
        <f t="shared" si="359"/>
        <v/>
      </c>
      <c r="CF126" s="166" t="str">
        <f t="shared" si="359"/>
        <v/>
      </c>
      <c r="CG126" s="167">
        <f t="shared" si="359"/>
        <v>-1</v>
      </c>
    </row>
    <row r="127" spans="2:85" x14ac:dyDescent="0.25">
      <c r="B127" s="107" t="s">
        <v>387</v>
      </c>
      <c r="C127" s="160">
        <f>TripMode_input!B101</f>
        <v>0</v>
      </c>
      <c r="D127" s="160">
        <f>TripMode_input!C101</f>
        <v>0</v>
      </c>
      <c r="E127" s="160">
        <f>TripMode_input!D101</f>
        <v>0</v>
      </c>
      <c r="F127" s="160">
        <f>TripMode_input!E101</f>
        <v>0</v>
      </c>
      <c r="G127" s="160">
        <f>TripMode_input!F101</f>
        <v>0</v>
      </c>
      <c r="H127" s="160">
        <f>TripMode_input!G101</f>
        <v>0</v>
      </c>
      <c r="I127" s="160">
        <f>TripMode_input!H101</f>
        <v>0</v>
      </c>
      <c r="J127" s="160">
        <f>TripMode_input!I101</f>
        <v>0</v>
      </c>
      <c r="K127" s="160">
        <f>TripMode_input!J101</f>
        <v>0</v>
      </c>
      <c r="L127" s="160">
        <f>TripMode_input!K101</f>
        <v>0</v>
      </c>
      <c r="M127" s="160">
        <f>TripMode_input!L101</f>
        <v>0</v>
      </c>
      <c r="N127" s="160">
        <f>TripMode_input!M101</f>
        <v>0</v>
      </c>
      <c r="O127" s="160">
        <f>TripMode_input!N101</f>
        <v>0</v>
      </c>
      <c r="P127" s="160">
        <f>TripMode_input!O101</f>
        <v>0</v>
      </c>
      <c r="Q127" s="162">
        <f t="shared" si="328"/>
        <v>0</v>
      </c>
      <c r="S127" s="107" t="s">
        <v>387</v>
      </c>
      <c r="T127" s="160">
        <f>TripMode_input!R101*Index!$B$2</f>
        <v>0</v>
      </c>
      <c r="U127" s="160">
        <f>TripMode_input!S101*Index!$B$2</f>
        <v>0</v>
      </c>
      <c r="V127" s="160">
        <f>TripMode_input!T101*Index!$B$2</f>
        <v>0</v>
      </c>
      <c r="W127" s="160">
        <f>TripMode_input!U101*Index!$B$2</f>
        <v>0</v>
      </c>
      <c r="X127" s="160">
        <f>TripMode_input!V101*Index!$B$2</f>
        <v>0</v>
      </c>
      <c r="Y127" s="160">
        <f>TripMode_input!W101*Index!$B$2</f>
        <v>0</v>
      </c>
      <c r="Z127" s="160">
        <f>TripMode_input!X101*Index!$B$2</f>
        <v>0</v>
      </c>
      <c r="AA127" s="160">
        <f>TripMode_input!Y101*Index!$B$2</f>
        <v>0</v>
      </c>
      <c r="AB127" s="160">
        <f>TripMode_input!Z101*Index!$B$2</f>
        <v>0</v>
      </c>
      <c r="AC127" s="160">
        <f>TripMode_input!AA101*Index!$B$2</f>
        <v>0</v>
      </c>
      <c r="AD127" s="160">
        <f>TripMode_input!AB101*Index!$B$2</f>
        <v>0</v>
      </c>
      <c r="AE127" s="160">
        <f>TripMode_input!AC101*Index!$B$2</f>
        <v>0</v>
      </c>
      <c r="AF127" s="160">
        <f>TripMode_input!AD101*Index!$B$2</f>
        <v>0</v>
      </c>
      <c r="AG127" s="160">
        <f>TripMode_input!AE101*Index!$B$2</f>
        <v>0</v>
      </c>
      <c r="AH127" s="162">
        <f t="shared" si="329"/>
        <v>0</v>
      </c>
      <c r="AJ127" s="107" t="s">
        <v>387</v>
      </c>
      <c r="AK127" s="166">
        <f t="shared" ref="AK127:AK140" si="360">IF(C$140&gt;0,C127/C$140,"")</f>
        <v>0</v>
      </c>
      <c r="AL127" s="166" t="str">
        <f t="shared" si="330"/>
        <v/>
      </c>
      <c r="AM127" s="166">
        <f t="shared" si="331"/>
        <v>0</v>
      </c>
      <c r="AN127" s="166">
        <f t="shared" si="332"/>
        <v>0</v>
      </c>
      <c r="AO127" s="166">
        <f t="shared" si="333"/>
        <v>0</v>
      </c>
      <c r="AP127" s="166">
        <f t="shared" si="334"/>
        <v>0</v>
      </c>
      <c r="AQ127" s="166">
        <f t="shared" si="335"/>
        <v>0</v>
      </c>
      <c r="AR127" s="166">
        <f t="shared" si="336"/>
        <v>0</v>
      </c>
      <c r="AS127" s="166">
        <f t="shared" si="337"/>
        <v>0</v>
      </c>
      <c r="AT127" s="166">
        <f t="shared" si="338"/>
        <v>0</v>
      </c>
      <c r="AU127" s="166">
        <f t="shared" si="339"/>
        <v>0</v>
      </c>
      <c r="AV127" s="166">
        <f t="shared" si="340"/>
        <v>0</v>
      </c>
      <c r="AW127" s="166">
        <f t="shared" si="341"/>
        <v>0</v>
      </c>
      <c r="AX127" s="166" t="str">
        <f t="shared" si="342"/>
        <v/>
      </c>
      <c r="AY127" s="168">
        <f t="shared" si="343"/>
        <v>0</v>
      </c>
      <c r="BA127" s="107" t="s">
        <v>387</v>
      </c>
      <c r="BB127" s="166" t="str">
        <f t="shared" ref="BB127:BB140" si="361">IF(T$140&gt;0,T127/T$140,"")</f>
        <v/>
      </c>
      <c r="BC127" s="166" t="str">
        <f t="shared" si="344"/>
        <v/>
      </c>
      <c r="BD127" s="166">
        <f t="shared" si="345"/>
        <v>0</v>
      </c>
      <c r="BE127" s="166">
        <f t="shared" si="346"/>
        <v>0</v>
      </c>
      <c r="BF127" s="166">
        <f t="shared" si="347"/>
        <v>0</v>
      </c>
      <c r="BG127" s="166">
        <f t="shared" si="348"/>
        <v>0</v>
      </c>
      <c r="BH127" s="166">
        <f t="shared" si="349"/>
        <v>0</v>
      </c>
      <c r="BI127" s="166">
        <f t="shared" si="350"/>
        <v>0</v>
      </c>
      <c r="BJ127" s="166" t="str">
        <f t="shared" si="351"/>
        <v/>
      </c>
      <c r="BK127" s="166">
        <f t="shared" si="352"/>
        <v>0</v>
      </c>
      <c r="BL127" s="166">
        <f t="shared" si="353"/>
        <v>0</v>
      </c>
      <c r="BM127" s="166" t="str">
        <f t="shared" si="354"/>
        <v/>
      </c>
      <c r="BN127" s="166">
        <f t="shared" si="355"/>
        <v>0</v>
      </c>
      <c r="BO127" s="166" t="str">
        <f t="shared" si="356"/>
        <v/>
      </c>
      <c r="BP127" s="168">
        <f t="shared" si="357"/>
        <v>0</v>
      </c>
      <c r="BR127" s="107" t="s">
        <v>387</v>
      </c>
      <c r="BS127" s="166" t="str">
        <f t="shared" si="358"/>
        <v/>
      </c>
      <c r="BT127" s="166" t="str">
        <f t="shared" si="358"/>
        <v/>
      </c>
      <c r="BU127" s="166" t="str">
        <f t="shared" si="358"/>
        <v/>
      </c>
      <c r="BV127" s="166" t="str">
        <f t="shared" si="358"/>
        <v/>
      </c>
      <c r="BW127" s="166"/>
      <c r="BX127" s="166"/>
      <c r="BY127" s="166"/>
      <c r="BZ127" s="166"/>
      <c r="CA127" s="166"/>
      <c r="CB127" s="166" t="str">
        <f t="shared" ref="CB127:CG129" si="362">IF(OR(ISNA(AT127),AT127=0,AT127=""),"",(BK127-AT127)/AT127)</f>
        <v/>
      </c>
      <c r="CC127" s="166" t="str">
        <f t="shared" si="362"/>
        <v/>
      </c>
      <c r="CD127" s="166" t="str">
        <f t="shared" si="362"/>
        <v/>
      </c>
      <c r="CE127" s="166" t="str">
        <f t="shared" si="362"/>
        <v/>
      </c>
      <c r="CF127" s="166" t="str">
        <f t="shared" si="362"/>
        <v/>
      </c>
      <c r="CG127" s="168" t="str">
        <f t="shared" si="362"/>
        <v/>
      </c>
    </row>
    <row r="128" spans="2:85" x14ac:dyDescent="0.25">
      <c r="B128" s="107" t="s">
        <v>388</v>
      </c>
      <c r="C128" s="160">
        <f>TripMode_input!B102</f>
        <v>0</v>
      </c>
      <c r="D128" s="160">
        <f>TripMode_input!C102</f>
        <v>0</v>
      </c>
      <c r="E128" s="160">
        <f>TripMode_input!D102</f>
        <v>1543352.0597000001</v>
      </c>
      <c r="F128" s="160">
        <f>TripMode_input!E102</f>
        <v>6593.9589800000003</v>
      </c>
      <c r="G128" s="160">
        <f>TripMode_input!F102</f>
        <v>121921.71591</v>
      </c>
      <c r="H128" s="160">
        <f>TripMode_input!G102</f>
        <v>6559.6326300000001</v>
      </c>
      <c r="I128" s="160">
        <f>TripMode_input!H102</f>
        <v>0</v>
      </c>
      <c r="J128" s="160">
        <f>TripMode_input!I102</f>
        <v>0</v>
      </c>
      <c r="K128" s="160">
        <f>TripMode_input!J102</f>
        <v>936.50153999999998</v>
      </c>
      <c r="L128" s="160">
        <f>TripMode_input!K102</f>
        <v>0</v>
      </c>
      <c r="M128" s="160">
        <f>TripMode_input!L102</f>
        <v>0</v>
      </c>
      <c r="N128" s="160">
        <f>TripMode_input!M102</f>
        <v>0</v>
      </c>
      <c r="O128" s="160">
        <f>TripMode_input!N102</f>
        <v>0</v>
      </c>
      <c r="P128" s="160">
        <f>TripMode_input!O102</f>
        <v>0</v>
      </c>
      <c r="Q128" s="162">
        <f t="shared" si="328"/>
        <v>1679363.8687600002</v>
      </c>
      <c r="S128" s="107" t="s">
        <v>388</v>
      </c>
      <c r="T128" s="160">
        <f>TripMode_input!R102*Index!$B$2</f>
        <v>0</v>
      </c>
      <c r="U128" s="160">
        <f>TripMode_input!S102*Index!$B$2</f>
        <v>0</v>
      </c>
      <c r="V128" s="160">
        <f>TripMode_input!T102*Index!$B$2</f>
        <v>543680</v>
      </c>
      <c r="W128" s="160">
        <f>TripMode_input!U102*Index!$B$2</f>
        <v>10750</v>
      </c>
      <c r="X128" s="160">
        <f>TripMode_input!V102*Index!$B$2</f>
        <v>1930</v>
      </c>
      <c r="Y128" s="160">
        <f>TripMode_input!W102*Index!$B$2</f>
        <v>35</v>
      </c>
      <c r="Z128" s="160">
        <f>TripMode_input!X102*Index!$B$2</f>
        <v>0</v>
      </c>
      <c r="AA128" s="160">
        <f>TripMode_input!Y102*Index!$B$2</f>
        <v>0</v>
      </c>
      <c r="AB128" s="160">
        <f>TripMode_input!Z102*Index!$B$2</f>
        <v>0</v>
      </c>
      <c r="AC128" s="160">
        <f>TripMode_input!AA102*Index!$B$2</f>
        <v>875</v>
      </c>
      <c r="AD128" s="160">
        <f>TripMode_input!AB102*Index!$B$2</f>
        <v>0</v>
      </c>
      <c r="AE128" s="160">
        <f>TripMode_input!AC102*Index!$B$2</f>
        <v>0</v>
      </c>
      <c r="AF128" s="160">
        <f>TripMode_input!AD102*Index!$B$2</f>
        <v>355</v>
      </c>
      <c r="AG128" s="160">
        <f>TripMode_input!AE102*Index!$B$2</f>
        <v>0</v>
      </c>
      <c r="AH128" s="162">
        <f t="shared" si="329"/>
        <v>557625</v>
      </c>
      <c r="AJ128" s="107" t="s">
        <v>388</v>
      </c>
      <c r="AK128" s="166">
        <f t="shared" si="360"/>
        <v>0</v>
      </c>
      <c r="AL128" s="166" t="str">
        <f t="shared" si="330"/>
        <v/>
      </c>
      <c r="AM128" s="166">
        <f t="shared" si="331"/>
        <v>0.99082174196026684</v>
      </c>
      <c r="AN128" s="166">
        <f t="shared" si="332"/>
        <v>0.50454224518634361</v>
      </c>
      <c r="AO128" s="166">
        <f t="shared" si="333"/>
        <v>8.4558616878594201E-2</v>
      </c>
      <c r="AP128" s="166">
        <f t="shared" si="334"/>
        <v>0.15968882654863559</v>
      </c>
      <c r="AQ128" s="166">
        <f t="shared" si="335"/>
        <v>0</v>
      </c>
      <c r="AR128" s="166">
        <f t="shared" si="336"/>
        <v>0</v>
      </c>
      <c r="AS128" s="166">
        <f t="shared" si="337"/>
        <v>1.4763271231047436E-2</v>
      </c>
      <c r="AT128" s="166">
        <f t="shared" si="338"/>
        <v>0</v>
      </c>
      <c r="AU128" s="166">
        <f t="shared" si="339"/>
        <v>0</v>
      </c>
      <c r="AV128" s="166">
        <f t="shared" si="340"/>
        <v>0</v>
      </c>
      <c r="AW128" s="166">
        <f t="shared" si="341"/>
        <v>0</v>
      </c>
      <c r="AX128" s="166" t="str">
        <f t="shared" si="342"/>
        <v/>
      </c>
      <c r="AY128" s="168">
        <f t="shared" si="343"/>
        <v>0.50468140164940789</v>
      </c>
      <c r="BA128" s="107" t="s">
        <v>388</v>
      </c>
      <c r="BB128" s="166" t="str">
        <f t="shared" si="361"/>
        <v/>
      </c>
      <c r="BC128" s="166" t="str">
        <f t="shared" si="344"/>
        <v/>
      </c>
      <c r="BD128" s="166">
        <f t="shared" si="345"/>
        <v>0.99309538596427138</v>
      </c>
      <c r="BE128" s="166">
        <f t="shared" si="346"/>
        <v>0.80827067669172936</v>
      </c>
      <c r="BF128" s="166">
        <f t="shared" si="347"/>
        <v>5.1716283930437583E-3</v>
      </c>
      <c r="BG128" s="166">
        <f t="shared" si="348"/>
        <v>3.1503150315031502E-3</v>
      </c>
      <c r="BH128" s="166">
        <f t="shared" si="349"/>
        <v>0</v>
      </c>
      <c r="BI128" s="166">
        <f t="shared" si="350"/>
        <v>0</v>
      </c>
      <c r="BJ128" s="166" t="str">
        <f t="shared" si="351"/>
        <v/>
      </c>
      <c r="BK128" s="166">
        <f t="shared" si="352"/>
        <v>4.7762008733624454E-2</v>
      </c>
      <c r="BL128" s="166">
        <f t="shared" si="353"/>
        <v>0</v>
      </c>
      <c r="BM128" s="166" t="str">
        <f t="shared" si="354"/>
        <v/>
      </c>
      <c r="BN128" s="166">
        <f t="shared" si="355"/>
        <v>7.3195876288659797E-2</v>
      </c>
      <c r="BO128" s="166" t="str">
        <f t="shared" si="356"/>
        <v/>
      </c>
      <c r="BP128" s="168">
        <f t="shared" si="357"/>
        <v>0.50931169281917321</v>
      </c>
      <c r="BR128" s="107" t="s">
        <v>388</v>
      </c>
      <c r="BS128" s="166" t="str">
        <f t="shared" si="358"/>
        <v/>
      </c>
      <c r="BT128" s="166" t="str">
        <f t="shared" si="358"/>
        <v/>
      </c>
      <c r="BU128" s="166">
        <f t="shared" si="358"/>
        <v>2.2947054023121282E-3</v>
      </c>
      <c r="BV128" s="166">
        <f t="shared" si="358"/>
        <v>0.60198810784062118</v>
      </c>
      <c r="BW128" s="166"/>
      <c r="BX128" s="166"/>
      <c r="BY128" s="166"/>
      <c r="BZ128" s="166"/>
      <c r="CA128" s="166"/>
      <c r="CB128" s="166" t="str">
        <f t="shared" si="362"/>
        <v/>
      </c>
      <c r="CC128" s="166" t="str">
        <f t="shared" si="362"/>
        <v/>
      </c>
      <c r="CD128" s="166" t="str">
        <f t="shared" si="362"/>
        <v/>
      </c>
      <c r="CE128" s="166" t="str">
        <f t="shared" si="362"/>
        <v/>
      </c>
      <c r="CF128" s="166" t="str">
        <f t="shared" si="362"/>
        <v/>
      </c>
      <c r="CG128" s="168">
        <f t="shared" si="362"/>
        <v>9.1746816003770489E-3</v>
      </c>
    </row>
    <row r="129" spans="2:85" x14ac:dyDescent="0.25">
      <c r="B129" s="107" t="s">
        <v>389</v>
      </c>
      <c r="C129" s="160">
        <f>TripMode_input!B103</f>
        <v>0</v>
      </c>
      <c r="D129" s="160">
        <f>TripMode_input!C103</f>
        <v>0</v>
      </c>
      <c r="E129" s="160">
        <f>TripMode_input!D103</f>
        <v>0</v>
      </c>
      <c r="F129" s="160">
        <f>TripMode_input!E103</f>
        <v>6475.2320399999999</v>
      </c>
      <c r="G129" s="160">
        <f>TripMode_input!F103</f>
        <v>0</v>
      </c>
      <c r="H129" s="160">
        <f>TripMode_input!G103</f>
        <v>4933.0185000000001</v>
      </c>
      <c r="I129" s="160">
        <f>TripMode_input!H103</f>
        <v>0</v>
      </c>
      <c r="J129" s="160">
        <f>TripMode_input!I103</f>
        <v>0</v>
      </c>
      <c r="K129" s="160">
        <f>TripMode_input!J103</f>
        <v>0</v>
      </c>
      <c r="L129" s="160">
        <f>TripMode_input!K103</f>
        <v>0</v>
      </c>
      <c r="M129" s="160">
        <f>TripMode_input!L103</f>
        <v>0</v>
      </c>
      <c r="N129" s="160">
        <f>TripMode_input!M103</f>
        <v>0</v>
      </c>
      <c r="O129" s="160">
        <f>TripMode_input!N103</f>
        <v>0</v>
      </c>
      <c r="P129" s="160">
        <f>TripMode_input!O103</f>
        <v>0</v>
      </c>
      <c r="Q129" s="162">
        <f t="shared" si="328"/>
        <v>11408.250540000001</v>
      </c>
      <c r="S129" s="107" t="s">
        <v>389</v>
      </c>
      <c r="T129" s="160">
        <f>TripMode_input!R103*Index!$B$2</f>
        <v>0</v>
      </c>
      <c r="U129" s="160">
        <f>TripMode_input!S103*Index!$B$2</f>
        <v>0</v>
      </c>
      <c r="V129" s="160">
        <f>TripMode_input!T103*Index!$B$2</f>
        <v>0</v>
      </c>
      <c r="W129" s="160">
        <f>TripMode_input!U103*Index!$B$2</f>
        <v>2550</v>
      </c>
      <c r="X129" s="160">
        <f>TripMode_input!V103*Index!$B$2</f>
        <v>0</v>
      </c>
      <c r="Y129" s="160">
        <f>TripMode_input!W103*Index!$B$2</f>
        <v>10</v>
      </c>
      <c r="Z129" s="160">
        <f>TripMode_input!X103*Index!$B$2</f>
        <v>0</v>
      </c>
      <c r="AA129" s="160">
        <f>TripMode_input!Y103*Index!$B$2</f>
        <v>0</v>
      </c>
      <c r="AB129" s="160">
        <f>TripMode_input!Z103*Index!$B$2</f>
        <v>0</v>
      </c>
      <c r="AC129" s="160">
        <f>TripMode_input!AA103*Index!$B$2</f>
        <v>70</v>
      </c>
      <c r="AD129" s="160">
        <f>TripMode_input!AB103*Index!$B$2</f>
        <v>0</v>
      </c>
      <c r="AE129" s="160">
        <f>TripMode_input!AC103*Index!$B$2</f>
        <v>0</v>
      </c>
      <c r="AF129" s="160">
        <f>TripMode_input!AD103*Index!$B$2</f>
        <v>105</v>
      </c>
      <c r="AG129" s="160">
        <f>TripMode_input!AE103*Index!$B$2</f>
        <v>0</v>
      </c>
      <c r="AH129" s="162">
        <f t="shared" si="329"/>
        <v>2735</v>
      </c>
      <c r="AJ129" s="107" t="s">
        <v>389</v>
      </c>
      <c r="AK129" s="166">
        <f t="shared" si="360"/>
        <v>0</v>
      </c>
      <c r="AL129" s="166" t="str">
        <f t="shared" si="330"/>
        <v/>
      </c>
      <c r="AM129" s="166">
        <f t="shared" si="331"/>
        <v>0</v>
      </c>
      <c r="AN129" s="166">
        <f t="shared" si="332"/>
        <v>0.49545775481365639</v>
      </c>
      <c r="AO129" s="166">
        <f t="shared" si="333"/>
        <v>0</v>
      </c>
      <c r="AP129" s="166">
        <f t="shared" si="334"/>
        <v>0.12009025200664485</v>
      </c>
      <c r="AQ129" s="166">
        <f t="shared" si="335"/>
        <v>0</v>
      </c>
      <c r="AR129" s="166">
        <f t="shared" si="336"/>
        <v>0</v>
      </c>
      <c r="AS129" s="166">
        <f t="shared" si="337"/>
        <v>0</v>
      </c>
      <c r="AT129" s="166">
        <f t="shared" si="338"/>
        <v>0</v>
      </c>
      <c r="AU129" s="166">
        <f t="shared" si="339"/>
        <v>0</v>
      </c>
      <c r="AV129" s="166">
        <f t="shared" si="340"/>
        <v>0</v>
      </c>
      <c r="AW129" s="166">
        <f t="shared" si="341"/>
        <v>0</v>
      </c>
      <c r="AX129" s="166" t="str">
        <f t="shared" si="342"/>
        <v/>
      </c>
      <c r="AY129" s="168">
        <f t="shared" si="343"/>
        <v>3.428400467580639E-3</v>
      </c>
      <c r="BA129" s="107" t="s">
        <v>389</v>
      </c>
      <c r="BB129" s="166" t="str">
        <f t="shared" si="361"/>
        <v/>
      </c>
      <c r="BC129" s="166" t="str">
        <f t="shared" si="344"/>
        <v/>
      </c>
      <c r="BD129" s="166">
        <f t="shared" si="345"/>
        <v>0</v>
      </c>
      <c r="BE129" s="166">
        <f t="shared" si="346"/>
        <v>0.19172932330827067</v>
      </c>
      <c r="BF129" s="166">
        <f t="shared" si="347"/>
        <v>0</v>
      </c>
      <c r="BG129" s="166">
        <f t="shared" si="348"/>
        <v>9.0009000900090005E-4</v>
      </c>
      <c r="BH129" s="166">
        <f t="shared" si="349"/>
        <v>0</v>
      </c>
      <c r="BI129" s="166">
        <f t="shared" si="350"/>
        <v>0</v>
      </c>
      <c r="BJ129" s="166" t="str">
        <f t="shared" si="351"/>
        <v/>
      </c>
      <c r="BK129" s="166">
        <f t="shared" si="352"/>
        <v>3.8209606986899561E-3</v>
      </c>
      <c r="BL129" s="166">
        <f t="shared" si="353"/>
        <v>0</v>
      </c>
      <c r="BM129" s="166" t="str">
        <f t="shared" si="354"/>
        <v/>
      </c>
      <c r="BN129" s="166">
        <f t="shared" si="355"/>
        <v>2.1649484536082474E-2</v>
      </c>
      <c r="BO129" s="166" t="str">
        <f t="shared" si="356"/>
        <v/>
      </c>
      <c r="BP129" s="168">
        <f t="shared" si="357"/>
        <v>2.4980362786109641E-3</v>
      </c>
      <c r="BR129" s="107" t="s">
        <v>389</v>
      </c>
      <c r="BS129" s="166" t="str">
        <f t="shared" si="358"/>
        <v/>
      </c>
      <c r="BT129" s="166" t="str">
        <f t="shared" si="358"/>
        <v/>
      </c>
      <c r="BU129" s="166" t="str">
        <f t="shared" si="358"/>
        <v/>
      </c>
      <c r="BV129" s="166">
        <f t="shared" si="358"/>
        <v>-0.61302589081407999</v>
      </c>
      <c r="BW129" s="166"/>
      <c r="BX129" s="166"/>
      <c r="BY129" s="166"/>
      <c r="BZ129" s="166"/>
      <c r="CA129" s="166"/>
      <c r="CB129" s="166" t="str">
        <f t="shared" si="362"/>
        <v/>
      </c>
      <c r="CC129" s="166" t="str">
        <f t="shared" si="362"/>
        <v/>
      </c>
      <c r="CD129" s="166" t="str">
        <f t="shared" si="362"/>
        <v/>
      </c>
      <c r="CE129" s="166" t="str">
        <f t="shared" si="362"/>
        <v/>
      </c>
      <c r="CF129" s="166" t="str">
        <f t="shared" si="362"/>
        <v/>
      </c>
      <c r="CG129" s="168">
        <f t="shared" si="362"/>
        <v>-0.27136975326170582</v>
      </c>
    </row>
    <row r="130" spans="2:85" x14ac:dyDescent="0.25">
      <c r="B130" s="107" t="s">
        <v>390</v>
      </c>
      <c r="C130" s="160">
        <f>TripMode_input!B104</f>
        <v>0</v>
      </c>
      <c r="D130" s="160">
        <f>TripMode_input!C104</f>
        <v>0</v>
      </c>
      <c r="E130" s="160">
        <f>TripMode_input!D104</f>
        <v>0</v>
      </c>
      <c r="F130" s="160">
        <f>TripMode_input!E104</f>
        <v>0</v>
      </c>
      <c r="G130" s="160">
        <f>TripMode_input!F104</f>
        <v>1310222.9162600001</v>
      </c>
      <c r="H130" s="160">
        <f>TripMode_input!G104</f>
        <v>18651.360089999998</v>
      </c>
      <c r="I130" s="160">
        <f>TripMode_input!H104</f>
        <v>0</v>
      </c>
      <c r="J130" s="160">
        <f>TripMode_input!I104</f>
        <v>0</v>
      </c>
      <c r="K130" s="160">
        <f>TripMode_input!J104</f>
        <v>962.79214000000002</v>
      </c>
      <c r="L130" s="160">
        <f>TripMode_input!K104</f>
        <v>0</v>
      </c>
      <c r="M130" s="160">
        <f>TripMode_input!L104</f>
        <v>1081.5683200000001</v>
      </c>
      <c r="N130" s="160">
        <f>TripMode_input!M104</f>
        <v>0</v>
      </c>
      <c r="O130" s="160">
        <f>TripMode_input!N104</f>
        <v>0</v>
      </c>
      <c r="P130" s="160">
        <f>TripMode_input!O104</f>
        <v>0</v>
      </c>
      <c r="Q130" s="162">
        <f t="shared" si="328"/>
        <v>1330918.6368100003</v>
      </c>
      <c r="S130" s="107" t="s">
        <v>390</v>
      </c>
      <c r="T130" s="160">
        <f>TripMode_input!R104*Index!$B$2</f>
        <v>0</v>
      </c>
      <c r="U130" s="160">
        <f>TripMode_input!S104*Index!$B$2</f>
        <v>0</v>
      </c>
      <c r="V130" s="160">
        <f>TripMode_input!T104*Index!$B$2</f>
        <v>0</v>
      </c>
      <c r="W130" s="160">
        <f>TripMode_input!U104*Index!$B$2</f>
        <v>0</v>
      </c>
      <c r="X130" s="160">
        <f>TripMode_input!V104*Index!$B$2</f>
        <v>364555</v>
      </c>
      <c r="Y130" s="160">
        <f>TripMode_input!W104*Index!$B$2</f>
        <v>8940</v>
      </c>
      <c r="Z130" s="160">
        <f>TripMode_input!X104*Index!$B$2</f>
        <v>0</v>
      </c>
      <c r="AA130" s="160">
        <f>TripMode_input!Y104*Index!$B$2</f>
        <v>0</v>
      </c>
      <c r="AB130" s="160">
        <f>TripMode_input!Z104*Index!$B$2</f>
        <v>0</v>
      </c>
      <c r="AC130" s="160">
        <f>TripMode_input!AA104*Index!$B$2</f>
        <v>405</v>
      </c>
      <c r="AD130" s="160">
        <f>TripMode_input!AB104*Index!$B$2</f>
        <v>0</v>
      </c>
      <c r="AE130" s="160">
        <f>TripMode_input!AC104*Index!$B$2</f>
        <v>0</v>
      </c>
      <c r="AF130" s="160">
        <f>TripMode_input!AD104*Index!$B$2</f>
        <v>95</v>
      </c>
      <c r="AG130" s="160">
        <f>TripMode_input!AE104*Index!$B$2</f>
        <v>0</v>
      </c>
      <c r="AH130" s="162">
        <f t="shared" si="329"/>
        <v>373995</v>
      </c>
      <c r="AJ130" s="107" t="s">
        <v>390</v>
      </c>
      <c r="AK130" s="166">
        <f t="shared" si="360"/>
        <v>0</v>
      </c>
      <c r="AL130" s="166" t="str">
        <f t="shared" si="330"/>
        <v/>
      </c>
      <c r="AM130" s="166">
        <f t="shared" si="331"/>
        <v>0</v>
      </c>
      <c r="AN130" s="166">
        <f t="shared" si="332"/>
        <v>0</v>
      </c>
      <c r="AO130" s="166">
        <f t="shared" si="333"/>
        <v>0.90870307044699916</v>
      </c>
      <c r="AP130" s="166">
        <f t="shared" si="334"/>
        <v>0.45405192246385812</v>
      </c>
      <c r="AQ130" s="166">
        <f t="shared" si="335"/>
        <v>0</v>
      </c>
      <c r="AR130" s="166">
        <f t="shared" si="336"/>
        <v>0</v>
      </c>
      <c r="AS130" s="166">
        <f t="shared" si="337"/>
        <v>1.5177723575276338E-2</v>
      </c>
      <c r="AT130" s="166">
        <f t="shared" si="338"/>
        <v>0</v>
      </c>
      <c r="AU130" s="166">
        <f t="shared" si="339"/>
        <v>0.1100841216129131</v>
      </c>
      <c r="AV130" s="166">
        <f t="shared" si="340"/>
        <v>0</v>
      </c>
      <c r="AW130" s="166">
        <f t="shared" si="341"/>
        <v>0</v>
      </c>
      <c r="AX130" s="166" t="str">
        <f t="shared" si="342"/>
        <v/>
      </c>
      <c r="AY130" s="168">
        <f t="shared" si="343"/>
        <v>0.3999668538793496</v>
      </c>
      <c r="BA130" s="107" t="s">
        <v>390</v>
      </c>
      <c r="BB130" s="166" t="str">
        <f t="shared" si="361"/>
        <v/>
      </c>
      <c r="BC130" s="166" t="str">
        <f t="shared" si="344"/>
        <v/>
      </c>
      <c r="BD130" s="166">
        <f t="shared" si="345"/>
        <v>0</v>
      </c>
      <c r="BE130" s="166">
        <f t="shared" si="346"/>
        <v>0</v>
      </c>
      <c r="BF130" s="166">
        <f t="shared" si="347"/>
        <v>0.97686165224148558</v>
      </c>
      <c r="BG130" s="166">
        <f t="shared" si="348"/>
        <v>0.80468046804680471</v>
      </c>
      <c r="BH130" s="166">
        <f t="shared" si="349"/>
        <v>0</v>
      </c>
      <c r="BI130" s="166">
        <f t="shared" si="350"/>
        <v>0</v>
      </c>
      <c r="BJ130" s="166" t="str">
        <f t="shared" si="351"/>
        <v/>
      </c>
      <c r="BK130" s="166">
        <f t="shared" si="352"/>
        <v>2.2106986899563318E-2</v>
      </c>
      <c r="BL130" s="166">
        <f t="shared" si="353"/>
        <v>0</v>
      </c>
      <c r="BM130" s="166" t="str">
        <f t="shared" si="354"/>
        <v/>
      </c>
      <c r="BN130" s="166">
        <f t="shared" si="355"/>
        <v>1.9587628865979381E-2</v>
      </c>
      <c r="BO130" s="166" t="str">
        <f t="shared" si="356"/>
        <v/>
      </c>
      <c r="BP130" s="168">
        <f t="shared" si="357"/>
        <v>0.34159161901978335</v>
      </c>
      <c r="BR130" s="107" t="s">
        <v>390</v>
      </c>
      <c r="BS130" s="166"/>
      <c r="BT130" s="166"/>
      <c r="BU130" s="166"/>
      <c r="BV130" s="166"/>
      <c r="BW130" s="166"/>
      <c r="BX130" s="166"/>
      <c r="BY130" s="166"/>
      <c r="BZ130" s="166"/>
      <c r="CA130" s="166"/>
      <c r="CB130" s="166"/>
      <c r="CC130" s="166"/>
      <c r="CD130" s="166"/>
      <c r="CE130" s="166"/>
      <c r="CF130" s="166"/>
      <c r="CG130" s="168"/>
    </row>
    <row r="131" spans="2:85" x14ac:dyDescent="0.25">
      <c r="B131" s="107" t="s">
        <v>391</v>
      </c>
      <c r="C131" s="160">
        <f>TripMode_input!B105</f>
        <v>0</v>
      </c>
      <c r="D131" s="160">
        <f>TripMode_input!C105</f>
        <v>0</v>
      </c>
      <c r="E131" s="160">
        <f>TripMode_input!D105</f>
        <v>0</v>
      </c>
      <c r="F131" s="160">
        <f>TripMode_input!E105</f>
        <v>0</v>
      </c>
      <c r="G131" s="160">
        <f>TripMode_input!F105</f>
        <v>0</v>
      </c>
      <c r="H131" s="160">
        <f>TripMode_input!G105</f>
        <v>10893.227500000001</v>
      </c>
      <c r="I131" s="160">
        <f>TripMode_input!H105</f>
        <v>0</v>
      </c>
      <c r="J131" s="160">
        <f>TripMode_input!I105</f>
        <v>0</v>
      </c>
      <c r="K131" s="160">
        <f>TripMode_input!J105</f>
        <v>0</v>
      </c>
      <c r="L131" s="160">
        <f>TripMode_input!K105</f>
        <v>0</v>
      </c>
      <c r="M131" s="160">
        <f>TripMode_input!L105</f>
        <v>0</v>
      </c>
      <c r="N131" s="160">
        <f>TripMode_input!M105</f>
        <v>0</v>
      </c>
      <c r="O131" s="160">
        <f>TripMode_input!N105</f>
        <v>0</v>
      </c>
      <c r="P131" s="160">
        <f>TripMode_input!O105</f>
        <v>0</v>
      </c>
      <c r="Q131" s="162">
        <f t="shared" si="328"/>
        <v>10893.227500000001</v>
      </c>
      <c r="S131" s="107" t="s">
        <v>391</v>
      </c>
      <c r="T131" s="160">
        <f>TripMode_input!R105*Index!$B$2</f>
        <v>0</v>
      </c>
      <c r="U131" s="160">
        <f>TripMode_input!S105*Index!$B$2</f>
        <v>0</v>
      </c>
      <c r="V131" s="160">
        <f>TripMode_input!T105*Index!$B$2</f>
        <v>0</v>
      </c>
      <c r="W131" s="160">
        <f>TripMode_input!U105*Index!$B$2</f>
        <v>0</v>
      </c>
      <c r="X131" s="160">
        <f>TripMode_input!V105*Index!$B$2</f>
        <v>4290</v>
      </c>
      <c r="Y131" s="160">
        <f>TripMode_input!W105*Index!$B$2</f>
        <v>2125</v>
      </c>
      <c r="Z131" s="160">
        <f>TripMode_input!X105*Index!$B$2</f>
        <v>0</v>
      </c>
      <c r="AA131" s="160">
        <f>TripMode_input!Y105*Index!$B$2</f>
        <v>0</v>
      </c>
      <c r="AB131" s="160">
        <f>TripMode_input!Z105*Index!$B$2</f>
        <v>0</v>
      </c>
      <c r="AC131" s="160">
        <f>TripMode_input!AA105*Index!$B$2</f>
        <v>120</v>
      </c>
      <c r="AD131" s="160">
        <f>TripMode_input!AB105*Index!$B$2</f>
        <v>0</v>
      </c>
      <c r="AE131" s="160">
        <f>TripMode_input!AC105*Index!$B$2</f>
        <v>0</v>
      </c>
      <c r="AF131" s="160">
        <f>TripMode_input!AD105*Index!$B$2</f>
        <v>15</v>
      </c>
      <c r="AG131" s="160">
        <f>TripMode_input!AE105*Index!$B$2</f>
        <v>0</v>
      </c>
      <c r="AH131" s="162">
        <f t="shared" si="329"/>
        <v>6550</v>
      </c>
      <c r="AJ131" s="107" t="s">
        <v>391</v>
      </c>
      <c r="AK131" s="166">
        <f t="shared" si="360"/>
        <v>0</v>
      </c>
      <c r="AL131" s="166" t="str">
        <f t="shared" si="330"/>
        <v/>
      </c>
      <c r="AM131" s="166">
        <f t="shared" si="331"/>
        <v>0</v>
      </c>
      <c r="AN131" s="166">
        <f t="shared" si="332"/>
        <v>0</v>
      </c>
      <c r="AO131" s="166">
        <f t="shared" si="333"/>
        <v>0</v>
      </c>
      <c r="AP131" s="166">
        <f t="shared" si="334"/>
        <v>0.26518660646432074</v>
      </c>
      <c r="AQ131" s="166">
        <f t="shared" si="335"/>
        <v>0</v>
      </c>
      <c r="AR131" s="166">
        <f t="shared" si="336"/>
        <v>0</v>
      </c>
      <c r="AS131" s="166">
        <f t="shared" si="337"/>
        <v>0</v>
      </c>
      <c r="AT131" s="166">
        <f t="shared" si="338"/>
        <v>0</v>
      </c>
      <c r="AU131" s="166">
        <f t="shared" si="339"/>
        <v>0</v>
      </c>
      <c r="AV131" s="166">
        <f t="shared" si="340"/>
        <v>0</v>
      </c>
      <c r="AW131" s="166">
        <f t="shared" si="341"/>
        <v>0</v>
      </c>
      <c r="AX131" s="166" t="str">
        <f t="shared" si="342"/>
        <v/>
      </c>
      <c r="AY131" s="168">
        <f t="shared" si="343"/>
        <v>3.2736260589226393E-3</v>
      </c>
      <c r="BA131" s="107" t="s">
        <v>391</v>
      </c>
      <c r="BB131" s="166" t="str">
        <f t="shared" si="361"/>
        <v/>
      </c>
      <c r="BC131" s="166" t="str">
        <f t="shared" si="344"/>
        <v/>
      </c>
      <c r="BD131" s="166">
        <f t="shared" si="345"/>
        <v>0</v>
      </c>
      <c r="BE131" s="166">
        <f t="shared" si="346"/>
        <v>0</v>
      </c>
      <c r="BF131" s="166">
        <f t="shared" si="347"/>
        <v>1.149548487365685E-2</v>
      </c>
      <c r="BG131" s="166">
        <f t="shared" si="348"/>
        <v>0.19126912691269127</v>
      </c>
      <c r="BH131" s="166">
        <f t="shared" si="349"/>
        <v>0</v>
      </c>
      <c r="BI131" s="166">
        <f t="shared" si="350"/>
        <v>0</v>
      </c>
      <c r="BJ131" s="166" t="str">
        <f t="shared" si="351"/>
        <v/>
      </c>
      <c r="BK131" s="166">
        <f t="shared" si="352"/>
        <v>6.5502183406113534E-3</v>
      </c>
      <c r="BL131" s="166">
        <f t="shared" si="353"/>
        <v>0</v>
      </c>
      <c r="BM131" s="166" t="str">
        <f t="shared" si="354"/>
        <v/>
      </c>
      <c r="BN131" s="166">
        <f t="shared" si="355"/>
        <v>3.092783505154639E-3</v>
      </c>
      <c r="BO131" s="166" t="str">
        <f t="shared" si="356"/>
        <v/>
      </c>
      <c r="BP131" s="168">
        <f t="shared" si="357"/>
        <v>5.982500045667939E-3</v>
      </c>
      <c r="BR131" s="107" t="s">
        <v>391</v>
      </c>
      <c r="BS131" s="166"/>
      <c r="BT131" s="166"/>
      <c r="BU131" s="166"/>
      <c r="BV131" s="166"/>
      <c r="BW131" s="166"/>
      <c r="BX131" s="166"/>
      <c r="BY131" s="166"/>
      <c r="BZ131" s="166"/>
      <c r="CA131" s="166"/>
      <c r="CB131" s="166"/>
      <c r="CC131" s="166"/>
      <c r="CD131" s="166"/>
      <c r="CE131" s="166"/>
      <c r="CF131" s="166"/>
      <c r="CG131" s="168"/>
    </row>
    <row r="132" spans="2:85" x14ac:dyDescent="0.25">
      <c r="B132" s="107" t="s">
        <v>392</v>
      </c>
      <c r="C132" s="160">
        <f>TripMode_input!B106</f>
        <v>79.002579999999995</v>
      </c>
      <c r="D132" s="160">
        <f>TripMode_input!C106</f>
        <v>0</v>
      </c>
      <c r="E132" s="160">
        <f>TripMode_input!D106</f>
        <v>8511.7564000000002</v>
      </c>
      <c r="F132" s="160">
        <f>TripMode_input!E106</f>
        <v>0</v>
      </c>
      <c r="G132" s="160">
        <f>TripMode_input!F106</f>
        <v>6301.7991099999999</v>
      </c>
      <c r="H132" s="160">
        <f>TripMode_input!G106</f>
        <v>40.354320000000001</v>
      </c>
      <c r="I132" s="160">
        <f>TripMode_input!H106</f>
        <v>176119.46624000001</v>
      </c>
      <c r="J132" s="160">
        <f>TripMode_input!I106</f>
        <v>0</v>
      </c>
      <c r="K132" s="160">
        <f>TripMode_input!J106</f>
        <v>8234.2448299999996</v>
      </c>
      <c r="L132" s="160">
        <f>TripMode_input!K106</f>
        <v>1739.18246</v>
      </c>
      <c r="M132" s="160">
        <f>TripMode_input!L106</f>
        <v>2553.9297000000001</v>
      </c>
      <c r="N132" s="160">
        <f>TripMode_input!M106</f>
        <v>548.45777999999996</v>
      </c>
      <c r="O132" s="160">
        <f>TripMode_input!N106</f>
        <v>223.74852000000001</v>
      </c>
      <c r="P132" s="160">
        <f>TripMode_input!O106</f>
        <v>0</v>
      </c>
      <c r="Q132" s="162">
        <f t="shared" si="328"/>
        <v>204351.94194000002</v>
      </c>
      <c r="S132" s="107" t="s">
        <v>392</v>
      </c>
      <c r="T132" s="160">
        <f>TripMode_input!R106*Index!$B$2</f>
        <v>0</v>
      </c>
      <c r="U132" s="160">
        <f>TripMode_input!S106*Index!$B$2</f>
        <v>0</v>
      </c>
      <c r="V132" s="160">
        <f>TripMode_input!T106*Index!$B$2</f>
        <v>3780</v>
      </c>
      <c r="W132" s="160">
        <f>TripMode_input!U106*Index!$B$2</f>
        <v>0</v>
      </c>
      <c r="X132" s="160">
        <f>TripMode_input!V106*Index!$B$2</f>
        <v>2415</v>
      </c>
      <c r="Y132" s="160">
        <f>TripMode_input!W106*Index!$B$2</f>
        <v>0</v>
      </c>
      <c r="Z132" s="160">
        <f>TripMode_input!X106*Index!$B$2</f>
        <v>124060</v>
      </c>
      <c r="AA132" s="160">
        <f>TripMode_input!Y106*Index!$B$2</f>
        <v>0</v>
      </c>
      <c r="AB132" s="160">
        <f>TripMode_input!Z106*Index!$B$2</f>
        <v>0</v>
      </c>
      <c r="AC132" s="160">
        <f>TripMode_input!AA106*Index!$B$2</f>
        <v>360</v>
      </c>
      <c r="AD132" s="160">
        <f>TripMode_input!AB106*Index!$B$2</f>
        <v>0</v>
      </c>
      <c r="AE132" s="160">
        <f>TripMode_input!AC106*Index!$B$2</f>
        <v>0</v>
      </c>
      <c r="AF132" s="160">
        <f>TripMode_input!AD106*Index!$B$2</f>
        <v>135</v>
      </c>
      <c r="AG132" s="160">
        <f>TripMode_input!AE106*Index!$B$2</f>
        <v>0</v>
      </c>
      <c r="AH132" s="162">
        <f t="shared" si="329"/>
        <v>130750</v>
      </c>
      <c r="AJ132" s="107" t="s">
        <v>392</v>
      </c>
      <c r="AK132" s="166">
        <f t="shared" si="360"/>
        <v>0.10956285059747316</v>
      </c>
      <c r="AL132" s="166" t="str">
        <f t="shared" si="330"/>
        <v/>
      </c>
      <c r="AM132" s="166">
        <f t="shared" si="331"/>
        <v>5.4644909114442732E-3</v>
      </c>
      <c r="AN132" s="166">
        <f t="shared" si="332"/>
        <v>0</v>
      </c>
      <c r="AO132" s="166">
        <f t="shared" si="333"/>
        <v>4.3706029939876347E-3</v>
      </c>
      <c r="AP132" s="166">
        <f t="shared" si="334"/>
        <v>9.8239251654069163E-4</v>
      </c>
      <c r="AQ132" s="166">
        <f t="shared" si="335"/>
        <v>1</v>
      </c>
      <c r="AR132" s="166">
        <f t="shared" si="336"/>
        <v>0</v>
      </c>
      <c r="AS132" s="166">
        <f t="shared" si="337"/>
        <v>0.12980692995778745</v>
      </c>
      <c r="AT132" s="166">
        <f t="shared" si="338"/>
        <v>0.14090563613337612</v>
      </c>
      <c r="AU132" s="166">
        <f t="shared" si="339"/>
        <v>0.25994391892472468</v>
      </c>
      <c r="AV132" s="166">
        <f t="shared" si="340"/>
        <v>0.13501981908718552</v>
      </c>
      <c r="AW132" s="166">
        <f t="shared" si="341"/>
        <v>5.6418928466669682E-2</v>
      </c>
      <c r="AX132" s="166" t="str">
        <f t="shared" si="342"/>
        <v/>
      </c>
      <c r="AY132" s="168">
        <f t="shared" si="343"/>
        <v>6.1411720477354416E-2</v>
      </c>
      <c r="BA132" s="107" t="s">
        <v>392</v>
      </c>
      <c r="BB132" s="166" t="str">
        <f t="shared" si="361"/>
        <v/>
      </c>
      <c r="BC132" s="166" t="str">
        <f t="shared" si="344"/>
        <v/>
      </c>
      <c r="BD132" s="166">
        <f t="shared" si="345"/>
        <v>6.9046140357286378E-3</v>
      </c>
      <c r="BE132" s="166">
        <f t="shared" si="346"/>
        <v>0</v>
      </c>
      <c r="BF132" s="166">
        <f t="shared" si="347"/>
        <v>6.4712344918138216E-3</v>
      </c>
      <c r="BG132" s="166">
        <f t="shared" si="348"/>
        <v>0</v>
      </c>
      <c r="BH132" s="166">
        <f t="shared" si="349"/>
        <v>1</v>
      </c>
      <c r="BI132" s="166">
        <f t="shared" si="350"/>
        <v>0</v>
      </c>
      <c r="BJ132" s="166" t="str">
        <f t="shared" si="351"/>
        <v/>
      </c>
      <c r="BK132" s="166">
        <f t="shared" si="352"/>
        <v>1.9650655021834062E-2</v>
      </c>
      <c r="BL132" s="166">
        <f t="shared" si="353"/>
        <v>0</v>
      </c>
      <c r="BM132" s="166" t="str">
        <f t="shared" si="354"/>
        <v/>
      </c>
      <c r="BN132" s="166">
        <f t="shared" si="355"/>
        <v>2.7835051546391754E-2</v>
      </c>
      <c r="BO132" s="166" t="str">
        <f t="shared" si="356"/>
        <v/>
      </c>
      <c r="BP132" s="168">
        <f t="shared" si="357"/>
        <v>0.11942166121695924</v>
      </c>
      <c r="BR132" s="107" t="s">
        <v>392</v>
      </c>
      <c r="BS132" s="166"/>
      <c r="BT132" s="166"/>
      <c r="BU132" s="166"/>
      <c r="BV132" s="166"/>
      <c r="BW132" s="166"/>
      <c r="BX132" s="166"/>
      <c r="BY132" s="166"/>
      <c r="BZ132" s="166"/>
      <c r="CA132" s="166"/>
      <c r="CB132" s="166"/>
      <c r="CC132" s="166"/>
      <c r="CD132" s="166"/>
      <c r="CE132" s="166"/>
      <c r="CF132" s="166"/>
      <c r="CG132" s="168"/>
    </row>
    <row r="133" spans="2:85" x14ac:dyDescent="0.25">
      <c r="B133" s="107" t="s">
        <v>393</v>
      </c>
      <c r="C133" s="160">
        <f>TripMode_input!B107</f>
        <v>0</v>
      </c>
      <c r="D133" s="160">
        <f>TripMode_input!C107</f>
        <v>0</v>
      </c>
      <c r="E133" s="160">
        <f>TripMode_input!D107</f>
        <v>489.24655999999999</v>
      </c>
      <c r="F133" s="160">
        <f>TripMode_input!E107</f>
        <v>0</v>
      </c>
      <c r="G133" s="160">
        <f>TripMode_input!F107</f>
        <v>164.37088</v>
      </c>
      <c r="H133" s="160">
        <f>TripMode_input!G107</f>
        <v>0</v>
      </c>
      <c r="I133" s="160">
        <f>TripMode_input!H107</f>
        <v>0</v>
      </c>
      <c r="J133" s="160">
        <f>TripMode_input!I107</f>
        <v>3445.8493199999998</v>
      </c>
      <c r="K133" s="160">
        <f>TripMode_input!J107</f>
        <v>0</v>
      </c>
      <c r="L133" s="160">
        <f>TripMode_input!K107</f>
        <v>0</v>
      </c>
      <c r="M133" s="160">
        <f>TripMode_input!L107</f>
        <v>0</v>
      </c>
      <c r="N133" s="160">
        <f>TripMode_input!M107</f>
        <v>0</v>
      </c>
      <c r="O133" s="160">
        <f>TripMode_input!N107</f>
        <v>0</v>
      </c>
      <c r="P133" s="160">
        <f>TripMode_input!O107</f>
        <v>0</v>
      </c>
      <c r="Q133" s="162">
        <f t="shared" si="328"/>
        <v>4099.4667599999993</v>
      </c>
      <c r="S133" s="107" t="s">
        <v>393</v>
      </c>
      <c r="T133" s="160">
        <f>TripMode_input!R107*Index!$B$2</f>
        <v>0</v>
      </c>
      <c r="U133" s="160">
        <f>TripMode_input!S107*Index!$B$2</f>
        <v>0</v>
      </c>
      <c r="V133" s="160">
        <f>TripMode_input!T107*Index!$B$2</f>
        <v>0</v>
      </c>
      <c r="W133" s="160">
        <f>TripMode_input!U107*Index!$B$2</f>
        <v>0</v>
      </c>
      <c r="X133" s="160">
        <f>TripMode_input!V107*Index!$B$2</f>
        <v>0</v>
      </c>
      <c r="Y133" s="160">
        <f>TripMode_input!W107*Index!$B$2</f>
        <v>0</v>
      </c>
      <c r="Z133" s="160">
        <f>TripMode_input!X107*Index!$B$2</f>
        <v>0</v>
      </c>
      <c r="AA133" s="160">
        <f>TripMode_input!Y107*Index!$B$2</f>
        <v>1590</v>
      </c>
      <c r="AB133" s="160">
        <f>TripMode_input!Z107*Index!$B$2</f>
        <v>0</v>
      </c>
      <c r="AC133" s="160">
        <f>TripMode_input!AA107*Index!$B$2</f>
        <v>0</v>
      </c>
      <c r="AD133" s="160">
        <f>TripMode_input!AB107*Index!$B$2</f>
        <v>0</v>
      </c>
      <c r="AE133" s="160">
        <f>TripMode_input!AC107*Index!$B$2</f>
        <v>0</v>
      </c>
      <c r="AF133" s="160">
        <f>TripMode_input!AD107*Index!$B$2</f>
        <v>0</v>
      </c>
      <c r="AG133" s="160">
        <f>TripMode_input!AE107*Index!$B$2</f>
        <v>0</v>
      </c>
      <c r="AH133" s="162">
        <f t="shared" si="329"/>
        <v>1590</v>
      </c>
      <c r="AJ133" s="107" t="s">
        <v>393</v>
      </c>
      <c r="AK133" s="166">
        <f t="shared" si="360"/>
        <v>0</v>
      </c>
      <c r="AL133" s="166" t="str">
        <f t="shared" si="330"/>
        <v/>
      </c>
      <c r="AM133" s="166">
        <f t="shared" si="331"/>
        <v>3.1409303261726044E-4</v>
      </c>
      <c r="AN133" s="166">
        <f t="shared" si="332"/>
        <v>0</v>
      </c>
      <c r="AO133" s="166">
        <f t="shared" si="333"/>
        <v>1.1399916876315378E-4</v>
      </c>
      <c r="AP133" s="166">
        <f t="shared" si="334"/>
        <v>0</v>
      </c>
      <c r="AQ133" s="166">
        <f t="shared" si="335"/>
        <v>0</v>
      </c>
      <c r="AR133" s="166">
        <f t="shared" si="336"/>
        <v>1</v>
      </c>
      <c r="AS133" s="166">
        <f t="shared" si="337"/>
        <v>0</v>
      </c>
      <c r="AT133" s="166">
        <f t="shared" si="338"/>
        <v>0</v>
      </c>
      <c r="AU133" s="166">
        <f t="shared" si="339"/>
        <v>0</v>
      </c>
      <c r="AV133" s="166">
        <f t="shared" si="340"/>
        <v>0</v>
      </c>
      <c r="AW133" s="166">
        <f t="shared" si="341"/>
        <v>0</v>
      </c>
      <c r="AX133" s="166" t="str">
        <f t="shared" si="342"/>
        <v/>
      </c>
      <c r="AY133" s="168">
        <f t="shared" si="343"/>
        <v>1.2319692408171185E-3</v>
      </c>
      <c r="BA133" s="107" t="s">
        <v>393</v>
      </c>
      <c r="BB133" s="166" t="str">
        <f t="shared" si="361"/>
        <v/>
      </c>
      <c r="BC133" s="166" t="str">
        <f t="shared" si="344"/>
        <v/>
      </c>
      <c r="BD133" s="166">
        <f t="shared" si="345"/>
        <v>0</v>
      </c>
      <c r="BE133" s="166">
        <f t="shared" si="346"/>
        <v>0</v>
      </c>
      <c r="BF133" s="166">
        <f t="shared" si="347"/>
        <v>0</v>
      </c>
      <c r="BG133" s="166">
        <f t="shared" si="348"/>
        <v>0</v>
      </c>
      <c r="BH133" s="166">
        <f t="shared" si="349"/>
        <v>0</v>
      </c>
      <c r="BI133" s="166">
        <f t="shared" si="350"/>
        <v>1</v>
      </c>
      <c r="BJ133" s="166" t="str">
        <f t="shared" si="351"/>
        <v/>
      </c>
      <c r="BK133" s="166">
        <f t="shared" si="352"/>
        <v>0</v>
      </c>
      <c r="BL133" s="166">
        <f t="shared" si="353"/>
        <v>0</v>
      </c>
      <c r="BM133" s="166" t="str">
        <f t="shared" si="354"/>
        <v/>
      </c>
      <c r="BN133" s="166">
        <f t="shared" si="355"/>
        <v>0</v>
      </c>
      <c r="BO133" s="166" t="str">
        <f t="shared" si="356"/>
        <v/>
      </c>
      <c r="BP133" s="168">
        <f t="shared" si="357"/>
        <v>1.4522404691010723E-3</v>
      </c>
      <c r="BR133" s="107" t="s">
        <v>393</v>
      </c>
      <c r="BS133" s="166"/>
      <c r="BT133" s="166"/>
      <c r="BU133" s="166"/>
      <c r="BV133" s="166"/>
      <c r="BW133" s="166"/>
      <c r="BX133" s="166"/>
      <c r="BY133" s="166"/>
      <c r="BZ133" s="166"/>
      <c r="CA133" s="166"/>
      <c r="CB133" s="166"/>
      <c r="CC133" s="166"/>
      <c r="CD133" s="166"/>
      <c r="CE133" s="166"/>
      <c r="CF133" s="166"/>
      <c r="CG133" s="168"/>
    </row>
    <row r="134" spans="2:85" x14ac:dyDescent="0.25">
      <c r="B134" s="107" t="s">
        <v>394</v>
      </c>
      <c r="C134" s="160">
        <f>TripMode_input!B108</f>
        <v>0</v>
      </c>
      <c r="D134" s="160">
        <f>TripMode_input!C108</f>
        <v>0</v>
      </c>
      <c r="E134" s="160">
        <f>TripMode_input!D108</f>
        <v>0</v>
      </c>
      <c r="F134" s="160">
        <f>TripMode_input!E108</f>
        <v>0</v>
      </c>
      <c r="G134" s="160">
        <f>TripMode_input!F108</f>
        <v>0</v>
      </c>
      <c r="H134" s="160">
        <f>TripMode_input!G108</f>
        <v>0</v>
      </c>
      <c r="I134" s="160">
        <f>TripMode_input!H108</f>
        <v>0</v>
      </c>
      <c r="J134" s="160">
        <f>TripMode_input!I108</f>
        <v>0</v>
      </c>
      <c r="K134" s="160">
        <f>TripMode_input!J108</f>
        <v>52805.701029999997</v>
      </c>
      <c r="L134" s="160">
        <f>TripMode_input!K108</f>
        <v>3018.0365000000002</v>
      </c>
      <c r="M134" s="160">
        <f>TripMode_input!L108</f>
        <v>0</v>
      </c>
      <c r="N134" s="160">
        <f>TripMode_input!M108</f>
        <v>182.81926000000001</v>
      </c>
      <c r="O134" s="160">
        <f>TripMode_input!N108</f>
        <v>0</v>
      </c>
      <c r="P134" s="160">
        <f>TripMode_input!O108</f>
        <v>0</v>
      </c>
      <c r="Q134" s="162">
        <f t="shared" si="328"/>
        <v>56006.556789999995</v>
      </c>
      <c r="S134" s="107" t="s">
        <v>394</v>
      </c>
      <c r="T134" s="160">
        <f>TripMode_input!R108*Index!$B$2</f>
        <v>0</v>
      </c>
      <c r="U134" s="160">
        <f>TripMode_input!S108*Index!$B$2</f>
        <v>0</v>
      </c>
      <c r="V134" s="160">
        <f>TripMode_input!T108*Index!$B$2</f>
        <v>0</v>
      </c>
      <c r="W134" s="160">
        <f>TripMode_input!U108*Index!$B$2</f>
        <v>0</v>
      </c>
      <c r="X134" s="160">
        <f>TripMode_input!V108*Index!$B$2</f>
        <v>0</v>
      </c>
      <c r="Y134" s="160">
        <f>TripMode_input!W108*Index!$B$2</f>
        <v>0</v>
      </c>
      <c r="Z134" s="160">
        <f>TripMode_input!X108*Index!$B$2</f>
        <v>0</v>
      </c>
      <c r="AA134" s="160">
        <f>TripMode_input!Y108*Index!$B$2</f>
        <v>0</v>
      </c>
      <c r="AB134" s="160">
        <f>TripMode_input!Z108*Index!$B$2</f>
        <v>0</v>
      </c>
      <c r="AC134" s="160">
        <f>TripMode_input!AA108*Index!$B$2</f>
        <v>0</v>
      </c>
      <c r="AD134" s="160">
        <f>TripMode_input!AB108*Index!$B$2</f>
        <v>0</v>
      </c>
      <c r="AE134" s="160">
        <f>TripMode_input!AC108*Index!$B$2</f>
        <v>0</v>
      </c>
      <c r="AF134" s="160">
        <f>TripMode_input!AD108*Index!$B$2</f>
        <v>0</v>
      </c>
      <c r="AG134" s="160">
        <f>TripMode_input!AE108*Index!$B$2</f>
        <v>0</v>
      </c>
      <c r="AH134" s="162">
        <f t="shared" si="329"/>
        <v>0</v>
      </c>
      <c r="AJ134" s="107" t="s">
        <v>394</v>
      </c>
      <c r="AK134" s="166">
        <f t="shared" si="360"/>
        <v>0</v>
      </c>
      <c r="AL134" s="166" t="str">
        <f t="shared" si="330"/>
        <v/>
      </c>
      <c r="AM134" s="166">
        <f t="shared" si="331"/>
        <v>0</v>
      </c>
      <c r="AN134" s="166">
        <f t="shared" si="332"/>
        <v>0</v>
      </c>
      <c r="AO134" s="166">
        <f t="shared" si="333"/>
        <v>0</v>
      </c>
      <c r="AP134" s="166">
        <f t="shared" si="334"/>
        <v>0</v>
      </c>
      <c r="AQ134" s="166">
        <f t="shared" si="335"/>
        <v>0</v>
      </c>
      <c r="AR134" s="166">
        <f t="shared" si="336"/>
        <v>0</v>
      </c>
      <c r="AS134" s="166">
        <f t="shared" si="337"/>
        <v>0.83244378525153406</v>
      </c>
      <c r="AT134" s="166">
        <f t="shared" si="338"/>
        <v>0.24451623834008079</v>
      </c>
      <c r="AU134" s="166">
        <f t="shared" si="339"/>
        <v>0</v>
      </c>
      <c r="AV134" s="166">
        <f t="shared" si="340"/>
        <v>4.5006606362395181E-2</v>
      </c>
      <c r="AW134" s="166">
        <f t="shared" si="341"/>
        <v>0</v>
      </c>
      <c r="AX134" s="166" t="str">
        <f t="shared" si="342"/>
        <v/>
      </c>
      <c r="AY134" s="168">
        <f t="shared" si="343"/>
        <v>1.6831056156522452E-2</v>
      </c>
      <c r="BA134" s="107" t="s">
        <v>394</v>
      </c>
      <c r="BB134" s="166" t="str">
        <f t="shared" si="361"/>
        <v/>
      </c>
      <c r="BC134" s="166" t="str">
        <f t="shared" si="344"/>
        <v/>
      </c>
      <c r="BD134" s="166">
        <f t="shared" si="345"/>
        <v>0</v>
      </c>
      <c r="BE134" s="166">
        <f t="shared" si="346"/>
        <v>0</v>
      </c>
      <c r="BF134" s="166">
        <f t="shared" si="347"/>
        <v>0</v>
      </c>
      <c r="BG134" s="166">
        <f t="shared" si="348"/>
        <v>0</v>
      </c>
      <c r="BH134" s="166">
        <f t="shared" si="349"/>
        <v>0</v>
      </c>
      <c r="BI134" s="166">
        <f t="shared" si="350"/>
        <v>0</v>
      </c>
      <c r="BJ134" s="166" t="str">
        <f t="shared" si="351"/>
        <v/>
      </c>
      <c r="BK134" s="166">
        <f t="shared" si="352"/>
        <v>0</v>
      </c>
      <c r="BL134" s="166">
        <f t="shared" si="353"/>
        <v>0</v>
      </c>
      <c r="BM134" s="166" t="str">
        <f t="shared" si="354"/>
        <v/>
      </c>
      <c r="BN134" s="166">
        <f t="shared" si="355"/>
        <v>0</v>
      </c>
      <c r="BO134" s="166" t="str">
        <f t="shared" si="356"/>
        <v/>
      </c>
      <c r="BP134" s="168">
        <f t="shared" si="357"/>
        <v>0</v>
      </c>
      <c r="BR134" s="107" t="s">
        <v>394</v>
      </c>
      <c r="BS134" s="166"/>
      <c r="BT134" s="166"/>
      <c r="BU134" s="166"/>
      <c r="BV134" s="166"/>
      <c r="BW134" s="166"/>
      <c r="BX134" s="166"/>
      <c r="BY134" s="166"/>
      <c r="BZ134" s="166"/>
      <c r="CA134" s="166"/>
      <c r="CB134" s="166"/>
      <c r="CC134" s="166"/>
      <c r="CD134" s="166"/>
      <c r="CE134" s="166"/>
      <c r="CF134" s="166"/>
      <c r="CG134" s="168"/>
    </row>
    <row r="135" spans="2:85" x14ac:dyDescent="0.25">
      <c r="B135" s="107" t="s">
        <v>395</v>
      </c>
      <c r="C135" s="160">
        <f>TripMode_input!B109</f>
        <v>0</v>
      </c>
      <c r="D135" s="160">
        <f>TripMode_input!C109</f>
        <v>0</v>
      </c>
      <c r="E135" s="160">
        <f>TripMode_input!D109</f>
        <v>0</v>
      </c>
      <c r="F135" s="160">
        <f>TripMode_input!E109</f>
        <v>0</v>
      </c>
      <c r="G135" s="160">
        <f>TripMode_input!F109</f>
        <v>0</v>
      </c>
      <c r="H135" s="160">
        <f>TripMode_input!G109</f>
        <v>0</v>
      </c>
      <c r="I135" s="160">
        <f>TripMode_input!H109</f>
        <v>0</v>
      </c>
      <c r="J135" s="160">
        <f>TripMode_input!I109</f>
        <v>0</v>
      </c>
      <c r="K135" s="160">
        <f>TripMode_input!J109</f>
        <v>0</v>
      </c>
      <c r="L135" s="160">
        <f>TripMode_input!K109</f>
        <v>7585.6688599999998</v>
      </c>
      <c r="M135" s="160">
        <f>TripMode_input!L109</f>
        <v>0</v>
      </c>
      <c r="N135" s="160">
        <f>TripMode_input!M109</f>
        <v>0</v>
      </c>
      <c r="O135" s="160">
        <f>TripMode_input!N109</f>
        <v>0</v>
      </c>
      <c r="P135" s="160">
        <f>TripMode_input!O109</f>
        <v>0</v>
      </c>
      <c r="Q135" s="162">
        <f t="shared" si="328"/>
        <v>7585.6688599999998</v>
      </c>
      <c r="S135" s="107" t="s">
        <v>395</v>
      </c>
      <c r="T135" s="160">
        <f>TripMode_input!R109*Index!$B$2</f>
        <v>0</v>
      </c>
      <c r="U135" s="160">
        <f>TripMode_input!S109*Index!$B$2</f>
        <v>0</v>
      </c>
      <c r="V135" s="160">
        <f>TripMode_input!T109*Index!$B$2</f>
        <v>0</v>
      </c>
      <c r="W135" s="160">
        <f>TripMode_input!U109*Index!$B$2</f>
        <v>0</v>
      </c>
      <c r="X135" s="160">
        <f>TripMode_input!V109*Index!$B$2</f>
        <v>0</v>
      </c>
      <c r="Y135" s="160">
        <f>TripMode_input!W109*Index!$B$2</f>
        <v>0</v>
      </c>
      <c r="Z135" s="160">
        <f>TripMode_input!X109*Index!$B$2</f>
        <v>0</v>
      </c>
      <c r="AA135" s="160">
        <f>TripMode_input!Y109*Index!$B$2</f>
        <v>0</v>
      </c>
      <c r="AB135" s="160">
        <f>TripMode_input!Z109*Index!$B$2</f>
        <v>0</v>
      </c>
      <c r="AC135" s="160">
        <f>TripMode_input!AA109*Index!$B$2</f>
        <v>16095</v>
      </c>
      <c r="AD135" s="160">
        <f>TripMode_input!AB109*Index!$B$2</f>
        <v>0</v>
      </c>
      <c r="AE135" s="160">
        <f>TripMode_input!AC109*Index!$B$2</f>
        <v>0</v>
      </c>
      <c r="AF135" s="160">
        <f>TripMode_input!AD109*Index!$B$2</f>
        <v>0</v>
      </c>
      <c r="AG135" s="160">
        <f>TripMode_input!AE109*Index!$B$2</f>
        <v>0</v>
      </c>
      <c r="AH135" s="162">
        <f t="shared" si="329"/>
        <v>16095</v>
      </c>
      <c r="AJ135" s="107" t="s">
        <v>395</v>
      </c>
      <c r="AK135" s="166">
        <f t="shared" si="360"/>
        <v>0</v>
      </c>
      <c r="AL135" s="166" t="str">
        <f t="shared" si="330"/>
        <v/>
      </c>
      <c r="AM135" s="166">
        <f t="shared" si="331"/>
        <v>0</v>
      </c>
      <c r="AN135" s="166">
        <f t="shared" si="332"/>
        <v>0</v>
      </c>
      <c r="AO135" s="166">
        <f t="shared" si="333"/>
        <v>0</v>
      </c>
      <c r="AP135" s="166">
        <f t="shared" si="334"/>
        <v>0</v>
      </c>
      <c r="AQ135" s="166">
        <f t="shared" si="335"/>
        <v>0</v>
      </c>
      <c r="AR135" s="166">
        <f t="shared" si="336"/>
        <v>0</v>
      </c>
      <c r="AS135" s="166">
        <f t="shared" si="337"/>
        <v>0</v>
      </c>
      <c r="AT135" s="166">
        <f t="shared" si="338"/>
        <v>0.61457812552654312</v>
      </c>
      <c r="AU135" s="166">
        <f t="shared" si="339"/>
        <v>0</v>
      </c>
      <c r="AV135" s="166">
        <f t="shared" si="340"/>
        <v>0</v>
      </c>
      <c r="AW135" s="166">
        <f t="shared" si="341"/>
        <v>0</v>
      </c>
      <c r="AX135" s="166" t="str">
        <f t="shared" si="342"/>
        <v/>
      </c>
      <c r="AY135" s="168">
        <f t="shared" si="343"/>
        <v>2.2796405614822594E-3</v>
      </c>
      <c r="BA135" s="107" t="s">
        <v>395</v>
      </c>
      <c r="BB135" s="166" t="str">
        <f t="shared" si="361"/>
        <v/>
      </c>
      <c r="BC135" s="166" t="str">
        <f t="shared" si="344"/>
        <v/>
      </c>
      <c r="BD135" s="166">
        <f t="shared" si="345"/>
        <v>0</v>
      </c>
      <c r="BE135" s="166">
        <f t="shared" si="346"/>
        <v>0</v>
      </c>
      <c r="BF135" s="166">
        <f t="shared" si="347"/>
        <v>0</v>
      </c>
      <c r="BG135" s="166">
        <f t="shared" si="348"/>
        <v>0</v>
      </c>
      <c r="BH135" s="166">
        <f t="shared" si="349"/>
        <v>0</v>
      </c>
      <c r="BI135" s="166">
        <f t="shared" si="350"/>
        <v>0</v>
      </c>
      <c r="BJ135" s="166" t="str">
        <f t="shared" si="351"/>
        <v/>
      </c>
      <c r="BK135" s="166">
        <f t="shared" si="352"/>
        <v>0.87854803493449785</v>
      </c>
      <c r="BL135" s="166">
        <f t="shared" si="353"/>
        <v>0</v>
      </c>
      <c r="BM135" s="166" t="str">
        <f t="shared" si="354"/>
        <v/>
      </c>
      <c r="BN135" s="166">
        <f t="shared" si="355"/>
        <v>0</v>
      </c>
      <c r="BO135" s="166" t="str">
        <f t="shared" si="356"/>
        <v/>
      </c>
      <c r="BP135" s="168">
        <f t="shared" si="357"/>
        <v>1.4700509654202363E-2</v>
      </c>
      <c r="BR135" s="107" t="s">
        <v>395</v>
      </c>
      <c r="BS135" s="166" t="str">
        <f t="shared" ref="BS135:BS140" si="363">IF(OR(ISNA(AK135),AK135=0,AK135=""),"",(BB135-AK135)/AK135)</f>
        <v/>
      </c>
      <c r="BT135" s="166" t="str">
        <f t="shared" ref="BT135:BT140" si="364">IF(OR(ISNA(AL135),AL135=0,AL135=""),"",(BC135-AL135)/AL135)</f>
        <v/>
      </c>
      <c r="BU135" s="166" t="str">
        <f t="shared" ref="BU135:BU140" si="365">IF(OR(ISNA(AM135),AM135=0,AM135=""),"",(BD135-AM135)/AM135)</f>
        <v/>
      </c>
      <c r="BV135" s="166" t="str">
        <f t="shared" ref="BV135:BV140" si="366">IF(OR(ISNA(AN135),AN135=0,AN135=""),"",(BE135-AN135)/AN135)</f>
        <v/>
      </c>
      <c r="BW135" s="166"/>
      <c r="BX135" s="166"/>
      <c r="BY135" s="166"/>
      <c r="BZ135" s="166"/>
      <c r="CA135" s="166"/>
      <c r="CB135" s="166">
        <f t="shared" ref="CB135:CB140" si="367">IF(OR(ISNA(AT135),AT135=0,AT135=""),"",(BK135-AT135)/AT135)</f>
        <v>0.42951400065174317</v>
      </c>
      <c r="CC135" s="166" t="str">
        <f t="shared" ref="CC135:CC140" si="368">IF(OR(ISNA(AU135),AU135=0,AU135=""),"",(BL135-AU135)/AU135)</f>
        <v/>
      </c>
      <c r="CD135" s="166" t="str">
        <f t="shared" ref="CD135:CD140" si="369">IF(OR(ISNA(AV135),AV135=0,AV135=""),"",(BM135-AV135)/AV135)</f>
        <v/>
      </c>
      <c r="CE135" s="166" t="str">
        <f t="shared" ref="CE135:CE140" si="370">IF(OR(ISNA(AW135),AW135=0,AW135=""),"",(BN135-AW135)/AW135)</f>
        <v/>
      </c>
      <c r="CF135" s="166" t="str">
        <f t="shared" ref="CF135:CF140" si="371">IF(OR(ISNA(AX135),AX135=0,AX135=""),"",(BO135-AX135)/AX135)</f>
        <v/>
      </c>
      <c r="CG135" s="168">
        <f t="shared" ref="CG135:CG140" si="372">IF(OR(ISNA(AY135),AY135=0,AY135=""),"",(BP135-AY135)/AY135)</f>
        <v>5.448608566889094</v>
      </c>
    </row>
    <row r="136" spans="2:85" x14ac:dyDescent="0.25">
      <c r="B136" s="107" t="s">
        <v>396</v>
      </c>
      <c r="C136" s="160">
        <f>TripMode_input!B110</f>
        <v>0</v>
      </c>
      <c r="D136" s="160">
        <f>TripMode_input!C110</f>
        <v>0</v>
      </c>
      <c r="E136" s="160">
        <f>TripMode_input!D110</f>
        <v>0</v>
      </c>
      <c r="F136" s="160">
        <f>TripMode_input!E110</f>
        <v>0</v>
      </c>
      <c r="G136" s="160">
        <f>TripMode_input!F110</f>
        <v>0</v>
      </c>
      <c r="H136" s="160">
        <f>TripMode_input!G110</f>
        <v>0</v>
      </c>
      <c r="I136" s="160">
        <f>TripMode_input!H110</f>
        <v>0</v>
      </c>
      <c r="J136" s="160">
        <f>TripMode_input!I110</f>
        <v>0</v>
      </c>
      <c r="K136" s="160">
        <f>TripMode_input!J110</f>
        <v>0</v>
      </c>
      <c r="L136" s="160">
        <f>TripMode_input!K110</f>
        <v>0</v>
      </c>
      <c r="M136" s="160">
        <f>TripMode_input!L110</f>
        <v>6189.4277199999997</v>
      </c>
      <c r="N136" s="160">
        <f>TripMode_input!M110</f>
        <v>0</v>
      </c>
      <c r="O136" s="160">
        <f>TripMode_input!N110</f>
        <v>0</v>
      </c>
      <c r="P136" s="160">
        <f>TripMode_input!O110</f>
        <v>0</v>
      </c>
      <c r="Q136" s="162">
        <f t="shared" si="328"/>
        <v>6189.4277199999997</v>
      </c>
      <c r="S136" s="107" t="s">
        <v>396</v>
      </c>
      <c r="T136" s="160">
        <f>TripMode_input!R110*Index!$B$2</f>
        <v>0</v>
      </c>
      <c r="U136" s="160">
        <f>TripMode_input!S110*Index!$B$2</f>
        <v>0</v>
      </c>
      <c r="V136" s="160">
        <f>TripMode_input!T110*Index!$B$2</f>
        <v>0</v>
      </c>
      <c r="W136" s="160">
        <f>TripMode_input!U110*Index!$B$2</f>
        <v>0</v>
      </c>
      <c r="X136" s="160">
        <f>TripMode_input!V110*Index!$B$2</f>
        <v>0</v>
      </c>
      <c r="Y136" s="160">
        <f>TripMode_input!W110*Index!$B$2</f>
        <v>0</v>
      </c>
      <c r="Z136" s="160">
        <f>TripMode_input!X110*Index!$B$2</f>
        <v>0</v>
      </c>
      <c r="AA136" s="160">
        <f>TripMode_input!Y110*Index!$B$2</f>
        <v>0</v>
      </c>
      <c r="AB136" s="160">
        <f>TripMode_input!Z110*Index!$B$2</f>
        <v>0</v>
      </c>
      <c r="AC136" s="160">
        <f>TripMode_input!AA110*Index!$B$2</f>
        <v>0</v>
      </c>
      <c r="AD136" s="160">
        <f>TripMode_input!AB110*Index!$B$2</f>
        <v>980</v>
      </c>
      <c r="AE136" s="160">
        <f>TripMode_input!AC110*Index!$B$2</f>
        <v>0</v>
      </c>
      <c r="AF136" s="160">
        <f>TripMode_input!AD110*Index!$B$2</f>
        <v>0</v>
      </c>
      <c r="AG136" s="160">
        <f>TripMode_input!AE110*Index!$B$2</f>
        <v>0</v>
      </c>
      <c r="AH136" s="162">
        <f t="shared" si="329"/>
        <v>980</v>
      </c>
      <c r="AJ136" s="107" t="s">
        <v>396</v>
      </c>
      <c r="AK136" s="166">
        <f t="shared" si="360"/>
        <v>0</v>
      </c>
      <c r="AL136" s="166" t="str">
        <f t="shared" si="330"/>
        <v/>
      </c>
      <c r="AM136" s="166">
        <f t="shared" si="331"/>
        <v>0</v>
      </c>
      <c r="AN136" s="166">
        <f t="shared" si="332"/>
        <v>0</v>
      </c>
      <c r="AO136" s="166">
        <f t="shared" si="333"/>
        <v>0</v>
      </c>
      <c r="AP136" s="166">
        <f t="shared" si="334"/>
        <v>0</v>
      </c>
      <c r="AQ136" s="166">
        <f t="shared" si="335"/>
        <v>0</v>
      </c>
      <c r="AR136" s="166">
        <f t="shared" si="336"/>
        <v>0</v>
      </c>
      <c r="AS136" s="166">
        <f t="shared" si="337"/>
        <v>0</v>
      </c>
      <c r="AT136" s="166">
        <f t="shared" si="338"/>
        <v>0</v>
      </c>
      <c r="AU136" s="166">
        <f t="shared" si="339"/>
        <v>0.6299719594623624</v>
      </c>
      <c r="AV136" s="166">
        <f t="shared" si="340"/>
        <v>0</v>
      </c>
      <c r="AW136" s="166">
        <f t="shared" si="341"/>
        <v>0</v>
      </c>
      <c r="AX136" s="166" t="str">
        <f t="shared" si="342"/>
        <v/>
      </c>
      <c r="AY136" s="168">
        <f t="shared" si="343"/>
        <v>1.8600430289379467E-3</v>
      </c>
      <c r="BA136" s="107" t="s">
        <v>396</v>
      </c>
      <c r="BB136" s="166" t="str">
        <f t="shared" si="361"/>
        <v/>
      </c>
      <c r="BC136" s="166" t="str">
        <f t="shared" si="344"/>
        <v/>
      </c>
      <c r="BD136" s="166">
        <f t="shared" si="345"/>
        <v>0</v>
      </c>
      <c r="BE136" s="166">
        <f t="shared" si="346"/>
        <v>0</v>
      </c>
      <c r="BF136" s="166">
        <f t="shared" si="347"/>
        <v>0</v>
      </c>
      <c r="BG136" s="166">
        <f t="shared" si="348"/>
        <v>0</v>
      </c>
      <c r="BH136" s="166">
        <f t="shared" si="349"/>
        <v>0</v>
      </c>
      <c r="BI136" s="166">
        <f t="shared" si="350"/>
        <v>0</v>
      </c>
      <c r="BJ136" s="166" t="str">
        <f t="shared" si="351"/>
        <v/>
      </c>
      <c r="BK136" s="166">
        <f t="shared" si="352"/>
        <v>0</v>
      </c>
      <c r="BL136" s="166">
        <f t="shared" si="353"/>
        <v>1</v>
      </c>
      <c r="BM136" s="166" t="str">
        <f t="shared" si="354"/>
        <v/>
      </c>
      <c r="BN136" s="166">
        <f t="shared" si="355"/>
        <v>0</v>
      </c>
      <c r="BO136" s="166" t="str">
        <f t="shared" si="356"/>
        <v/>
      </c>
      <c r="BP136" s="168">
        <f t="shared" si="357"/>
        <v>8.9509160988619546E-4</v>
      </c>
      <c r="BR136" s="107" t="s">
        <v>396</v>
      </c>
      <c r="BS136" s="166" t="str">
        <f t="shared" si="363"/>
        <v/>
      </c>
      <c r="BT136" s="166" t="str">
        <f t="shared" si="364"/>
        <v/>
      </c>
      <c r="BU136" s="166" t="str">
        <f t="shared" si="365"/>
        <v/>
      </c>
      <c r="BV136" s="166" t="str">
        <f t="shared" si="366"/>
        <v/>
      </c>
      <c r="BW136" s="166"/>
      <c r="BX136" s="166"/>
      <c r="BY136" s="166"/>
      <c r="BZ136" s="166"/>
      <c r="CA136" s="166"/>
      <c r="CB136" s="166" t="str">
        <f t="shared" si="367"/>
        <v/>
      </c>
      <c r="CC136" s="166">
        <f t="shared" si="368"/>
        <v>0.58737223931908178</v>
      </c>
      <c r="CD136" s="166" t="str">
        <f t="shared" si="369"/>
        <v/>
      </c>
      <c r="CE136" s="166" t="str">
        <f t="shared" si="370"/>
        <v/>
      </c>
      <c r="CF136" s="166" t="str">
        <f t="shared" si="371"/>
        <v/>
      </c>
      <c r="CG136" s="168">
        <f t="shared" si="372"/>
        <v>-0.51877908416060803</v>
      </c>
    </row>
    <row r="137" spans="2:85" x14ac:dyDescent="0.25">
      <c r="B137" s="107" t="s">
        <v>397</v>
      </c>
      <c r="C137" s="160">
        <f>TripMode_input!B111</f>
        <v>0</v>
      </c>
      <c r="D137" s="160">
        <f>TripMode_input!C111</f>
        <v>0</v>
      </c>
      <c r="E137" s="160">
        <f>TripMode_input!D111</f>
        <v>0</v>
      </c>
      <c r="F137" s="160">
        <f>TripMode_input!E111</f>
        <v>0</v>
      </c>
      <c r="G137" s="160">
        <f>TripMode_input!F111</f>
        <v>0</v>
      </c>
      <c r="H137" s="160">
        <f>TripMode_input!G111</f>
        <v>0</v>
      </c>
      <c r="I137" s="160">
        <f>TripMode_input!H111</f>
        <v>0</v>
      </c>
      <c r="J137" s="160">
        <f>TripMode_input!I111</f>
        <v>0</v>
      </c>
      <c r="K137" s="160">
        <f>TripMode_input!J111</f>
        <v>0</v>
      </c>
      <c r="L137" s="160">
        <f>TripMode_input!K111</f>
        <v>0</v>
      </c>
      <c r="M137" s="160">
        <f>TripMode_input!L111</f>
        <v>0</v>
      </c>
      <c r="N137" s="160">
        <f>TripMode_input!M111</f>
        <v>3330.77684</v>
      </c>
      <c r="O137" s="160">
        <f>TripMode_input!N111</f>
        <v>0</v>
      </c>
      <c r="P137" s="160">
        <f>TripMode_input!O111</f>
        <v>0</v>
      </c>
      <c r="Q137" s="162">
        <f t="shared" si="328"/>
        <v>3330.77684</v>
      </c>
      <c r="S137" s="107" t="s">
        <v>397</v>
      </c>
      <c r="T137" s="160">
        <f>TripMode_input!R111*Index!$B$2</f>
        <v>0</v>
      </c>
      <c r="U137" s="160">
        <f>TripMode_input!S111*Index!$B$2</f>
        <v>0</v>
      </c>
      <c r="V137" s="160">
        <f>TripMode_input!T111*Index!$B$2</f>
        <v>0</v>
      </c>
      <c r="W137" s="160">
        <f>TripMode_input!U111*Index!$B$2</f>
        <v>0</v>
      </c>
      <c r="X137" s="160">
        <f>TripMode_input!V111*Index!$B$2</f>
        <v>0</v>
      </c>
      <c r="Y137" s="160">
        <f>TripMode_input!W111*Index!$B$2</f>
        <v>0</v>
      </c>
      <c r="Z137" s="160">
        <f>TripMode_input!X111*Index!$B$2</f>
        <v>0</v>
      </c>
      <c r="AA137" s="160">
        <f>TripMode_input!Y111*Index!$B$2</f>
        <v>0</v>
      </c>
      <c r="AB137" s="160">
        <f>TripMode_input!Z111*Index!$B$2</f>
        <v>0</v>
      </c>
      <c r="AC137" s="160">
        <f>TripMode_input!AA111*Index!$B$2</f>
        <v>0</v>
      </c>
      <c r="AD137" s="160">
        <f>TripMode_input!AB111*Index!$B$2</f>
        <v>0</v>
      </c>
      <c r="AE137" s="160">
        <f>TripMode_input!AC111*Index!$B$2</f>
        <v>0</v>
      </c>
      <c r="AF137" s="160">
        <f>TripMode_input!AD111*Index!$B$2</f>
        <v>0</v>
      </c>
      <c r="AG137" s="160">
        <f>TripMode_input!AE111*Index!$B$2</f>
        <v>0</v>
      </c>
      <c r="AH137" s="162">
        <f t="shared" si="329"/>
        <v>0</v>
      </c>
      <c r="AJ137" s="107" t="s">
        <v>397</v>
      </c>
      <c r="AK137" s="166">
        <f t="shared" si="360"/>
        <v>0</v>
      </c>
      <c r="AL137" s="166" t="str">
        <f t="shared" si="330"/>
        <v/>
      </c>
      <c r="AM137" s="166">
        <f t="shared" si="331"/>
        <v>0</v>
      </c>
      <c r="AN137" s="166">
        <f t="shared" si="332"/>
        <v>0</v>
      </c>
      <c r="AO137" s="166">
        <f t="shared" si="333"/>
        <v>0</v>
      </c>
      <c r="AP137" s="166">
        <f t="shared" si="334"/>
        <v>0</v>
      </c>
      <c r="AQ137" s="166">
        <f t="shared" si="335"/>
        <v>0</v>
      </c>
      <c r="AR137" s="166">
        <f t="shared" si="336"/>
        <v>0</v>
      </c>
      <c r="AS137" s="166">
        <f t="shared" si="337"/>
        <v>0</v>
      </c>
      <c r="AT137" s="166">
        <f t="shared" si="338"/>
        <v>0</v>
      </c>
      <c r="AU137" s="166">
        <f t="shared" si="339"/>
        <v>0</v>
      </c>
      <c r="AV137" s="166">
        <f t="shared" si="340"/>
        <v>0.8199735745504193</v>
      </c>
      <c r="AW137" s="166">
        <f t="shared" si="341"/>
        <v>0</v>
      </c>
      <c r="AX137" s="166" t="str">
        <f t="shared" si="342"/>
        <v/>
      </c>
      <c r="AY137" s="168">
        <f t="shared" si="343"/>
        <v>1.0009630166890394E-3</v>
      </c>
      <c r="BA137" s="107" t="s">
        <v>397</v>
      </c>
      <c r="BB137" s="166" t="str">
        <f t="shared" si="361"/>
        <v/>
      </c>
      <c r="BC137" s="166" t="str">
        <f t="shared" si="344"/>
        <v/>
      </c>
      <c r="BD137" s="166">
        <f t="shared" si="345"/>
        <v>0</v>
      </c>
      <c r="BE137" s="166">
        <f t="shared" si="346"/>
        <v>0</v>
      </c>
      <c r="BF137" s="166">
        <f t="shared" si="347"/>
        <v>0</v>
      </c>
      <c r="BG137" s="166">
        <f t="shared" si="348"/>
        <v>0</v>
      </c>
      <c r="BH137" s="166">
        <f t="shared" si="349"/>
        <v>0</v>
      </c>
      <c r="BI137" s="166">
        <f t="shared" si="350"/>
        <v>0</v>
      </c>
      <c r="BJ137" s="166" t="str">
        <f t="shared" si="351"/>
        <v/>
      </c>
      <c r="BK137" s="166">
        <f t="shared" si="352"/>
        <v>0</v>
      </c>
      <c r="BL137" s="166">
        <f t="shared" si="353"/>
        <v>0</v>
      </c>
      <c r="BM137" s="166" t="str">
        <f t="shared" si="354"/>
        <v/>
      </c>
      <c r="BN137" s="166">
        <f t="shared" si="355"/>
        <v>0</v>
      </c>
      <c r="BO137" s="166" t="str">
        <f t="shared" si="356"/>
        <v/>
      </c>
      <c r="BP137" s="168">
        <f t="shared" si="357"/>
        <v>0</v>
      </c>
      <c r="BR137" s="107" t="s">
        <v>397</v>
      </c>
      <c r="BS137" s="166" t="str">
        <f t="shared" si="363"/>
        <v/>
      </c>
      <c r="BT137" s="166" t="str">
        <f t="shared" si="364"/>
        <v/>
      </c>
      <c r="BU137" s="166" t="str">
        <f t="shared" si="365"/>
        <v/>
      </c>
      <c r="BV137" s="166" t="str">
        <f t="shared" si="366"/>
        <v/>
      </c>
      <c r="BW137" s="166"/>
      <c r="BX137" s="166"/>
      <c r="BY137" s="166"/>
      <c r="BZ137" s="166"/>
      <c r="CA137" s="166"/>
      <c r="CB137" s="166" t="str">
        <f t="shared" si="367"/>
        <v/>
      </c>
      <c r="CC137" s="166" t="str">
        <f t="shared" si="368"/>
        <v/>
      </c>
      <c r="CD137" s="166" t="e">
        <f t="shared" si="369"/>
        <v>#VALUE!</v>
      </c>
      <c r="CE137" s="166" t="str">
        <f t="shared" si="370"/>
        <v/>
      </c>
      <c r="CF137" s="166" t="str">
        <f t="shared" si="371"/>
        <v/>
      </c>
      <c r="CG137" s="168">
        <f t="shared" si="372"/>
        <v>-1</v>
      </c>
    </row>
    <row r="138" spans="2:85" x14ac:dyDescent="0.25">
      <c r="B138" s="107" t="s">
        <v>398</v>
      </c>
      <c r="C138" s="160">
        <f>TripMode_input!B112</f>
        <v>0</v>
      </c>
      <c r="D138" s="160">
        <f>TripMode_input!C112</f>
        <v>0</v>
      </c>
      <c r="E138" s="160">
        <f>TripMode_input!D112</f>
        <v>0</v>
      </c>
      <c r="F138" s="160">
        <f>TripMode_input!E112</f>
        <v>0</v>
      </c>
      <c r="G138" s="160">
        <f>TripMode_input!F112</f>
        <v>0</v>
      </c>
      <c r="H138" s="160">
        <f>TripMode_input!G112</f>
        <v>0</v>
      </c>
      <c r="I138" s="160">
        <f>TripMode_input!H112</f>
        <v>0</v>
      </c>
      <c r="J138" s="160">
        <f>TripMode_input!I112</f>
        <v>0</v>
      </c>
      <c r="K138" s="160">
        <f>TripMode_input!J112</f>
        <v>495.31540000000001</v>
      </c>
      <c r="L138" s="160">
        <f>TripMode_input!K112</f>
        <v>0</v>
      </c>
      <c r="M138" s="160">
        <f>TripMode_input!L112</f>
        <v>0</v>
      </c>
      <c r="N138" s="160">
        <f>TripMode_input!M112</f>
        <v>0</v>
      </c>
      <c r="O138" s="160">
        <f>TripMode_input!N112</f>
        <v>3742.0928399999998</v>
      </c>
      <c r="P138" s="160">
        <f>TripMode_input!O112</f>
        <v>0</v>
      </c>
      <c r="Q138" s="162">
        <f t="shared" si="328"/>
        <v>4237.4082399999998</v>
      </c>
      <c r="S138" s="107" t="s">
        <v>398</v>
      </c>
      <c r="T138" s="160">
        <f>TripMode_input!R112*Index!$B$2</f>
        <v>0</v>
      </c>
      <c r="U138" s="160">
        <f>TripMode_input!S112*Index!$B$2</f>
        <v>0</v>
      </c>
      <c r="V138" s="160">
        <f>TripMode_input!T112*Index!$B$2</f>
        <v>0</v>
      </c>
      <c r="W138" s="160">
        <f>TripMode_input!U112*Index!$B$2</f>
        <v>0</v>
      </c>
      <c r="X138" s="160">
        <f>TripMode_input!V112*Index!$B$2</f>
        <v>0</v>
      </c>
      <c r="Y138" s="160">
        <f>TripMode_input!W112*Index!$B$2</f>
        <v>0</v>
      </c>
      <c r="Z138" s="160">
        <f>TripMode_input!X112*Index!$B$2</f>
        <v>0</v>
      </c>
      <c r="AA138" s="160">
        <f>TripMode_input!Y112*Index!$B$2</f>
        <v>0</v>
      </c>
      <c r="AB138" s="160">
        <f>TripMode_input!Z112*Index!$B$2</f>
        <v>0</v>
      </c>
      <c r="AC138" s="160">
        <f>TripMode_input!AA112*Index!$B$2</f>
        <v>395</v>
      </c>
      <c r="AD138" s="160">
        <f>TripMode_input!AB112*Index!$B$2</f>
        <v>0</v>
      </c>
      <c r="AE138" s="160">
        <f>TripMode_input!AC112*Index!$B$2</f>
        <v>0</v>
      </c>
      <c r="AF138" s="160">
        <f>TripMode_input!AD112*Index!$B$2</f>
        <v>4145</v>
      </c>
      <c r="AG138" s="160">
        <f>TripMode_input!AE112*Index!$B$2</f>
        <v>0</v>
      </c>
      <c r="AH138" s="162">
        <f t="shared" si="329"/>
        <v>4540</v>
      </c>
      <c r="AJ138" s="107" t="s">
        <v>398</v>
      </c>
      <c r="AK138" s="166">
        <f t="shared" si="360"/>
        <v>0</v>
      </c>
      <c r="AL138" s="166" t="str">
        <f t="shared" si="330"/>
        <v/>
      </c>
      <c r="AM138" s="166">
        <f t="shared" si="331"/>
        <v>0</v>
      </c>
      <c r="AN138" s="166">
        <f t="shared" si="332"/>
        <v>0</v>
      </c>
      <c r="AO138" s="166">
        <f t="shared" si="333"/>
        <v>0</v>
      </c>
      <c r="AP138" s="166">
        <f t="shared" si="334"/>
        <v>0</v>
      </c>
      <c r="AQ138" s="166">
        <f t="shared" si="335"/>
        <v>0</v>
      </c>
      <c r="AR138" s="166">
        <f t="shared" si="336"/>
        <v>0</v>
      </c>
      <c r="AS138" s="166">
        <f t="shared" si="337"/>
        <v>7.8082899843547014E-3</v>
      </c>
      <c r="AT138" s="166">
        <f t="shared" si="338"/>
        <v>0</v>
      </c>
      <c r="AU138" s="166">
        <f t="shared" si="339"/>
        <v>0</v>
      </c>
      <c r="AV138" s="166">
        <f t="shared" si="340"/>
        <v>0</v>
      </c>
      <c r="AW138" s="166">
        <f t="shared" si="341"/>
        <v>0.94358107153333026</v>
      </c>
      <c r="AX138" s="166" t="str">
        <f t="shared" si="342"/>
        <v/>
      </c>
      <c r="AY138" s="168">
        <f t="shared" si="343"/>
        <v>1.2734233299320624E-3</v>
      </c>
      <c r="BA138" s="107" t="s">
        <v>398</v>
      </c>
      <c r="BB138" s="166" t="str">
        <f t="shared" si="361"/>
        <v/>
      </c>
      <c r="BC138" s="166" t="str">
        <f t="shared" si="344"/>
        <v/>
      </c>
      <c r="BD138" s="166">
        <f t="shared" si="345"/>
        <v>0</v>
      </c>
      <c r="BE138" s="166">
        <f t="shared" si="346"/>
        <v>0</v>
      </c>
      <c r="BF138" s="166">
        <f t="shared" si="347"/>
        <v>0</v>
      </c>
      <c r="BG138" s="166">
        <f t="shared" si="348"/>
        <v>0</v>
      </c>
      <c r="BH138" s="166">
        <f t="shared" si="349"/>
        <v>0</v>
      </c>
      <c r="BI138" s="166">
        <f t="shared" si="350"/>
        <v>0</v>
      </c>
      <c r="BJ138" s="166" t="str">
        <f t="shared" si="351"/>
        <v/>
      </c>
      <c r="BK138" s="166">
        <f t="shared" si="352"/>
        <v>2.1561135371179041E-2</v>
      </c>
      <c r="BL138" s="166">
        <f t="shared" si="353"/>
        <v>0</v>
      </c>
      <c r="BM138" s="166" t="str">
        <f t="shared" si="354"/>
        <v/>
      </c>
      <c r="BN138" s="166">
        <f t="shared" si="355"/>
        <v>0.85463917525773192</v>
      </c>
      <c r="BO138" s="166" t="str">
        <f t="shared" si="356"/>
        <v/>
      </c>
      <c r="BP138" s="168">
        <f t="shared" si="357"/>
        <v>4.1466488866156405E-3</v>
      </c>
      <c r="BR138" s="107" t="s">
        <v>398</v>
      </c>
      <c r="BS138" s="166" t="str">
        <f t="shared" si="363"/>
        <v/>
      </c>
      <c r="BT138" s="166" t="str">
        <f t="shared" si="364"/>
        <v/>
      </c>
      <c r="BU138" s="166" t="str">
        <f t="shared" si="365"/>
        <v/>
      </c>
      <c r="BV138" s="166" t="str">
        <f t="shared" si="366"/>
        <v/>
      </c>
      <c r="BW138" s="166"/>
      <c r="BX138" s="166"/>
      <c r="BY138" s="166"/>
      <c r="BZ138" s="166"/>
      <c r="CA138" s="166"/>
      <c r="CB138" s="166" t="str">
        <f t="shared" si="367"/>
        <v/>
      </c>
      <c r="CC138" s="166" t="str">
        <f t="shared" si="368"/>
        <v/>
      </c>
      <c r="CD138" s="166" t="str">
        <f t="shared" si="369"/>
        <v/>
      </c>
      <c r="CE138" s="166">
        <f t="shared" si="370"/>
        <v>-9.4259941152768909E-2</v>
      </c>
      <c r="CF138" s="166" t="str">
        <f t="shared" si="371"/>
        <v/>
      </c>
      <c r="CG138" s="168">
        <f t="shared" si="372"/>
        <v>2.2563003905675778</v>
      </c>
    </row>
    <row r="139" spans="2:85" x14ac:dyDescent="0.25">
      <c r="B139" s="107" t="s">
        <v>399</v>
      </c>
      <c r="C139" s="160">
        <f>TripMode_input!B113</f>
        <v>0</v>
      </c>
      <c r="D139" s="160">
        <f>TripMode_input!C113</f>
        <v>0</v>
      </c>
      <c r="E139" s="160">
        <f>TripMode_input!D113</f>
        <v>0</v>
      </c>
      <c r="F139" s="160">
        <f>TripMode_input!E113</f>
        <v>0</v>
      </c>
      <c r="G139" s="160">
        <f>TripMode_input!F113</f>
        <v>0</v>
      </c>
      <c r="H139" s="160">
        <f>TripMode_input!G113</f>
        <v>0</v>
      </c>
      <c r="I139" s="160">
        <f>TripMode_input!H113</f>
        <v>0</v>
      </c>
      <c r="J139" s="160">
        <f>TripMode_input!I113</f>
        <v>0</v>
      </c>
      <c r="K139" s="160">
        <f>TripMode_input!J113</f>
        <v>0</v>
      </c>
      <c r="L139" s="160">
        <f>TripMode_input!K113</f>
        <v>0</v>
      </c>
      <c r="M139" s="160">
        <f>TripMode_input!L113</f>
        <v>0</v>
      </c>
      <c r="N139" s="160">
        <f>TripMode_input!M113</f>
        <v>0</v>
      </c>
      <c r="O139" s="160">
        <f>TripMode_input!N113</f>
        <v>0</v>
      </c>
      <c r="P139" s="160">
        <f>TripMode_input!O113</f>
        <v>0</v>
      </c>
      <c r="Q139" s="162">
        <f t="shared" si="328"/>
        <v>0</v>
      </c>
      <c r="S139" s="107" t="s">
        <v>399</v>
      </c>
      <c r="T139" s="160">
        <f>TripMode_input!R113*Index!$B$2</f>
        <v>0</v>
      </c>
      <c r="U139" s="160">
        <f>TripMode_input!S113*Index!$B$2</f>
        <v>0</v>
      </c>
      <c r="V139" s="160">
        <f>TripMode_input!T113*Index!$B$2</f>
        <v>0</v>
      </c>
      <c r="W139" s="160">
        <f>TripMode_input!U113*Index!$B$2</f>
        <v>0</v>
      </c>
      <c r="X139" s="160">
        <f>TripMode_input!V113*Index!$B$2</f>
        <v>0</v>
      </c>
      <c r="Y139" s="160">
        <f>TripMode_input!W113*Index!$B$2</f>
        <v>0</v>
      </c>
      <c r="Z139" s="160">
        <f>TripMode_input!X113*Index!$B$2</f>
        <v>0</v>
      </c>
      <c r="AA139" s="160">
        <f>TripMode_input!Y113*Index!$B$2</f>
        <v>0</v>
      </c>
      <c r="AB139" s="160">
        <f>TripMode_input!Z113*Index!$B$2</f>
        <v>0</v>
      </c>
      <c r="AC139" s="160">
        <f>TripMode_input!AA113*Index!$B$2</f>
        <v>0</v>
      </c>
      <c r="AD139" s="160">
        <f>TripMode_input!AB113*Index!$B$2</f>
        <v>0</v>
      </c>
      <c r="AE139" s="160">
        <f>TripMode_input!AC113*Index!$B$2</f>
        <v>0</v>
      </c>
      <c r="AF139" s="160">
        <f>TripMode_input!AD113*Index!$B$2</f>
        <v>0</v>
      </c>
      <c r="AG139" s="160">
        <f>TripMode_input!AE113*Index!$B$2</f>
        <v>0</v>
      </c>
      <c r="AH139" s="162">
        <f t="shared" si="329"/>
        <v>0</v>
      </c>
      <c r="AJ139" s="107" t="s">
        <v>399</v>
      </c>
      <c r="AK139" s="166">
        <f t="shared" si="360"/>
        <v>0</v>
      </c>
      <c r="AL139" s="166" t="str">
        <f t="shared" si="330"/>
        <v/>
      </c>
      <c r="AM139" s="166">
        <f t="shared" si="331"/>
        <v>0</v>
      </c>
      <c r="AN139" s="166">
        <f t="shared" si="332"/>
        <v>0</v>
      </c>
      <c r="AO139" s="166">
        <f t="shared" si="333"/>
        <v>0</v>
      </c>
      <c r="AP139" s="166">
        <f t="shared" si="334"/>
        <v>0</v>
      </c>
      <c r="AQ139" s="166">
        <f t="shared" si="335"/>
        <v>0</v>
      </c>
      <c r="AR139" s="166">
        <f t="shared" si="336"/>
        <v>0</v>
      </c>
      <c r="AS139" s="166">
        <f t="shared" si="337"/>
        <v>0</v>
      </c>
      <c r="AT139" s="166">
        <f t="shared" si="338"/>
        <v>0</v>
      </c>
      <c r="AU139" s="166">
        <f t="shared" si="339"/>
        <v>0</v>
      </c>
      <c r="AV139" s="166">
        <f t="shared" si="340"/>
        <v>0</v>
      </c>
      <c r="AW139" s="166">
        <f t="shared" si="341"/>
        <v>0</v>
      </c>
      <c r="AX139" s="166" t="str">
        <f t="shared" si="342"/>
        <v/>
      </c>
      <c r="AY139" s="168">
        <f t="shared" si="343"/>
        <v>0</v>
      </c>
      <c r="BA139" s="107" t="s">
        <v>399</v>
      </c>
      <c r="BB139" s="166" t="str">
        <f t="shared" si="361"/>
        <v/>
      </c>
      <c r="BC139" s="166" t="str">
        <f t="shared" si="344"/>
        <v/>
      </c>
      <c r="BD139" s="166">
        <f t="shared" si="345"/>
        <v>0</v>
      </c>
      <c r="BE139" s="166">
        <f t="shared" si="346"/>
        <v>0</v>
      </c>
      <c r="BF139" s="166">
        <f t="shared" si="347"/>
        <v>0</v>
      </c>
      <c r="BG139" s="166">
        <f t="shared" si="348"/>
        <v>0</v>
      </c>
      <c r="BH139" s="166">
        <f t="shared" si="349"/>
        <v>0</v>
      </c>
      <c r="BI139" s="166">
        <f t="shared" si="350"/>
        <v>0</v>
      </c>
      <c r="BJ139" s="166" t="str">
        <f t="shared" si="351"/>
        <v/>
      </c>
      <c r="BK139" s="166">
        <f t="shared" si="352"/>
        <v>0</v>
      </c>
      <c r="BL139" s="166">
        <f t="shared" si="353"/>
        <v>0</v>
      </c>
      <c r="BM139" s="166" t="str">
        <f t="shared" si="354"/>
        <v/>
      </c>
      <c r="BN139" s="166">
        <f t="shared" si="355"/>
        <v>0</v>
      </c>
      <c r="BO139" s="166" t="str">
        <f t="shared" si="356"/>
        <v/>
      </c>
      <c r="BP139" s="168">
        <f t="shared" si="357"/>
        <v>0</v>
      </c>
      <c r="BR139" s="107" t="s">
        <v>399</v>
      </c>
      <c r="BS139" s="166" t="str">
        <f t="shared" si="363"/>
        <v/>
      </c>
      <c r="BT139" s="166" t="str">
        <f t="shared" si="364"/>
        <v/>
      </c>
      <c r="BU139" s="166" t="str">
        <f t="shared" si="365"/>
        <v/>
      </c>
      <c r="BV139" s="166" t="str">
        <f t="shared" si="366"/>
        <v/>
      </c>
      <c r="BW139" s="166"/>
      <c r="BX139" s="166"/>
      <c r="BY139" s="166"/>
      <c r="BZ139" s="166"/>
      <c r="CA139" s="166"/>
      <c r="CB139" s="166" t="str">
        <f t="shared" si="367"/>
        <v/>
      </c>
      <c r="CC139" s="166" t="str">
        <f t="shared" si="368"/>
        <v/>
      </c>
      <c r="CD139" s="166" t="str">
        <f t="shared" si="369"/>
        <v/>
      </c>
      <c r="CE139" s="166" t="str">
        <f t="shared" si="370"/>
        <v/>
      </c>
      <c r="CF139" s="166" t="str">
        <f t="shared" si="371"/>
        <v/>
      </c>
      <c r="CG139" s="168" t="str">
        <f t="shared" si="372"/>
        <v/>
      </c>
    </row>
    <row r="140" spans="2:85" ht="15.75" thickBot="1" x14ac:dyDescent="0.3">
      <c r="B140" s="108" t="s">
        <v>29</v>
      </c>
      <c r="C140" s="109">
        <f t="shared" ref="C140:P140" si="373">SUM(C126:C139)</f>
        <v>721.07087000000001</v>
      </c>
      <c r="D140" s="110">
        <f t="shared" si="373"/>
        <v>0</v>
      </c>
      <c r="E140" s="110">
        <f t="shared" si="373"/>
        <v>1557648.5601200003</v>
      </c>
      <c r="F140" s="110">
        <f t="shared" si="373"/>
        <v>13069.19102</v>
      </c>
      <c r="G140" s="110">
        <f t="shared" si="373"/>
        <v>1441860.3379600001</v>
      </c>
      <c r="H140" s="110">
        <f t="shared" si="373"/>
        <v>41077.59304</v>
      </c>
      <c r="I140" s="110">
        <f t="shared" si="373"/>
        <v>176119.46624000001</v>
      </c>
      <c r="J140" s="110">
        <f t="shared" si="373"/>
        <v>3445.8493199999998</v>
      </c>
      <c r="K140" s="110">
        <f t="shared" si="373"/>
        <v>63434.554939999995</v>
      </c>
      <c r="L140" s="110">
        <f t="shared" si="373"/>
        <v>12342.88782</v>
      </c>
      <c r="M140" s="110">
        <f t="shared" si="373"/>
        <v>9824.9257399999988</v>
      </c>
      <c r="N140" s="110">
        <f t="shared" si="373"/>
        <v>4062.0538799999999</v>
      </c>
      <c r="O140" s="110">
        <f t="shared" si="373"/>
        <v>3965.8413599999999</v>
      </c>
      <c r="P140" s="110">
        <f t="shared" si="373"/>
        <v>0</v>
      </c>
      <c r="Q140" s="112">
        <f>SUM(Q126:Q139)</f>
        <v>3327572.33231</v>
      </c>
      <c r="S140" s="108" t="s">
        <v>29</v>
      </c>
      <c r="T140" s="109">
        <f t="shared" ref="T140:AC140" si="374">SUM(T126:T139)</f>
        <v>0</v>
      </c>
      <c r="U140" s="110">
        <f t="shared" si="374"/>
        <v>0</v>
      </c>
      <c r="V140" s="110">
        <f t="shared" si="374"/>
        <v>547460</v>
      </c>
      <c r="W140" s="110">
        <f t="shared" si="374"/>
        <v>13300</v>
      </c>
      <c r="X140" s="110">
        <f t="shared" si="374"/>
        <v>373190</v>
      </c>
      <c r="Y140" s="110">
        <f t="shared" si="374"/>
        <v>11110</v>
      </c>
      <c r="Z140" s="110">
        <f t="shared" si="374"/>
        <v>124060</v>
      </c>
      <c r="AA140" s="110">
        <f t="shared" si="374"/>
        <v>1590</v>
      </c>
      <c r="AB140" s="110">
        <f t="shared" si="374"/>
        <v>0</v>
      </c>
      <c r="AC140" s="110">
        <f t="shared" si="374"/>
        <v>18320</v>
      </c>
      <c r="AD140" s="110">
        <f>SUM(AD126:AD139)</f>
        <v>980</v>
      </c>
      <c r="AE140" s="110">
        <f>SUM(AE126:AE139)</f>
        <v>0</v>
      </c>
      <c r="AF140" s="110">
        <f>SUM(AF126:AF139)</f>
        <v>4850</v>
      </c>
      <c r="AG140" s="110">
        <f>SUM(AG126:AG139)</f>
        <v>0</v>
      </c>
      <c r="AH140" s="112">
        <f>SUM(AH126:AH139)</f>
        <v>1094860</v>
      </c>
      <c r="AJ140" s="108" t="s">
        <v>29</v>
      </c>
      <c r="AK140" s="120">
        <f t="shared" si="360"/>
        <v>1</v>
      </c>
      <c r="AL140" s="121" t="str">
        <f t="shared" si="330"/>
        <v/>
      </c>
      <c r="AM140" s="121">
        <f t="shared" si="331"/>
        <v>1</v>
      </c>
      <c r="AN140" s="121">
        <f t="shared" si="332"/>
        <v>1</v>
      </c>
      <c r="AO140" s="121">
        <f t="shared" si="333"/>
        <v>1</v>
      </c>
      <c r="AP140" s="121">
        <f t="shared" si="334"/>
        <v>1</v>
      </c>
      <c r="AQ140" s="121">
        <f t="shared" si="335"/>
        <v>1</v>
      </c>
      <c r="AR140" s="121">
        <f t="shared" si="336"/>
        <v>1</v>
      </c>
      <c r="AS140" s="121">
        <f t="shared" si="337"/>
        <v>1</v>
      </c>
      <c r="AT140" s="121">
        <f t="shared" si="338"/>
        <v>1</v>
      </c>
      <c r="AU140" s="121">
        <f t="shared" si="339"/>
        <v>1</v>
      </c>
      <c r="AV140" s="121">
        <f t="shared" si="340"/>
        <v>1</v>
      </c>
      <c r="AW140" s="121">
        <f t="shared" si="341"/>
        <v>1</v>
      </c>
      <c r="AX140" s="121" t="str">
        <f t="shared" si="342"/>
        <v/>
      </c>
      <c r="AY140" s="123">
        <f t="shared" si="343"/>
        <v>1</v>
      </c>
      <c r="BA140" s="108" t="s">
        <v>29</v>
      </c>
      <c r="BB140" s="120" t="str">
        <f t="shared" si="361"/>
        <v/>
      </c>
      <c r="BC140" s="121" t="str">
        <f t="shared" si="344"/>
        <v/>
      </c>
      <c r="BD140" s="121">
        <f t="shared" si="345"/>
        <v>1</v>
      </c>
      <c r="BE140" s="121">
        <f t="shared" si="346"/>
        <v>1</v>
      </c>
      <c r="BF140" s="121">
        <f t="shared" si="347"/>
        <v>1</v>
      </c>
      <c r="BG140" s="121">
        <f t="shared" si="348"/>
        <v>1</v>
      </c>
      <c r="BH140" s="121">
        <f t="shared" si="349"/>
        <v>1</v>
      </c>
      <c r="BI140" s="121">
        <f t="shared" si="350"/>
        <v>1</v>
      </c>
      <c r="BJ140" s="121" t="str">
        <f t="shared" si="351"/>
        <v/>
      </c>
      <c r="BK140" s="121">
        <f t="shared" si="352"/>
        <v>1</v>
      </c>
      <c r="BL140" s="121">
        <f t="shared" si="353"/>
        <v>1</v>
      </c>
      <c r="BM140" s="121" t="str">
        <f t="shared" si="354"/>
        <v/>
      </c>
      <c r="BN140" s="121">
        <f t="shared" si="355"/>
        <v>1</v>
      </c>
      <c r="BO140" s="121" t="str">
        <f t="shared" si="356"/>
        <v/>
      </c>
      <c r="BP140" s="123">
        <f t="shared" si="357"/>
        <v>1</v>
      </c>
      <c r="BR140" s="108" t="s">
        <v>29</v>
      </c>
      <c r="BS140" s="120" t="e">
        <f t="shared" si="363"/>
        <v>#VALUE!</v>
      </c>
      <c r="BT140" s="121" t="str">
        <f t="shared" si="364"/>
        <v/>
      </c>
      <c r="BU140" s="121">
        <f t="shared" si="365"/>
        <v>0</v>
      </c>
      <c r="BV140" s="121">
        <f t="shared" si="366"/>
        <v>0</v>
      </c>
      <c r="BW140" s="121"/>
      <c r="BX140" s="121"/>
      <c r="BY140" s="121"/>
      <c r="BZ140" s="121"/>
      <c r="CA140" s="121"/>
      <c r="CB140" s="121">
        <f t="shared" si="367"/>
        <v>0</v>
      </c>
      <c r="CC140" s="121">
        <f t="shared" si="368"/>
        <v>0</v>
      </c>
      <c r="CD140" s="121" t="e">
        <f t="shared" si="369"/>
        <v>#VALUE!</v>
      </c>
      <c r="CE140" s="121">
        <f t="shared" si="370"/>
        <v>0</v>
      </c>
      <c r="CF140" s="121" t="str">
        <f t="shared" si="371"/>
        <v/>
      </c>
      <c r="CG140" s="123">
        <f t="shared" si="372"/>
        <v>0</v>
      </c>
    </row>
    <row r="141" spans="2:85" x14ac:dyDescent="0.25">
      <c r="B141" t="s">
        <v>224</v>
      </c>
      <c r="C141" s="383" t="s">
        <v>206</v>
      </c>
      <c r="D141" s="383"/>
      <c r="E141" s="383"/>
      <c r="F141" s="383"/>
      <c r="G141" s="383"/>
      <c r="H141" s="383"/>
      <c r="I141" s="383"/>
      <c r="J141" s="383"/>
      <c r="K141" s="383"/>
      <c r="L141" s="383"/>
      <c r="M141" s="383"/>
      <c r="N141" s="383"/>
      <c r="O141" s="383"/>
      <c r="P141" s="383"/>
      <c r="Q141" s="383"/>
      <c r="S141" t="s">
        <v>224</v>
      </c>
      <c r="T141" s="383" t="s">
        <v>206</v>
      </c>
      <c r="U141" s="383"/>
      <c r="V141" s="383"/>
      <c r="W141" s="383"/>
      <c r="X141" s="383"/>
      <c r="Y141" s="383"/>
      <c r="Z141" s="383"/>
      <c r="AA141" s="383"/>
      <c r="AB141" s="383"/>
      <c r="AC141" s="383"/>
      <c r="AD141" s="383"/>
      <c r="AE141" s="383"/>
      <c r="AF141" s="383"/>
      <c r="AG141" s="383"/>
      <c r="AH141" s="383"/>
      <c r="AJ141" t="s">
        <v>224</v>
      </c>
      <c r="AK141" s="383" t="s">
        <v>206</v>
      </c>
      <c r="AL141" s="383"/>
      <c r="AM141" s="383"/>
      <c r="AN141" s="383"/>
      <c r="AO141" s="383"/>
      <c r="AP141" s="383"/>
      <c r="AQ141" s="383"/>
      <c r="AR141" s="383"/>
      <c r="AS141" s="383"/>
      <c r="AT141" s="383"/>
      <c r="AU141" s="383"/>
      <c r="AV141" s="383"/>
      <c r="AW141" s="383"/>
      <c r="AX141" s="383"/>
      <c r="AY141" s="383"/>
      <c r="BA141" t="s">
        <v>224</v>
      </c>
      <c r="BB141" s="383" t="s">
        <v>206</v>
      </c>
      <c r="BC141" s="383"/>
      <c r="BD141" s="383"/>
      <c r="BE141" s="383"/>
      <c r="BF141" s="383"/>
      <c r="BG141" s="383"/>
      <c r="BH141" s="383"/>
      <c r="BI141" s="383"/>
      <c r="BJ141" s="383"/>
      <c r="BK141" s="383"/>
      <c r="BL141" s="383"/>
      <c r="BM141" s="383"/>
      <c r="BN141" s="383"/>
      <c r="BO141" s="383"/>
      <c r="BP141" s="383"/>
      <c r="BR141" t="s">
        <v>224</v>
      </c>
      <c r="BS141" s="383" t="s">
        <v>206</v>
      </c>
      <c r="BT141" s="383"/>
      <c r="BU141" s="383"/>
      <c r="BV141" s="383"/>
      <c r="BW141" s="383"/>
      <c r="BX141" s="383"/>
      <c r="BY141" s="383"/>
      <c r="BZ141" s="383"/>
      <c r="CA141" s="383"/>
      <c r="CB141" s="383"/>
      <c r="CC141" s="383"/>
      <c r="CD141" s="383"/>
      <c r="CE141" s="383"/>
      <c r="CF141" s="383"/>
      <c r="CG141" s="383"/>
    </row>
    <row r="142" spans="2:85" ht="35.450000000000003" customHeight="1" x14ac:dyDescent="0.25">
      <c r="B142" s="163" t="s">
        <v>207</v>
      </c>
      <c r="C142" s="164" t="s">
        <v>386</v>
      </c>
      <c r="D142" s="164" t="s">
        <v>387</v>
      </c>
      <c r="E142" s="164" t="s">
        <v>388</v>
      </c>
      <c r="F142" s="164" t="s">
        <v>389</v>
      </c>
      <c r="G142" s="164" t="s">
        <v>390</v>
      </c>
      <c r="H142" s="164" t="s">
        <v>391</v>
      </c>
      <c r="I142" s="164" t="s">
        <v>392</v>
      </c>
      <c r="J142" s="164" t="s">
        <v>393</v>
      </c>
      <c r="K142" s="164" t="s">
        <v>394</v>
      </c>
      <c r="L142" s="164" t="s">
        <v>395</v>
      </c>
      <c r="M142" s="164" t="s">
        <v>396</v>
      </c>
      <c r="N142" s="164" t="s">
        <v>397</v>
      </c>
      <c r="O142" s="164" t="s">
        <v>398</v>
      </c>
      <c r="P142" s="164" t="s">
        <v>399</v>
      </c>
      <c r="Q142" s="106" t="s">
        <v>29</v>
      </c>
      <c r="S142" s="163" t="s">
        <v>207</v>
      </c>
      <c r="T142" s="164" t="s">
        <v>386</v>
      </c>
      <c r="U142" s="164" t="s">
        <v>387</v>
      </c>
      <c r="V142" s="164" t="s">
        <v>388</v>
      </c>
      <c r="W142" s="164" t="s">
        <v>389</v>
      </c>
      <c r="X142" s="164" t="s">
        <v>390</v>
      </c>
      <c r="Y142" s="164" t="s">
        <v>391</v>
      </c>
      <c r="Z142" s="164" t="s">
        <v>392</v>
      </c>
      <c r="AA142" s="164" t="s">
        <v>393</v>
      </c>
      <c r="AB142" s="164" t="s">
        <v>394</v>
      </c>
      <c r="AC142" s="164" t="s">
        <v>395</v>
      </c>
      <c r="AD142" s="164" t="s">
        <v>396</v>
      </c>
      <c r="AE142" s="164" t="s">
        <v>397</v>
      </c>
      <c r="AF142" s="164" t="s">
        <v>398</v>
      </c>
      <c r="AG142" s="164" t="s">
        <v>399</v>
      </c>
      <c r="AH142" s="106" t="s">
        <v>29</v>
      </c>
      <c r="AJ142" s="163" t="s">
        <v>207</v>
      </c>
      <c r="AK142" s="164" t="s">
        <v>386</v>
      </c>
      <c r="AL142" s="164" t="s">
        <v>387</v>
      </c>
      <c r="AM142" s="164" t="s">
        <v>388</v>
      </c>
      <c r="AN142" s="164" t="s">
        <v>389</v>
      </c>
      <c r="AO142" s="164" t="s">
        <v>390</v>
      </c>
      <c r="AP142" s="164" t="s">
        <v>391</v>
      </c>
      <c r="AQ142" s="164" t="s">
        <v>392</v>
      </c>
      <c r="AR142" s="164" t="s">
        <v>393</v>
      </c>
      <c r="AS142" s="164" t="s">
        <v>394</v>
      </c>
      <c r="AT142" s="164" t="s">
        <v>395</v>
      </c>
      <c r="AU142" s="164" t="s">
        <v>396</v>
      </c>
      <c r="AV142" s="164" t="s">
        <v>397</v>
      </c>
      <c r="AW142" s="164" t="s">
        <v>398</v>
      </c>
      <c r="AX142" s="164" t="s">
        <v>399</v>
      </c>
      <c r="AY142" s="106" t="s">
        <v>29</v>
      </c>
      <c r="BA142" s="163" t="s">
        <v>207</v>
      </c>
      <c r="BB142" s="164" t="s">
        <v>386</v>
      </c>
      <c r="BC142" s="164" t="s">
        <v>387</v>
      </c>
      <c r="BD142" s="164" t="s">
        <v>388</v>
      </c>
      <c r="BE142" s="164" t="s">
        <v>389</v>
      </c>
      <c r="BF142" s="164" t="s">
        <v>390</v>
      </c>
      <c r="BG142" s="164" t="s">
        <v>391</v>
      </c>
      <c r="BH142" s="164" t="s">
        <v>392</v>
      </c>
      <c r="BI142" s="164" t="s">
        <v>393</v>
      </c>
      <c r="BJ142" s="164" t="s">
        <v>394</v>
      </c>
      <c r="BK142" s="164" t="s">
        <v>395</v>
      </c>
      <c r="BL142" s="164" t="s">
        <v>396</v>
      </c>
      <c r="BM142" s="164" t="s">
        <v>397</v>
      </c>
      <c r="BN142" s="164" t="s">
        <v>398</v>
      </c>
      <c r="BO142" s="164" t="s">
        <v>399</v>
      </c>
      <c r="BP142" s="106" t="s">
        <v>29</v>
      </c>
      <c r="BR142" s="163" t="s">
        <v>207</v>
      </c>
      <c r="BS142" s="164" t="s">
        <v>386</v>
      </c>
      <c r="BT142" s="164" t="s">
        <v>387</v>
      </c>
      <c r="BU142" s="164" t="s">
        <v>388</v>
      </c>
      <c r="BV142" s="164" t="s">
        <v>389</v>
      </c>
      <c r="BW142" s="164" t="s">
        <v>390</v>
      </c>
      <c r="BX142" s="164" t="s">
        <v>391</v>
      </c>
      <c r="BY142" s="164" t="s">
        <v>392</v>
      </c>
      <c r="BZ142" s="164" t="s">
        <v>393</v>
      </c>
      <c r="CA142" s="164" t="s">
        <v>394</v>
      </c>
      <c r="CB142" s="164" t="s">
        <v>395</v>
      </c>
      <c r="CC142" s="164" t="s">
        <v>396</v>
      </c>
      <c r="CD142" s="164" t="s">
        <v>397</v>
      </c>
      <c r="CE142" s="164" t="s">
        <v>398</v>
      </c>
      <c r="CF142" s="164" t="s">
        <v>399</v>
      </c>
      <c r="CG142" s="106" t="s">
        <v>29</v>
      </c>
    </row>
    <row r="143" spans="2:85" x14ac:dyDescent="0.25">
      <c r="B143" s="107" t="s">
        <v>386</v>
      </c>
      <c r="C143" s="160">
        <f>TripMode_input!B116</f>
        <v>3648.0375199999999</v>
      </c>
      <c r="D143" s="160">
        <f>TripMode_input!C116</f>
        <v>0</v>
      </c>
      <c r="E143" s="160">
        <f>TripMode_input!D116</f>
        <v>3333.1755499999999</v>
      </c>
      <c r="F143" s="160">
        <f>TripMode_input!E116</f>
        <v>12.729279999999999</v>
      </c>
      <c r="G143" s="160">
        <f>TripMode_input!F116</f>
        <v>1121.1537900000001</v>
      </c>
      <c r="H143" s="160">
        <f>TripMode_input!G116</f>
        <v>335.47404</v>
      </c>
      <c r="I143" s="160">
        <f>TripMode_input!H116</f>
        <v>0</v>
      </c>
      <c r="J143" s="160">
        <f>TripMode_input!I116</f>
        <v>0</v>
      </c>
      <c r="K143" s="160">
        <f>TripMode_input!J116</f>
        <v>0</v>
      </c>
      <c r="L143" s="160">
        <f>TripMode_input!K116</f>
        <v>0</v>
      </c>
      <c r="M143" s="160">
        <f>TripMode_input!L116</f>
        <v>0</v>
      </c>
      <c r="N143" s="160">
        <f>TripMode_input!M116</f>
        <v>0</v>
      </c>
      <c r="O143" s="160">
        <f>TripMode_input!N116</f>
        <v>0</v>
      </c>
      <c r="P143" s="160">
        <f>TripMode_input!O116</f>
        <v>0</v>
      </c>
      <c r="Q143" s="161">
        <f t="shared" ref="Q143:Q156" si="375">SUM(C143:P143)</f>
        <v>8450.5701799999988</v>
      </c>
      <c r="S143" s="107" t="s">
        <v>386</v>
      </c>
      <c r="T143" s="160">
        <f>TripMode_input!R116*Index!$B$2</f>
        <v>0</v>
      </c>
      <c r="U143" s="160">
        <f>TripMode_input!S116*Index!$B$2</f>
        <v>0</v>
      </c>
      <c r="V143" s="160">
        <f>TripMode_input!T116*Index!$B$2</f>
        <v>0</v>
      </c>
      <c r="W143" s="160">
        <f>TripMode_input!U116*Index!$B$2</f>
        <v>0</v>
      </c>
      <c r="X143" s="160">
        <f>TripMode_input!V116*Index!$B$2</f>
        <v>0</v>
      </c>
      <c r="Y143" s="160">
        <f>TripMode_input!W116*Index!$B$2</f>
        <v>0</v>
      </c>
      <c r="Z143" s="160">
        <f>TripMode_input!X116*Index!$B$2</f>
        <v>0</v>
      </c>
      <c r="AA143" s="160">
        <f>TripMode_input!Y116*Index!$B$2</f>
        <v>0</v>
      </c>
      <c r="AB143" s="160">
        <f>TripMode_input!Z116*Index!$B$2</f>
        <v>0</v>
      </c>
      <c r="AC143" s="160">
        <f>TripMode_input!AA116*Index!$B$2</f>
        <v>0</v>
      </c>
      <c r="AD143" s="160">
        <f>TripMode_input!AB116*Index!$B$2</f>
        <v>0</v>
      </c>
      <c r="AE143" s="160">
        <f>TripMode_input!AC116*Index!$B$2</f>
        <v>0</v>
      </c>
      <c r="AF143" s="160">
        <f>TripMode_input!AD116*Index!$B$2</f>
        <v>0</v>
      </c>
      <c r="AG143" s="160">
        <f>TripMode_input!AE116*Index!$B$2</f>
        <v>0</v>
      </c>
      <c r="AH143" s="161">
        <f t="shared" ref="AH143:AH156" si="376">SUM(T143:AG143)</f>
        <v>0</v>
      </c>
      <c r="AJ143" s="107" t="s">
        <v>386</v>
      </c>
      <c r="AK143" s="166">
        <f>IF(C$157&gt;0,C143/C$157,"")</f>
        <v>1</v>
      </c>
      <c r="AL143" s="166" t="str">
        <f t="shared" ref="AL143:AL157" si="377">IF(D$157&gt;0,D143/D$157,"")</f>
        <v/>
      </c>
      <c r="AM143" s="166">
        <f t="shared" ref="AM143:AM157" si="378">IF(E$157&gt;0,E143/E$157,"")</f>
        <v>3.4256127730464239E-3</v>
      </c>
      <c r="AN143" s="166">
        <f t="shared" ref="AN143:AN157" si="379">IF(F$157&gt;0,F143/F$157,"")</f>
        <v>7.2347092985478251E-4</v>
      </c>
      <c r="AO143" s="166">
        <f t="shared" ref="AO143:AO157" si="380">IF(G$157&gt;0,G143/G$157,"")</f>
        <v>7.1770684278418763E-4</v>
      </c>
      <c r="AP143" s="166">
        <f t="shared" ref="AP143:AP157" si="381">IF(H$157&gt;0,H143/H$157,"")</f>
        <v>4.9388914326589685E-3</v>
      </c>
      <c r="AQ143" s="166">
        <f t="shared" ref="AQ143:AQ157" si="382">IF(I$157&gt;0,I143/I$157,"")</f>
        <v>0</v>
      </c>
      <c r="AR143" s="166">
        <f t="shared" ref="AR143:AR157" si="383">IF(J$157&gt;0,J143/J$157,"")</f>
        <v>0</v>
      </c>
      <c r="AS143" s="166">
        <f t="shared" ref="AS143:AS157" si="384">IF(K$157&gt;0,K143/K$157,"")</f>
        <v>0</v>
      </c>
      <c r="AT143" s="166">
        <f t="shared" ref="AT143:AT157" si="385">IF(L$157&gt;0,L143/L$157,"")</f>
        <v>0</v>
      </c>
      <c r="AU143" s="166">
        <f t="shared" ref="AU143:AU157" si="386">IF(M$157&gt;0,M143/M$157,"")</f>
        <v>0</v>
      </c>
      <c r="AV143" s="166">
        <f t="shared" ref="AV143:AV157" si="387">IF(N$157&gt;0,N143/N$157,"")</f>
        <v>0</v>
      </c>
      <c r="AW143" s="166">
        <f t="shared" ref="AW143:AW157" si="388">IF(O$157&gt;0,O143/O$157,"")</f>
        <v>0</v>
      </c>
      <c r="AX143" s="166">
        <f t="shared" ref="AX143:AX157" si="389">IF(P$157&gt;0,P143/P$157,"")</f>
        <v>0</v>
      </c>
      <c r="AY143" s="167">
        <f t="shared" ref="AY143:AY157" si="390">IF(Q$157&gt;0,Q143/Q$157,"")</f>
        <v>2.8988355375067264E-3</v>
      </c>
      <c r="BA143" s="107" t="s">
        <v>386</v>
      </c>
      <c r="BB143" s="166" t="str">
        <f>IF(T$157&gt;0,T143/T$157,"")</f>
        <v/>
      </c>
      <c r="BC143" s="166" t="str">
        <f t="shared" ref="BC143:BC157" si="391">IF(U$157&gt;0,U143/U$157,"")</f>
        <v/>
      </c>
      <c r="BD143" s="166">
        <f t="shared" ref="BD143:BD157" si="392">IF(V$157&gt;0,V143/V$157,"")</f>
        <v>0</v>
      </c>
      <c r="BE143" s="166">
        <f t="shared" ref="BE143:BE157" si="393">IF(W$157&gt;0,W143/W$157,"")</f>
        <v>0</v>
      </c>
      <c r="BF143" s="166">
        <f t="shared" ref="BF143:BF157" si="394">IF(X$157&gt;0,X143/X$157,"")</f>
        <v>0</v>
      </c>
      <c r="BG143" s="166">
        <f t="shared" ref="BG143:BG157" si="395">IF(Y$157&gt;0,Y143/Y$157,"")</f>
        <v>0</v>
      </c>
      <c r="BH143" s="166">
        <f t="shared" ref="BH143:BH157" si="396">IF(Z$157&gt;0,Z143/Z$157,"")</f>
        <v>0</v>
      </c>
      <c r="BI143" s="166">
        <f t="shared" ref="BI143:BI157" si="397">IF(AA$157&gt;0,AA143/AA$157,"")</f>
        <v>0</v>
      </c>
      <c r="BJ143" s="166" t="str">
        <f t="shared" ref="BJ143:BJ157" si="398">IF(AB$157&gt;0,AB143/AB$157,"")</f>
        <v/>
      </c>
      <c r="BK143" s="166">
        <f t="shared" ref="BK143:BK157" si="399">IF(AC$157&gt;0,AC143/AC$157,"")</f>
        <v>0</v>
      </c>
      <c r="BL143" s="166">
        <f t="shared" ref="BL143:BL157" si="400">IF(AD$157&gt;0,AD143/AD$157,"")</f>
        <v>0</v>
      </c>
      <c r="BM143" s="166">
        <f t="shared" ref="BM143:BM157" si="401">IF(AE$157&gt;0,AE143/AE$157,"")</f>
        <v>0</v>
      </c>
      <c r="BN143" s="166">
        <f t="shared" ref="BN143:BN157" si="402">IF(AF$157&gt;0,AF143/AF$157,"")</f>
        <v>0</v>
      </c>
      <c r="BO143" s="166" t="str">
        <f t="shared" ref="BO143:BO157" si="403">IF(AG$157&gt;0,AG143/AG$157,"")</f>
        <v/>
      </c>
      <c r="BP143" s="167">
        <f t="shared" ref="BP143:BP157" si="404">IF(AH$157&gt;0,AH143/AH$157,"")</f>
        <v>0</v>
      </c>
      <c r="BR143" s="107" t="s">
        <v>386</v>
      </c>
      <c r="BS143" s="166" t="e">
        <f t="shared" ref="BS143:BV146" si="405">IF(OR(ISNA(AK143),AK143=0,AK143=""),"",(BB143-AK143)/AK143)</f>
        <v>#VALUE!</v>
      </c>
      <c r="BT143" s="166" t="str">
        <f t="shared" si="405"/>
        <v/>
      </c>
      <c r="BU143" s="166">
        <f t="shared" si="405"/>
        <v>-1</v>
      </c>
      <c r="BV143" s="166">
        <f t="shared" si="405"/>
        <v>-1</v>
      </c>
      <c r="BW143" s="166"/>
      <c r="BX143" s="166"/>
      <c r="BY143" s="166"/>
      <c r="BZ143" s="166"/>
      <c r="CA143" s="166"/>
      <c r="CB143" s="166" t="str">
        <f t="shared" ref="CB143:CG143" si="406">IF(OR(ISNA(AT143),AT143=0,AT143=""),"",(BK143-AT143)/AT143)</f>
        <v/>
      </c>
      <c r="CC143" s="166" t="str">
        <f t="shared" si="406"/>
        <v/>
      </c>
      <c r="CD143" s="166" t="str">
        <f t="shared" si="406"/>
        <v/>
      </c>
      <c r="CE143" s="166" t="str">
        <f t="shared" si="406"/>
        <v/>
      </c>
      <c r="CF143" s="166" t="str">
        <f t="shared" si="406"/>
        <v/>
      </c>
      <c r="CG143" s="167">
        <f t="shared" si="406"/>
        <v>-1</v>
      </c>
    </row>
    <row r="144" spans="2:85" x14ac:dyDescent="0.25">
      <c r="B144" s="107" t="s">
        <v>387</v>
      </c>
      <c r="C144" s="160">
        <f>TripMode_input!B117</f>
        <v>0</v>
      </c>
      <c r="D144" s="160">
        <f>TripMode_input!C117</f>
        <v>0</v>
      </c>
      <c r="E144" s="160">
        <f>TripMode_input!D117</f>
        <v>0</v>
      </c>
      <c r="F144" s="160">
        <f>TripMode_input!E117</f>
        <v>0</v>
      </c>
      <c r="G144" s="160">
        <f>TripMode_input!F117</f>
        <v>0</v>
      </c>
      <c r="H144" s="160">
        <f>TripMode_input!G117</f>
        <v>503.67755</v>
      </c>
      <c r="I144" s="160">
        <f>TripMode_input!H117</f>
        <v>0</v>
      </c>
      <c r="J144" s="160">
        <f>TripMode_input!I117</f>
        <v>0</v>
      </c>
      <c r="K144" s="160">
        <f>TripMode_input!J117</f>
        <v>0</v>
      </c>
      <c r="L144" s="160">
        <f>TripMode_input!K117</f>
        <v>0</v>
      </c>
      <c r="M144" s="160">
        <f>TripMode_input!L117</f>
        <v>0</v>
      </c>
      <c r="N144" s="160">
        <f>TripMode_input!M117</f>
        <v>0</v>
      </c>
      <c r="O144" s="160">
        <f>TripMode_input!N117</f>
        <v>0</v>
      </c>
      <c r="P144" s="160">
        <f>TripMode_input!O117</f>
        <v>0</v>
      </c>
      <c r="Q144" s="162">
        <f t="shared" si="375"/>
        <v>503.67755</v>
      </c>
      <c r="S144" s="107" t="s">
        <v>387</v>
      </c>
      <c r="T144" s="160">
        <f>TripMode_input!R117*Index!$B$2</f>
        <v>0</v>
      </c>
      <c r="U144" s="160">
        <f>TripMode_input!S117*Index!$B$2</f>
        <v>0</v>
      </c>
      <c r="V144" s="160">
        <f>TripMode_input!T117*Index!$B$2</f>
        <v>0</v>
      </c>
      <c r="W144" s="160">
        <f>TripMode_input!U117*Index!$B$2</f>
        <v>0</v>
      </c>
      <c r="X144" s="160">
        <f>TripMode_input!V117*Index!$B$2</f>
        <v>0</v>
      </c>
      <c r="Y144" s="160">
        <f>TripMode_input!W117*Index!$B$2</f>
        <v>0</v>
      </c>
      <c r="Z144" s="160">
        <f>TripMode_input!X117*Index!$B$2</f>
        <v>0</v>
      </c>
      <c r="AA144" s="160">
        <f>TripMode_input!Y117*Index!$B$2</f>
        <v>0</v>
      </c>
      <c r="AB144" s="160">
        <f>TripMode_input!Z117*Index!$B$2</f>
        <v>0</v>
      </c>
      <c r="AC144" s="160">
        <f>TripMode_input!AA117*Index!$B$2</f>
        <v>0</v>
      </c>
      <c r="AD144" s="160">
        <f>TripMode_input!AB117*Index!$B$2</f>
        <v>0</v>
      </c>
      <c r="AE144" s="160">
        <f>TripMode_input!AC117*Index!$B$2</f>
        <v>0</v>
      </c>
      <c r="AF144" s="160">
        <f>TripMode_input!AD117*Index!$B$2</f>
        <v>0</v>
      </c>
      <c r="AG144" s="160">
        <f>TripMode_input!AE117*Index!$B$2</f>
        <v>0</v>
      </c>
      <c r="AH144" s="162">
        <f t="shared" si="376"/>
        <v>0</v>
      </c>
      <c r="AJ144" s="107" t="s">
        <v>387</v>
      </c>
      <c r="AK144" s="166">
        <f t="shared" ref="AK144:AK157" si="407">IF(C$157&gt;0,C144/C$157,"")</f>
        <v>0</v>
      </c>
      <c r="AL144" s="166" t="str">
        <f t="shared" si="377"/>
        <v/>
      </c>
      <c r="AM144" s="166">
        <f t="shared" si="378"/>
        <v>0</v>
      </c>
      <c r="AN144" s="166">
        <f t="shared" si="379"/>
        <v>0</v>
      </c>
      <c r="AO144" s="166">
        <f t="shared" si="380"/>
        <v>0</v>
      </c>
      <c r="AP144" s="166">
        <f t="shared" si="381"/>
        <v>7.4152048740273886E-3</v>
      </c>
      <c r="AQ144" s="166">
        <f t="shared" si="382"/>
        <v>0</v>
      </c>
      <c r="AR144" s="166">
        <f t="shared" si="383"/>
        <v>0</v>
      </c>
      <c r="AS144" s="166">
        <f t="shared" si="384"/>
        <v>0</v>
      </c>
      <c r="AT144" s="166">
        <f t="shared" si="385"/>
        <v>0</v>
      </c>
      <c r="AU144" s="166">
        <f t="shared" si="386"/>
        <v>0</v>
      </c>
      <c r="AV144" s="166">
        <f t="shared" si="387"/>
        <v>0</v>
      </c>
      <c r="AW144" s="166">
        <f t="shared" si="388"/>
        <v>0</v>
      </c>
      <c r="AX144" s="166">
        <f t="shared" si="389"/>
        <v>0</v>
      </c>
      <c r="AY144" s="168">
        <f t="shared" si="390"/>
        <v>1.727786824183645E-4</v>
      </c>
      <c r="BA144" s="107" t="s">
        <v>387</v>
      </c>
      <c r="BB144" s="166" t="str">
        <f t="shared" ref="BB144:BB157" si="408">IF(T$157&gt;0,T144/T$157,"")</f>
        <v/>
      </c>
      <c r="BC144" s="166" t="str">
        <f t="shared" si="391"/>
        <v/>
      </c>
      <c r="BD144" s="166">
        <f t="shared" si="392"/>
        <v>0</v>
      </c>
      <c r="BE144" s="166">
        <f t="shared" si="393"/>
        <v>0</v>
      </c>
      <c r="BF144" s="166">
        <f t="shared" si="394"/>
        <v>0</v>
      </c>
      <c r="BG144" s="166">
        <f t="shared" si="395"/>
        <v>0</v>
      </c>
      <c r="BH144" s="166">
        <f t="shared" si="396"/>
        <v>0</v>
      </c>
      <c r="BI144" s="166">
        <f t="shared" si="397"/>
        <v>0</v>
      </c>
      <c r="BJ144" s="166" t="str">
        <f t="shared" si="398"/>
        <v/>
      </c>
      <c r="BK144" s="166">
        <f t="shared" si="399"/>
        <v>0</v>
      </c>
      <c r="BL144" s="166">
        <f t="shared" si="400"/>
        <v>0</v>
      </c>
      <c r="BM144" s="166">
        <f t="shared" si="401"/>
        <v>0</v>
      </c>
      <c r="BN144" s="166">
        <f t="shared" si="402"/>
        <v>0</v>
      </c>
      <c r="BO144" s="166" t="str">
        <f t="shared" si="403"/>
        <v/>
      </c>
      <c r="BP144" s="168">
        <f t="shared" si="404"/>
        <v>0</v>
      </c>
      <c r="BR144" s="107" t="s">
        <v>387</v>
      </c>
      <c r="BS144" s="166" t="str">
        <f t="shared" si="405"/>
        <v/>
      </c>
      <c r="BT144" s="166" t="str">
        <f t="shared" si="405"/>
        <v/>
      </c>
      <c r="BU144" s="166" t="str">
        <f t="shared" si="405"/>
        <v/>
      </c>
      <c r="BV144" s="166" t="str">
        <f t="shared" si="405"/>
        <v/>
      </c>
      <c r="BW144" s="166"/>
      <c r="BX144" s="166"/>
      <c r="BY144" s="166"/>
      <c r="BZ144" s="166"/>
      <c r="CA144" s="166"/>
      <c r="CB144" s="166" t="str">
        <f t="shared" ref="CB144:CG146" si="409">IF(OR(ISNA(AT144),AT144=0,AT144=""),"",(BK144-AT144)/AT144)</f>
        <v/>
      </c>
      <c r="CC144" s="166" t="str">
        <f t="shared" si="409"/>
        <v/>
      </c>
      <c r="CD144" s="166" t="str">
        <f t="shared" si="409"/>
        <v/>
      </c>
      <c r="CE144" s="166" t="str">
        <f t="shared" si="409"/>
        <v/>
      </c>
      <c r="CF144" s="166" t="str">
        <f t="shared" si="409"/>
        <v/>
      </c>
      <c r="CG144" s="168">
        <f t="shared" si="409"/>
        <v>-1</v>
      </c>
    </row>
    <row r="145" spans="2:85" x14ac:dyDescent="0.25">
      <c r="B145" s="107" t="s">
        <v>388</v>
      </c>
      <c r="C145" s="160">
        <f>TripMode_input!B118</f>
        <v>0</v>
      </c>
      <c r="D145" s="160">
        <f>TripMode_input!C118</f>
        <v>0</v>
      </c>
      <c r="E145" s="160">
        <f>TripMode_input!D118</f>
        <v>966326.61259000003</v>
      </c>
      <c r="F145" s="160">
        <f>TripMode_input!E118</f>
        <v>3955.3921999999998</v>
      </c>
      <c r="G145" s="160">
        <f>TripMode_input!F118</f>
        <v>106660.25827999999</v>
      </c>
      <c r="H145" s="160">
        <f>TripMode_input!G118</f>
        <v>339.82889999999998</v>
      </c>
      <c r="I145" s="160">
        <f>TripMode_input!H118</f>
        <v>0</v>
      </c>
      <c r="J145" s="160">
        <f>TripMode_input!I118</f>
        <v>0</v>
      </c>
      <c r="K145" s="160">
        <f>TripMode_input!J118</f>
        <v>335.47404</v>
      </c>
      <c r="L145" s="160">
        <f>TripMode_input!K118</f>
        <v>0</v>
      </c>
      <c r="M145" s="160">
        <f>TripMode_input!L118</f>
        <v>267.86455999999998</v>
      </c>
      <c r="N145" s="160">
        <f>TripMode_input!M118</f>
        <v>1191.94128</v>
      </c>
      <c r="O145" s="160">
        <f>TripMode_input!N118</f>
        <v>377.36547999999999</v>
      </c>
      <c r="P145" s="160">
        <f>TripMode_input!O118</f>
        <v>0</v>
      </c>
      <c r="Q145" s="162">
        <f t="shared" si="375"/>
        <v>1079454.7373299999</v>
      </c>
      <c r="S145" s="107" t="s">
        <v>388</v>
      </c>
      <c r="T145" s="160">
        <f>TripMode_input!R118*Index!$B$2</f>
        <v>0</v>
      </c>
      <c r="U145" s="160">
        <f>TripMode_input!S118*Index!$B$2</f>
        <v>0</v>
      </c>
      <c r="V145" s="160">
        <f>TripMode_input!T118*Index!$B$2</f>
        <v>365665</v>
      </c>
      <c r="W145" s="160">
        <f>TripMode_input!U118*Index!$B$2</f>
        <v>7240</v>
      </c>
      <c r="X145" s="160">
        <f>TripMode_input!V118*Index!$B$2</f>
        <v>10205</v>
      </c>
      <c r="Y145" s="160">
        <f>TripMode_input!W118*Index!$B$2</f>
        <v>130</v>
      </c>
      <c r="Z145" s="160">
        <f>TripMode_input!X118*Index!$B$2</f>
        <v>0</v>
      </c>
      <c r="AA145" s="160">
        <f>TripMode_input!Y118*Index!$B$2</f>
        <v>0</v>
      </c>
      <c r="AB145" s="160">
        <f>TripMode_input!Z118*Index!$B$2</f>
        <v>0</v>
      </c>
      <c r="AC145" s="160">
        <f>TripMode_input!AA118*Index!$B$2</f>
        <v>535</v>
      </c>
      <c r="AD145" s="160">
        <f>TripMode_input!AB118*Index!$B$2</f>
        <v>0</v>
      </c>
      <c r="AE145" s="160">
        <f>TripMode_input!AC118*Index!$B$2</f>
        <v>0</v>
      </c>
      <c r="AF145" s="160">
        <f>TripMode_input!AD118*Index!$B$2</f>
        <v>50</v>
      </c>
      <c r="AG145" s="160">
        <f>TripMode_input!AE118*Index!$B$2</f>
        <v>0</v>
      </c>
      <c r="AH145" s="162">
        <f t="shared" si="376"/>
        <v>383825</v>
      </c>
      <c r="AJ145" s="107" t="s">
        <v>388</v>
      </c>
      <c r="AK145" s="166">
        <f t="shared" si="407"/>
        <v>0</v>
      </c>
      <c r="AL145" s="166" t="str">
        <f t="shared" si="377"/>
        <v/>
      </c>
      <c r="AM145" s="166">
        <f t="shared" si="378"/>
        <v>0.99312524569040095</v>
      </c>
      <c r="AN145" s="166">
        <f t="shared" si="379"/>
        <v>0.22480543069791489</v>
      </c>
      <c r="AO145" s="166">
        <f t="shared" si="380"/>
        <v>6.8278587561733883E-2</v>
      </c>
      <c r="AP145" s="166">
        <f t="shared" si="381"/>
        <v>5.0030042347834758E-3</v>
      </c>
      <c r="AQ145" s="166">
        <f t="shared" si="382"/>
        <v>0</v>
      </c>
      <c r="AR145" s="166">
        <f t="shared" si="383"/>
        <v>0</v>
      </c>
      <c r="AS145" s="166">
        <f t="shared" si="384"/>
        <v>8.8313323501787895E-3</v>
      </c>
      <c r="AT145" s="166">
        <f t="shared" si="385"/>
        <v>0</v>
      </c>
      <c r="AU145" s="166">
        <f t="shared" si="386"/>
        <v>3.0786670210640243E-2</v>
      </c>
      <c r="AV145" s="166">
        <f t="shared" si="387"/>
        <v>0.11672062467380756</v>
      </c>
      <c r="AW145" s="166">
        <f t="shared" si="388"/>
        <v>9.6223745579543635E-2</v>
      </c>
      <c r="AX145" s="166">
        <f t="shared" si="389"/>
        <v>0</v>
      </c>
      <c r="AY145" s="168">
        <f t="shared" si="390"/>
        <v>0.37029001440731102</v>
      </c>
      <c r="BA145" s="107" t="s">
        <v>388</v>
      </c>
      <c r="BB145" s="166" t="str">
        <f t="shared" si="408"/>
        <v/>
      </c>
      <c r="BC145" s="166" t="str">
        <f t="shared" si="391"/>
        <v/>
      </c>
      <c r="BD145" s="166">
        <f t="shared" si="392"/>
        <v>0.99484437914898249</v>
      </c>
      <c r="BE145" s="166">
        <f t="shared" si="393"/>
        <v>0.77765843179377014</v>
      </c>
      <c r="BF145" s="166">
        <f t="shared" si="394"/>
        <v>2.6200929420524276E-2</v>
      </c>
      <c r="BG145" s="166">
        <f t="shared" si="395"/>
        <v>2.4436090225563908E-2</v>
      </c>
      <c r="BH145" s="166">
        <f t="shared" si="396"/>
        <v>0</v>
      </c>
      <c r="BI145" s="166">
        <f t="shared" si="397"/>
        <v>0</v>
      </c>
      <c r="BJ145" s="166" t="str">
        <f t="shared" si="398"/>
        <v/>
      </c>
      <c r="BK145" s="166">
        <f t="shared" si="399"/>
        <v>6.5243902439024393E-2</v>
      </c>
      <c r="BL145" s="166">
        <f t="shared" si="400"/>
        <v>0</v>
      </c>
      <c r="BM145" s="166">
        <f t="shared" si="401"/>
        <v>0</v>
      </c>
      <c r="BN145" s="166">
        <f t="shared" si="402"/>
        <v>4.5045045045045043E-2</v>
      </c>
      <c r="BO145" s="166" t="str">
        <f t="shared" si="403"/>
        <v/>
      </c>
      <c r="BP145" s="168">
        <f t="shared" si="404"/>
        <v>0.43464352040585225</v>
      </c>
      <c r="BR145" s="107" t="s">
        <v>388</v>
      </c>
      <c r="BS145" s="166" t="str">
        <f t="shared" si="405"/>
        <v/>
      </c>
      <c r="BT145" s="166" t="str">
        <f t="shared" si="405"/>
        <v/>
      </c>
      <c r="BU145" s="166">
        <f t="shared" si="405"/>
        <v>1.7310338912857239E-3</v>
      </c>
      <c r="BV145" s="166">
        <f t="shared" si="405"/>
        <v>2.4592510927316447</v>
      </c>
      <c r="BW145" s="166"/>
      <c r="BX145" s="166"/>
      <c r="BY145" s="166"/>
      <c r="BZ145" s="166"/>
      <c r="CA145" s="166"/>
      <c r="CB145" s="166" t="str">
        <f t="shared" si="409"/>
        <v/>
      </c>
      <c r="CC145" s="166">
        <f t="shared" si="409"/>
        <v>-1</v>
      </c>
      <c r="CD145" s="166">
        <f t="shared" si="409"/>
        <v>-1</v>
      </c>
      <c r="CE145" s="166">
        <f t="shared" si="409"/>
        <v>-0.53187183918330816</v>
      </c>
      <c r="CF145" s="166" t="str">
        <f t="shared" si="409"/>
        <v/>
      </c>
      <c r="CG145" s="168">
        <f t="shared" si="409"/>
        <v>0.17379217233698815</v>
      </c>
    </row>
    <row r="146" spans="2:85" x14ac:dyDescent="0.25">
      <c r="B146" s="107" t="s">
        <v>389</v>
      </c>
      <c r="C146" s="160">
        <f>TripMode_input!B119</f>
        <v>0</v>
      </c>
      <c r="D146" s="160">
        <f>TripMode_input!C119</f>
        <v>0</v>
      </c>
      <c r="E146" s="160">
        <f>TripMode_input!D119</f>
        <v>0</v>
      </c>
      <c r="F146" s="160">
        <f>TripMode_input!E119</f>
        <v>13141.51506</v>
      </c>
      <c r="G146" s="160">
        <f>TripMode_input!F119</f>
        <v>0</v>
      </c>
      <c r="H146" s="160">
        <f>TripMode_input!G119</f>
        <v>810.71419000000003</v>
      </c>
      <c r="I146" s="160">
        <f>TripMode_input!H119</f>
        <v>0</v>
      </c>
      <c r="J146" s="160">
        <f>TripMode_input!I119</f>
        <v>0</v>
      </c>
      <c r="K146" s="160">
        <f>TripMode_input!J119</f>
        <v>0</v>
      </c>
      <c r="L146" s="160">
        <f>TripMode_input!K119</f>
        <v>0</v>
      </c>
      <c r="M146" s="160">
        <f>TripMode_input!L119</f>
        <v>0</v>
      </c>
      <c r="N146" s="160">
        <f>TripMode_input!M119</f>
        <v>0</v>
      </c>
      <c r="O146" s="160">
        <f>TripMode_input!N119</f>
        <v>0</v>
      </c>
      <c r="P146" s="160">
        <f>TripMode_input!O119</f>
        <v>0</v>
      </c>
      <c r="Q146" s="162">
        <f t="shared" si="375"/>
        <v>13952.22925</v>
      </c>
      <c r="S146" s="107" t="s">
        <v>389</v>
      </c>
      <c r="T146" s="160">
        <f>TripMode_input!R119*Index!$B$2</f>
        <v>0</v>
      </c>
      <c r="U146" s="160">
        <f>TripMode_input!S119*Index!$B$2</f>
        <v>0</v>
      </c>
      <c r="V146" s="160">
        <f>TripMode_input!T119*Index!$B$2</f>
        <v>0</v>
      </c>
      <c r="W146" s="160">
        <f>TripMode_input!U119*Index!$B$2</f>
        <v>2070</v>
      </c>
      <c r="X146" s="160">
        <f>TripMode_input!V119*Index!$B$2</f>
        <v>0</v>
      </c>
      <c r="Y146" s="160">
        <f>TripMode_input!W119*Index!$B$2</f>
        <v>60</v>
      </c>
      <c r="Z146" s="160">
        <f>TripMode_input!X119*Index!$B$2</f>
        <v>0</v>
      </c>
      <c r="AA146" s="160">
        <f>TripMode_input!Y119*Index!$B$2</f>
        <v>0</v>
      </c>
      <c r="AB146" s="160">
        <f>TripMode_input!Z119*Index!$B$2</f>
        <v>0</v>
      </c>
      <c r="AC146" s="160">
        <f>TripMode_input!AA119*Index!$B$2</f>
        <v>50</v>
      </c>
      <c r="AD146" s="160">
        <f>TripMode_input!AB119*Index!$B$2</f>
        <v>0</v>
      </c>
      <c r="AE146" s="160">
        <f>TripMode_input!AC119*Index!$B$2</f>
        <v>0</v>
      </c>
      <c r="AF146" s="160">
        <f>TripMode_input!AD119*Index!$B$2</f>
        <v>15</v>
      </c>
      <c r="AG146" s="160">
        <f>TripMode_input!AE119*Index!$B$2</f>
        <v>0</v>
      </c>
      <c r="AH146" s="162">
        <f t="shared" si="376"/>
        <v>2195</v>
      </c>
      <c r="AJ146" s="107" t="s">
        <v>389</v>
      </c>
      <c r="AK146" s="166">
        <f t="shared" si="407"/>
        <v>0</v>
      </c>
      <c r="AL146" s="166" t="str">
        <f t="shared" si="377"/>
        <v/>
      </c>
      <c r="AM146" s="166">
        <f t="shared" si="378"/>
        <v>0</v>
      </c>
      <c r="AN146" s="166">
        <f t="shared" si="379"/>
        <v>0.74690038400905856</v>
      </c>
      <c r="AO146" s="166">
        <f t="shared" si="380"/>
        <v>0</v>
      </c>
      <c r="AP146" s="166">
        <f t="shared" si="381"/>
        <v>1.1935437291440063E-2</v>
      </c>
      <c r="AQ146" s="166">
        <f t="shared" si="382"/>
        <v>0</v>
      </c>
      <c r="AR146" s="166">
        <f t="shared" si="383"/>
        <v>0</v>
      </c>
      <c r="AS146" s="166">
        <f t="shared" si="384"/>
        <v>0</v>
      </c>
      <c r="AT146" s="166">
        <f t="shared" si="385"/>
        <v>0</v>
      </c>
      <c r="AU146" s="166">
        <f t="shared" si="386"/>
        <v>0</v>
      </c>
      <c r="AV146" s="166">
        <f t="shared" si="387"/>
        <v>0</v>
      </c>
      <c r="AW146" s="166">
        <f t="shared" si="388"/>
        <v>0</v>
      </c>
      <c r="AX146" s="166">
        <f t="shared" si="389"/>
        <v>0</v>
      </c>
      <c r="AY146" s="168">
        <f t="shared" si="390"/>
        <v>4.7860933778246934E-3</v>
      </c>
      <c r="BA146" s="107" t="s">
        <v>389</v>
      </c>
      <c r="BB146" s="166" t="str">
        <f t="shared" si="408"/>
        <v/>
      </c>
      <c r="BC146" s="166" t="str">
        <f t="shared" si="391"/>
        <v/>
      </c>
      <c r="BD146" s="166">
        <f t="shared" si="392"/>
        <v>0</v>
      </c>
      <c r="BE146" s="166">
        <f t="shared" si="393"/>
        <v>0.22234156820622986</v>
      </c>
      <c r="BF146" s="166">
        <f t="shared" si="394"/>
        <v>0</v>
      </c>
      <c r="BG146" s="166">
        <f t="shared" si="395"/>
        <v>1.1278195488721804E-2</v>
      </c>
      <c r="BH146" s="166">
        <f t="shared" si="396"/>
        <v>0</v>
      </c>
      <c r="BI146" s="166">
        <f t="shared" si="397"/>
        <v>0</v>
      </c>
      <c r="BJ146" s="166" t="str">
        <f t="shared" si="398"/>
        <v/>
      </c>
      <c r="BK146" s="166">
        <f t="shared" si="399"/>
        <v>6.0975609756097563E-3</v>
      </c>
      <c r="BL146" s="166">
        <f t="shared" si="400"/>
        <v>0</v>
      </c>
      <c r="BM146" s="166">
        <f t="shared" si="401"/>
        <v>0</v>
      </c>
      <c r="BN146" s="166">
        <f t="shared" si="402"/>
        <v>1.3513513513513514E-2</v>
      </c>
      <c r="BO146" s="166" t="str">
        <f t="shared" si="403"/>
        <v/>
      </c>
      <c r="BP146" s="168">
        <f t="shared" si="404"/>
        <v>2.4856185170086514E-3</v>
      </c>
      <c r="BR146" s="107" t="s">
        <v>389</v>
      </c>
      <c r="BS146" s="166" t="str">
        <f t="shared" si="405"/>
        <v/>
      </c>
      <c r="BT146" s="166" t="str">
        <f t="shared" si="405"/>
        <v/>
      </c>
      <c r="BU146" s="166" t="str">
        <f t="shared" si="405"/>
        <v/>
      </c>
      <c r="BV146" s="166">
        <f t="shared" si="405"/>
        <v>-0.7023142938917899</v>
      </c>
      <c r="BW146" s="166"/>
      <c r="BX146" s="166"/>
      <c r="BY146" s="166"/>
      <c r="BZ146" s="166"/>
      <c r="CA146" s="166"/>
      <c r="CB146" s="166" t="str">
        <f t="shared" si="409"/>
        <v/>
      </c>
      <c r="CC146" s="166" t="str">
        <f t="shared" si="409"/>
        <v/>
      </c>
      <c r="CD146" s="166" t="str">
        <f t="shared" si="409"/>
        <v/>
      </c>
      <c r="CE146" s="166" t="str">
        <f t="shared" si="409"/>
        <v/>
      </c>
      <c r="CF146" s="166" t="str">
        <f t="shared" si="409"/>
        <v/>
      </c>
      <c r="CG146" s="168">
        <f t="shared" si="409"/>
        <v>-0.48065816506522507</v>
      </c>
    </row>
    <row r="147" spans="2:85" x14ac:dyDescent="0.25">
      <c r="B147" s="107" t="s">
        <v>390</v>
      </c>
      <c r="C147" s="160">
        <f>TripMode_input!B120</f>
        <v>0</v>
      </c>
      <c r="D147" s="160">
        <f>TripMode_input!C120</f>
        <v>0</v>
      </c>
      <c r="E147" s="160">
        <f>TripMode_input!D120</f>
        <v>0</v>
      </c>
      <c r="F147" s="160">
        <f>TripMode_input!E120</f>
        <v>0</v>
      </c>
      <c r="G147" s="160">
        <f>TripMode_input!F120</f>
        <v>1443583.1520799999</v>
      </c>
      <c r="H147" s="160">
        <f>TripMode_input!G120</f>
        <v>32698.51599</v>
      </c>
      <c r="I147" s="160">
        <f>TripMode_input!H120</f>
        <v>0</v>
      </c>
      <c r="J147" s="160">
        <f>TripMode_input!I120</f>
        <v>0</v>
      </c>
      <c r="K147" s="160">
        <f>TripMode_input!J120</f>
        <v>1712.4812400000001</v>
      </c>
      <c r="L147" s="160">
        <f>TripMode_input!K120</f>
        <v>0</v>
      </c>
      <c r="M147" s="160">
        <f>TripMode_input!L120</f>
        <v>1310.09266</v>
      </c>
      <c r="N147" s="160">
        <f>TripMode_input!M120</f>
        <v>1700.33826</v>
      </c>
      <c r="O147" s="160">
        <f>TripMode_input!N120</f>
        <v>0</v>
      </c>
      <c r="P147" s="160">
        <f>TripMode_input!O120</f>
        <v>270.39208000000002</v>
      </c>
      <c r="Q147" s="162">
        <f t="shared" si="375"/>
        <v>1481274.9723100001</v>
      </c>
      <c r="S147" s="107" t="s">
        <v>390</v>
      </c>
      <c r="T147" s="160">
        <f>TripMode_input!R120*Index!$B$2</f>
        <v>0</v>
      </c>
      <c r="U147" s="160">
        <f>TripMode_input!S120*Index!$B$2</f>
        <v>0</v>
      </c>
      <c r="V147" s="160">
        <f>TripMode_input!T120*Index!$B$2</f>
        <v>0</v>
      </c>
      <c r="W147" s="160">
        <f>TripMode_input!U120*Index!$B$2</f>
        <v>0</v>
      </c>
      <c r="X147" s="160">
        <f>TripMode_input!V120*Index!$B$2</f>
        <v>363590</v>
      </c>
      <c r="Y147" s="160">
        <f>TripMode_input!W120*Index!$B$2</f>
        <v>4040</v>
      </c>
      <c r="Z147" s="160">
        <f>TripMode_input!X120*Index!$B$2</f>
        <v>0</v>
      </c>
      <c r="AA147" s="160">
        <f>TripMode_input!Y120*Index!$B$2</f>
        <v>0</v>
      </c>
      <c r="AB147" s="160">
        <f>TripMode_input!Z120*Index!$B$2</f>
        <v>0</v>
      </c>
      <c r="AC147" s="160">
        <f>TripMode_input!AA120*Index!$B$2</f>
        <v>100</v>
      </c>
      <c r="AD147" s="160">
        <f>TripMode_input!AB120*Index!$B$2</f>
        <v>0</v>
      </c>
      <c r="AE147" s="160">
        <f>TripMode_input!AC120*Index!$B$2</f>
        <v>0</v>
      </c>
      <c r="AF147" s="160">
        <f>TripMode_input!AD120*Index!$B$2</f>
        <v>10</v>
      </c>
      <c r="AG147" s="160">
        <f>TripMode_input!AE120*Index!$B$2</f>
        <v>0</v>
      </c>
      <c r="AH147" s="162">
        <f t="shared" si="376"/>
        <v>367740</v>
      </c>
      <c r="AJ147" s="107" t="s">
        <v>390</v>
      </c>
      <c r="AK147" s="166">
        <f t="shared" si="407"/>
        <v>0</v>
      </c>
      <c r="AL147" s="166" t="str">
        <f t="shared" si="377"/>
        <v/>
      </c>
      <c r="AM147" s="166">
        <f t="shared" si="378"/>
        <v>0</v>
      </c>
      <c r="AN147" s="166">
        <f t="shared" si="379"/>
        <v>0</v>
      </c>
      <c r="AO147" s="166">
        <f t="shared" si="380"/>
        <v>0.92411006912422111</v>
      </c>
      <c r="AP147" s="166">
        <f t="shared" si="381"/>
        <v>0.48139170614713822</v>
      </c>
      <c r="AQ147" s="166">
        <f t="shared" si="382"/>
        <v>0</v>
      </c>
      <c r="AR147" s="166">
        <f t="shared" si="383"/>
        <v>0</v>
      </c>
      <c r="AS147" s="166">
        <f t="shared" si="384"/>
        <v>4.5080957602222478E-2</v>
      </c>
      <c r="AT147" s="166">
        <f t="shared" si="385"/>
        <v>0</v>
      </c>
      <c r="AU147" s="166">
        <f t="shared" si="386"/>
        <v>0.15057382234066516</v>
      </c>
      <c r="AV147" s="166">
        <f t="shared" si="387"/>
        <v>0.16650530289879298</v>
      </c>
      <c r="AW147" s="166">
        <f t="shared" si="388"/>
        <v>0</v>
      </c>
      <c r="AX147" s="166">
        <f t="shared" si="389"/>
        <v>0.33333333333333337</v>
      </c>
      <c r="AY147" s="168">
        <f t="shared" si="390"/>
        <v>0.50812814272746754</v>
      </c>
      <c r="BA147" s="107" t="s">
        <v>390</v>
      </c>
      <c r="BB147" s="166" t="str">
        <f t="shared" si="408"/>
        <v/>
      </c>
      <c r="BC147" s="166" t="str">
        <f t="shared" si="391"/>
        <v/>
      </c>
      <c r="BD147" s="166">
        <f t="shared" si="392"/>
        <v>0</v>
      </c>
      <c r="BE147" s="166">
        <f t="shared" si="393"/>
        <v>0</v>
      </c>
      <c r="BF147" s="166">
        <f t="shared" si="394"/>
        <v>0.93350278569411282</v>
      </c>
      <c r="BG147" s="166">
        <f t="shared" si="395"/>
        <v>0.75939849624060152</v>
      </c>
      <c r="BH147" s="166">
        <f t="shared" si="396"/>
        <v>0</v>
      </c>
      <c r="BI147" s="166">
        <f t="shared" si="397"/>
        <v>0</v>
      </c>
      <c r="BJ147" s="166" t="str">
        <f t="shared" si="398"/>
        <v/>
      </c>
      <c r="BK147" s="166">
        <f t="shared" si="399"/>
        <v>1.2195121951219513E-2</v>
      </c>
      <c r="BL147" s="166">
        <f t="shared" si="400"/>
        <v>0</v>
      </c>
      <c r="BM147" s="166">
        <f t="shared" si="401"/>
        <v>0</v>
      </c>
      <c r="BN147" s="166">
        <f t="shared" si="402"/>
        <v>9.0090090090090089E-3</v>
      </c>
      <c r="BO147" s="166" t="str">
        <f t="shared" si="403"/>
        <v/>
      </c>
      <c r="BP147" s="168">
        <f t="shared" si="404"/>
        <v>0.41642886261720341</v>
      </c>
      <c r="BR147" s="107" t="s">
        <v>390</v>
      </c>
      <c r="BS147" s="166"/>
      <c r="BT147" s="166"/>
      <c r="BU147" s="166"/>
      <c r="BV147" s="166"/>
      <c r="BW147" s="166"/>
      <c r="BX147" s="166"/>
      <c r="BY147" s="166"/>
      <c r="BZ147" s="166"/>
      <c r="CA147" s="166"/>
      <c r="CB147" s="166"/>
      <c r="CC147" s="166"/>
      <c r="CD147" s="166"/>
      <c r="CE147" s="166"/>
      <c r="CF147" s="166"/>
      <c r="CG147" s="168"/>
    </row>
    <row r="148" spans="2:85" x14ac:dyDescent="0.25">
      <c r="B148" s="107" t="s">
        <v>391</v>
      </c>
      <c r="C148" s="160">
        <f>TripMode_input!B121</f>
        <v>0</v>
      </c>
      <c r="D148" s="160">
        <f>TripMode_input!C121</f>
        <v>0</v>
      </c>
      <c r="E148" s="160">
        <f>TripMode_input!D121</f>
        <v>0</v>
      </c>
      <c r="F148" s="160">
        <f>TripMode_input!E121</f>
        <v>0</v>
      </c>
      <c r="G148" s="160">
        <f>TripMode_input!F121</f>
        <v>0</v>
      </c>
      <c r="H148" s="160">
        <f>TripMode_input!G121</f>
        <v>33236.756820000002</v>
      </c>
      <c r="I148" s="160">
        <f>TripMode_input!H121</f>
        <v>0</v>
      </c>
      <c r="J148" s="160">
        <f>TripMode_input!I121</f>
        <v>0</v>
      </c>
      <c r="K148" s="160">
        <f>TripMode_input!J121</f>
        <v>0</v>
      </c>
      <c r="L148" s="160">
        <f>TripMode_input!K121</f>
        <v>0</v>
      </c>
      <c r="M148" s="160">
        <f>TripMode_input!L121</f>
        <v>0</v>
      </c>
      <c r="N148" s="160">
        <f>TripMode_input!M121</f>
        <v>0</v>
      </c>
      <c r="O148" s="160">
        <f>TripMode_input!N121</f>
        <v>0</v>
      </c>
      <c r="P148" s="160">
        <f>TripMode_input!O121</f>
        <v>0</v>
      </c>
      <c r="Q148" s="162">
        <f t="shared" si="375"/>
        <v>33236.756820000002</v>
      </c>
      <c r="S148" s="107" t="s">
        <v>391</v>
      </c>
      <c r="T148" s="160">
        <f>TripMode_input!R121*Index!$B$2</f>
        <v>0</v>
      </c>
      <c r="U148" s="160">
        <f>TripMode_input!S121*Index!$B$2</f>
        <v>0</v>
      </c>
      <c r="V148" s="160">
        <f>TripMode_input!T121*Index!$B$2</f>
        <v>0</v>
      </c>
      <c r="W148" s="160">
        <f>TripMode_input!U121*Index!$B$2</f>
        <v>0</v>
      </c>
      <c r="X148" s="160">
        <f>TripMode_input!V121*Index!$B$2</f>
        <v>13145</v>
      </c>
      <c r="Y148" s="160">
        <f>TripMode_input!W121*Index!$B$2</f>
        <v>1090</v>
      </c>
      <c r="Z148" s="160">
        <f>TripMode_input!X121*Index!$B$2</f>
        <v>0</v>
      </c>
      <c r="AA148" s="160">
        <f>TripMode_input!Y121*Index!$B$2</f>
        <v>0</v>
      </c>
      <c r="AB148" s="160">
        <f>TripMode_input!Z121*Index!$B$2</f>
        <v>0</v>
      </c>
      <c r="AC148" s="160">
        <f>TripMode_input!AA121*Index!$B$2</f>
        <v>80</v>
      </c>
      <c r="AD148" s="160">
        <f>TripMode_input!AB121*Index!$B$2</f>
        <v>0</v>
      </c>
      <c r="AE148" s="160">
        <f>TripMode_input!AC121*Index!$B$2</f>
        <v>0</v>
      </c>
      <c r="AF148" s="160">
        <f>TripMode_input!AD121*Index!$B$2</f>
        <v>30</v>
      </c>
      <c r="AG148" s="160">
        <f>TripMode_input!AE121*Index!$B$2</f>
        <v>0</v>
      </c>
      <c r="AH148" s="162">
        <f t="shared" si="376"/>
        <v>14345</v>
      </c>
      <c r="AJ148" s="107" t="s">
        <v>391</v>
      </c>
      <c r="AK148" s="166">
        <f t="shared" si="407"/>
        <v>0</v>
      </c>
      <c r="AL148" s="166" t="str">
        <f t="shared" si="377"/>
        <v/>
      </c>
      <c r="AM148" s="166">
        <f t="shared" si="378"/>
        <v>0</v>
      </c>
      <c r="AN148" s="166">
        <f t="shared" si="379"/>
        <v>0</v>
      </c>
      <c r="AO148" s="166">
        <f t="shared" si="380"/>
        <v>0</v>
      </c>
      <c r="AP148" s="166">
        <f t="shared" si="381"/>
        <v>0.48931575601995181</v>
      </c>
      <c r="AQ148" s="166">
        <f t="shared" si="382"/>
        <v>0</v>
      </c>
      <c r="AR148" s="166">
        <f t="shared" si="383"/>
        <v>0</v>
      </c>
      <c r="AS148" s="166">
        <f t="shared" si="384"/>
        <v>0</v>
      </c>
      <c r="AT148" s="166">
        <f t="shared" si="385"/>
        <v>0</v>
      </c>
      <c r="AU148" s="166">
        <f t="shared" si="386"/>
        <v>0</v>
      </c>
      <c r="AV148" s="166">
        <f t="shared" si="387"/>
        <v>0</v>
      </c>
      <c r="AW148" s="166">
        <f t="shared" si="388"/>
        <v>0</v>
      </c>
      <c r="AX148" s="166">
        <f t="shared" si="389"/>
        <v>0</v>
      </c>
      <c r="AY148" s="168">
        <f t="shared" si="390"/>
        <v>1.140134804741484E-2</v>
      </c>
      <c r="BA148" s="107" t="s">
        <v>391</v>
      </c>
      <c r="BB148" s="166" t="str">
        <f t="shared" si="408"/>
        <v/>
      </c>
      <c r="BC148" s="166" t="str">
        <f t="shared" si="391"/>
        <v/>
      </c>
      <c r="BD148" s="166">
        <f t="shared" si="392"/>
        <v>0</v>
      </c>
      <c r="BE148" s="166">
        <f t="shared" si="393"/>
        <v>0</v>
      </c>
      <c r="BF148" s="166">
        <f t="shared" si="394"/>
        <v>3.3749261855246605E-2</v>
      </c>
      <c r="BG148" s="166">
        <f t="shared" si="395"/>
        <v>0.20488721804511278</v>
      </c>
      <c r="BH148" s="166">
        <f t="shared" si="396"/>
        <v>0</v>
      </c>
      <c r="BI148" s="166">
        <f t="shared" si="397"/>
        <v>0</v>
      </c>
      <c r="BJ148" s="166" t="str">
        <f t="shared" si="398"/>
        <v/>
      </c>
      <c r="BK148" s="166">
        <f t="shared" si="399"/>
        <v>9.7560975609756097E-3</v>
      </c>
      <c r="BL148" s="166">
        <f t="shared" si="400"/>
        <v>0</v>
      </c>
      <c r="BM148" s="166">
        <f t="shared" si="401"/>
        <v>0</v>
      </c>
      <c r="BN148" s="166">
        <f t="shared" si="402"/>
        <v>2.7027027027027029E-2</v>
      </c>
      <c r="BO148" s="166" t="str">
        <f t="shared" si="403"/>
        <v/>
      </c>
      <c r="BP148" s="168">
        <f t="shared" si="404"/>
        <v>1.6244281378810527E-2</v>
      </c>
      <c r="BR148" s="107" t="s">
        <v>391</v>
      </c>
      <c r="BS148" s="166"/>
      <c r="BT148" s="166"/>
      <c r="BU148" s="166"/>
      <c r="BV148" s="166"/>
      <c r="BW148" s="166"/>
      <c r="BX148" s="166"/>
      <c r="BY148" s="166"/>
      <c r="BZ148" s="166"/>
      <c r="CA148" s="166"/>
      <c r="CB148" s="166"/>
      <c r="CC148" s="166"/>
      <c r="CD148" s="166"/>
      <c r="CE148" s="166"/>
      <c r="CF148" s="166"/>
      <c r="CG148" s="168"/>
    </row>
    <row r="149" spans="2:85" x14ac:dyDescent="0.25">
      <c r="B149" s="107" t="s">
        <v>392</v>
      </c>
      <c r="C149" s="160">
        <f>TripMode_input!B122</f>
        <v>0</v>
      </c>
      <c r="D149" s="160">
        <f>TripMode_input!C122</f>
        <v>0</v>
      </c>
      <c r="E149" s="160">
        <f>TripMode_input!D122</f>
        <v>3356.0694100000001</v>
      </c>
      <c r="F149" s="160">
        <f>TripMode_input!E122</f>
        <v>485.09944000000002</v>
      </c>
      <c r="G149" s="160">
        <f>TripMode_input!F122</f>
        <v>8319.4975699999995</v>
      </c>
      <c r="H149" s="160">
        <f>TripMode_input!G122</f>
        <v>0</v>
      </c>
      <c r="I149" s="160">
        <f>TripMode_input!H122</f>
        <v>203335.10109000001</v>
      </c>
      <c r="J149" s="160">
        <f>TripMode_input!I122</f>
        <v>5.3857799999999996</v>
      </c>
      <c r="K149" s="160">
        <f>TripMode_input!J122</f>
        <v>5386.1722399999999</v>
      </c>
      <c r="L149" s="160">
        <f>TripMode_input!K122</f>
        <v>0</v>
      </c>
      <c r="M149" s="160">
        <f>TripMode_input!L122</f>
        <v>0</v>
      </c>
      <c r="N149" s="160">
        <f>TripMode_input!M122</f>
        <v>1700.33826</v>
      </c>
      <c r="O149" s="160">
        <f>TripMode_input!N122</f>
        <v>390.42032</v>
      </c>
      <c r="P149" s="160">
        <f>TripMode_input!O122</f>
        <v>270.39208000000002</v>
      </c>
      <c r="Q149" s="162">
        <f t="shared" si="375"/>
        <v>223248.47619000002</v>
      </c>
      <c r="S149" s="107" t="s">
        <v>392</v>
      </c>
      <c r="T149" s="160">
        <f>TripMode_input!R122*Index!$B$2</f>
        <v>0</v>
      </c>
      <c r="U149" s="160">
        <f>TripMode_input!S122*Index!$B$2</f>
        <v>0</v>
      </c>
      <c r="V149" s="160">
        <f>TripMode_input!T122*Index!$B$2</f>
        <v>1895</v>
      </c>
      <c r="W149" s="160">
        <f>TripMode_input!U122*Index!$B$2</f>
        <v>0</v>
      </c>
      <c r="X149" s="160">
        <f>TripMode_input!V122*Index!$B$2</f>
        <v>2550</v>
      </c>
      <c r="Y149" s="160">
        <f>TripMode_input!W122*Index!$B$2</f>
        <v>0</v>
      </c>
      <c r="Z149" s="160">
        <f>TripMode_input!X122*Index!$B$2</f>
        <v>85640</v>
      </c>
      <c r="AA149" s="160">
        <f>TripMode_input!Y122*Index!$B$2</f>
        <v>0</v>
      </c>
      <c r="AB149" s="160">
        <f>TripMode_input!Z122*Index!$B$2</f>
        <v>0</v>
      </c>
      <c r="AC149" s="160">
        <f>TripMode_input!AA122*Index!$B$2</f>
        <v>170</v>
      </c>
      <c r="AD149" s="160">
        <f>TripMode_input!AB122*Index!$B$2</f>
        <v>0</v>
      </c>
      <c r="AE149" s="160">
        <f>TripMode_input!AC122*Index!$B$2</f>
        <v>0</v>
      </c>
      <c r="AF149" s="160">
        <f>TripMode_input!AD122*Index!$B$2</f>
        <v>35</v>
      </c>
      <c r="AG149" s="160">
        <f>TripMode_input!AE122*Index!$B$2</f>
        <v>0</v>
      </c>
      <c r="AH149" s="162">
        <f t="shared" si="376"/>
        <v>90290</v>
      </c>
      <c r="AJ149" s="107" t="s">
        <v>392</v>
      </c>
      <c r="AK149" s="166">
        <f t="shared" si="407"/>
        <v>0</v>
      </c>
      <c r="AL149" s="166" t="str">
        <f t="shared" si="377"/>
        <v/>
      </c>
      <c r="AM149" s="166">
        <f t="shared" si="378"/>
        <v>3.4491415365525456E-3</v>
      </c>
      <c r="AN149" s="166">
        <f t="shared" si="379"/>
        <v>2.7570714363171704E-2</v>
      </c>
      <c r="AO149" s="166">
        <f t="shared" si="380"/>
        <v>5.3257281808907061E-3</v>
      </c>
      <c r="AP149" s="166">
        <f t="shared" si="381"/>
        <v>0</v>
      </c>
      <c r="AQ149" s="166">
        <f t="shared" si="382"/>
        <v>1</v>
      </c>
      <c r="AR149" s="166">
        <f t="shared" si="383"/>
        <v>2.3815579230949559E-4</v>
      </c>
      <c r="AS149" s="166">
        <f t="shared" si="384"/>
        <v>0.14179063496760272</v>
      </c>
      <c r="AT149" s="166">
        <f t="shared" si="385"/>
        <v>0</v>
      </c>
      <c r="AU149" s="166">
        <f t="shared" si="386"/>
        <v>0</v>
      </c>
      <c r="AV149" s="166">
        <f t="shared" si="387"/>
        <v>0.16650530289879298</v>
      </c>
      <c r="AW149" s="166">
        <f t="shared" si="388"/>
        <v>9.9552575770216215E-2</v>
      </c>
      <c r="AX149" s="166">
        <f t="shared" si="389"/>
        <v>0.33333333333333337</v>
      </c>
      <c r="AY149" s="168">
        <f t="shared" si="390"/>
        <v>7.6581887693854572E-2</v>
      </c>
      <c r="BA149" s="107" t="s">
        <v>392</v>
      </c>
      <c r="BB149" s="166" t="str">
        <f t="shared" si="408"/>
        <v/>
      </c>
      <c r="BC149" s="166" t="str">
        <f t="shared" si="391"/>
        <v/>
      </c>
      <c r="BD149" s="166">
        <f t="shared" si="392"/>
        <v>5.1556208510175209E-3</v>
      </c>
      <c r="BE149" s="166">
        <f t="shared" si="393"/>
        <v>0</v>
      </c>
      <c r="BF149" s="166">
        <f t="shared" si="394"/>
        <v>6.5470230301163061E-3</v>
      </c>
      <c r="BG149" s="166">
        <f t="shared" si="395"/>
        <v>0</v>
      </c>
      <c r="BH149" s="166">
        <f t="shared" si="396"/>
        <v>1</v>
      </c>
      <c r="BI149" s="166">
        <f t="shared" si="397"/>
        <v>0</v>
      </c>
      <c r="BJ149" s="166" t="str">
        <f t="shared" si="398"/>
        <v/>
      </c>
      <c r="BK149" s="166">
        <f t="shared" si="399"/>
        <v>2.0731707317073172E-2</v>
      </c>
      <c r="BL149" s="166">
        <f t="shared" si="400"/>
        <v>0</v>
      </c>
      <c r="BM149" s="166">
        <f t="shared" si="401"/>
        <v>0</v>
      </c>
      <c r="BN149" s="166">
        <f t="shared" si="402"/>
        <v>3.1531531531531529E-2</v>
      </c>
      <c r="BO149" s="166" t="str">
        <f t="shared" si="403"/>
        <v/>
      </c>
      <c r="BP149" s="168">
        <f t="shared" si="404"/>
        <v>0.10224441726683879</v>
      </c>
      <c r="BR149" s="107" t="s">
        <v>392</v>
      </c>
      <c r="BS149" s="166"/>
      <c r="BT149" s="166"/>
      <c r="BU149" s="166"/>
      <c r="BV149" s="166"/>
      <c r="BW149" s="166"/>
      <c r="BX149" s="166"/>
      <c r="BY149" s="166"/>
      <c r="BZ149" s="166"/>
      <c r="CA149" s="166"/>
      <c r="CB149" s="166"/>
      <c r="CC149" s="166"/>
      <c r="CD149" s="166"/>
      <c r="CE149" s="166"/>
      <c r="CF149" s="166"/>
      <c r="CG149" s="168"/>
    </row>
    <row r="150" spans="2:85" x14ac:dyDescent="0.25">
      <c r="B150" s="107" t="s">
        <v>393</v>
      </c>
      <c r="C150" s="160">
        <f>TripMode_input!B123</f>
        <v>0</v>
      </c>
      <c r="D150" s="160">
        <f>TripMode_input!C123</f>
        <v>0</v>
      </c>
      <c r="E150" s="160">
        <f>TripMode_input!D123</f>
        <v>0</v>
      </c>
      <c r="F150" s="160">
        <f>TripMode_input!E123</f>
        <v>0</v>
      </c>
      <c r="G150" s="160">
        <f>TripMode_input!F123</f>
        <v>2449.2818200000002</v>
      </c>
      <c r="H150" s="160">
        <f>TripMode_input!G123</f>
        <v>0</v>
      </c>
      <c r="I150" s="160">
        <f>TripMode_input!H123</f>
        <v>0</v>
      </c>
      <c r="J150" s="160">
        <f>TripMode_input!I123</f>
        <v>22609.138719999999</v>
      </c>
      <c r="K150" s="160">
        <f>TripMode_input!J123</f>
        <v>0</v>
      </c>
      <c r="L150" s="160">
        <f>TripMode_input!K123</f>
        <v>0</v>
      </c>
      <c r="M150" s="160">
        <f>TripMode_input!L123</f>
        <v>0</v>
      </c>
      <c r="N150" s="160">
        <f>TripMode_input!M123</f>
        <v>0</v>
      </c>
      <c r="O150" s="160">
        <f>TripMode_input!N123</f>
        <v>0</v>
      </c>
      <c r="P150" s="160">
        <f>TripMode_input!O123</f>
        <v>0</v>
      </c>
      <c r="Q150" s="162">
        <f t="shared" si="375"/>
        <v>25058.420539999999</v>
      </c>
      <c r="S150" s="107" t="s">
        <v>393</v>
      </c>
      <c r="T150" s="160">
        <f>TripMode_input!R123*Index!$B$2</f>
        <v>0</v>
      </c>
      <c r="U150" s="160">
        <f>TripMode_input!S123*Index!$B$2</f>
        <v>0</v>
      </c>
      <c r="V150" s="160">
        <f>TripMode_input!T123*Index!$B$2</f>
        <v>0</v>
      </c>
      <c r="W150" s="160">
        <f>TripMode_input!U123*Index!$B$2</f>
        <v>0</v>
      </c>
      <c r="X150" s="160">
        <f>TripMode_input!V123*Index!$B$2</f>
        <v>0</v>
      </c>
      <c r="Y150" s="160">
        <f>TripMode_input!W123*Index!$B$2</f>
        <v>0</v>
      </c>
      <c r="Z150" s="160">
        <f>TripMode_input!X123*Index!$B$2</f>
        <v>0</v>
      </c>
      <c r="AA150" s="160">
        <f>TripMode_input!Y123*Index!$B$2</f>
        <v>15710</v>
      </c>
      <c r="AB150" s="160">
        <f>TripMode_input!Z123*Index!$B$2</f>
        <v>0</v>
      </c>
      <c r="AC150" s="160">
        <f>TripMode_input!AA123*Index!$B$2</f>
        <v>0</v>
      </c>
      <c r="AD150" s="160">
        <f>TripMode_input!AB123*Index!$B$2</f>
        <v>0</v>
      </c>
      <c r="AE150" s="160">
        <f>TripMode_input!AC123*Index!$B$2</f>
        <v>0</v>
      </c>
      <c r="AF150" s="160">
        <f>TripMode_input!AD123*Index!$B$2</f>
        <v>0</v>
      </c>
      <c r="AG150" s="160">
        <f>TripMode_input!AE123*Index!$B$2</f>
        <v>0</v>
      </c>
      <c r="AH150" s="162">
        <f t="shared" si="376"/>
        <v>15710</v>
      </c>
      <c r="AJ150" s="107" t="s">
        <v>393</v>
      </c>
      <c r="AK150" s="166">
        <f t="shared" si="407"/>
        <v>0</v>
      </c>
      <c r="AL150" s="166" t="str">
        <f t="shared" si="377"/>
        <v/>
      </c>
      <c r="AM150" s="166">
        <f t="shared" si="378"/>
        <v>0</v>
      </c>
      <c r="AN150" s="166">
        <f t="shared" si="379"/>
        <v>0</v>
      </c>
      <c r="AO150" s="166">
        <f t="shared" si="380"/>
        <v>1.5679082903701455E-3</v>
      </c>
      <c r="AP150" s="166">
        <f t="shared" si="381"/>
        <v>0</v>
      </c>
      <c r="AQ150" s="166">
        <f t="shared" si="382"/>
        <v>0</v>
      </c>
      <c r="AR150" s="166">
        <f t="shared" si="383"/>
        <v>0.99976184420769043</v>
      </c>
      <c r="AS150" s="166">
        <f t="shared" si="384"/>
        <v>0</v>
      </c>
      <c r="AT150" s="166">
        <f t="shared" si="385"/>
        <v>0</v>
      </c>
      <c r="AU150" s="166">
        <f t="shared" si="386"/>
        <v>0</v>
      </c>
      <c r="AV150" s="166">
        <f t="shared" si="387"/>
        <v>0</v>
      </c>
      <c r="AW150" s="166">
        <f t="shared" si="388"/>
        <v>0</v>
      </c>
      <c r="AX150" s="166">
        <f t="shared" si="389"/>
        <v>0</v>
      </c>
      <c r="AY150" s="168">
        <f t="shared" si="390"/>
        <v>8.5958980788134829E-3</v>
      </c>
      <c r="BA150" s="107" t="s">
        <v>393</v>
      </c>
      <c r="BB150" s="166" t="str">
        <f t="shared" si="408"/>
        <v/>
      </c>
      <c r="BC150" s="166" t="str">
        <f t="shared" si="391"/>
        <v/>
      </c>
      <c r="BD150" s="166">
        <f t="shared" si="392"/>
        <v>0</v>
      </c>
      <c r="BE150" s="166">
        <f t="shared" si="393"/>
        <v>0</v>
      </c>
      <c r="BF150" s="166">
        <f t="shared" si="394"/>
        <v>0</v>
      </c>
      <c r="BG150" s="166">
        <f t="shared" si="395"/>
        <v>0</v>
      </c>
      <c r="BH150" s="166">
        <f t="shared" si="396"/>
        <v>0</v>
      </c>
      <c r="BI150" s="166">
        <f t="shared" si="397"/>
        <v>1</v>
      </c>
      <c r="BJ150" s="166" t="str">
        <f t="shared" si="398"/>
        <v/>
      </c>
      <c r="BK150" s="166">
        <f t="shared" si="399"/>
        <v>0</v>
      </c>
      <c r="BL150" s="166">
        <f t="shared" si="400"/>
        <v>0</v>
      </c>
      <c r="BM150" s="166">
        <f t="shared" si="401"/>
        <v>0</v>
      </c>
      <c r="BN150" s="166">
        <f t="shared" si="402"/>
        <v>0</v>
      </c>
      <c r="BO150" s="166" t="str">
        <f t="shared" si="403"/>
        <v/>
      </c>
      <c r="BP150" s="168">
        <f t="shared" si="404"/>
        <v>1.7790007700321603E-2</v>
      </c>
      <c r="BR150" s="107" t="s">
        <v>393</v>
      </c>
      <c r="BS150" s="166"/>
      <c r="BT150" s="166"/>
      <c r="BU150" s="166"/>
      <c r="BV150" s="166"/>
      <c r="BW150" s="166"/>
      <c r="BX150" s="166"/>
      <c r="BY150" s="166"/>
      <c r="BZ150" s="166"/>
      <c r="CA150" s="166"/>
      <c r="CB150" s="166"/>
      <c r="CC150" s="166"/>
      <c r="CD150" s="166"/>
      <c r="CE150" s="166"/>
      <c r="CF150" s="166"/>
      <c r="CG150" s="168"/>
    </row>
    <row r="151" spans="2:85" x14ac:dyDescent="0.25">
      <c r="B151" s="107" t="s">
        <v>394</v>
      </c>
      <c r="C151" s="160">
        <f>TripMode_input!B124</f>
        <v>0</v>
      </c>
      <c r="D151" s="160">
        <f>TripMode_input!C124</f>
        <v>0</v>
      </c>
      <c r="E151" s="160">
        <f>TripMode_input!D124</f>
        <v>0</v>
      </c>
      <c r="F151" s="160">
        <f>TripMode_input!E124</f>
        <v>0</v>
      </c>
      <c r="G151" s="160">
        <f>TripMode_input!F124</f>
        <v>0</v>
      </c>
      <c r="H151" s="160">
        <f>TripMode_input!G124</f>
        <v>0</v>
      </c>
      <c r="I151" s="160">
        <f>TripMode_input!H124</f>
        <v>0</v>
      </c>
      <c r="J151" s="160">
        <f>TripMode_input!I124</f>
        <v>0</v>
      </c>
      <c r="K151" s="160">
        <f>TripMode_input!J124</f>
        <v>30436.309420000001</v>
      </c>
      <c r="L151" s="160">
        <f>TripMode_input!K124</f>
        <v>0</v>
      </c>
      <c r="M151" s="160">
        <f>TripMode_input!L124</f>
        <v>0</v>
      </c>
      <c r="N151" s="160">
        <f>TripMode_input!M124</f>
        <v>0</v>
      </c>
      <c r="O151" s="160">
        <f>TripMode_input!N124</f>
        <v>0</v>
      </c>
      <c r="P151" s="160">
        <f>TripMode_input!O124</f>
        <v>0</v>
      </c>
      <c r="Q151" s="162">
        <f t="shared" si="375"/>
        <v>30436.309420000001</v>
      </c>
      <c r="S151" s="107" t="s">
        <v>394</v>
      </c>
      <c r="T151" s="160">
        <f>TripMode_input!R124*Index!$B$2</f>
        <v>0</v>
      </c>
      <c r="U151" s="160">
        <f>TripMode_input!S124*Index!$B$2</f>
        <v>0</v>
      </c>
      <c r="V151" s="160">
        <f>TripMode_input!T124*Index!$B$2</f>
        <v>0</v>
      </c>
      <c r="W151" s="160">
        <f>TripMode_input!U124*Index!$B$2</f>
        <v>0</v>
      </c>
      <c r="X151" s="160">
        <f>TripMode_input!V124*Index!$B$2</f>
        <v>0</v>
      </c>
      <c r="Y151" s="160">
        <f>TripMode_input!W124*Index!$B$2</f>
        <v>0</v>
      </c>
      <c r="Z151" s="160">
        <f>TripMode_input!X124*Index!$B$2</f>
        <v>0</v>
      </c>
      <c r="AA151" s="160">
        <f>TripMode_input!Y124*Index!$B$2</f>
        <v>0</v>
      </c>
      <c r="AB151" s="160">
        <f>TripMode_input!Z124*Index!$B$2</f>
        <v>0</v>
      </c>
      <c r="AC151" s="160">
        <f>TripMode_input!AA124*Index!$B$2</f>
        <v>0</v>
      </c>
      <c r="AD151" s="160">
        <f>TripMode_input!AB124*Index!$B$2</f>
        <v>0</v>
      </c>
      <c r="AE151" s="160">
        <f>TripMode_input!AC124*Index!$B$2</f>
        <v>0</v>
      </c>
      <c r="AF151" s="160">
        <f>TripMode_input!AD124*Index!$B$2</f>
        <v>0</v>
      </c>
      <c r="AG151" s="160">
        <f>TripMode_input!AE124*Index!$B$2</f>
        <v>0</v>
      </c>
      <c r="AH151" s="162">
        <f t="shared" si="376"/>
        <v>0</v>
      </c>
      <c r="AJ151" s="107" t="s">
        <v>394</v>
      </c>
      <c r="AK151" s="166">
        <f t="shared" si="407"/>
        <v>0</v>
      </c>
      <c r="AL151" s="166" t="str">
        <f t="shared" si="377"/>
        <v/>
      </c>
      <c r="AM151" s="166">
        <f t="shared" si="378"/>
        <v>0</v>
      </c>
      <c r="AN151" s="166">
        <f t="shared" si="379"/>
        <v>0</v>
      </c>
      <c r="AO151" s="166">
        <f t="shared" si="380"/>
        <v>0</v>
      </c>
      <c r="AP151" s="166">
        <f t="shared" si="381"/>
        <v>0</v>
      </c>
      <c r="AQ151" s="166">
        <f t="shared" si="382"/>
        <v>0</v>
      </c>
      <c r="AR151" s="166">
        <f t="shared" si="383"/>
        <v>0</v>
      </c>
      <c r="AS151" s="166">
        <f t="shared" si="384"/>
        <v>0.8012338719290989</v>
      </c>
      <c r="AT151" s="166">
        <f t="shared" si="385"/>
        <v>0</v>
      </c>
      <c r="AU151" s="166">
        <f t="shared" si="386"/>
        <v>0</v>
      </c>
      <c r="AV151" s="166">
        <f t="shared" si="387"/>
        <v>0</v>
      </c>
      <c r="AW151" s="166">
        <f t="shared" si="388"/>
        <v>0</v>
      </c>
      <c r="AX151" s="166">
        <f t="shared" si="389"/>
        <v>0</v>
      </c>
      <c r="AY151" s="168">
        <f t="shared" si="390"/>
        <v>1.0440698497015117E-2</v>
      </c>
      <c r="BA151" s="107" t="s">
        <v>394</v>
      </c>
      <c r="BB151" s="166" t="str">
        <f t="shared" si="408"/>
        <v/>
      </c>
      <c r="BC151" s="166" t="str">
        <f t="shared" si="391"/>
        <v/>
      </c>
      <c r="BD151" s="166">
        <f t="shared" si="392"/>
        <v>0</v>
      </c>
      <c r="BE151" s="166">
        <f t="shared" si="393"/>
        <v>0</v>
      </c>
      <c r="BF151" s="166">
        <f t="shared" si="394"/>
        <v>0</v>
      </c>
      <c r="BG151" s="166">
        <f t="shared" si="395"/>
        <v>0</v>
      </c>
      <c r="BH151" s="166">
        <f t="shared" si="396"/>
        <v>0</v>
      </c>
      <c r="BI151" s="166">
        <f t="shared" si="397"/>
        <v>0</v>
      </c>
      <c r="BJ151" s="166" t="str">
        <f t="shared" si="398"/>
        <v/>
      </c>
      <c r="BK151" s="166">
        <f t="shared" si="399"/>
        <v>0</v>
      </c>
      <c r="BL151" s="166">
        <f t="shared" si="400"/>
        <v>0</v>
      </c>
      <c r="BM151" s="166">
        <f t="shared" si="401"/>
        <v>0</v>
      </c>
      <c r="BN151" s="166">
        <f t="shared" si="402"/>
        <v>0</v>
      </c>
      <c r="BO151" s="166" t="str">
        <f t="shared" si="403"/>
        <v/>
      </c>
      <c r="BP151" s="168">
        <f t="shared" si="404"/>
        <v>0</v>
      </c>
      <c r="BR151" s="107" t="s">
        <v>394</v>
      </c>
      <c r="BS151" s="166"/>
      <c r="BT151" s="166"/>
      <c r="BU151" s="166"/>
      <c r="BV151" s="166"/>
      <c r="BW151" s="166"/>
      <c r="BX151" s="166"/>
      <c r="BY151" s="166"/>
      <c r="BZ151" s="166"/>
      <c r="CA151" s="166"/>
      <c r="CB151" s="166"/>
      <c r="CC151" s="166"/>
      <c r="CD151" s="166"/>
      <c r="CE151" s="166"/>
      <c r="CF151" s="166"/>
      <c r="CG151" s="168"/>
    </row>
    <row r="152" spans="2:85" x14ac:dyDescent="0.25">
      <c r="B152" s="107" t="s">
        <v>395</v>
      </c>
      <c r="C152" s="160">
        <f>TripMode_input!B125</f>
        <v>0</v>
      </c>
      <c r="D152" s="160">
        <f>TripMode_input!C125</f>
        <v>0</v>
      </c>
      <c r="E152" s="160">
        <f>TripMode_input!D125</f>
        <v>0</v>
      </c>
      <c r="F152" s="160">
        <f>TripMode_input!E125</f>
        <v>0</v>
      </c>
      <c r="G152" s="160">
        <f>TripMode_input!F125</f>
        <v>0</v>
      </c>
      <c r="H152" s="160">
        <f>TripMode_input!G125</f>
        <v>0</v>
      </c>
      <c r="I152" s="160">
        <f>TripMode_input!H125</f>
        <v>0</v>
      </c>
      <c r="J152" s="160">
        <f>TripMode_input!I125</f>
        <v>0</v>
      </c>
      <c r="K152" s="160">
        <f>TripMode_input!J125</f>
        <v>0</v>
      </c>
      <c r="L152" s="160">
        <f>TripMode_input!K125</f>
        <v>3261.3915999999999</v>
      </c>
      <c r="M152" s="160">
        <f>TripMode_input!L125</f>
        <v>0</v>
      </c>
      <c r="N152" s="160">
        <f>TripMode_input!M125</f>
        <v>0</v>
      </c>
      <c r="O152" s="160">
        <f>TripMode_input!N125</f>
        <v>0</v>
      </c>
      <c r="P152" s="160">
        <f>TripMode_input!O125</f>
        <v>0</v>
      </c>
      <c r="Q152" s="162">
        <f t="shared" si="375"/>
        <v>3261.3915999999999</v>
      </c>
      <c r="S152" s="107" t="s">
        <v>395</v>
      </c>
      <c r="T152" s="160">
        <f>TripMode_input!R125*Index!$B$2</f>
        <v>0</v>
      </c>
      <c r="U152" s="160">
        <f>TripMode_input!S125*Index!$B$2</f>
        <v>0</v>
      </c>
      <c r="V152" s="160">
        <f>TripMode_input!T125*Index!$B$2</f>
        <v>0</v>
      </c>
      <c r="W152" s="160">
        <f>TripMode_input!U125*Index!$B$2</f>
        <v>0</v>
      </c>
      <c r="X152" s="160">
        <f>TripMode_input!V125*Index!$B$2</f>
        <v>0</v>
      </c>
      <c r="Y152" s="160">
        <f>TripMode_input!W125*Index!$B$2</f>
        <v>0</v>
      </c>
      <c r="Z152" s="160">
        <f>TripMode_input!X125*Index!$B$2</f>
        <v>0</v>
      </c>
      <c r="AA152" s="160">
        <f>TripMode_input!Y125*Index!$B$2</f>
        <v>0</v>
      </c>
      <c r="AB152" s="160">
        <f>TripMode_input!Z125*Index!$B$2</f>
        <v>0</v>
      </c>
      <c r="AC152" s="160">
        <f>TripMode_input!AA125*Index!$B$2</f>
        <v>7080</v>
      </c>
      <c r="AD152" s="160">
        <f>TripMode_input!AB125*Index!$B$2</f>
        <v>0</v>
      </c>
      <c r="AE152" s="160">
        <f>TripMode_input!AC125*Index!$B$2</f>
        <v>0</v>
      </c>
      <c r="AF152" s="160">
        <f>TripMode_input!AD125*Index!$B$2</f>
        <v>0</v>
      </c>
      <c r="AG152" s="160">
        <f>TripMode_input!AE125*Index!$B$2</f>
        <v>0</v>
      </c>
      <c r="AH152" s="162">
        <f t="shared" si="376"/>
        <v>7080</v>
      </c>
      <c r="AJ152" s="107" t="s">
        <v>395</v>
      </c>
      <c r="AK152" s="166">
        <f t="shared" si="407"/>
        <v>0</v>
      </c>
      <c r="AL152" s="166" t="str">
        <f t="shared" si="377"/>
        <v/>
      </c>
      <c r="AM152" s="166">
        <f t="shared" si="378"/>
        <v>0</v>
      </c>
      <c r="AN152" s="166">
        <f t="shared" si="379"/>
        <v>0</v>
      </c>
      <c r="AO152" s="166">
        <f t="shared" si="380"/>
        <v>0</v>
      </c>
      <c r="AP152" s="166">
        <f t="shared" si="381"/>
        <v>0</v>
      </c>
      <c r="AQ152" s="166">
        <f t="shared" si="382"/>
        <v>0</v>
      </c>
      <c r="AR152" s="166">
        <f t="shared" si="383"/>
        <v>0</v>
      </c>
      <c r="AS152" s="166">
        <f t="shared" si="384"/>
        <v>0</v>
      </c>
      <c r="AT152" s="166">
        <f t="shared" si="385"/>
        <v>1</v>
      </c>
      <c r="AU152" s="166">
        <f t="shared" si="386"/>
        <v>0</v>
      </c>
      <c r="AV152" s="166">
        <f t="shared" si="387"/>
        <v>0</v>
      </c>
      <c r="AW152" s="166">
        <f t="shared" si="388"/>
        <v>0</v>
      </c>
      <c r="AX152" s="166">
        <f t="shared" si="389"/>
        <v>0</v>
      </c>
      <c r="AY152" s="168">
        <f t="shared" si="390"/>
        <v>1.1187692274518125E-3</v>
      </c>
      <c r="BA152" s="107" t="s">
        <v>395</v>
      </c>
      <c r="BB152" s="166" t="str">
        <f t="shared" si="408"/>
        <v/>
      </c>
      <c r="BC152" s="166" t="str">
        <f t="shared" si="391"/>
        <v/>
      </c>
      <c r="BD152" s="166">
        <f t="shared" si="392"/>
        <v>0</v>
      </c>
      <c r="BE152" s="166">
        <f t="shared" si="393"/>
        <v>0</v>
      </c>
      <c r="BF152" s="166">
        <f t="shared" si="394"/>
        <v>0</v>
      </c>
      <c r="BG152" s="166">
        <f t="shared" si="395"/>
        <v>0</v>
      </c>
      <c r="BH152" s="166">
        <f t="shared" si="396"/>
        <v>0</v>
      </c>
      <c r="BI152" s="166">
        <f t="shared" si="397"/>
        <v>0</v>
      </c>
      <c r="BJ152" s="166" t="str">
        <f t="shared" si="398"/>
        <v/>
      </c>
      <c r="BK152" s="166">
        <f t="shared" si="399"/>
        <v>0.86341463414634145</v>
      </c>
      <c r="BL152" s="166">
        <f t="shared" si="400"/>
        <v>0</v>
      </c>
      <c r="BM152" s="166">
        <f t="shared" si="401"/>
        <v>0</v>
      </c>
      <c r="BN152" s="166">
        <f t="shared" si="402"/>
        <v>0</v>
      </c>
      <c r="BO152" s="166" t="str">
        <f t="shared" si="403"/>
        <v/>
      </c>
      <c r="BP152" s="168">
        <f t="shared" si="404"/>
        <v>8.0173936676178822E-3</v>
      </c>
      <c r="BR152" s="107" t="s">
        <v>395</v>
      </c>
      <c r="BS152" s="166" t="str">
        <f t="shared" ref="BS152:BS157" si="410">IF(OR(ISNA(AK152),AK152=0,AK152=""),"",(BB152-AK152)/AK152)</f>
        <v/>
      </c>
      <c r="BT152" s="166" t="str">
        <f t="shared" ref="BT152:BT157" si="411">IF(OR(ISNA(AL152),AL152=0,AL152=""),"",(BC152-AL152)/AL152)</f>
        <v/>
      </c>
      <c r="BU152" s="166" t="str">
        <f t="shared" ref="BU152:BU157" si="412">IF(OR(ISNA(AM152),AM152=0,AM152=""),"",(BD152-AM152)/AM152)</f>
        <v/>
      </c>
      <c r="BV152" s="166" t="str">
        <f t="shared" ref="BV152:BV157" si="413">IF(OR(ISNA(AN152),AN152=0,AN152=""),"",(BE152-AN152)/AN152)</f>
        <v/>
      </c>
      <c r="BW152" s="166"/>
      <c r="BX152" s="166"/>
      <c r="BY152" s="166"/>
      <c r="BZ152" s="166"/>
      <c r="CA152" s="166"/>
      <c r="CB152" s="166">
        <f t="shared" ref="CB152:CB157" si="414">IF(OR(ISNA(AT152),AT152=0,AT152=""),"",(BK152-AT152)/AT152)</f>
        <v>-0.13658536585365855</v>
      </c>
      <c r="CC152" s="166" t="str">
        <f t="shared" ref="CC152:CC157" si="415">IF(OR(ISNA(AU152),AU152=0,AU152=""),"",(BL152-AU152)/AU152)</f>
        <v/>
      </c>
      <c r="CD152" s="166" t="str">
        <f t="shared" ref="CD152:CD157" si="416">IF(OR(ISNA(AV152),AV152=0,AV152=""),"",(BM152-AV152)/AV152)</f>
        <v/>
      </c>
      <c r="CE152" s="166" t="str">
        <f t="shared" ref="CE152:CE157" si="417">IF(OR(ISNA(AW152),AW152=0,AW152=""),"",(BN152-AW152)/AW152)</f>
        <v/>
      </c>
      <c r="CF152" s="166" t="str">
        <f t="shared" ref="CF152:CF157" si="418">IF(OR(ISNA(AX152),AX152=0,AX152=""),"",(BO152-AX152)/AX152)</f>
        <v/>
      </c>
      <c r="CG152" s="168">
        <f t="shared" ref="CG152:CG157" si="419">IF(OR(ISNA(AY152),AY152=0,AY152=""),"",(BP152-AY152)/AY152)</f>
        <v>6.166262237904828</v>
      </c>
    </row>
    <row r="153" spans="2:85" x14ac:dyDescent="0.25">
      <c r="B153" s="107" t="s">
        <v>396</v>
      </c>
      <c r="C153" s="160">
        <f>TripMode_input!B126</f>
        <v>0</v>
      </c>
      <c r="D153" s="160">
        <f>TripMode_input!C126</f>
        <v>0</v>
      </c>
      <c r="E153" s="160">
        <f>TripMode_input!D126</f>
        <v>0</v>
      </c>
      <c r="F153" s="160">
        <f>TripMode_input!E126</f>
        <v>0</v>
      </c>
      <c r="G153" s="160">
        <f>TripMode_input!F126</f>
        <v>0</v>
      </c>
      <c r="H153" s="160">
        <f>TripMode_input!G126</f>
        <v>0</v>
      </c>
      <c r="I153" s="160">
        <f>TripMode_input!H126</f>
        <v>0</v>
      </c>
      <c r="J153" s="160">
        <f>TripMode_input!I126</f>
        <v>0</v>
      </c>
      <c r="K153" s="160">
        <f>TripMode_input!J126</f>
        <v>0</v>
      </c>
      <c r="L153" s="160">
        <f>TripMode_input!K126</f>
        <v>0</v>
      </c>
      <c r="M153" s="160">
        <f>TripMode_input!L126</f>
        <v>6414.5320000000002</v>
      </c>
      <c r="N153" s="160">
        <f>TripMode_input!M126</f>
        <v>566.77941999999996</v>
      </c>
      <c r="O153" s="160">
        <f>TripMode_input!N126</f>
        <v>0</v>
      </c>
      <c r="P153" s="160">
        <f>TripMode_input!O126</f>
        <v>0</v>
      </c>
      <c r="Q153" s="162">
        <f t="shared" si="375"/>
        <v>6981.31142</v>
      </c>
      <c r="S153" s="107" t="s">
        <v>396</v>
      </c>
      <c r="T153" s="160">
        <f>TripMode_input!R126*Index!$B$2</f>
        <v>0</v>
      </c>
      <c r="U153" s="160">
        <f>TripMode_input!S126*Index!$B$2</f>
        <v>0</v>
      </c>
      <c r="V153" s="160">
        <f>TripMode_input!T126*Index!$B$2</f>
        <v>0</v>
      </c>
      <c r="W153" s="160">
        <f>TripMode_input!U126*Index!$B$2</f>
        <v>0</v>
      </c>
      <c r="X153" s="160">
        <f>TripMode_input!V126*Index!$B$2</f>
        <v>0</v>
      </c>
      <c r="Y153" s="160">
        <f>TripMode_input!W126*Index!$B$2</f>
        <v>0</v>
      </c>
      <c r="Z153" s="160">
        <f>TripMode_input!X126*Index!$B$2</f>
        <v>0</v>
      </c>
      <c r="AA153" s="160">
        <f>TripMode_input!Y126*Index!$B$2</f>
        <v>0</v>
      </c>
      <c r="AB153" s="160">
        <f>TripMode_input!Z126*Index!$B$2</f>
        <v>0</v>
      </c>
      <c r="AC153" s="160">
        <f>TripMode_input!AA126*Index!$B$2</f>
        <v>0</v>
      </c>
      <c r="AD153" s="160">
        <f>TripMode_input!AB126*Index!$B$2</f>
        <v>530</v>
      </c>
      <c r="AE153" s="160">
        <f>TripMode_input!AC126*Index!$B$2</f>
        <v>0</v>
      </c>
      <c r="AF153" s="160">
        <f>TripMode_input!AD126*Index!$B$2</f>
        <v>0</v>
      </c>
      <c r="AG153" s="160">
        <f>TripMode_input!AE126*Index!$B$2</f>
        <v>0</v>
      </c>
      <c r="AH153" s="162">
        <f t="shared" si="376"/>
        <v>530</v>
      </c>
      <c r="AJ153" s="107" t="s">
        <v>396</v>
      </c>
      <c r="AK153" s="166">
        <f t="shared" si="407"/>
        <v>0</v>
      </c>
      <c r="AL153" s="166" t="str">
        <f t="shared" si="377"/>
        <v/>
      </c>
      <c r="AM153" s="166">
        <f t="shared" si="378"/>
        <v>0</v>
      </c>
      <c r="AN153" s="166">
        <f t="shared" si="379"/>
        <v>0</v>
      </c>
      <c r="AO153" s="166">
        <f t="shared" si="380"/>
        <v>0</v>
      </c>
      <c r="AP153" s="166">
        <f t="shared" si="381"/>
        <v>0</v>
      </c>
      <c r="AQ153" s="166">
        <f t="shared" si="382"/>
        <v>0</v>
      </c>
      <c r="AR153" s="166">
        <f t="shared" si="383"/>
        <v>0</v>
      </c>
      <c r="AS153" s="166">
        <f t="shared" si="384"/>
        <v>0</v>
      </c>
      <c r="AT153" s="166">
        <f t="shared" si="385"/>
        <v>0</v>
      </c>
      <c r="AU153" s="166">
        <f t="shared" si="386"/>
        <v>0.7372460217939939</v>
      </c>
      <c r="AV153" s="166">
        <f t="shared" si="387"/>
        <v>5.5501767632930993E-2</v>
      </c>
      <c r="AW153" s="166">
        <f t="shared" si="388"/>
        <v>0</v>
      </c>
      <c r="AX153" s="166">
        <f t="shared" si="389"/>
        <v>0</v>
      </c>
      <c r="AY153" s="168">
        <f t="shared" si="390"/>
        <v>2.3948293679158048E-3</v>
      </c>
      <c r="BA153" s="107" t="s">
        <v>396</v>
      </c>
      <c r="BB153" s="166" t="str">
        <f t="shared" si="408"/>
        <v/>
      </c>
      <c r="BC153" s="166" t="str">
        <f t="shared" si="391"/>
        <v/>
      </c>
      <c r="BD153" s="166">
        <f t="shared" si="392"/>
        <v>0</v>
      </c>
      <c r="BE153" s="166">
        <f t="shared" si="393"/>
        <v>0</v>
      </c>
      <c r="BF153" s="166">
        <f t="shared" si="394"/>
        <v>0</v>
      </c>
      <c r="BG153" s="166">
        <f t="shared" si="395"/>
        <v>0</v>
      </c>
      <c r="BH153" s="166">
        <f t="shared" si="396"/>
        <v>0</v>
      </c>
      <c r="BI153" s="166">
        <f t="shared" si="397"/>
        <v>0</v>
      </c>
      <c r="BJ153" s="166" t="str">
        <f t="shared" si="398"/>
        <v/>
      </c>
      <c r="BK153" s="166">
        <f t="shared" si="399"/>
        <v>0</v>
      </c>
      <c r="BL153" s="166">
        <f t="shared" si="400"/>
        <v>1</v>
      </c>
      <c r="BM153" s="166">
        <f t="shared" si="401"/>
        <v>0</v>
      </c>
      <c r="BN153" s="166">
        <f t="shared" si="402"/>
        <v>0</v>
      </c>
      <c r="BO153" s="166" t="str">
        <f t="shared" si="403"/>
        <v/>
      </c>
      <c r="BP153" s="168">
        <f t="shared" si="404"/>
        <v>6.0017212483580201E-4</v>
      </c>
      <c r="BR153" s="107" t="s">
        <v>396</v>
      </c>
      <c r="BS153" s="166" t="str">
        <f t="shared" si="410"/>
        <v/>
      </c>
      <c r="BT153" s="166" t="str">
        <f t="shared" si="411"/>
        <v/>
      </c>
      <c r="BU153" s="166" t="str">
        <f t="shared" si="412"/>
        <v/>
      </c>
      <c r="BV153" s="166" t="str">
        <f t="shared" si="413"/>
        <v/>
      </c>
      <c r="BW153" s="166"/>
      <c r="BX153" s="166"/>
      <c r="BY153" s="166"/>
      <c r="BZ153" s="166"/>
      <c r="CA153" s="166"/>
      <c r="CB153" s="166" t="str">
        <f t="shared" si="414"/>
        <v/>
      </c>
      <c r="CC153" s="166">
        <f t="shared" si="415"/>
        <v>0.35639931642713774</v>
      </c>
      <c r="CD153" s="166">
        <f t="shared" si="416"/>
        <v>-1</v>
      </c>
      <c r="CE153" s="166" t="str">
        <f t="shared" si="417"/>
        <v/>
      </c>
      <c r="CF153" s="166" t="str">
        <f t="shared" si="418"/>
        <v/>
      </c>
      <c r="CG153" s="168">
        <f t="shared" si="419"/>
        <v>-0.74938835606558241</v>
      </c>
    </row>
    <row r="154" spans="2:85" x14ac:dyDescent="0.25">
      <c r="B154" s="107" t="s">
        <v>397</v>
      </c>
      <c r="C154" s="160">
        <f>TripMode_input!B127</f>
        <v>0</v>
      </c>
      <c r="D154" s="160">
        <f>TripMode_input!C127</f>
        <v>0</v>
      </c>
      <c r="E154" s="160">
        <f>TripMode_input!D127</f>
        <v>0</v>
      </c>
      <c r="F154" s="160">
        <f>TripMode_input!E127</f>
        <v>0</v>
      </c>
      <c r="G154" s="160">
        <f>TripMode_input!F127</f>
        <v>0</v>
      </c>
      <c r="H154" s="160">
        <f>TripMode_input!G127</f>
        <v>0</v>
      </c>
      <c r="I154" s="160">
        <f>TripMode_input!H127</f>
        <v>0</v>
      </c>
      <c r="J154" s="160">
        <f>TripMode_input!I127</f>
        <v>0</v>
      </c>
      <c r="K154" s="160">
        <f>TripMode_input!J127</f>
        <v>0</v>
      </c>
      <c r="L154" s="160">
        <f>TripMode_input!K127</f>
        <v>0</v>
      </c>
      <c r="M154" s="160">
        <f>TripMode_input!L127</f>
        <v>0</v>
      </c>
      <c r="N154" s="160">
        <f>TripMode_input!M127</f>
        <v>5052.5193399999998</v>
      </c>
      <c r="O154" s="160">
        <f>TripMode_input!N127</f>
        <v>0</v>
      </c>
      <c r="P154" s="160">
        <f>TripMode_input!O127</f>
        <v>0</v>
      </c>
      <c r="Q154" s="162">
        <f t="shared" si="375"/>
        <v>5052.5193399999998</v>
      </c>
      <c r="S154" s="107" t="s">
        <v>397</v>
      </c>
      <c r="T154" s="160">
        <f>TripMode_input!R127*Index!$B$2</f>
        <v>0</v>
      </c>
      <c r="U154" s="160">
        <f>TripMode_input!S127*Index!$B$2</f>
        <v>0</v>
      </c>
      <c r="V154" s="160">
        <f>TripMode_input!T127*Index!$B$2</f>
        <v>0</v>
      </c>
      <c r="W154" s="160">
        <f>TripMode_input!U127*Index!$B$2</f>
        <v>0</v>
      </c>
      <c r="X154" s="160">
        <f>TripMode_input!V127*Index!$B$2</f>
        <v>0</v>
      </c>
      <c r="Y154" s="160">
        <f>TripMode_input!W127*Index!$B$2</f>
        <v>0</v>
      </c>
      <c r="Z154" s="160">
        <f>TripMode_input!X127*Index!$B$2</f>
        <v>0</v>
      </c>
      <c r="AA154" s="160">
        <f>TripMode_input!Y127*Index!$B$2</f>
        <v>0</v>
      </c>
      <c r="AB154" s="160">
        <f>TripMode_input!Z127*Index!$B$2</f>
        <v>0</v>
      </c>
      <c r="AC154" s="160">
        <f>TripMode_input!AA127*Index!$B$2</f>
        <v>0</v>
      </c>
      <c r="AD154" s="160">
        <f>TripMode_input!AB127*Index!$B$2</f>
        <v>0</v>
      </c>
      <c r="AE154" s="160">
        <f>TripMode_input!AC127*Index!$B$2</f>
        <v>210</v>
      </c>
      <c r="AF154" s="160">
        <f>TripMode_input!AD127*Index!$B$2</f>
        <v>0</v>
      </c>
      <c r="AG154" s="160">
        <f>TripMode_input!AE127*Index!$B$2</f>
        <v>0</v>
      </c>
      <c r="AH154" s="162">
        <f t="shared" si="376"/>
        <v>210</v>
      </c>
      <c r="AJ154" s="107" t="s">
        <v>397</v>
      </c>
      <c r="AK154" s="166">
        <f t="shared" si="407"/>
        <v>0</v>
      </c>
      <c r="AL154" s="166" t="str">
        <f t="shared" si="377"/>
        <v/>
      </c>
      <c r="AM154" s="166">
        <f t="shared" si="378"/>
        <v>0</v>
      </c>
      <c r="AN154" s="166">
        <f t="shared" si="379"/>
        <v>0</v>
      </c>
      <c r="AO154" s="166">
        <f t="shared" si="380"/>
        <v>0</v>
      </c>
      <c r="AP154" s="166">
        <f t="shared" si="381"/>
        <v>0</v>
      </c>
      <c r="AQ154" s="166">
        <f t="shared" si="382"/>
        <v>0</v>
      </c>
      <c r="AR154" s="166">
        <f t="shared" si="383"/>
        <v>0</v>
      </c>
      <c r="AS154" s="166">
        <f t="shared" si="384"/>
        <v>0</v>
      </c>
      <c r="AT154" s="166">
        <f t="shared" si="385"/>
        <v>0</v>
      </c>
      <c r="AU154" s="166">
        <f t="shared" si="386"/>
        <v>0</v>
      </c>
      <c r="AV154" s="166">
        <f t="shared" si="387"/>
        <v>0.49476700189567552</v>
      </c>
      <c r="AW154" s="166">
        <f t="shared" si="388"/>
        <v>0</v>
      </c>
      <c r="AX154" s="166">
        <f t="shared" si="389"/>
        <v>0</v>
      </c>
      <c r="AY154" s="168">
        <f t="shared" si="390"/>
        <v>1.7331875015245458E-3</v>
      </c>
      <c r="BA154" s="107" t="s">
        <v>397</v>
      </c>
      <c r="BB154" s="166" t="str">
        <f t="shared" si="408"/>
        <v/>
      </c>
      <c r="BC154" s="166" t="str">
        <f t="shared" si="391"/>
        <v/>
      </c>
      <c r="BD154" s="166">
        <f t="shared" si="392"/>
        <v>0</v>
      </c>
      <c r="BE154" s="166">
        <f t="shared" si="393"/>
        <v>0</v>
      </c>
      <c r="BF154" s="166">
        <f t="shared" si="394"/>
        <v>0</v>
      </c>
      <c r="BG154" s="166">
        <f t="shared" si="395"/>
        <v>0</v>
      </c>
      <c r="BH154" s="166">
        <f t="shared" si="396"/>
        <v>0</v>
      </c>
      <c r="BI154" s="166">
        <f t="shared" si="397"/>
        <v>0</v>
      </c>
      <c r="BJ154" s="166" t="str">
        <f t="shared" si="398"/>
        <v/>
      </c>
      <c r="BK154" s="166">
        <f t="shared" si="399"/>
        <v>0</v>
      </c>
      <c r="BL154" s="166">
        <f t="shared" si="400"/>
        <v>0</v>
      </c>
      <c r="BM154" s="166">
        <f t="shared" si="401"/>
        <v>1</v>
      </c>
      <c r="BN154" s="166">
        <f t="shared" si="402"/>
        <v>0</v>
      </c>
      <c r="BO154" s="166" t="str">
        <f t="shared" si="403"/>
        <v/>
      </c>
      <c r="BP154" s="168">
        <f t="shared" si="404"/>
        <v>2.378040494632423E-4</v>
      </c>
      <c r="BR154" s="107" t="s">
        <v>397</v>
      </c>
      <c r="BS154" s="166" t="str">
        <f t="shared" si="410"/>
        <v/>
      </c>
      <c r="BT154" s="166" t="str">
        <f t="shared" si="411"/>
        <v/>
      </c>
      <c r="BU154" s="166" t="str">
        <f t="shared" si="412"/>
        <v/>
      </c>
      <c r="BV154" s="166" t="str">
        <f t="shared" si="413"/>
        <v/>
      </c>
      <c r="BW154" s="166"/>
      <c r="BX154" s="166"/>
      <c r="BY154" s="166"/>
      <c r="BZ154" s="166"/>
      <c r="CA154" s="166"/>
      <c r="CB154" s="166" t="str">
        <f t="shared" si="414"/>
        <v/>
      </c>
      <c r="CC154" s="166" t="str">
        <f t="shared" si="415"/>
        <v/>
      </c>
      <c r="CD154" s="166">
        <f t="shared" si="416"/>
        <v>1.0211533836503828</v>
      </c>
      <c r="CE154" s="166" t="str">
        <f t="shared" si="417"/>
        <v/>
      </c>
      <c r="CF154" s="166" t="str">
        <f t="shared" si="418"/>
        <v/>
      </c>
      <c r="CG154" s="168">
        <f t="shared" si="419"/>
        <v>-0.8627938124097565</v>
      </c>
    </row>
    <row r="155" spans="2:85" x14ac:dyDescent="0.25">
      <c r="B155" s="107" t="s">
        <v>398</v>
      </c>
      <c r="C155" s="160">
        <f>TripMode_input!B128</f>
        <v>0</v>
      </c>
      <c r="D155" s="160">
        <f>TripMode_input!C128</f>
        <v>0</v>
      </c>
      <c r="E155" s="160">
        <f>TripMode_input!D128</f>
        <v>0</v>
      </c>
      <c r="F155" s="160">
        <f>TripMode_input!E128</f>
        <v>0</v>
      </c>
      <c r="G155" s="160">
        <f>TripMode_input!F128</f>
        <v>0</v>
      </c>
      <c r="H155" s="160">
        <f>TripMode_input!G128</f>
        <v>0</v>
      </c>
      <c r="I155" s="160">
        <f>TripMode_input!H128</f>
        <v>0</v>
      </c>
      <c r="J155" s="160">
        <f>TripMode_input!I128</f>
        <v>0</v>
      </c>
      <c r="K155" s="160">
        <f>TripMode_input!J128</f>
        <v>116.36127999999999</v>
      </c>
      <c r="L155" s="160">
        <f>TripMode_input!K128</f>
        <v>0</v>
      </c>
      <c r="M155" s="160">
        <f>TripMode_input!L128</f>
        <v>708.17759999999998</v>
      </c>
      <c r="N155" s="160">
        <f>TripMode_input!M128</f>
        <v>0</v>
      </c>
      <c r="O155" s="160">
        <f>TripMode_input!N128</f>
        <v>3153.9642600000002</v>
      </c>
      <c r="P155" s="160">
        <f>TripMode_input!O128</f>
        <v>0</v>
      </c>
      <c r="Q155" s="162">
        <f t="shared" si="375"/>
        <v>3978.5031400000003</v>
      </c>
      <c r="S155" s="107" t="s">
        <v>398</v>
      </c>
      <c r="T155" s="160">
        <f>TripMode_input!R128*Index!$B$2</f>
        <v>0</v>
      </c>
      <c r="U155" s="160">
        <f>TripMode_input!S128*Index!$B$2</f>
        <v>0</v>
      </c>
      <c r="V155" s="160">
        <f>TripMode_input!T128*Index!$B$2</f>
        <v>0</v>
      </c>
      <c r="W155" s="160">
        <f>TripMode_input!U128*Index!$B$2</f>
        <v>0</v>
      </c>
      <c r="X155" s="160">
        <f>TripMode_input!V128*Index!$B$2</f>
        <v>0</v>
      </c>
      <c r="Y155" s="160">
        <f>TripMode_input!W128*Index!$B$2</f>
        <v>0</v>
      </c>
      <c r="Z155" s="160">
        <f>TripMode_input!X128*Index!$B$2</f>
        <v>0</v>
      </c>
      <c r="AA155" s="160">
        <f>TripMode_input!Y128*Index!$B$2</f>
        <v>0</v>
      </c>
      <c r="AB155" s="160">
        <f>TripMode_input!Z128*Index!$B$2</f>
        <v>0</v>
      </c>
      <c r="AC155" s="160">
        <f>TripMode_input!AA128*Index!$B$2</f>
        <v>185</v>
      </c>
      <c r="AD155" s="160">
        <f>TripMode_input!AB128*Index!$B$2</f>
        <v>0</v>
      </c>
      <c r="AE155" s="160">
        <f>TripMode_input!AC128*Index!$B$2</f>
        <v>0</v>
      </c>
      <c r="AF155" s="160">
        <f>TripMode_input!AD128*Index!$B$2</f>
        <v>970</v>
      </c>
      <c r="AG155" s="160">
        <f>TripMode_input!AE128*Index!$B$2</f>
        <v>0</v>
      </c>
      <c r="AH155" s="162">
        <f t="shared" si="376"/>
        <v>1155</v>
      </c>
      <c r="AJ155" s="107" t="s">
        <v>398</v>
      </c>
      <c r="AK155" s="166">
        <f t="shared" si="407"/>
        <v>0</v>
      </c>
      <c r="AL155" s="166" t="str">
        <f t="shared" si="377"/>
        <v/>
      </c>
      <c r="AM155" s="166">
        <f t="shared" si="378"/>
        <v>0</v>
      </c>
      <c r="AN155" s="166">
        <f t="shared" si="379"/>
        <v>0</v>
      </c>
      <c r="AO155" s="166">
        <f t="shared" si="380"/>
        <v>0</v>
      </c>
      <c r="AP155" s="166">
        <f t="shared" si="381"/>
        <v>0</v>
      </c>
      <c r="AQ155" s="166">
        <f t="shared" si="382"/>
        <v>0</v>
      </c>
      <c r="AR155" s="166">
        <f t="shared" si="383"/>
        <v>0</v>
      </c>
      <c r="AS155" s="166">
        <f t="shared" si="384"/>
        <v>3.0632031508971962E-3</v>
      </c>
      <c r="AT155" s="166">
        <f t="shared" si="385"/>
        <v>0</v>
      </c>
      <c r="AU155" s="166">
        <f t="shared" si="386"/>
        <v>8.1393485654700656E-2</v>
      </c>
      <c r="AV155" s="166">
        <f t="shared" si="387"/>
        <v>0</v>
      </c>
      <c r="AW155" s="166">
        <f t="shared" si="388"/>
        <v>0.80422367865024014</v>
      </c>
      <c r="AX155" s="166">
        <f t="shared" si="389"/>
        <v>0</v>
      </c>
      <c r="AY155" s="168">
        <f t="shared" si="390"/>
        <v>1.3647630920348265E-3</v>
      </c>
      <c r="BA155" s="107" t="s">
        <v>398</v>
      </c>
      <c r="BB155" s="166" t="str">
        <f t="shared" si="408"/>
        <v/>
      </c>
      <c r="BC155" s="166" t="str">
        <f t="shared" si="391"/>
        <v/>
      </c>
      <c r="BD155" s="166">
        <f t="shared" si="392"/>
        <v>0</v>
      </c>
      <c r="BE155" s="166">
        <f t="shared" si="393"/>
        <v>0</v>
      </c>
      <c r="BF155" s="166">
        <f t="shared" si="394"/>
        <v>0</v>
      </c>
      <c r="BG155" s="166">
        <f t="shared" si="395"/>
        <v>0</v>
      </c>
      <c r="BH155" s="166">
        <f t="shared" si="396"/>
        <v>0</v>
      </c>
      <c r="BI155" s="166">
        <f t="shared" si="397"/>
        <v>0</v>
      </c>
      <c r="BJ155" s="166" t="str">
        <f t="shared" si="398"/>
        <v/>
      </c>
      <c r="BK155" s="166">
        <f t="shared" si="399"/>
        <v>2.2560975609756097E-2</v>
      </c>
      <c r="BL155" s="166">
        <f t="shared" si="400"/>
        <v>0</v>
      </c>
      <c r="BM155" s="166">
        <f t="shared" si="401"/>
        <v>0</v>
      </c>
      <c r="BN155" s="166">
        <f t="shared" si="402"/>
        <v>0.87387387387387383</v>
      </c>
      <c r="BO155" s="166" t="str">
        <f t="shared" si="403"/>
        <v/>
      </c>
      <c r="BP155" s="168">
        <f t="shared" si="404"/>
        <v>1.3079222720478326E-3</v>
      </c>
      <c r="BR155" s="107" t="s">
        <v>398</v>
      </c>
      <c r="BS155" s="166" t="str">
        <f t="shared" si="410"/>
        <v/>
      </c>
      <c r="BT155" s="166" t="str">
        <f t="shared" si="411"/>
        <v/>
      </c>
      <c r="BU155" s="166" t="str">
        <f t="shared" si="412"/>
        <v/>
      </c>
      <c r="BV155" s="166" t="str">
        <f t="shared" si="413"/>
        <v/>
      </c>
      <c r="BW155" s="166"/>
      <c r="BX155" s="166"/>
      <c r="BY155" s="166"/>
      <c r="BZ155" s="166"/>
      <c r="CA155" s="166"/>
      <c r="CB155" s="166" t="str">
        <f t="shared" si="414"/>
        <v/>
      </c>
      <c r="CC155" s="166">
        <f t="shared" si="415"/>
        <v>-1</v>
      </c>
      <c r="CD155" s="166" t="str">
        <f t="shared" si="416"/>
        <v/>
      </c>
      <c r="CE155" s="166">
        <f t="shared" si="417"/>
        <v>8.66055017685258E-2</v>
      </c>
      <c r="CF155" s="166" t="str">
        <f t="shared" si="418"/>
        <v/>
      </c>
      <c r="CG155" s="168">
        <f t="shared" si="419"/>
        <v>-4.1648854895574405E-2</v>
      </c>
    </row>
    <row r="156" spans="2:85" x14ac:dyDescent="0.25">
      <c r="B156" s="107" t="s">
        <v>399</v>
      </c>
      <c r="C156" s="160">
        <f>TripMode_input!B129</f>
        <v>0</v>
      </c>
      <c r="D156" s="160">
        <f>TripMode_input!C129</f>
        <v>0</v>
      </c>
      <c r="E156" s="160">
        <f>TripMode_input!D129</f>
        <v>0</v>
      </c>
      <c r="F156" s="160">
        <f>TripMode_input!E129</f>
        <v>0</v>
      </c>
      <c r="G156" s="160">
        <f>TripMode_input!F129</f>
        <v>0</v>
      </c>
      <c r="H156" s="160">
        <f>TripMode_input!G129</f>
        <v>0</v>
      </c>
      <c r="I156" s="160">
        <f>TripMode_input!H129</f>
        <v>0</v>
      </c>
      <c r="J156" s="160">
        <f>TripMode_input!I129</f>
        <v>0</v>
      </c>
      <c r="K156" s="160">
        <f>TripMode_input!J129</f>
        <v>0</v>
      </c>
      <c r="L156" s="160">
        <f>TripMode_input!K129</f>
        <v>0</v>
      </c>
      <c r="M156" s="160">
        <f>TripMode_input!L129</f>
        <v>0</v>
      </c>
      <c r="N156" s="160">
        <f>TripMode_input!M129</f>
        <v>0</v>
      </c>
      <c r="O156" s="160">
        <f>TripMode_input!N129</f>
        <v>0</v>
      </c>
      <c r="P156" s="160">
        <f>TripMode_input!O129</f>
        <v>270.39208000000002</v>
      </c>
      <c r="Q156" s="162">
        <f t="shared" si="375"/>
        <v>270.39208000000002</v>
      </c>
      <c r="S156" s="107" t="s">
        <v>399</v>
      </c>
      <c r="T156" s="160">
        <f>TripMode_input!R129*Index!$B$2</f>
        <v>0</v>
      </c>
      <c r="U156" s="160">
        <f>TripMode_input!S129*Index!$B$2</f>
        <v>0</v>
      </c>
      <c r="V156" s="160">
        <f>TripMode_input!T129*Index!$B$2</f>
        <v>0</v>
      </c>
      <c r="W156" s="160">
        <f>TripMode_input!U129*Index!$B$2</f>
        <v>0</v>
      </c>
      <c r="X156" s="160">
        <f>TripMode_input!V129*Index!$B$2</f>
        <v>0</v>
      </c>
      <c r="Y156" s="160">
        <f>TripMode_input!W129*Index!$B$2</f>
        <v>0</v>
      </c>
      <c r="Z156" s="160">
        <f>TripMode_input!X129*Index!$B$2</f>
        <v>0</v>
      </c>
      <c r="AA156" s="160">
        <f>TripMode_input!Y129*Index!$B$2</f>
        <v>0</v>
      </c>
      <c r="AB156" s="160">
        <f>TripMode_input!Z129*Index!$B$2</f>
        <v>0</v>
      </c>
      <c r="AC156" s="160">
        <f>TripMode_input!AA129*Index!$B$2</f>
        <v>0</v>
      </c>
      <c r="AD156" s="160">
        <f>TripMode_input!AB129*Index!$B$2</f>
        <v>0</v>
      </c>
      <c r="AE156" s="160">
        <f>TripMode_input!AC129*Index!$B$2</f>
        <v>0</v>
      </c>
      <c r="AF156" s="160">
        <f>TripMode_input!AD129*Index!$B$2</f>
        <v>0</v>
      </c>
      <c r="AG156" s="160">
        <f>TripMode_input!AE129*Index!$B$2</f>
        <v>0</v>
      </c>
      <c r="AH156" s="162">
        <f t="shared" si="376"/>
        <v>0</v>
      </c>
      <c r="AJ156" s="107" t="s">
        <v>399</v>
      </c>
      <c r="AK156" s="166">
        <f t="shared" si="407"/>
        <v>0</v>
      </c>
      <c r="AL156" s="166" t="str">
        <f t="shared" si="377"/>
        <v/>
      </c>
      <c r="AM156" s="166">
        <f t="shared" si="378"/>
        <v>0</v>
      </c>
      <c r="AN156" s="166">
        <f t="shared" si="379"/>
        <v>0</v>
      </c>
      <c r="AO156" s="166">
        <f t="shared" si="380"/>
        <v>0</v>
      </c>
      <c r="AP156" s="166">
        <f t="shared" si="381"/>
        <v>0</v>
      </c>
      <c r="AQ156" s="166">
        <f t="shared" si="382"/>
        <v>0</v>
      </c>
      <c r="AR156" s="166">
        <f t="shared" si="383"/>
        <v>0</v>
      </c>
      <c r="AS156" s="166">
        <f t="shared" si="384"/>
        <v>0</v>
      </c>
      <c r="AT156" s="166">
        <f t="shared" si="385"/>
        <v>0</v>
      </c>
      <c r="AU156" s="166">
        <f t="shared" si="386"/>
        <v>0</v>
      </c>
      <c r="AV156" s="166">
        <f t="shared" si="387"/>
        <v>0</v>
      </c>
      <c r="AW156" s="166">
        <f t="shared" si="388"/>
        <v>0</v>
      </c>
      <c r="AX156" s="166">
        <f t="shared" si="389"/>
        <v>0.33333333333333337</v>
      </c>
      <c r="AY156" s="168">
        <f t="shared" si="390"/>
        <v>9.2753761446705355E-5</v>
      </c>
      <c r="BA156" s="107" t="s">
        <v>399</v>
      </c>
      <c r="BB156" s="166" t="str">
        <f t="shared" si="408"/>
        <v/>
      </c>
      <c r="BC156" s="166" t="str">
        <f t="shared" si="391"/>
        <v/>
      </c>
      <c r="BD156" s="166">
        <f t="shared" si="392"/>
        <v>0</v>
      </c>
      <c r="BE156" s="166">
        <f t="shared" si="393"/>
        <v>0</v>
      </c>
      <c r="BF156" s="166">
        <f t="shared" si="394"/>
        <v>0</v>
      </c>
      <c r="BG156" s="166">
        <f t="shared" si="395"/>
        <v>0</v>
      </c>
      <c r="BH156" s="166">
        <f t="shared" si="396"/>
        <v>0</v>
      </c>
      <c r="BI156" s="166">
        <f t="shared" si="397"/>
        <v>0</v>
      </c>
      <c r="BJ156" s="166" t="str">
        <f t="shared" si="398"/>
        <v/>
      </c>
      <c r="BK156" s="166">
        <f t="shared" si="399"/>
        <v>0</v>
      </c>
      <c r="BL156" s="166">
        <f t="shared" si="400"/>
        <v>0</v>
      </c>
      <c r="BM156" s="166">
        <f t="shared" si="401"/>
        <v>0</v>
      </c>
      <c r="BN156" s="166">
        <f t="shared" si="402"/>
        <v>0</v>
      </c>
      <c r="BO156" s="166" t="str">
        <f t="shared" si="403"/>
        <v/>
      </c>
      <c r="BP156" s="168">
        <f t="shared" si="404"/>
        <v>0</v>
      </c>
      <c r="BR156" s="107" t="s">
        <v>399</v>
      </c>
      <c r="BS156" s="166" t="str">
        <f t="shared" si="410"/>
        <v/>
      </c>
      <c r="BT156" s="166" t="str">
        <f t="shared" si="411"/>
        <v/>
      </c>
      <c r="BU156" s="166" t="str">
        <f t="shared" si="412"/>
        <v/>
      </c>
      <c r="BV156" s="166" t="str">
        <f t="shared" si="413"/>
        <v/>
      </c>
      <c r="BW156" s="166"/>
      <c r="BX156" s="166"/>
      <c r="BY156" s="166"/>
      <c r="BZ156" s="166"/>
      <c r="CA156" s="166"/>
      <c r="CB156" s="166" t="str">
        <f t="shared" si="414"/>
        <v/>
      </c>
      <c r="CC156" s="166" t="str">
        <f t="shared" si="415"/>
        <v/>
      </c>
      <c r="CD156" s="166" t="str">
        <f t="shared" si="416"/>
        <v/>
      </c>
      <c r="CE156" s="166" t="str">
        <f t="shared" si="417"/>
        <v/>
      </c>
      <c r="CF156" s="166" t="e">
        <f t="shared" si="418"/>
        <v>#VALUE!</v>
      </c>
      <c r="CG156" s="168">
        <f t="shared" si="419"/>
        <v>-1</v>
      </c>
    </row>
    <row r="157" spans="2:85" ht="15.75" thickBot="1" x14ac:dyDescent="0.3">
      <c r="B157" s="108" t="s">
        <v>29</v>
      </c>
      <c r="C157" s="109">
        <f t="shared" ref="C157:P157" si="420">SUM(C143:C156)</f>
        <v>3648.0375199999999</v>
      </c>
      <c r="D157" s="110">
        <f t="shared" si="420"/>
        <v>0</v>
      </c>
      <c r="E157" s="110">
        <f t="shared" si="420"/>
        <v>973015.85755000007</v>
      </c>
      <c r="F157" s="110">
        <f t="shared" si="420"/>
        <v>17594.735980000001</v>
      </c>
      <c r="G157" s="110">
        <f t="shared" si="420"/>
        <v>1562133.3435399998</v>
      </c>
      <c r="H157" s="110">
        <f t="shared" si="420"/>
        <v>67924.96749000001</v>
      </c>
      <c r="I157" s="110">
        <f t="shared" si="420"/>
        <v>203335.10109000001</v>
      </c>
      <c r="J157" s="110">
        <f t="shared" si="420"/>
        <v>22614.5245</v>
      </c>
      <c r="K157" s="110">
        <f t="shared" si="420"/>
        <v>37986.798219999997</v>
      </c>
      <c r="L157" s="110">
        <f t="shared" si="420"/>
        <v>3261.3915999999999</v>
      </c>
      <c r="M157" s="110">
        <f t="shared" si="420"/>
        <v>8700.6668200000004</v>
      </c>
      <c r="N157" s="110">
        <f t="shared" si="420"/>
        <v>10211.91656</v>
      </c>
      <c r="O157" s="110">
        <f t="shared" si="420"/>
        <v>3921.7500600000003</v>
      </c>
      <c r="P157" s="110">
        <f t="shared" si="420"/>
        <v>811.17624000000001</v>
      </c>
      <c r="Q157" s="112">
        <f>SUM(Q143:Q156)</f>
        <v>2915160.2671699999</v>
      </c>
      <c r="S157" s="108" t="s">
        <v>29</v>
      </c>
      <c r="T157" s="109">
        <f t="shared" ref="T157:AC157" si="421">SUM(T143:T156)</f>
        <v>0</v>
      </c>
      <c r="U157" s="110">
        <f t="shared" si="421"/>
        <v>0</v>
      </c>
      <c r="V157" s="110">
        <f t="shared" si="421"/>
        <v>367560</v>
      </c>
      <c r="W157" s="110">
        <f t="shared" si="421"/>
        <v>9310</v>
      </c>
      <c r="X157" s="110">
        <f t="shared" si="421"/>
        <v>389490</v>
      </c>
      <c r="Y157" s="110">
        <f t="shared" si="421"/>
        <v>5320</v>
      </c>
      <c r="Z157" s="110">
        <f t="shared" si="421"/>
        <v>85640</v>
      </c>
      <c r="AA157" s="110">
        <f t="shared" si="421"/>
        <v>15710</v>
      </c>
      <c r="AB157" s="110">
        <f t="shared" si="421"/>
        <v>0</v>
      </c>
      <c r="AC157" s="110">
        <f t="shared" si="421"/>
        <v>8200</v>
      </c>
      <c r="AD157" s="110">
        <f>SUM(AD143:AD156)</f>
        <v>530</v>
      </c>
      <c r="AE157" s="110">
        <f>SUM(AE143:AE156)</f>
        <v>210</v>
      </c>
      <c r="AF157" s="110">
        <f>SUM(AF143:AF156)</f>
        <v>1110</v>
      </c>
      <c r="AG157" s="110">
        <f>SUM(AG143:AG156)</f>
        <v>0</v>
      </c>
      <c r="AH157" s="112">
        <f>SUM(AH143:AH156)</f>
        <v>883080</v>
      </c>
      <c r="AJ157" s="108" t="s">
        <v>29</v>
      </c>
      <c r="AK157" s="120">
        <f t="shared" si="407"/>
        <v>1</v>
      </c>
      <c r="AL157" s="121" t="str">
        <f t="shared" si="377"/>
        <v/>
      </c>
      <c r="AM157" s="121">
        <f t="shared" si="378"/>
        <v>1</v>
      </c>
      <c r="AN157" s="121">
        <f t="shared" si="379"/>
        <v>1</v>
      </c>
      <c r="AO157" s="121">
        <f t="shared" si="380"/>
        <v>1</v>
      </c>
      <c r="AP157" s="121">
        <f t="shared" si="381"/>
        <v>1</v>
      </c>
      <c r="AQ157" s="121">
        <f t="shared" si="382"/>
        <v>1</v>
      </c>
      <c r="AR157" s="121">
        <f t="shared" si="383"/>
        <v>1</v>
      </c>
      <c r="AS157" s="121">
        <f t="shared" si="384"/>
        <v>1</v>
      </c>
      <c r="AT157" s="121">
        <f t="shared" si="385"/>
        <v>1</v>
      </c>
      <c r="AU157" s="121">
        <f t="shared" si="386"/>
        <v>1</v>
      </c>
      <c r="AV157" s="121">
        <f t="shared" si="387"/>
        <v>1</v>
      </c>
      <c r="AW157" s="121">
        <f t="shared" si="388"/>
        <v>1</v>
      </c>
      <c r="AX157" s="121">
        <f t="shared" si="389"/>
        <v>1</v>
      </c>
      <c r="AY157" s="123">
        <f t="shared" si="390"/>
        <v>1</v>
      </c>
      <c r="BA157" s="108" t="s">
        <v>29</v>
      </c>
      <c r="BB157" s="120" t="str">
        <f t="shared" si="408"/>
        <v/>
      </c>
      <c r="BC157" s="121" t="str">
        <f t="shared" si="391"/>
        <v/>
      </c>
      <c r="BD157" s="121">
        <f t="shared" si="392"/>
        <v>1</v>
      </c>
      <c r="BE157" s="121">
        <f t="shared" si="393"/>
        <v>1</v>
      </c>
      <c r="BF157" s="121">
        <f t="shared" si="394"/>
        <v>1</v>
      </c>
      <c r="BG157" s="121">
        <f t="shared" si="395"/>
        <v>1</v>
      </c>
      <c r="BH157" s="121">
        <f t="shared" si="396"/>
        <v>1</v>
      </c>
      <c r="BI157" s="121">
        <f t="shared" si="397"/>
        <v>1</v>
      </c>
      <c r="BJ157" s="121" t="str">
        <f t="shared" si="398"/>
        <v/>
      </c>
      <c r="BK157" s="121">
        <f t="shared" si="399"/>
        <v>1</v>
      </c>
      <c r="BL157" s="121">
        <f t="shared" si="400"/>
        <v>1</v>
      </c>
      <c r="BM157" s="121">
        <f t="shared" si="401"/>
        <v>1</v>
      </c>
      <c r="BN157" s="121">
        <f t="shared" si="402"/>
        <v>1</v>
      </c>
      <c r="BO157" s="121" t="str">
        <f t="shared" si="403"/>
        <v/>
      </c>
      <c r="BP157" s="123">
        <f t="shared" si="404"/>
        <v>1</v>
      </c>
      <c r="BR157" s="108" t="s">
        <v>29</v>
      </c>
      <c r="BS157" s="120" t="e">
        <f t="shared" si="410"/>
        <v>#VALUE!</v>
      </c>
      <c r="BT157" s="121" t="str">
        <f t="shared" si="411"/>
        <v/>
      </c>
      <c r="BU157" s="121">
        <f t="shared" si="412"/>
        <v>0</v>
      </c>
      <c r="BV157" s="121">
        <f t="shared" si="413"/>
        <v>0</v>
      </c>
      <c r="BW157" s="121"/>
      <c r="BX157" s="121"/>
      <c r="BY157" s="121"/>
      <c r="BZ157" s="121"/>
      <c r="CA157" s="121"/>
      <c r="CB157" s="121">
        <f t="shared" si="414"/>
        <v>0</v>
      </c>
      <c r="CC157" s="121">
        <f t="shared" si="415"/>
        <v>0</v>
      </c>
      <c r="CD157" s="121">
        <f t="shared" si="416"/>
        <v>0</v>
      </c>
      <c r="CE157" s="121">
        <f t="shared" si="417"/>
        <v>0</v>
      </c>
      <c r="CF157" s="121" t="e">
        <f t="shared" si="418"/>
        <v>#VALUE!</v>
      </c>
      <c r="CG157" s="123">
        <f t="shared" si="419"/>
        <v>0</v>
      </c>
    </row>
    <row r="158" spans="2:85" x14ac:dyDescent="0.25">
      <c r="B158" t="s">
        <v>225</v>
      </c>
      <c r="C158" s="383" t="s">
        <v>206</v>
      </c>
      <c r="D158" s="383"/>
      <c r="E158" s="383"/>
      <c r="F158" s="383"/>
      <c r="G158" s="383"/>
      <c r="H158" s="383"/>
      <c r="I158" s="383"/>
      <c r="J158" s="383"/>
      <c r="K158" s="383"/>
      <c r="L158" s="383"/>
      <c r="M158" s="383"/>
      <c r="N158" s="383"/>
      <c r="O158" s="383"/>
      <c r="P158" s="383"/>
      <c r="Q158" s="383"/>
      <c r="S158" t="s">
        <v>225</v>
      </c>
      <c r="T158" s="383" t="s">
        <v>206</v>
      </c>
      <c r="U158" s="383"/>
      <c r="V158" s="383"/>
      <c r="W158" s="383"/>
      <c r="X158" s="383"/>
      <c r="Y158" s="383"/>
      <c r="Z158" s="383"/>
      <c r="AA158" s="383"/>
      <c r="AB158" s="383"/>
      <c r="AC158" s="383"/>
      <c r="AD158" s="383"/>
      <c r="AE158" s="383"/>
      <c r="AF158" s="383"/>
      <c r="AG158" s="383"/>
      <c r="AH158" s="383"/>
      <c r="AJ158" t="s">
        <v>225</v>
      </c>
      <c r="AK158" s="383" t="s">
        <v>206</v>
      </c>
      <c r="AL158" s="383"/>
      <c r="AM158" s="383"/>
      <c r="AN158" s="383"/>
      <c r="AO158" s="383"/>
      <c r="AP158" s="383"/>
      <c r="AQ158" s="383"/>
      <c r="AR158" s="383"/>
      <c r="AS158" s="383"/>
      <c r="AT158" s="383"/>
      <c r="AU158" s="383"/>
      <c r="AV158" s="383"/>
      <c r="AW158" s="383"/>
      <c r="AX158" s="383"/>
      <c r="AY158" s="383"/>
      <c r="BA158" t="s">
        <v>225</v>
      </c>
      <c r="BB158" s="383" t="s">
        <v>206</v>
      </c>
      <c r="BC158" s="383"/>
      <c r="BD158" s="383"/>
      <c r="BE158" s="383"/>
      <c r="BF158" s="383"/>
      <c r="BG158" s="383"/>
      <c r="BH158" s="383"/>
      <c r="BI158" s="383"/>
      <c r="BJ158" s="383"/>
      <c r="BK158" s="383"/>
      <c r="BL158" s="383"/>
      <c r="BM158" s="383"/>
      <c r="BN158" s="383"/>
      <c r="BO158" s="383"/>
      <c r="BP158" s="383"/>
      <c r="BR158" t="s">
        <v>225</v>
      </c>
      <c r="BS158" s="383" t="s">
        <v>206</v>
      </c>
      <c r="BT158" s="383"/>
      <c r="BU158" s="383"/>
      <c r="BV158" s="383"/>
      <c r="BW158" s="383"/>
      <c r="BX158" s="383"/>
      <c r="BY158" s="383"/>
      <c r="BZ158" s="383"/>
      <c r="CA158" s="383"/>
      <c r="CB158" s="383"/>
      <c r="CC158" s="383"/>
      <c r="CD158" s="383"/>
      <c r="CE158" s="383"/>
      <c r="CF158" s="383"/>
      <c r="CG158" s="383"/>
    </row>
    <row r="159" spans="2:85" ht="35.450000000000003" customHeight="1" x14ac:dyDescent="0.25">
      <c r="B159" s="163" t="s">
        <v>207</v>
      </c>
      <c r="C159" s="164" t="s">
        <v>386</v>
      </c>
      <c r="D159" s="164" t="s">
        <v>387</v>
      </c>
      <c r="E159" s="164" t="s">
        <v>388</v>
      </c>
      <c r="F159" s="164" t="s">
        <v>389</v>
      </c>
      <c r="G159" s="164" t="s">
        <v>390</v>
      </c>
      <c r="H159" s="164" t="s">
        <v>391</v>
      </c>
      <c r="I159" s="164" t="s">
        <v>392</v>
      </c>
      <c r="J159" s="164" t="s">
        <v>393</v>
      </c>
      <c r="K159" s="164" t="s">
        <v>394</v>
      </c>
      <c r="L159" s="164" t="s">
        <v>395</v>
      </c>
      <c r="M159" s="164" t="s">
        <v>396</v>
      </c>
      <c r="N159" s="164" t="s">
        <v>397</v>
      </c>
      <c r="O159" s="164" t="s">
        <v>398</v>
      </c>
      <c r="P159" s="164" t="s">
        <v>399</v>
      </c>
      <c r="Q159" s="106" t="s">
        <v>29</v>
      </c>
      <c r="S159" s="163" t="s">
        <v>207</v>
      </c>
      <c r="T159" s="164" t="s">
        <v>386</v>
      </c>
      <c r="U159" s="164" t="s">
        <v>387</v>
      </c>
      <c r="V159" s="164" t="s">
        <v>388</v>
      </c>
      <c r="W159" s="164" t="s">
        <v>389</v>
      </c>
      <c r="X159" s="164" t="s">
        <v>390</v>
      </c>
      <c r="Y159" s="164" t="s">
        <v>391</v>
      </c>
      <c r="Z159" s="164" t="s">
        <v>392</v>
      </c>
      <c r="AA159" s="164" t="s">
        <v>393</v>
      </c>
      <c r="AB159" s="164" t="s">
        <v>394</v>
      </c>
      <c r="AC159" s="164" t="s">
        <v>395</v>
      </c>
      <c r="AD159" s="164" t="s">
        <v>396</v>
      </c>
      <c r="AE159" s="164" t="s">
        <v>397</v>
      </c>
      <c r="AF159" s="164" t="s">
        <v>398</v>
      </c>
      <c r="AG159" s="164" t="s">
        <v>399</v>
      </c>
      <c r="AH159" s="106" t="s">
        <v>29</v>
      </c>
      <c r="AJ159" s="163" t="s">
        <v>207</v>
      </c>
      <c r="AK159" s="164" t="s">
        <v>386</v>
      </c>
      <c r="AL159" s="164" t="s">
        <v>387</v>
      </c>
      <c r="AM159" s="164" t="s">
        <v>388</v>
      </c>
      <c r="AN159" s="164" t="s">
        <v>389</v>
      </c>
      <c r="AO159" s="164" t="s">
        <v>390</v>
      </c>
      <c r="AP159" s="164" t="s">
        <v>391</v>
      </c>
      <c r="AQ159" s="164" t="s">
        <v>392</v>
      </c>
      <c r="AR159" s="164" t="s">
        <v>393</v>
      </c>
      <c r="AS159" s="164" t="s">
        <v>394</v>
      </c>
      <c r="AT159" s="164" t="s">
        <v>395</v>
      </c>
      <c r="AU159" s="164" t="s">
        <v>396</v>
      </c>
      <c r="AV159" s="164" t="s">
        <v>397</v>
      </c>
      <c r="AW159" s="164" t="s">
        <v>398</v>
      </c>
      <c r="AX159" s="164" t="s">
        <v>399</v>
      </c>
      <c r="AY159" s="106" t="s">
        <v>29</v>
      </c>
      <c r="BA159" s="163" t="s">
        <v>207</v>
      </c>
      <c r="BB159" s="164" t="s">
        <v>386</v>
      </c>
      <c r="BC159" s="164" t="s">
        <v>387</v>
      </c>
      <c r="BD159" s="164" t="s">
        <v>388</v>
      </c>
      <c r="BE159" s="164" t="s">
        <v>389</v>
      </c>
      <c r="BF159" s="164" t="s">
        <v>390</v>
      </c>
      <c r="BG159" s="164" t="s">
        <v>391</v>
      </c>
      <c r="BH159" s="164" t="s">
        <v>392</v>
      </c>
      <c r="BI159" s="164" t="s">
        <v>393</v>
      </c>
      <c r="BJ159" s="164" t="s">
        <v>394</v>
      </c>
      <c r="BK159" s="164" t="s">
        <v>395</v>
      </c>
      <c r="BL159" s="164" t="s">
        <v>396</v>
      </c>
      <c r="BM159" s="164" t="s">
        <v>397</v>
      </c>
      <c r="BN159" s="164" t="s">
        <v>398</v>
      </c>
      <c r="BO159" s="164" t="s">
        <v>399</v>
      </c>
      <c r="BP159" s="106" t="s">
        <v>29</v>
      </c>
      <c r="BR159" s="163" t="s">
        <v>207</v>
      </c>
      <c r="BS159" s="164" t="s">
        <v>386</v>
      </c>
      <c r="BT159" s="164" t="s">
        <v>387</v>
      </c>
      <c r="BU159" s="164" t="s">
        <v>388</v>
      </c>
      <c r="BV159" s="164" t="s">
        <v>389</v>
      </c>
      <c r="BW159" s="164" t="s">
        <v>390</v>
      </c>
      <c r="BX159" s="164" t="s">
        <v>391</v>
      </c>
      <c r="BY159" s="164" t="s">
        <v>392</v>
      </c>
      <c r="BZ159" s="164" t="s">
        <v>393</v>
      </c>
      <c r="CA159" s="164" t="s">
        <v>394</v>
      </c>
      <c r="CB159" s="164" t="s">
        <v>395</v>
      </c>
      <c r="CC159" s="164" t="s">
        <v>396</v>
      </c>
      <c r="CD159" s="164" t="s">
        <v>397</v>
      </c>
      <c r="CE159" s="164" t="s">
        <v>398</v>
      </c>
      <c r="CF159" s="164" t="s">
        <v>399</v>
      </c>
      <c r="CG159" s="106" t="s">
        <v>29</v>
      </c>
    </row>
    <row r="160" spans="2:85" x14ac:dyDescent="0.25">
      <c r="B160" s="107" t="s">
        <v>386</v>
      </c>
      <c r="C160" s="160">
        <f>TripMode_input!B132</f>
        <v>12627546.57502</v>
      </c>
      <c r="D160" s="160">
        <f>TripMode_input!C132</f>
        <v>292197.45559999999</v>
      </c>
      <c r="E160" s="160">
        <f>TripMode_input!D132</f>
        <v>1295409.0258200001</v>
      </c>
      <c r="F160" s="160">
        <f>TripMode_input!E132</f>
        <v>23900.64717</v>
      </c>
      <c r="G160" s="160">
        <f>TripMode_input!F132</f>
        <v>596697.52275999996</v>
      </c>
      <c r="H160" s="160">
        <f>TripMode_input!G132</f>
        <v>13570.145909999999</v>
      </c>
      <c r="I160" s="160">
        <f>TripMode_input!H132</f>
        <v>224.07056</v>
      </c>
      <c r="J160" s="160">
        <f>TripMode_input!I132</f>
        <v>4361.1678000000002</v>
      </c>
      <c r="K160" s="160"/>
      <c r="L160" s="160">
        <f>TripMode_input!K132+TripMode_input!J132</f>
        <v>9721.0874000000003</v>
      </c>
      <c r="M160" s="160">
        <f>TripMode_input!L132</f>
        <v>1871.39474</v>
      </c>
      <c r="N160" s="160">
        <f>TripMode_input!M132</f>
        <v>49952.319009999999</v>
      </c>
      <c r="O160" s="160">
        <f>TripMode_input!N132</f>
        <v>5146.3213800000003</v>
      </c>
      <c r="P160" s="160">
        <f>TripMode_input!O132</f>
        <v>7252.9680600000002</v>
      </c>
      <c r="Q160" s="161">
        <f t="shared" ref="Q160:Q173" si="422">SUM(C160:P160)</f>
        <v>14927850.701230004</v>
      </c>
      <c r="S160" s="107" t="s">
        <v>386</v>
      </c>
      <c r="T160" s="160">
        <f>TripMode_input!R132*Index!$B$2</f>
        <v>14825030</v>
      </c>
      <c r="U160" s="160">
        <f>TripMode_input!S132*Index!$B$2</f>
        <v>1258880</v>
      </c>
      <c r="V160" s="160">
        <f>TripMode_input!T132*Index!$B$2</f>
        <v>1493105</v>
      </c>
      <c r="W160" s="160">
        <f>TripMode_input!U132*Index!$B$2</f>
        <v>60750</v>
      </c>
      <c r="X160" s="160">
        <f>TripMode_input!V132*Index!$B$2</f>
        <v>659725</v>
      </c>
      <c r="Y160" s="160">
        <f>TripMode_input!W132*Index!$B$2</f>
        <v>34210</v>
      </c>
      <c r="Z160" s="160">
        <f>TripMode_input!X132*Index!$B$2</f>
        <v>0</v>
      </c>
      <c r="AA160" s="160">
        <f>TripMode_input!Y132*Index!$B$2</f>
        <v>0</v>
      </c>
      <c r="AB160" s="160">
        <f>TripMode_input!Z132*Index!$B$2</f>
        <v>0</v>
      </c>
      <c r="AC160" s="160">
        <f>TripMode_input!AA132*Index!$B$2</f>
        <v>0</v>
      </c>
      <c r="AD160" s="160">
        <f>TripMode_input!AB132*Index!$B$2</f>
        <v>0</v>
      </c>
      <c r="AE160" s="160">
        <f>TripMode_input!AC132*Index!$B$2</f>
        <v>0</v>
      </c>
      <c r="AF160" s="160">
        <f>TripMode_input!AD132*Index!$B$2</f>
        <v>0</v>
      </c>
      <c r="AG160" s="160">
        <f>TripMode_input!AE132*Index!$B$2</f>
        <v>0</v>
      </c>
      <c r="AH160" s="161">
        <f t="shared" ref="AH160:AH173" si="423">SUM(T160:AG160)</f>
        <v>18331700</v>
      </c>
      <c r="AJ160" s="107" t="s">
        <v>386</v>
      </c>
      <c r="AK160" s="166">
        <f>IF(C$174&gt;0,C160/C$174,"")</f>
        <v>0.98458664541287377</v>
      </c>
      <c r="AL160" s="166">
        <f t="shared" ref="AL160:AL174" si="424">IF(D$174&gt;0,D160/D$174,"")</f>
        <v>0.43919368400940551</v>
      </c>
      <c r="AM160" s="166">
        <f t="shared" ref="AM160:AM174" si="425">IF(E$174&gt;0,E160/E$174,"")</f>
        <v>0.30068905916716454</v>
      </c>
      <c r="AN160" s="166">
        <f t="shared" ref="AN160:AN174" si="426">IF(F$174&gt;0,F160/F$174,"")</f>
        <v>0.20628937781730472</v>
      </c>
      <c r="AO160" s="166">
        <f t="shared" ref="AO160:AO174" si="427">IF(G$174&gt;0,G160/G$174,"")</f>
        <v>0.14127094034881757</v>
      </c>
      <c r="AP160" s="166">
        <f t="shared" ref="AP160:AP174" si="428">IF(H$174&gt;0,H160/H$174,"")</f>
        <v>0.19080134884158587</v>
      </c>
      <c r="AQ160" s="166">
        <f t="shared" ref="AQ160:AQ174" si="429">IF(I$174&gt;0,I160/I$174,"")</f>
        <v>1.090029650399272E-4</v>
      </c>
      <c r="AR160" s="166">
        <f t="shared" ref="AR160:AR174" si="430">IF(J$174&gt;0,J160/J$174,"")</f>
        <v>1.1376297509315183E-2</v>
      </c>
      <c r="AS160" s="166" t="str">
        <f t="shared" ref="AS160:AS174" si="431">IF(K$174&gt;0,K160/K$174,"")</f>
        <v/>
      </c>
      <c r="AT160" s="166">
        <f t="shared" ref="AT160:AT174" si="432">IF(L$174&gt;0,L160/L$174,"")</f>
        <v>5.9619943292884316E-3</v>
      </c>
      <c r="AU160" s="166">
        <f t="shared" ref="AU160:AU174" si="433">IF(M$174&gt;0,M160/M$174,"")</f>
        <v>7.0070371980586292E-3</v>
      </c>
      <c r="AV160" s="166">
        <f t="shared" ref="AV160:AV174" si="434">IF(N$174&gt;0,N160/N$174,"")</f>
        <v>0.1042185128254418</v>
      </c>
      <c r="AW160" s="166">
        <f t="shared" ref="AW160:AW174" si="435">IF(O$174&gt;0,O160/O$174,"")</f>
        <v>7.4074619787321314E-2</v>
      </c>
      <c r="AX160" s="166">
        <f t="shared" ref="AX160:AX174" si="436">IF(P$174&gt;0,P160/P$174,"")</f>
        <v>5.758105878126381E-3</v>
      </c>
      <c r="AY160" s="167">
        <f t="shared" ref="AY160:AY174" si="437">IF(Q$174&gt;0,Q160/Q$174,"")</f>
        <v>0.52647400504428166</v>
      </c>
      <c r="BA160" s="107" t="s">
        <v>386</v>
      </c>
      <c r="BB160" s="166">
        <f>IF(T$174&gt;0,T160/T$174,"")</f>
        <v>0.98566418339632933</v>
      </c>
      <c r="BC160" s="166">
        <f t="shared" ref="BC160:BC174" si="438">IF(U$174&gt;0,U160/U$174,"")</f>
        <v>0.8637937127114661</v>
      </c>
      <c r="BD160" s="166">
        <f t="shared" ref="BD160:BD174" si="439">IF(V$174&gt;0,V160/V$174,"")</f>
        <v>0.23840397131050692</v>
      </c>
      <c r="BE160" s="166">
        <f t="shared" ref="BE160:BE174" si="440">IF(W$174&gt;0,W160/W$174,"")</f>
        <v>0.2649021061352636</v>
      </c>
      <c r="BF160" s="166">
        <f t="shared" ref="BF160:BF174" si="441">IF(X$174&gt;0,X160/X$174,"")</f>
        <v>0.12883014475999288</v>
      </c>
      <c r="BG160" s="166">
        <f t="shared" ref="BG160:BG174" si="442">IF(Y$174&gt;0,Y160/Y$174,"")</f>
        <v>0.18909432606472654</v>
      </c>
      <c r="BH160" s="166">
        <f t="shared" ref="BH160:BH174" si="443">IF(Z$174&gt;0,Z160/Z$174,"")</f>
        <v>0</v>
      </c>
      <c r="BI160" s="166">
        <f t="shared" ref="BI160:BI174" si="444">IF(AA$174&gt;0,AA160/AA$174,"")</f>
        <v>0</v>
      </c>
      <c r="BJ160" s="166" t="str">
        <f t="shared" ref="BJ160:BJ174" si="445">IF(AB$174&gt;0,AB160/AB$174,"")</f>
        <v/>
      </c>
      <c r="BK160" s="166">
        <f t="shared" ref="BK160:BK174" si="446">IF(AC$174&gt;0,AC160/AC$174,"")</f>
        <v>0</v>
      </c>
      <c r="BL160" s="166">
        <f t="shared" ref="BL160:BL174" si="447">IF(AD$174&gt;0,AD160/AD$174,"")</f>
        <v>0</v>
      </c>
      <c r="BM160" s="166">
        <f t="shared" ref="BM160:BM174" si="448">IF(AE$174&gt;0,AE160/AE$174,"")</f>
        <v>0</v>
      </c>
      <c r="BN160" s="166">
        <f t="shared" ref="BN160:BN174" si="449">IF(AF$174&gt;0,AF160/AF$174,"")</f>
        <v>0</v>
      </c>
      <c r="BO160" s="166">
        <f t="shared" ref="BO160:BO174" si="450">IF(AG$174&gt;0,AG160/AG$174,"")</f>
        <v>0</v>
      </c>
      <c r="BP160" s="167">
        <f t="shared" ref="BP160:BP174" si="451">IF(AH$174&gt;0,AH160/AH$174,"")</f>
        <v>0.51096714490484363</v>
      </c>
      <c r="BR160" s="107" t="s">
        <v>386</v>
      </c>
      <c r="BS160" s="166">
        <f t="shared" ref="BS160:BV163" si="452">IF(OR(ISNA(AK160),AK160=0,AK160=""),"",(BB160-AK160)/AK160)</f>
        <v>1.0944064582591457E-3</v>
      </c>
      <c r="BT160" s="166">
        <f t="shared" si="452"/>
        <v>0.96677170952432823</v>
      </c>
      <c r="BU160" s="166">
        <f t="shared" si="452"/>
        <v>-0.20714118441546275</v>
      </c>
      <c r="BV160" s="166">
        <f t="shared" si="452"/>
        <v>0.28412867854915852</v>
      </c>
      <c r="BW160" s="166"/>
      <c r="BX160" s="166"/>
      <c r="BY160" s="166"/>
      <c r="BZ160" s="166"/>
      <c r="CA160" s="166"/>
      <c r="CB160" s="166">
        <f t="shared" ref="CB160:CG160" si="453">IF(OR(ISNA(AT160),AT160=0,AT160=""),"",(BK160-AT160)/AT160)</f>
        <v>-1</v>
      </c>
      <c r="CC160" s="166">
        <f t="shared" si="453"/>
        <v>-1</v>
      </c>
      <c r="CD160" s="166">
        <f t="shared" si="453"/>
        <v>-1</v>
      </c>
      <c r="CE160" s="166">
        <f t="shared" si="453"/>
        <v>-1</v>
      </c>
      <c r="CF160" s="166">
        <f t="shared" si="453"/>
        <v>-1</v>
      </c>
      <c r="CG160" s="167">
        <f t="shared" si="453"/>
        <v>-2.9454180056114544E-2</v>
      </c>
    </row>
    <row r="161" spans="2:85" x14ac:dyDescent="0.25">
      <c r="B161" s="107" t="s">
        <v>387</v>
      </c>
      <c r="C161" s="160">
        <f>TripMode_input!B133</f>
        <v>0</v>
      </c>
      <c r="D161" s="160">
        <f>TripMode_input!C133</f>
        <v>361952.30257</v>
      </c>
      <c r="E161" s="160">
        <f>TripMode_input!D133</f>
        <v>0</v>
      </c>
      <c r="F161" s="160">
        <f>TripMode_input!E133</f>
        <v>27752.137940000001</v>
      </c>
      <c r="G161" s="160">
        <f>TripMode_input!F133</f>
        <v>0</v>
      </c>
      <c r="H161" s="160">
        <f>TripMode_input!G133</f>
        <v>8202.3899700000002</v>
      </c>
      <c r="I161" s="160">
        <f>TripMode_input!H133</f>
        <v>0</v>
      </c>
      <c r="J161" s="160">
        <f>TripMode_input!I133</f>
        <v>0</v>
      </c>
      <c r="K161" s="160"/>
      <c r="L161" s="160">
        <f>TripMode_input!K133+TripMode_input!J133</f>
        <v>0</v>
      </c>
      <c r="M161" s="160">
        <f>TripMode_input!L133</f>
        <v>111.87426000000001</v>
      </c>
      <c r="N161" s="160">
        <f>TripMode_input!M133</f>
        <v>5180.38717</v>
      </c>
      <c r="O161" s="160">
        <f>TripMode_input!N133</f>
        <v>421.60663</v>
      </c>
      <c r="P161" s="160">
        <f>TripMode_input!O133</f>
        <v>0</v>
      </c>
      <c r="Q161" s="162">
        <f t="shared" si="422"/>
        <v>403620.69854000001</v>
      </c>
      <c r="S161" s="107" t="s">
        <v>387</v>
      </c>
      <c r="T161" s="160">
        <f>TripMode_input!R133*Index!$B$2</f>
        <v>215620</v>
      </c>
      <c r="U161" s="160">
        <f>TripMode_input!S133*Index!$B$2</f>
        <v>198505</v>
      </c>
      <c r="V161" s="160">
        <f>TripMode_input!T133*Index!$B$2</f>
        <v>29585</v>
      </c>
      <c r="W161" s="160">
        <f>TripMode_input!U133*Index!$B$2</f>
        <v>10525</v>
      </c>
      <c r="X161" s="160">
        <f>TripMode_input!V133*Index!$B$2</f>
        <v>13765</v>
      </c>
      <c r="Y161" s="160">
        <f>TripMode_input!W133*Index!$B$2</f>
        <v>6250</v>
      </c>
      <c r="Z161" s="160">
        <f>TripMode_input!X133*Index!$B$2</f>
        <v>0</v>
      </c>
      <c r="AA161" s="160">
        <f>TripMode_input!Y133*Index!$B$2</f>
        <v>0</v>
      </c>
      <c r="AB161" s="160">
        <f>TripMode_input!Z133*Index!$B$2</f>
        <v>0</v>
      </c>
      <c r="AC161" s="160">
        <f>TripMode_input!AA133*Index!$B$2</f>
        <v>0</v>
      </c>
      <c r="AD161" s="160">
        <f>TripMode_input!AB133*Index!$B$2</f>
        <v>0</v>
      </c>
      <c r="AE161" s="160">
        <f>TripMode_input!AC133*Index!$B$2</f>
        <v>0</v>
      </c>
      <c r="AF161" s="160">
        <f>TripMode_input!AD133*Index!$B$2</f>
        <v>0</v>
      </c>
      <c r="AG161" s="160">
        <f>TripMode_input!AE133*Index!$B$2</f>
        <v>0</v>
      </c>
      <c r="AH161" s="162">
        <f t="shared" si="423"/>
        <v>474250</v>
      </c>
      <c r="AJ161" s="107" t="s">
        <v>387</v>
      </c>
      <c r="AK161" s="166">
        <f t="shared" ref="AK161:AK174" si="454">IF(C$174&gt;0,C161/C$174,"")</f>
        <v>0</v>
      </c>
      <c r="AL161" s="166">
        <f t="shared" si="424"/>
        <v>0.54404021032620287</v>
      </c>
      <c r="AM161" s="166">
        <f t="shared" si="425"/>
        <v>0</v>
      </c>
      <c r="AN161" s="166">
        <f t="shared" si="426"/>
        <v>0.23953206070204569</v>
      </c>
      <c r="AO161" s="166">
        <f t="shared" si="427"/>
        <v>0</v>
      </c>
      <c r="AP161" s="166">
        <f t="shared" si="428"/>
        <v>0.1153286840377603</v>
      </c>
      <c r="AQ161" s="166">
        <f t="shared" si="429"/>
        <v>0</v>
      </c>
      <c r="AR161" s="166">
        <f t="shared" si="430"/>
        <v>0</v>
      </c>
      <c r="AS161" s="166" t="str">
        <f t="shared" si="431"/>
        <v/>
      </c>
      <c r="AT161" s="166">
        <f t="shared" si="432"/>
        <v>0</v>
      </c>
      <c r="AU161" s="166">
        <f t="shared" si="433"/>
        <v>4.188892298186553E-4</v>
      </c>
      <c r="AV161" s="166">
        <f t="shared" si="434"/>
        <v>1.0808151801907688E-2</v>
      </c>
      <c r="AW161" s="166">
        <f t="shared" si="435"/>
        <v>6.0684804758664047E-3</v>
      </c>
      <c r="AX161" s="166">
        <f t="shared" si="436"/>
        <v>0</v>
      </c>
      <c r="AY161" s="168">
        <f t="shared" si="437"/>
        <v>1.4234856037354091E-2</v>
      </c>
      <c r="BA161" s="107" t="s">
        <v>387</v>
      </c>
      <c r="BB161" s="166">
        <f t="shared" ref="BB161:BB174" si="455">IF(T$174&gt;0,T161/T$174,"")</f>
        <v>1.4335816603670719E-2</v>
      </c>
      <c r="BC161" s="166">
        <f t="shared" si="438"/>
        <v>0.13620628728853393</v>
      </c>
      <c r="BD161" s="166">
        <f t="shared" si="439"/>
        <v>4.7238348885184547E-3</v>
      </c>
      <c r="BE161" s="166">
        <f t="shared" si="440"/>
        <v>4.5894562420965422E-2</v>
      </c>
      <c r="BF161" s="166">
        <f t="shared" si="441"/>
        <v>2.6880093108815071E-3</v>
      </c>
      <c r="BG161" s="166">
        <f t="shared" si="442"/>
        <v>3.4546610286598681E-2</v>
      </c>
      <c r="BH161" s="166">
        <f t="shared" si="443"/>
        <v>0</v>
      </c>
      <c r="BI161" s="166">
        <f t="shared" si="444"/>
        <v>0</v>
      </c>
      <c r="BJ161" s="166" t="str">
        <f t="shared" si="445"/>
        <v/>
      </c>
      <c r="BK161" s="166">
        <f t="shared" si="446"/>
        <v>0</v>
      </c>
      <c r="BL161" s="166">
        <f t="shared" si="447"/>
        <v>0</v>
      </c>
      <c r="BM161" s="166">
        <f t="shared" si="448"/>
        <v>0</v>
      </c>
      <c r="BN161" s="166">
        <f t="shared" si="449"/>
        <v>0</v>
      </c>
      <c r="BO161" s="166">
        <f t="shared" si="450"/>
        <v>0</v>
      </c>
      <c r="BP161" s="168">
        <f t="shared" si="451"/>
        <v>1.3218968697454252E-2</v>
      </c>
      <c r="BR161" s="107" t="s">
        <v>387</v>
      </c>
      <c r="BS161" s="166" t="str">
        <f t="shared" si="452"/>
        <v/>
      </c>
      <c r="BT161" s="166">
        <f t="shared" si="452"/>
        <v>-0.74963930109712751</v>
      </c>
      <c r="BU161" s="166" t="str">
        <f t="shared" si="452"/>
        <v/>
      </c>
      <c r="BV161" s="166">
        <f t="shared" si="452"/>
        <v>-0.8083990832523511</v>
      </c>
      <c r="BW161" s="166"/>
      <c r="BX161" s="166"/>
      <c r="BY161" s="166"/>
      <c r="BZ161" s="166"/>
      <c r="CA161" s="166"/>
      <c r="CB161" s="166" t="str">
        <f t="shared" ref="CB161:CG163" si="456">IF(OR(ISNA(AT161),AT161=0,AT161=""),"",(BK161-AT161)/AT161)</f>
        <v/>
      </c>
      <c r="CC161" s="166">
        <f t="shared" si="456"/>
        <v>-1</v>
      </c>
      <c r="CD161" s="166">
        <f t="shared" si="456"/>
        <v>-1</v>
      </c>
      <c r="CE161" s="166">
        <f t="shared" si="456"/>
        <v>-1</v>
      </c>
      <c r="CF161" s="166" t="str">
        <f t="shared" si="456"/>
        <v/>
      </c>
      <c r="CG161" s="168">
        <f t="shared" si="456"/>
        <v>-7.136618292689581E-2</v>
      </c>
    </row>
    <row r="162" spans="2:85" x14ac:dyDescent="0.25">
      <c r="B162" s="107" t="s">
        <v>388</v>
      </c>
      <c r="C162" s="160">
        <f>TripMode_input!B134</f>
        <v>39638.95377</v>
      </c>
      <c r="D162" s="160">
        <f>TripMode_input!C134</f>
        <v>4523.7521900000002</v>
      </c>
      <c r="E162" s="160">
        <f>TripMode_input!D134</f>
        <v>2842838.7991900002</v>
      </c>
      <c r="F162" s="160">
        <f>TripMode_input!E134</f>
        <v>33568.434439999997</v>
      </c>
      <c r="G162" s="160">
        <f>TripMode_input!F134</f>
        <v>874258.83933999995</v>
      </c>
      <c r="H162" s="160">
        <f>TripMode_input!G134</f>
        <v>5304.53125</v>
      </c>
      <c r="I162" s="160">
        <f>TripMode_input!H134</f>
        <v>112.84287</v>
      </c>
      <c r="J162" s="160">
        <f>TripMode_input!I134</f>
        <v>2183.2768799999999</v>
      </c>
      <c r="K162" s="160"/>
      <c r="L162" s="160">
        <f>TripMode_input!K134+TripMode_input!J134</f>
        <v>54478.076650000003</v>
      </c>
      <c r="M162" s="160">
        <f>TripMode_input!L134</f>
        <v>44038.018830000001</v>
      </c>
      <c r="N162" s="160">
        <f>TripMode_input!M134</f>
        <v>19423.60742</v>
      </c>
      <c r="O162" s="160">
        <f>TripMode_input!N134</f>
        <v>4521.0076600000002</v>
      </c>
      <c r="P162" s="160">
        <f>TripMode_input!O134</f>
        <v>142263.58567</v>
      </c>
      <c r="Q162" s="162">
        <f t="shared" si="422"/>
        <v>4067153.7261599996</v>
      </c>
      <c r="S162" s="107" t="s">
        <v>388</v>
      </c>
      <c r="T162" s="160">
        <f>TripMode_input!R134*Index!$B$2</f>
        <v>0</v>
      </c>
      <c r="U162" s="160">
        <f>TripMode_input!S134*Index!$B$2</f>
        <v>0</v>
      </c>
      <c r="V162" s="160">
        <f>TripMode_input!T134*Index!$B$2</f>
        <v>4479815</v>
      </c>
      <c r="W162" s="160">
        <f>TripMode_input!U134*Index!$B$2</f>
        <v>131825</v>
      </c>
      <c r="X162" s="160">
        <f>TripMode_input!V134*Index!$B$2</f>
        <v>869515</v>
      </c>
      <c r="Y162" s="160">
        <f>TripMode_input!W134*Index!$B$2</f>
        <v>25815</v>
      </c>
      <c r="Z162" s="160">
        <f>TripMode_input!X134*Index!$B$2</f>
        <v>0</v>
      </c>
      <c r="AA162" s="160">
        <f>TripMode_input!Y134*Index!$B$2</f>
        <v>0</v>
      </c>
      <c r="AB162" s="160">
        <f>TripMode_input!Z134*Index!$B$2</f>
        <v>0</v>
      </c>
      <c r="AC162" s="160">
        <f>TripMode_input!AA134*Index!$B$2</f>
        <v>55605</v>
      </c>
      <c r="AD162" s="160">
        <f>TripMode_input!AB134*Index!$B$2</f>
        <v>0</v>
      </c>
      <c r="AE162" s="160">
        <f>TripMode_input!AC134*Index!$B$2</f>
        <v>0</v>
      </c>
      <c r="AF162" s="160">
        <f>TripMode_input!AD134*Index!$B$2</f>
        <v>16490</v>
      </c>
      <c r="AG162" s="160">
        <f>TripMode_input!AE134*Index!$B$2</f>
        <v>0</v>
      </c>
      <c r="AH162" s="162">
        <f t="shared" si="423"/>
        <v>5579065</v>
      </c>
      <c r="AJ162" s="107" t="s">
        <v>388</v>
      </c>
      <c r="AK162" s="166">
        <f t="shared" si="454"/>
        <v>3.0907020843847863E-3</v>
      </c>
      <c r="AL162" s="166">
        <f t="shared" si="424"/>
        <v>6.7995232394888671E-3</v>
      </c>
      <c r="AM162" s="166">
        <f t="shared" si="425"/>
        <v>0.65987692447275781</v>
      </c>
      <c r="AN162" s="166">
        <f t="shared" si="426"/>
        <v>0.28973321959334136</v>
      </c>
      <c r="AO162" s="166">
        <f t="shared" si="427"/>
        <v>0.20698488535791021</v>
      </c>
      <c r="AP162" s="166">
        <f t="shared" si="428"/>
        <v>7.4583701913367537E-2</v>
      </c>
      <c r="AQ162" s="166">
        <f t="shared" si="429"/>
        <v>5.4894348519569236E-5</v>
      </c>
      <c r="AR162" s="166">
        <f t="shared" si="430"/>
        <v>5.6951735111153996E-3</v>
      </c>
      <c r="AS162" s="166" t="str">
        <f t="shared" si="431"/>
        <v/>
      </c>
      <c r="AT162" s="166">
        <f t="shared" si="432"/>
        <v>3.3411692611450085E-2</v>
      </c>
      <c r="AU162" s="166">
        <f t="shared" si="433"/>
        <v>0.16489093908141281</v>
      </c>
      <c r="AV162" s="166">
        <f t="shared" si="434"/>
        <v>4.0524634674365574E-2</v>
      </c>
      <c r="AW162" s="166">
        <f t="shared" si="435"/>
        <v>6.507404002625021E-2</v>
      </c>
      <c r="AX162" s="166">
        <f t="shared" si="436"/>
        <v>0.11294256118504993</v>
      </c>
      <c r="AY162" s="168">
        <f t="shared" si="437"/>
        <v>0.14343998705492123</v>
      </c>
      <c r="BA162" s="107" t="s">
        <v>388</v>
      </c>
      <c r="BB162" s="166">
        <f t="shared" si="455"/>
        <v>0</v>
      </c>
      <c r="BC162" s="166">
        <f t="shared" si="438"/>
        <v>0</v>
      </c>
      <c r="BD162" s="166">
        <f t="shared" si="439"/>
        <v>0.71529174889668079</v>
      </c>
      <c r="BE162" s="166">
        <f t="shared" si="440"/>
        <v>0.57482666899228185</v>
      </c>
      <c r="BF162" s="166">
        <f t="shared" si="441"/>
        <v>0.16979763283335514</v>
      </c>
      <c r="BG162" s="166">
        <f t="shared" si="442"/>
        <v>0.1426913191277672</v>
      </c>
      <c r="BH162" s="166">
        <f t="shared" si="443"/>
        <v>0</v>
      </c>
      <c r="BI162" s="166">
        <f t="shared" si="444"/>
        <v>0</v>
      </c>
      <c r="BJ162" s="166" t="str">
        <f t="shared" si="445"/>
        <v/>
      </c>
      <c r="BK162" s="166">
        <f t="shared" si="446"/>
        <v>4.8953880962966552E-2</v>
      </c>
      <c r="BL162" s="166">
        <f t="shared" si="447"/>
        <v>0</v>
      </c>
      <c r="BM162" s="166">
        <f t="shared" si="448"/>
        <v>0</v>
      </c>
      <c r="BN162" s="166">
        <f t="shared" si="449"/>
        <v>9.7343565525383702E-2</v>
      </c>
      <c r="BO162" s="166">
        <f t="shared" si="450"/>
        <v>0</v>
      </c>
      <c r="BP162" s="168">
        <f t="shared" si="451"/>
        <v>0.15550761327583046</v>
      </c>
      <c r="BR162" s="107" t="s">
        <v>388</v>
      </c>
      <c r="BS162" s="166">
        <f t="shared" si="452"/>
        <v>-1</v>
      </c>
      <c r="BT162" s="166">
        <f t="shared" si="452"/>
        <v>-1</v>
      </c>
      <c r="BU162" s="166">
        <f t="shared" si="452"/>
        <v>8.3977515152843796E-2</v>
      </c>
      <c r="BV162" s="166">
        <f t="shared" si="452"/>
        <v>0.98398606069088979</v>
      </c>
      <c r="BW162" s="166"/>
      <c r="BX162" s="166"/>
      <c r="BY162" s="166"/>
      <c r="BZ162" s="166"/>
      <c r="CA162" s="166"/>
      <c r="CB162" s="166">
        <f t="shared" si="456"/>
        <v>0.46517213396696361</v>
      </c>
      <c r="CC162" s="166">
        <f t="shared" si="456"/>
        <v>-1</v>
      </c>
      <c r="CD162" s="166">
        <f t="shared" si="456"/>
        <v>-1</v>
      </c>
      <c r="CE162" s="166">
        <f t="shared" si="456"/>
        <v>0.49588938209639805</v>
      </c>
      <c r="CF162" s="166">
        <f t="shared" si="456"/>
        <v>-1</v>
      </c>
      <c r="CG162" s="168">
        <f t="shared" si="456"/>
        <v>8.4130140197856418E-2</v>
      </c>
    </row>
    <row r="163" spans="2:85" x14ac:dyDescent="0.25">
      <c r="B163" s="107" t="s">
        <v>389</v>
      </c>
      <c r="C163" s="160">
        <f>TripMode_input!B135</f>
        <v>0</v>
      </c>
      <c r="D163" s="160">
        <f>TripMode_input!C135</f>
        <v>298.39301999999998</v>
      </c>
      <c r="E163" s="160">
        <f>TripMode_input!D135</f>
        <v>0</v>
      </c>
      <c r="F163" s="160">
        <f>TripMode_input!E135</f>
        <v>29698.39788</v>
      </c>
      <c r="G163" s="160">
        <f>TripMode_input!F135</f>
        <v>0</v>
      </c>
      <c r="H163" s="160">
        <f>TripMode_input!G135</f>
        <v>4731.6837500000001</v>
      </c>
      <c r="I163" s="160">
        <f>TripMode_input!H135</f>
        <v>0</v>
      </c>
      <c r="J163" s="160">
        <f>TripMode_input!I135</f>
        <v>0</v>
      </c>
      <c r="K163" s="160"/>
      <c r="L163" s="160">
        <f>TripMode_input!K135+TripMode_input!J135</f>
        <v>14.922029999999999</v>
      </c>
      <c r="M163" s="160">
        <f>TripMode_input!L135</f>
        <v>111.87426000000001</v>
      </c>
      <c r="N163" s="160">
        <f>TripMode_input!M135</f>
        <v>47.197839999999999</v>
      </c>
      <c r="O163" s="160">
        <f>TripMode_input!N135</f>
        <v>217.97167999999999</v>
      </c>
      <c r="P163" s="160">
        <f>TripMode_input!O135</f>
        <v>426.78379999999999</v>
      </c>
      <c r="Q163" s="162">
        <f t="shared" si="422"/>
        <v>35547.224260000003</v>
      </c>
      <c r="S163" s="107" t="s">
        <v>389</v>
      </c>
      <c r="T163" s="160">
        <f>TripMode_input!R135*Index!$B$2</f>
        <v>0</v>
      </c>
      <c r="U163" s="160">
        <f>TripMode_input!S135*Index!$B$2</f>
        <v>0</v>
      </c>
      <c r="V163" s="160">
        <f>TripMode_input!T135*Index!$B$2</f>
        <v>51725</v>
      </c>
      <c r="W163" s="160">
        <f>TripMode_input!U135*Index!$B$2</f>
        <v>24565</v>
      </c>
      <c r="X163" s="160">
        <f>TripMode_input!V135*Index!$B$2</f>
        <v>16165</v>
      </c>
      <c r="Y163" s="160">
        <f>TripMode_input!W135*Index!$B$2</f>
        <v>5955</v>
      </c>
      <c r="Z163" s="160">
        <f>TripMode_input!X135*Index!$B$2</f>
        <v>0</v>
      </c>
      <c r="AA163" s="160">
        <f>TripMode_input!Y135*Index!$B$2</f>
        <v>0</v>
      </c>
      <c r="AB163" s="160">
        <f>TripMode_input!Z135*Index!$B$2</f>
        <v>0</v>
      </c>
      <c r="AC163" s="160">
        <f>TripMode_input!AA135*Index!$B$2</f>
        <v>1760</v>
      </c>
      <c r="AD163" s="160">
        <f>TripMode_input!AB135*Index!$B$2</f>
        <v>0</v>
      </c>
      <c r="AE163" s="160">
        <f>TripMode_input!AC135*Index!$B$2</f>
        <v>0</v>
      </c>
      <c r="AF163" s="160">
        <f>TripMode_input!AD135*Index!$B$2</f>
        <v>2935</v>
      </c>
      <c r="AG163" s="160">
        <f>TripMode_input!AE135*Index!$B$2</f>
        <v>0</v>
      </c>
      <c r="AH163" s="162">
        <f t="shared" si="423"/>
        <v>103105</v>
      </c>
      <c r="AJ163" s="107" t="s">
        <v>389</v>
      </c>
      <c r="AK163" s="166">
        <f t="shared" si="454"/>
        <v>0</v>
      </c>
      <c r="AL163" s="166">
        <f t="shared" si="424"/>
        <v>4.4850606062735415E-4</v>
      </c>
      <c r="AM163" s="166">
        <f t="shared" si="425"/>
        <v>0</v>
      </c>
      <c r="AN163" s="166">
        <f t="shared" si="426"/>
        <v>0.25633046575098078</v>
      </c>
      <c r="AO163" s="166">
        <f t="shared" si="427"/>
        <v>0</v>
      </c>
      <c r="AP163" s="166">
        <f t="shared" si="428"/>
        <v>6.6529250884953331E-2</v>
      </c>
      <c r="AQ163" s="166">
        <f t="shared" si="429"/>
        <v>0</v>
      </c>
      <c r="AR163" s="166">
        <f t="shared" si="430"/>
        <v>0</v>
      </c>
      <c r="AS163" s="166" t="str">
        <f t="shared" si="431"/>
        <v/>
      </c>
      <c r="AT163" s="166">
        <f t="shared" si="432"/>
        <v>9.1517599400939302E-6</v>
      </c>
      <c r="AU163" s="166">
        <f t="shared" si="433"/>
        <v>4.188892298186553E-4</v>
      </c>
      <c r="AV163" s="166">
        <f t="shared" si="434"/>
        <v>9.8471678409733758E-5</v>
      </c>
      <c r="AW163" s="166">
        <f t="shared" si="435"/>
        <v>3.1374195523723135E-3</v>
      </c>
      <c r="AX163" s="166">
        <f t="shared" si="436"/>
        <v>3.3882216040933638E-4</v>
      </c>
      <c r="AY163" s="168">
        <f t="shared" si="437"/>
        <v>1.2536760916846137E-3</v>
      </c>
      <c r="BA163" s="107" t="s">
        <v>389</v>
      </c>
      <c r="BB163" s="166">
        <f t="shared" si="455"/>
        <v>0</v>
      </c>
      <c r="BC163" s="166">
        <f t="shared" si="438"/>
        <v>0</v>
      </c>
      <c r="BD163" s="166">
        <f t="shared" si="439"/>
        <v>8.2589271458041943E-3</v>
      </c>
      <c r="BE163" s="166">
        <f t="shared" si="440"/>
        <v>0.10711638250555967</v>
      </c>
      <c r="BF163" s="166">
        <f t="shared" si="441"/>
        <v>3.1566778431093034E-3</v>
      </c>
      <c r="BG163" s="166">
        <f t="shared" si="442"/>
        <v>3.2916010281071224E-2</v>
      </c>
      <c r="BH163" s="166">
        <f t="shared" si="443"/>
        <v>0</v>
      </c>
      <c r="BI163" s="166">
        <f t="shared" si="444"/>
        <v>0</v>
      </c>
      <c r="BJ163" s="166" t="str">
        <f t="shared" si="445"/>
        <v/>
      </c>
      <c r="BK163" s="166">
        <f t="shared" si="446"/>
        <v>1.5494799117852915E-3</v>
      </c>
      <c r="BL163" s="166">
        <f t="shared" si="447"/>
        <v>0</v>
      </c>
      <c r="BM163" s="166">
        <f t="shared" si="448"/>
        <v>0</v>
      </c>
      <c r="BN163" s="166">
        <f t="shared" si="449"/>
        <v>1.73258559622196E-2</v>
      </c>
      <c r="BO163" s="166">
        <f t="shared" si="450"/>
        <v>0</v>
      </c>
      <c r="BP163" s="168">
        <f t="shared" si="451"/>
        <v>2.873888808752811E-3</v>
      </c>
      <c r="BR163" s="107" t="s">
        <v>389</v>
      </c>
      <c r="BS163" s="166" t="str">
        <f t="shared" si="452"/>
        <v/>
      </c>
      <c r="BT163" s="166">
        <f t="shared" si="452"/>
        <v>-1</v>
      </c>
      <c r="BU163" s="166" t="str">
        <f t="shared" si="452"/>
        <v/>
      </c>
      <c r="BV163" s="166">
        <f t="shared" si="452"/>
        <v>-0.58211606961452333</v>
      </c>
      <c r="BW163" s="166"/>
      <c r="BX163" s="166"/>
      <c r="BY163" s="166"/>
      <c r="BZ163" s="166"/>
      <c r="CA163" s="166"/>
      <c r="CB163" s="166">
        <f t="shared" si="456"/>
        <v>168.30950133394651</v>
      </c>
      <c r="CC163" s="166">
        <f t="shared" si="456"/>
        <v>-1</v>
      </c>
      <c r="CD163" s="166">
        <f t="shared" si="456"/>
        <v>-1</v>
      </c>
      <c r="CE163" s="166">
        <f t="shared" si="456"/>
        <v>4.5223267634444717</v>
      </c>
      <c r="CF163" s="166">
        <f t="shared" si="456"/>
        <v>-1</v>
      </c>
      <c r="CG163" s="168">
        <f t="shared" si="456"/>
        <v>1.2923694786992819</v>
      </c>
    </row>
    <row r="164" spans="2:85" x14ac:dyDescent="0.25">
      <c r="B164" s="107" t="s">
        <v>390</v>
      </c>
      <c r="C164" s="160">
        <f>TripMode_input!B136</f>
        <v>1461.04441</v>
      </c>
      <c r="D164" s="160">
        <f>TripMode_input!C136</f>
        <v>0</v>
      </c>
      <c r="E164" s="160">
        <f>TripMode_input!D136</f>
        <v>0</v>
      </c>
      <c r="F164" s="160">
        <f>TripMode_input!E136</f>
        <v>0</v>
      </c>
      <c r="G164" s="160">
        <f>TripMode_input!F136</f>
        <v>2626125.2912300001</v>
      </c>
      <c r="H164" s="160">
        <f>TripMode_input!G136</f>
        <v>18838.7526</v>
      </c>
      <c r="I164" s="160">
        <f>TripMode_input!H136</f>
        <v>0</v>
      </c>
      <c r="J164" s="160">
        <f>TripMode_input!I136</f>
        <v>0</v>
      </c>
      <c r="K164" s="160"/>
      <c r="L164" s="160">
        <f>TripMode_input!K136+TripMode_input!J136</f>
        <v>13369.6571</v>
      </c>
      <c r="M164" s="160">
        <f>TripMode_input!L136</f>
        <v>14828.88838</v>
      </c>
      <c r="N164" s="160">
        <f>TripMode_input!M136</f>
        <v>22925.30271</v>
      </c>
      <c r="O164" s="160">
        <f>TripMode_input!N136</f>
        <v>927.28</v>
      </c>
      <c r="P164" s="160">
        <f>TripMode_input!O136</f>
        <v>92135.860130000001</v>
      </c>
      <c r="Q164" s="162">
        <f t="shared" si="422"/>
        <v>2790612.0765599995</v>
      </c>
      <c r="S164" s="107" t="s">
        <v>390</v>
      </c>
      <c r="T164" s="160">
        <f>TripMode_input!R136*Index!$B$2</f>
        <v>0</v>
      </c>
      <c r="U164" s="160">
        <f>TripMode_input!S136*Index!$B$2</f>
        <v>0</v>
      </c>
      <c r="V164" s="160">
        <f>TripMode_input!T136*Index!$B$2</f>
        <v>0</v>
      </c>
      <c r="W164" s="160">
        <f>TripMode_input!U136*Index!$B$2</f>
        <v>0</v>
      </c>
      <c r="X164" s="160">
        <f>TripMode_input!V136*Index!$B$2</f>
        <v>3371075</v>
      </c>
      <c r="Y164" s="160">
        <f>TripMode_input!W136*Index!$B$2</f>
        <v>87335</v>
      </c>
      <c r="Z164" s="160">
        <f>TripMode_input!X136*Index!$B$2</f>
        <v>0</v>
      </c>
      <c r="AA164" s="160">
        <f>TripMode_input!Y136*Index!$B$2</f>
        <v>0</v>
      </c>
      <c r="AB164" s="160">
        <f>TripMode_input!Z136*Index!$B$2</f>
        <v>0</v>
      </c>
      <c r="AC164" s="160">
        <f>TripMode_input!AA136*Index!$B$2</f>
        <v>14070</v>
      </c>
      <c r="AD164" s="160">
        <f>TripMode_input!AB136*Index!$B$2</f>
        <v>0</v>
      </c>
      <c r="AE164" s="160">
        <f>TripMode_input!AC136*Index!$B$2</f>
        <v>0</v>
      </c>
      <c r="AF164" s="160">
        <f>TripMode_input!AD136*Index!$B$2</f>
        <v>7850</v>
      </c>
      <c r="AG164" s="160">
        <f>TripMode_input!AE136*Index!$B$2</f>
        <v>0</v>
      </c>
      <c r="AH164" s="162">
        <f t="shared" si="423"/>
        <v>3480330</v>
      </c>
      <c r="AJ164" s="107" t="s">
        <v>390</v>
      </c>
      <c r="AK164" s="166">
        <f t="shared" si="454"/>
        <v>1.1391958096490751E-4</v>
      </c>
      <c r="AL164" s="166">
        <f t="shared" si="424"/>
        <v>0</v>
      </c>
      <c r="AM164" s="166">
        <f t="shared" si="425"/>
        <v>0</v>
      </c>
      <c r="AN164" s="166">
        <f t="shared" si="426"/>
        <v>0</v>
      </c>
      <c r="AO164" s="166">
        <f t="shared" si="427"/>
        <v>0.62174749385559946</v>
      </c>
      <c r="AP164" s="166">
        <f t="shared" si="428"/>
        <v>0.2648799379470293</v>
      </c>
      <c r="AQ164" s="166">
        <f t="shared" si="429"/>
        <v>0</v>
      </c>
      <c r="AR164" s="166">
        <f t="shared" si="430"/>
        <v>0</v>
      </c>
      <c r="AS164" s="166" t="str">
        <f t="shared" si="431"/>
        <v/>
      </c>
      <c r="AT164" s="166">
        <f t="shared" si="432"/>
        <v>8.1996814281014296E-3</v>
      </c>
      <c r="AU164" s="166">
        <f t="shared" si="433"/>
        <v>5.5523599732101081E-2</v>
      </c>
      <c r="AV164" s="166">
        <f t="shared" si="434"/>
        <v>4.7830431136359583E-2</v>
      </c>
      <c r="AW164" s="166">
        <f t="shared" si="435"/>
        <v>1.3346992611718178E-2</v>
      </c>
      <c r="AX164" s="166">
        <f t="shared" si="436"/>
        <v>7.3146335874086699E-2</v>
      </c>
      <c r="AY164" s="168">
        <f t="shared" si="437"/>
        <v>9.8419038740146736E-2</v>
      </c>
      <c r="BA164" s="107" t="s">
        <v>390</v>
      </c>
      <c r="BB164" s="166">
        <f t="shared" si="455"/>
        <v>0</v>
      </c>
      <c r="BC164" s="166">
        <f t="shared" si="438"/>
        <v>0</v>
      </c>
      <c r="BD164" s="166">
        <f t="shared" si="439"/>
        <v>0</v>
      </c>
      <c r="BE164" s="166">
        <f t="shared" si="440"/>
        <v>0</v>
      </c>
      <c r="BF164" s="166">
        <f t="shared" si="441"/>
        <v>0.65829865511659102</v>
      </c>
      <c r="BG164" s="166">
        <f t="shared" si="442"/>
        <v>0.48274051350081532</v>
      </c>
      <c r="BH164" s="166">
        <f t="shared" si="443"/>
        <v>0</v>
      </c>
      <c r="BI164" s="166">
        <f t="shared" si="444"/>
        <v>0</v>
      </c>
      <c r="BJ164" s="166" t="str">
        <f t="shared" si="445"/>
        <v/>
      </c>
      <c r="BK164" s="166">
        <f t="shared" si="446"/>
        <v>1.2387035431147187E-2</v>
      </c>
      <c r="BL164" s="166">
        <f t="shared" si="447"/>
        <v>0</v>
      </c>
      <c r="BM164" s="166">
        <f t="shared" si="448"/>
        <v>0</v>
      </c>
      <c r="BN164" s="166">
        <f t="shared" si="449"/>
        <v>4.6340023612750886E-2</v>
      </c>
      <c r="BO164" s="166">
        <f t="shared" si="450"/>
        <v>0</v>
      </c>
      <c r="BP164" s="168">
        <f t="shared" si="451"/>
        <v>9.7008694416048397E-2</v>
      </c>
      <c r="BR164" s="107" t="s">
        <v>390</v>
      </c>
      <c r="BS164" s="166"/>
      <c r="BT164" s="166"/>
      <c r="BU164" s="166"/>
      <c r="BV164" s="166"/>
      <c r="BW164" s="166"/>
      <c r="BX164" s="166"/>
      <c r="BY164" s="166"/>
      <c r="BZ164" s="166"/>
      <c r="CA164" s="166"/>
      <c r="CB164" s="166"/>
      <c r="CC164" s="166"/>
      <c r="CD164" s="166"/>
      <c r="CE164" s="166"/>
      <c r="CF164" s="166"/>
      <c r="CG164" s="168"/>
    </row>
    <row r="165" spans="2:85" x14ac:dyDescent="0.25">
      <c r="B165" s="107" t="s">
        <v>391</v>
      </c>
      <c r="C165" s="160">
        <f>TripMode_input!B137</f>
        <v>0</v>
      </c>
      <c r="D165" s="160">
        <f>TripMode_input!C137</f>
        <v>0</v>
      </c>
      <c r="E165" s="160">
        <f>TripMode_input!D137</f>
        <v>0</v>
      </c>
      <c r="F165" s="160">
        <f>TripMode_input!E137</f>
        <v>0</v>
      </c>
      <c r="G165" s="160">
        <f>TripMode_input!F137</f>
        <v>0</v>
      </c>
      <c r="H165" s="160">
        <f>TripMode_input!G137</f>
        <v>18698.205539999999</v>
      </c>
      <c r="I165" s="160">
        <f>TripMode_input!H137</f>
        <v>0</v>
      </c>
      <c r="J165" s="160">
        <f>TripMode_input!I137</f>
        <v>0</v>
      </c>
      <c r="K165" s="160"/>
      <c r="L165" s="160">
        <f>TripMode_input!K137+TripMode_input!J137</f>
        <v>354.02075000000002</v>
      </c>
      <c r="M165" s="160">
        <f>TripMode_input!L137</f>
        <v>0</v>
      </c>
      <c r="N165" s="160">
        <f>TripMode_input!M137</f>
        <v>0</v>
      </c>
      <c r="O165" s="160">
        <f>TripMode_input!N137</f>
        <v>0</v>
      </c>
      <c r="P165" s="160">
        <f>TripMode_input!O137</f>
        <v>1800.01126</v>
      </c>
      <c r="Q165" s="162">
        <f t="shared" si="422"/>
        <v>20852.237549999998</v>
      </c>
      <c r="S165" s="107" t="s">
        <v>391</v>
      </c>
      <c r="T165" s="160">
        <f>TripMode_input!R137*Index!$B$2</f>
        <v>0</v>
      </c>
      <c r="U165" s="160">
        <f>TripMode_input!S137*Index!$B$2</f>
        <v>0</v>
      </c>
      <c r="V165" s="160">
        <f>TripMode_input!T137*Index!$B$2</f>
        <v>0</v>
      </c>
      <c r="W165" s="160">
        <f>TripMode_input!U137*Index!$B$2</f>
        <v>0</v>
      </c>
      <c r="X165" s="160">
        <f>TripMode_input!V137*Index!$B$2</f>
        <v>66240</v>
      </c>
      <c r="Y165" s="160">
        <f>TripMode_input!W137*Index!$B$2</f>
        <v>20025</v>
      </c>
      <c r="Z165" s="160">
        <f>TripMode_input!X137*Index!$B$2</f>
        <v>0</v>
      </c>
      <c r="AA165" s="160">
        <f>TripMode_input!Y137*Index!$B$2</f>
        <v>0</v>
      </c>
      <c r="AB165" s="160">
        <f>TripMode_input!Z137*Index!$B$2</f>
        <v>0</v>
      </c>
      <c r="AC165" s="160">
        <f>TripMode_input!AA137*Index!$B$2</f>
        <v>500</v>
      </c>
      <c r="AD165" s="160">
        <f>TripMode_input!AB137*Index!$B$2</f>
        <v>0</v>
      </c>
      <c r="AE165" s="160">
        <f>TripMode_input!AC137*Index!$B$2</f>
        <v>0</v>
      </c>
      <c r="AF165" s="160">
        <f>TripMode_input!AD137*Index!$B$2</f>
        <v>885</v>
      </c>
      <c r="AG165" s="160">
        <f>TripMode_input!AE137*Index!$B$2</f>
        <v>0</v>
      </c>
      <c r="AH165" s="162">
        <f t="shared" si="423"/>
        <v>87650</v>
      </c>
      <c r="AJ165" s="107" t="s">
        <v>391</v>
      </c>
      <c r="AK165" s="166">
        <f t="shared" si="454"/>
        <v>0</v>
      </c>
      <c r="AL165" s="166">
        <f t="shared" si="424"/>
        <v>0</v>
      </c>
      <c r="AM165" s="166">
        <f t="shared" si="425"/>
        <v>0</v>
      </c>
      <c r="AN165" s="166">
        <f t="shared" si="426"/>
        <v>0</v>
      </c>
      <c r="AO165" s="166">
        <f t="shared" si="427"/>
        <v>0</v>
      </c>
      <c r="AP165" s="166">
        <f t="shared" si="428"/>
        <v>0.2629037934898088</v>
      </c>
      <c r="AQ165" s="166">
        <f t="shared" si="429"/>
        <v>0</v>
      </c>
      <c r="AR165" s="166">
        <f t="shared" si="430"/>
        <v>0</v>
      </c>
      <c r="AS165" s="166" t="str">
        <f t="shared" si="431"/>
        <v/>
      </c>
      <c r="AT165" s="166">
        <f t="shared" si="432"/>
        <v>2.1712279882911428E-4</v>
      </c>
      <c r="AU165" s="166">
        <f t="shared" si="433"/>
        <v>0</v>
      </c>
      <c r="AV165" s="166">
        <f t="shared" si="434"/>
        <v>0</v>
      </c>
      <c r="AW165" s="166">
        <f t="shared" si="435"/>
        <v>0</v>
      </c>
      <c r="AX165" s="166">
        <f t="shared" si="436"/>
        <v>1.4290226195894308E-3</v>
      </c>
      <c r="AY165" s="168">
        <f t="shared" si="437"/>
        <v>7.3541471152164552E-4</v>
      </c>
      <c r="BA165" s="107" t="s">
        <v>391</v>
      </c>
      <c r="BB165" s="166">
        <f t="shared" si="455"/>
        <v>0</v>
      </c>
      <c r="BC165" s="166">
        <f t="shared" si="438"/>
        <v>0</v>
      </c>
      <c r="BD165" s="166">
        <f t="shared" si="439"/>
        <v>0</v>
      </c>
      <c r="BE165" s="166">
        <f t="shared" si="440"/>
        <v>0</v>
      </c>
      <c r="BF165" s="166">
        <f t="shared" si="441"/>
        <v>1.2935251489487178E-2</v>
      </c>
      <c r="BG165" s="166">
        <f t="shared" si="442"/>
        <v>0.11068733935826217</v>
      </c>
      <c r="BH165" s="166">
        <f t="shared" si="443"/>
        <v>0</v>
      </c>
      <c r="BI165" s="166">
        <f t="shared" si="444"/>
        <v>0</v>
      </c>
      <c r="BJ165" s="166" t="str">
        <f t="shared" si="445"/>
        <v/>
      </c>
      <c r="BK165" s="166">
        <f t="shared" si="446"/>
        <v>4.4019315675718505E-4</v>
      </c>
      <c r="BL165" s="166">
        <f t="shared" si="447"/>
        <v>0</v>
      </c>
      <c r="BM165" s="166">
        <f t="shared" si="448"/>
        <v>0</v>
      </c>
      <c r="BN165" s="166">
        <f t="shared" si="449"/>
        <v>5.2243211334120424E-3</v>
      </c>
      <c r="BO165" s="166">
        <f t="shared" si="450"/>
        <v>0</v>
      </c>
      <c r="BP165" s="168">
        <f t="shared" si="451"/>
        <v>2.4431051266881709E-3</v>
      </c>
      <c r="BR165" s="107" t="s">
        <v>391</v>
      </c>
      <c r="BS165" s="166"/>
      <c r="BT165" s="166"/>
      <c r="BU165" s="166"/>
      <c r="BV165" s="166"/>
      <c r="BW165" s="166"/>
      <c r="BX165" s="166"/>
      <c r="BY165" s="166"/>
      <c r="BZ165" s="166"/>
      <c r="CA165" s="166"/>
      <c r="CB165" s="166"/>
      <c r="CC165" s="166"/>
      <c r="CD165" s="166"/>
      <c r="CE165" s="166"/>
      <c r="CF165" s="166"/>
      <c r="CG165" s="168"/>
    </row>
    <row r="166" spans="2:85" x14ac:dyDescent="0.25">
      <c r="B166" s="107" t="s">
        <v>392</v>
      </c>
      <c r="C166" s="160">
        <f>TripMode_input!B138</f>
        <v>145143.71343</v>
      </c>
      <c r="D166" s="160">
        <f>TripMode_input!C138</f>
        <v>6245.3119699999997</v>
      </c>
      <c r="E166" s="160">
        <f>TripMode_input!D138</f>
        <v>160416.17965999999</v>
      </c>
      <c r="F166" s="160">
        <f>TripMode_input!E138</f>
        <v>940.18796999999995</v>
      </c>
      <c r="G166" s="160">
        <f>TripMode_input!F138</f>
        <v>115103.75453000001</v>
      </c>
      <c r="H166" s="160">
        <f>TripMode_input!G138</f>
        <v>1683.5844400000001</v>
      </c>
      <c r="I166" s="160">
        <f>TripMode_input!H138</f>
        <v>2053884.54042</v>
      </c>
      <c r="J166" s="160">
        <f>TripMode_input!I138</f>
        <v>23080.96371</v>
      </c>
      <c r="K166" s="160"/>
      <c r="L166" s="160">
        <f>TripMode_input!K138+TripMode_input!J138</f>
        <v>341367.86441000004</v>
      </c>
      <c r="M166" s="160">
        <f>TripMode_input!L138</f>
        <v>50749.898690000002</v>
      </c>
      <c r="N166" s="160">
        <f>TripMode_input!M138</f>
        <v>69216.982910000006</v>
      </c>
      <c r="O166" s="160">
        <f>TripMode_input!N138</f>
        <v>10589.869780000001</v>
      </c>
      <c r="P166" s="160">
        <f>TripMode_input!O138</f>
        <v>27494.232950000001</v>
      </c>
      <c r="Q166" s="162">
        <f t="shared" si="422"/>
        <v>3005917.0848699999</v>
      </c>
      <c r="S166" s="107" t="s">
        <v>392</v>
      </c>
      <c r="T166" s="160">
        <f>TripMode_input!R138*Index!$B$2</f>
        <v>0</v>
      </c>
      <c r="U166" s="160">
        <f>TripMode_input!S138*Index!$B$2</f>
        <v>0</v>
      </c>
      <c r="V166" s="160">
        <f>TripMode_input!T138*Index!$B$2</f>
        <v>208690</v>
      </c>
      <c r="W166" s="160">
        <f>TripMode_input!U138*Index!$B$2</f>
        <v>1665</v>
      </c>
      <c r="X166" s="160">
        <f>TripMode_input!V138*Index!$B$2</f>
        <v>124405</v>
      </c>
      <c r="Y166" s="160">
        <f>TripMode_input!W138*Index!$B$2</f>
        <v>1325</v>
      </c>
      <c r="Z166" s="160">
        <f>TripMode_input!X138*Index!$B$2</f>
        <v>4426010</v>
      </c>
      <c r="AA166" s="160">
        <f>TripMode_input!Y138*Index!$B$2</f>
        <v>0</v>
      </c>
      <c r="AB166" s="160">
        <f>TripMode_input!Z138*Index!$B$2</f>
        <v>0</v>
      </c>
      <c r="AC166" s="160">
        <f>TripMode_input!AA138*Index!$B$2</f>
        <v>221505</v>
      </c>
      <c r="AD166" s="160">
        <f>TripMode_input!AB138*Index!$B$2</f>
        <v>0</v>
      </c>
      <c r="AE166" s="160">
        <f>TripMode_input!AC138*Index!$B$2</f>
        <v>0</v>
      </c>
      <c r="AF166" s="160">
        <f>TripMode_input!AD138*Index!$B$2</f>
        <v>26040</v>
      </c>
      <c r="AG166" s="160">
        <f>TripMode_input!AE138*Index!$B$2</f>
        <v>0</v>
      </c>
      <c r="AH166" s="162">
        <f t="shared" si="423"/>
        <v>5009640</v>
      </c>
      <c r="AJ166" s="107" t="s">
        <v>392</v>
      </c>
      <c r="AK166" s="166">
        <f t="shared" si="454"/>
        <v>1.131704888671811E-2</v>
      </c>
      <c r="AL166" s="166">
        <f t="shared" si="424"/>
        <v>9.3871507753551364E-3</v>
      </c>
      <c r="AM166" s="166">
        <f t="shared" si="425"/>
        <v>3.7235644630948132E-2</v>
      </c>
      <c r="AN166" s="166">
        <f t="shared" si="426"/>
        <v>8.1148761363274303E-3</v>
      </c>
      <c r="AO166" s="166">
        <f t="shared" si="427"/>
        <v>2.7251354362791441E-2</v>
      </c>
      <c r="AP166" s="166">
        <f t="shared" si="428"/>
        <v>2.3671829630364384E-2</v>
      </c>
      <c r="AQ166" s="166">
        <f t="shared" si="429"/>
        <v>0.99914734338794076</v>
      </c>
      <c r="AR166" s="166">
        <f t="shared" si="430"/>
        <v>6.0207706286070237E-2</v>
      </c>
      <c r="AS166" s="166" t="str">
        <f t="shared" si="431"/>
        <v/>
      </c>
      <c r="AT166" s="166">
        <f t="shared" si="432"/>
        <v>0.20936271715998792</v>
      </c>
      <c r="AU166" s="166">
        <f t="shared" si="433"/>
        <v>0.19002213713528815</v>
      </c>
      <c r="AV166" s="166">
        <f t="shared" si="434"/>
        <v>0.14441153412117075</v>
      </c>
      <c r="AW166" s="166">
        <f t="shared" si="435"/>
        <v>0.15242743692597449</v>
      </c>
      <c r="AX166" s="166">
        <f t="shared" si="436"/>
        <v>2.182757500850914E-2</v>
      </c>
      <c r="AY166" s="168">
        <f t="shared" si="437"/>
        <v>0.10601239509798586</v>
      </c>
      <c r="BA166" s="107" t="s">
        <v>392</v>
      </c>
      <c r="BB166" s="166">
        <f t="shared" si="455"/>
        <v>0</v>
      </c>
      <c r="BC166" s="166">
        <f t="shared" si="438"/>
        <v>0</v>
      </c>
      <c r="BD166" s="166">
        <f t="shared" si="439"/>
        <v>3.3321517758489648E-2</v>
      </c>
      <c r="BE166" s="166">
        <f t="shared" si="440"/>
        <v>7.2602799459294464E-3</v>
      </c>
      <c r="BF166" s="166">
        <f t="shared" si="441"/>
        <v>2.4293628646582917E-2</v>
      </c>
      <c r="BG166" s="166">
        <f t="shared" si="442"/>
        <v>7.32388138075892E-3</v>
      </c>
      <c r="BH166" s="166">
        <f t="shared" si="443"/>
        <v>1</v>
      </c>
      <c r="BI166" s="166">
        <f t="shared" si="444"/>
        <v>0</v>
      </c>
      <c r="BJ166" s="166" t="str">
        <f t="shared" si="445"/>
        <v/>
      </c>
      <c r="BK166" s="166">
        <f t="shared" si="446"/>
        <v>0.19500997037500056</v>
      </c>
      <c r="BL166" s="166">
        <f t="shared" si="447"/>
        <v>0</v>
      </c>
      <c r="BM166" s="166">
        <f t="shared" si="448"/>
        <v>0</v>
      </c>
      <c r="BN166" s="166">
        <f t="shared" si="449"/>
        <v>0.1537190082644628</v>
      </c>
      <c r="BO166" s="166">
        <f t="shared" si="450"/>
        <v>0</v>
      </c>
      <c r="BP166" s="168">
        <f t="shared" si="451"/>
        <v>0.13963579197789081</v>
      </c>
      <c r="BR166" s="107" t="s">
        <v>392</v>
      </c>
      <c r="BS166" s="166"/>
      <c r="BT166" s="166"/>
      <c r="BU166" s="166"/>
      <c r="BV166" s="166"/>
      <c r="BW166" s="166"/>
      <c r="BX166" s="166"/>
      <c r="BY166" s="166"/>
      <c r="BZ166" s="166"/>
      <c r="CA166" s="166"/>
      <c r="CB166" s="166"/>
      <c r="CC166" s="166"/>
      <c r="CD166" s="166"/>
      <c r="CE166" s="166"/>
      <c r="CF166" s="166"/>
      <c r="CG166" s="168"/>
    </row>
    <row r="167" spans="2:85" x14ac:dyDescent="0.25">
      <c r="B167" s="107" t="s">
        <v>393</v>
      </c>
      <c r="C167" s="160">
        <f>TripMode_input!B139</f>
        <v>4433.9916400000002</v>
      </c>
      <c r="D167" s="160">
        <f>TripMode_input!C139</f>
        <v>0</v>
      </c>
      <c r="E167" s="160">
        <f>TripMode_input!D139</f>
        <v>5715.3997799999997</v>
      </c>
      <c r="F167" s="160">
        <f>TripMode_input!E139</f>
        <v>0</v>
      </c>
      <c r="G167" s="160">
        <f>TripMode_input!F139</f>
        <v>4394.0572300000003</v>
      </c>
      <c r="H167" s="160">
        <f>TripMode_input!G139</f>
        <v>0</v>
      </c>
      <c r="I167" s="160">
        <f>TripMode_input!H139</f>
        <v>0</v>
      </c>
      <c r="J167" s="160">
        <f>TripMode_input!I139</f>
        <v>353472.86736999999</v>
      </c>
      <c r="K167" s="160"/>
      <c r="L167" s="160">
        <f>TripMode_input!K139+TripMode_input!J139</f>
        <v>7076.0287800000006</v>
      </c>
      <c r="M167" s="160">
        <f>TripMode_input!L139</f>
        <v>0</v>
      </c>
      <c r="N167" s="160">
        <f>TripMode_input!M139</f>
        <v>802.04670999999996</v>
      </c>
      <c r="O167" s="160">
        <f>TripMode_input!N139</f>
        <v>88.062920000000005</v>
      </c>
      <c r="P167" s="160">
        <f>TripMode_input!O139</f>
        <v>1280.6207300000001</v>
      </c>
      <c r="Q167" s="162">
        <f t="shared" si="422"/>
        <v>377263.07516000001</v>
      </c>
      <c r="S167" s="107" t="s">
        <v>393</v>
      </c>
      <c r="T167" s="160">
        <f>TripMode_input!R139*Index!$B$2</f>
        <v>0</v>
      </c>
      <c r="U167" s="160">
        <f>TripMode_input!S139*Index!$B$2</f>
        <v>0</v>
      </c>
      <c r="V167" s="160">
        <f>TripMode_input!T139*Index!$B$2</f>
        <v>0</v>
      </c>
      <c r="W167" s="160">
        <f>TripMode_input!U139*Index!$B$2</f>
        <v>0</v>
      </c>
      <c r="X167" s="160">
        <f>TripMode_input!V139*Index!$B$2</f>
        <v>0</v>
      </c>
      <c r="Y167" s="160">
        <f>TripMode_input!W139*Index!$B$2</f>
        <v>0</v>
      </c>
      <c r="Z167" s="160">
        <f>TripMode_input!X139*Index!$B$2</f>
        <v>0</v>
      </c>
      <c r="AA167" s="160">
        <f>TripMode_input!Y139*Index!$B$2</f>
        <v>560610</v>
      </c>
      <c r="AB167" s="160">
        <f>TripMode_input!Z139*Index!$B$2</f>
        <v>0</v>
      </c>
      <c r="AC167" s="160">
        <f>TripMode_input!AA139*Index!$B$2</f>
        <v>0</v>
      </c>
      <c r="AD167" s="160">
        <f>TripMode_input!AB139*Index!$B$2</f>
        <v>0</v>
      </c>
      <c r="AE167" s="160">
        <f>TripMode_input!AC139*Index!$B$2</f>
        <v>0</v>
      </c>
      <c r="AF167" s="160">
        <f>TripMode_input!AD139*Index!$B$2</f>
        <v>0</v>
      </c>
      <c r="AG167" s="160">
        <f>TripMode_input!AE139*Index!$B$2</f>
        <v>0</v>
      </c>
      <c r="AH167" s="162">
        <f t="shared" si="423"/>
        <v>560610</v>
      </c>
      <c r="AJ167" s="107" t="s">
        <v>393</v>
      </c>
      <c r="AK167" s="166">
        <f t="shared" si="454"/>
        <v>3.4572424094261655E-4</v>
      </c>
      <c r="AL167" s="166">
        <f t="shared" si="424"/>
        <v>0</v>
      </c>
      <c r="AM167" s="166">
        <f t="shared" si="425"/>
        <v>1.3266529322848925E-3</v>
      </c>
      <c r="AN167" s="166">
        <f t="shared" si="426"/>
        <v>0</v>
      </c>
      <c r="AO167" s="166">
        <f t="shared" si="427"/>
        <v>1.0403136818087578E-3</v>
      </c>
      <c r="AP167" s="166">
        <f t="shared" si="428"/>
        <v>0</v>
      </c>
      <c r="AQ167" s="166">
        <f t="shared" si="429"/>
        <v>0</v>
      </c>
      <c r="AR167" s="166">
        <f t="shared" si="430"/>
        <v>0.92204947965355211</v>
      </c>
      <c r="AS167" s="166" t="str">
        <f t="shared" si="431"/>
        <v/>
      </c>
      <c r="AT167" s="166">
        <f t="shared" si="432"/>
        <v>4.3397658846521369E-3</v>
      </c>
      <c r="AU167" s="166">
        <f t="shared" si="433"/>
        <v>0</v>
      </c>
      <c r="AV167" s="166">
        <f t="shared" si="434"/>
        <v>1.6733580540275782E-3</v>
      </c>
      <c r="AW167" s="166">
        <f t="shared" si="435"/>
        <v>1.2675514867206551E-3</v>
      </c>
      <c r="AX167" s="166">
        <f t="shared" si="436"/>
        <v>1.0166803013694089E-3</v>
      </c>
      <c r="AY167" s="168">
        <f t="shared" si="437"/>
        <v>1.330527790704937E-2</v>
      </c>
      <c r="BA167" s="107" t="s">
        <v>393</v>
      </c>
      <c r="BB167" s="166">
        <f t="shared" si="455"/>
        <v>0</v>
      </c>
      <c r="BC167" s="166">
        <f t="shared" si="438"/>
        <v>0</v>
      </c>
      <c r="BD167" s="166">
        <f t="shared" si="439"/>
        <v>0</v>
      </c>
      <c r="BE167" s="166">
        <f t="shared" si="440"/>
        <v>0</v>
      </c>
      <c r="BF167" s="166">
        <f t="shared" si="441"/>
        <v>0</v>
      </c>
      <c r="BG167" s="166">
        <f t="shared" si="442"/>
        <v>0</v>
      </c>
      <c r="BH167" s="166">
        <f t="shared" si="443"/>
        <v>0</v>
      </c>
      <c r="BI167" s="166">
        <f t="shared" si="444"/>
        <v>1</v>
      </c>
      <c r="BJ167" s="166" t="str">
        <f t="shared" si="445"/>
        <v/>
      </c>
      <c r="BK167" s="166">
        <f t="shared" si="446"/>
        <v>0</v>
      </c>
      <c r="BL167" s="166">
        <f t="shared" si="447"/>
        <v>0</v>
      </c>
      <c r="BM167" s="166">
        <f t="shared" si="448"/>
        <v>0</v>
      </c>
      <c r="BN167" s="166">
        <f t="shared" si="449"/>
        <v>0</v>
      </c>
      <c r="BO167" s="166">
        <f t="shared" si="450"/>
        <v>0</v>
      </c>
      <c r="BP167" s="168">
        <f t="shared" si="451"/>
        <v>1.5626117114348609E-2</v>
      </c>
      <c r="BR167" s="107" t="s">
        <v>393</v>
      </c>
      <c r="BS167" s="166"/>
      <c r="BT167" s="166"/>
      <c r="BU167" s="166"/>
      <c r="BV167" s="166"/>
      <c r="BW167" s="166"/>
      <c r="BX167" s="166"/>
      <c r="BY167" s="166"/>
      <c r="BZ167" s="166"/>
      <c r="CA167" s="166"/>
      <c r="CB167" s="166"/>
      <c r="CC167" s="166"/>
      <c r="CD167" s="166"/>
      <c r="CE167" s="166"/>
      <c r="CF167" s="166"/>
      <c r="CG167" s="168"/>
    </row>
    <row r="168" spans="2:85" x14ac:dyDescent="0.25">
      <c r="B168" s="107" t="s">
        <v>394</v>
      </c>
      <c r="C168" s="160">
        <f>TripMode_input!B140</f>
        <v>1859.36256</v>
      </c>
      <c r="D168" s="160">
        <f>TripMode_input!C140</f>
        <v>0</v>
      </c>
      <c r="E168" s="160">
        <f>TripMode_input!D140</f>
        <v>845.91886999999997</v>
      </c>
      <c r="F168" s="160">
        <f>TripMode_input!E140</f>
        <v>0</v>
      </c>
      <c r="G168" s="160">
        <f>TripMode_input!F140</f>
        <v>446.57832000000002</v>
      </c>
      <c r="H168" s="160">
        <f>TripMode_input!G140</f>
        <v>0</v>
      </c>
      <c r="I168" s="160">
        <f>TripMode_input!H140</f>
        <v>961.57952</v>
      </c>
      <c r="J168" s="160">
        <f>TripMode_input!I140</f>
        <v>257.36313999999999</v>
      </c>
      <c r="K168" s="160"/>
      <c r="L168" s="160">
        <f>TripMode_input!K140+TripMode_input!J140</f>
        <v>958298.71714999992</v>
      </c>
      <c r="M168" s="160">
        <f>TripMode_input!L140</f>
        <v>50158.194490000002</v>
      </c>
      <c r="N168" s="160">
        <f>TripMode_input!M140</f>
        <v>16341.427820000001</v>
      </c>
      <c r="O168" s="160">
        <f>TripMode_input!N140</f>
        <v>0</v>
      </c>
      <c r="P168" s="160">
        <f>TripMode_input!O140</f>
        <v>5201.0820199999998</v>
      </c>
      <c r="Q168" s="162">
        <f t="shared" si="422"/>
        <v>1034370.2238899999</v>
      </c>
      <c r="S168" s="107" t="s">
        <v>394</v>
      </c>
      <c r="T168" s="160">
        <f>TripMode_input!R140*Index!$B$2</f>
        <v>0</v>
      </c>
      <c r="U168" s="160">
        <f>TripMode_input!S140*Index!$B$2</f>
        <v>0</v>
      </c>
      <c r="V168" s="160">
        <f>TripMode_input!T140*Index!$B$2</f>
        <v>0</v>
      </c>
      <c r="W168" s="160">
        <f>TripMode_input!U140*Index!$B$2</f>
        <v>0</v>
      </c>
      <c r="X168" s="160">
        <f>TripMode_input!V140*Index!$B$2</f>
        <v>0</v>
      </c>
      <c r="Y168" s="160">
        <f>TripMode_input!W140*Index!$B$2</f>
        <v>0</v>
      </c>
      <c r="Z168" s="160">
        <f>TripMode_input!X140*Index!$B$2</f>
        <v>0</v>
      </c>
      <c r="AA168" s="160">
        <f>TripMode_input!Y140*Index!$B$2</f>
        <v>0</v>
      </c>
      <c r="AB168" s="160">
        <f>TripMode_input!Z140*Index!$B$2</f>
        <v>0</v>
      </c>
      <c r="AC168" s="160">
        <f>TripMode_input!AA140*Index!$B$2</f>
        <v>0</v>
      </c>
      <c r="AD168" s="160">
        <f>TripMode_input!AB140*Index!$B$2</f>
        <v>0</v>
      </c>
      <c r="AE168" s="160">
        <f>TripMode_input!AC140*Index!$B$2</f>
        <v>0</v>
      </c>
      <c r="AF168" s="160">
        <f>TripMode_input!AD140*Index!$B$2</f>
        <v>0</v>
      </c>
      <c r="AG168" s="160">
        <f>TripMode_input!AE140*Index!$B$2</f>
        <v>0</v>
      </c>
      <c r="AH168" s="162">
        <f t="shared" si="423"/>
        <v>0</v>
      </c>
      <c r="AJ168" s="107" t="s">
        <v>394</v>
      </c>
      <c r="AK168" s="166">
        <f t="shared" si="454"/>
        <v>1.4497697828160999E-4</v>
      </c>
      <c r="AL168" s="166">
        <f t="shared" si="424"/>
        <v>0</v>
      </c>
      <c r="AM168" s="166">
        <f t="shared" si="425"/>
        <v>1.9635384969704127E-4</v>
      </c>
      <c r="AN168" s="166">
        <f t="shared" si="426"/>
        <v>0</v>
      </c>
      <c r="AO168" s="166">
        <f t="shared" si="427"/>
        <v>1.0572951420006189E-4</v>
      </c>
      <c r="AP168" s="166">
        <f t="shared" si="428"/>
        <v>0</v>
      </c>
      <c r="AQ168" s="166">
        <f t="shared" si="429"/>
        <v>4.6777684137385106E-4</v>
      </c>
      <c r="AR168" s="166">
        <f t="shared" si="430"/>
        <v>6.713430399471294E-4</v>
      </c>
      <c r="AS168" s="166" t="str">
        <f t="shared" si="431"/>
        <v/>
      </c>
      <c r="AT168" s="166">
        <f t="shared" si="432"/>
        <v>0.58772967285662692</v>
      </c>
      <c r="AU168" s="166">
        <f t="shared" si="433"/>
        <v>0.1878066273601311</v>
      </c>
      <c r="AV168" s="166">
        <f t="shared" si="434"/>
        <v>3.4094098904672687E-2</v>
      </c>
      <c r="AW168" s="166">
        <f t="shared" si="435"/>
        <v>0</v>
      </c>
      <c r="AX168" s="166">
        <f t="shared" si="436"/>
        <v>4.129120755011215E-3</v>
      </c>
      <c r="AY168" s="168">
        <f t="shared" si="437"/>
        <v>3.6480069727991574E-2</v>
      </c>
      <c r="BA168" s="107" t="s">
        <v>394</v>
      </c>
      <c r="BB168" s="166">
        <f t="shared" si="455"/>
        <v>0</v>
      </c>
      <c r="BC168" s="166">
        <f t="shared" si="438"/>
        <v>0</v>
      </c>
      <c r="BD168" s="166">
        <f t="shared" si="439"/>
        <v>0</v>
      </c>
      <c r="BE168" s="166">
        <f t="shared" si="440"/>
        <v>0</v>
      </c>
      <c r="BF168" s="166">
        <f t="shared" si="441"/>
        <v>0</v>
      </c>
      <c r="BG168" s="166">
        <f t="shared" si="442"/>
        <v>0</v>
      </c>
      <c r="BH168" s="166">
        <f t="shared" si="443"/>
        <v>0</v>
      </c>
      <c r="BI168" s="166">
        <f t="shared" si="444"/>
        <v>0</v>
      </c>
      <c r="BJ168" s="166" t="str">
        <f t="shared" si="445"/>
        <v/>
      </c>
      <c r="BK168" s="166">
        <f t="shared" si="446"/>
        <v>0</v>
      </c>
      <c r="BL168" s="166">
        <f t="shared" si="447"/>
        <v>0</v>
      </c>
      <c r="BM168" s="166">
        <f t="shared" si="448"/>
        <v>0</v>
      </c>
      <c r="BN168" s="166">
        <f t="shared" si="449"/>
        <v>0</v>
      </c>
      <c r="BO168" s="166">
        <f t="shared" si="450"/>
        <v>0</v>
      </c>
      <c r="BP168" s="168">
        <f t="shared" si="451"/>
        <v>0</v>
      </c>
      <c r="BR168" s="107" t="s">
        <v>394</v>
      </c>
      <c r="BS168" s="166"/>
      <c r="BT168" s="166"/>
      <c r="BU168" s="166"/>
      <c r="BV168" s="166"/>
      <c r="BW168" s="166"/>
      <c r="BX168" s="166"/>
      <c r="BY168" s="166"/>
      <c r="BZ168" s="166"/>
      <c r="CA168" s="166"/>
      <c r="CB168" s="166"/>
      <c r="CC168" s="166"/>
      <c r="CD168" s="166"/>
      <c r="CE168" s="166"/>
      <c r="CF168" s="166"/>
      <c r="CG168" s="168"/>
    </row>
    <row r="169" spans="2:85" x14ac:dyDescent="0.25">
      <c r="B169" s="107" t="s">
        <v>395</v>
      </c>
      <c r="C169" s="160">
        <f>TripMode_input!B141</f>
        <v>733.91264000000001</v>
      </c>
      <c r="D169" s="160">
        <f>TripMode_input!C141</f>
        <v>0</v>
      </c>
      <c r="E169" s="160">
        <f>TripMode_input!D141</f>
        <v>0</v>
      </c>
      <c r="F169" s="160">
        <f>TripMode_input!E141</f>
        <v>0</v>
      </c>
      <c r="G169" s="160">
        <f>TripMode_input!F141</f>
        <v>0</v>
      </c>
      <c r="H169" s="160">
        <f>TripMode_input!G141</f>
        <v>0</v>
      </c>
      <c r="I169" s="160">
        <f>TripMode_input!H141</f>
        <v>0</v>
      </c>
      <c r="J169" s="160">
        <f>TripMode_input!I141</f>
        <v>0</v>
      </c>
      <c r="K169" s="160"/>
      <c r="L169" s="160">
        <f>TripMode_input!K141+TripMode_input!J141</f>
        <v>229028.83377999999</v>
      </c>
      <c r="M169" s="160">
        <f>TripMode_input!L141</f>
        <v>8771.7501799999991</v>
      </c>
      <c r="N169" s="160">
        <f>TripMode_input!M141</f>
        <v>18948.92613</v>
      </c>
      <c r="O169" s="160">
        <f>TripMode_input!N141</f>
        <v>0</v>
      </c>
      <c r="P169" s="160">
        <f>TripMode_input!O141</f>
        <v>0</v>
      </c>
      <c r="Q169" s="162">
        <f t="shared" si="422"/>
        <v>257483.42272999999</v>
      </c>
      <c r="S169" s="107" t="s">
        <v>395</v>
      </c>
      <c r="T169" s="160">
        <f>TripMode_input!R141*Index!$B$2</f>
        <v>0</v>
      </c>
      <c r="U169" s="160">
        <f>TripMode_input!S141*Index!$B$2</f>
        <v>0</v>
      </c>
      <c r="V169" s="160">
        <f>TripMode_input!T141*Index!$B$2</f>
        <v>0</v>
      </c>
      <c r="W169" s="160">
        <f>TripMode_input!U141*Index!$B$2</f>
        <v>0</v>
      </c>
      <c r="X169" s="160">
        <f>TripMode_input!V141*Index!$B$2</f>
        <v>0</v>
      </c>
      <c r="Y169" s="160">
        <f>TripMode_input!W141*Index!$B$2</f>
        <v>0</v>
      </c>
      <c r="Z169" s="160">
        <f>TripMode_input!X141*Index!$B$2</f>
        <v>0</v>
      </c>
      <c r="AA169" s="160">
        <f>TripMode_input!Y141*Index!$B$2</f>
        <v>0</v>
      </c>
      <c r="AB169" s="160">
        <f>TripMode_input!Z141*Index!$B$2</f>
        <v>0</v>
      </c>
      <c r="AC169" s="160">
        <f>TripMode_input!AA141*Index!$B$2</f>
        <v>806355</v>
      </c>
      <c r="AD169" s="160">
        <f>TripMode_input!AB141*Index!$B$2</f>
        <v>0</v>
      </c>
      <c r="AE169" s="160">
        <f>TripMode_input!AC141*Index!$B$2</f>
        <v>0</v>
      </c>
      <c r="AF169" s="160">
        <f>TripMode_input!AD141*Index!$B$2</f>
        <v>0</v>
      </c>
      <c r="AG169" s="160">
        <f>TripMode_input!AE141*Index!$B$2</f>
        <v>0</v>
      </c>
      <c r="AH169" s="162">
        <f t="shared" si="423"/>
        <v>806355</v>
      </c>
      <c r="AJ169" s="107" t="s">
        <v>395</v>
      </c>
      <c r="AK169" s="166">
        <f t="shared" si="454"/>
        <v>5.7224147220582445E-5</v>
      </c>
      <c r="AL169" s="166">
        <f t="shared" si="424"/>
        <v>0</v>
      </c>
      <c r="AM169" s="166">
        <f t="shared" si="425"/>
        <v>0</v>
      </c>
      <c r="AN169" s="166">
        <f t="shared" si="426"/>
        <v>0</v>
      </c>
      <c r="AO169" s="166">
        <f t="shared" si="427"/>
        <v>0</v>
      </c>
      <c r="AP169" s="166">
        <f t="shared" si="428"/>
        <v>0</v>
      </c>
      <c r="AQ169" s="166">
        <f t="shared" si="429"/>
        <v>0</v>
      </c>
      <c r="AR169" s="166">
        <f t="shared" si="430"/>
        <v>0</v>
      </c>
      <c r="AS169" s="166" t="str">
        <f t="shared" si="431"/>
        <v/>
      </c>
      <c r="AT169" s="166">
        <f t="shared" si="432"/>
        <v>0.14046459537437167</v>
      </c>
      <c r="AU169" s="166">
        <f t="shared" si="433"/>
        <v>3.284394173478198E-2</v>
      </c>
      <c r="AV169" s="166">
        <f t="shared" si="434"/>
        <v>3.953427868909172E-2</v>
      </c>
      <c r="AW169" s="166">
        <f t="shared" si="435"/>
        <v>0</v>
      </c>
      <c r="AX169" s="166">
        <f t="shared" si="436"/>
        <v>0</v>
      </c>
      <c r="AY169" s="168">
        <f t="shared" si="437"/>
        <v>9.080900627308883E-3</v>
      </c>
      <c r="BA169" s="107" t="s">
        <v>395</v>
      </c>
      <c r="BB169" s="166">
        <f t="shared" si="455"/>
        <v>0</v>
      </c>
      <c r="BC169" s="166">
        <f t="shared" si="438"/>
        <v>0</v>
      </c>
      <c r="BD169" s="166">
        <f t="shared" si="439"/>
        <v>0</v>
      </c>
      <c r="BE169" s="166">
        <f t="shared" si="440"/>
        <v>0</v>
      </c>
      <c r="BF169" s="166">
        <f t="shared" si="441"/>
        <v>0</v>
      </c>
      <c r="BG169" s="166">
        <f t="shared" si="442"/>
        <v>0</v>
      </c>
      <c r="BH169" s="166">
        <f t="shared" si="443"/>
        <v>0</v>
      </c>
      <c r="BI169" s="166">
        <f t="shared" si="444"/>
        <v>0</v>
      </c>
      <c r="BJ169" s="166" t="str">
        <f t="shared" si="445"/>
        <v/>
      </c>
      <c r="BK169" s="166">
        <f t="shared" si="446"/>
        <v>0.70990390583387986</v>
      </c>
      <c r="BL169" s="166">
        <f t="shared" si="447"/>
        <v>0</v>
      </c>
      <c r="BM169" s="166">
        <f t="shared" si="448"/>
        <v>0</v>
      </c>
      <c r="BN169" s="166">
        <f t="shared" si="449"/>
        <v>0</v>
      </c>
      <c r="BO169" s="166">
        <f t="shared" si="450"/>
        <v>0</v>
      </c>
      <c r="BP169" s="168">
        <f t="shared" si="451"/>
        <v>2.2475870330070053E-2</v>
      </c>
      <c r="BR169" s="107" t="s">
        <v>395</v>
      </c>
      <c r="BS169" s="166">
        <f t="shared" ref="BS169:BS174" si="457">IF(OR(ISNA(AK169),AK169=0,AK169=""),"",(BB169-AK169)/AK169)</f>
        <v>-1</v>
      </c>
      <c r="BT169" s="166" t="str">
        <f t="shared" ref="BT169:BT174" si="458">IF(OR(ISNA(AL169),AL169=0,AL169=""),"",(BC169-AL169)/AL169)</f>
        <v/>
      </c>
      <c r="BU169" s="166" t="str">
        <f t="shared" ref="BU169:BU174" si="459">IF(OR(ISNA(AM169),AM169=0,AM169=""),"",(BD169-AM169)/AM169)</f>
        <v/>
      </c>
      <c r="BV169" s="166" t="str">
        <f t="shared" ref="BV169:BV174" si="460">IF(OR(ISNA(AN169),AN169=0,AN169=""),"",(BE169-AN169)/AN169)</f>
        <v/>
      </c>
      <c r="BW169" s="166"/>
      <c r="BX169" s="166"/>
      <c r="BY169" s="166"/>
      <c r="BZ169" s="166"/>
      <c r="CA169" s="166"/>
      <c r="CB169" s="166">
        <f t="shared" ref="CB169:CB174" si="461">IF(OR(ISNA(AT169),AT169=0,AT169=""),"",(BK169-AT169)/AT169)</f>
        <v>4.0539703897755617</v>
      </c>
      <c r="CC169" s="166">
        <f t="shared" ref="CC169:CC174" si="462">IF(OR(ISNA(AU169),AU169=0,AU169=""),"",(BL169-AU169)/AU169)</f>
        <v>-1</v>
      </c>
      <c r="CD169" s="166">
        <f t="shared" ref="CD169:CD174" si="463">IF(OR(ISNA(AV169),AV169=0,AV169=""),"",(BM169-AV169)/AV169)</f>
        <v>-1</v>
      </c>
      <c r="CE169" s="166" t="str">
        <f t="shared" ref="CE169:CE174" si="464">IF(OR(ISNA(AW169),AW169=0,AW169=""),"",(BN169-AW169)/AW169)</f>
        <v/>
      </c>
      <c r="CF169" s="166" t="str">
        <f t="shared" ref="CF169:CF174" si="465">IF(OR(ISNA(AX169),AX169=0,AX169=""),"",(BO169-AX169)/AX169)</f>
        <v/>
      </c>
      <c r="CG169" s="168">
        <f t="shared" ref="CG169:CG174" si="466">IF(OR(ISNA(AY169),AY169=0,AY169=""),"",(BP169-AY169)/AY169)</f>
        <v>1.4750706182687032</v>
      </c>
    </row>
    <row r="170" spans="2:85" x14ac:dyDescent="0.25">
      <c r="B170" s="107" t="s">
        <v>396</v>
      </c>
      <c r="C170" s="160">
        <f>TripMode_input!B142</f>
        <v>0</v>
      </c>
      <c r="D170" s="160">
        <f>TripMode_input!C142</f>
        <v>0</v>
      </c>
      <c r="E170" s="160">
        <f>TripMode_input!D142</f>
        <v>0</v>
      </c>
      <c r="F170" s="160">
        <f>TripMode_input!E142</f>
        <v>0</v>
      </c>
      <c r="G170" s="160">
        <f>TripMode_input!F142</f>
        <v>446.57832000000002</v>
      </c>
      <c r="H170" s="160">
        <f>TripMode_input!G142</f>
        <v>0</v>
      </c>
      <c r="I170" s="160">
        <f>TripMode_input!H142</f>
        <v>0</v>
      </c>
      <c r="J170" s="160">
        <f>TripMode_input!I142</f>
        <v>0</v>
      </c>
      <c r="K170" s="160"/>
      <c r="L170" s="160">
        <f>TripMode_input!K142+TripMode_input!J142</f>
        <v>1897.4163599999999</v>
      </c>
      <c r="M170" s="160">
        <f>TripMode_input!L142</f>
        <v>90734.311499999996</v>
      </c>
      <c r="N170" s="160">
        <f>TripMode_input!M142</f>
        <v>5372.50857</v>
      </c>
      <c r="O170" s="160">
        <f>TripMode_input!N142</f>
        <v>0</v>
      </c>
      <c r="P170" s="160">
        <f>TripMode_input!O142</f>
        <v>964.85623999999996</v>
      </c>
      <c r="Q170" s="162">
        <f t="shared" si="422"/>
        <v>99415.670989999999</v>
      </c>
      <c r="S170" s="107" t="s">
        <v>396</v>
      </c>
      <c r="T170" s="160">
        <f>TripMode_input!R142*Index!$B$2</f>
        <v>0</v>
      </c>
      <c r="U170" s="160">
        <f>TripMode_input!S142*Index!$B$2</f>
        <v>0</v>
      </c>
      <c r="V170" s="160">
        <f>TripMode_input!T142*Index!$B$2</f>
        <v>0</v>
      </c>
      <c r="W170" s="160">
        <f>TripMode_input!U142*Index!$B$2</f>
        <v>0</v>
      </c>
      <c r="X170" s="160">
        <f>TripMode_input!V142*Index!$B$2</f>
        <v>0</v>
      </c>
      <c r="Y170" s="160">
        <f>TripMode_input!W142*Index!$B$2</f>
        <v>0</v>
      </c>
      <c r="Z170" s="160">
        <f>TripMode_input!X142*Index!$B$2</f>
        <v>0</v>
      </c>
      <c r="AA170" s="160">
        <f>TripMode_input!Y142*Index!$B$2</f>
        <v>0</v>
      </c>
      <c r="AB170" s="160">
        <f>TripMode_input!Z142*Index!$B$2</f>
        <v>0</v>
      </c>
      <c r="AC170" s="160">
        <f>TripMode_input!AA142*Index!$B$2</f>
        <v>0</v>
      </c>
      <c r="AD170" s="160">
        <f>TripMode_input!AB142*Index!$B$2</f>
        <v>38550</v>
      </c>
      <c r="AE170" s="160">
        <f>TripMode_input!AC142*Index!$B$2</f>
        <v>0</v>
      </c>
      <c r="AF170" s="160">
        <f>TripMode_input!AD142*Index!$B$2</f>
        <v>0</v>
      </c>
      <c r="AG170" s="160">
        <f>TripMode_input!AE142*Index!$B$2</f>
        <v>0</v>
      </c>
      <c r="AH170" s="162">
        <f t="shared" si="423"/>
        <v>38550</v>
      </c>
      <c r="AJ170" s="107" t="s">
        <v>396</v>
      </c>
      <c r="AK170" s="166">
        <f t="shared" si="454"/>
        <v>0</v>
      </c>
      <c r="AL170" s="166">
        <f t="shared" si="424"/>
        <v>0</v>
      </c>
      <c r="AM170" s="166">
        <f t="shared" si="425"/>
        <v>0</v>
      </c>
      <c r="AN170" s="166">
        <f t="shared" si="426"/>
        <v>0</v>
      </c>
      <c r="AO170" s="166">
        <f t="shared" si="427"/>
        <v>1.0572951420006189E-4</v>
      </c>
      <c r="AP170" s="166">
        <f t="shared" si="428"/>
        <v>0</v>
      </c>
      <c r="AQ170" s="166">
        <f t="shared" si="429"/>
        <v>0</v>
      </c>
      <c r="AR170" s="166">
        <f t="shared" si="430"/>
        <v>0</v>
      </c>
      <c r="AS170" s="166" t="str">
        <f t="shared" si="431"/>
        <v/>
      </c>
      <c r="AT170" s="166">
        <f t="shared" si="432"/>
        <v>1.163695491372611E-3</v>
      </c>
      <c r="AU170" s="166">
        <f t="shared" si="433"/>
        <v>0.33973521578923477</v>
      </c>
      <c r="AV170" s="166">
        <f t="shared" si="434"/>
        <v>1.1208986177303423E-2</v>
      </c>
      <c r="AW170" s="166">
        <f t="shared" si="435"/>
        <v>0</v>
      </c>
      <c r="AX170" s="166">
        <f t="shared" si="436"/>
        <v>7.6599598138736569E-4</v>
      </c>
      <c r="AY170" s="168">
        <f t="shared" si="437"/>
        <v>3.506182337820225E-3</v>
      </c>
      <c r="BA170" s="107" t="s">
        <v>396</v>
      </c>
      <c r="BB170" s="166">
        <f t="shared" si="455"/>
        <v>0</v>
      </c>
      <c r="BC170" s="166">
        <f t="shared" si="438"/>
        <v>0</v>
      </c>
      <c r="BD170" s="166">
        <f t="shared" si="439"/>
        <v>0</v>
      </c>
      <c r="BE170" s="166">
        <f t="shared" si="440"/>
        <v>0</v>
      </c>
      <c r="BF170" s="166">
        <f t="shared" si="441"/>
        <v>0</v>
      </c>
      <c r="BG170" s="166">
        <f t="shared" si="442"/>
        <v>0</v>
      </c>
      <c r="BH170" s="166">
        <f t="shared" si="443"/>
        <v>0</v>
      </c>
      <c r="BI170" s="166">
        <f t="shared" si="444"/>
        <v>0</v>
      </c>
      <c r="BJ170" s="166" t="str">
        <f t="shared" si="445"/>
        <v/>
      </c>
      <c r="BK170" s="166">
        <f t="shared" si="446"/>
        <v>0</v>
      </c>
      <c r="BL170" s="166">
        <f t="shared" si="447"/>
        <v>1</v>
      </c>
      <c r="BM170" s="166">
        <f t="shared" si="448"/>
        <v>0</v>
      </c>
      <c r="BN170" s="166">
        <f t="shared" si="449"/>
        <v>0</v>
      </c>
      <c r="BO170" s="166">
        <f t="shared" si="450"/>
        <v>0</v>
      </c>
      <c r="BP170" s="168">
        <f t="shared" si="451"/>
        <v>1.0745202810476782E-3</v>
      </c>
      <c r="BR170" s="107" t="s">
        <v>396</v>
      </c>
      <c r="BS170" s="166" t="str">
        <f t="shared" si="457"/>
        <v/>
      </c>
      <c r="BT170" s="166" t="str">
        <f t="shared" si="458"/>
        <v/>
      </c>
      <c r="BU170" s="166" t="str">
        <f t="shared" si="459"/>
        <v/>
      </c>
      <c r="BV170" s="166" t="str">
        <f t="shared" si="460"/>
        <v/>
      </c>
      <c r="BW170" s="166"/>
      <c r="BX170" s="166"/>
      <c r="BY170" s="166"/>
      <c r="BZ170" s="166"/>
      <c r="CA170" s="166"/>
      <c r="CB170" s="166">
        <f t="shared" si="461"/>
        <v>-1</v>
      </c>
      <c r="CC170" s="166">
        <f t="shared" si="462"/>
        <v>1.9434687766380416</v>
      </c>
      <c r="CD170" s="166">
        <f t="shared" si="463"/>
        <v>-1</v>
      </c>
      <c r="CE170" s="166" t="str">
        <f t="shared" si="464"/>
        <v/>
      </c>
      <c r="CF170" s="166">
        <f t="shared" si="465"/>
        <v>-1</v>
      </c>
      <c r="CG170" s="168">
        <f t="shared" si="466"/>
        <v>-0.69353553879468188</v>
      </c>
    </row>
    <row r="171" spans="2:85" x14ac:dyDescent="0.25">
      <c r="B171" s="107" t="s">
        <v>397</v>
      </c>
      <c r="C171" s="160">
        <f>TripMode_input!B143</f>
        <v>0</v>
      </c>
      <c r="D171" s="160">
        <f>TripMode_input!C143</f>
        <v>0</v>
      </c>
      <c r="E171" s="160">
        <f>TripMode_input!D143</f>
        <v>692.68317999999999</v>
      </c>
      <c r="F171" s="160">
        <f>TripMode_input!E143</f>
        <v>0</v>
      </c>
      <c r="G171" s="160">
        <f>TripMode_input!F143</f>
        <v>112.94412</v>
      </c>
      <c r="H171" s="160">
        <f>TripMode_input!G143</f>
        <v>0</v>
      </c>
      <c r="I171" s="160">
        <f>TripMode_input!H143</f>
        <v>0</v>
      </c>
      <c r="J171" s="160">
        <f>TripMode_input!I143</f>
        <v>0</v>
      </c>
      <c r="K171" s="160"/>
      <c r="L171" s="160">
        <f>TripMode_input!K143+TripMode_input!J143</f>
        <v>432.24617000000001</v>
      </c>
      <c r="M171" s="160">
        <f>TripMode_input!L143</f>
        <v>44.190469999999998</v>
      </c>
      <c r="N171" s="160">
        <f>TripMode_input!M143</f>
        <v>268561.74982000003</v>
      </c>
      <c r="O171" s="160">
        <f>TripMode_input!N143</f>
        <v>0</v>
      </c>
      <c r="P171" s="160">
        <f>TripMode_input!O143</f>
        <v>0</v>
      </c>
      <c r="Q171" s="162">
        <f t="shared" si="422"/>
        <v>269843.81376000005</v>
      </c>
      <c r="S171" s="107" t="s">
        <v>397</v>
      </c>
      <c r="T171" s="160">
        <f>TripMode_input!R143*Index!$B$2</f>
        <v>0</v>
      </c>
      <c r="U171" s="160">
        <f>TripMode_input!S143*Index!$B$2</f>
        <v>0</v>
      </c>
      <c r="V171" s="160">
        <f>TripMode_input!T143*Index!$B$2</f>
        <v>0</v>
      </c>
      <c r="W171" s="160">
        <f>TripMode_input!U143*Index!$B$2</f>
        <v>0</v>
      </c>
      <c r="X171" s="160">
        <f>TripMode_input!V143*Index!$B$2</f>
        <v>0</v>
      </c>
      <c r="Y171" s="160">
        <f>TripMode_input!W143*Index!$B$2</f>
        <v>0</v>
      </c>
      <c r="Z171" s="160">
        <f>TripMode_input!X143*Index!$B$2</f>
        <v>0</v>
      </c>
      <c r="AA171" s="160">
        <f>TripMode_input!Y143*Index!$B$2</f>
        <v>0</v>
      </c>
      <c r="AB171" s="160">
        <f>TripMode_input!Z143*Index!$B$2</f>
        <v>0</v>
      </c>
      <c r="AC171" s="160">
        <f>TripMode_input!AA143*Index!$B$2</f>
        <v>0</v>
      </c>
      <c r="AD171" s="160">
        <f>TripMode_input!AB143*Index!$B$2</f>
        <v>0</v>
      </c>
      <c r="AE171" s="160">
        <f>TripMode_input!AC143*Index!$B$2</f>
        <v>73400</v>
      </c>
      <c r="AF171" s="160">
        <f>TripMode_input!AD143*Index!$B$2</f>
        <v>0</v>
      </c>
      <c r="AG171" s="160">
        <f>TripMode_input!AE143*Index!$B$2</f>
        <v>0</v>
      </c>
      <c r="AH171" s="162">
        <f t="shared" si="423"/>
        <v>73400</v>
      </c>
      <c r="AJ171" s="107" t="s">
        <v>397</v>
      </c>
      <c r="AK171" s="166">
        <f t="shared" si="454"/>
        <v>0</v>
      </c>
      <c r="AL171" s="166">
        <f t="shared" si="424"/>
        <v>0</v>
      </c>
      <c r="AM171" s="166">
        <f t="shared" si="425"/>
        <v>1.6078493320924333E-4</v>
      </c>
      <c r="AN171" s="166">
        <f t="shared" si="426"/>
        <v>0</v>
      </c>
      <c r="AO171" s="166">
        <f t="shared" si="427"/>
        <v>2.6740050747097379E-5</v>
      </c>
      <c r="AP171" s="166">
        <f t="shared" si="428"/>
        <v>0</v>
      </c>
      <c r="AQ171" s="166">
        <f t="shared" si="429"/>
        <v>0</v>
      </c>
      <c r="AR171" s="166">
        <f t="shared" si="430"/>
        <v>0</v>
      </c>
      <c r="AS171" s="166" t="str">
        <f t="shared" si="431"/>
        <v/>
      </c>
      <c r="AT171" s="166">
        <f t="shared" si="432"/>
        <v>2.650988627462236E-4</v>
      </c>
      <c r="AU171" s="166">
        <f t="shared" si="433"/>
        <v>1.6546175986884194E-4</v>
      </c>
      <c r="AV171" s="166">
        <f t="shared" si="434"/>
        <v>0.56031645222388182</v>
      </c>
      <c r="AW171" s="166">
        <f t="shared" si="435"/>
        <v>0</v>
      </c>
      <c r="AX171" s="166">
        <f t="shared" si="436"/>
        <v>0</v>
      </c>
      <c r="AY171" s="168">
        <f t="shared" si="437"/>
        <v>9.5168257112153935E-3</v>
      </c>
      <c r="BA171" s="107" t="s">
        <v>397</v>
      </c>
      <c r="BB171" s="166">
        <f t="shared" si="455"/>
        <v>0</v>
      </c>
      <c r="BC171" s="166">
        <f t="shared" si="438"/>
        <v>0</v>
      </c>
      <c r="BD171" s="166">
        <f t="shared" si="439"/>
        <v>0</v>
      </c>
      <c r="BE171" s="166">
        <f t="shared" si="440"/>
        <v>0</v>
      </c>
      <c r="BF171" s="166">
        <f t="shared" si="441"/>
        <v>0</v>
      </c>
      <c r="BG171" s="166">
        <f t="shared" si="442"/>
        <v>0</v>
      </c>
      <c r="BH171" s="166">
        <f t="shared" si="443"/>
        <v>0</v>
      </c>
      <c r="BI171" s="166">
        <f t="shared" si="444"/>
        <v>0</v>
      </c>
      <c r="BJ171" s="166" t="str">
        <f t="shared" si="445"/>
        <v/>
      </c>
      <c r="BK171" s="166">
        <f t="shared" si="446"/>
        <v>0</v>
      </c>
      <c r="BL171" s="166">
        <f t="shared" si="447"/>
        <v>0</v>
      </c>
      <c r="BM171" s="166">
        <f t="shared" si="448"/>
        <v>1</v>
      </c>
      <c r="BN171" s="166">
        <f t="shared" si="449"/>
        <v>0</v>
      </c>
      <c r="BO171" s="166">
        <f t="shared" si="450"/>
        <v>0</v>
      </c>
      <c r="BP171" s="168">
        <f t="shared" si="451"/>
        <v>2.045908913849535E-3</v>
      </c>
      <c r="BR171" s="107" t="s">
        <v>397</v>
      </c>
      <c r="BS171" s="166" t="str">
        <f t="shared" si="457"/>
        <v/>
      </c>
      <c r="BT171" s="166" t="str">
        <f t="shared" si="458"/>
        <v/>
      </c>
      <c r="BU171" s="166">
        <f t="shared" si="459"/>
        <v>-1</v>
      </c>
      <c r="BV171" s="166" t="str">
        <f t="shared" si="460"/>
        <v/>
      </c>
      <c r="BW171" s="166"/>
      <c r="BX171" s="166"/>
      <c r="BY171" s="166"/>
      <c r="BZ171" s="166"/>
      <c r="CA171" s="166"/>
      <c r="CB171" s="166">
        <f t="shared" si="461"/>
        <v>-1</v>
      </c>
      <c r="CC171" s="166">
        <f t="shared" si="462"/>
        <v>-1</v>
      </c>
      <c r="CD171" s="166">
        <f t="shared" si="463"/>
        <v>0.78470576052340657</v>
      </c>
      <c r="CE171" s="166" t="str">
        <f t="shared" si="464"/>
        <v/>
      </c>
      <c r="CF171" s="166" t="str">
        <f t="shared" si="465"/>
        <v/>
      </c>
      <c r="CG171" s="168">
        <f t="shared" si="466"/>
        <v>-0.78502192055083331</v>
      </c>
    </row>
    <row r="172" spans="2:85" x14ac:dyDescent="0.25">
      <c r="B172" s="107" t="s">
        <v>398</v>
      </c>
      <c r="C172" s="160">
        <f>TripMode_input!B144</f>
        <v>2573.1311099999998</v>
      </c>
      <c r="D172" s="160">
        <f>TripMode_input!C144</f>
        <v>87.105360000000005</v>
      </c>
      <c r="E172" s="160">
        <f>TripMode_input!D144</f>
        <v>524.46555999999998</v>
      </c>
      <c r="F172" s="160">
        <f>TripMode_input!E144</f>
        <v>0</v>
      </c>
      <c r="G172" s="160">
        <f>TripMode_input!F144</f>
        <v>0</v>
      </c>
      <c r="H172" s="160">
        <f>TripMode_input!G144</f>
        <v>92.561769999999996</v>
      </c>
      <c r="I172" s="160">
        <f>TripMode_input!H144</f>
        <v>0</v>
      </c>
      <c r="J172" s="160">
        <f>TripMode_input!I144</f>
        <v>0</v>
      </c>
      <c r="K172" s="160"/>
      <c r="L172" s="160">
        <f>TripMode_input!K144+TripMode_input!J144</f>
        <v>14470.462889999999</v>
      </c>
      <c r="M172" s="160">
        <f>TripMode_input!L144</f>
        <v>5653.2170699999997</v>
      </c>
      <c r="N172" s="160">
        <f>TripMode_input!M144</f>
        <v>2531.2458499999998</v>
      </c>
      <c r="O172" s="160">
        <f>TripMode_input!N144</f>
        <v>47562.706749999998</v>
      </c>
      <c r="P172" s="160">
        <f>TripMode_input!O144</f>
        <v>84.101759999999999</v>
      </c>
      <c r="Q172" s="162">
        <f t="shared" si="422"/>
        <v>73578.998120000004</v>
      </c>
      <c r="S172" s="107" t="s">
        <v>398</v>
      </c>
      <c r="T172" s="160">
        <f>TripMode_input!R144*Index!$B$2</f>
        <v>0</v>
      </c>
      <c r="U172" s="160">
        <f>TripMode_input!S144*Index!$B$2</f>
        <v>0</v>
      </c>
      <c r="V172" s="160">
        <f>TripMode_input!T144*Index!$B$2</f>
        <v>0</v>
      </c>
      <c r="W172" s="160">
        <f>TripMode_input!U144*Index!$B$2</f>
        <v>0</v>
      </c>
      <c r="X172" s="160">
        <f>TripMode_input!V144*Index!$B$2</f>
        <v>0</v>
      </c>
      <c r="Y172" s="160">
        <f>TripMode_input!W144*Index!$B$2</f>
        <v>0</v>
      </c>
      <c r="Z172" s="160">
        <f>TripMode_input!X144*Index!$B$2</f>
        <v>0</v>
      </c>
      <c r="AA172" s="160">
        <f>TripMode_input!Y144*Index!$B$2</f>
        <v>0</v>
      </c>
      <c r="AB172" s="160">
        <f>TripMode_input!Z144*Index!$B$2</f>
        <v>0</v>
      </c>
      <c r="AC172" s="160">
        <f>TripMode_input!AA144*Index!$B$2</f>
        <v>36070</v>
      </c>
      <c r="AD172" s="160">
        <f>TripMode_input!AB144*Index!$B$2</f>
        <v>0</v>
      </c>
      <c r="AE172" s="160">
        <f>TripMode_input!AC144*Index!$B$2</f>
        <v>0</v>
      </c>
      <c r="AF172" s="160">
        <f>TripMode_input!AD144*Index!$B$2</f>
        <v>115200</v>
      </c>
      <c r="AG172" s="160">
        <f>TripMode_input!AE144*Index!$B$2</f>
        <v>0</v>
      </c>
      <c r="AH172" s="162">
        <f t="shared" si="423"/>
        <v>151270</v>
      </c>
      <c r="AJ172" s="107" t="s">
        <v>398</v>
      </c>
      <c r="AK172" s="166">
        <f t="shared" si="454"/>
        <v>2.0063046394254867E-4</v>
      </c>
      <c r="AL172" s="166">
        <f t="shared" si="424"/>
        <v>1.309255889200341E-4</v>
      </c>
      <c r="AM172" s="166">
        <f t="shared" si="425"/>
        <v>1.2173842597874023E-4</v>
      </c>
      <c r="AN172" s="166">
        <f t="shared" si="426"/>
        <v>0</v>
      </c>
      <c r="AO172" s="166">
        <f t="shared" si="427"/>
        <v>0</v>
      </c>
      <c r="AP172" s="166">
        <f t="shared" si="428"/>
        <v>1.3014532551304482E-3</v>
      </c>
      <c r="AQ172" s="166">
        <f t="shared" si="429"/>
        <v>0</v>
      </c>
      <c r="AR172" s="166">
        <f t="shared" si="430"/>
        <v>0</v>
      </c>
      <c r="AS172" s="166" t="str">
        <f t="shared" si="431"/>
        <v/>
      </c>
      <c r="AT172" s="166">
        <f t="shared" si="432"/>
        <v>8.8748114426333291E-3</v>
      </c>
      <c r="AU172" s="166">
        <f t="shared" si="433"/>
        <v>2.1167261749485314E-2</v>
      </c>
      <c r="AV172" s="166">
        <f t="shared" si="434"/>
        <v>5.2810897133676706E-3</v>
      </c>
      <c r="AW172" s="166">
        <f t="shared" si="435"/>
        <v>0.68460345913377652</v>
      </c>
      <c r="AX172" s="166">
        <f t="shared" si="436"/>
        <v>6.6768091988092133E-5</v>
      </c>
      <c r="AY172" s="168">
        <f t="shared" si="437"/>
        <v>2.594977040076522E-3</v>
      </c>
      <c r="BA172" s="107" t="s">
        <v>398</v>
      </c>
      <c r="BB172" s="166">
        <f t="shared" si="455"/>
        <v>0</v>
      </c>
      <c r="BC172" s="166">
        <f t="shared" si="438"/>
        <v>0</v>
      </c>
      <c r="BD172" s="166">
        <f t="shared" si="439"/>
        <v>0</v>
      </c>
      <c r="BE172" s="166">
        <f t="shared" si="440"/>
        <v>0</v>
      </c>
      <c r="BF172" s="166">
        <f t="shared" si="441"/>
        <v>0</v>
      </c>
      <c r="BG172" s="166">
        <f t="shared" si="442"/>
        <v>0</v>
      </c>
      <c r="BH172" s="166">
        <f t="shared" si="443"/>
        <v>0</v>
      </c>
      <c r="BI172" s="166">
        <f t="shared" si="444"/>
        <v>0</v>
      </c>
      <c r="BJ172" s="166" t="str">
        <f t="shared" si="445"/>
        <v/>
      </c>
      <c r="BK172" s="166">
        <f t="shared" si="446"/>
        <v>3.1755534328463328E-2</v>
      </c>
      <c r="BL172" s="166">
        <f t="shared" si="447"/>
        <v>0</v>
      </c>
      <c r="BM172" s="166">
        <f t="shared" si="448"/>
        <v>0</v>
      </c>
      <c r="BN172" s="166">
        <f t="shared" si="449"/>
        <v>0.68004722550177099</v>
      </c>
      <c r="BO172" s="166">
        <f t="shared" si="450"/>
        <v>0</v>
      </c>
      <c r="BP172" s="168">
        <f t="shared" si="451"/>
        <v>4.2164120081474004E-3</v>
      </c>
      <c r="BR172" s="107" t="s">
        <v>398</v>
      </c>
      <c r="BS172" s="166">
        <f t="shared" si="457"/>
        <v>-1</v>
      </c>
      <c r="BT172" s="166">
        <f t="shared" si="458"/>
        <v>-1</v>
      </c>
      <c r="BU172" s="166">
        <f t="shared" si="459"/>
        <v>-1</v>
      </c>
      <c r="BV172" s="166" t="str">
        <f t="shared" si="460"/>
        <v/>
      </c>
      <c r="BW172" s="166"/>
      <c r="BX172" s="166"/>
      <c r="BY172" s="166"/>
      <c r="BZ172" s="166"/>
      <c r="CA172" s="166"/>
      <c r="CB172" s="166">
        <f t="shared" si="461"/>
        <v>2.5781643963627516</v>
      </c>
      <c r="CC172" s="166">
        <f t="shared" si="462"/>
        <v>-1</v>
      </c>
      <c r="CD172" s="166">
        <f t="shared" si="463"/>
        <v>-1</v>
      </c>
      <c r="CE172" s="166">
        <f t="shared" si="464"/>
        <v>-6.6552886509958498E-3</v>
      </c>
      <c r="CF172" s="166">
        <f t="shared" si="465"/>
        <v>-1</v>
      </c>
      <c r="CG172" s="168">
        <f t="shared" si="466"/>
        <v>0.62483595925113256</v>
      </c>
    </row>
    <row r="173" spans="2:85" x14ac:dyDescent="0.25">
      <c r="B173" s="107" t="s">
        <v>399</v>
      </c>
      <c r="C173" s="160">
        <f>TripMode_input!B145</f>
        <v>1835.6516200000001</v>
      </c>
      <c r="D173" s="160">
        <f>TripMode_input!C145</f>
        <v>0</v>
      </c>
      <c r="E173" s="160">
        <f>TripMode_input!D145</f>
        <v>1692.41455</v>
      </c>
      <c r="F173" s="160">
        <f>TripMode_input!E145</f>
        <v>0</v>
      </c>
      <c r="G173" s="160">
        <f>TripMode_input!F145</f>
        <v>6195.4983000000002</v>
      </c>
      <c r="H173" s="160">
        <f>TripMode_input!G145</f>
        <v>0</v>
      </c>
      <c r="I173" s="160">
        <f>TripMode_input!H145</f>
        <v>454.25977999999998</v>
      </c>
      <c r="J173" s="160">
        <f>TripMode_input!I145</f>
        <v>0</v>
      </c>
      <c r="K173" s="160"/>
      <c r="L173" s="160">
        <f>TripMode_input!K145+TripMode_input!J145</f>
        <v>0</v>
      </c>
      <c r="M173" s="160">
        <f>TripMode_input!L145</f>
        <v>0</v>
      </c>
      <c r="N173" s="160">
        <f>TripMode_input!M145</f>
        <v>0</v>
      </c>
      <c r="O173" s="160">
        <f>TripMode_input!N145</f>
        <v>0</v>
      </c>
      <c r="P173" s="160">
        <f>TripMode_input!O145</f>
        <v>980705.95206000004</v>
      </c>
      <c r="Q173" s="162">
        <f t="shared" si="422"/>
        <v>990883.77630999999</v>
      </c>
      <c r="S173" s="107" t="s">
        <v>399</v>
      </c>
      <c r="T173" s="160">
        <f>TripMode_input!R145*Index!$B$2</f>
        <v>0</v>
      </c>
      <c r="U173" s="160">
        <f>TripMode_input!S145*Index!$B$2</f>
        <v>0</v>
      </c>
      <c r="V173" s="160">
        <f>TripMode_input!T145*Index!$B$2</f>
        <v>0</v>
      </c>
      <c r="W173" s="160">
        <f>TripMode_input!U145*Index!$B$2</f>
        <v>0</v>
      </c>
      <c r="X173" s="160">
        <f>TripMode_input!V145*Index!$B$2</f>
        <v>0</v>
      </c>
      <c r="Y173" s="160">
        <f>TripMode_input!W145*Index!$B$2</f>
        <v>0</v>
      </c>
      <c r="Z173" s="160">
        <f>TripMode_input!X145*Index!$B$2</f>
        <v>0</v>
      </c>
      <c r="AA173" s="160">
        <f>TripMode_input!Y145*Index!$B$2</f>
        <v>0</v>
      </c>
      <c r="AB173" s="160">
        <f>TripMode_input!Z145*Index!$B$2</f>
        <v>0</v>
      </c>
      <c r="AC173" s="160">
        <f>TripMode_input!AA145*Index!$B$2</f>
        <v>0</v>
      </c>
      <c r="AD173" s="160">
        <f>TripMode_input!AB145*Index!$B$2</f>
        <v>0</v>
      </c>
      <c r="AE173" s="160">
        <f>TripMode_input!AC145*Index!$B$2</f>
        <v>0</v>
      </c>
      <c r="AF173" s="160">
        <f>TripMode_input!AD145*Index!$B$2</f>
        <v>0</v>
      </c>
      <c r="AG173" s="160">
        <f>TripMode_input!AE145*Index!$B$2</f>
        <v>1180550</v>
      </c>
      <c r="AH173" s="162">
        <f t="shared" si="423"/>
        <v>1180550</v>
      </c>
      <c r="AJ173" s="107" t="s">
        <v>399</v>
      </c>
      <c r="AK173" s="166">
        <f t="shared" si="454"/>
        <v>1.431282046710364E-4</v>
      </c>
      <c r="AL173" s="166">
        <f t="shared" si="424"/>
        <v>0</v>
      </c>
      <c r="AM173" s="166">
        <f t="shared" si="425"/>
        <v>3.9284158795959448E-4</v>
      </c>
      <c r="AN173" s="166">
        <f t="shared" si="426"/>
        <v>0</v>
      </c>
      <c r="AO173" s="166">
        <f t="shared" si="427"/>
        <v>1.4668133139251122E-3</v>
      </c>
      <c r="AP173" s="166">
        <f t="shared" si="428"/>
        <v>0</v>
      </c>
      <c r="AQ173" s="166">
        <f t="shared" si="429"/>
        <v>2.2098245712593844E-4</v>
      </c>
      <c r="AR173" s="166">
        <f t="shared" si="430"/>
        <v>0</v>
      </c>
      <c r="AS173" s="166" t="str">
        <f t="shared" si="431"/>
        <v/>
      </c>
      <c r="AT173" s="166">
        <f t="shared" si="432"/>
        <v>0</v>
      </c>
      <c r="AU173" s="166">
        <f t="shared" si="433"/>
        <v>0</v>
      </c>
      <c r="AV173" s="166">
        <f t="shared" si="434"/>
        <v>0</v>
      </c>
      <c r="AW173" s="166">
        <f t="shared" si="435"/>
        <v>0</v>
      </c>
      <c r="AX173" s="166">
        <f t="shared" si="436"/>
        <v>0.778579012144473</v>
      </c>
      <c r="AY173" s="168">
        <f t="shared" si="437"/>
        <v>3.4946393870642307E-2</v>
      </c>
      <c r="BA173" s="107" t="s">
        <v>399</v>
      </c>
      <c r="BB173" s="166">
        <f t="shared" si="455"/>
        <v>0</v>
      </c>
      <c r="BC173" s="166">
        <f t="shared" si="438"/>
        <v>0</v>
      </c>
      <c r="BD173" s="166">
        <f t="shared" si="439"/>
        <v>0</v>
      </c>
      <c r="BE173" s="166">
        <f t="shared" si="440"/>
        <v>0</v>
      </c>
      <c r="BF173" s="166">
        <f t="shared" si="441"/>
        <v>0</v>
      </c>
      <c r="BG173" s="166">
        <f t="shared" si="442"/>
        <v>0</v>
      </c>
      <c r="BH173" s="166">
        <f t="shared" si="443"/>
        <v>0</v>
      </c>
      <c r="BI173" s="166">
        <f t="shared" si="444"/>
        <v>0</v>
      </c>
      <c r="BJ173" s="166" t="str">
        <f t="shared" si="445"/>
        <v/>
      </c>
      <c r="BK173" s="166">
        <f t="shared" si="446"/>
        <v>0</v>
      </c>
      <c r="BL173" s="166">
        <f t="shared" si="447"/>
        <v>0</v>
      </c>
      <c r="BM173" s="166">
        <f t="shared" si="448"/>
        <v>0</v>
      </c>
      <c r="BN173" s="166">
        <f t="shared" si="449"/>
        <v>0</v>
      </c>
      <c r="BO173" s="166">
        <f t="shared" si="450"/>
        <v>1</v>
      </c>
      <c r="BP173" s="168">
        <f t="shared" si="451"/>
        <v>3.2905964145028187E-2</v>
      </c>
      <c r="BR173" s="107" t="s">
        <v>399</v>
      </c>
      <c r="BS173" s="166">
        <f t="shared" si="457"/>
        <v>-1</v>
      </c>
      <c r="BT173" s="166" t="str">
        <f t="shared" si="458"/>
        <v/>
      </c>
      <c r="BU173" s="166">
        <f t="shared" si="459"/>
        <v>-1</v>
      </c>
      <c r="BV173" s="166" t="str">
        <f t="shared" si="460"/>
        <v/>
      </c>
      <c r="BW173" s="166"/>
      <c r="BX173" s="166"/>
      <c r="BY173" s="166"/>
      <c r="BZ173" s="166"/>
      <c r="CA173" s="166"/>
      <c r="CB173" s="166" t="str">
        <f t="shared" si="461"/>
        <v/>
      </c>
      <c r="CC173" s="166" t="str">
        <f t="shared" si="462"/>
        <v/>
      </c>
      <c r="CD173" s="166" t="str">
        <f t="shared" si="463"/>
        <v/>
      </c>
      <c r="CE173" s="166" t="str">
        <f t="shared" si="464"/>
        <v/>
      </c>
      <c r="CF173" s="166">
        <f t="shared" si="465"/>
        <v>0.28439115928087738</v>
      </c>
      <c r="CG173" s="168">
        <f t="shared" si="466"/>
        <v>-5.8387418546445233E-2</v>
      </c>
    </row>
    <row r="174" spans="2:85" ht="15.75" thickBot="1" x14ac:dyDescent="0.3">
      <c r="B174" s="108" t="s">
        <v>29</v>
      </c>
      <c r="C174" s="109">
        <f t="shared" ref="C174:L174" si="467">SUM(C160:C173)</f>
        <v>12825226.336200001</v>
      </c>
      <c r="D174" s="110">
        <f t="shared" si="467"/>
        <v>665304.32071000012</v>
      </c>
      <c r="E174" s="110">
        <f t="shared" si="467"/>
        <v>4308134.8866100004</v>
      </c>
      <c r="F174" s="110">
        <f t="shared" si="467"/>
        <v>115859.8054</v>
      </c>
      <c r="G174" s="110">
        <f t="shared" si="467"/>
        <v>4223781.0641500009</v>
      </c>
      <c r="H174" s="110">
        <f t="shared" si="467"/>
        <v>71121.855230000001</v>
      </c>
      <c r="I174" s="110">
        <f t="shared" si="467"/>
        <v>2055637.2931499998</v>
      </c>
      <c r="J174" s="110">
        <f t="shared" si="467"/>
        <v>383355.63889999996</v>
      </c>
      <c r="K174" s="110">
        <f t="shared" si="467"/>
        <v>0</v>
      </c>
      <c r="L174" s="110">
        <f t="shared" si="467"/>
        <v>1630509.33347</v>
      </c>
      <c r="M174" s="110">
        <f>SUM(M160:M173)</f>
        <v>267073.61287000001</v>
      </c>
      <c r="N174" s="110">
        <f>SUM(N160:N173)</f>
        <v>479303.70196000003</v>
      </c>
      <c r="O174" s="110">
        <f>SUM(O160:O173)</f>
        <v>69474.826799999995</v>
      </c>
      <c r="P174" s="110">
        <f>SUM(P160:P173)</f>
        <v>1259610.0546800001</v>
      </c>
      <c r="Q174" s="112">
        <f>SUM(Q160:Q173)</f>
        <v>28354392.730130002</v>
      </c>
      <c r="S174" s="108" t="s">
        <v>29</v>
      </c>
      <c r="T174" s="109">
        <f t="shared" ref="T174:AC174" si="468">SUM(T160:T173)</f>
        <v>15040650</v>
      </c>
      <c r="U174" s="110">
        <f t="shared" si="468"/>
        <v>1457385</v>
      </c>
      <c r="V174" s="110">
        <f t="shared" si="468"/>
        <v>6262920</v>
      </c>
      <c r="W174" s="110">
        <f t="shared" si="468"/>
        <v>229330</v>
      </c>
      <c r="X174" s="110">
        <f t="shared" si="468"/>
        <v>5120890</v>
      </c>
      <c r="Y174" s="110">
        <f t="shared" si="468"/>
        <v>180915</v>
      </c>
      <c r="Z174" s="110">
        <f t="shared" si="468"/>
        <v>4426010</v>
      </c>
      <c r="AA174" s="110">
        <f t="shared" si="468"/>
        <v>560610</v>
      </c>
      <c r="AB174" s="110">
        <f t="shared" si="468"/>
        <v>0</v>
      </c>
      <c r="AC174" s="110">
        <f t="shared" si="468"/>
        <v>1135865</v>
      </c>
      <c r="AD174" s="110">
        <f>SUM(AD160:AD173)</f>
        <v>38550</v>
      </c>
      <c r="AE174" s="110">
        <f>SUM(AE160:AE173)</f>
        <v>73400</v>
      </c>
      <c r="AF174" s="110">
        <f>SUM(AF160:AF173)</f>
        <v>169400</v>
      </c>
      <c r="AG174" s="110">
        <f>SUM(AG160:AG173)</f>
        <v>1180550</v>
      </c>
      <c r="AH174" s="112">
        <f>SUM(AH160:AH173)</f>
        <v>35876475</v>
      </c>
      <c r="AJ174" s="108" t="s">
        <v>29</v>
      </c>
      <c r="AK174" s="120">
        <f t="shared" si="454"/>
        <v>1</v>
      </c>
      <c r="AL174" s="121">
        <f t="shared" si="424"/>
        <v>1</v>
      </c>
      <c r="AM174" s="121">
        <f t="shared" si="425"/>
        <v>1</v>
      </c>
      <c r="AN174" s="121">
        <f t="shared" si="426"/>
        <v>1</v>
      </c>
      <c r="AO174" s="121">
        <f t="shared" si="427"/>
        <v>1</v>
      </c>
      <c r="AP174" s="121">
        <f t="shared" si="428"/>
        <v>1</v>
      </c>
      <c r="AQ174" s="121">
        <f t="shared" si="429"/>
        <v>1</v>
      </c>
      <c r="AR174" s="121">
        <f t="shared" si="430"/>
        <v>1</v>
      </c>
      <c r="AS174" s="121" t="str">
        <f t="shared" si="431"/>
        <v/>
      </c>
      <c r="AT174" s="121">
        <f t="shared" si="432"/>
        <v>1</v>
      </c>
      <c r="AU174" s="121">
        <f t="shared" si="433"/>
        <v>1</v>
      </c>
      <c r="AV174" s="121">
        <f t="shared" si="434"/>
        <v>1</v>
      </c>
      <c r="AW174" s="121">
        <f t="shared" si="435"/>
        <v>1</v>
      </c>
      <c r="AX174" s="121">
        <f t="shared" si="436"/>
        <v>1</v>
      </c>
      <c r="AY174" s="123">
        <f t="shared" si="437"/>
        <v>1</v>
      </c>
      <c r="BA174" s="108" t="s">
        <v>29</v>
      </c>
      <c r="BB174" s="120">
        <f t="shared" si="455"/>
        <v>1</v>
      </c>
      <c r="BC174" s="121">
        <f t="shared" si="438"/>
        <v>1</v>
      </c>
      <c r="BD174" s="121">
        <f t="shared" si="439"/>
        <v>1</v>
      </c>
      <c r="BE174" s="121">
        <f t="shared" si="440"/>
        <v>1</v>
      </c>
      <c r="BF174" s="121">
        <f t="shared" si="441"/>
        <v>1</v>
      </c>
      <c r="BG174" s="121">
        <f t="shared" si="442"/>
        <v>1</v>
      </c>
      <c r="BH174" s="121">
        <f t="shared" si="443"/>
        <v>1</v>
      </c>
      <c r="BI174" s="121">
        <f t="shared" si="444"/>
        <v>1</v>
      </c>
      <c r="BJ174" s="121" t="str">
        <f t="shared" si="445"/>
        <v/>
      </c>
      <c r="BK174" s="121">
        <f t="shared" si="446"/>
        <v>1</v>
      </c>
      <c r="BL174" s="121">
        <f t="shared" si="447"/>
        <v>1</v>
      </c>
      <c r="BM174" s="121">
        <f t="shared" si="448"/>
        <v>1</v>
      </c>
      <c r="BN174" s="121">
        <f t="shared" si="449"/>
        <v>1</v>
      </c>
      <c r="BO174" s="121">
        <f t="shared" si="450"/>
        <v>1</v>
      </c>
      <c r="BP174" s="123">
        <f t="shared" si="451"/>
        <v>1</v>
      </c>
      <c r="BR174" s="108" t="s">
        <v>29</v>
      </c>
      <c r="BS174" s="120">
        <f t="shared" si="457"/>
        <v>0</v>
      </c>
      <c r="BT174" s="121">
        <f t="shared" si="458"/>
        <v>0</v>
      </c>
      <c r="BU174" s="121">
        <f t="shared" si="459"/>
        <v>0</v>
      </c>
      <c r="BV174" s="121">
        <f t="shared" si="460"/>
        <v>0</v>
      </c>
      <c r="BW174" s="121"/>
      <c r="BX174" s="121"/>
      <c r="BY174" s="121"/>
      <c r="BZ174" s="121"/>
      <c r="CA174" s="121"/>
      <c r="CB174" s="121">
        <f t="shared" si="461"/>
        <v>0</v>
      </c>
      <c r="CC174" s="121">
        <f t="shared" si="462"/>
        <v>0</v>
      </c>
      <c r="CD174" s="121">
        <f t="shared" si="463"/>
        <v>0</v>
      </c>
      <c r="CE174" s="121">
        <f t="shared" si="464"/>
        <v>0</v>
      </c>
      <c r="CF174" s="121">
        <f t="shared" si="465"/>
        <v>0</v>
      </c>
      <c r="CG174" s="123">
        <f t="shared" si="466"/>
        <v>0</v>
      </c>
    </row>
  </sheetData>
  <mergeCells count="53">
    <mergeCell ref="C158:Q158"/>
    <mergeCell ref="T158:AH158"/>
    <mergeCell ref="AK158:AY158"/>
    <mergeCell ref="BB158:BP158"/>
    <mergeCell ref="BS158:CG158"/>
    <mergeCell ref="C141:Q141"/>
    <mergeCell ref="T141:AH141"/>
    <mergeCell ref="AK141:AY141"/>
    <mergeCell ref="BB141:BP141"/>
    <mergeCell ref="BS141:CG141"/>
    <mergeCell ref="C124:Q124"/>
    <mergeCell ref="T124:AH124"/>
    <mergeCell ref="AK124:AY124"/>
    <mergeCell ref="BB124:BP124"/>
    <mergeCell ref="BS124:CG124"/>
    <mergeCell ref="C107:Q107"/>
    <mergeCell ref="T107:AH107"/>
    <mergeCell ref="AK107:AY107"/>
    <mergeCell ref="BB107:BP107"/>
    <mergeCell ref="BS107:CG107"/>
    <mergeCell ref="C90:Q90"/>
    <mergeCell ref="T90:AH90"/>
    <mergeCell ref="AK90:AY90"/>
    <mergeCell ref="BB90:BP90"/>
    <mergeCell ref="BS90:CG90"/>
    <mergeCell ref="C73:Q73"/>
    <mergeCell ref="T73:AH73"/>
    <mergeCell ref="AK73:AY73"/>
    <mergeCell ref="BB73:BP73"/>
    <mergeCell ref="BS73:CG73"/>
    <mergeCell ref="C39:Q39"/>
    <mergeCell ref="T39:AH39"/>
    <mergeCell ref="AK39:AY39"/>
    <mergeCell ref="BB39:BP39"/>
    <mergeCell ref="BS39:CG39"/>
    <mergeCell ref="C22:Q22"/>
    <mergeCell ref="T22:AH22"/>
    <mergeCell ref="AK22:AY22"/>
    <mergeCell ref="BB22:BP22"/>
    <mergeCell ref="BS22:CG22"/>
    <mergeCell ref="B3:AH3"/>
    <mergeCell ref="AJ3:BP3"/>
    <mergeCell ref="BR3:CG3"/>
    <mergeCell ref="BS5:CG5"/>
    <mergeCell ref="BB5:BP5"/>
    <mergeCell ref="AK5:AY5"/>
    <mergeCell ref="T5:AH5"/>
    <mergeCell ref="C5:Q5"/>
    <mergeCell ref="C56:Q56"/>
    <mergeCell ref="T56:AH56"/>
    <mergeCell ref="AK56:AY56"/>
    <mergeCell ref="BB56:BP56"/>
    <mergeCell ref="BS56:CG56"/>
  </mergeCells>
  <hyperlinks>
    <hyperlink ref="A1" location="Index!A1" display="Index"/>
  </hyperlinks>
  <pageMargins left="0.7" right="0.7" top="0.75" bottom="0.75" header="0.3" footer="0.3"/>
  <pageSetup paperSize="0" orientation="portrait" horizontalDpi="0" verticalDpi="0" copie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1"/>
  <dimension ref="A1:AU161"/>
  <sheetViews>
    <sheetView topLeftCell="P118" zoomScale="90" zoomScaleNormal="90" workbookViewId="0">
      <selection activeCell="AG149" sqref="AG149"/>
    </sheetView>
  </sheetViews>
  <sheetFormatPr defaultRowHeight="15" x14ac:dyDescent="0.25"/>
  <cols>
    <col min="2" max="2" width="13.7109375" bestFit="1" customWidth="1"/>
    <col min="3" max="3" width="11.140625" bestFit="1" customWidth="1"/>
    <col min="4" max="4" width="12.5703125" bestFit="1" customWidth="1"/>
    <col min="5" max="5" width="10.140625" bestFit="1" customWidth="1"/>
    <col min="6" max="6" width="12.5703125" bestFit="1" customWidth="1"/>
    <col min="7" max="7" width="10.140625" bestFit="1" customWidth="1"/>
    <col min="8" max="8" width="12.5703125" bestFit="1" customWidth="1"/>
    <col min="9" max="11" width="11.140625" bestFit="1" customWidth="1"/>
    <col min="12" max="12" width="10.140625" bestFit="1" customWidth="1"/>
    <col min="13" max="13" width="11.140625" bestFit="1" customWidth="1"/>
    <col min="14" max="14" width="10.140625" bestFit="1" customWidth="1"/>
    <col min="15" max="15" width="11.140625" bestFit="1" customWidth="1"/>
  </cols>
  <sheetData>
    <row r="1" spans="1:47" x14ac:dyDescent="0.25">
      <c r="A1" t="s">
        <v>191</v>
      </c>
      <c r="Q1" t="s">
        <v>200</v>
      </c>
    </row>
    <row r="2" spans="1:47" x14ac:dyDescent="0.25">
      <c r="A2" t="s">
        <v>4</v>
      </c>
      <c r="Q2" t="s">
        <v>4</v>
      </c>
    </row>
    <row r="3" spans="1:47" x14ac:dyDescent="0.25">
      <c r="B3" t="s">
        <v>208</v>
      </c>
      <c r="C3" t="s">
        <v>209</v>
      </c>
      <c r="D3" t="s">
        <v>210</v>
      </c>
      <c r="E3" t="s">
        <v>211</v>
      </c>
      <c r="F3" t="s">
        <v>212</v>
      </c>
      <c r="G3" t="s">
        <v>213</v>
      </c>
      <c r="H3" t="s">
        <v>214</v>
      </c>
      <c r="I3" t="s">
        <v>215</v>
      </c>
      <c r="J3" t="s">
        <v>216</v>
      </c>
      <c r="K3" t="s">
        <v>400</v>
      </c>
      <c r="L3" t="s">
        <v>401</v>
      </c>
      <c r="M3" t="s">
        <v>402</v>
      </c>
      <c r="N3" t="s">
        <v>403</v>
      </c>
      <c r="O3" t="s">
        <v>404</v>
      </c>
      <c r="R3" t="s">
        <v>208</v>
      </c>
      <c r="S3" t="s">
        <v>209</v>
      </c>
      <c r="T3" t="s">
        <v>210</v>
      </c>
      <c r="U3" t="s">
        <v>211</v>
      </c>
      <c r="V3" t="s">
        <v>212</v>
      </c>
      <c r="W3" t="s">
        <v>213</v>
      </c>
      <c r="X3" t="s">
        <v>214</v>
      </c>
      <c r="Y3" t="s">
        <v>215</v>
      </c>
      <c r="Z3" t="s">
        <v>216</v>
      </c>
      <c r="AA3" t="s">
        <v>400</v>
      </c>
      <c r="AB3" t="s">
        <v>401</v>
      </c>
      <c r="AC3" t="s">
        <v>402</v>
      </c>
      <c r="AD3" t="s">
        <v>403</v>
      </c>
      <c r="AE3" t="s">
        <v>404</v>
      </c>
      <c r="AH3" t="s">
        <v>208</v>
      </c>
      <c r="AI3" t="s">
        <v>209</v>
      </c>
      <c r="AJ3" t="s">
        <v>210</v>
      </c>
      <c r="AK3" t="s">
        <v>211</v>
      </c>
      <c r="AL3" t="s">
        <v>212</v>
      </c>
      <c r="AM3" t="s">
        <v>213</v>
      </c>
      <c r="AN3" t="s">
        <v>214</v>
      </c>
      <c r="AO3" t="s">
        <v>215</v>
      </c>
      <c r="AP3" t="s">
        <v>216</v>
      </c>
      <c r="AQ3" t="s">
        <v>400</v>
      </c>
      <c r="AR3" t="s">
        <v>401</v>
      </c>
      <c r="AS3" t="s">
        <v>402</v>
      </c>
      <c r="AT3" t="s">
        <v>403</v>
      </c>
      <c r="AU3" t="s">
        <v>404</v>
      </c>
    </row>
    <row r="4" spans="1:47" x14ac:dyDescent="0.25">
      <c r="A4">
        <v>1</v>
      </c>
      <c r="B4">
        <v>6534619.2145999996</v>
      </c>
      <c r="C4">
        <v>204740.95705999999</v>
      </c>
      <c r="D4">
        <v>469885.15370000002</v>
      </c>
      <c r="E4">
        <v>13731.41912</v>
      </c>
      <c r="F4">
        <v>270386.03220000002</v>
      </c>
      <c r="G4">
        <v>9625.5622899999998</v>
      </c>
      <c r="H4">
        <v>0</v>
      </c>
      <c r="I4">
        <v>0</v>
      </c>
      <c r="J4">
        <v>6620.3611700000001</v>
      </c>
      <c r="K4">
        <v>289.83724999999998</v>
      </c>
      <c r="L4">
        <v>551.44101999999998</v>
      </c>
      <c r="M4">
        <v>40890.412660000002</v>
      </c>
      <c r="N4">
        <v>3413.74406</v>
      </c>
      <c r="O4">
        <v>2579.07402</v>
      </c>
      <c r="Q4">
        <v>1</v>
      </c>
      <c r="R4">
        <v>1189013</v>
      </c>
      <c r="S4">
        <v>163450</v>
      </c>
      <c r="T4">
        <v>85483</v>
      </c>
      <c r="U4">
        <v>7340</v>
      </c>
      <c r="V4">
        <v>43717</v>
      </c>
      <c r="W4">
        <v>4837</v>
      </c>
      <c r="X4">
        <v>0</v>
      </c>
      <c r="Y4">
        <v>0</v>
      </c>
      <c r="Z4">
        <v>0</v>
      </c>
      <c r="AA4">
        <v>0</v>
      </c>
      <c r="AB4">
        <v>0</v>
      </c>
      <c r="AC4">
        <v>0</v>
      </c>
      <c r="AD4">
        <v>0</v>
      </c>
      <c r="AE4">
        <v>0</v>
      </c>
      <c r="AG4">
        <v>1</v>
      </c>
      <c r="AH4">
        <v>1189013</v>
      </c>
      <c r="AI4">
        <v>163450</v>
      </c>
      <c r="AJ4">
        <v>85483</v>
      </c>
      <c r="AK4">
        <v>7340</v>
      </c>
      <c r="AL4">
        <v>43717</v>
      </c>
      <c r="AM4">
        <v>4837</v>
      </c>
      <c r="AN4">
        <v>0</v>
      </c>
      <c r="AO4">
        <v>0</v>
      </c>
      <c r="AP4">
        <v>0</v>
      </c>
      <c r="AQ4">
        <v>0</v>
      </c>
      <c r="AR4">
        <v>0</v>
      </c>
      <c r="AS4">
        <v>0</v>
      </c>
      <c r="AT4">
        <v>0</v>
      </c>
      <c r="AU4">
        <v>0</v>
      </c>
    </row>
    <row r="5" spans="1:47" x14ac:dyDescent="0.25">
      <c r="A5">
        <v>2</v>
      </c>
      <c r="B5">
        <v>0</v>
      </c>
      <c r="C5">
        <v>295445.98726000002</v>
      </c>
      <c r="D5">
        <v>0</v>
      </c>
      <c r="E5">
        <v>24573.216980000001</v>
      </c>
      <c r="F5">
        <v>0</v>
      </c>
      <c r="G5">
        <v>6618.5677400000004</v>
      </c>
      <c r="H5">
        <v>0</v>
      </c>
      <c r="I5">
        <v>0</v>
      </c>
      <c r="J5">
        <v>0</v>
      </c>
      <c r="K5">
        <v>0</v>
      </c>
      <c r="L5">
        <v>111.87426000000001</v>
      </c>
      <c r="M5">
        <v>4576.2854600000001</v>
      </c>
      <c r="N5">
        <v>391.59858000000003</v>
      </c>
      <c r="O5">
        <v>0</v>
      </c>
      <c r="Q5">
        <v>2</v>
      </c>
      <c r="R5">
        <v>22167</v>
      </c>
      <c r="S5">
        <v>22143</v>
      </c>
      <c r="T5">
        <v>2373</v>
      </c>
      <c r="U5">
        <v>1044</v>
      </c>
      <c r="V5">
        <v>1226</v>
      </c>
      <c r="W5">
        <v>847</v>
      </c>
      <c r="X5">
        <v>0</v>
      </c>
      <c r="Y5">
        <v>0</v>
      </c>
      <c r="Z5">
        <v>0</v>
      </c>
      <c r="AA5">
        <v>0</v>
      </c>
      <c r="AB5">
        <v>0</v>
      </c>
      <c r="AC5">
        <v>0</v>
      </c>
      <c r="AD5">
        <v>0</v>
      </c>
      <c r="AE5">
        <v>0</v>
      </c>
      <c r="AG5">
        <v>2</v>
      </c>
      <c r="AH5">
        <v>22167</v>
      </c>
      <c r="AI5">
        <v>22143</v>
      </c>
      <c r="AJ5">
        <v>2373</v>
      </c>
      <c r="AK5">
        <v>1044</v>
      </c>
      <c r="AL5">
        <v>1226</v>
      </c>
      <c r="AM5">
        <v>847</v>
      </c>
      <c r="AN5">
        <v>0</v>
      </c>
      <c r="AO5">
        <v>0</v>
      </c>
      <c r="AP5">
        <v>0</v>
      </c>
      <c r="AQ5">
        <v>0</v>
      </c>
      <c r="AR5">
        <v>0</v>
      </c>
      <c r="AS5">
        <v>0</v>
      </c>
      <c r="AT5">
        <v>0</v>
      </c>
      <c r="AU5">
        <v>0</v>
      </c>
    </row>
    <row r="6" spans="1:47" x14ac:dyDescent="0.25">
      <c r="A6">
        <v>3</v>
      </c>
      <c r="B6">
        <v>0</v>
      </c>
      <c r="C6">
        <v>0</v>
      </c>
      <c r="D6">
        <v>728374.65420999995</v>
      </c>
      <c r="E6">
        <v>24501.52147</v>
      </c>
      <c r="F6">
        <v>151256.07175999999</v>
      </c>
      <c r="G6">
        <v>2868.9827599999999</v>
      </c>
      <c r="H6">
        <v>0</v>
      </c>
      <c r="I6">
        <v>0</v>
      </c>
      <c r="J6">
        <v>22867.787189999999</v>
      </c>
      <c r="K6">
        <v>4994.5797199999997</v>
      </c>
      <c r="L6">
        <v>27932.028119999999</v>
      </c>
      <c r="M6">
        <v>13512.85871</v>
      </c>
      <c r="N6">
        <v>3330.27954</v>
      </c>
      <c r="O6">
        <v>263.86266000000001</v>
      </c>
      <c r="Q6">
        <v>3</v>
      </c>
      <c r="R6">
        <v>0</v>
      </c>
      <c r="S6">
        <v>0</v>
      </c>
      <c r="T6">
        <v>141623</v>
      </c>
      <c r="U6">
        <v>11631</v>
      </c>
      <c r="V6">
        <v>21589</v>
      </c>
      <c r="W6">
        <v>2032</v>
      </c>
      <c r="X6">
        <v>0</v>
      </c>
      <c r="Y6">
        <v>0</v>
      </c>
      <c r="Z6">
        <v>0</v>
      </c>
      <c r="AA6">
        <v>7021</v>
      </c>
      <c r="AB6">
        <v>0</v>
      </c>
      <c r="AC6">
        <v>0</v>
      </c>
      <c r="AD6">
        <v>889</v>
      </c>
      <c r="AE6">
        <v>0</v>
      </c>
      <c r="AG6">
        <v>3</v>
      </c>
      <c r="AH6">
        <v>0</v>
      </c>
      <c r="AI6">
        <v>0</v>
      </c>
      <c r="AJ6">
        <v>141623</v>
      </c>
      <c r="AK6">
        <v>11631</v>
      </c>
      <c r="AL6">
        <v>21589</v>
      </c>
      <c r="AM6">
        <v>2032</v>
      </c>
      <c r="AN6">
        <v>0</v>
      </c>
      <c r="AO6">
        <v>0</v>
      </c>
      <c r="AP6">
        <v>0</v>
      </c>
      <c r="AQ6">
        <v>7021</v>
      </c>
      <c r="AR6">
        <v>0</v>
      </c>
      <c r="AS6">
        <v>0</v>
      </c>
      <c r="AT6">
        <v>889</v>
      </c>
      <c r="AU6">
        <v>0</v>
      </c>
    </row>
    <row r="7" spans="1:47" x14ac:dyDescent="0.25">
      <c r="A7">
        <v>4</v>
      </c>
      <c r="B7">
        <v>0</v>
      </c>
      <c r="C7">
        <v>0</v>
      </c>
      <c r="D7">
        <v>0</v>
      </c>
      <c r="E7">
        <v>21594.58599</v>
      </c>
      <c r="F7">
        <v>0</v>
      </c>
      <c r="G7">
        <v>1112.6574599999999</v>
      </c>
      <c r="H7">
        <v>0</v>
      </c>
      <c r="I7">
        <v>0</v>
      </c>
      <c r="J7">
        <v>0</v>
      </c>
      <c r="K7">
        <v>0</v>
      </c>
      <c r="L7">
        <v>111.87426000000001</v>
      </c>
      <c r="M7">
        <v>47.197839999999999</v>
      </c>
      <c r="N7">
        <v>0</v>
      </c>
      <c r="O7">
        <v>0</v>
      </c>
      <c r="Q7">
        <v>4</v>
      </c>
      <c r="R7">
        <v>0</v>
      </c>
      <c r="S7">
        <v>0</v>
      </c>
      <c r="T7">
        <v>0</v>
      </c>
      <c r="U7">
        <v>1668</v>
      </c>
      <c r="V7">
        <v>516</v>
      </c>
      <c r="W7">
        <v>338</v>
      </c>
      <c r="X7">
        <v>0</v>
      </c>
      <c r="Y7">
        <v>0</v>
      </c>
      <c r="Z7">
        <v>0</v>
      </c>
      <c r="AA7">
        <v>265</v>
      </c>
      <c r="AB7">
        <v>0</v>
      </c>
      <c r="AC7">
        <v>0</v>
      </c>
      <c r="AD7">
        <v>79</v>
      </c>
      <c r="AE7">
        <v>0</v>
      </c>
      <c r="AG7">
        <v>4</v>
      </c>
      <c r="AH7">
        <v>0</v>
      </c>
      <c r="AI7">
        <v>0</v>
      </c>
      <c r="AJ7">
        <v>0</v>
      </c>
      <c r="AK7">
        <v>1668</v>
      </c>
      <c r="AL7">
        <v>516</v>
      </c>
      <c r="AM7">
        <v>338</v>
      </c>
      <c r="AN7">
        <v>0</v>
      </c>
      <c r="AO7">
        <v>0</v>
      </c>
      <c r="AP7">
        <v>0</v>
      </c>
      <c r="AQ7">
        <v>265</v>
      </c>
      <c r="AR7">
        <v>0</v>
      </c>
      <c r="AS7">
        <v>0</v>
      </c>
      <c r="AT7">
        <v>79</v>
      </c>
      <c r="AU7">
        <v>0</v>
      </c>
    </row>
    <row r="8" spans="1:47" x14ac:dyDescent="0.25">
      <c r="A8">
        <v>5</v>
      </c>
      <c r="B8">
        <v>0</v>
      </c>
      <c r="C8">
        <v>0</v>
      </c>
      <c r="D8">
        <v>0</v>
      </c>
      <c r="E8">
        <v>0</v>
      </c>
      <c r="F8">
        <v>303028.73699</v>
      </c>
      <c r="G8">
        <v>6513.2703099999999</v>
      </c>
      <c r="H8">
        <v>0</v>
      </c>
      <c r="I8">
        <v>0</v>
      </c>
      <c r="J8">
        <v>3587.5202899999999</v>
      </c>
      <c r="K8">
        <v>753.53210999999999</v>
      </c>
      <c r="L8">
        <v>5695.3416800000005</v>
      </c>
      <c r="M8">
        <v>19077.958060000001</v>
      </c>
      <c r="N8">
        <v>750.03156000000001</v>
      </c>
      <c r="O8">
        <v>0</v>
      </c>
      <c r="Q8">
        <v>5</v>
      </c>
      <c r="R8">
        <v>0</v>
      </c>
      <c r="S8">
        <v>0</v>
      </c>
      <c r="T8">
        <v>0</v>
      </c>
      <c r="U8">
        <v>0</v>
      </c>
      <c r="V8">
        <v>46496</v>
      </c>
      <c r="W8">
        <v>4564</v>
      </c>
      <c r="X8">
        <v>0</v>
      </c>
      <c r="Y8">
        <v>0</v>
      </c>
      <c r="Z8">
        <v>0</v>
      </c>
      <c r="AA8">
        <v>801</v>
      </c>
      <c r="AB8">
        <v>0</v>
      </c>
      <c r="AC8">
        <v>0</v>
      </c>
      <c r="AD8">
        <v>262</v>
      </c>
      <c r="AE8">
        <v>0</v>
      </c>
      <c r="AG8">
        <v>5</v>
      </c>
      <c r="AH8">
        <v>0</v>
      </c>
      <c r="AI8">
        <v>0</v>
      </c>
      <c r="AJ8">
        <v>0</v>
      </c>
      <c r="AK8">
        <v>0</v>
      </c>
      <c r="AL8">
        <v>46496</v>
      </c>
      <c r="AM8">
        <v>4564</v>
      </c>
      <c r="AN8">
        <v>0</v>
      </c>
      <c r="AO8">
        <v>0</v>
      </c>
      <c r="AP8">
        <v>0</v>
      </c>
      <c r="AQ8">
        <v>801</v>
      </c>
      <c r="AR8">
        <v>0</v>
      </c>
      <c r="AS8">
        <v>0</v>
      </c>
      <c r="AT8">
        <v>262</v>
      </c>
      <c r="AU8">
        <v>0</v>
      </c>
    </row>
    <row r="9" spans="1:47" x14ac:dyDescent="0.25">
      <c r="A9">
        <v>6</v>
      </c>
      <c r="B9">
        <v>0</v>
      </c>
      <c r="C9">
        <v>0</v>
      </c>
      <c r="D9">
        <v>0</v>
      </c>
      <c r="E9">
        <v>0</v>
      </c>
      <c r="F9">
        <v>0</v>
      </c>
      <c r="G9">
        <v>3994.1701800000001</v>
      </c>
      <c r="H9">
        <v>0</v>
      </c>
      <c r="I9">
        <v>0</v>
      </c>
      <c r="J9">
        <v>0</v>
      </c>
      <c r="K9">
        <v>0</v>
      </c>
      <c r="L9">
        <v>0</v>
      </c>
      <c r="M9">
        <v>0</v>
      </c>
      <c r="N9">
        <v>0</v>
      </c>
      <c r="O9">
        <v>0</v>
      </c>
      <c r="Q9">
        <v>6</v>
      </c>
      <c r="R9">
        <v>0</v>
      </c>
      <c r="S9">
        <v>0</v>
      </c>
      <c r="T9">
        <v>0</v>
      </c>
      <c r="U9">
        <v>0</v>
      </c>
      <c r="V9">
        <v>1087</v>
      </c>
      <c r="W9">
        <v>739</v>
      </c>
      <c r="X9">
        <v>0</v>
      </c>
      <c r="Y9">
        <v>0</v>
      </c>
      <c r="Z9">
        <v>0</v>
      </c>
      <c r="AA9">
        <v>26</v>
      </c>
      <c r="AB9">
        <v>0</v>
      </c>
      <c r="AC9">
        <v>0</v>
      </c>
      <c r="AD9">
        <v>12</v>
      </c>
      <c r="AE9">
        <v>0</v>
      </c>
      <c r="AG9">
        <v>6</v>
      </c>
      <c r="AH9">
        <v>0</v>
      </c>
      <c r="AI9">
        <v>0</v>
      </c>
      <c r="AJ9">
        <v>0</v>
      </c>
      <c r="AK9">
        <v>0</v>
      </c>
      <c r="AL9">
        <v>1087</v>
      </c>
      <c r="AM9">
        <v>739</v>
      </c>
      <c r="AN9">
        <v>0</v>
      </c>
      <c r="AO9">
        <v>0</v>
      </c>
      <c r="AP9">
        <v>0</v>
      </c>
      <c r="AQ9">
        <v>26</v>
      </c>
      <c r="AR9">
        <v>0</v>
      </c>
      <c r="AS9">
        <v>0</v>
      </c>
      <c r="AT9">
        <v>12</v>
      </c>
      <c r="AU9">
        <v>0</v>
      </c>
    </row>
    <row r="10" spans="1:47" x14ac:dyDescent="0.25">
      <c r="A10">
        <v>7</v>
      </c>
      <c r="B10">
        <v>29178.474869999998</v>
      </c>
      <c r="C10">
        <v>3236.31466</v>
      </c>
      <c r="D10">
        <v>40584.579969999999</v>
      </c>
      <c r="E10">
        <v>877.19118000000003</v>
      </c>
      <c r="F10">
        <v>10281.92138</v>
      </c>
      <c r="G10">
        <v>0</v>
      </c>
      <c r="H10">
        <v>199320.90985</v>
      </c>
      <c r="I10">
        <v>6095.9132300000001</v>
      </c>
      <c r="J10">
        <v>95650.152650000004</v>
      </c>
      <c r="K10">
        <v>25598.310509999999</v>
      </c>
      <c r="L10">
        <v>25269.356070000002</v>
      </c>
      <c r="M10">
        <v>15436.0432</v>
      </c>
      <c r="N10">
        <v>2216.5180500000001</v>
      </c>
      <c r="O10">
        <v>1929.7124799999999</v>
      </c>
      <c r="Q10">
        <v>7</v>
      </c>
      <c r="R10">
        <v>0</v>
      </c>
      <c r="S10">
        <v>0</v>
      </c>
      <c r="T10">
        <v>9098</v>
      </c>
      <c r="U10">
        <v>198</v>
      </c>
      <c r="V10">
        <v>2333</v>
      </c>
      <c r="W10">
        <v>157</v>
      </c>
      <c r="X10">
        <v>59601</v>
      </c>
      <c r="Y10">
        <v>0</v>
      </c>
      <c r="Z10">
        <v>0</v>
      </c>
      <c r="AA10">
        <v>28072</v>
      </c>
      <c r="AB10">
        <v>0</v>
      </c>
      <c r="AC10">
        <v>0</v>
      </c>
      <c r="AD10">
        <v>646</v>
      </c>
      <c r="AE10">
        <v>0</v>
      </c>
      <c r="AG10">
        <v>7</v>
      </c>
      <c r="AH10">
        <v>0</v>
      </c>
      <c r="AI10">
        <v>0</v>
      </c>
      <c r="AJ10">
        <v>9098</v>
      </c>
      <c r="AK10">
        <v>198</v>
      </c>
      <c r="AL10">
        <v>2333</v>
      </c>
      <c r="AM10">
        <v>157</v>
      </c>
      <c r="AN10">
        <v>59601</v>
      </c>
      <c r="AO10">
        <v>0</v>
      </c>
      <c r="AP10">
        <v>0</v>
      </c>
      <c r="AQ10">
        <v>28072</v>
      </c>
      <c r="AR10">
        <v>0</v>
      </c>
      <c r="AS10">
        <v>0</v>
      </c>
      <c r="AT10">
        <v>646</v>
      </c>
      <c r="AU10">
        <v>0</v>
      </c>
    </row>
    <row r="11" spans="1:47" x14ac:dyDescent="0.25">
      <c r="A11">
        <v>8</v>
      </c>
      <c r="B11">
        <v>1415.0043599999999</v>
      </c>
      <c r="C11">
        <v>0</v>
      </c>
      <c r="D11">
        <v>796.40845999999999</v>
      </c>
      <c r="E11">
        <v>0</v>
      </c>
      <c r="F11">
        <v>283.27776</v>
      </c>
      <c r="G11">
        <v>0</v>
      </c>
      <c r="H11">
        <v>0</v>
      </c>
      <c r="I11">
        <v>140170.81708000001</v>
      </c>
      <c r="J11">
        <v>2872.0873900000001</v>
      </c>
      <c r="K11">
        <v>813.90976000000001</v>
      </c>
      <c r="L11">
        <v>0</v>
      </c>
      <c r="M11">
        <v>0</v>
      </c>
      <c r="N11">
        <v>0</v>
      </c>
      <c r="O11">
        <v>0</v>
      </c>
      <c r="Q11">
        <v>8</v>
      </c>
      <c r="R11">
        <v>0</v>
      </c>
      <c r="S11">
        <v>0</v>
      </c>
      <c r="T11">
        <v>0</v>
      </c>
      <c r="U11">
        <v>0</v>
      </c>
      <c r="V11">
        <v>0</v>
      </c>
      <c r="W11">
        <v>0</v>
      </c>
      <c r="X11">
        <v>0</v>
      </c>
      <c r="Y11">
        <v>40438</v>
      </c>
      <c r="Z11">
        <v>0</v>
      </c>
      <c r="AA11">
        <v>0</v>
      </c>
      <c r="AB11">
        <v>0</v>
      </c>
      <c r="AC11">
        <v>0</v>
      </c>
      <c r="AD11">
        <v>0</v>
      </c>
      <c r="AE11">
        <v>0</v>
      </c>
      <c r="AG11">
        <v>8</v>
      </c>
      <c r="AH11">
        <v>0</v>
      </c>
      <c r="AI11">
        <v>0</v>
      </c>
      <c r="AJ11">
        <v>0</v>
      </c>
      <c r="AK11">
        <v>0</v>
      </c>
      <c r="AL11">
        <v>0</v>
      </c>
      <c r="AM11">
        <v>0</v>
      </c>
      <c r="AN11">
        <v>0</v>
      </c>
      <c r="AO11">
        <v>40438</v>
      </c>
      <c r="AP11">
        <v>0</v>
      </c>
      <c r="AQ11">
        <v>0</v>
      </c>
      <c r="AR11">
        <v>0</v>
      </c>
      <c r="AS11">
        <v>0</v>
      </c>
      <c r="AT11">
        <v>0</v>
      </c>
      <c r="AU11">
        <v>0</v>
      </c>
    </row>
    <row r="12" spans="1:47" x14ac:dyDescent="0.25">
      <c r="A12">
        <v>9</v>
      </c>
      <c r="B12">
        <v>0</v>
      </c>
      <c r="C12">
        <v>0</v>
      </c>
      <c r="D12">
        <v>0</v>
      </c>
      <c r="E12">
        <v>0</v>
      </c>
      <c r="F12">
        <v>0</v>
      </c>
      <c r="G12">
        <v>0</v>
      </c>
      <c r="H12">
        <v>0</v>
      </c>
      <c r="I12">
        <v>0</v>
      </c>
      <c r="J12">
        <v>468515.64831000002</v>
      </c>
      <c r="K12">
        <v>15489.16599</v>
      </c>
      <c r="L12">
        <v>30375.750410000001</v>
      </c>
      <c r="M12">
        <v>11037.1147</v>
      </c>
      <c r="N12">
        <v>0</v>
      </c>
      <c r="O12">
        <v>0</v>
      </c>
      <c r="Q12">
        <v>9</v>
      </c>
      <c r="R12">
        <v>0</v>
      </c>
      <c r="S12">
        <v>0</v>
      </c>
      <c r="T12">
        <v>0</v>
      </c>
      <c r="U12">
        <v>0</v>
      </c>
      <c r="V12">
        <v>0</v>
      </c>
      <c r="W12">
        <v>0</v>
      </c>
      <c r="X12">
        <v>0</v>
      </c>
      <c r="Y12">
        <v>0</v>
      </c>
      <c r="Z12">
        <v>0</v>
      </c>
      <c r="AA12">
        <v>0</v>
      </c>
      <c r="AB12">
        <v>0</v>
      </c>
      <c r="AC12">
        <v>0</v>
      </c>
      <c r="AD12">
        <v>0</v>
      </c>
      <c r="AE12">
        <v>0</v>
      </c>
      <c r="AG12">
        <v>9</v>
      </c>
      <c r="AH12">
        <v>0</v>
      </c>
      <c r="AI12">
        <v>0</v>
      </c>
      <c r="AJ12">
        <v>0</v>
      </c>
      <c r="AK12">
        <v>0</v>
      </c>
      <c r="AL12">
        <v>0</v>
      </c>
      <c r="AM12">
        <v>0</v>
      </c>
      <c r="AN12">
        <v>0</v>
      </c>
      <c r="AO12">
        <v>0</v>
      </c>
      <c r="AP12">
        <v>0</v>
      </c>
      <c r="AQ12">
        <v>0</v>
      </c>
      <c r="AR12">
        <v>0</v>
      </c>
      <c r="AS12">
        <v>0</v>
      </c>
      <c r="AT12">
        <v>0</v>
      </c>
      <c r="AU12">
        <v>0</v>
      </c>
    </row>
    <row r="13" spans="1:47" x14ac:dyDescent="0.25">
      <c r="A13">
        <v>10</v>
      </c>
      <c r="B13">
        <v>0</v>
      </c>
      <c r="C13">
        <v>0</v>
      </c>
      <c r="D13">
        <v>0</v>
      </c>
      <c r="E13">
        <v>0</v>
      </c>
      <c r="F13">
        <v>0</v>
      </c>
      <c r="G13">
        <v>0</v>
      </c>
      <c r="H13">
        <v>0</v>
      </c>
      <c r="I13">
        <v>0</v>
      </c>
      <c r="J13">
        <v>0</v>
      </c>
      <c r="K13">
        <v>190543.69487000001</v>
      </c>
      <c r="L13">
        <v>7366.5103900000004</v>
      </c>
      <c r="M13">
        <v>11836.12025</v>
      </c>
      <c r="N13">
        <v>0</v>
      </c>
      <c r="O13">
        <v>0</v>
      </c>
      <c r="Q13">
        <v>10</v>
      </c>
      <c r="R13">
        <v>0</v>
      </c>
      <c r="S13">
        <v>0</v>
      </c>
      <c r="T13">
        <v>0</v>
      </c>
      <c r="U13">
        <v>0</v>
      </c>
      <c r="V13">
        <v>0</v>
      </c>
      <c r="W13">
        <v>0</v>
      </c>
      <c r="X13">
        <v>0</v>
      </c>
      <c r="Y13">
        <v>0</v>
      </c>
      <c r="Z13">
        <v>0</v>
      </c>
      <c r="AA13">
        <v>97655</v>
      </c>
      <c r="AB13">
        <v>0</v>
      </c>
      <c r="AC13">
        <v>0</v>
      </c>
      <c r="AD13">
        <v>0</v>
      </c>
      <c r="AE13">
        <v>0</v>
      </c>
      <c r="AG13">
        <v>10</v>
      </c>
      <c r="AH13">
        <v>0</v>
      </c>
      <c r="AI13">
        <v>0</v>
      </c>
      <c r="AJ13">
        <v>0</v>
      </c>
      <c r="AK13">
        <v>0</v>
      </c>
      <c r="AL13">
        <v>0</v>
      </c>
      <c r="AM13">
        <v>0</v>
      </c>
      <c r="AN13">
        <v>0</v>
      </c>
      <c r="AO13">
        <v>0</v>
      </c>
      <c r="AP13">
        <v>0</v>
      </c>
      <c r="AQ13">
        <v>97655</v>
      </c>
      <c r="AR13">
        <v>0</v>
      </c>
      <c r="AS13">
        <v>0</v>
      </c>
      <c r="AT13">
        <v>0</v>
      </c>
      <c r="AU13">
        <v>0</v>
      </c>
    </row>
    <row r="14" spans="1:47" x14ac:dyDescent="0.25">
      <c r="A14">
        <v>11</v>
      </c>
      <c r="B14">
        <v>0</v>
      </c>
      <c r="C14">
        <v>0</v>
      </c>
      <c r="D14">
        <v>0</v>
      </c>
      <c r="E14">
        <v>0</v>
      </c>
      <c r="F14">
        <v>0</v>
      </c>
      <c r="G14">
        <v>0</v>
      </c>
      <c r="H14">
        <v>0</v>
      </c>
      <c r="I14">
        <v>0</v>
      </c>
      <c r="J14">
        <v>0</v>
      </c>
      <c r="K14">
        <v>1429.97849</v>
      </c>
      <c r="L14">
        <v>63455.44687</v>
      </c>
      <c r="M14">
        <v>4443.4950200000003</v>
      </c>
      <c r="N14">
        <v>0</v>
      </c>
      <c r="O14">
        <v>964.85623999999996</v>
      </c>
      <c r="Q14">
        <v>11</v>
      </c>
      <c r="R14">
        <v>0</v>
      </c>
      <c r="S14">
        <v>0</v>
      </c>
      <c r="T14">
        <v>0</v>
      </c>
      <c r="U14">
        <v>0</v>
      </c>
      <c r="V14">
        <v>0</v>
      </c>
      <c r="W14">
        <v>0</v>
      </c>
      <c r="X14">
        <v>0</v>
      </c>
      <c r="Y14">
        <v>0</v>
      </c>
      <c r="Z14">
        <v>0</v>
      </c>
      <c r="AA14">
        <v>0</v>
      </c>
      <c r="AB14">
        <v>4692</v>
      </c>
      <c r="AC14">
        <v>0</v>
      </c>
      <c r="AD14">
        <v>0</v>
      </c>
      <c r="AE14">
        <v>0</v>
      </c>
      <c r="AG14">
        <v>11</v>
      </c>
      <c r="AH14">
        <v>0</v>
      </c>
      <c r="AI14">
        <v>0</v>
      </c>
      <c r="AJ14">
        <v>0</v>
      </c>
      <c r="AK14">
        <v>0</v>
      </c>
      <c r="AL14">
        <v>0</v>
      </c>
      <c r="AM14">
        <v>0</v>
      </c>
      <c r="AN14">
        <v>0</v>
      </c>
      <c r="AO14">
        <v>0</v>
      </c>
      <c r="AP14">
        <v>0</v>
      </c>
      <c r="AQ14">
        <v>0</v>
      </c>
      <c r="AR14">
        <v>4692</v>
      </c>
      <c r="AS14">
        <v>0</v>
      </c>
      <c r="AT14">
        <v>0</v>
      </c>
      <c r="AU14">
        <v>0</v>
      </c>
    </row>
    <row r="15" spans="1:47" x14ac:dyDescent="0.25">
      <c r="A15">
        <v>12</v>
      </c>
      <c r="B15">
        <v>0</v>
      </c>
      <c r="C15">
        <v>0</v>
      </c>
      <c r="D15">
        <v>0</v>
      </c>
      <c r="E15">
        <v>0</v>
      </c>
      <c r="F15">
        <v>0</v>
      </c>
      <c r="G15">
        <v>0</v>
      </c>
      <c r="H15">
        <v>0</v>
      </c>
      <c r="I15">
        <v>0</v>
      </c>
      <c r="J15">
        <v>0</v>
      </c>
      <c r="K15">
        <v>432.24617000000001</v>
      </c>
      <c r="L15">
        <v>0</v>
      </c>
      <c r="M15">
        <v>236533.95782000001</v>
      </c>
      <c r="N15">
        <v>0</v>
      </c>
      <c r="O15">
        <v>0</v>
      </c>
      <c r="Q15">
        <v>12</v>
      </c>
      <c r="R15">
        <v>0</v>
      </c>
      <c r="S15">
        <v>0</v>
      </c>
      <c r="T15">
        <v>0</v>
      </c>
      <c r="U15">
        <v>0</v>
      </c>
      <c r="V15">
        <v>0</v>
      </c>
      <c r="W15">
        <v>0</v>
      </c>
      <c r="X15">
        <v>0</v>
      </c>
      <c r="Y15">
        <v>0</v>
      </c>
      <c r="Z15">
        <v>0</v>
      </c>
      <c r="AA15">
        <v>0</v>
      </c>
      <c r="AB15">
        <v>0</v>
      </c>
      <c r="AC15">
        <v>12148</v>
      </c>
      <c r="AD15">
        <v>0</v>
      </c>
      <c r="AE15">
        <v>0</v>
      </c>
      <c r="AG15">
        <v>12</v>
      </c>
      <c r="AH15">
        <v>0</v>
      </c>
      <c r="AI15">
        <v>0</v>
      </c>
      <c r="AJ15">
        <v>0</v>
      </c>
      <c r="AK15">
        <v>0</v>
      </c>
      <c r="AL15">
        <v>0</v>
      </c>
      <c r="AM15">
        <v>0</v>
      </c>
      <c r="AN15">
        <v>0</v>
      </c>
      <c r="AO15">
        <v>0</v>
      </c>
      <c r="AP15">
        <v>0</v>
      </c>
      <c r="AQ15">
        <v>0</v>
      </c>
      <c r="AR15">
        <v>0</v>
      </c>
      <c r="AS15">
        <v>12148</v>
      </c>
      <c r="AT15">
        <v>0</v>
      </c>
      <c r="AU15">
        <v>0</v>
      </c>
    </row>
    <row r="16" spans="1:47" x14ac:dyDescent="0.25">
      <c r="A16">
        <v>13</v>
      </c>
      <c r="B16">
        <v>0</v>
      </c>
      <c r="C16">
        <v>0</v>
      </c>
      <c r="D16">
        <v>0</v>
      </c>
      <c r="E16">
        <v>0</v>
      </c>
      <c r="F16">
        <v>0</v>
      </c>
      <c r="G16">
        <v>0</v>
      </c>
      <c r="H16">
        <v>0</v>
      </c>
      <c r="I16">
        <v>0</v>
      </c>
      <c r="J16">
        <v>5452.3011500000002</v>
      </c>
      <c r="K16">
        <v>1179.5942299999999</v>
      </c>
      <c r="L16">
        <v>4519.8355199999996</v>
      </c>
      <c r="M16">
        <v>1205.6579899999999</v>
      </c>
      <c r="N16">
        <v>11158.036340000001</v>
      </c>
      <c r="O16">
        <v>0</v>
      </c>
      <c r="Q16">
        <v>13</v>
      </c>
      <c r="R16">
        <v>0</v>
      </c>
      <c r="S16">
        <v>0</v>
      </c>
      <c r="T16">
        <v>0</v>
      </c>
      <c r="U16">
        <v>0</v>
      </c>
      <c r="V16">
        <v>0</v>
      </c>
      <c r="W16">
        <v>0</v>
      </c>
      <c r="X16">
        <v>0</v>
      </c>
      <c r="Y16">
        <v>0</v>
      </c>
      <c r="Z16">
        <v>0</v>
      </c>
      <c r="AA16">
        <v>1704</v>
      </c>
      <c r="AB16">
        <v>0</v>
      </c>
      <c r="AC16">
        <v>0</v>
      </c>
      <c r="AD16">
        <v>3533</v>
      </c>
      <c r="AE16">
        <v>0</v>
      </c>
      <c r="AG16">
        <v>13</v>
      </c>
      <c r="AH16">
        <v>0</v>
      </c>
      <c r="AI16">
        <v>0</v>
      </c>
      <c r="AJ16">
        <v>0</v>
      </c>
      <c r="AK16">
        <v>0</v>
      </c>
      <c r="AL16">
        <v>0</v>
      </c>
      <c r="AM16">
        <v>0</v>
      </c>
      <c r="AN16">
        <v>0</v>
      </c>
      <c r="AO16">
        <v>0</v>
      </c>
      <c r="AP16">
        <v>0</v>
      </c>
      <c r="AQ16">
        <v>1704</v>
      </c>
      <c r="AR16">
        <v>0</v>
      </c>
      <c r="AS16">
        <v>0</v>
      </c>
      <c r="AT16">
        <v>3533</v>
      </c>
      <c r="AU16">
        <v>0</v>
      </c>
    </row>
    <row r="17" spans="1:47" x14ac:dyDescent="0.25">
      <c r="A17">
        <v>14</v>
      </c>
      <c r="B17">
        <v>0</v>
      </c>
      <c r="C17">
        <v>0</v>
      </c>
      <c r="D17">
        <v>0</v>
      </c>
      <c r="E17">
        <v>0</v>
      </c>
      <c r="F17">
        <v>0</v>
      </c>
      <c r="G17">
        <v>0</v>
      </c>
      <c r="H17">
        <v>0</v>
      </c>
      <c r="I17">
        <v>0</v>
      </c>
      <c r="J17">
        <v>0</v>
      </c>
      <c r="K17">
        <v>0</v>
      </c>
      <c r="L17">
        <v>0</v>
      </c>
      <c r="M17">
        <v>0</v>
      </c>
      <c r="N17">
        <v>0</v>
      </c>
      <c r="O17">
        <v>7758.3350600000003</v>
      </c>
      <c r="Q17">
        <v>14</v>
      </c>
      <c r="R17">
        <v>0</v>
      </c>
      <c r="S17">
        <v>0</v>
      </c>
      <c r="T17">
        <v>0</v>
      </c>
      <c r="U17">
        <v>0</v>
      </c>
      <c r="V17">
        <v>0</v>
      </c>
      <c r="W17">
        <v>0</v>
      </c>
      <c r="X17">
        <v>0</v>
      </c>
      <c r="Y17">
        <v>0</v>
      </c>
      <c r="Z17">
        <v>0</v>
      </c>
      <c r="AA17">
        <v>0</v>
      </c>
      <c r="AB17">
        <v>0</v>
      </c>
      <c r="AC17">
        <v>0</v>
      </c>
      <c r="AD17">
        <v>0</v>
      </c>
      <c r="AE17">
        <v>0</v>
      </c>
      <c r="AG17">
        <v>14</v>
      </c>
      <c r="AH17">
        <v>0</v>
      </c>
      <c r="AI17">
        <v>0</v>
      </c>
      <c r="AJ17">
        <v>0</v>
      </c>
      <c r="AK17">
        <v>0</v>
      </c>
      <c r="AL17">
        <v>0</v>
      </c>
      <c r="AM17">
        <v>0</v>
      </c>
      <c r="AN17">
        <v>0</v>
      </c>
      <c r="AO17">
        <v>0</v>
      </c>
      <c r="AP17">
        <v>0</v>
      </c>
      <c r="AQ17">
        <v>0</v>
      </c>
      <c r="AR17">
        <v>0</v>
      </c>
      <c r="AS17">
        <v>0</v>
      </c>
      <c r="AT17">
        <v>0</v>
      </c>
      <c r="AU17">
        <v>0</v>
      </c>
    </row>
    <row r="18" spans="1:47" x14ac:dyDescent="0.25">
      <c r="A18" t="s">
        <v>189</v>
      </c>
      <c r="Q18" t="s">
        <v>189</v>
      </c>
    </row>
    <row r="19" spans="1:47" x14ac:dyDescent="0.25">
      <c r="B19" t="s">
        <v>208</v>
      </c>
      <c r="C19" t="s">
        <v>209</v>
      </c>
      <c r="D19" t="s">
        <v>210</v>
      </c>
      <c r="E19" t="s">
        <v>211</v>
      </c>
      <c r="F19" t="s">
        <v>212</v>
      </c>
      <c r="G19" t="s">
        <v>213</v>
      </c>
      <c r="H19" t="s">
        <v>214</v>
      </c>
      <c r="I19" t="s">
        <v>215</v>
      </c>
      <c r="J19" t="s">
        <v>216</v>
      </c>
      <c r="K19" t="s">
        <v>400</v>
      </c>
      <c r="L19" t="s">
        <v>401</v>
      </c>
      <c r="M19" t="s">
        <v>402</v>
      </c>
      <c r="N19" t="s">
        <v>403</v>
      </c>
      <c r="O19" t="s">
        <v>404</v>
      </c>
      <c r="R19" t="s">
        <v>208</v>
      </c>
      <c r="S19" t="s">
        <v>209</v>
      </c>
      <c r="T19" t="s">
        <v>210</v>
      </c>
      <c r="U19" t="s">
        <v>211</v>
      </c>
      <c r="V19" t="s">
        <v>212</v>
      </c>
      <c r="W19" t="s">
        <v>213</v>
      </c>
      <c r="X19" t="s">
        <v>214</v>
      </c>
      <c r="Y19" t="s">
        <v>215</v>
      </c>
      <c r="Z19" t="s">
        <v>216</v>
      </c>
      <c r="AA19" t="s">
        <v>400</v>
      </c>
      <c r="AB19" t="s">
        <v>401</v>
      </c>
      <c r="AC19" t="s">
        <v>402</v>
      </c>
      <c r="AD19" t="s">
        <v>403</v>
      </c>
      <c r="AE19" t="s">
        <v>404</v>
      </c>
      <c r="AG19" s="157"/>
      <c r="AH19" t="s">
        <v>208</v>
      </c>
      <c r="AI19" t="s">
        <v>209</v>
      </c>
      <c r="AJ19" t="s">
        <v>210</v>
      </c>
      <c r="AK19" t="s">
        <v>211</v>
      </c>
      <c r="AL19" t="s">
        <v>212</v>
      </c>
      <c r="AM19" t="s">
        <v>213</v>
      </c>
      <c r="AN19" t="s">
        <v>214</v>
      </c>
      <c r="AO19" t="s">
        <v>215</v>
      </c>
      <c r="AP19" t="s">
        <v>216</v>
      </c>
      <c r="AQ19" t="s">
        <v>400</v>
      </c>
      <c r="AR19" t="s">
        <v>401</v>
      </c>
      <c r="AS19" t="s">
        <v>402</v>
      </c>
      <c r="AT19" t="s">
        <v>403</v>
      </c>
      <c r="AU19" t="s">
        <v>404</v>
      </c>
    </row>
    <row r="20" spans="1:47" x14ac:dyDescent="0.25">
      <c r="A20">
        <v>1</v>
      </c>
      <c r="B20">
        <v>192682.14715999999</v>
      </c>
      <c r="C20">
        <v>4659.2815199999995</v>
      </c>
      <c r="D20">
        <v>5200.58565</v>
      </c>
      <c r="E20">
        <v>2227.6537499999999</v>
      </c>
      <c r="F20">
        <v>3607.6983</v>
      </c>
      <c r="G20">
        <v>0</v>
      </c>
      <c r="H20">
        <v>0</v>
      </c>
      <c r="I20">
        <v>0</v>
      </c>
      <c r="J20">
        <v>0</v>
      </c>
      <c r="K20">
        <v>0</v>
      </c>
      <c r="L20">
        <v>0</v>
      </c>
      <c r="M20">
        <v>1409.99953</v>
      </c>
      <c r="N20">
        <v>0</v>
      </c>
      <c r="O20">
        <v>0</v>
      </c>
      <c r="Q20">
        <v>1</v>
      </c>
      <c r="R20">
        <v>20843</v>
      </c>
      <c r="S20">
        <v>3290</v>
      </c>
      <c r="T20">
        <v>1870</v>
      </c>
      <c r="U20">
        <v>175</v>
      </c>
      <c r="V20">
        <v>637</v>
      </c>
      <c r="W20">
        <v>74</v>
      </c>
      <c r="X20">
        <v>0</v>
      </c>
      <c r="Y20">
        <v>0</v>
      </c>
      <c r="Z20">
        <v>0</v>
      </c>
      <c r="AA20">
        <v>0</v>
      </c>
      <c r="AB20">
        <v>0</v>
      </c>
      <c r="AC20">
        <v>0</v>
      </c>
      <c r="AD20">
        <v>0</v>
      </c>
      <c r="AE20">
        <v>0</v>
      </c>
      <c r="AG20" s="157">
        <v>1</v>
      </c>
      <c r="AH20">
        <v>20843</v>
      </c>
      <c r="AI20">
        <v>3290</v>
      </c>
      <c r="AJ20">
        <v>1870</v>
      </c>
      <c r="AK20">
        <v>175</v>
      </c>
      <c r="AL20">
        <v>637</v>
      </c>
      <c r="AM20">
        <v>74</v>
      </c>
      <c r="AN20">
        <v>0</v>
      </c>
      <c r="AO20">
        <v>0</v>
      </c>
      <c r="AP20">
        <v>0</v>
      </c>
      <c r="AQ20">
        <v>0</v>
      </c>
      <c r="AR20">
        <v>0</v>
      </c>
      <c r="AS20">
        <v>0</v>
      </c>
      <c r="AT20">
        <v>0</v>
      </c>
      <c r="AU20">
        <v>0</v>
      </c>
    </row>
    <row r="21" spans="1:47" x14ac:dyDescent="0.25">
      <c r="A21">
        <v>2</v>
      </c>
      <c r="B21">
        <v>0</v>
      </c>
      <c r="C21">
        <v>7141.0950899999998</v>
      </c>
      <c r="D21">
        <v>0</v>
      </c>
      <c r="E21">
        <v>742.55124999999998</v>
      </c>
      <c r="F21">
        <v>0</v>
      </c>
      <c r="G21">
        <v>1059.8390400000001</v>
      </c>
      <c r="H21">
        <v>0</v>
      </c>
      <c r="I21">
        <v>0</v>
      </c>
      <c r="J21">
        <v>0</v>
      </c>
      <c r="K21">
        <v>0</v>
      </c>
      <c r="L21">
        <v>0</v>
      </c>
      <c r="M21">
        <v>493.64591999999999</v>
      </c>
      <c r="N21">
        <v>0</v>
      </c>
      <c r="O21">
        <v>0</v>
      </c>
      <c r="Q21">
        <v>2</v>
      </c>
      <c r="R21">
        <v>553</v>
      </c>
      <c r="S21">
        <v>763</v>
      </c>
      <c r="T21">
        <v>73</v>
      </c>
      <c r="U21">
        <v>36</v>
      </c>
      <c r="V21">
        <v>26</v>
      </c>
      <c r="W21">
        <v>12</v>
      </c>
      <c r="X21">
        <v>0</v>
      </c>
      <c r="Y21">
        <v>0</v>
      </c>
      <c r="Z21">
        <v>0</v>
      </c>
      <c r="AA21">
        <v>0</v>
      </c>
      <c r="AB21">
        <v>0</v>
      </c>
      <c r="AC21">
        <v>0</v>
      </c>
      <c r="AD21">
        <v>0</v>
      </c>
      <c r="AE21">
        <v>0</v>
      </c>
      <c r="AG21" s="157">
        <v>2</v>
      </c>
      <c r="AH21">
        <v>553</v>
      </c>
      <c r="AI21">
        <v>763</v>
      </c>
      <c r="AJ21">
        <v>73</v>
      </c>
      <c r="AK21">
        <v>36</v>
      </c>
      <c r="AL21">
        <v>26</v>
      </c>
      <c r="AM21">
        <v>12</v>
      </c>
      <c r="AN21">
        <v>0</v>
      </c>
      <c r="AO21">
        <v>0</v>
      </c>
      <c r="AP21">
        <v>0</v>
      </c>
      <c r="AQ21">
        <v>0</v>
      </c>
      <c r="AR21">
        <v>0</v>
      </c>
      <c r="AS21">
        <v>0</v>
      </c>
      <c r="AT21">
        <v>0</v>
      </c>
      <c r="AU21">
        <v>0</v>
      </c>
    </row>
    <row r="22" spans="1:47" x14ac:dyDescent="0.25">
      <c r="A22">
        <v>3</v>
      </c>
      <c r="B22">
        <v>0</v>
      </c>
      <c r="C22">
        <v>0</v>
      </c>
      <c r="D22">
        <v>57976.7111</v>
      </c>
      <c r="E22">
        <v>753.80551000000003</v>
      </c>
      <c r="F22">
        <v>4008.43271</v>
      </c>
      <c r="G22">
        <v>1059.8390400000001</v>
      </c>
      <c r="H22">
        <v>0</v>
      </c>
      <c r="I22">
        <v>0</v>
      </c>
      <c r="J22">
        <v>931.28814999999997</v>
      </c>
      <c r="K22">
        <v>0</v>
      </c>
      <c r="L22">
        <v>2036.0218299999999</v>
      </c>
      <c r="M22">
        <v>1535.14058</v>
      </c>
      <c r="N22">
        <v>0</v>
      </c>
      <c r="O22">
        <v>130.67189999999999</v>
      </c>
      <c r="Q22">
        <v>3</v>
      </c>
      <c r="R22">
        <v>0</v>
      </c>
      <c r="S22">
        <v>0</v>
      </c>
      <c r="T22">
        <v>5607</v>
      </c>
      <c r="U22">
        <v>513</v>
      </c>
      <c r="V22">
        <v>141</v>
      </c>
      <c r="W22">
        <v>15</v>
      </c>
      <c r="X22">
        <v>0</v>
      </c>
      <c r="Y22">
        <v>0</v>
      </c>
      <c r="Z22">
        <v>0</v>
      </c>
      <c r="AA22">
        <v>215</v>
      </c>
      <c r="AB22">
        <v>0</v>
      </c>
      <c r="AC22">
        <v>0</v>
      </c>
      <c r="AD22">
        <v>1151</v>
      </c>
      <c r="AE22">
        <v>0</v>
      </c>
      <c r="AG22" s="157">
        <v>3</v>
      </c>
      <c r="AH22">
        <v>0</v>
      </c>
      <c r="AI22">
        <v>0</v>
      </c>
      <c r="AJ22">
        <v>5607</v>
      </c>
      <c r="AK22">
        <v>513</v>
      </c>
      <c r="AL22">
        <v>141</v>
      </c>
      <c r="AM22">
        <v>15</v>
      </c>
      <c r="AN22">
        <v>0</v>
      </c>
      <c r="AO22">
        <v>0</v>
      </c>
      <c r="AP22">
        <v>0</v>
      </c>
      <c r="AQ22">
        <v>215</v>
      </c>
      <c r="AR22">
        <v>0</v>
      </c>
      <c r="AS22">
        <v>0</v>
      </c>
      <c r="AT22">
        <v>1151</v>
      </c>
      <c r="AU22">
        <v>0</v>
      </c>
    </row>
    <row r="23" spans="1:47" x14ac:dyDescent="0.25">
      <c r="A23">
        <v>4</v>
      </c>
      <c r="B23">
        <v>0</v>
      </c>
      <c r="C23">
        <v>0</v>
      </c>
      <c r="D23">
        <v>0</v>
      </c>
      <c r="E23">
        <v>22.508520000000001</v>
      </c>
      <c r="F23">
        <v>0</v>
      </c>
      <c r="G23">
        <v>0</v>
      </c>
      <c r="H23">
        <v>0</v>
      </c>
      <c r="I23">
        <v>0</v>
      </c>
      <c r="J23">
        <v>0</v>
      </c>
      <c r="K23">
        <v>0</v>
      </c>
      <c r="L23">
        <v>0</v>
      </c>
      <c r="M23">
        <v>0</v>
      </c>
      <c r="N23">
        <v>0</v>
      </c>
      <c r="O23">
        <v>0</v>
      </c>
      <c r="Q23">
        <v>4</v>
      </c>
      <c r="R23">
        <v>0</v>
      </c>
      <c r="S23">
        <v>0</v>
      </c>
      <c r="T23">
        <v>218</v>
      </c>
      <c r="U23">
        <v>132</v>
      </c>
      <c r="V23">
        <v>9</v>
      </c>
      <c r="W23">
        <v>1</v>
      </c>
      <c r="X23">
        <v>0</v>
      </c>
      <c r="Y23">
        <v>0</v>
      </c>
      <c r="Z23">
        <v>0</v>
      </c>
      <c r="AA23">
        <v>4</v>
      </c>
      <c r="AB23">
        <v>0</v>
      </c>
      <c r="AC23">
        <v>0</v>
      </c>
      <c r="AD23">
        <v>119</v>
      </c>
      <c r="AE23">
        <v>0</v>
      </c>
      <c r="AG23" s="157">
        <v>4</v>
      </c>
      <c r="AH23">
        <v>0</v>
      </c>
      <c r="AI23">
        <v>0</v>
      </c>
      <c r="AJ23">
        <v>218</v>
      </c>
      <c r="AK23">
        <v>132</v>
      </c>
      <c r="AL23">
        <v>9</v>
      </c>
      <c r="AM23">
        <v>1</v>
      </c>
      <c r="AN23">
        <v>0</v>
      </c>
      <c r="AO23">
        <v>0</v>
      </c>
      <c r="AP23">
        <v>0</v>
      </c>
      <c r="AQ23">
        <v>4</v>
      </c>
      <c r="AR23">
        <v>0</v>
      </c>
      <c r="AS23">
        <v>0</v>
      </c>
      <c r="AT23">
        <v>119</v>
      </c>
      <c r="AU23">
        <v>0</v>
      </c>
    </row>
    <row r="24" spans="1:47" x14ac:dyDescent="0.25">
      <c r="A24">
        <v>5</v>
      </c>
      <c r="B24">
        <v>0</v>
      </c>
      <c r="C24">
        <v>0</v>
      </c>
      <c r="D24">
        <v>0</v>
      </c>
      <c r="E24">
        <v>0</v>
      </c>
      <c r="F24">
        <v>7464.2771199999997</v>
      </c>
      <c r="G24">
        <v>1059.8390400000001</v>
      </c>
      <c r="H24">
        <v>0</v>
      </c>
      <c r="I24">
        <v>0</v>
      </c>
      <c r="J24">
        <v>169.00756000000001</v>
      </c>
      <c r="K24">
        <v>0</v>
      </c>
      <c r="L24">
        <v>307.89276999999998</v>
      </c>
      <c r="M24">
        <v>851.58442000000002</v>
      </c>
      <c r="N24">
        <v>0</v>
      </c>
      <c r="O24">
        <v>0</v>
      </c>
      <c r="Q24">
        <v>5</v>
      </c>
      <c r="R24">
        <v>0</v>
      </c>
      <c r="S24">
        <v>0</v>
      </c>
      <c r="T24">
        <v>0</v>
      </c>
      <c r="U24">
        <v>0</v>
      </c>
      <c r="V24">
        <v>638</v>
      </c>
      <c r="W24">
        <v>72</v>
      </c>
      <c r="X24">
        <v>0</v>
      </c>
      <c r="Y24">
        <v>0</v>
      </c>
      <c r="Z24">
        <v>0</v>
      </c>
      <c r="AA24">
        <v>30</v>
      </c>
      <c r="AB24">
        <v>0</v>
      </c>
      <c r="AC24">
        <v>0</v>
      </c>
      <c r="AD24">
        <v>1151</v>
      </c>
      <c r="AE24">
        <v>0</v>
      </c>
      <c r="AG24" s="157">
        <v>5</v>
      </c>
      <c r="AH24">
        <v>0</v>
      </c>
      <c r="AI24">
        <v>0</v>
      </c>
      <c r="AJ24">
        <v>0</v>
      </c>
      <c r="AK24">
        <v>0</v>
      </c>
      <c r="AL24">
        <v>638</v>
      </c>
      <c r="AM24">
        <v>72</v>
      </c>
      <c r="AN24">
        <v>0</v>
      </c>
      <c r="AO24">
        <v>0</v>
      </c>
      <c r="AP24">
        <v>0</v>
      </c>
      <c r="AQ24">
        <v>30</v>
      </c>
      <c r="AR24">
        <v>0</v>
      </c>
      <c r="AS24">
        <v>0</v>
      </c>
      <c r="AT24">
        <v>1151</v>
      </c>
      <c r="AU24">
        <v>0</v>
      </c>
    </row>
    <row r="25" spans="1:47" x14ac:dyDescent="0.25">
      <c r="A25">
        <v>6</v>
      </c>
      <c r="B25">
        <v>0</v>
      </c>
      <c r="C25">
        <v>0</v>
      </c>
      <c r="D25">
        <v>0</v>
      </c>
      <c r="E25">
        <v>0</v>
      </c>
      <c r="F25">
        <v>0</v>
      </c>
      <c r="G25">
        <v>0</v>
      </c>
      <c r="H25">
        <v>0</v>
      </c>
      <c r="I25">
        <v>0</v>
      </c>
      <c r="J25">
        <v>0</v>
      </c>
      <c r="K25">
        <v>0</v>
      </c>
      <c r="L25">
        <v>0</v>
      </c>
      <c r="M25">
        <v>0</v>
      </c>
      <c r="N25">
        <v>0</v>
      </c>
      <c r="O25">
        <v>0</v>
      </c>
      <c r="Q25">
        <v>6</v>
      </c>
      <c r="R25">
        <v>0</v>
      </c>
      <c r="S25">
        <v>0</v>
      </c>
      <c r="T25">
        <v>0</v>
      </c>
      <c r="U25">
        <v>0</v>
      </c>
      <c r="V25">
        <v>34</v>
      </c>
      <c r="W25">
        <v>19</v>
      </c>
      <c r="X25">
        <v>0</v>
      </c>
      <c r="Y25">
        <v>0</v>
      </c>
      <c r="Z25">
        <v>0</v>
      </c>
      <c r="AA25">
        <v>0</v>
      </c>
      <c r="AB25">
        <v>0</v>
      </c>
      <c r="AC25">
        <v>0</v>
      </c>
      <c r="AD25">
        <v>115</v>
      </c>
      <c r="AE25">
        <v>0</v>
      </c>
      <c r="AG25" s="157">
        <v>6</v>
      </c>
      <c r="AH25">
        <v>0</v>
      </c>
      <c r="AI25">
        <v>0</v>
      </c>
      <c r="AJ25">
        <v>0</v>
      </c>
      <c r="AK25">
        <v>0</v>
      </c>
      <c r="AL25">
        <v>34</v>
      </c>
      <c r="AM25">
        <v>19</v>
      </c>
      <c r="AN25">
        <v>0</v>
      </c>
      <c r="AO25">
        <v>0</v>
      </c>
      <c r="AP25">
        <v>0</v>
      </c>
      <c r="AQ25">
        <v>0</v>
      </c>
      <c r="AR25">
        <v>0</v>
      </c>
      <c r="AS25">
        <v>0</v>
      </c>
      <c r="AT25">
        <v>115</v>
      </c>
      <c r="AU25">
        <v>0</v>
      </c>
    </row>
    <row r="26" spans="1:47" x14ac:dyDescent="0.25">
      <c r="A26">
        <v>7</v>
      </c>
      <c r="B26">
        <v>34.875660000000003</v>
      </c>
      <c r="C26">
        <v>0</v>
      </c>
      <c r="D26">
        <v>1354.5531599999999</v>
      </c>
      <c r="E26">
        <v>0</v>
      </c>
      <c r="F26">
        <v>133.93227999999999</v>
      </c>
      <c r="G26">
        <v>0</v>
      </c>
      <c r="H26">
        <v>36459.788619999999</v>
      </c>
      <c r="I26">
        <v>0</v>
      </c>
      <c r="J26">
        <v>14645.91821</v>
      </c>
      <c r="K26">
        <v>0</v>
      </c>
      <c r="L26">
        <v>560.05425000000002</v>
      </c>
      <c r="M26">
        <v>820.17341999999996</v>
      </c>
      <c r="N26">
        <v>0</v>
      </c>
      <c r="O26">
        <v>0</v>
      </c>
      <c r="Q26">
        <v>7</v>
      </c>
      <c r="R26">
        <v>0</v>
      </c>
      <c r="S26">
        <v>0</v>
      </c>
      <c r="T26">
        <v>233</v>
      </c>
      <c r="U26">
        <v>5</v>
      </c>
      <c r="V26">
        <v>2</v>
      </c>
      <c r="W26">
        <v>2</v>
      </c>
      <c r="X26">
        <v>5988</v>
      </c>
      <c r="Y26">
        <v>0</v>
      </c>
      <c r="Z26">
        <v>0</v>
      </c>
      <c r="AA26">
        <v>2332</v>
      </c>
      <c r="AB26">
        <v>0</v>
      </c>
      <c r="AC26">
        <v>0</v>
      </c>
      <c r="AD26">
        <v>31</v>
      </c>
      <c r="AE26">
        <v>0</v>
      </c>
      <c r="AG26" s="157">
        <v>7</v>
      </c>
      <c r="AH26">
        <v>0</v>
      </c>
      <c r="AI26">
        <v>0</v>
      </c>
      <c r="AJ26">
        <v>233</v>
      </c>
      <c r="AK26">
        <v>5</v>
      </c>
      <c r="AL26">
        <v>2</v>
      </c>
      <c r="AM26">
        <v>2</v>
      </c>
      <c r="AN26">
        <v>5988</v>
      </c>
      <c r="AO26">
        <v>0</v>
      </c>
      <c r="AP26">
        <v>0</v>
      </c>
      <c r="AQ26">
        <v>2332</v>
      </c>
      <c r="AR26">
        <v>0</v>
      </c>
      <c r="AS26">
        <v>0</v>
      </c>
      <c r="AT26">
        <v>31</v>
      </c>
      <c r="AU26">
        <v>0</v>
      </c>
    </row>
    <row r="27" spans="1:47" x14ac:dyDescent="0.25">
      <c r="A27">
        <v>8</v>
      </c>
      <c r="B27">
        <v>0</v>
      </c>
      <c r="C27">
        <v>0</v>
      </c>
      <c r="D27">
        <v>0</v>
      </c>
      <c r="E27">
        <v>0</v>
      </c>
      <c r="F27">
        <v>0</v>
      </c>
      <c r="G27">
        <v>0</v>
      </c>
      <c r="H27">
        <v>0</v>
      </c>
      <c r="I27">
        <v>14886.48612</v>
      </c>
      <c r="J27">
        <v>0</v>
      </c>
      <c r="K27">
        <v>0</v>
      </c>
      <c r="L27">
        <v>0</v>
      </c>
      <c r="M27">
        <v>802.04670999999996</v>
      </c>
      <c r="N27">
        <v>0</v>
      </c>
      <c r="O27">
        <v>0</v>
      </c>
      <c r="Q27">
        <v>8</v>
      </c>
      <c r="R27">
        <v>0</v>
      </c>
      <c r="S27">
        <v>0</v>
      </c>
      <c r="T27">
        <v>0</v>
      </c>
      <c r="U27">
        <v>0</v>
      </c>
      <c r="V27">
        <v>0</v>
      </c>
      <c r="W27">
        <v>0</v>
      </c>
      <c r="X27">
        <v>0</v>
      </c>
      <c r="Y27">
        <v>2615</v>
      </c>
      <c r="Z27">
        <v>0</v>
      </c>
      <c r="AA27">
        <v>0</v>
      </c>
      <c r="AB27">
        <v>0</v>
      </c>
      <c r="AC27">
        <v>0</v>
      </c>
      <c r="AD27">
        <v>0</v>
      </c>
      <c r="AE27">
        <v>0</v>
      </c>
      <c r="AG27" s="157">
        <v>8</v>
      </c>
      <c r="AH27">
        <v>0</v>
      </c>
      <c r="AI27">
        <v>0</v>
      </c>
      <c r="AJ27">
        <v>0</v>
      </c>
      <c r="AK27">
        <v>0</v>
      </c>
      <c r="AL27">
        <v>0</v>
      </c>
      <c r="AM27">
        <v>0</v>
      </c>
      <c r="AN27">
        <v>0</v>
      </c>
      <c r="AO27">
        <v>2615</v>
      </c>
      <c r="AP27">
        <v>0</v>
      </c>
      <c r="AQ27">
        <v>0</v>
      </c>
      <c r="AR27">
        <v>0</v>
      </c>
      <c r="AS27">
        <v>0</v>
      </c>
      <c r="AT27">
        <v>0</v>
      </c>
      <c r="AU27">
        <v>0</v>
      </c>
    </row>
    <row r="28" spans="1:47" x14ac:dyDescent="0.25">
      <c r="A28">
        <v>9</v>
      </c>
      <c r="B28">
        <v>0</v>
      </c>
      <c r="C28">
        <v>0</v>
      </c>
      <c r="D28">
        <v>0</v>
      </c>
      <c r="E28">
        <v>0</v>
      </c>
      <c r="F28">
        <v>0</v>
      </c>
      <c r="G28">
        <v>0</v>
      </c>
      <c r="H28">
        <v>0</v>
      </c>
      <c r="I28">
        <v>0</v>
      </c>
      <c r="J28">
        <v>64882.143649999998</v>
      </c>
      <c r="K28">
        <v>1166.3624199999999</v>
      </c>
      <c r="L28">
        <v>2172.8729199999998</v>
      </c>
      <c r="M28">
        <v>985.94973000000005</v>
      </c>
      <c r="N28">
        <v>0</v>
      </c>
      <c r="O28">
        <v>0</v>
      </c>
      <c r="Q28">
        <v>9</v>
      </c>
      <c r="R28">
        <v>0</v>
      </c>
      <c r="S28">
        <v>0</v>
      </c>
      <c r="T28">
        <v>0</v>
      </c>
      <c r="U28">
        <v>0</v>
      </c>
      <c r="V28">
        <v>0</v>
      </c>
      <c r="W28">
        <v>0</v>
      </c>
      <c r="X28">
        <v>0</v>
      </c>
      <c r="Y28">
        <v>0</v>
      </c>
      <c r="Z28">
        <v>0</v>
      </c>
      <c r="AA28">
        <v>0</v>
      </c>
      <c r="AB28">
        <v>0</v>
      </c>
      <c r="AC28">
        <v>0</v>
      </c>
      <c r="AD28">
        <v>0</v>
      </c>
      <c r="AE28">
        <v>0</v>
      </c>
      <c r="AG28" s="157">
        <v>9</v>
      </c>
      <c r="AH28">
        <v>0</v>
      </c>
      <c r="AI28">
        <v>0</v>
      </c>
      <c r="AJ28">
        <v>0</v>
      </c>
      <c r="AK28">
        <v>0</v>
      </c>
      <c r="AL28">
        <v>0</v>
      </c>
      <c r="AM28">
        <v>0</v>
      </c>
      <c r="AN28">
        <v>0</v>
      </c>
      <c r="AO28">
        <v>0</v>
      </c>
      <c r="AP28">
        <v>0</v>
      </c>
      <c r="AQ28">
        <v>0</v>
      </c>
      <c r="AR28">
        <v>0</v>
      </c>
      <c r="AS28">
        <v>0</v>
      </c>
      <c r="AT28">
        <v>0</v>
      </c>
      <c r="AU28">
        <v>0</v>
      </c>
    </row>
    <row r="29" spans="1:47" x14ac:dyDescent="0.25">
      <c r="A29">
        <v>10</v>
      </c>
      <c r="B29">
        <v>0</v>
      </c>
      <c r="C29">
        <v>0</v>
      </c>
      <c r="D29">
        <v>0</v>
      </c>
      <c r="E29">
        <v>0</v>
      </c>
      <c r="F29">
        <v>0</v>
      </c>
      <c r="G29">
        <v>0</v>
      </c>
      <c r="H29">
        <v>0</v>
      </c>
      <c r="I29">
        <v>0</v>
      </c>
      <c r="J29">
        <v>0</v>
      </c>
      <c r="K29">
        <v>4760.6886400000003</v>
      </c>
      <c r="L29">
        <v>887.86609999999996</v>
      </c>
      <c r="M29">
        <v>5851.1980299999996</v>
      </c>
      <c r="N29">
        <v>0</v>
      </c>
      <c r="O29">
        <v>0</v>
      </c>
      <c r="Q29">
        <v>10</v>
      </c>
      <c r="R29">
        <v>0</v>
      </c>
      <c r="S29">
        <v>0</v>
      </c>
      <c r="T29">
        <v>0</v>
      </c>
      <c r="U29">
        <v>0</v>
      </c>
      <c r="V29">
        <v>0</v>
      </c>
      <c r="W29">
        <v>0</v>
      </c>
      <c r="X29">
        <v>0</v>
      </c>
      <c r="Y29">
        <v>0</v>
      </c>
      <c r="Z29">
        <v>0</v>
      </c>
      <c r="AA29">
        <v>7697</v>
      </c>
      <c r="AB29">
        <v>0</v>
      </c>
      <c r="AC29">
        <v>0</v>
      </c>
      <c r="AD29">
        <v>0</v>
      </c>
      <c r="AE29">
        <v>0</v>
      </c>
      <c r="AG29" s="157">
        <v>10</v>
      </c>
      <c r="AH29">
        <v>0</v>
      </c>
      <c r="AI29">
        <v>0</v>
      </c>
      <c r="AJ29">
        <v>0</v>
      </c>
      <c r="AK29">
        <v>0</v>
      </c>
      <c r="AL29">
        <v>0</v>
      </c>
      <c r="AM29">
        <v>0</v>
      </c>
      <c r="AN29">
        <v>0</v>
      </c>
      <c r="AO29">
        <v>0</v>
      </c>
      <c r="AP29">
        <v>0</v>
      </c>
      <c r="AQ29">
        <v>7697</v>
      </c>
      <c r="AR29">
        <v>0</v>
      </c>
      <c r="AS29">
        <v>0</v>
      </c>
      <c r="AT29">
        <v>0</v>
      </c>
      <c r="AU29">
        <v>0</v>
      </c>
    </row>
    <row r="30" spans="1:47" x14ac:dyDescent="0.25">
      <c r="A30">
        <v>11</v>
      </c>
      <c r="B30">
        <v>0</v>
      </c>
      <c r="C30">
        <v>0</v>
      </c>
      <c r="D30">
        <v>0</v>
      </c>
      <c r="E30">
        <v>0</v>
      </c>
      <c r="F30">
        <v>0</v>
      </c>
      <c r="G30">
        <v>0</v>
      </c>
      <c r="H30">
        <v>0</v>
      </c>
      <c r="I30">
        <v>0</v>
      </c>
      <c r="J30">
        <v>0</v>
      </c>
      <c r="K30">
        <v>176.52091999999999</v>
      </c>
      <c r="L30">
        <v>4332.2475999999997</v>
      </c>
      <c r="M30">
        <v>0</v>
      </c>
      <c r="N30">
        <v>0</v>
      </c>
      <c r="O30">
        <v>0</v>
      </c>
      <c r="Q30">
        <v>11</v>
      </c>
      <c r="R30">
        <v>0</v>
      </c>
      <c r="S30">
        <v>0</v>
      </c>
      <c r="T30">
        <v>0</v>
      </c>
      <c r="U30">
        <v>0</v>
      </c>
      <c r="V30">
        <v>0</v>
      </c>
      <c r="W30">
        <v>0</v>
      </c>
      <c r="X30">
        <v>0</v>
      </c>
      <c r="Y30">
        <v>0</v>
      </c>
      <c r="Z30">
        <v>0</v>
      </c>
      <c r="AA30">
        <v>0</v>
      </c>
      <c r="AB30">
        <v>324</v>
      </c>
      <c r="AC30">
        <v>0</v>
      </c>
      <c r="AD30">
        <v>0</v>
      </c>
      <c r="AE30">
        <v>0</v>
      </c>
      <c r="AG30" s="157">
        <v>11</v>
      </c>
      <c r="AH30">
        <v>0</v>
      </c>
      <c r="AI30">
        <v>0</v>
      </c>
      <c r="AJ30">
        <v>0</v>
      </c>
      <c r="AK30">
        <v>0</v>
      </c>
      <c r="AL30">
        <v>0</v>
      </c>
      <c r="AM30">
        <v>0</v>
      </c>
      <c r="AN30">
        <v>0</v>
      </c>
      <c r="AO30">
        <v>0</v>
      </c>
      <c r="AP30">
        <v>0</v>
      </c>
      <c r="AQ30">
        <v>0</v>
      </c>
      <c r="AR30">
        <v>324</v>
      </c>
      <c r="AS30">
        <v>0</v>
      </c>
      <c r="AT30">
        <v>0</v>
      </c>
      <c r="AU30">
        <v>0</v>
      </c>
    </row>
    <row r="31" spans="1:47" x14ac:dyDescent="0.25">
      <c r="A31">
        <v>12</v>
      </c>
      <c r="B31">
        <v>0</v>
      </c>
      <c r="C31">
        <v>0</v>
      </c>
      <c r="D31">
        <v>0</v>
      </c>
      <c r="E31">
        <v>0</v>
      </c>
      <c r="F31">
        <v>0</v>
      </c>
      <c r="G31">
        <v>0</v>
      </c>
      <c r="H31">
        <v>0</v>
      </c>
      <c r="I31">
        <v>0</v>
      </c>
      <c r="J31">
        <v>0</v>
      </c>
      <c r="K31">
        <v>0</v>
      </c>
      <c r="L31">
        <v>0</v>
      </c>
      <c r="M31">
        <v>15258.03968</v>
      </c>
      <c r="N31">
        <v>0</v>
      </c>
      <c r="O31">
        <v>0</v>
      </c>
      <c r="Q31">
        <v>12</v>
      </c>
      <c r="R31">
        <v>0</v>
      </c>
      <c r="S31">
        <v>0</v>
      </c>
      <c r="T31">
        <v>0</v>
      </c>
      <c r="U31">
        <v>0</v>
      </c>
      <c r="V31">
        <v>0</v>
      </c>
      <c r="W31">
        <v>0</v>
      </c>
      <c r="X31">
        <v>0</v>
      </c>
      <c r="Y31">
        <v>0</v>
      </c>
      <c r="Z31">
        <v>0</v>
      </c>
      <c r="AA31">
        <v>0</v>
      </c>
      <c r="AB31">
        <v>0</v>
      </c>
      <c r="AC31">
        <v>1574</v>
      </c>
      <c r="AD31">
        <v>0</v>
      </c>
      <c r="AE31">
        <v>0</v>
      </c>
      <c r="AG31" s="157">
        <v>12</v>
      </c>
      <c r="AH31">
        <v>0</v>
      </c>
      <c r="AI31">
        <v>0</v>
      </c>
      <c r="AJ31">
        <v>0</v>
      </c>
      <c r="AK31">
        <v>0</v>
      </c>
      <c r="AL31">
        <v>0</v>
      </c>
      <c r="AM31">
        <v>0</v>
      </c>
      <c r="AN31">
        <v>0</v>
      </c>
      <c r="AO31">
        <v>0</v>
      </c>
      <c r="AP31">
        <v>0</v>
      </c>
      <c r="AQ31">
        <v>0</v>
      </c>
      <c r="AR31">
        <v>0</v>
      </c>
      <c r="AS31">
        <v>1574</v>
      </c>
      <c r="AT31">
        <v>0</v>
      </c>
      <c r="AU31">
        <v>0</v>
      </c>
    </row>
    <row r="32" spans="1:47" x14ac:dyDescent="0.25">
      <c r="A32">
        <v>13</v>
      </c>
      <c r="B32">
        <v>0</v>
      </c>
      <c r="C32">
        <v>0</v>
      </c>
      <c r="D32">
        <v>0</v>
      </c>
      <c r="E32">
        <v>0</v>
      </c>
      <c r="F32">
        <v>0</v>
      </c>
      <c r="G32">
        <v>0</v>
      </c>
      <c r="H32">
        <v>0</v>
      </c>
      <c r="I32">
        <v>0</v>
      </c>
      <c r="J32">
        <v>0</v>
      </c>
      <c r="K32">
        <v>0</v>
      </c>
      <c r="L32">
        <v>379.83015999999998</v>
      </c>
      <c r="M32">
        <v>0</v>
      </c>
      <c r="N32">
        <v>2954.9135999999999</v>
      </c>
      <c r="O32">
        <v>0</v>
      </c>
      <c r="Q32">
        <v>13</v>
      </c>
      <c r="R32">
        <v>0</v>
      </c>
      <c r="S32">
        <v>0</v>
      </c>
      <c r="T32">
        <v>0</v>
      </c>
      <c r="U32">
        <v>0</v>
      </c>
      <c r="V32">
        <v>0</v>
      </c>
      <c r="W32">
        <v>0</v>
      </c>
      <c r="X32">
        <v>0</v>
      </c>
      <c r="Y32">
        <v>0</v>
      </c>
      <c r="Z32">
        <v>0</v>
      </c>
      <c r="AA32">
        <v>4682</v>
      </c>
      <c r="AB32">
        <v>0</v>
      </c>
      <c r="AC32">
        <v>0</v>
      </c>
      <c r="AD32">
        <v>3095</v>
      </c>
      <c r="AE32">
        <v>0</v>
      </c>
      <c r="AG32" s="157">
        <v>13</v>
      </c>
      <c r="AH32">
        <v>0</v>
      </c>
      <c r="AI32">
        <v>0</v>
      </c>
      <c r="AJ32">
        <v>0</v>
      </c>
      <c r="AK32">
        <v>0</v>
      </c>
      <c r="AL32">
        <v>0</v>
      </c>
      <c r="AM32">
        <v>0</v>
      </c>
      <c r="AN32">
        <v>0</v>
      </c>
      <c r="AO32">
        <v>0</v>
      </c>
      <c r="AP32">
        <v>0</v>
      </c>
      <c r="AQ32">
        <v>4682</v>
      </c>
      <c r="AR32">
        <v>0</v>
      </c>
      <c r="AS32">
        <v>0</v>
      </c>
      <c r="AT32">
        <v>3095</v>
      </c>
      <c r="AU32">
        <v>0</v>
      </c>
    </row>
    <row r="33" spans="1:47" x14ac:dyDescent="0.25">
      <c r="A33">
        <v>14</v>
      </c>
      <c r="B33">
        <v>0</v>
      </c>
      <c r="C33">
        <v>0</v>
      </c>
      <c r="D33">
        <v>0</v>
      </c>
      <c r="E33">
        <v>0</v>
      </c>
      <c r="F33">
        <v>0</v>
      </c>
      <c r="G33">
        <v>0</v>
      </c>
      <c r="H33">
        <v>0</v>
      </c>
      <c r="I33">
        <v>0</v>
      </c>
      <c r="J33">
        <v>0</v>
      </c>
      <c r="K33">
        <v>0</v>
      </c>
      <c r="L33">
        <v>0</v>
      </c>
      <c r="M33">
        <v>0</v>
      </c>
      <c r="N33">
        <v>0</v>
      </c>
      <c r="O33">
        <v>1280.53171</v>
      </c>
      <c r="Q33">
        <v>14</v>
      </c>
      <c r="R33">
        <v>0</v>
      </c>
      <c r="S33">
        <v>0</v>
      </c>
      <c r="T33">
        <v>0</v>
      </c>
      <c r="U33">
        <v>0</v>
      </c>
      <c r="V33">
        <v>0</v>
      </c>
      <c r="W33">
        <v>0</v>
      </c>
      <c r="X33">
        <v>0</v>
      </c>
      <c r="Y33">
        <v>0</v>
      </c>
      <c r="Z33">
        <v>0</v>
      </c>
      <c r="AA33">
        <v>0</v>
      </c>
      <c r="AB33">
        <v>0</v>
      </c>
      <c r="AC33">
        <v>0</v>
      </c>
      <c r="AD33">
        <v>0</v>
      </c>
      <c r="AE33">
        <v>0</v>
      </c>
      <c r="AG33" s="157">
        <v>14</v>
      </c>
      <c r="AH33">
        <v>0</v>
      </c>
      <c r="AI33">
        <v>0</v>
      </c>
      <c r="AJ33">
        <v>0</v>
      </c>
      <c r="AK33">
        <v>0</v>
      </c>
      <c r="AL33">
        <v>0</v>
      </c>
      <c r="AM33">
        <v>0</v>
      </c>
      <c r="AN33">
        <v>0</v>
      </c>
      <c r="AO33">
        <v>0</v>
      </c>
      <c r="AP33">
        <v>0</v>
      </c>
      <c r="AQ33">
        <v>0</v>
      </c>
      <c r="AR33">
        <v>0</v>
      </c>
      <c r="AS33">
        <v>0</v>
      </c>
      <c r="AT33">
        <v>0</v>
      </c>
      <c r="AU33">
        <v>0</v>
      </c>
    </row>
    <row r="34" spans="1:47" x14ac:dyDescent="0.25">
      <c r="A34" t="s">
        <v>190</v>
      </c>
      <c r="Q34" t="s">
        <v>190</v>
      </c>
    </row>
    <row r="35" spans="1:47" x14ac:dyDescent="0.25">
      <c r="B35" t="s">
        <v>208</v>
      </c>
      <c r="C35" t="s">
        <v>209</v>
      </c>
      <c r="D35" t="s">
        <v>210</v>
      </c>
      <c r="E35" t="s">
        <v>211</v>
      </c>
      <c r="F35" t="s">
        <v>212</v>
      </c>
      <c r="G35" t="s">
        <v>213</v>
      </c>
      <c r="H35" t="s">
        <v>214</v>
      </c>
      <c r="I35" t="s">
        <v>215</v>
      </c>
      <c r="J35" t="s">
        <v>216</v>
      </c>
      <c r="K35" t="s">
        <v>400</v>
      </c>
      <c r="L35" t="s">
        <v>401</v>
      </c>
      <c r="M35" t="s">
        <v>402</v>
      </c>
      <c r="N35" t="s">
        <v>403</v>
      </c>
      <c r="O35" t="s">
        <v>404</v>
      </c>
      <c r="R35" t="s">
        <v>208</v>
      </c>
      <c r="S35" t="s">
        <v>209</v>
      </c>
      <c r="T35" t="s">
        <v>210</v>
      </c>
      <c r="U35" t="s">
        <v>211</v>
      </c>
      <c r="V35" t="s">
        <v>212</v>
      </c>
      <c r="W35" t="s">
        <v>213</v>
      </c>
      <c r="X35" t="s">
        <v>214</v>
      </c>
      <c r="Y35" t="s">
        <v>215</v>
      </c>
      <c r="Z35" t="s">
        <v>216</v>
      </c>
      <c r="AA35" t="s">
        <v>400</v>
      </c>
      <c r="AB35" t="s">
        <v>401</v>
      </c>
      <c r="AC35" t="s">
        <v>402</v>
      </c>
      <c r="AD35" t="s">
        <v>403</v>
      </c>
      <c r="AE35" t="s">
        <v>404</v>
      </c>
      <c r="AG35" s="157"/>
      <c r="AH35" t="s">
        <v>208</v>
      </c>
      <c r="AI35" t="s">
        <v>209</v>
      </c>
      <c r="AJ35" t="s">
        <v>210</v>
      </c>
      <c r="AK35" t="s">
        <v>211</v>
      </c>
      <c r="AL35" t="s">
        <v>212</v>
      </c>
      <c r="AM35" t="s">
        <v>213</v>
      </c>
      <c r="AN35" t="s">
        <v>214</v>
      </c>
      <c r="AO35" t="s">
        <v>215</v>
      </c>
      <c r="AP35" t="s">
        <v>216</v>
      </c>
      <c r="AQ35" t="s">
        <v>400</v>
      </c>
      <c r="AR35" t="s">
        <v>401</v>
      </c>
      <c r="AS35" t="s">
        <v>402</v>
      </c>
      <c r="AT35" t="s">
        <v>403</v>
      </c>
      <c r="AU35" t="s">
        <v>404</v>
      </c>
    </row>
    <row r="36" spans="1:47" x14ac:dyDescent="0.25">
      <c r="A36">
        <v>1</v>
      </c>
      <c r="B36">
        <v>101292.82913</v>
      </c>
      <c r="C36">
        <v>0</v>
      </c>
      <c r="D36">
        <v>8265.8421099999996</v>
      </c>
      <c r="E36">
        <v>0</v>
      </c>
      <c r="F36">
        <v>5946.1005500000001</v>
      </c>
      <c r="G36">
        <v>0</v>
      </c>
      <c r="H36">
        <v>0</v>
      </c>
      <c r="I36">
        <v>0</v>
      </c>
      <c r="J36">
        <v>1218.2488000000001</v>
      </c>
      <c r="K36">
        <v>0</v>
      </c>
      <c r="L36">
        <v>0</v>
      </c>
      <c r="M36">
        <v>212.33784</v>
      </c>
      <c r="N36">
        <v>0</v>
      </c>
      <c r="O36">
        <v>2343.5918700000002</v>
      </c>
      <c r="Q36">
        <v>1</v>
      </c>
      <c r="R36">
        <v>18536</v>
      </c>
      <c r="S36">
        <v>2023</v>
      </c>
      <c r="T36">
        <v>2134</v>
      </c>
      <c r="U36">
        <v>56</v>
      </c>
      <c r="V36">
        <v>1034</v>
      </c>
      <c r="W36">
        <v>71</v>
      </c>
      <c r="X36">
        <v>0</v>
      </c>
      <c r="Y36">
        <v>0</v>
      </c>
      <c r="Z36">
        <v>0</v>
      </c>
      <c r="AA36">
        <v>0</v>
      </c>
      <c r="AB36">
        <v>0</v>
      </c>
      <c r="AC36">
        <v>0</v>
      </c>
      <c r="AD36">
        <v>0</v>
      </c>
      <c r="AE36">
        <v>0</v>
      </c>
      <c r="AG36" s="157">
        <v>1</v>
      </c>
      <c r="AH36">
        <v>18536</v>
      </c>
      <c r="AI36">
        <v>2023</v>
      </c>
      <c r="AJ36">
        <v>2134</v>
      </c>
      <c r="AK36">
        <v>56</v>
      </c>
      <c r="AL36">
        <v>1034</v>
      </c>
      <c r="AM36">
        <v>71</v>
      </c>
      <c r="AN36">
        <v>0</v>
      </c>
      <c r="AO36">
        <v>0</v>
      </c>
      <c r="AP36">
        <v>0</v>
      </c>
      <c r="AQ36">
        <v>0</v>
      </c>
      <c r="AR36">
        <v>0</v>
      </c>
      <c r="AS36">
        <v>0</v>
      </c>
      <c r="AT36">
        <v>0</v>
      </c>
      <c r="AU36">
        <v>0</v>
      </c>
    </row>
    <row r="37" spans="1:47" x14ac:dyDescent="0.25">
      <c r="A37">
        <v>2</v>
      </c>
      <c r="B37">
        <v>0</v>
      </c>
      <c r="C37">
        <v>0</v>
      </c>
      <c r="D37">
        <v>0</v>
      </c>
      <c r="E37">
        <v>0</v>
      </c>
      <c r="F37">
        <v>0</v>
      </c>
      <c r="G37">
        <v>0</v>
      </c>
      <c r="H37">
        <v>0</v>
      </c>
      <c r="I37">
        <v>0</v>
      </c>
      <c r="J37">
        <v>0</v>
      </c>
      <c r="K37">
        <v>0</v>
      </c>
      <c r="L37">
        <v>0</v>
      </c>
      <c r="M37">
        <v>0</v>
      </c>
      <c r="N37">
        <v>0</v>
      </c>
      <c r="O37">
        <v>0</v>
      </c>
      <c r="Q37">
        <v>2</v>
      </c>
      <c r="R37">
        <v>285</v>
      </c>
      <c r="S37">
        <v>605</v>
      </c>
      <c r="T37">
        <v>54</v>
      </c>
      <c r="U37">
        <v>17</v>
      </c>
      <c r="V37">
        <v>36</v>
      </c>
      <c r="W37">
        <v>20</v>
      </c>
      <c r="X37">
        <v>0</v>
      </c>
      <c r="Y37">
        <v>0</v>
      </c>
      <c r="Z37">
        <v>0</v>
      </c>
      <c r="AA37">
        <v>0</v>
      </c>
      <c r="AB37">
        <v>0</v>
      </c>
      <c r="AC37">
        <v>0</v>
      </c>
      <c r="AD37">
        <v>0</v>
      </c>
      <c r="AE37">
        <v>0</v>
      </c>
      <c r="AG37" s="157">
        <v>2</v>
      </c>
      <c r="AH37">
        <v>285</v>
      </c>
      <c r="AI37">
        <v>605</v>
      </c>
      <c r="AJ37">
        <v>54</v>
      </c>
      <c r="AK37">
        <v>17</v>
      </c>
      <c r="AL37">
        <v>36</v>
      </c>
      <c r="AM37">
        <v>20</v>
      </c>
      <c r="AN37">
        <v>0</v>
      </c>
      <c r="AO37">
        <v>0</v>
      </c>
      <c r="AP37">
        <v>0</v>
      </c>
      <c r="AQ37">
        <v>0</v>
      </c>
      <c r="AR37">
        <v>0</v>
      </c>
      <c r="AS37">
        <v>0</v>
      </c>
      <c r="AT37">
        <v>0</v>
      </c>
      <c r="AU37">
        <v>0</v>
      </c>
    </row>
    <row r="38" spans="1:47" x14ac:dyDescent="0.25">
      <c r="A38">
        <v>3</v>
      </c>
      <c r="B38">
        <v>0</v>
      </c>
      <c r="C38">
        <v>0</v>
      </c>
      <c r="D38">
        <v>431497.08321999997</v>
      </c>
      <c r="E38">
        <v>1349.0287900000001</v>
      </c>
      <c r="F38">
        <v>192665.41321</v>
      </c>
      <c r="G38">
        <v>183.60119</v>
      </c>
      <c r="H38">
        <v>0</v>
      </c>
      <c r="I38">
        <v>0</v>
      </c>
      <c r="J38">
        <v>6259.8567000000003</v>
      </c>
      <c r="K38">
        <v>616.58163999999999</v>
      </c>
      <c r="L38">
        <v>4924.7187100000001</v>
      </c>
      <c r="M38">
        <v>134.83625000000001</v>
      </c>
      <c r="N38">
        <v>229.45972</v>
      </c>
      <c r="O38">
        <v>136305.50284</v>
      </c>
      <c r="Q38">
        <v>3</v>
      </c>
      <c r="R38">
        <v>0</v>
      </c>
      <c r="S38">
        <v>0</v>
      </c>
      <c r="T38">
        <v>95610</v>
      </c>
      <c r="U38">
        <v>1232</v>
      </c>
      <c r="V38">
        <v>46233</v>
      </c>
      <c r="W38">
        <v>1390</v>
      </c>
      <c r="X38">
        <v>0</v>
      </c>
      <c r="Y38">
        <v>0</v>
      </c>
      <c r="Z38">
        <v>0</v>
      </c>
      <c r="AA38">
        <v>1266</v>
      </c>
      <c r="AB38">
        <v>0</v>
      </c>
      <c r="AC38">
        <v>0</v>
      </c>
      <c r="AD38">
        <v>125</v>
      </c>
      <c r="AE38">
        <v>0</v>
      </c>
      <c r="AG38" s="157">
        <v>3</v>
      </c>
      <c r="AH38">
        <v>0</v>
      </c>
      <c r="AI38">
        <v>0</v>
      </c>
      <c r="AJ38">
        <v>95610</v>
      </c>
      <c r="AK38">
        <v>1232</v>
      </c>
      <c r="AL38">
        <v>46233</v>
      </c>
      <c r="AM38">
        <v>1390</v>
      </c>
      <c r="AN38">
        <v>0</v>
      </c>
      <c r="AO38">
        <v>0</v>
      </c>
      <c r="AP38">
        <v>0</v>
      </c>
      <c r="AQ38">
        <v>1266</v>
      </c>
      <c r="AR38">
        <v>0</v>
      </c>
      <c r="AS38">
        <v>0</v>
      </c>
      <c r="AT38">
        <v>125</v>
      </c>
      <c r="AU38">
        <v>0</v>
      </c>
    </row>
    <row r="39" spans="1:47" x14ac:dyDescent="0.25">
      <c r="A39">
        <v>4</v>
      </c>
      <c r="B39">
        <v>0</v>
      </c>
      <c r="C39">
        <v>0</v>
      </c>
      <c r="D39">
        <v>0</v>
      </c>
      <c r="E39">
        <v>1154.72462</v>
      </c>
      <c r="F39">
        <v>0</v>
      </c>
      <c r="G39">
        <v>276.16296</v>
      </c>
      <c r="H39">
        <v>0</v>
      </c>
      <c r="I39">
        <v>0</v>
      </c>
      <c r="J39">
        <v>0</v>
      </c>
      <c r="K39">
        <v>0</v>
      </c>
      <c r="L39">
        <v>0</v>
      </c>
      <c r="M39">
        <v>0</v>
      </c>
      <c r="N39">
        <v>0</v>
      </c>
      <c r="O39">
        <v>426.78379999999999</v>
      </c>
      <c r="Q39">
        <v>4</v>
      </c>
      <c r="R39">
        <v>0</v>
      </c>
      <c r="S39">
        <v>0</v>
      </c>
      <c r="T39">
        <v>1529</v>
      </c>
      <c r="U39">
        <v>328</v>
      </c>
      <c r="V39">
        <v>674</v>
      </c>
      <c r="W39">
        <v>454</v>
      </c>
      <c r="X39">
        <v>0</v>
      </c>
      <c r="Y39">
        <v>0</v>
      </c>
      <c r="Z39">
        <v>0</v>
      </c>
      <c r="AA39">
        <v>32</v>
      </c>
      <c r="AB39">
        <v>0</v>
      </c>
      <c r="AC39">
        <v>0</v>
      </c>
      <c r="AD39">
        <v>17</v>
      </c>
      <c r="AE39">
        <v>0</v>
      </c>
      <c r="AG39" s="157">
        <v>4</v>
      </c>
      <c r="AH39">
        <v>0</v>
      </c>
      <c r="AI39">
        <v>0</v>
      </c>
      <c r="AJ39">
        <v>1529</v>
      </c>
      <c r="AK39">
        <v>328</v>
      </c>
      <c r="AL39">
        <v>674</v>
      </c>
      <c r="AM39">
        <v>454</v>
      </c>
      <c r="AN39">
        <v>0</v>
      </c>
      <c r="AO39">
        <v>0</v>
      </c>
      <c r="AP39">
        <v>0</v>
      </c>
      <c r="AQ39">
        <v>32</v>
      </c>
      <c r="AR39">
        <v>0</v>
      </c>
      <c r="AS39">
        <v>0</v>
      </c>
      <c r="AT39">
        <v>17</v>
      </c>
      <c r="AU39">
        <v>0</v>
      </c>
    </row>
    <row r="40" spans="1:47" x14ac:dyDescent="0.25">
      <c r="A40">
        <v>5</v>
      </c>
      <c r="B40">
        <v>0</v>
      </c>
      <c r="C40">
        <v>0</v>
      </c>
      <c r="D40">
        <v>0</v>
      </c>
      <c r="E40">
        <v>0</v>
      </c>
      <c r="F40">
        <v>833243.31449000002</v>
      </c>
      <c r="G40">
        <v>5583.6349700000001</v>
      </c>
      <c r="H40">
        <v>0</v>
      </c>
      <c r="I40">
        <v>0</v>
      </c>
      <c r="J40">
        <v>5264.9719999999998</v>
      </c>
      <c r="K40">
        <v>0</v>
      </c>
      <c r="L40">
        <v>6881.6426099999999</v>
      </c>
      <c r="M40">
        <v>0</v>
      </c>
      <c r="N40">
        <v>0</v>
      </c>
      <c r="O40">
        <v>91541.193669999993</v>
      </c>
      <c r="Q40">
        <v>5</v>
      </c>
      <c r="R40">
        <v>0</v>
      </c>
      <c r="S40">
        <v>0</v>
      </c>
      <c r="T40">
        <v>0</v>
      </c>
      <c r="U40">
        <v>0</v>
      </c>
      <c r="V40">
        <v>149956</v>
      </c>
      <c r="W40">
        <v>4701</v>
      </c>
      <c r="X40">
        <v>0</v>
      </c>
      <c r="Y40">
        <v>0</v>
      </c>
      <c r="Z40">
        <v>0</v>
      </c>
      <c r="AA40">
        <v>1084</v>
      </c>
      <c r="AB40">
        <v>0</v>
      </c>
      <c r="AC40">
        <v>0</v>
      </c>
      <c r="AD40">
        <v>1</v>
      </c>
      <c r="AE40">
        <v>0</v>
      </c>
      <c r="AG40" s="157">
        <v>5</v>
      </c>
      <c r="AH40">
        <v>0</v>
      </c>
      <c r="AI40">
        <v>0</v>
      </c>
      <c r="AJ40">
        <v>0</v>
      </c>
      <c r="AK40">
        <v>0</v>
      </c>
      <c r="AL40">
        <v>149956</v>
      </c>
      <c r="AM40">
        <v>4701</v>
      </c>
      <c r="AN40">
        <v>0</v>
      </c>
      <c r="AO40">
        <v>0</v>
      </c>
      <c r="AP40">
        <v>0</v>
      </c>
      <c r="AQ40">
        <v>1084</v>
      </c>
      <c r="AR40">
        <v>0</v>
      </c>
      <c r="AS40">
        <v>0</v>
      </c>
      <c r="AT40">
        <v>1</v>
      </c>
      <c r="AU40">
        <v>0</v>
      </c>
    </row>
    <row r="41" spans="1:47" x14ac:dyDescent="0.25">
      <c r="A41">
        <v>6</v>
      </c>
      <c r="B41">
        <v>0</v>
      </c>
      <c r="C41">
        <v>0</v>
      </c>
      <c r="D41">
        <v>0</v>
      </c>
      <c r="E41">
        <v>0</v>
      </c>
      <c r="F41">
        <v>0</v>
      </c>
      <c r="G41">
        <v>3600.02252</v>
      </c>
      <c r="H41">
        <v>0</v>
      </c>
      <c r="I41">
        <v>0</v>
      </c>
      <c r="J41">
        <v>0</v>
      </c>
      <c r="K41">
        <v>0</v>
      </c>
      <c r="L41">
        <v>0</v>
      </c>
      <c r="M41">
        <v>0</v>
      </c>
      <c r="N41">
        <v>0</v>
      </c>
      <c r="O41">
        <v>1800.01126</v>
      </c>
      <c r="Q41">
        <v>6</v>
      </c>
      <c r="R41">
        <v>0</v>
      </c>
      <c r="S41">
        <v>0</v>
      </c>
      <c r="T41">
        <v>0</v>
      </c>
      <c r="U41">
        <v>0</v>
      </c>
      <c r="V41">
        <v>2252</v>
      </c>
      <c r="W41">
        <v>1393</v>
      </c>
      <c r="X41">
        <v>0</v>
      </c>
      <c r="Y41">
        <v>0</v>
      </c>
      <c r="Z41">
        <v>0</v>
      </c>
      <c r="AA41">
        <v>27</v>
      </c>
      <c r="AB41">
        <v>0</v>
      </c>
      <c r="AC41">
        <v>0</v>
      </c>
      <c r="AD41">
        <v>0</v>
      </c>
      <c r="AE41">
        <v>0</v>
      </c>
      <c r="AG41" s="157">
        <v>6</v>
      </c>
      <c r="AH41">
        <v>0</v>
      </c>
      <c r="AI41">
        <v>0</v>
      </c>
      <c r="AJ41">
        <v>0</v>
      </c>
      <c r="AK41">
        <v>0</v>
      </c>
      <c r="AL41">
        <v>2252</v>
      </c>
      <c r="AM41">
        <v>1393</v>
      </c>
      <c r="AN41">
        <v>0</v>
      </c>
      <c r="AO41">
        <v>0</v>
      </c>
      <c r="AP41">
        <v>0</v>
      </c>
      <c r="AQ41">
        <v>27</v>
      </c>
      <c r="AR41">
        <v>0</v>
      </c>
      <c r="AS41">
        <v>0</v>
      </c>
      <c r="AT41">
        <v>0</v>
      </c>
      <c r="AU41">
        <v>0</v>
      </c>
    </row>
    <row r="42" spans="1:47" x14ac:dyDescent="0.25">
      <c r="A42">
        <v>7</v>
      </c>
      <c r="B42">
        <v>535.62260000000003</v>
      </c>
      <c r="C42">
        <v>0</v>
      </c>
      <c r="D42">
        <v>46621.301630000002</v>
      </c>
      <c r="E42">
        <v>0</v>
      </c>
      <c r="F42">
        <v>70967.18909</v>
      </c>
      <c r="G42">
        <v>0</v>
      </c>
      <c r="H42">
        <v>484593.74177000002</v>
      </c>
      <c r="I42">
        <v>420.45661999999999</v>
      </c>
      <c r="J42">
        <v>10055.70486</v>
      </c>
      <c r="K42">
        <v>0</v>
      </c>
      <c r="L42">
        <v>1365.4938500000001</v>
      </c>
      <c r="M42">
        <v>0</v>
      </c>
      <c r="N42">
        <v>0</v>
      </c>
      <c r="O42">
        <v>24947.201700000001</v>
      </c>
      <c r="Q42">
        <v>7</v>
      </c>
      <c r="R42">
        <v>0</v>
      </c>
      <c r="S42">
        <v>0</v>
      </c>
      <c r="T42">
        <v>10716</v>
      </c>
      <c r="U42">
        <v>20</v>
      </c>
      <c r="V42">
        <v>14520</v>
      </c>
      <c r="W42">
        <v>76</v>
      </c>
      <c r="X42">
        <v>129072</v>
      </c>
      <c r="Y42">
        <v>0</v>
      </c>
      <c r="Z42">
        <v>0</v>
      </c>
      <c r="AA42">
        <v>1945</v>
      </c>
      <c r="AB42">
        <v>0</v>
      </c>
      <c r="AC42">
        <v>0</v>
      </c>
      <c r="AD42">
        <v>15</v>
      </c>
      <c r="AE42">
        <v>0</v>
      </c>
      <c r="AG42" s="157">
        <v>7</v>
      </c>
      <c r="AH42">
        <v>0</v>
      </c>
      <c r="AI42">
        <v>0</v>
      </c>
      <c r="AJ42">
        <v>10716</v>
      </c>
      <c r="AK42">
        <v>20</v>
      </c>
      <c r="AL42">
        <v>14520</v>
      </c>
      <c r="AM42">
        <v>76</v>
      </c>
      <c r="AN42">
        <v>129072</v>
      </c>
      <c r="AO42">
        <v>0</v>
      </c>
      <c r="AP42">
        <v>0</v>
      </c>
      <c r="AQ42">
        <v>1945</v>
      </c>
      <c r="AR42">
        <v>0</v>
      </c>
      <c r="AS42">
        <v>0</v>
      </c>
      <c r="AT42">
        <v>15</v>
      </c>
      <c r="AU42">
        <v>0</v>
      </c>
    </row>
    <row r="43" spans="1:47" x14ac:dyDescent="0.25">
      <c r="A43">
        <v>8</v>
      </c>
      <c r="B43">
        <v>0</v>
      </c>
      <c r="C43">
        <v>0</v>
      </c>
      <c r="D43">
        <v>680.73252000000002</v>
      </c>
      <c r="E43">
        <v>0</v>
      </c>
      <c r="F43">
        <v>1617.5850700000001</v>
      </c>
      <c r="G43">
        <v>0</v>
      </c>
      <c r="H43">
        <v>0</v>
      </c>
      <c r="I43">
        <v>32200.538100000002</v>
      </c>
      <c r="J43">
        <v>0</v>
      </c>
      <c r="K43">
        <v>0</v>
      </c>
      <c r="L43">
        <v>0</v>
      </c>
      <c r="M43">
        <v>0</v>
      </c>
      <c r="N43">
        <v>0</v>
      </c>
      <c r="O43">
        <v>1280.6207300000001</v>
      </c>
      <c r="Q43">
        <v>8</v>
      </c>
      <c r="R43">
        <v>0</v>
      </c>
      <c r="S43">
        <v>0</v>
      </c>
      <c r="T43">
        <v>0</v>
      </c>
      <c r="U43">
        <v>0</v>
      </c>
      <c r="V43">
        <v>0</v>
      </c>
      <c r="W43">
        <v>0</v>
      </c>
      <c r="X43">
        <v>0</v>
      </c>
      <c r="Y43">
        <v>8132</v>
      </c>
      <c r="Z43">
        <v>0</v>
      </c>
      <c r="AA43">
        <v>0</v>
      </c>
      <c r="AB43">
        <v>0</v>
      </c>
      <c r="AC43">
        <v>0</v>
      </c>
      <c r="AD43">
        <v>0</v>
      </c>
      <c r="AE43">
        <v>0</v>
      </c>
      <c r="AG43" s="157">
        <v>8</v>
      </c>
      <c r="AH43">
        <v>0</v>
      </c>
      <c r="AI43">
        <v>0</v>
      </c>
      <c r="AJ43">
        <v>0</v>
      </c>
      <c r="AK43">
        <v>0</v>
      </c>
      <c r="AL43">
        <v>0</v>
      </c>
      <c r="AM43">
        <v>0</v>
      </c>
      <c r="AN43">
        <v>0</v>
      </c>
      <c r="AO43">
        <v>8132</v>
      </c>
      <c r="AP43">
        <v>0</v>
      </c>
      <c r="AQ43">
        <v>0</v>
      </c>
      <c r="AR43">
        <v>0</v>
      </c>
      <c r="AS43">
        <v>0</v>
      </c>
      <c r="AT43">
        <v>0</v>
      </c>
      <c r="AU43">
        <v>0</v>
      </c>
    </row>
    <row r="44" spans="1:47" x14ac:dyDescent="0.25">
      <c r="A44">
        <v>9</v>
      </c>
      <c r="B44">
        <v>0</v>
      </c>
      <c r="C44">
        <v>0</v>
      </c>
      <c r="D44">
        <v>0</v>
      </c>
      <c r="E44">
        <v>0</v>
      </c>
      <c r="F44">
        <v>0</v>
      </c>
      <c r="G44">
        <v>0</v>
      </c>
      <c r="H44">
        <v>0</v>
      </c>
      <c r="I44">
        <v>0</v>
      </c>
      <c r="J44">
        <v>108380.98437999999</v>
      </c>
      <c r="K44">
        <v>0</v>
      </c>
      <c r="L44">
        <v>6608.4192199999998</v>
      </c>
      <c r="M44">
        <v>331.16037999999998</v>
      </c>
      <c r="N44">
        <v>0</v>
      </c>
      <c r="O44">
        <v>5032.8784999999998</v>
      </c>
      <c r="Q44">
        <v>9</v>
      </c>
      <c r="R44">
        <v>0</v>
      </c>
      <c r="S44">
        <v>0</v>
      </c>
      <c r="T44">
        <v>0</v>
      </c>
      <c r="U44">
        <v>0</v>
      </c>
      <c r="V44">
        <v>0</v>
      </c>
      <c r="W44">
        <v>0</v>
      </c>
      <c r="X44">
        <v>0</v>
      </c>
      <c r="Y44">
        <v>0</v>
      </c>
      <c r="Z44">
        <v>0</v>
      </c>
      <c r="AA44">
        <v>0</v>
      </c>
      <c r="AB44">
        <v>0</v>
      </c>
      <c r="AC44">
        <v>0</v>
      </c>
      <c r="AD44">
        <v>0</v>
      </c>
      <c r="AE44">
        <v>0</v>
      </c>
      <c r="AG44" s="157">
        <v>9</v>
      </c>
      <c r="AH44">
        <v>0</v>
      </c>
      <c r="AI44">
        <v>0</v>
      </c>
      <c r="AJ44">
        <v>0</v>
      </c>
      <c r="AK44">
        <v>0</v>
      </c>
      <c r="AL44">
        <v>0</v>
      </c>
      <c r="AM44">
        <v>0</v>
      </c>
      <c r="AN44">
        <v>0</v>
      </c>
      <c r="AO44">
        <v>0</v>
      </c>
      <c r="AP44">
        <v>0</v>
      </c>
      <c r="AQ44">
        <v>0</v>
      </c>
      <c r="AR44">
        <v>0</v>
      </c>
      <c r="AS44">
        <v>0</v>
      </c>
      <c r="AT44">
        <v>0</v>
      </c>
      <c r="AU44">
        <v>0</v>
      </c>
    </row>
    <row r="45" spans="1:47" x14ac:dyDescent="0.25">
      <c r="A45">
        <v>10</v>
      </c>
      <c r="B45">
        <v>0</v>
      </c>
      <c r="C45">
        <v>0</v>
      </c>
      <c r="D45">
        <v>0</v>
      </c>
      <c r="E45">
        <v>0</v>
      </c>
      <c r="F45">
        <v>0</v>
      </c>
      <c r="G45">
        <v>0</v>
      </c>
      <c r="H45">
        <v>0</v>
      </c>
      <c r="I45">
        <v>0</v>
      </c>
      <c r="J45">
        <v>0</v>
      </c>
      <c r="K45">
        <v>7775.1381199999996</v>
      </c>
      <c r="L45">
        <v>225.88822999999999</v>
      </c>
      <c r="M45">
        <v>70.77928</v>
      </c>
      <c r="N45">
        <v>0</v>
      </c>
      <c r="O45">
        <v>0</v>
      </c>
      <c r="Q45">
        <v>10</v>
      </c>
      <c r="R45">
        <v>0</v>
      </c>
      <c r="S45">
        <v>0</v>
      </c>
      <c r="T45">
        <v>0</v>
      </c>
      <c r="U45">
        <v>0</v>
      </c>
      <c r="V45">
        <v>0</v>
      </c>
      <c r="W45">
        <v>0</v>
      </c>
      <c r="X45">
        <v>0</v>
      </c>
      <c r="Y45">
        <v>0</v>
      </c>
      <c r="Z45">
        <v>0</v>
      </c>
      <c r="AA45">
        <v>16571</v>
      </c>
      <c r="AB45">
        <v>0</v>
      </c>
      <c r="AC45">
        <v>0</v>
      </c>
      <c r="AD45">
        <v>0</v>
      </c>
      <c r="AE45">
        <v>0</v>
      </c>
      <c r="AG45" s="157">
        <v>10</v>
      </c>
      <c r="AH45">
        <v>0</v>
      </c>
      <c r="AI45">
        <v>0</v>
      </c>
      <c r="AJ45">
        <v>0</v>
      </c>
      <c r="AK45">
        <v>0</v>
      </c>
      <c r="AL45">
        <v>0</v>
      </c>
      <c r="AM45">
        <v>0</v>
      </c>
      <c r="AN45">
        <v>0</v>
      </c>
      <c r="AO45">
        <v>0</v>
      </c>
      <c r="AP45">
        <v>0</v>
      </c>
      <c r="AQ45">
        <v>16571</v>
      </c>
      <c r="AR45">
        <v>0</v>
      </c>
      <c r="AS45">
        <v>0</v>
      </c>
      <c r="AT45">
        <v>0</v>
      </c>
      <c r="AU45">
        <v>0</v>
      </c>
    </row>
    <row r="46" spans="1:47" x14ac:dyDescent="0.25">
      <c r="A46">
        <v>11</v>
      </c>
      <c r="B46">
        <v>0</v>
      </c>
      <c r="C46">
        <v>0</v>
      </c>
      <c r="D46">
        <v>0</v>
      </c>
      <c r="E46">
        <v>0</v>
      </c>
      <c r="F46">
        <v>0</v>
      </c>
      <c r="G46">
        <v>0</v>
      </c>
      <c r="H46">
        <v>0</v>
      </c>
      <c r="I46">
        <v>0</v>
      </c>
      <c r="J46">
        <v>0</v>
      </c>
      <c r="K46">
        <v>0</v>
      </c>
      <c r="L46">
        <v>10057.609920000001</v>
      </c>
      <c r="M46">
        <v>0</v>
      </c>
      <c r="N46">
        <v>0</v>
      </c>
      <c r="O46">
        <v>0</v>
      </c>
      <c r="Q46">
        <v>11</v>
      </c>
      <c r="R46">
        <v>0</v>
      </c>
      <c r="S46">
        <v>0</v>
      </c>
      <c r="T46">
        <v>0</v>
      </c>
      <c r="U46">
        <v>0</v>
      </c>
      <c r="V46">
        <v>0</v>
      </c>
      <c r="W46">
        <v>0</v>
      </c>
      <c r="X46">
        <v>0</v>
      </c>
      <c r="Y46">
        <v>0</v>
      </c>
      <c r="Z46">
        <v>0</v>
      </c>
      <c r="AA46">
        <v>0</v>
      </c>
      <c r="AB46">
        <v>1194</v>
      </c>
      <c r="AC46">
        <v>0</v>
      </c>
      <c r="AD46">
        <v>0</v>
      </c>
      <c r="AE46">
        <v>0</v>
      </c>
      <c r="AG46" s="157">
        <v>11</v>
      </c>
      <c r="AH46">
        <v>0</v>
      </c>
      <c r="AI46">
        <v>0</v>
      </c>
      <c r="AJ46">
        <v>0</v>
      </c>
      <c r="AK46">
        <v>0</v>
      </c>
      <c r="AL46">
        <v>0</v>
      </c>
      <c r="AM46">
        <v>0</v>
      </c>
      <c r="AN46">
        <v>0</v>
      </c>
      <c r="AO46">
        <v>0</v>
      </c>
      <c r="AP46">
        <v>0</v>
      </c>
      <c r="AQ46">
        <v>0</v>
      </c>
      <c r="AR46">
        <v>1194</v>
      </c>
      <c r="AS46">
        <v>0</v>
      </c>
      <c r="AT46">
        <v>0</v>
      </c>
      <c r="AU46">
        <v>0</v>
      </c>
    </row>
    <row r="47" spans="1:47" x14ac:dyDescent="0.25">
      <c r="A47">
        <v>12</v>
      </c>
      <c r="B47">
        <v>0</v>
      </c>
      <c r="C47">
        <v>0</v>
      </c>
      <c r="D47">
        <v>0</v>
      </c>
      <c r="E47">
        <v>0</v>
      </c>
      <c r="F47">
        <v>0</v>
      </c>
      <c r="G47">
        <v>0</v>
      </c>
      <c r="H47">
        <v>0</v>
      </c>
      <c r="I47">
        <v>0</v>
      </c>
      <c r="J47">
        <v>0</v>
      </c>
      <c r="K47">
        <v>0</v>
      </c>
      <c r="L47">
        <v>0</v>
      </c>
      <c r="M47">
        <v>1037.2506800000001</v>
      </c>
      <c r="N47">
        <v>0</v>
      </c>
      <c r="O47">
        <v>0</v>
      </c>
      <c r="Q47">
        <v>12</v>
      </c>
      <c r="R47">
        <v>0</v>
      </c>
      <c r="S47">
        <v>0</v>
      </c>
      <c r="T47">
        <v>0</v>
      </c>
      <c r="U47">
        <v>0</v>
      </c>
      <c r="V47">
        <v>0</v>
      </c>
      <c r="W47">
        <v>0</v>
      </c>
      <c r="X47">
        <v>0</v>
      </c>
      <c r="Y47">
        <v>0</v>
      </c>
      <c r="Z47">
        <v>0</v>
      </c>
      <c r="AA47">
        <v>0</v>
      </c>
      <c r="AB47">
        <v>0</v>
      </c>
      <c r="AC47">
        <v>74</v>
      </c>
      <c r="AD47">
        <v>0</v>
      </c>
      <c r="AE47">
        <v>0</v>
      </c>
      <c r="AG47" s="157">
        <v>12</v>
      </c>
      <c r="AH47">
        <v>0</v>
      </c>
      <c r="AI47">
        <v>0</v>
      </c>
      <c r="AJ47">
        <v>0</v>
      </c>
      <c r="AK47">
        <v>0</v>
      </c>
      <c r="AL47">
        <v>0</v>
      </c>
      <c r="AM47">
        <v>0</v>
      </c>
      <c r="AN47">
        <v>0</v>
      </c>
      <c r="AO47">
        <v>0</v>
      </c>
      <c r="AP47">
        <v>0</v>
      </c>
      <c r="AQ47">
        <v>0</v>
      </c>
      <c r="AR47">
        <v>0</v>
      </c>
      <c r="AS47">
        <v>74</v>
      </c>
      <c r="AT47">
        <v>0</v>
      </c>
      <c r="AU47">
        <v>0</v>
      </c>
    </row>
    <row r="48" spans="1:47" x14ac:dyDescent="0.25">
      <c r="A48">
        <v>13</v>
      </c>
      <c r="B48">
        <v>0</v>
      </c>
      <c r="C48">
        <v>0</v>
      </c>
      <c r="D48">
        <v>0</v>
      </c>
      <c r="E48">
        <v>0</v>
      </c>
      <c r="F48">
        <v>0</v>
      </c>
      <c r="G48">
        <v>0</v>
      </c>
      <c r="H48">
        <v>0</v>
      </c>
      <c r="I48">
        <v>0</v>
      </c>
      <c r="J48">
        <v>123.60966000000001</v>
      </c>
      <c r="K48">
        <v>0</v>
      </c>
      <c r="L48">
        <v>0</v>
      </c>
      <c r="M48">
        <v>0</v>
      </c>
      <c r="N48">
        <v>1216.4272000000001</v>
      </c>
      <c r="O48">
        <v>0</v>
      </c>
      <c r="Q48">
        <v>13</v>
      </c>
      <c r="R48">
        <v>0</v>
      </c>
      <c r="S48">
        <v>0</v>
      </c>
      <c r="T48">
        <v>0</v>
      </c>
      <c r="U48">
        <v>0</v>
      </c>
      <c r="V48">
        <v>0</v>
      </c>
      <c r="W48">
        <v>0</v>
      </c>
      <c r="X48">
        <v>0</v>
      </c>
      <c r="Y48">
        <v>0</v>
      </c>
      <c r="Z48">
        <v>0</v>
      </c>
      <c r="AA48">
        <v>33</v>
      </c>
      <c r="AB48">
        <v>0</v>
      </c>
      <c r="AC48">
        <v>0</v>
      </c>
      <c r="AD48">
        <v>449</v>
      </c>
      <c r="AE48">
        <v>0</v>
      </c>
      <c r="AG48" s="157">
        <v>13</v>
      </c>
      <c r="AH48">
        <v>0</v>
      </c>
      <c r="AI48">
        <v>0</v>
      </c>
      <c r="AJ48">
        <v>0</v>
      </c>
      <c r="AK48">
        <v>0</v>
      </c>
      <c r="AL48">
        <v>0</v>
      </c>
      <c r="AM48">
        <v>0</v>
      </c>
      <c r="AN48">
        <v>0</v>
      </c>
      <c r="AO48">
        <v>0</v>
      </c>
      <c r="AP48">
        <v>0</v>
      </c>
      <c r="AQ48">
        <v>33</v>
      </c>
      <c r="AR48">
        <v>0</v>
      </c>
      <c r="AS48">
        <v>0</v>
      </c>
      <c r="AT48">
        <v>449</v>
      </c>
      <c r="AU48">
        <v>0</v>
      </c>
    </row>
    <row r="49" spans="1:47" x14ac:dyDescent="0.25">
      <c r="A49">
        <v>14</v>
      </c>
      <c r="B49">
        <v>0</v>
      </c>
      <c r="C49">
        <v>0</v>
      </c>
      <c r="D49">
        <v>0</v>
      </c>
      <c r="E49">
        <v>0</v>
      </c>
      <c r="F49">
        <v>0</v>
      </c>
      <c r="G49">
        <v>0</v>
      </c>
      <c r="H49">
        <v>0</v>
      </c>
      <c r="I49">
        <v>0</v>
      </c>
      <c r="J49">
        <v>0</v>
      </c>
      <c r="K49">
        <v>0</v>
      </c>
      <c r="L49">
        <v>0</v>
      </c>
      <c r="M49">
        <v>0</v>
      </c>
      <c r="N49">
        <v>0</v>
      </c>
      <c r="O49">
        <v>959250.83302999998</v>
      </c>
      <c r="Q49">
        <v>14</v>
      </c>
      <c r="R49">
        <v>0</v>
      </c>
      <c r="S49">
        <v>0</v>
      </c>
      <c r="T49">
        <v>0</v>
      </c>
      <c r="U49">
        <v>0</v>
      </c>
      <c r="V49">
        <v>0</v>
      </c>
      <c r="W49">
        <v>0</v>
      </c>
      <c r="X49">
        <v>0</v>
      </c>
      <c r="Y49">
        <v>0</v>
      </c>
      <c r="Z49">
        <v>0</v>
      </c>
      <c r="AA49">
        <v>0</v>
      </c>
      <c r="AB49">
        <v>0</v>
      </c>
      <c r="AC49">
        <v>0</v>
      </c>
      <c r="AD49">
        <v>0</v>
      </c>
      <c r="AE49">
        <v>236110</v>
      </c>
      <c r="AG49" s="157">
        <v>14</v>
      </c>
      <c r="AH49">
        <v>0</v>
      </c>
      <c r="AI49">
        <v>0</v>
      </c>
      <c r="AJ49">
        <v>0</v>
      </c>
      <c r="AK49">
        <v>0</v>
      </c>
      <c r="AL49">
        <v>0</v>
      </c>
      <c r="AM49">
        <v>0</v>
      </c>
      <c r="AN49">
        <v>0</v>
      </c>
      <c r="AO49">
        <v>0</v>
      </c>
      <c r="AP49">
        <v>0</v>
      </c>
      <c r="AQ49">
        <v>0</v>
      </c>
      <c r="AR49">
        <v>0</v>
      </c>
      <c r="AS49">
        <v>0</v>
      </c>
      <c r="AT49">
        <v>0</v>
      </c>
      <c r="AU49">
        <v>236110</v>
      </c>
    </row>
    <row r="50" spans="1:47" x14ac:dyDescent="0.25">
      <c r="A50" t="s">
        <v>121</v>
      </c>
      <c r="Q50" t="s">
        <v>121</v>
      </c>
    </row>
    <row r="51" spans="1:47" x14ac:dyDescent="0.25">
      <c r="B51" t="s">
        <v>208</v>
      </c>
      <c r="C51" t="s">
        <v>209</v>
      </c>
      <c r="D51" t="s">
        <v>210</v>
      </c>
      <c r="E51" t="s">
        <v>211</v>
      </c>
      <c r="F51" t="s">
        <v>212</v>
      </c>
      <c r="G51" t="s">
        <v>213</v>
      </c>
      <c r="H51" t="s">
        <v>214</v>
      </c>
      <c r="I51" t="s">
        <v>215</v>
      </c>
      <c r="J51" t="s">
        <v>216</v>
      </c>
      <c r="K51" t="s">
        <v>400</v>
      </c>
      <c r="L51" t="s">
        <v>401</v>
      </c>
      <c r="M51" t="s">
        <v>402</v>
      </c>
      <c r="N51" t="s">
        <v>403</v>
      </c>
      <c r="O51" t="s">
        <v>404</v>
      </c>
      <c r="R51" t="s">
        <v>208</v>
      </c>
      <c r="S51" t="s">
        <v>209</v>
      </c>
      <c r="T51" t="s">
        <v>210</v>
      </c>
      <c r="U51" t="s">
        <v>211</v>
      </c>
      <c r="V51" t="s">
        <v>212</v>
      </c>
      <c r="W51" t="s">
        <v>213</v>
      </c>
      <c r="X51" t="s">
        <v>214</v>
      </c>
      <c r="Y51" t="s">
        <v>215</v>
      </c>
      <c r="Z51" t="s">
        <v>216</v>
      </c>
      <c r="AA51" t="s">
        <v>400</v>
      </c>
      <c r="AB51" t="s">
        <v>401</v>
      </c>
      <c r="AC51" t="s">
        <v>402</v>
      </c>
      <c r="AD51" t="s">
        <v>403</v>
      </c>
      <c r="AE51" t="s">
        <v>404</v>
      </c>
      <c r="AG51" s="157"/>
      <c r="AH51" t="s">
        <v>208</v>
      </c>
      <c r="AI51" t="s">
        <v>209</v>
      </c>
      <c r="AJ51" t="s">
        <v>210</v>
      </c>
      <c r="AK51" t="s">
        <v>211</v>
      </c>
      <c r="AL51" t="s">
        <v>212</v>
      </c>
      <c r="AM51" t="s">
        <v>213</v>
      </c>
      <c r="AN51" t="s">
        <v>214</v>
      </c>
      <c r="AO51" t="s">
        <v>215</v>
      </c>
      <c r="AP51" t="s">
        <v>216</v>
      </c>
      <c r="AQ51" t="s">
        <v>400</v>
      </c>
      <c r="AR51" t="s">
        <v>401</v>
      </c>
      <c r="AS51" t="s">
        <v>402</v>
      </c>
      <c r="AT51" t="s">
        <v>403</v>
      </c>
      <c r="AU51" t="s">
        <v>404</v>
      </c>
    </row>
    <row r="52" spans="1:47" x14ac:dyDescent="0.25">
      <c r="A52">
        <v>1</v>
      </c>
      <c r="B52">
        <v>475183.17744</v>
      </c>
      <c r="C52">
        <v>49745.782749999998</v>
      </c>
      <c r="D52">
        <v>59583.898150000001</v>
      </c>
      <c r="E52">
        <v>6078.6759000000002</v>
      </c>
      <c r="F52">
        <v>26056.003120000001</v>
      </c>
      <c r="G52">
        <v>2528.48317</v>
      </c>
      <c r="H52">
        <v>224.07056</v>
      </c>
      <c r="I52">
        <v>4361.1678000000002</v>
      </c>
      <c r="J52">
        <v>615.78553999999997</v>
      </c>
      <c r="K52">
        <v>0</v>
      </c>
      <c r="L52">
        <v>223.74852000000001</v>
      </c>
      <c r="M52">
        <v>116.82013999999999</v>
      </c>
      <c r="N52">
        <v>0</v>
      </c>
      <c r="O52">
        <v>0</v>
      </c>
      <c r="Q52">
        <v>1</v>
      </c>
      <c r="R52">
        <v>297521</v>
      </c>
      <c r="S52">
        <v>15881</v>
      </c>
      <c r="T52">
        <v>20733</v>
      </c>
      <c r="U52">
        <v>827</v>
      </c>
      <c r="V52">
        <v>4692</v>
      </c>
      <c r="W52">
        <v>31</v>
      </c>
      <c r="X52">
        <v>0</v>
      </c>
      <c r="Y52">
        <v>0</v>
      </c>
      <c r="Z52">
        <v>0</v>
      </c>
      <c r="AA52">
        <v>0</v>
      </c>
      <c r="AB52">
        <v>0</v>
      </c>
      <c r="AC52">
        <v>0</v>
      </c>
      <c r="AD52">
        <v>0</v>
      </c>
      <c r="AE52">
        <v>0</v>
      </c>
      <c r="AG52" s="157">
        <v>1</v>
      </c>
      <c r="AH52">
        <v>297521</v>
      </c>
      <c r="AI52">
        <v>15881</v>
      </c>
      <c r="AJ52">
        <v>20733</v>
      </c>
      <c r="AK52">
        <v>827</v>
      </c>
      <c r="AL52">
        <v>4692</v>
      </c>
      <c r="AM52">
        <v>31</v>
      </c>
      <c r="AN52">
        <v>0</v>
      </c>
      <c r="AO52">
        <v>0</v>
      </c>
      <c r="AP52">
        <v>0</v>
      </c>
      <c r="AQ52">
        <v>0</v>
      </c>
      <c r="AR52">
        <v>0</v>
      </c>
      <c r="AS52">
        <v>0</v>
      </c>
      <c r="AT52">
        <v>0</v>
      </c>
      <c r="AU52">
        <v>0</v>
      </c>
    </row>
    <row r="53" spans="1:47" x14ac:dyDescent="0.25">
      <c r="A53">
        <v>2</v>
      </c>
      <c r="B53">
        <v>0</v>
      </c>
      <c r="C53">
        <v>7492.3817499999996</v>
      </c>
      <c r="D53">
        <v>0</v>
      </c>
      <c r="E53">
        <v>640.95856000000003</v>
      </c>
      <c r="F53">
        <v>0</v>
      </c>
      <c r="G53">
        <v>36.45082</v>
      </c>
      <c r="H53">
        <v>0</v>
      </c>
      <c r="I53">
        <v>0</v>
      </c>
      <c r="J53">
        <v>0</v>
      </c>
      <c r="K53">
        <v>0</v>
      </c>
      <c r="L53">
        <v>0</v>
      </c>
      <c r="M53">
        <v>0</v>
      </c>
      <c r="N53">
        <v>0</v>
      </c>
      <c r="O53">
        <v>0</v>
      </c>
      <c r="Q53">
        <v>2</v>
      </c>
      <c r="R53">
        <v>1246</v>
      </c>
      <c r="S53">
        <v>2994</v>
      </c>
      <c r="T53">
        <v>146</v>
      </c>
      <c r="U53">
        <v>171</v>
      </c>
      <c r="V53">
        <v>59</v>
      </c>
      <c r="W53">
        <v>12</v>
      </c>
      <c r="X53">
        <v>0</v>
      </c>
      <c r="Y53">
        <v>0</v>
      </c>
      <c r="Z53">
        <v>0</v>
      </c>
      <c r="AA53">
        <v>0</v>
      </c>
      <c r="AB53">
        <v>0</v>
      </c>
      <c r="AC53">
        <v>0</v>
      </c>
      <c r="AD53">
        <v>0</v>
      </c>
      <c r="AE53">
        <v>0</v>
      </c>
      <c r="AG53" s="157">
        <v>2</v>
      </c>
      <c r="AH53">
        <v>1246</v>
      </c>
      <c r="AI53">
        <v>2994</v>
      </c>
      <c r="AJ53">
        <v>146</v>
      </c>
      <c r="AK53">
        <v>171</v>
      </c>
      <c r="AL53">
        <v>59</v>
      </c>
      <c r="AM53">
        <v>12</v>
      </c>
      <c r="AN53">
        <v>0</v>
      </c>
      <c r="AO53">
        <v>0</v>
      </c>
      <c r="AP53">
        <v>0</v>
      </c>
      <c r="AQ53">
        <v>0</v>
      </c>
      <c r="AR53">
        <v>0</v>
      </c>
      <c r="AS53">
        <v>0</v>
      </c>
      <c r="AT53">
        <v>0</v>
      </c>
      <c r="AU53">
        <v>0</v>
      </c>
    </row>
    <row r="54" spans="1:47" x14ac:dyDescent="0.25">
      <c r="A54">
        <v>3</v>
      </c>
      <c r="B54">
        <v>36098.2984</v>
      </c>
      <c r="C54">
        <v>4523.7521900000002</v>
      </c>
      <c r="D54">
        <v>17196.23432</v>
      </c>
      <c r="E54">
        <v>1048.15752</v>
      </c>
      <c r="F54">
        <v>2490.3839800000001</v>
      </c>
      <c r="G54">
        <v>0</v>
      </c>
      <c r="H54">
        <v>112.84287</v>
      </c>
      <c r="I54">
        <v>909.47104000000002</v>
      </c>
      <c r="J54">
        <v>1557.1419900000001</v>
      </c>
      <c r="K54">
        <v>205.77510000000001</v>
      </c>
      <c r="L54">
        <v>111.87426000000001</v>
      </c>
      <c r="M54">
        <v>20.368780000000001</v>
      </c>
      <c r="N54">
        <v>0</v>
      </c>
      <c r="O54">
        <v>0</v>
      </c>
      <c r="Q54">
        <v>3</v>
      </c>
      <c r="R54">
        <v>0</v>
      </c>
      <c r="S54">
        <v>0</v>
      </c>
      <c r="T54">
        <v>7629</v>
      </c>
      <c r="U54">
        <v>313</v>
      </c>
      <c r="V54">
        <v>416</v>
      </c>
      <c r="W54">
        <v>3</v>
      </c>
      <c r="X54">
        <v>0</v>
      </c>
      <c r="Y54">
        <v>0</v>
      </c>
      <c r="Z54">
        <v>0</v>
      </c>
      <c r="AA54">
        <v>2</v>
      </c>
      <c r="AB54">
        <v>0</v>
      </c>
      <c r="AC54">
        <v>0</v>
      </c>
      <c r="AD54">
        <v>0</v>
      </c>
      <c r="AE54">
        <v>0</v>
      </c>
      <c r="AG54" s="157">
        <v>3</v>
      </c>
      <c r="AH54">
        <v>0</v>
      </c>
      <c r="AI54">
        <v>0</v>
      </c>
      <c r="AJ54">
        <v>7629</v>
      </c>
      <c r="AK54">
        <v>313</v>
      </c>
      <c r="AL54">
        <v>416</v>
      </c>
      <c r="AM54">
        <v>3</v>
      </c>
      <c r="AN54">
        <v>0</v>
      </c>
      <c r="AO54">
        <v>0</v>
      </c>
      <c r="AP54">
        <v>0</v>
      </c>
      <c r="AQ54">
        <v>2</v>
      </c>
      <c r="AR54">
        <v>0</v>
      </c>
      <c r="AS54">
        <v>0</v>
      </c>
      <c r="AT54">
        <v>0</v>
      </c>
      <c r="AU54">
        <v>0</v>
      </c>
    </row>
    <row r="55" spans="1:47" x14ac:dyDescent="0.25">
      <c r="A55">
        <v>4</v>
      </c>
      <c r="B55">
        <v>0</v>
      </c>
      <c r="C55">
        <v>298.39301999999998</v>
      </c>
      <c r="D55">
        <v>0</v>
      </c>
      <c r="E55">
        <v>0</v>
      </c>
      <c r="F55">
        <v>0</v>
      </c>
      <c r="G55">
        <v>0</v>
      </c>
      <c r="H55">
        <v>0</v>
      </c>
      <c r="I55">
        <v>0</v>
      </c>
      <c r="J55">
        <v>0</v>
      </c>
      <c r="K55">
        <v>0</v>
      </c>
      <c r="L55">
        <v>0</v>
      </c>
      <c r="M55">
        <v>0</v>
      </c>
      <c r="N55">
        <v>0</v>
      </c>
      <c r="O55">
        <v>0</v>
      </c>
      <c r="Q55">
        <v>4</v>
      </c>
      <c r="R55">
        <v>0</v>
      </c>
      <c r="S55">
        <v>0</v>
      </c>
      <c r="T55">
        <v>53</v>
      </c>
      <c r="U55">
        <v>72</v>
      </c>
      <c r="V55">
        <v>5</v>
      </c>
      <c r="W55">
        <v>1</v>
      </c>
      <c r="X55">
        <v>0</v>
      </c>
      <c r="Y55">
        <v>0</v>
      </c>
      <c r="Z55">
        <v>0</v>
      </c>
      <c r="AA55">
        <v>0</v>
      </c>
      <c r="AB55">
        <v>0</v>
      </c>
      <c r="AC55">
        <v>0</v>
      </c>
      <c r="AD55">
        <v>0</v>
      </c>
      <c r="AE55">
        <v>0</v>
      </c>
      <c r="AG55" s="157">
        <v>4</v>
      </c>
      <c r="AH55">
        <v>0</v>
      </c>
      <c r="AI55">
        <v>0</v>
      </c>
      <c r="AJ55">
        <v>53</v>
      </c>
      <c r="AK55">
        <v>72</v>
      </c>
      <c r="AL55">
        <v>5</v>
      </c>
      <c r="AM55">
        <v>1</v>
      </c>
      <c r="AN55">
        <v>0</v>
      </c>
      <c r="AO55">
        <v>0</v>
      </c>
      <c r="AP55">
        <v>0</v>
      </c>
      <c r="AQ55">
        <v>0</v>
      </c>
      <c r="AR55">
        <v>0</v>
      </c>
      <c r="AS55">
        <v>0</v>
      </c>
      <c r="AT55">
        <v>0</v>
      </c>
      <c r="AU55">
        <v>0</v>
      </c>
    </row>
    <row r="56" spans="1:47" x14ac:dyDescent="0.25">
      <c r="A56">
        <v>5</v>
      </c>
      <c r="B56">
        <v>1461.04441</v>
      </c>
      <c r="C56">
        <v>0</v>
      </c>
      <c r="D56">
        <v>0</v>
      </c>
      <c r="E56">
        <v>0</v>
      </c>
      <c r="F56">
        <v>5613.7472299999999</v>
      </c>
      <c r="G56">
        <v>1800.01126</v>
      </c>
      <c r="H56">
        <v>0</v>
      </c>
      <c r="I56">
        <v>0</v>
      </c>
      <c r="J56">
        <v>497.00704999999999</v>
      </c>
      <c r="K56">
        <v>0</v>
      </c>
      <c r="L56">
        <v>0</v>
      </c>
      <c r="M56">
        <v>0</v>
      </c>
      <c r="N56">
        <v>0</v>
      </c>
      <c r="O56">
        <v>0</v>
      </c>
      <c r="Q56">
        <v>5</v>
      </c>
      <c r="R56">
        <v>0</v>
      </c>
      <c r="S56">
        <v>0</v>
      </c>
      <c r="T56">
        <v>0</v>
      </c>
      <c r="U56">
        <v>0</v>
      </c>
      <c r="V56">
        <v>1290</v>
      </c>
      <c r="W56">
        <v>13</v>
      </c>
      <c r="X56">
        <v>0</v>
      </c>
      <c r="Y56">
        <v>0</v>
      </c>
      <c r="Z56">
        <v>0</v>
      </c>
      <c r="AA56">
        <v>0</v>
      </c>
      <c r="AB56">
        <v>0</v>
      </c>
      <c r="AC56">
        <v>0</v>
      </c>
      <c r="AD56">
        <v>0</v>
      </c>
      <c r="AE56">
        <v>0</v>
      </c>
      <c r="AG56" s="157">
        <v>5</v>
      </c>
      <c r="AH56">
        <v>0</v>
      </c>
      <c r="AI56">
        <v>0</v>
      </c>
      <c r="AJ56">
        <v>0</v>
      </c>
      <c r="AK56">
        <v>0</v>
      </c>
      <c r="AL56">
        <v>1290</v>
      </c>
      <c r="AM56">
        <v>13</v>
      </c>
      <c r="AN56">
        <v>0</v>
      </c>
      <c r="AO56">
        <v>0</v>
      </c>
      <c r="AP56">
        <v>0</v>
      </c>
      <c r="AQ56">
        <v>0</v>
      </c>
      <c r="AR56">
        <v>0</v>
      </c>
      <c r="AS56">
        <v>0</v>
      </c>
      <c r="AT56">
        <v>0</v>
      </c>
      <c r="AU56">
        <v>0</v>
      </c>
    </row>
    <row r="57" spans="1:47" x14ac:dyDescent="0.25">
      <c r="A57">
        <v>6</v>
      </c>
      <c r="B57">
        <v>0</v>
      </c>
      <c r="C57">
        <v>0</v>
      </c>
      <c r="D57">
        <v>0</v>
      </c>
      <c r="E57">
        <v>0</v>
      </c>
      <c r="F57">
        <v>0</v>
      </c>
      <c r="G57">
        <v>0</v>
      </c>
      <c r="H57">
        <v>0</v>
      </c>
      <c r="I57">
        <v>0</v>
      </c>
      <c r="J57">
        <v>0</v>
      </c>
      <c r="K57">
        <v>0</v>
      </c>
      <c r="L57">
        <v>0</v>
      </c>
      <c r="M57">
        <v>0</v>
      </c>
      <c r="N57">
        <v>0</v>
      </c>
      <c r="O57">
        <v>0</v>
      </c>
      <c r="Q57">
        <v>6</v>
      </c>
      <c r="R57">
        <v>0</v>
      </c>
      <c r="S57">
        <v>0</v>
      </c>
      <c r="T57">
        <v>0</v>
      </c>
      <c r="U57">
        <v>0</v>
      </c>
      <c r="V57">
        <v>15</v>
      </c>
      <c r="W57">
        <v>2</v>
      </c>
      <c r="X57">
        <v>0</v>
      </c>
      <c r="Y57">
        <v>0</v>
      </c>
      <c r="Z57">
        <v>0</v>
      </c>
      <c r="AA57">
        <v>0</v>
      </c>
      <c r="AB57">
        <v>0</v>
      </c>
      <c r="AC57">
        <v>0</v>
      </c>
      <c r="AD57">
        <v>0</v>
      </c>
      <c r="AE57">
        <v>0</v>
      </c>
      <c r="AG57" s="157">
        <v>6</v>
      </c>
      <c r="AH57">
        <v>0</v>
      </c>
      <c r="AI57">
        <v>0</v>
      </c>
      <c r="AJ57">
        <v>0</v>
      </c>
      <c r="AK57">
        <v>0</v>
      </c>
      <c r="AL57">
        <v>15</v>
      </c>
      <c r="AM57">
        <v>2</v>
      </c>
      <c r="AN57">
        <v>0</v>
      </c>
      <c r="AO57">
        <v>0</v>
      </c>
      <c r="AP57">
        <v>0</v>
      </c>
      <c r="AQ57">
        <v>0</v>
      </c>
      <c r="AR57">
        <v>0</v>
      </c>
      <c r="AS57">
        <v>0</v>
      </c>
      <c r="AT57">
        <v>0</v>
      </c>
      <c r="AU57">
        <v>0</v>
      </c>
    </row>
    <row r="58" spans="1:47" x14ac:dyDescent="0.25">
      <c r="A58">
        <v>7</v>
      </c>
      <c r="B58">
        <v>56980.855750000002</v>
      </c>
      <c r="C58">
        <v>2822.89896</v>
      </c>
      <c r="D58">
        <v>22653.358209999999</v>
      </c>
      <c r="E58">
        <v>0</v>
      </c>
      <c r="F58">
        <v>4642.9263899999996</v>
      </c>
      <c r="G58">
        <v>1046.6638</v>
      </c>
      <c r="H58">
        <v>9702.8818699999993</v>
      </c>
      <c r="I58">
        <v>12938.608120000001</v>
      </c>
      <c r="J58">
        <v>86807.661829999997</v>
      </c>
      <c r="K58">
        <v>38635.851029999998</v>
      </c>
      <c r="L58">
        <v>15924.738509999999</v>
      </c>
      <c r="M58">
        <v>49851.734270000001</v>
      </c>
      <c r="N58">
        <v>1682.05898</v>
      </c>
      <c r="O58">
        <v>0</v>
      </c>
      <c r="Q58">
        <v>7</v>
      </c>
      <c r="R58">
        <v>0</v>
      </c>
      <c r="S58">
        <v>0</v>
      </c>
      <c r="T58">
        <v>8359</v>
      </c>
      <c r="U58">
        <v>49</v>
      </c>
      <c r="V58">
        <v>1015</v>
      </c>
      <c r="W58">
        <v>3</v>
      </c>
      <c r="X58">
        <v>201224</v>
      </c>
      <c r="Y58">
        <v>0</v>
      </c>
      <c r="Z58">
        <v>0</v>
      </c>
      <c r="AA58">
        <v>435</v>
      </c>
      <c r="AB58">
        <v>0</v>
      </c>
      <c r="AC58">
        <v>0</v>
      </c>
      <c r="AD58">
        <v>1962</v>
      </c>
      <c r="AE58">
        <v>0</v>
      </c>
      <c r="AG58" s="157">
        <v>7</v>
      </c>
      <c r="AH58">
        <v>0</v>
      </c>
      <c r="AI58">
        <v>0</v>
      </c>
      <c r="AJ58">
        <v>8359</v>
      </c>
      <c r="AK58">
        <v>49</v>
      </c>
      <c r="AL58">
        <v>1015</v>
      </c>
      <c r="AM58">
        <v>3</v>
      </c>
      <c r="AN58">
        <v>201224</v>
      </c>
      <c r="AO58">
        <v>0</v>
      </c>
      <c r="AP58">
        <v>0</v>
      </c>
      <c r="AQ58">
        <v>435</v>
      </c>
      <c r="AR58">
        <v>0</v>
      </c>
      <c r="AS58">
        <v>0</v>
      </c>
      <c r="AT58">
        <v>1962</v>
      </c>
      <c r="AU58">
        <v>0</v>
      </c>
    </row>
    <row r="59" spans="1:47" x14ac:dyDescent="0.25">
      <c r="A59">
        <v>8</v>
      </c>
      <c r="B59">
        <v>1419.346</v>
      </c>
      <c r="C59">
        <v>0</v>
      </c>
      <c r="D59">
        <v>0</v>
      </c>
      <c r="E59">
        <v>0</v>
      </c>
      <c r="F59">
        <v>0</v>
      </c>
      <c r="G59">
        <v>0</v>
      </c>
      <c r="H59">
        <v>0</v>
      </c>
      <c r="I59">
        <v>1393.48236</v>
      </c>
      <c r="J59">
        <v>503.83353</v>
      </c>
      <c r="K59">
        <v>0</v>
      </c>
      <c r="L59">
        <v>0</v>
      </c>
      <c r="M59">
        <v>0</v>
      </c>
      <c r="N59">
        <v>0</v>
      </c>
      <c r="O59">
        <v>0</v>
      </c>
      <c r="Q59">
        <v>8</v>
      </c>
      <c r="R59">
        <v>0</v>
      </c>
      <c r="S59">
        <v>0</v>
      </c>
      <c r="T59">
        <v>0</v>
      </c>
      <c r="U59">
        <v>0</v>
      </c>
      <c r="V59">
        <v>0</v>
      </c>
      <c r="W59">
        <v>0</v>
      </c>
      <c r="X59">
        <v>0</v>
      </c>
      <c r="Y59">
        <v>2539</v>
      </c>
      <c r="Z59">
        <v>0</v>
      </c>
      <c r="AA59">
        <v>0</v>
      </c>
      <c r="AB59">
        <v>0</v>
      </c>
      <c r="AC59">
        <v>0</v>
      </c>
      <c r="AD59">
        <v>0</v>
      </c>
      <c r="AE59">
        <v>0</v>
      </c>
      <c r="AG59" s="157">
        <v>8</v>
      </c>
      <c r="AH59">
        <v>0</v>
      </c>
      <c r="AI59">
        <v>0</v>
      </c>
      <c r="AJ59">
        <v>0</v>
      </c>
      <c r="AK59">
        <v>0</v>
      </c>
      <c r="AL59">
        <v>0</v>
      </c>
      <c r="AM59">
        <v>0</v>
      </c>
      <c r="AN59">
        <v>0</v>
      </c>
      <c r="AO59">
        <v>2539</v>
      </c>
      <c r="AP59">
        <v>0</v>
      </c>
      <c r="AQ59">
        <v>0</v>
      </c>
      <c r="AR59">
        <v>0</v>
      </c>
      <c r="AS59">
        <v>0</v>
      </c>
      <c r="AT59">
        <v>0</v>
      </c>
      <c r="AU59">
        <v>0</v>
      </c>
    </row>
    <row r="60" spans="1:47" x14ac:dyDescent="0.25">
      <c r="A60">
        <v>9</v>
      </c>
      <c r="B60">
        <v>1821.29186</v>
      </c>
      <c r="C60">
        <v>0</v>
      </c>
      <c r="D60">
        <v>307.83839</v>
      </c>
      <c r="E60">
        <v>0</v>
      </c>
      <c r="F60">
        <v>0</v>
      </c>
      <c r="G60">
        <v>0</v>
      </c>
      <c r="H60">
        <v>961.57952</v>
      </c>
      <c r="I60">
        <v>257.36313999999999</v>
      </c>
      <c r="J60">
        <v>1039.5472400000001</v>
      </c>
      <c r="K60">
        <v>252.90235999999999</v>
      </c>
      <c r="L60">
        <v>30.008050000000001</v>
      </c>
      <c r="M60">
        <v>913.27135999999996</v>
      </c>
      <c r="N60">
        <v>0</v>
      </c>
      <c r="O60">
        <v>0</v>
      </c>
      <c r="Q60">
        <v>9</v>
      </c>
      <c r="R60">
        <v>0</v>
      </c>
      <c r="S60">
        <v>0</v>
      </c>
      <c r="T60">
        <v>0</v>
      </c>
      <c r="U60">
        <v>0</v>
      </c>
      <c r="V60">
        <v>0</v>
      </c>
      <c r="W60">
        <v>0</v>
      </c>
      <c r="X60">
        <v>0</v>
      </c>
      <c r="Y60">
        <v>0</v>
      </c>
      <c r="Z60">
        <v>0</v>
      </c>
      <c r="AA60">
        <v>0</v>
      </c>
      <c r="AB60">
        <v>0</v>
      </c>
      <c r="AC60">
        <v>0</v>
      </c>
      <c r="AD60">
        <v>0</v>
      </c>
      <c r="AE60">
        <v>0</v>
      </c>
      <c r="AG60" s="157">
        <v>9</v>
      </c>
      <c r="AH60">
        <v>0</v>
      </c>
      <c r="AI60">
        <v>0</v>
      </c>
      <c r="AJ60">
        <v>0</v>
      </c>
      <c r="AK60">
        <v>0</v>
      </c>
      <c r="AL60">
        <v>0</v>
      </c>
      <c r="AM60">
        <v>0</v>
      </c>
      <c r="AN60">
        <v>0</v>
      </c>
      <c r="AO60">
        <v>0</v>
      </c>
      <c r="AP60">
        <v>0</v>
      </c>
      <c r="AQ60">
        <v>0</v>
      </c>
      <c r="AR60">
        <v>0</v>
      </c>
      <c r="AS60">
        <v>0</v>
      </c>
      <c r="AT60">
        <v>0</v>
      </c>
      <c r="AU60">
        <v>0</v>
      </c>
    </row>
    <row r="61" spans="1:47" x14ac:dyDescent="0.25">
      <c r="A61">
        <v>10</v>
      </c>
      <c r="B61">
        <v>733.91264000000001</v>
      </c>
      <c r="C61">
        <v>0</v>
      </c>
      <c r="D61">
        <v>0</v>
      </c>
      <c r="E61">
        <v>0</v>
      </c>
      <c r="F61">
        <v>0</v>
      </c>
      <c r="G61">
        <v>0</v>
      </c>
      <c r="H61">
        <v>0</v>
      </c>
      <c r="I61">
        <v>0</v>
      </c>
      <c r="J61">
        <v>0</v>
      </c>
      <c r="K61">
        <v>0</v>
      </c>
      <c r="L61">
        <v>0</v>
      </c>
      <c r="M61">
        <v>369.28928000000002</v>
      </c>
      <c r="N61">
        <v>0</v>
      </c>
      <c r="O61">
        <v>0</v>
      </c>
      <c r="Q61">
        <v>10</v>
      </c>
      <c r="R61">
        <v>0</v>
      </c>
      <c r="S61">
        <v>0</v>
      </c>
      <c r="T61">
        <v>0</v>
      </c>
      <c r="U61">
        <v>0</v>
      </c>
      <c r="V61">
        <v>0</v>
      </c>
      <c r="W61">
        <v>0</v>
      </c>
      <c r="X61">
        <v>0</v>
      </c>
      <c r="Y61">
        <v>0</v>
      </c>
      <c r="Z61">
        <v>0</v>
      </c>
      <c r="AA61">
        <v>10</v>
      </c>
      <c r="AB61">
        <v>0</v>
      </c>
      <c r="AC61">
        <v>0</v>
      </c>
      <c r="AD61">
        <v>0</v>
      </c>
      <c r="AE61">
        <v>0</v>
      </c>
      <c r="AG61" s="157">
        <v>10</v>
      </c>
      <c r="AH61">
        <v>0</v>
      </c>
      <c r="AI61">
        <v>0</v>
      </c>
      <c r="AJ61">
        <v>0</v>
      </c>
      <c r="AK61">
        <v>0</v>
      </c>
      <c r="AL61">
        <v>0</v>
      </c>
      <c r="AM61">
        <v>0</v>
      </c>
      <c r="AN61">
        <v>0</v>
      </c>
      <c r="AO61">
        <v>0</v>
      </c>
      <c r="AP61">
        <v>0</v>
      </c>
      <c r="AQ61">
        <v>10</v>
      </c>
      <c r="AR61">
        <v>0</v>
      </c>
      <c r="AS61">
        <v>0</v>
      </c>
      <c r="AT61">
        <v>0</v>
      </c>
      <c r="AU61">
        <v>0</v>
      </c>
    </row>
    <row r="62" spans="1:47" x14ac:dyDescent="0.25">
      <c r="A62">
        <v>11</v>
      </c>
      <c r="B62">
        <v>0</v>
      </c>
      <c r="C62">
        <v>0</v>
      </c>
      <c r="D62">
        <v>0</v>
      </c>
      <c r="E62">
        <v>0</v>
      </c>
      <c r="F62">
        <v>0</v>
      </c>
      <c r="G62">
        <v>0</v>
      </c>
      <c r="H62">
        <v>0</v>
      </c>
      <c r="I62">
        <v>0</v>
      </c>
      <c r="J62">
        <v>0</v>
      </c>
      <c r="K62">
        <v>0</v>
      </c>
      <c r="L62">
        <v>0</v>
      </c>
      <c r="M62">
        <v>0</v>
      </c>
      <c r="N62">
        <v>0</v>
      </c>
      <c r="O62">
        <v>0</v>
      </c>
      <c r="Q62">
        <v>11</v>
      </c>
      <c r="R62">
        <v>0</v>
      </c>
      <c r="S62">
        <v>0</v>
      </c>
      <c r="T62">
        <v>0</v>
      </c>
      <c r="U62">
        <v>0</v>
      </c>
      <c r="V62">
        <v>0</v>
      </c>
      <c r="W62">
        <v>0</v>
      </c>
      <c r="X62">
        <v>0</v>
      </c>
      <c r="Y62">
        <v>0</v>
      </c>
      <c r="Z62">
        <v>0</v>
      </c>
      <c r="AA62">
        <v>0</v>
      </c>
      <c r="AB62">
        <v>0</v>
      </c>
      <c r="AC62">
        <v>0</v>
      </c>
      <c r="AD62">
        <v>0</v>
      </c>
      <c r="AE62">
        <v>0</v>
      </c>
      <c r="AG62" s="157">
        <v>11</v>
      </c>
      <c r="AH62">
        <v>0</v>
      </c>
      <c r="AI62">
        <v>0</v>
      </c>
      <c r="AJ62">
        <v>0</v>
      </c>
      <c r="AK62">
        <v>0</v>
      </c>
      <c r="AL62">
        <v>0</v>
      </c>
      <c r="AM62">
        <v>0</v>
      </c>
      <c r="AN62">
        <v>0</v>
      </c>
      <c r="AO62">
        <v>0</v>
      </c>
      <c r="AP62">
        <v>0</v>
      </c>
      <c r="AQ62">
        <v>0</v>
      </c>
      <c r="AR62">
        <v>0</v>
      </c>
      <c r="AS62">
        <v>0</v>
      </c>
      <c r="AT62">
        <v>0</v>
      </c>
      <c r="AU62">
        <v>0</v>
      </c>
    </row>
    <row r="63" spans="1:47" x14ac:dyDescent="0.25">
      <c r="A63">
        <v>12</v>
      </c>
      <c r="B63">
        <v>0</v>
      </c>
      <c r="C63">
        <v>0</v>
      </c>
      <c r="D63">
        <v>692.68317999999999</v>
      </c>
      <c r="E63">
        <v>0</v>
      </c>
      <c r="F63">
        <v>0</v>
      </c>
      <c r="G63">
        <v>0</v>
      </c>
      <c r="H63">
        <v>0</v>
      </c>
      <c r="I63">
        <v>0</v>
      </c>
      <c r="J63">
        <v>0</v>
      </c>
      <c r="K63">
        <v>0</v>
      </c>
      <c r="L63">
        <v>0</v>
      </c>
      <c r="M63">
        <v>0</v>
      </c>
      <c r="N63">
        <v>0</v>
      </c>
      <c r="O63">
        <v>0</v>
      </c>
      <c r="Q63">
        <v>12</v>
      </c>
      <c r="R63">
        <v>0</v>
      </c>
      <c r="S63">
        <v>0</v>
      </c>
      <c r="T63">
        <v>0</v>
      </c>
      <c r="U63">
        <v>0</v>
      </c>
      <c r="V63">
        <v>0</v>
      </c>
      <c r="W63">
        <v>0</v>
      </c>
      <c r="X63">
        <v>0</v>
      </c>
      <c r="Y63">
        <v>0</v>
      </c>
      <c r="Z63">
        <v>0</v>
      </c>
      <c r="AA63">
        <v>0</v>
      </c>
      <c r="AB63">
        <v>0</v>
      </c>
      <c r="AC63">
        <v>0</v>
      </c>
      <c r="AD63">
        <v>0</v>
      </c>
      <c r="AE63">
        <v>0</v>
      </c>
      <c r="AG63" s="157">
        <v>12</v>
      </c>
      <c r="AH63">
        <v>0</v>
      </c>
      <c r="AI63">
        <v>0</v>
      </c>
      <c r="AJ63">
        <v>0</v>
      </c>
      <c r="AK63">
        <v>0</v>
      </c>
      <c r="AL63">
        <v>0</v>
      </c>
      <c r="AM63">
        <v>0</v>
      </c>
      <c r="AN63">
        <v>0</v>
      </c>
      <c r="AO63">
        <v>0</v>
      </c>
      <c r="AP63">
        <v>0</v>
      </c>
      <c r="AQ63">
        <v>0</v>
      </c>
      <c r="AR63">
        <v>0</v>
      </c>
      <c r="AS63">
        <v>0</v>
      </c>
      <c r="AT63">
        <v>0</v>
      </c>
      <c r="AU63">
        <v>0</v>
      </c>
    </row>
    <row r="64" spans="1:47" x14ac:dyDescent="0.25">
      <c r="A64">
        <v>13</v>
      </c>
      <c r="B64">
        <v>2524.7735600000001</v>
      </c>
      <c r="C64">
        <v>87.105360000000005</v>
      </c>
      <c r="D64">
        <v>524.46555999999998</v>
      </c>
      <c r="E64">
        <v>0</v>
      </c>
      <c r="F64">
        <v>0</v>
      </c>
      <c r="G64">
        <v>92.561769999999996</v>
      </c>
      <c r="H64">
        <v>0</v>
      </c>
      <c r="I64">
        <v>0</v>
      </c>
      <c r="J64">
        <v>1409.07907</v>
      </c>
      <c r="K64">
        <v>2339.7333100000001</v>
      </c>
      <c r="L64">
        <v>311.96030999999999</v>
      </c>
      <c r="M64">
        <v>1011.27453</v>
      </c>
      <c r="N64">
        <v>0</v>
      </c>
      <c r="O64">
        <v>0</v>
      </c>
      <c r="Q64">
        <v>13</v>
      </c>
      <c r="R64">
        <v>0</v>
      </c>
      <c r="S64">
        <v>0</v>
      </c>
      <c r="T64">
        <v>0</v>
      </c>
      <c r="U64">
        <v>0</v>
      </c>
      <c r="V64">
        <v>0</v>
      </c>
      <c r="W64">
        <v>0</v>
      </c>
      <c r="X64">
        <v>0</v>
      </c>
      <c r="Y64">
        <v>0</v>
      </c>
      <c r="Z64">
        <v>0</v>
      </c>
      <c r="AA64">
        <v>191</v>
      </c>
      <c r="AB64">
        <v>0</v>
      </c>
      <c r="AC64">
        <v>0</v>
      </c>
      <c r="AD64">
        <v>5950</v>
      </c>
      <c r="AE64">
        <v>0</v>
      </c>
      <c r="AG64" s="157">
        <v>13</v>
      </c>
      <c r="AH64">
        <v>0</v>
      </c>
      <c r="AI64">
        <v>0</v>
      </c>
      <c r="AJ64">
        <v>0</v>
      </c>
      <c r="AK64">
        <v>0</v>
      </c>
      <c r="AL64">
        <v>0</v>
      </c>
      <c r="AM64">
        <v>0</v>
      </c>
      <c r="AN64">
        <v>0</v>
      </c>
      <c r="AO64">
        <v>0</v>
      </c>
      <c r="AP64">
        <v>0</v>
      </c>
      <c r="AQ64">
        <v>191</v>
      </c>
      <c r="AR64">
        <v>0</v>
      </c>
      <c r="AS64">
        <v>0</v>
      </c>
      <c r="AT64">
        <v>5950</v>
      </c>
      <c r="AU64">
        <v>0</v>
      </c>
    </row>
    <row r="65" spans="1:47" x14ac:dyDescent="0.25">
      <c r="A65">
        <v>14</v>
      </c>
      <c r="B65">
        <v>1731.0138400000001</v>
      </c>
      <c r="C65">
        <v>0</v>
      </c>
      <c r="D65">
        <v>0</v>
      </c>
      <c r="E65">
        <v>0</v>
      </c>
      <c r="F65">
        <v>0</v>
      </c>
      <c r="G65">
        <v>0</v>
      </c>
      <c r="H65">
        <v>0</v>
      </c>
      <c r="I65">
        <v>0</v>
      </c>
      <c r="J65">
        <v>0</v>
      </c>
      <c r="K65">
        <v>0</v>
      </c>
      <c r="L65">
        <v>0</v>
      </c>
      <c r="M65">
        <v>0</v>
      </c>
      <c r="N65">
        <v>0</v>
      </c>
      <c r="O65">
        <v>50.257860000000001</v>
      </c>
      <c r="Q65">
        <v>14</v>
      </c>
      <c r="R65">
        <v>0</v>
      </c>
      <c r="S65">
        <v>0</v>
      </c>
      <c r="T65">
        <v>0</v>
      </c>
      <c r="U65">
        <v>0</v>
      </c>
      <c r="V65">
        <v>0</v>
      </c>
      <c r="W65">
        <v>0</v>
      </c>
      <c r="X65">
        <v>0</v>
      </c>
      <c r="Y65">
        <v>0</v>
      </c>
      <c r="Z65">
        <v>0</v>
      </c>
      <c r="AA65">
        <v>0</v>
      </c>
      <c r="AB65">
        <v>0</v>
      </c>
      <c r="AC65">
        <v>0</v>
      </c>
      <c r="AD65">
        <v>0</v>
      </c>
      <c r="AE65">
        <v>0</v>
      </c>
      <c r="AG65" s="157">
        <v>14</v>
      </c>
      <c r="AH65">
        <v>0</v>
      </c>
      <c r="AI65">
        <v>0</v>
      </c>
      <c r="AJ65">
        <v>0</v>
      </c>
      <c r="AK65">
        <v>0</v>
      </c>
      <c r="AL65">
        <v>0</v>
      </c>
      <c r="AM65">
        <v>0</v>
      </c>
      <c r="AN65">
        <v>0</v>
      </c>
      <c r="AO65">
        <v>0</v>
      </c>
      <c r="AP65">
        <v>0</v>
      </c>
      <c r="AQ65">
        <v>0</v>
      </c>
      <c r="AR65">
        <v>0</v>
      </c>
      <c r="AS65">
        <v>0</v>
      </c>
      <c r="AT65">
        <v>0</v>
      </c>
      <c r="AU65">
        <v>0</v>
      </c>
    </row>
    <row r="66" spans="1:47" x14ac:dyDescent="0.25">
      <c r="A66" t="s">
        <v>194</v>
      </c>
      <c r="Q66" t="s">
        <v>194</v>
      </c>
    </row>
    <row r="67" spans="1:47" x14ac:dyDescent="0.25">
      <c r="B67" t="s">
        <v>208</v>
      </c>
      <c r="C67" t="s">
        <v>209</v>
      </c>
      <c r="D67" t="s">
        <v>210</v>
      </c>
      <c r="E67" t="s">
        <v>211</v>
      </c>
      <c r="F67" t="s">
        <v>212</v>
      </c>
      <c r="G67" t="s">
        <v>213</v>
      </c>
      <c r="H67" t="s">
        <v>214</v>
      </c>
      <c r="I67" t="s">
        <v>215</v>
      </c>
      <c r="J67" t="s">
        <v>216</v>
      </c>
      <c r="K67" t="s">
        <v>400</v>
      </c>
      <c r="L67" t="s">
        <v>401</v>
      </c>
      <c r="M67" t="s">
        <v>402</v>
      </c>
      <c r="N67" t="s">
        <v>403</v>
      </c>
      <c r="O67" t="s">
        <v>404</v>
      </c>
      <c r="R67" t="s">
        <v>208</v>
      </c>
      <c r="S67" t="s">
        <v>209</v>
      </c>
      <c r="T67" t="s">
        <v>210</v>
      </c>
      <c r="U67" t="s">
        <v>211</v>
      </c>
      <c r="V67" t="s">
        <v>212</v>
      </c>
      <c r="W67" t="s">
        <v>213</v>
      </c>
      <c r="X67" t="s">
        <v>214</v>
      </c>
      <c r="Y67" t="s">
        <v>215</v>
      </c>
      <c r="Z67" t="s">
        <v>216</v>
      </c>
      <c r="AA67" t="s">
        <v>400</v>
      </c>
      <c r="AB67" t="s">
        <v>401</v>
      </c>
      <c r="AC67" t="s">
        <v>402</v>
      </c>
      <c r="AD67" t="s">
        <v>403</v>
      </c>
      <c r="AE67" t="s">
        <v>404</v>
      </c>
      <c r="AG67" s="157"/>
      <c r="AH67" t="s">
        <v>208</v>
      </c>
      <c r="AI67" t="s">
        <v>209</v>
      </c>
      <c r="AJ67" t="s">
        <v>210</v>
      </c>
      <c r="AK67" t="s">
        <v>211</v>
      </c>
      <c r="AL67" t="s">
        <v>212</v>
      </c>
      <c r="AM67" t="s">
        <v>213</v>
      </c>
      <c r="AN67" t="s">
        <v>214</v>
      </c>
      <c r="AO67" t="s">
        <v>215</v>
      </c>
      <c r="AP67" t="s">
        <v>216</v>
      </c>
      <c r="AQ67" t="s">
        <v>400</v>
      </c>
      <c r="AR67" t="s">
        <v>401</v>
      </c>
      <c r="AS67" t="s">
        <v>402</v>
      </c>
      <c r="AT67" t="s">
        <v>403</v>
      </c>
      <c r="AU67" t="s">
        <v>404</v>
      </c>
    </row>
    <row r="68" spans="1:47" x14ac:dyDescent="0.25">
      <c r="A68">
        <v>1</v>
      </c>
      <c r="B68">
        <v>3422655.3421499999</v>
      </c>
      <c r="C68">
        <v>21301.578949999999</v>
      </c>
      <c r="D68">
        <v>186250.79381999999</v>
      </c>
      <c r="E68">
        <v>843.22050000000002</v>
      </c>
      <c r="F68">
        <v>61038.916940000003</v>
      </c>
      <c r="G68">
        <v>485.08679999999998</v>
      </c>
      <c r="H68">
        <v>0</v>
      </c>
      <c r="I68">
        <v>0</v>
      </c>
      <c r="J68">
        <v>102.79218</v>
      </c>
      <c r="K68">
        <v>0</v>
      </c>
      <c r="L68">
        <v>712.75788</v>
      </c>
      <c r="M68">
        <v>4469.9257900000002</v>
      </c>
      <c r="N68">
        <v>893.28845999999999</v>
      </c>
      <c r="O68">
        <v>18.830400000000001</v>
      </c>
      <c r="Q68">
        <v>1</v>
      </c>
      <c r="R68">
        <v>933088</v>
      </c>
      <c r="S68">
        <v>37787</v>
      </c>
      <c r="T68">
        <v>37544</v>
      </c>
      <c r="U68">
        <v>921</v>
      </c>
      <c r="V68">
        <v>6552</v>
      </c>
      <c r="W68">
        <v>190</v>
      </c>
      <c r="X68">
        <v>0</v>
      </c>
      <c r="Y68">
        <v>0</v>
      </c>
      <c r="Z68">
        <v>0</v>
      </c>
      <c r="AA68">
        <v>0</v>
      </c>
      <c r="AB68">
        <v>0</v>
      </c>
      <c r="AC68">
        <v>0</v>
      </c>
      <c r="AD68">
        <v>0</v>
      </c>
      <c r="AE68">
        <v>0</v>
      </c>
      <c r="AG68" s="157">
        <v>1</v>
      </c>
      <c r="AH68">
        <v>933088</v>
      </c>
      <c r="AI68">
        <v>37787</v>
      </c>
      <c r="AJ68">
        <v>37544</v>
      </c>
      <c r="AK68">
        <v>921</v>
      </c>
      <c r="AL68">
        <v>6552</v>
      </c>
      <c r="AM68">
        <v>190</v>
      </c>
      <c r="AN68">
        <v>0</v>
      </c>
      <c r="AO68">
        <v>0</v>
      </c>
      <c r="AP68">
        <v>0</v>
      </c>
      <c r="AQ68">
        <v>0</v>
      </c>
      <c r="AR68">
        <v>0</v>
      </c>
      <c r="AS68">
        <v>0</v>
      </c>
      <c r="AT68">
        <v>0</v>
      </c>
      <c r="AU68">
        <v>0</v>
      </c>
    </row>
    <row r="69" spans="1:47" x14ac:dyDescent="0.25">
      <c r="A69">
        <v>2</v>
      </c>
      <c r="B69">
        <v>0</v>
      </c>
      <c r="C69">
        <v>24747.205999999998</v>
      </c>
      <c r="D69">
        <v>0</v>
      </c>
      <c r="E69">
        <v>1140.6657700000001</v>
      </c>
      <c r="F69">
        <v>0</v>
      </c>
      <c r="G69">
        <v>0</v>
      </c>
      <c r="H69">
        <v>0</v>
      </c>
      <c r="I69">
        <v>0</v>
      </c>
      <c r="J69">
        <v>0</v>
      </c>
      <c r="K69">
        <v>0</v>
      </c>
      <c r="L69">
        <v>0</v>
      </c>
      <c r="M69">
        <v>0</v>
      </c>
      <c r="N69">
        <v>0</v>
      </c>
      <c r="O69">
        <v>0</v>
      </c>
      <c r="Q69">
        <v>2</v>
      </c>
      <c r="R69">
        <v>7581</v>
      </c>
      <c r="S69">
        <v>5951</v>
      </c>
      <c r="T69">
        <v>460</v>
      </c>
      <c r="U69">
        <v>181</v>
      </c>
      <c r="V69">
        <v>80</v>
      </c>
      <c r="W69">
        <v>39</v>
      </c>
      <c r="X69">
        <v>0</v>
      </c>
      <c r="Y69">
        <v>0</v>
      </c>
      <c r="Z69">
        <v>0</v>
      </c>
      <c r="AA69">
        <v>0</v>
      </c>
      <c r="AB69">
        <v>0</v>
      </c>
      <c r="AC69">
        <v>0</v>
      </c>
      <c r="AD69">
        <v>0</v>
      </c>
      <c r="AE69">
        <v>0</v>
      </c>
      <c r="AG69" s="157">
        <v>2</v>
      </c>
      <c r="AH69">
        <v>7581</v>
      </c>
      <c r="AI69">
        <v>5951</v>
      </c>
      <c r="AJ69">
        <v>460</v>
      </c>
      <c r="AK69">
        <v>181</v>
      </c>
      <c r="AL69">
        <v>80</v>
      </c>
      <c r="AM69">
        <v>39</v>
      </c>
      <c r="AN69">
        <v>0</v>
      </c>
      <c r="AO69">
        <v>0</v>
      </c>
      <c r="AP69">
        <v>0</v>
      </c>
      <c r="AQ69">
        <v>0</v>
      </c>
      <c r="AR69">
        <v>0</v>
      </c>
      <c r="AS69">
        <v>0</v>
      </c>
      <c r="AT69">
        <v>0</v>
      </c>
      <c r="AU69">
        <v>0</v>
      </c>
    </row>
    <row r="70" spans="1:47" x14ac:dyDescent="0.25">
      <c r="A70">
        <v>3</v>
      </c>
      <c r="B70">
        <v>0</v>
      </c>
      <c r="C70">
        <v>0</v>
      </c>
      <c r="D70">
        <v>518634.80859999999</v>
      </c>
      <c r="E70">
        <v>2218.7144899999998</v>
      </c>
      <c r="F70">
        <v>55977.961499999998</v>
      </c>
      <c r="G70">
        <v>155.18768</v>
      </c>
      <c r="H70">
        <v>0</v>
      </c>
      <c r="I70">
        <v>0</v>
      </c>
      <c r="J70">
        <v>3023.7469799999999</v>
      </c>
      <c r="K70">
        <v>327.06900000000002</v>
      </c>
      <c r="L70">
        <v>3134.1766499999999</v>
      </c>
      <c r="M70">
        <v>2545.5630299999998</v>
      </c>
      <c r="N70">
        <v>136.0624</v>
      </c>
      <c r="O70">
        <v>430.44335000000001</v>
      </c>
      <c r="Q70">
        <v>3</v>
      </c>
      <c r="R70">
        <v>0</v>
      </c>
      <c r="S70">
        <v>0</v>
      </c>
      <c r="T70">
        <v>155569</v>
      </c>
      <c r="U70">
        <v>4114</v>
      </c>
      <c r="V70">
        <v>17629</v>
      </c>
      <c r="W70">
        <v>434</v>
      </c>
      <c r="X70">
        <v>0</v>
      </c>
      <c r="Y70">
        <v>0</v>
      </c>
      <c r="Z70">
        <v>0</v>
      </c>
      <c r="AA70">
        <v>1627</v>
      </c>
      <c r="AB70">
        <v>0</v>
      </c>
      <c r="AC70">
        <v>0</v>
      </c>
      <c r="AD70">
        <v>555</v>
      </c>
      <c r="AE70">
        <v>0</v>
      </c>
      <c r="AG70" s="157">
        <v>3</v>
      </c>
      <c r="AH70">
        <v>0</v>
      </c>
      <c r="AI70">
        <v>0</v>
      </c>
      <c r="AJ70">
        <v>155569</v>
      </c>
      <c r="AK70">
        <v>4114</v>
      </c>
      <c r="AL70">
        <v>17629</v>
      </c>
      <c r="AM70">
        <v>434</v>
      </c>
      <c r="AN70">
        <v>0</v>
      </c>
      <c r="AO70">
        <v>0</v>
      </c>
      <c r="AP70">
        <v>0</v>
      </c>
      <c r="AQ70">
        <v>1627</v>
      </c>
      <c r="AR70">
        <v>0</v>
      </c>
      <c r="AS70">
        <v>0</v>
      </c>
      <c r="AT70">
        <v>555</v>
      </c>
      <c r="AU70">
        <v>0</v>
      </c>
    </row>
    <row r="71" spans="1:47" x14ac:dyDescent="0.25">
      <c r="A71">
        <v>4</v>
      </c>
      <c r="B71">
        <v>0</v>
      </c>
      <c r="C71">
        <v>0</v>
      </c>
      <c r="D71">
        <v>0</v>
      </c>
      <c r="E71">
        <v>1561.1919800000001</v>
      </c>
      <c r="F71">
        <v>0</v>
      </c>
      <c r="G71">
        <v>77.59384</v>
      </c>
      <c r="H71">
        <v>0</v>
      </c>
      <c r="I71">
        <v>0</v>
      </c>
      <c r="J71">
        <v>0</v>
      </c>
      <c r="K71">
        <v>0</v>
      </c>
      <c r="L71">
        <v>0</v>
      </c>
      <c r="M71">
        <v>0</v>
      </c>
      <c r="N71">
        <v>217.97167999999999</v>
      </c>
      <c r="O71">
        <v>0</v>
      </c>
      <c r="Q71">
        <v>4</v>
      </c>
      <c r="R71">
        <v>0</v>
      </c>
      <c r="S71">
        <v>0</v>
      </c>
      <c r="T71">
        <v>1707</v>
      </c>
      <c r="U71">
        <v>619</v>
      </c>
      <c r="V71">
        <v>231</v>
      </c>
      <c r="W71">
        <v>93</v>
      </c>
      <c r="X71">
        <v>0</v>
      </c>
      <c r="Y71">
        <v>0</v>
      </c>
      <c r="Z71">
        <v>0</v>
      </c>
      <c r="AA71">
        <v>13</v>
      </c>
      <c r="AB71">
        <v>0</v>
      </c>
      <c r="AC71">
        <v>0</v>
      </c>
      <c r="AD71">
        <v>157</v>
      </c>
      <c r="AE71">
        <v>0</v>
      </c>
      <c r="AG71" s="157">
        <v>4</v>
      </c>
      <c r="AH71">
        <v>0</v>
      </c>
      <c r="AI71">
        <v>0</v>
      </c>
      <c r="AJ71">
        <v>1707</v>
      </c>
      <c r="AK71">
        <v>619</v>
      </c>
      <c r="AL71">
        <v>231</v>
      </c>
      <c r="AM71">
        <v>93</v>
      </c>
      <c r="AN71">
        <v>0</v>
      </c>
      <c r="AO71">
        <v>0</v>
      </c>
      <c r="AP71">
        <v>0</v>
      </c>
      <c r="AQ71">
        <v>13</v>
      </c>
      <c r="AR71">
        <v>0</v>
      </c>
      <c r="AS71">
        <v>0</v>
      </c>
      <c r="AT71">
        <v>157</v>
      </c>
      <c r="AU71">
        <v>0</v>
      </c>
    </row>
    <row r="72" spans="1:47" x14ac:dyDescent="0.25">
      <c r="A72">
        <v>5</v>
      </c>
      <c r="B72">
        <v>0</v>
      </c>
      <c r="C72">
        <v>0</v>
      </c>
      <c r="D72">
        <v>0</v>
      </c>
      <c r="E72">
        <v>0</v>
      </c>
      <c r="F72">
        <v>198284.16229000001</v>
      </c>
      <c r="G72">
        <v>320.13724000000002</v>
      </c>
      <c r="H72">
        <v>0</v>
      </c>
      <c r="I72">
        <v>0</v>
      </c>
      <c r="J72">
        <v>0</v>
      </c>
      <c r="K72">
        <v>0</v>
      </c>
      <c r="L72">
        <v>612.79145000000005</v>
      </c>
      <c r="M72">
        <v>2424.0488099999998</v>
      </c>
      <c r="N72">
        <v>177.24843999999999</v>
      </c>
      <c r="O72">
        <v>0</v>
      </c>
      <c r="Q72">
        <v>5</v>
      </c>
      <c r="R72">
        <v>0</v>
      </c>
      <c r="S72">
        <v>0</v>
      </c>
      <c r="T72">
        <v>0</v>
      </c>
      <c r="U72">
        <v>0</v>
      </c>
      <c r="V72">
        <v>55346</v>
      </c>
      <c r="W72">
        <v>1348</v>
      </c>
      <c r="X72">
        <v>0</v>
      </c>
      <c r="Y72">
        <v>0</v>
      </c>
      <c r="Z72">
        <v>0</v>
      </c>
      <c r="AA72">
        <v>574</v>
      </c>
      <c r="AB72">
        <v>0</v>
      </c>
      <c r="AC72">
        <v>0</v>
      </c>
      <c r="AD72">
        <v>81</v>
      </c>
      <c r="AE72">
        <v>0</v>
      </c>
      <c r="AG72" s="157">
        <v>5</v>
      </c>
      <c r="AH72">
        <v>0</v>
      </c>
      <c r="AI72">
        <v>0</v>
      </c>
      <c r="AJ72">
        <v>0</v>
      </c>
      <c r="AK72">
        <v>0</v>
      </c>
      <c r="AL72">
        <v>55346</v>
      </c>
      <c r="AM72">
        <v>1348</v>
      </c>
      <c r="AN72">
        <v>0</v>
      </c>
      <c r="AO72">
        <v>0</v>
      </c>
      <c r="AP72">
        <v>0</v>
      </c>
      <c r="AQ72">
        <v>574</v>
      </c>
      <c r="AR72">
        <v>0</v>
      </c>
      <c r="AS72">
        <v>0</v>
      </c>
      <c r="AT72">
        <v>81</v>
      </c>
      <c r="AU72">
        <v>0</v>
      </c>
    </row>
    <row r="73" spans="1:47" x14ac:dyDescent="0.25">
      <c r="A73">
        <v>6</v>
      </c>
      <c r="B73">
        <v>0</v>
      </c>
      <c r="C73">
        <v>0</v>
      </c>
      <c r="D73">
        <v>0</v>
      </c>
      <c r="E73">
        <v>0</v>
      </c>
      <c r="F73">
        <v>0</v>
      </c>
      <c r="G73">
        <v>485.08679999999998</v>
      </c>
      <c r="H73">
        <v>0</v>
      </c>
      <c r="I73">
        <v>0</v>
      </c>
      <c r="J73">
        <v>354.02075000000002</v>
      </c>
      <c r="K73">
        <v>0</v>
      </c>
      <c r="L73">
        <v>0</v>
      </c>
      <c r="M73">
        <v>0</v>
      </c>
      <c r="N73">
        <v>0</v>
      </c>
      <c r="O73">
        <v>0</v>
      </c>
      <c r="Q73">
        <v>6</v>
      </c>
      <c r="R73">
        <v>0</v>
      </c>
      <c r="S73">
        <v>0</v>
      </c>
      <c r="T73">
        <v>0</v>
      </c>
      <c r="U73">
        <v>0</v>
      </c>
      <c r="V73">
        <v>692</v>
      </c>
      <c r="W73">
        <v>292</v>
      </c>
      <c r="X73">
        <v>0</v>
      </c>
      <c r="Y73">
        <v>0</v>
      </c>
      <c r="Z73">
        <v>0</v>
      </c>
      <c r="AA73">
        <v>3</v>
      </c>
      <c r="AB73">
        <v>0</v>
      </c>
      <c r="AC73">
        <v>0</v>
      </c>
      <c r="AD73">
        <v>23</v>
      </c>
      <c r="AE73">
        <v>0</v>
      </c>
      <c r="AG73" s="157">
        <v>6</v>
      </c>
      <c r="AH73">
        <v>0</v>
      </c>
      <c r="AI73">
        <v>0</v>
      </c>
      <c r="AJ73">
        <v>0</v>
      </c>
      <c r="AK73">
        <v>0</v>
      </c>
      <c r="AL73">
        <v>692</v>
      </c>
      <c r="AM73">
        <v>292</v>
      </c>
      <c r="AN73">
        <v>0</v>
      </c>
      <c r="AO73">
        <v>0</v>
      </c>
      <c r="AP73">
        <v>0</v>
      </c>
      <c r="AQ73">
        <v>3</v>
      </c>
      <c r="AR73">
        <v>0</v>
      </c>
      <c r="AS73">
        <v>0</v>
      </c>
      <c r="AT73">
        <v>23</v>
      </c>
      <c r="AU73">
        <v>0</v>
      </c>
    </row>
    <row r="74" spans="1:47" x14ac:dyDescent="0.25">
      <c r="A74">
        <v>7</v>
      </c>
      <c r="B74">
        <v>31726.40165</v>
      </c>
      <c r="C74">
        <v>0</v>
      </c>
      <c r="D74">
        <v>14161.348309999999</v>
      </c>
      <c r="E74">
        <v>62.996789999999997</v>
      </c>
      <c r="F74">
        <v>5117.0298000000003</v>
      </c>
      <c r="G74">
        <v>0</v>
      </c>
      <c r="H74">
        <v>470717.41733000003</v>
      </c>
      <c r="I74">
        <v>771.81784000000005</v>
      </c>
      <c r="J74">
        <v>34613.843359999999</v>
      </c>
      <c r="K74">
        <v>5913.86967</v>
      </c>
      <c r="L74">
        <v>4102.2316899999996</v>
      </c>
      <c r="M74">
        <v>1877.0561499999999</v>
      </c>
      <c r="N74">
        <v>3318.0587300000002</v>
      </c>
      <c r="O74">
        <v>503.00439999999998</v>
      </c>
      <c r="Q74">
        <v>7</v>
      </c>
      <c r="R74">
        <v>0</v>
      </c>
      <c r="S74">
        <v>0</v>
      </c>
      <c r="T74">
        <v>3833</v>
      </c>
      <c r="U74">
        <v>35</v>
      </c>
      <c r="V74">
        <v>1058</v>
      </c>
      <c r="W74">
        <v>15</v>
      </c>
      <c r="X74">
        <v>167875</v>
      </c>
      <c r="Y74">
        <v>0</v>
      </c>
      <c r="Z74">
        <v>0</v>
      </c>
      <c r="AA74">
        <v>8023</v>
      </c>
      <c r="AB74">
        <v>0</v>
      </c>
      <c r="AC74">
        <v>0</v>
      </c>
      <c r="AD74">
        <v>2049</v>
      </c>
      <c r="AE74">
        <v>0</v>
      </c>
      <c r="AG74" s="157">
        <v>7</v>
      </c>
      <c r="AH74">
        <v>0</v>
      </c>
      <c r="AI74">
        <v>0</v>
      </c>
      <c r="AJ74">
        <v>3833</v>
      </c>
      <c r="AK74">
        <v>35</v>
      </c>
      <c r="AL74">
        <v>1058</v>
      </c>
      <c r="AM74">
        <v>15</v>
      </c>
      <c r="AN74">
        <v>167875</v>
      </c>
      <c r="AO74">
        <v>0</v>
      </c>
      <c r="AP74">
        <v>0</v>
      </c>
      <c r="AQ74">
        <v>8023</v>
      </c>
      <c r="AR74">
        <v>0</v>
      </c>
      <c r="AS74">
        <v>0</v>
      </c>
      <c r="AT74">
        <v>2049</v>
      </c>
      <c r="AU74">
        <v>0</v>
      </c>
    </row>
    <row r="75" spans="1:47" x14ac:dyDescent="0.25">
      <c r="A75">
        <v>8</v>
      </c>
      <c r="B75">
        <v>942.71253000000002</v>
      </c>
      <c r="C75">
        <v>0</v>
      </c>
      <c r="D75">
        <v>0</v>
      </c>
      <c r="E75">
        <v>0</v>
      </c>
      <c r="F75">
        <v>210.69922</v>
      </c>
      <c r="G75">
        <v>0</v>
      </c>
      <c r="H75">
        <v>0</v>
      </c>
      <c r="I75">
        <v>54496.340550000001</v>
      </c>
      <c r="J75">
        <v>616.64139999999998</v>
      </c>
      <c r="K75">
        <v>0</v>
      </c>
      <c r="L75">
        <v>0</v>
      </c>
      <c r="M75">
        <v>0</v>
      </c>
      <c r="N75">
        <v>88.062920000000005</v>
      </c>
      <c r="O75">
        <v>0</v>
      </c>
      <c r="Q75">
        <v>8</v>
      </c>
      <c r="R75">
        <v>0</v>
      </c>
      <c r="S75">
        <v>0</v>
      </c>
      <c r="T75">
        <v>0</v>
      </c>
      <c r="U75">
        <v>0</v>
      </c>
      <c r="V75">
        <v>0</v>
      </c>
      <c r="W75">
        <v>0</v>
      </c>
      <c r="X75">
        <v>0</v>
      </c>
      <c r="Y75">
        <v>20517</v>
      </c>
      <c r="Z75">
        <v>0</v>
      </c>
      <c r="AA75">
        <v>0</v>
      </c>
      <c r="AB75">
        <v>0</v>
      </c>
      <c r="AC75">
        <v>0</v>
      </c>
      <c r="AD75">
        <v>0</v>
      </c>
      <c r="AE75">
        <v>0</v>
      </c>
      <c r="AG75" s="157">
        <v>8</v>
      </c>
      <c r="AH75">
        <v>0</v>
      </c>
      <c r="AI75">
        <v>0</v>
      </c>
      <c r="AJ75">
        <v>0</v>
      </c>
      <c r="AK75">
        <v>0</v>
      </c>
      <c r="AL75">
        <v>0</v>
      </c>
      <c r="AM75">
        <v>0</v>
      </c>
      <c r="AN75">
        <v>0</v>
      </c>
      <c r="AO75">
        <v>20517</v>
      </c>
      <c r="AP75">
        <v>0</v>
      </c>
      <c r="AQ75">
        <v>0</v>
      </c>
      <c r="AR75">
        <v>0</v>
      </c>
      <c r="AS75">
        <v>0</v>
      </c>
      <c r="AT75">
        <v>0</v>
      </c>
      <c r="AU75">
        <v>0</v>
      </c>
    </row>
    <row r="76" spans="1:47" x14ac:dyDescent="0.25">
      <c r="A76">
        <v>9</v>
      </c>
      <c r="B76">
        <v>0</v>
      </c>
      <c r="C76">
        <v>0</v>
      </c>
      <c r="D76">
        <v>0</v>
      </c>
      <c r="E76">
        <v>0</v>
      </c>
      <c r="F76">
        <v>0</v>
      </c>
      <c r="G76">
        <v>0</v>
      </c>
      <c r="H76">
        <v>0</v>
      </c>
      <c r="I76">
        <v>0</v>
      </c>
      <c r="J76">
        <v>185516.76775</v>
      </c>
      <c r="K76">
        <v>5098.1360699999996</v>
      </c>
      <c r="L76">
        <v>6397.3261199999997</v>
      </c>
      <c r="M76">
        <v>2063.5517500000001</v>
      </c>
      <c r="N76">
        <v>0</v>
      </c>
      <c r="O76">
        <v>168.20352</v>
      </c>
      <c r="Q76">
        <v>9</v>
      </c>
      <c r="R76">
        <v>0</v>
      </c>
      <c r="S76">
        <v>0</v>
      </c>
      <c r="T76">
        <v>0</v>
      </c>
      <c r="U76">
        <v>0</v>
      </c>
      <c r="V76">
        <v>0</v>
      </c>
      <c r="W76">
        <v>0</v>
      </c>
      <c r="X76">
        <v>0</v>
      </c>
      <c r="Y76">
        <v>0</v>
      </c>
      <c r="Z76">
        <v>0</v>
      </c>
      <c r="AA76">
        <v>0</v>
      </c>
      <c r="AB76">
        <v>0</v>
      </c>
      <c r="AC76">
        <v>0</v>
      </c>
      <c r="AD76">
        <v>0</v>
      </c>
      <c r="AE76">
        <v>0</v>
      </c>
      <c r="AG76" s="157">
        <v>9</v>
      </c>
      <c r="AH76">
        <v>0</v>
      </c>
      <c r="AI76">
        <v>0</v>
      </c>
      <c r="AJ76">
        <v>0</v>
      </c>
      <c r="AK76">
        <v>0</v>
      </c>
      <c r="AL76">
        <v>0</v>
      </c>
      <c r="AM76">
        <v>0</v>
      </c>
      <c r="AN76">
        <v>0</v>
      </c>
      <c r="AO76">
        <v>0</v>
      </c>
      <c r="AP76">
        <v>0</v>
      </c>
      <c r="AQ76">
        <v>0</v>
      </c>
      <c r="AR76">
        <v>0</v>
      </c>
      <c r="AS76">
        <v>0</v>
      </c>
      <c r="AT76">
        <v>0</v>
      </c>
      <c r="AU76">
        <v>0</v>
      </c>
    </row>
    <row r="77" spans="1:47" x14ac:dyDescent="0.25">
      <c r="A77">
        <v>10</v>
      </c>
      <c r="B77">
        <v>0</v>
      </c>
      <c r="C77">
        <v>0</v>
      </c>
      <c r="D77">
        <v>0</v>
      </c>
      <c r="E77">
        <v>0</v>
      </c>
      <c r="F77">
        <v>0</v>
      </c>
      <c r="G77">
        <v>0</v>
      </c>
      <c r="H77">
        <v>0</v>
      </c>
      <c r="I77">
        <v>0</v>
      </c>
      <c r="J77">
        <v>0</v>
      </c>
      <c r="K77">
        <v>14157.85158</v>
      </c>
      <c r="L77">
        <v>142.28895</v>
      </c>
      <c r="M77">
        <v>402.96429000000001</v>
      </c>
      <c r="N77">
        <v>0</v>
      </c>
      <c r="O77">
        <v>0</v>
      </c>
      <c r="Q77">
        <v>10</v>
      </c>
      <c r="R77">
        <v>0</v>
      </c>
      <c r="S77">
        <v>0</v>
      </c>
      <c r="T77">
        <v>0</v>
      </c>
      <c r="U77">
        <v>0</v>
      </c>
      <c r="V77">
        <v>0</v>
      </c>
      <c r="W77">
        <v>0</v>
      </c>
      <c r="X77">
        <v>0</v>
      </c>
      <c r="Y77">
        <v>0</v>
      </c>
      <c r="Z77">
        <v>0</v>
      </c>
      <c r="AA77">
        <v>23944</v>
      </c>
      <c r="AB77">
        <v>0</v>
      </c>
      <c r="AC77">
        <v>0</v>
      </c>
      <c r="AD77">
        <v>0</v>
      </c>
      <c r="AE77">
        <v>0</v>
      </c>
      <c r="AG77" s="157">
        <v>10</v>
      </c>
      <c r="AH77">
        <v>0</v>
      </c>
      <c r="AI77">
        <v>0</v>
      </c>
      <c r="AJ77">
        <v>0</v>
      </c>
      <c r="AK77">
        <v>0</v>
      </c>
      <c r="AL77">
        <v>0</v>
      </c>
      <c r="AM77">
        <v>0</v>
      </c>
      <c r="AN77">
        <v>0</v>
      </c>
      <c r="AO77">
        <v>0</v>
      </c>
      <c r="AP77">
        <v>0</v>
      </c>
      <c r="AQ77">
        <v>23944</v>
      </c>
      <c r="AR77">
        <v>0</v>
      </c>
      <c r="AS77">
        <v>0</v>
      </c>
      <c r="AT77">
        <v>0</v>
      </c>
      <c r="AU77">
        <v>0</v>
      </c>
    </row>
    <row r="78" spans="1:47" x14ac:dyDescent="0.25">
      <c r="A78">
        <v>11</v>
      </c>
      <c r="B78">
        <v>0</v>
      </c>
      <c r="C78">
        <v>0</v>
      </c>
      <c r="D78">
        <v>0</v>
      </c>
      <c r="E78">
        <v>0</v>
      </c>
      <c r="F78">
        <v>0</v>
      </c>
      <c r="G78">
        <v>0</v>
      </c>
      <c r="H78">
        <v>0</v>
      </c>
      <c r="I78">
        <v>0</v>
      </c>
      <c r="J78">
        <v>0</v>
      </c>
      <c r="K78">
        <v>290.91694999999999</v>
      </c>
      <c r="L78">
        <v>5052.5892700000004</v>
      </c>
      <c r="M78">
        <v>721.14337</v>
      </c>
      <c r="N78">
        <v>0</v>
      </c>
      <c r="O78">
        <v>0</v>
      </c>
      <c r="Q78">
        <v>11</v>
      </c>
      <c r="R78">
        <v>0</v>
      </c>
      <c r="S78">
        <v>0</v>
      </c>
      <c r="T78">
        <v>0</v>
      </c>
      <c r="U78">
        <v>0</v>
      </c>
      <c r="V78">
        <v>0</v>
      </c>
      <c r="W78">
        <v>0</v>
      </c>
      <c r="X78">
        <v>0</v>
      </c>
      <c r="Y78">
        <v>0</v>
      </c>
      <c r="Z78">
        <v>0</v>
      </c>
      <c r="AA78">
        <v>0</v>
      </c>
      <c r="AB78">
        <v>720</v>
      </c>
      <c r="AC78">
        <v>0</v>
      </c>
      <c r="AD78">
        <v>0</v>
      </c>
      <c r="AE78">
        <v>0</v>
      </c>
      <c r="AG78" s="157">
        <v>11</v>
      </c>
      <c r="AH78">
        <v>0</v>
      </c>
      <c r="AI78">
        <v>0</v>
      </c>
      <c r="AJ78">
        <v>0</v>
      </c>
      <c r="AK78">
        <v>0</v>
      </c>
      <c r="AL78">
        <v>0</v>
      </c>
      <c r="AM78">
        <v>0</v>
      </c>
      <c r="AN78">
        <v>0</v>
      </c>
      <c r="AO78">
        <v>0</v>
      </c>
      <c r="AP78">
        <v>0</v>
      </c>
      <c r="AQ78">
        <v>0</v>
      </c>
      <c r="AR78">
        <v>720</v>
      </c>
      <c r="AS78">
        <v>0</v>
      </c>
      <c r="AT78">
        <v>0</v>
      </c>
      <c r="AU78">
        <v>0</v>
      </c>
    </row>
    <row r="79" spans="1:47" x14ac:dyDescent="0.25">
      <c r="A79">
        <v>12</v>
      </c>
      <c r="B79">
        <v>0</v>
      </c>
      <c r="C79">
        <v>0</v>
      </c>
      <c r="D79">
        <v>0</v>
      </c>
      <c r="E79">
        <v>0</v>
      </c>
      <c r="F79">
        <v>0</v>
      </c>
      <c r="G79">
        <v>0</v>
      </c>
      <c r="H79">
        <v>0</v>
      </c>
      <c r="I79">
        <v>0</v>
      </c>
      <c r="J79">
        <v>0</v>
      </c>
      <c r="K79">
        <v>0</v>
      </c>
      <c r="L79">
        <v>0</v>
      </c>
      <c r="M79">
        <v>6967.26649</v>
      </c>
      <c r="N79">
        <v>0</v>
      </c>
      <c r="O79">
        <v>0</v>
      </c>
      <c r="Q79">
        <v>12</v>
      </c>
      <c r="R79">
        <v>0</v>
      </c>
      <c r="S79">
        <v>0</v>
      </c>
      <c r="T79">
        <v>0</v>
      </c>
      <c r="U79">
        <v>0</v>
      </c>
      <c r="V79">
        <v>0</v>
      </c>
      <c r="W79">
        <v>0</v>
      </c>
      <c r="X79">
        <v>0</v>
      </c>
      <c r="Y79">
        <v>0</v>
      </c>
      <c r="Z79">
        <v>0</v>
      </c>
      <c r="AA79">
        <v>0</v>
      </c>
      <c r="AB79">
        <v>0</v>
      </c>
      <c r="AC79">
        <v>408</v>
      </c>
      <c r="AD79">
        <v>0</v>
      </c>
      <c r="AE79">
        <v>0</v>
      </c>
      <c r="AG79" s="157">
        <v>12</v>
      </c>
      <c r="AH79">
        <v>0</v>
      </c>
      <c r="AI79">
        <v>0</v>
      </c>
      <c r="AJ79">
        <v>0</v>
      </c>
      <c r="AK79">
        <v>0</v>
      </c>
      <c r="AL79">
        <v>0</v>
      </c>
      <c r="AM79">
        <v>0</v>
      </c>
      <c r="AN79">
        <v>0</v>
      </c>
      <c r="AO79">
        <v>0</v>
      </c>
      <c r="AP79">
        <v>0</v>
      </c>
      <c r="AQ79">
        <v>0</v>
      </c>
      <c r="AR79">
        <v>0</v>
      </c>
      <c r="AS79">
        <v>408</v>
      </c>
      <c r="AT79">
        <v>0</v>
      </c>
      <c r="AU79">
        <v>0</v>
      </c>
    </row>
    <row r="80" spans="1:47" x14ac:dyDescent="0.25">
      <c r="A80">
        <v>13</v>
      </c>
      <c r="B80">
        <v>0</v>
      </c>
      <c r="C80">
        <v>0</v>
      </c>
      <c r="D80">
        <v>0</v>
      </c>
      <c r="E80">
        <v>0</v>
      </c>
      <c r="F80">
        <v>0</v>
      </c>
      <c r="G80">
        <v>0</v>
      </c>
      <c r="H80">
        <v>0</v>
      </c>
      <c r="I80">
        <v>0</v>
      </c>
      <c r="J80">
        <v>1435.89401</v>
      </c>
      <c r="K80">
        <v>0</v>
      </c>
      <c r="L80">
        <v>163.53880000000001</v>
      </c>
      <c r="M80">
        <v>0</v>
      </c>
      <c r="N80">
        <v>20428.164239999998</v>
      </c>
      <c r="O80">
        <v>84.101759999999999</v>
      </c>
      <c r="Q80">
        <v>13</v>
      </c>
      <c r="R80">
        <v>0</v>
      </c>
      <c r="S80">
        <v>0</v>
      </c>
      <c r="T80">
        <v>0</v>
      </c>
      <c r="U80">
        <v>0</v>
      </c>
      <c r="V80">
        <v>0</v>
      </c>
      <c r="W80">
        <v>0</v>
      </c>
      <c r="X80">
        <v>0</v>
      </c>
      <c r="Y80">
        <v>0</v>
      </c>
      <c r="Z80">
        <v>0</v>
      </c>
      <c r="AA80">
        <v>328</v>
      </c>
      <c r="AB80">
        <v>0</v>
      </c>
      <c r="AC80">
        <v>0</v>
      </c>
      <c r="AD80">
        <v>6245</v>
      </c>
      <c r="AE80">
        <v>0</v>
      </c>
      <c r="AG80" s="157">
        <v>13</v>
      </c>
      <c r="AH80">
        <v>0</v>
      </c>
      <c r="AI80">
        <v>0</v>
      </c>
      <c r="AJ80">
        <v>0</v>
      </c>
      <c r="AK80">
        <v>0</v>
      </c>
      <c r="AL80">
        <v>0</v>
      </c>
      <c r="AM80">
        <v>0</v>
      </c>
      <c r="AN80">
        <v>0</v>
      </c>
      <c r="AO80">
        <v>0</v>
      </c>
      <c r="AP80">
        <v>0</v>
      </c>
      <c r="AQ80">
        <v>328</v>
      </c>
      <c r="AR80">
        <v>0</v>
      </c>
      <c r="AS80">
        <v>0</v>
      </c>
      <c r="AT80">
        <v>6245</v>
      </c>
      <c r="AU80">
        <v>0</v>
      </c>
    </row>
    <row r="81" spans="1:47" x14ac:dyDescent="0.25">
      <c r="A81">
        <v>14</v>
      </c>
      <c r="B81">
        <v>0</v>
      </c>
      <c r="C81">
        <v>0</v>
      </c>
      <c r="D81">
        <v>0</v>
      </c>
      <c r="E81">
        <v>0</v>
      </c>
      <c r="F81">
        <v>0</v>
      </c>
      <c r="G81">
        <v>0</v>
      </c>
      <c r="H81">
        <v>0</v>
      </c>
      <c r="I81">
        <v>0</v>
      </c>
      <c r="J81">
        <v>0</v>
      </c>
      <c r="K81">
        <v>0</v>
      </c>
      <c r="L81">
        <v>0</v>
      </c>
      <c r="M81">
        <v>0</v>
      </c>
      <c r="N81">
        <v>0</v>
      </c>
      <c r="O81">
        <v>733.00162</v>
      </c>
      <c r="Q81">
        <v>14</v>
      </c>
      <c r="R81">
        <v>0</v>
      </c>
      <c r="S81">
        <v>0</v>
      </c>
      <c r="T81">
        <v>0</v>
      </c>
      <c r="U81">
        <v>0</v>
      </c>
      <c r="V81">
        <v>0</v>
      </c>
      <c r="W81">
        <v>0</v>
      </c>
      <c r="X81">
        <v>0</v>
      </c>
      <c r="Y81">
        <v>0</v>
      </c>
      <c r="Z81">
        <v>0</v>
      </c>
      <c r="AA81">
        <v>0</v>
      </c>
      <c r="AB81">
        <v>0</v>
      </c>
      <c r="AC81">
        <v>0</v>
      </c>
      <c r="AD81">
        <v>0</v>
      </c>
      <c r="AE81">
        <v>0</v>
      </c>
      <c r="AG81" s="157">
        <v>14</v>
      </c>
      <c r="AH81">
        <v>0</v>
      </c>
      <c r="AI81">
        <v>0</v>
      </c>
      <c r="AJ81">
        <v>0</v>
      </c>
      <c r="AK81">
        <v>0</v>
      </c>
      <c r="AL81">
        <v>0</v>
      </c>
      <c r="AM81">
        <v>0</v>
      </c>
      <c r="AN81">
        <v>0</v>
      </c>
      <c r="AO81">
        <v>0</v>
      </c>
      <c r="AP81">
        <v>0</v>
      </c>
      <c r="AQ81">
        <v>0</v>
      </c>
      <c r="AR81">
        <v>0</v>
      </c>
      <c r="AS81">
        <v>0</v>
      </c>
      <c r="AT81">
        <v>0</v>
      </c>
      <c r="AU81">
        <v>0</v>
      </c>
    </row>
    <row r="82" spans="1:47" x14ac:dyDescent="0.25">
      <c r="A82" t="s">
        <v>195</v>
      </c>
      <c r="Q82" t="s">
        <v>195</v>
      </c>
    </row>
    <row r="83" spans="1:47" x14ac:dyDescent="0.25">
      <c r="B83" t="s">
        <v>208</v>
      </c>
      <c r="C83" t="s">
        <v>209</v>
      </c>
      <c r="D83" t="s">
        <v>210</v>
      </c>
      <c r="E83" t="s">
        <v>211</v>
      </c>
      <c r="F83" t="s">
        <v>212</v>
      </c>
      <c r="G83" t="s">
        <v>213</v>
      </c>
      <c r="H83" t="s">
        <v>214</v>
      </c>
      <c r="I83" t="s">
        <v>215</v>
      </c>
      <c r="J83" t="s">
        <v>216</v>
      </c>
      <c r="K83" t="s">
        <v>400</v>
      </c>
      <c r="L83" t="s">
        <v>401</v>
      </c>
      <c r="M83" t="s">
        <v>402</v>
      </c>
      <c r="N83" t="s">
        <v>403</v>
      </c>
      <c r="O83" t="s">
        <v>404</v>
      </c>
      <c r="R83" t="s">
        <v>208</v>
      </c>
      <c r="S83" t="s">
        <v>209</v>
      </c>
      <c r="T83" t="s">
        <v>210</v>
      </c>
      <c r="U83" t="s">
        <v>211</v>
      </c>
      <c r="V83" t="s">
        <v>212</v>
      </c>
      <c r="W83" t="s">
        <v>213</v>
      </c>
      <c r="X83" t="s">
        <v>214</v>
      </c>
      <c r="Y83" t="s">
        <v>215</v>
      </c>
      <c r="Z83" t="s">
        <v>216</v>
      </c>
      <c r="AA83" t="s">
        <v>400</v>
      </c>
      <c r="AB83" t="s">
        <v>401</v>
      </c>
      <c r="AC83" t="s">
        <v>402</v>
      </c>
      <c r="AD83" t="s">
        <v>403</v>
      </c>
      <c r="AE83" t="s">
        <v>404</v>
      </c>
      <c r="AG83" s="157"/>
      <c r="AH83" t="s">
        <v>208</v>
      </c>
      <c r="AI83" t="s">
        <v>209</v>
      </c>
      <c r="AJ83" t="s">
        <v>210</v>
      </c>
      <c r="AK83" t="s">
        <v>211</v>
      </c>
      <c r="AL83" t="s">
        <v>212</v>
      </c>
      <c r="AM83" t="s">
        <v>213</v>
      </c>
      <c r="AN83" t="s">
        <v>214</v>
      </c>
      <c r="AO83" t="s">
        <v>215</v>
      </c>
      <c r="AP83" t="s">
        <v>216</v>
      </c>
      <c r="AQ83" t="s">
        <v>400</v>
      </c>
      <c r="AR83" t="s">
        <v>401</v>
      </c>
      <c r="AS83" t="s">
        <v>402</v>
      </c>
      <c r="AT83" t="s">
        <v>403</v>
      </c>
      <c r="AU83" t="s">
        <v>404</v>
      </c>
    </row>
    <row r="84" spans="1:47" x14ac:dyDescent="0.25">
      <c r="A84">
        <v>1</v>
      </c>
      <c r="B84">
        <v>1777601.0380200001</v>
      </c>
      <c r="C84">
        <v>11582.41519</v>
      </c>
      <c r="D84">
        <v>110040.76648999999</v>
      </c>
      <c r="E84">
        <v>806.92841999999996</v>
      </c>
      <c r="F84">
        <v>41922.475270000003</v>
      </c>
      <c r="G84">
        <v>307.89278000000002</v>
      </c>
      <c r="H84">
        <v>0</v>
      </c>
      <c r="I84">
        <v>0</v>
      </c>
      <c r="J84">
        <v>103.00684</v>
      </c>
      <c r="K84">
        <v>0</v>
      </c>
      <c r="L84">
        <v>383.44731999999999</v>
      </c>
      <c r="M84">
        <v>2711.26449</v>
      </c>
      <c r="N84">
        <v>839.28886</v>
      </c>
      <c r="O84">
        <v>2236.0849800000001</v>
      </c>
      <c r="Q84">
        <v>1</v>
      </c>
      <c r="R84">
        <v>506005</v>
      </c>
      <c r="S84">
        <v>29345</v>
      </c>
      <c r="T84">
        <v>48825</v>
      </c>
      <c r="U84">
        <v>706</v>
      </c>
      <c r="V84">
        <v>11887</v>
      </c>
      <c r="W84">
        <v>136</v>
      </c>
      <c r="X84">
        <v>0</v>
      </c>
      <c r="Y84">
        <v>0</v>
      </c>
      <c r="Z84">
        <v>0</v>
      </c>
      <c r="AA84">
        <v>0</v>
      </c>
      <c r="AB84">
        <v>0</v>
      </c>
      <c r="AC84">
        <v>0</v>
      </c>
      <c r="AD84">
        <v>0</v>
      </c>
      <c r="AE84">
        <v>0</v>
      </c>
      <c r="AG84" s="157">
        <v>1</v>
      </c>
      <c r="AH84">
        <v>506005</v>
      </c>
      <c r="AI84">
        <v>29345</v>
      </c>
      <c r="AJ84">
        <v>48825</v>
      </c>
      <c r="AK84">
        <v>706</v>
      </c>
      <c r="AL84">
        <v>11887</v>
      </c>
      <c r="AM84">
        <v>136</v>
      </c>
      <c r="AN84">
        <v>0</v>
      </c>
      <c r="AO84">
        <v>0</v>
      </c>
      <c r="AP84">
        <v>0</v>
      </c>
      <c r="AQ84">
        <v>0</v>
      </c>
      <c r="AR84">
        <v>0</v>
      </c>
      <c r="AS84">
        <v>0</v>
      </c>
      <c r="AT84">
        <v>0</v>
      </c>
      <c r="AU84">
        <v>0</v>
      </c>
    </row>
    <row r="85" spans="1:47" x14ac:dyDescent="0.25">
      <c r="A85">
        <v>2</v>
      </c>
      <c r="B85">
        <v>0</v>
      </c>
      <c r="C85">
        <v>22786.197540000001</v>
      </c>
      <c r="D85">
        <v>0</v>
      </c>
      <c r="E85">
        <v>490.77112</v>
      </c>
      <c r="F85">
        <v>0</v>
      </c>
      <c r="G85">
        <v>157.63799</v>
      </c>
      <c r="H85">
        <v>0</v>
      </c>
      <c r="I85">
        <v>0</v>
      </c>
      <c r="J85">
        <v>0</v>
      </c>
      <c r="K85">
        <v>0</v>
      </c>
      <c r="L85">
        <v>0</v>
      </c>
      <c r="M85">
        <v>110.45578999999999</v>
      </c>
      <c r="N85">
        <v>30.008050000000001</v>
      </c>
      <c r="O85">
        <v>0</v>
      </c>
      <c r="Q85">
        <v>2</v>
      </c>
      <c r="R85">
        <v>11292</v>
      </c>
      <c r="S85">
        <v>7245</v>
      </c>
      <c r="T85">
        <v>1535</v>
      </c>
      <c r="U85">
        <v>177</v>
      </c>
      <c r="V85">
        <v>430</v>
      </c>
      <c r="W85">
        <v>19</v>
      </c>
      <c r="X85">
        <v>0</v>
      </c>
      <c r="Y85">
        <v>0</v>
      </c>
      <c r="Z85">
        <v>0</v>
      </c>
      <c r="AA85">
        <v>0</v>
      </c>
      <c r="AB85">
        <v>0</v>
      </c>
      <c r="AC85">
        <v>0</v>
      </c>
      <c r="AD85">
        <v>0</v>
      </c>
      <c r="AE85">
        <v>0</v>
      </c>
      <c r="AG85" s="157">
        <v>2</v>
      </c>
      <c r="AH85">
        <v>11292</v>
      </c>
      <c r="AI85">
        <v>7245</v>
      </c>
      <c r="AJ85">
        <v>1535</v>
      </c>
      <c r="AK85">
        <v>177</v>
      </c>
      <c r="AL85">
        <v>430</v>
      </c>
      <c r="AM85">
        <v>19</v>
      </c>
      <c r="AN85">
        <v>0</v>
      </c>
      <c r="AO85">
        <v>0</v>
      </c>
      <c r="AP85">
        <v>0</v>
      </c>
      <c r="AQ85">
        <v>0</v>
      </c>
      <c r="AR85">
        <v>0</v>
      </c>
      <c r="AS85">
        <v>0</v>
      </c>
      <c r="AT85">
        <v>0</v>
      </c>
      <c r="AU85">
        <v>0</v>
      </c>
    </row>
    <row r="86" spans="1:47" x14ac:dyDescent="0.25">
      <c r="A86">
        <v>3</v>
      </c>
      <c r="B86">
        <v>0</v>
      </c>
      <c r="C86">
        <v>0</v>
      </c>
      <c r="D86">
        <v>565908.65312000003</v>
      </c>
      <c r="E86">
        <v>3421.25254</v>
      </c>
      <c r="F86">
        <v>102983.95591</v>
      </c>
      <c r="G86">
        <v>231.75418999999999</v>
      </c>
      <c r="H86">
        <v>0</v>
      </c>
      <c r="I86">
        <v>0</v>
      </c>
      <c r="J86">
        <v>4006.8906499999998</v>
      </c>
      <c r="K86">
        <v>9541.0011300000006</v>
      </c>
      <c r="L86">
        <v>5899.1992600000003</v>
      </c>
      <c r="M86">
        <v>1458.58465</v>
      </c>
      <c r="N86">
        <v>825.20600000000002</v>
      </c>
      <c r="O86">
        <v>3886.7184999999999</v>
      </c>
      <c r="Q86">
        <v>3</v>
      </c>
      <c r="R86">
        <v>0</v>
      </c>
      <c r="S86">
        <v>0</v>
      </c>
      <c r="T86">
        <v>189620</v>
      </c>
      <c r="U86">
        <v>2587</v>
      </c>
      <c r="V86">
        <v>38338</v>
      </c>
      <c r="W86">
        <v>234</v>
      </c>
      <c r="X86">
        <v>0</v>
      </c>
      <c r="Y86">
        <v>0</v>
      </c>
      <c r="Z86">
        <v>0</v>
      </c>
      <c r="AA86">
        <v>677</v>
      </c>
      <c r="AB86">
        <v>0</v>
      </c>
      <c r="AC86">
        <v>0</v>
      </c>
      <c r="AD86">
        <v>497</v>
      </c>
      <c r="AE86">
        <v>0</v>
      </c>
      <c r="AG86" s="157">
        <v>3</v>
      </c>
      <c r="AH86">
        <v>0</v>
      </c>
      <c r="AI86">
        <v>0</v>
      </c>
      <c r="AJ86">
        <v>189620</v>
      </c>
      <c r="AK86">
        <v>2587</v>
      </c>
      <c r="AL86">
        <v>38338</v>
      </c>
      <c r="AM86">
        <v>234</v>
      </c>
      <c r="AN86">
        <v>0</v>
      </c>
      <c r="AO86">
        <v>0</v>
      </c>
      <c r="AP86">
        <v>0</v>
      </c>
      <c r="AQ86">
        <v>677</v>
      </c>
      <c r="AR86">
        <v>0</v>
      </c>
      <c r="AS86">
        <v>0</v>
      </c>
      <c r="AT86">
        <v>497</v>
      </c>
      <c r="AU86">
        <v>0</v>
      </c>
    </row>
    <row r="87" spans="1:47" x14ac:dyDescent="0.25">
      <c r="A87">
        <v>4</v>
      </c>
      <c r="B87">
        <v>0</v>
      </c>
      <c r="C87">
        <v>0</v>
      </c>
      <c r="D87">
        <v>0</v>
      </c>
      <c r="E87">
        <v>4952.2309299999997</v>
      </c>
      <c r="F87">
        <v>0</v>
      </c>
      <c r="G87">
        <v>192.85982000000001</v>
      </c>
      <c r="H87">
        <v>0</v>
      </c>
      <c r="I87">
        <v>0</v>
      </c>
      <c r="J87">
        <v>0</v>
      </c>
      <c r="K87">
        <v>14.922029999999999</v>
      </c>
      <c r="L87">
        <v>0</v>
      </c>
      <c r="M87">
        <v>0</v>
      </c>
      <c r="N87">
        <v>0</v>
      </c>
      <c r="O87">
        <v>0</v>
      </c>
      <c r="Q87">
        <v>4</v>
      </c>
      <c r="R87">
        <v>0</v>
      </c>
      <c r="S87">
        <v>0</v>
      </c>
      <c r="T87">
        <v>5388</v>
      </c>
      <c r="U87">
        <v>621</v>
      </c>
      <c r="V87">
        <v>1186</v>
      </c>
      <c r="W87">
        <v>65</v>
      </c>
      <c r="X87">
        <v>0</v>
      </c>
      <c r="Y87">
        <v>0</v>
      </c>
      <c r="Z87">
        <v>0</v>
      </c>
      <c r="AA87">
        <v>14</v>
      </c>
      <c r="AB87">
        <v>0</v>
      </c>
      <c r="AC87">
        <v>0</v>
      </c>
      <c r="AD87">
        <v>191</v>
      </c>
      <c r="AE87">
        <v>0</v>
      </c>
      <c r="AG87" s="157">
        <v>4</v>
      </c>
      <c r="AH87">
        <v>0</v>
      </c>
      <c r="AI87">
        <v>0</v>
      </c>
      <c r="AJ87">
        <v>5388</v>
      </c>
      <c r="AK87">
        <v>621</v>
      </c>
      <c r="AL87">
        <v>1186</v>
      </c>
      <c r="AM87">
        <v>65</v>
      </c>
      <c r="AN87">
        <v>0</v>
      </c>
      <c r="AO87">
        <v>0</v>
      </c>
      <c r="AP87">
        <v>0</v>
      </c>
      <c r="AQ87">
        <v>14</v>
      </c>
      <c r="AR87">
        <v>0</v>
      </c>
      <c r="AS87">
        <v>0</v>
      </c>
      <c r="AT87">
        <v>191</v>
      </c>
      <c r="AU87">
        <v>0</v>
      </c>
    </row>
    <row r="88" spans="1:47" x14ac:dyDescent="0.25">
      <c r="A88">
        <v>5</v>
      </c>
      <c r="B88">
        <v>0</v>
      </c>
      <c r="C88">
        <v>0</v>
      </c>
      <c r="D88">
        <v>0</v>
      </c>
      <c r="E88">
        <v>0</v>
      </c>
      <c r="F88">
        <v>413616.87102000002</v>
      </c>
      <c r="G88">
        <v>2679.2465200000001</v>
      </c>
      <c r="H88">
        <v>0</v>
      </c>
      <c r="I88">
        <v>0</v>
      </c>
      <c r="J88">
        <v>0</v>
      </c>
      <c r="K88">
        <v>2154.82692</v>
      </c>
      <c r="L88">
        <v>1331.2198699999999</v>
      </c>
      <c r="M88">
        <v>0</v>
      </c>
      <c r="N88">
        <v>0</v>
      </c>
      <c r="O88">
        <v>594.66646000000003</v>
      </c>
      <c r="Q88">
        <v>5</v>
      </c>
      <c r="R88">
        <v>0</v>
      </c>
      <c r="S88">
        <v>0</v>
      </c>
      <c r="T88">
        <v>0</v>
      </c>
      <c r="U88">
        <v>0</v>
      </c>
      <c r="V88">
        <v>123895</v>
      </c>
      <c r="W88">
        <v>856</v>
      </c>
      <c r="X88">
        <v>0</v>
      </c>
      <c r="Y88">
        <v>0</v>
      </c>
      <c r="Z88">
        <v>0</v>
      </c>
      <c r="AA88">
        <v>208</v>
      </c>
      <c r="AB88">
        <v>0</v>
      </c>
      <c r="AC88">
        <v>0</v>
      </c>
      <c r="AD88">
        <v>54</v>
      </c>
      <c r="AE88">
        <v>0</v>
      </c>
      <c r="AG88" s="157">
        <v>5</v>
      </c>
      <c r="AH88">
        <v>0</v>
      </c>
      <c r="AI88">
        <v>0</v>
      </c>
      <c r="AJ88">
        <v>0</v>
      </c>
      <c r="AK88">
        <v>0</v>
      </c>
      <c r="AL88">
        <v>123895</v>
      </c>
      <c r="AM88">
        <v>856</v>
      </c>
      <c r="AN88">
        <v>0</v>
      </c>
      <c r="AO88">
        <v>0</v>
      </c>
      <c r="AP88">
        <v>0</v>
      </c>
      <c r="AQ88">
        <v>208</v>
      </c>
      <c r="AR88">
        <v>0</v>
      </c>
      <c r="AS88">
        <v>0</v>
      </c>
      <c r="AT88">
        <v>54</v>
      </c>
      <c r="AU88">
        <v>0</v>
      </c>
    </row>
    <row r="89" spans="1:47" x14ac:dyDescent="0.25">
      <c r="A89">
        <v>6</v>
      </c>
      <c r="B89">
        <v>0</v>
      </c>
      <c r="C89">
        <v>0</v>
      </c>
      <c r="D89">
        <v>0</v>
      </c>
      <c r="E89">
        <v>0</v>
      </c>
      <c r="F89">
        <v>0</v>
      </c>
      <c r="G89">
        <v>5387.8463499999998</v>
      </c>
      <c r="H89">
        <v>0</v>
      </c>
      <c r="I89">
        <v>0</v>
      </c>
      <c r="J89">
        <v>0</v>
      </c>
      <c r="K89">
        <v>0</v>
      </c>
      <c r="L89">
        <v>0</v>
      </c>
      <c r="M89">
        <v>0</v>
      </c>
      <c r="N89">
        <v>0</v>
      </c>
      <c r="O89">
        <v>0</v>
      </c>
      <c r="Q89">
        <v>6</v>
      </c>
      <c r="R89">
        <v>0</v>
      </c>
      <c r="S89">
        <v>0</v>
      </c>
      <c r="T89">
        <v>0</v>
      </c>
      <c r="U89">
        <v>0</v>
      </c>
      <c r="V89">
        <v>3815</v>
      </c>
      <c r="W89">
        <v>225</v>
      </c>
      <c r="X89">
        <v>0</v>
      </c>
      <c r="Y89">
        <v>0</v>
      </c>
      <c r="Z89">
        <v>0</v>
      </c>
      <c r="AA89">
        <v>4</v>
      </c>
      <c r="AB89">
        <v>0</v>
      </c>
      <c r="AC89">
        <v>0</v>
      </c>
      <c r="AD89">
        <v>18</v>
      </c>
      <c r="AE89">
        <v>0</v>
      </c>
      <c r="AG89" s="157">
        <v>6</v>
      </c>
      <c r="AH89">
        <v>0</v>
      </c>
      <c r="AI89">
        <v>0</v>
      </c>
      <c r="AJ89">
        <v>0</v>
      </c>
      <c r="AK89">
        <v>0</v>
      </c>
      <c r="AL89">
        <v>3815</v>
      </c>
      <c r="AM89">
        <v>225</v>
      </c>
      <c r="AN89">
        <v>0</v>
      </c>
      <c r="AO89">
        <v>0</v>
      </c>
      <c r="AP89">
        <v>0</v>
      </c>
      <c r="AQ89">
        <v>4</v>
      </c>
      <c r="AR89">
        <v>0</v>
      </c>
      <c r="AS89">
        <v>0</v>
      </c>
      <c r="AT89">
        <v>18</v>
      </c>
      <c r="AU89">
        <v>0</v>
      </c>
    </row>
    <row r="90" spans="1:47" x14ac:dyDescent="0.25">
      <c r="A90">
        <v>7</v>
      </c>
      <c r="B90">
        <v>21122.54261</v>
      </c>
      <c r="C90">
        <v>186.09835000000001</v>
      </c>
      <c r="D90">
        <v>28295.990659999999</v>
      </c>
      <c r="E90">
        <v>0</v>
      </c>
      <c r="F90">
        <v>11814.251689999999</v>
      </c>
      <c r="G90">
        <v>636.92064000000005</v>
      </c>
      <c r="H90">
        <v>412680.64807</v>
      </c>
      <c r="I90">
        <v>989.64156000000003</v>
      </c>
      <c r="J90">
        <v>17746.464929999998</v>
      </c>
      <c r="K90">
        <v>2147.5040800000002</v>
      </c>
      <c r="L90">
        <v>2788.14264</v>
      </c>
      <c r="M90">
        <v>746.77871000000005</v>
      </c>
      <c r="N90">
        <v>2720.89426</v>
      </c>
      <c r="O90">
        <v>114.31437</v>
      </c>
      <c r="Q90">
        <v>7</v>
      </c>
      <c r="R90">
        <v>0</v>
      </c>
      <c r="S90">
        <v>0</v>
      </c>
      <c r="T90">
        <v>3746</v>
      </c>
      <c r="U90">
        <v>9</v>
      </c>
      <c r="V90">
        <v>1570</v>
      </c>
      <c r="W90">
        <v>1</v>
      </c>
      <c r="X90">
        <v>181241</v>
      </c>
      <c r="Y90">
        <v>0</v>
      </c>
      <c r="Z90">
        <v>0</v>
      </c>
      <c r="AA90">
        <v>2997</v>
      </c>
      <c r="AB90">
        <v>0</v>
      </c>
      <c r="AC90">
        <v>0</v>
      </c>
      <c r="AD90">
        <v>471</v>
      </c>
      <c r="AE90">
        <v>0</v>
      </c>
      <c r="AG90" s="157">
        <v>7</v>
      </c>
      <c r="AH90">
        <v>0</v>
      </c>
      <c r="AI90">
        <v>0</v>
      </c>
      <c r="AJ90">
        <v>3746</v>
      </c>
      <c r="AK90">
        <v>9</v>
      </c>
      <c r="AL90">
        <v>1570</v>
      </c>
      <c r="AM90">
        <v>1</v>
      </c>
      <c r="AN90">
        <v>181241</v>
      </c>
      <c r="AO90">
        <v>0</v>
      </c>
      <c r="AP90">
        <v>0</v>
      </c>
      <c r="AQ90">
        <v>2997</v>
      </c>
      <c r="AR90">
        <v>0</v>
      </c>
      <c r="AS90">
        <v>0</v>
      </c>
      <c r="AT90">
        <v>471</v>
      </c>
      <c r="AU90">
        <v>0</v>
      </c>
    </row>
    <row r="91" spans="1:47" x14ac:dyDescent="0.25">
      <c r="A91">
        <v>8</v>
      </c>
      <c r="B91">
        <v>514.23510999999996</v>
      </c>
      <c r="C91">
        <v>0</v>
      </c>
      <c r="D91">
        <v>3797.8284100000001</v>
      </c>
      <c r="E91">
        <v>0</v>
      </c>
      <c r="F91">
        <v>2282.4951799999999</v>
      </c>
      <c r="G91">
        <v>0</v>
      </c>
      <c r="H91">
        <v>0</v>
      </c>
      <c r="I91">
        <v>86783.292079999999</v>
      </c>
      <c r="J91">
        <v>1826.00136</v>
      </c>
      <c r="K91">
        <v>0</v>
      </c>
      <c r="L91">
        <v>0</v>
      </c>
      <c r="M91">
        <v>0</v>
      </c>
      <c r="N91">
        <v>0</v>
      </c>
      <c r="O91">
        <v>0</v>
      </c>
      <c r="Q91">
        <v>8</v>
      </c>
      <c r="R91">
        <v>0</v>
      </c>
      <c r="S91">
        <v>0</v>
      </c>
      <c r="T91">
        <v>0</v>
      </c>
      <c r="U91">
        <v>0</v>
      </c>
      <c r="V91">
        <v>0</v>
      </c>
      <c r="W91">
        <v>0</v>
      </c>
      <c r="X91">
        <v>0</v>
      </c>
      <c r="Y91">
        <v>32466</v>
      </c>
      <c r="Z91">
        <v>0</v>
      </c>
      <c r="AA91">
        <v>0</v>
      </c>
      <c r="AB91">
        <v>0</v>
      </c>
      <c r="AC91">
        <v>0</v>
      </c>
      <c r="AD91">
        <v>0</v>
      </c>
      <c r="AE91">
        <v>0</v>
      </c>
      <c r="AG91" s="157">
        <v>8</v>
      </c>
      <c r="AH91">
        <v>0</v>
      </c>
      <c r="AI91">
        <v>0</v>
      </c>
      <c r="AJ91">
        <v>0</v>
      </c>
      <c r="AK91">
        <v>0</v>
      </c>
      <c r="AL91">
        <v>0</v>
      </c>
      <c r="AM91">
        <v>0</v>
      </c>
      <c r="AN91">
        <v>0</v>
      </c>
      <c r="AO91">
        <v>32466</v>
      </c>
      <c r="AP91">
        <v>0</v>
      </c>
      <c r="AQ91">
        <v>0</v>
      </c>
      <c r="AR91">
        <v>0</v>
      </c>
      <c r="AS91">
        <v>0</v>
      </c>
      <c r="AT91">
        <v>0</v>
      </c>
      <c r="AU91">
        <v>0</v>
      </c>
    </row>
    <row r="92" spans="1:47" x14ac:dyDescent="0.25">
      <c r="A92">
        <v>9</v>
      </c>
      <c r="B92">
        <v>0</v>
      </c>
      <c r="C92">
        <v>0</v>
      </c>
      <c r="D92">
        <v>0</v>
      </c>
      <c r="E92">
        <v>0</v>
      </c>
      <c r="F92">
        <v>0</v>
      </c>
      <c r="G92">
        <v>0</v>
      </c>
      <c r="H92">
        <v>0</v>
      </c>
      <c r="I92">
        <v>0</v>
      </c>
      <c r="J92">
        <v>82623.688869999998</v>
      </c>
      <c r="K92">
        <v>1470.5625299999999</v>
      </c>
      <c r="L92">
        <v>4573.8177699999997</v>
      </c>
      <c r="M92">
        <v>1010.3799</v>
      </c>
      <c r="N92">
        <v>0</v>
      </c>
      <c r="O92">
        <v>0</v>
      </c>
      <c r="Q92">
        <v>9</v>
      </c>
      <c r="R92">
        <v>0</v>
      </c>
      <c r="S92">
        <v>0</v>
      </c>
      <c r="T92">
        <v>0</v>
      </c>
      <c r="U92">
        <v>0</v>
      </c>
      <c r="V92">
        <v>0</v>
      </c>
      <c r="W92">
        <v>0</v>
      </c>
      <c r="X92">
        <v>0</v>
      </c>
      <c r="Y92">
        <v>0</v>
      </c>
      <c r="Z92">
        <v>0</v>
      </c>
      <c r="AA92">
        <v>0</v>
      </c>
      <c r="AB92">
        <v>0</v>
      </c>
      <c r="AC92">
        <v>0</v>
      </c>
      <c r="AD92">
        <v>0</v>
      </c>
      <c r="AE92">
        <v>0</v>
      </c>
      <c r="AG92" s="157">
        <v>9</v>
      </c>
      <c r="AH92">
        <v>0</v>
      </c>
      <c r="AI92">
        <v>0</v>
      </c>
      <c r="AJ92">
        <v>0</v>
      </c>
      <c r="AK92">
        <v>0</v>
      </c>
      <c r="AL92">
        <v>0</v>
      </c>
      <c r="AM92">
        <v>0</v>
      </c>
      <c r="AN92">
        <v>0</v>
      </c>
      <c r="AO92">
        <v>0</v>
      </c>
      <c r="AP92">
        <v>0</v>
      </c>
      <c r="AQ92">
        <v>0</v>
      </c>
      <c r="AR92">
        <v>0</v>
      </c>
      <c r="AS92">
        <v>0</v>
      </c>
      <c r="AT92">
        <v>0</v>
      </c>
      <c r="AU92">
        <v>0</v>
      </c>
    </row>
    <row r="93" spans="1:47" x14ac:dyDescent="0.25">
      <c r="A93">
        <v>10</v>
      </c>
      <c r="B93">
        <v>0</v>
      </c>
      <c r="C93">
        <v>0</v>
      </c>
      <c r="D93">
        <v>0</v>
      </c>
      <c r="E93">
        <v>0</v>
      </c>
      <c r="F93">
        <v>0</v>
      </c>
      <c r="G93">
        <v>0</v>
      </c>
      <c r="H93">
        <v>0</v>
      </c>
      <c r="I93">
        <v>0</v>
      </c>
      <c r="J93">
        <v>0</v>
      </c>
      <c r="K93">
        <v>9291.9097999999994</v>
      </c>
      <c r="L93">
        <v>149.19650999999999</v>
      </c>
      <c r="M93">
        <v>132.71929</v>
      </c>
      <c r="N93">
        <v>0</v>
      </c>
      <c r="O93">
        <v>0</v>
      </c>
      <c r="Q93">
        <v>10</v>
      </c>
      <c r="R93">
        <v>0</v>
      </c>
      <c r="S93">
        <v>0</v>
      </c>
      <c r="T93">
        <v>0</v>
      </c>
      <c r="U93">
        <v>0</v>
      </c>
      <c r="V93">
        <v>0</v>
      </c>
      <c r="W93">
        <v>0</v>
      </c>
      <c r="X93">
        <v>0</v>
      </c>
      <c r="Y93">
        <v>0</v>
      </c>
      <c r="Z93">
        <v>0</v>
      </c>
      <c r="AA93">
        <v>9584</v>
      </c>
      <c r="AB93">
        <v>0</v>
      </c>
      <c r="AC93">
        <v>0</v>
      </c>
      <c r="AD93">
        <v>0</v>
      </c>
      <c r="AE93">
        <v>0</v>
      </c>
      <c r="AG93" s="157">
        <v>10</v>
      </c>
      <c r="AH93">
        <v>0</v>
      </c>
      <c r="AI93">
        <v>0</v>
      </c>
      <c r="AJ93">
        <v>0</v>
      </c>
      <c r="AK93">
        <v>0</v>
      </c>
      <c r="AL93">
        <v>0</v>
      </c>
      <c r="AM93">
        <v>0</v>
      </c>
      <c r="AN93">
        <v>0</v>
      </c>
      <c r="AO93">
        <v>0</v>
      </c>
      <c r="AP93">
        <v>0</v>
      </c>
      <c r="AQ93">
        <v>9584</v>
      </c>
      <c r="AR93">
        <v>0</v>
      </c>
      <c r="AS93">
        <v>0</v>
      </c>
      <c r="AT93">
        <v>0</v>
      </c>
      <c r="AU93">
        <v>0</v>
      </c>
    </row>
    <row r="94" spans="1:47" x14ac:dyDescent="0.25">
      <c r="A94">
        <v>11</v>
      </c>
      <c r="B94">
        <v>0</v>
      </c>
      <c r="C94">
        <v>0</v>
      </c>
      <c r="D94">
        <v>0</v>
      </c>
      <c r="E94">
        <v>0</v>
      </c>
      <c r="F94">
        <v>0</v>
      </c>
      <c r="G94">
        <v>0</v>
      </c>
      <c r="H94">
        <v>0</v>
      </c>
      <c r="I94">
        <v>0</v>
      </c>
      <c r="J94">
        <v>0</v>
      </c>
      <c r="K94">
        <v>0</v>
      </c>
      <c r="L94">
        <v>6053.6508899999999</v>
      </c>
      <c r="M94">
        <v>207.87018</v>
      </c>
      <c r="N94">
        <v>0</v>
      </c>
      <c r="O94">
        <v>0</v>
      </c>
      <c r="Q94">
        <v>11</v>
      </c>
      <c r="R94">
        <v>0</v>
      </c>
      <c r="S94">
        <v>0</v>
      </c>
      <c r="T94">
        <v>0</v>
      </c>
      <c r="U94">
        <v>0</v>
      </c>
      <c r="V94">
        <v>0</v>
      </c>
      <c r="W94">
        <v>0</v>
      </c>
      <c r="X94">
        <v>0</v>
      </c>
      <c r="Y94">
        <v>0</v>
      </c>
      <c r="Z94">
        <v>0</v>
      </c>
      <c r="AA94">
        <v>0</v>
      </c>
      <c r="AB94">
        <v>478</v>
      </c>
      <c r="AC94">
        <v>0</v>
      </c>
      <c r="AD94">
        <v>0</v>
      </c>
      <c r="AE94">
        <v>0</v>
      </c>
      <c r="AG94" s="157">
        <v>11</v>
      </c>
      <c r="AH94">
        <v>0</v>
      </c>
      <c r="AI94">
        <v>0</v>
      </c>
      <c r="AJ94">
        <v>0</v>
      </c>
      <c r="AK94">
        <v>0</v>
      </c>
      <c r="AL94">
        <v>0</v>
      </c>
      <c r="AM94">
        <v>0</v>
      </c>
      <c r="AN94">
        <v>0</v>
      </c>
      <c r="AO94">
        <v>0</v>
      </c>
      <c r="AP94">
        <v>0</v>
      </c>
      <c r="AQ94">
        <v>0</v>
      </c>
      <c r="AR94">
        <v>478</v>
      </c>
      <c r="AS94">
        <v>0</v>
      </c>
      <c r="AT94">
        <v>0</v>
      </c>
      <c r="AU94">
        <v>0</v>
      </c>
    </row>
    <row r="95" spans="1:47" x14ac:dyDescent="0.25">
      <c r="A95">
        <v>12</v>
      </c>
      <c r="B95">
        <v>0</v>
      </c>
      <c r="C95">
        <v>0</v>
      </c>
      <c r="D95">
        <v>0</v>
      </c>
      <c r="E95">
        <v>0</v>
      </c>
      <c r="F95">
        <v>0</v>
      </c>
      <c r="G95">
        <v>0</v>
      </c>
      <c r="H95">
        <v>0</v>
      </c>
      <c r="I95">
        <v>0</v>
      </c>
      <c r="J95">
        <v>0</v>
      </c>
      <c r="K95">
        <v>0</v>
      </c>
      <c r="L95">
        <v>44.190469999999998</v>
      </c>
      <c r="M95">
        <v>7790.4192599999997</v>
      </c>
      <c r="N95">
        <v>0</v>
      </c>
      <c r="O95">
        <v>0</v>
      </c>
      <c r="Q95">
        <v>12</v>
      </c>
      <c r="R95">
        <v>0</v>
      </c>
      <c r="S95">
        <v>0</v>
      </c>
      <c r="T95">
        <v>0</v>
      </c>
      <c r="U95">
        <v>0</v>
      </c>
      <c r="V95">
        <v>0</v>
      </c>
      <c r="W95">
        <v>0</v>
      </c>
      <c r="X95">
        <v>0</v>
      </c>
      <c r="Y95">
        <v>0</v>
      </c>
      <c r="Z95">
        <v>0</v>
      </c>
      <c r="AA95">
        <v>0</v>
      </c>
      <c r="AB95">
        <v>0</v>
      </c>
      <c r="AC95">
        <v>434</v>
      </c>
      <c r="AD95">
        <v>0</v>
      </c>
      <c r="AE95">
        <v>0</v>
      </c>
      <c r="AG95" s="157">
        <v>12</v>
      </c>
      <c r="AH95">
        <v>0</v>
      </c>
      <c r="AI95">
        <v>0</v>
      </c>
      <c r="AJ95">
        <v>0</v>
      </c>
      <c r="AK95">
        <v>0</v>
      </c>
      <c r="AL95">
        <v>0</v>
      </c>
      <c r="AM95">
        <v>0</v>
      </c>
      <c r="AN95">
        <v>0</v>
      </c>
      <c r="AO95">
        <v>0</v>
      </c>
      <c r="AP95">
        <v>0</v>
      </c>
      <c r="AQ95">
        <v>0</v>
      </c>
      <c r="AR95">
        <v>0</v>
      </c>
      <c r="AS95">
        <v>434</v>
      </c>
      <c r="AT95">
        <v>0</v>
      </c>
      <c r="AU95">
        <v>0</v>
      </c>
    </row>
    <row r="96" spans="1:47" x14ac:dyDescent="0.25">
      <c r="A96">
        <v>13</v>
      </c>
      <c r="B96">
        <v>0</v>
      </c>
      <c r="C96">
        <v>0</v>
      </c>
      <c r="D96">
        <v>0</v>
      </c>
      <c r="E96">
        <v>0</v>
      </c>
      <c r="F96">
        <v>0</v>
      </c>
      <c r="G96">
        <v>0</v>
      </c>
      <c r="H96">
        <v>0</v>
      </c>
      <c r="I96">
        <v>0</v>
      </c>
      <c r="J96">
        <v>2340.3786500000001</v>
      </c>
      <c r="K96">
        <v>189.87280999999999</v>
      </c>
      <c r="L96">
        <v>269.04023999999998</v>
      </c>
      <c r="M96">
        <v>314.31333000000001</v>
      </c>
      <c r="N96">
        <v>9549.7129600000007</v>
      </c>
      <c r="O96">
        <v>0</v>
      </c>
      <c r="Q96">
        <v>13</v>
      </c>
      <c r="R96">
        <v>0</v>
      </c>
      <c r="S96">
        <v>0</v>
      </c>
      <c r="T96">
        <v>0</v>
      </c>
      <c r="U96">
        <v>0</v>
      </c>
      <c r="V96">
        <v>0</v>
      </c>
      <c r="W96">
        <v>0</v>
      </c>
      <c r="X96">
        <v>0</v>
      </c>
      <c r="Y96">
        <v>0</v>
      </c>
      <c r="Z96">
        <v>0</v>
      </c>
      <c r="AA96">
        <v>157</v>
      </c>
      <c r="AB96">
        <v>0</v>
      </c>
      <c r="AC96">
        <v>0</v>
      </c>
      <c r="AD96">
        <v>2745</v>
      </c>
      <c r="AE96">
        <v>0</v>
      </c>
      <c r="AG96" s="157">
        <v>13</v>
      </c>
      <c r="AH96">
        <v>0</v>
      </c>
      <c r="AI96">
        <v>0</v>
      </c>
      <c r="AJ96">
        <v>0</v>
      </c>
      <c r="AK96">
        <v>0</v>
      </c>
      <c r="AL96">
        <v>0</v>
      </c>
      <c r="AM96">
        <v>0</v>
      </c>
      <c r="AN96">
        <v>0</v>
      </c>
      <c r="AO96">
        <v>0</v>
      </c>
      <c r="AP96">
        <v>0</v>
      </c>
      <c r="AQ96">
        <v>157</v>
      </c>
      <c r="AR96">
        <v>0</v>
      </c>
      <c r="AS96">
        <v>0</v>
      </c>
      <c r="AT96">
        <v>2745</v>
      </c>
      <c r="AU96">
        <v>0</v>
      </c>
    </row>
    <row r="97" spans="1:47" x14ac:dyDescent="0.25">
      <c r="A97">
        <v>14</v>
      </c>
      <c r="B97">
        <v>0</v>
      </c>
      <c r="C97">
        <v>0</v>
      </c>
      <c r="D97">
        <v>0</v>
      </c>
      <c r="E97">
        <v>0</v>
      </c>
      <c r="F97">
        <v>0</v>
      </c>
      <c r="G97">
        <v>0</v>
      </c>
      <c r="H97">
        <v>0</v>
      </c>
      <c r="I97">
        <v>0</v>
      </c>
      <c r="J97">
        <v>0</v>
      </c>
      <c r="K97">
        <v>0</v>
      </c>
      <c r="L97">
        <v>0</v>
      </c>
      <c r="M97">
        <v>0</v>
      </c>
      <c r="N97">
        <v>0</v>
      </c>
      <c r="O97">
        <v>6397.8160799999996</v>
      </c>
      <c r="Q97">
        <v>14</v>
      </c>
      <c r="R97">
        <v>0</v>
      </c>
      <c r="S97">
        <v>0</v>
      </c>
      <c r="T97">
        <v>0</v>
      </c>
      <c r="U97">
        <v>0</v>
      </c>
      <c r="V97">
        <v>0</v>
      </c>
      <c r="W97">
        <v>0</v>
      </c>
      <c r="X97">
        <v>0</v>
      </c>
      <c r="Y97">
        <v>0</v>
      </c>
      <c r="Z97">
        <v>0</v>
      </c>
      <c r="AA97">
        <v>0</v>
      </c>
      <c r="AB97">
        <v>0</v>
      </c>
      <c r="AC97">
        <v>0</v>
      </c>
      <c r="AD97">
        <v>0</v>
      </c>
      <c r="AE97">
        <v>0</v>
      </c>
      <c r="AG97" s="157">
        <v>14</v>
      </c>
      <c r="AH97">
        <v>0</v>
      </c>
      <c r="AI97">
        <v>0</v>
      </c>
      <c r="AJ97">
        <v>0</v>
      </c>
      <c r="AK97">
        <v>0</v>
      </c>
      <c r="AL97">
        <v>0</v>
      </c>
      <c r="AM97">
        <v>0</v>
      </c>
      <c r="AN97">
        <v>0</v>
      </c>
      <c r="AO97">
        <v>0</v>
      </c>
      <c r="AP97">
        <v>0</v>
      </c>
      <c r="AQ97">
        <v>0</v>
      </c>
      <c r="AR97">
        <v>0</v>
      </c>
      <c r="AS97">
        <v>0</v>
      </c>
      <c r="AT97">
        <v>0</v>
      </c>
      <c r="AU97">
        <v>0</v>
      </c>
    </row>
    <row r="98" spans="1:47" x14ac:dyDescent="0.25">
      <c r="A98" t="s">
        <v>196</v>
      </c>
      <c r="Q98" t="s">
        <v>196</v>
      </c>
    </row>
    <row r="99" spans="1:47" x14ac:dyDescent="0.25">
      <c r="B99" t="s">
        <v>208</v>
      </c>
      <c r="C99" t="s">
        <v>209</v>
      </c>
      <c r="D99" t="s">
        <v>210</v>
      </c>
      <c r="E99" t="s">
        <v>211</v>
      </c>
      <c r="F99" t="s">
        <v>212</v>
      </c>
      <c r="G99" t="s">
        <v>213</v>
      </c>
      <c r="H99" t="s">
        <v>214</v>
      </c>
      <c r="I99" t="s">
        <v>215</v>
      </c>
      <c r="J99" t="s">
        <v>216</v>
      </c>
      <c r="K99" t="s">
        <v>400</v>
      </c>
      <c r="L99" t="s">
        <v>401</v>
      </c>
      <c r="M99" t="s">
        <v>402</v>
      </c>
      <c r="N99" t="s">
        <v>403</v>
      </c>
      <c r="O99" t="s">
        <v>404</v>
      </c>
      <c r="R99" t="s">
        <v>208</v>
      </c>
      <c r="S99" t="s">
        <v>209</v>
      </c>
      <c r="T99" t="s">
        <v>210</v>
      </c>
      <c r="U99" t="s">
        <v>211</v>
      </c>
      <c r="V99" t="s">
        <v>212</v>
      </c>
      <c r="W99" t="s">
        <v>213</v>
      </c>
      <c r="X99" t="s">
        <v>214</v>
      </c>
      <c r="Y99" t="s">
        <v>215</v>
      </c>
      <c r="Z99" t="s">
        <v>216</v>
      </c>
      <c r="AA99" t="s">
        <v>400</v>
      </c>
      <c r="AB99" t="s">
        <v>401</v>
      </c>
      <c r="AC99" t="s">
        <v>402</v>
      </c>
      <c r="AD99" t="s">
        <v>403</v>
      </c>
      <c r="AE99" t="s">
        <v>404</v>
      </c>
      <c r="AG99" s="157"/>
      <c r="AH99" t="s">
        <v>208</v>
      </c>
      <c r="AI99" t="s">
        <v>209</v>
      </c>
      <c r="AJ99" t="s">
        <v>210</v>
      </c>
      <c r="AK99" t="s">
        <v>211</v>
      </c>
      <c r="AL99" t="s">
        <v>212</v>
      </c>
      <c r="AM99" t="s">
        <v>213</v>
      </c>
      <c r="AN99" t="s">
        <v>214</v>
      </c>
      <c r="AO99" t="s">
        <v>215</v>
      </c>
      <c r="AP99" t="s">
        <v>216</v>
      </c>
      <c r="AQ99" t="s">
        <v>400</v>
      </c>
      <c r="AR99" t="s">
        <v>401</v>
      </c>
      <c r="AS99" t="s">
        <v>402</v>
      </c>
      <c r="AT99" t="s">
        <v>403</v>
      </c>
      <c r="AU99" t="s">
        <v>404</v>
      </c>
    </row>
    <row r="100" spans="1:47" x14ac:dyDescent="0.25">
      <c r="A100">
        <v>1</v>
      </c>
      <c r="B100">
        <v>642.06829000000005</v>
      </c>
      <c r="C100">
        <v>0</v>
      </c>
      <c r="D100">
        <v>5295.4974599999996</v>
      </c>
      <c r="E100">
        <v>0</v>
      </c>
      <c r="F100">
        <v>3249.5358000000001</v>
      </c>
      <c r="G100">
        <v>0</v>
      </c>
      <c r="H100">
        <v>0</v>
      </c>
      <c r="I100">
        <v>0</v>
      </c>
      <c r="J100">
        <v>0</v>
      </c>
      <c r="K100">
        <v>0</v>
      </c>
      <c r="L100">
        <v>0</v>
      </c>
      <c r="M100">
        <v>0</v>
      </c>
      <c r="N100">
        <v>0</v>
      </c>
      <c r="O100">
        <v>0</v>
      </c>
      <c r="Q100">
        <v>1</v>
      </c>
      <c r="R100">
        <v>0</v>
      </c>
      <c r="S100">
        <v>0</v>
      </c>
      <c r="T100">
        <v>0</v>
      </c>
      <c r="U100">
        <v>0</v>
      </c>
      <c r="V100">
        <v>0</v>
      </c>
      <c r="W100">
        <v>0</v>
      </c>
      <c r="X100">
        <v>0</v>
      </c>
      <c r="Y100">
        <v>0</v>
      </c>
      <c r="Z100">
        <v>0</v>
      </c>
      <c r="AA100">
        <v>0</v>
      </c>
      <c r="AB100">
        <v>0</v>
      </c>
      <c r="AC100">
        <v>0</v>
      </c>
      <c r="AD100">
        <v>0</v>
      </c>
      <c r="AE100">
        <v>0</v>
      </c>
      <c r="AG100" s="157">
        <v>1</v>
      </c>
      <c r="AH100">
        <v>0</v>
      </c>
      <c r="AI100">
        <v>0</v>
      </c>
      <c r="AJ100">
        <v>0</v>
      </c>
      <c r="AK100">
        <v>0</v>
      </c>
      <c r="AL100">
        <v>0</v>
      </c>
      <c r="AM100">
        <v>0</v>
      </c>
      <c r="AN100">
        <v>0</v>
      </c>
      <c r="AO100">
        <v>0</v>
      </c>
      <c r="AP100">
        <v>0</v>
      </c>
      <c r="AQ100">
        <v>0</v>
      </c>
      <c r="AR100">
        <v>0</v>
      </c>
      <c r="AS100">
        <v>0</v>
      </c>
      <c r="AT100">
        <v>0</v>
      </c>
      <c r="AU100">
        <v>0</v>
      </c>
    </row>
    <row r="101" spans="1:47" x14ac:dyDescent="0.25">
      <c r="A101">
        <v>2</v>
      </c>
      <c r="B101">
        <v>0</v>
      </c>
      <c r="C101">
        <v>0</v>
      </c>
      <c r="D101">
        <v>0</v>
      </c>
      <c r="E101">
        <v>0</v>
      </c>
      <c r="F101">
        <v>0</v>
      </c>
      <c r="G101">
        <v>0</v>
      </c>
      <c r="H101">
        <v>0</v>
      </c>
      <c r="I101">
        <v>0</v>
      </c>
      <c r="J101">
        <v>0</v>
      </c>
      <c r="K101">
        <v>0</v>
      </c>
      <c r="L101">
        <v>0</v>
      </c>
      <c r="M101">
        <v>0</v>
      </c>
      <c r="N101">
        <v>0</v>
      </c>
      <c r="O101">
        <v>0</v>
      </c>
      <c r="Q101">
        <v>2</v>
      </c>
      <c r="R101">
        <v>0</v>
      </c>
      <c r="S101">
        <v>0</v>
      </c>
      <c r="T101">
        <v>0</v>
      </c>
      <c r="U101">
        <v>0</v>
      </c>
      <c r="V101">
        <v>0</v>
      </c>
      <c r="W101">
        <v>0</v>
      </c>
      <c r="X101">
        <v>0</v>
      </c>
      <c r="Y101">
        <v>0</v>
      </c>
      <c r="Z101">
        <v>0</v>
      </c>
      <c r="AA101">
        <v>0</v>
      </c>
      <c r="AB101">
        <v>0</v>
      </c>
      <c r="AC101">
        <v>0</v>
      </c>
      <c r="AD101">
        <v>0</v>
      </c>
      <c r="AE101">
        <v>0</v>
      </c>
      <c r="AG101" s="157">
        <v>2</v>
      </c>
      <c r="AH101">
        <v>0</v>
      </c>
      <c r="AI101">
        <v>0</v>
      </c>
      <c r="AJ101">
        <v>0</v>
      </c>
      <c r="AK101">
        <v>0</v>
      </c>
      <c r="AL101">
        <v>0</v>
      </c>
      <c r="AM101">
        <v>0</v>
      </c>
      <c r="AN101">
        <v>0</v>
      </c>
      <c r="AO101">
        <v>0</v>
      </c>
      <c r="AP101">
        <v>0</v>
      </c>
      <c r="AQ101">
        <v>0</v>
      </c>
      <c r="AR101">
        <v>0</v>
      </c>
      <c r="AS101">
        <v>0</v>
      </c>
      <c r="AT101">
        <v>0</v>
      </c>
      <c r="AU101">
        <v>0</v>
      </c>
    </row>
    <row r="102" spans="1:47" x14ac:dyDescent="0.25">
      <c r="A102">
        <v>3</v>
      </c>
      <c r="B102">
        <v>0</v>
      </c>
      <c r="C102">
        <v>0</v>
      </c>
      <c r="D102">
        <v>1543352.0597000001</v>
      </c>
      <c r="E102">
        <v>6593.9589800000003</v>
      </c>
      <c r="F102">
        <v>121921.71591</v>
      </c>
      <c r="G102">
        <v>6559.6326300000001</v>
      </c>
      <c r="H102">
        <v>0</v>
      </c>
      <c r="I102">
        <v>0</v>
      </c>
      <c r="J102">
        <v>936.50153999999998</v>
      </c>
      <c r="K102">
        <v>0</v>
      </c>
      <c r="L102">
        <v>0</v>
      </c>
      <c r="M102">
        <v>0</v>
      </c>
      <c r="N102">
        <v>0</v>
      </c>
      <c r="O102">
        <v>0</v>
      </c>
      <c r="Q102">
        <v>3</v>
      </c>
      <c r="R102">
        <v>0</v>
      </c>
      <c r="S102">
        <v>0</v>
      </c>
      <c r="T102">
        <v>108736</v>
      </c>
      <c r="U102">
        <v>2150</v>
      </c>
      <c r="V102">
        <v>386</v>
      </c>
      <c r="W102">
        <v>7</v>
      </c>
      <c r="X102">
        <v>0</v>
      </c>
      <c r="Y102">
        <v>0</v>
      </c>
      <c r="Z102">
        <v>0</v>
      </c>
      <c r="AA102">
        <v>175</v>
      </c>
      <c r="AB102">
        <v>0</v>
      </c>
      <c r="AC102">
        <v>0</v>
      </c>
      <c r="AD102">
        <v>71</v>
      </c>
      <c r="AE102">
        <v>0</v>
      </c>
      <c r="AG102" s="157">
        <v>3</v>
      </c>
      <c r="AH102">
        <v>0</v>
      </c>
      <c r="AI102">
        <v>0</v>
      </c>
      <c r="AJ102">
        <v>108736</v>
      </c>
      <c r="AK102">
        <v>2150</v>
      </c>
      <c r="AL102">
        <v>386</v>
      </c>
      <c r="AM102">
        <v>7</v>
      </c>
      <c r="AN102">
        <v>0</v>
      </c>
      <c r="AO102">
        <v>0</v>
      </c>
      <c r="AP102">
        <v>0</v>
      </c>
      <c r="AQ102">
        <v>175</v>
      </c>
      <c r="AR102">
        <v>0</v>
      </c>
      <c r="AS102">
        <v>0</v>
      </c>
      <c r="AT102">
        <v>71</v>
      </c>
      <c r="AU102">
        <v>0</v>
      </c>
    </row>
    <row r="103" spans="1:47" x14ac:dyDescent="0.25">
      <c r="A103">
        <v>4</v>
      </c>
      <c r="B103">
        <v>0</v>
      </c>
      <c r="C103">
        <v>0</v>
      </c>
      <c r="D103">
        <v>0</v>
      </c>
      <c r="E103">
        <v>6475.2320399999999</v>
      </c>
      <c r="F103">
        <v>0</v>
      </c>
      <c r="G103">
        <v>4933.0185000000001</v>
      </c>
      <c r="H103">
        <v>0</v>
      </c>
      <c r="I103">
        <v>0</v>
      </c>
      <c r="J103">
        <v>0</v>
      </c>
      <c r="K103">
        <v>0</v>
      </c>
      <c r="L103">
        <v>0</v>
      </c>
      <c r="M103">
        <v>0</v>
      </c>
      <c r="N103">
        <v>0</v>
      </c>
      <c r="O103">
        <v>0</v>
      </c>
      <c r="Q103">
        <v>4</v>
      </c>
      <c r="R103">
        <v>0</v>
      </c>
      <c r="S103">
        <v>0</v>
      </c>
      <c r="T103">
        <v>0</v>
      </c>
      <c r="U103">
        <v>510</v>
      </c>
      <c r="V103">
        <v>0</v>
      </c>
      <c r="W103">
        <v>2</v>
      </c>
      <c r="X103">
        <v>0</v>
      </c>
      <c r="Y103">
        <v>0</v>
      </c>
      <c r="Z103">
        <v>0</v>
      </c>
      <c r="AA103">
        <v>14</v>
      </c>
      <c r="AB103">
        <v>0</v>
      </c>
      <c r="AC103">
        <v>0</v>
      </c>
      <c r="AD103">
        <v>21</v>
      </c>
      <c r="AE103">
        <v>0</v>
      </c>
      <c r="AG103" s="157">
        <v>4</v>
      </c>
      <c r="AH103">
        <v>0</v>
      </c>
      <c r="AI103">
        <v>0</v>
      </c>
      <c r="AJ103">
        <v>0</v>
      </c>
      <c r="AK103">
        <v>510</v>
      </c>
      <c r="AL103">
        <v>0</v>
      </c>
      <c r="AM103">
        <v>2</v>
      </c>
      <c r="AN103">
        <v>0</v>
      </c>
      <c r="AO103">
        <v>0</v>
      </c>
      <c r="AP103">
        <v>0</v>
      </c>
      <c r="AQ103">
        <v>14</v>
      </c>
      <c r="AR103">
        <v>0</v>
      </c>
      <c r="AS103">
        <v>0</v>
      </c>
      <c r="AT103">
        <v>21</v>
      </c>
      <c r="AU103">
        <v>0</v>
      </c>
    </row>
    <row r="104" spans="1:47" x14ac:dyDescent="0.25">
      <c r="A104">
        <v>5</v>
      </c>
      <c r="B104">
        <v>0</v>
      </c>
      <c r="C104">
        <v>0</v>
      </c>
      <c r="D104">
        <v>0</v>
      </c>
      <c r="E104">
        <v>0</v>
      </c>
      <c r="F104">
        <v>1310222.9162600001</v>
      </c>
      <c r="G104">
        <v>18651.360089999998</v>
      </c>
      <c r="H104">
        <v>0</v>
      </c>
      <c r="I104">
        <v>0</v>
      </c>
      <c r="J104">
        <v>962.79214000000002</v>
      </c>
      <c r="K104">
        <v>0</v>
      </c>
      <c r="L104">
        <v>1081.5683200000001</v>
      </c>
      <c r="M104">
        <v>0</v>
      </c>
      <c r="N104">
        <v>0</v>
      </c>
      <c r="O104">
        <v>0</v>
      </c>
      <c r="Q104">
        <v>5</v>
      </c>
      <c r="R104">
        <v>0</v>
      </c>
      <c r="S104">
        <v>0</v>
      </c>
      <c r="T104">
        <v>0</v>
      </c>
      <c r="U104">
        <v>0</v>
      </c>
      <c r="V104">
        <v>72911</v>
      </c>
      <c r="W104">
        <v>1788</v>
      </c>
      <c r="X104">
        <v>0</v>
      </c>
      <c r="Y104">
        <v>0</v>
      </c>
      <c r="Z104">
        <v>0</v>
      </c>
      <c r="AA104">
        <v>81</v>
      </c>
      <c r="AB104">
        <v>0</v>
      </c>
      <c r="AC104">
        <v>0</v>
      </c>
      <c r="AD104">
        <v>19</v>
      </c>
      <c r="AE104">
        <v>0</v>
      </c>
      <c r="AG104" s="157">
        <v>5</v>
      </c>
      <c r="AH104">
        <v>0</v>
      </c>
      <c r="AI104">
        <v>0</v>
      </c>
      <c r="AJ104">
        <v>0</v>
      </c>
      <c r="AK104">
        <v>0</v>
      </c>
      <c r="AL104">
        <v>72911</v>
      </c>
      <c r="AM104">
        <v>1788</v>
      </c>
      <c r="AN104">
        <v>0</v>
      </c>
      <c r="AO104">
        <v>0</v>
      </c>
      <c r="AP104">
        <v>0</v>
      </c>
      <c r="AQ104">
        <v>81</v>
      </c>
      <c r="AR104">
        <v>0</v>
      </c>
      <c r="AS104">
        <v>0</v>
      </c>
      <c r="AT104">
        <v>19</v>
      </c>
      <c r="AU104">
        <v>0</v>
      </c>
    </row>
    <row r="105" spans="1:47" x14ac:dyDescent="0.25">
      <c r="A105">
        <v>6</v>
      </c>
      <c r="B105">
        <v>0</v>
      </c>
      <c r="C105">
        <v>0</v>
      </c>
      <c r="D105">
        <v>0</v>
      </c>
      <c r="E105">
        <v>0</v>
      </c>
      <c r="F105">
        <v>0</v>
      </c>
      <c r="G105">
        <v>10893.227500000001</v>
      </c>
      <c r="H105">
        <v>0</v>
      </c>
      <c r="I105">
        <v>0</v>
      </c>
      <c r="J105">
        <v>0</v>
      </c>
      <c r="K105">
        <v>0</v>
      </c>
      <c r="L105">
        <v>0</v>
      </c>
      <c r="M105">
        <v>0</v>
      </c>
      <c r="N105">
        <v>0</v>
      </c>
      <c r="O105">
        <v>0</v>
      </c>
      <c r="Q105">
        <v>6</v>
      </c>
      <c r="R105">
        <v>0</v>
      </c>
      <c r="S105">
        <v>0</v>
      </c>
      <c r="T105">
        <v>0</v>
      </c>
      <c r="U105">
        <v>0</v>
      </c>
      <c r="V105">
        <v>858</v>
      </c>
      <c r="W105">
        <v>425</v>
      </c>
      <c r="X105">
        <v>0</v>
      </c>
      <c r="Y105">
        <v>0</v>
      </c>
      <c r="Z105">
        <v>0</v>
      </c>
      <c r="AA105">
        <v>24</v>
      </c>
      <c r="AB105">
        <v>0</v>
      </c>
      <c r="AC105">
        <v>0</v>
      </c>
      <c r="AD105">
        <v>3</v>
      </c>
      <c r="AE105">
        <v>0</v>
      </c>
      <c r="AG105" s="157">
        <v>6</v>
      </c>
      <c r="AH105">
        <v>0</v>
      </c>
      <c r="AI105">
        <v>0</v>
      </c>
      <c r="AJ105">
        <v>0</v>
      </c>
      <c r="AK105">
        <v>0</v>
      </c>
      <c r="AL105">
        <v>858</v>
      </c>
      <c r="AM105">
        <v>425</v>
      </c>
      <c r="AN105">
        <v>0</v>
      </c>
      <c r="AO105">
        <v>0</v>
      </c>
      <c r="AP105">
        <v>0</v>
      </c>
      <c r="AQ105">
        <v>24</v>
      </c>
      <c r="AR105">
        <v>0</v>
      </c>
      <c r="AS105">
        <v>0</v>
      </c>
      <c r="AT105">
        <v>3</v>
      </c>
      <c r="AU105">
        <v>0</v>
      </c>
    </row>
    <row r="106" spans="1:47" x14ac:dyDescent="0.25">
      <c r="A106">
        <v>7</v>
      </c>
      <c r="B106">
        <v>79.002579999999995</v>
      </c>
      <c r="C106">
        <v>0</v>
      </c>
      <c r="D106">
        <v>8511.7564000000002</v>
      </c>
      <c r="E106">
        <v>0</v>
      </c>
      <c r="F106">
        <v>6301.7991099999999</v>
      </c>
      <c r="G106">
        <v>40.354320000000001</v>
      </c>
      <c r="H106">
        <v>176119.46624000001</v>
      </c>
      <c r="I106">
        <v>0</v>
      </c>
      <c r="J106">
        <v>8234.2448299999996</v>
      </c>
      <c r="K106">
        <v>1739.18246</v>
      </c>
      <c r="L106">
        <v>2553.9297000000001</v>
      </c>
      <c r="M106">
        <v>548.45777999999996</v>
      </c>
      <c r="N106">
        <v>223.74852000000001</v>
      </c>
      <c r="O106">
        <v>0</v>
      </c>
      <c r="Q106">
        <v>7</v>
      </c>
      <c r="R106">
        <v>0</v>
      </c>
      <c r="S106">
        <v>0</v>
      </c>
      <c r="T106">
        <v>756</v>
      </c>
      <c r="U106">
        <v>0</v>
      </c>
      <c r="V106">
        <v>483</v>
      </c>
      <c r="W106">
        <v>0</v>
      </c>
      <c r="X106">
        <v>24812</v>
      </c>
      <c r="Y106">
        <v>0</v>
      </c>
      <c r="Z106">
        <v>0</v>
      </c>
      <c r="AA106">
        <v>72</v>
      </c>
      <c r="AB106">
        <v>0</v>
      </c>
      <c r="AC106">
        <v>0</v>
      </c>
      <c r="AD106">
        <v>27</v>
      </c>
      <c r="AE106">
        <v>0</v>
      </c>
      <c r="AG106" s="157">
        <v>7</v>
      </c>
      <c r="AH106">
        <v>0</v>
      </c>
      <c r="AI106">
        <v>0</v>
      </c>
      <c r="AJ106">
        <v>756</v>
      </c>
      <c r="AK106">
        <v>0</v>
      </c>
      <c r="AL106">
        <v>483</v>
      </c>
      <c r="AM106">
        <v>0</v>
      </c>
      <c r="AN106">
        <v>24812</v>
      </c>
      <c r="AO106">
        <v>0</v>
      </c>
      <c r="AP106">
        <v>0</v>
      </c>
      <c r="AQ106">
        <v>72</v>
      </c>
      <c r="AR106">
        <v>0</v>
      </c>
      <c r="AS106">
        <v>0</v>
      </c>
      <c r="AT106">
        <v>27</v>
      </c>
      <c r="AU106">
        <v>0</v>
      </c>
    </row>
    <row r="107" spans="1:47" x14ac:dyDescent="0.25">
      <c r="A107">
        <v>8</v>
      </c>
      <c r="B107">
        <v>0</v>
      </c>
      <c r="C107">
        <v>0</v>
      </c>
      <c r="D107">
        <v>489.24655999999999</v>
      </c>
      <c r="E107">
        <v>0</v>
      </c>
      <c r="F107">
        <v>164.37088</v>
      </c>
      <c r="G107">
        <v>0</v>
      </c>
      <c r="H107">
        <v>0</v>
      </c>
      <c r="I107">
        <v>3445.8493199999998</v>
      </c>
      <c r="J107">
        <v>0</v>
      </c>
      <c r="K107">
        <v>0</v>
      </c>
      <c r="L107">
        <v>0</v>
      </c>
      <c r="M107">
        <v>0</v>
      </c>
      <c r="N107">
        <v>0</v>
      </c>
      <c r="O107">
        <v>0</v>
      </c>
      <c r="Q107">
        <v>8</v>
      </c>
      <c r="R107">
        <v>0</v>
      </c>
      <c r="S107">
        <v>0</v>
      </c>
      <c r="T107">
        <v>0</v>
      </c>
      <c r="U107">
        <v>0</v>
      </c>
      <c r="V107">
        <v>0</v>
      </c>
      <c r="W107">
        <v>0</v>
      </c>
      <c r="X107">
        <v>0</v>
      </c>
      <c r="Y107">
        <v>318</v>
      </c>
      <c r="Z107">
        <v>0</v>
      </c>
      <c r="AA107">
        <v>0</v>
      </c>
      <c r="AB107">
        <v>0</v>
      </c>
      <c r="AC107">
        <v>0</v>
      </c>
      <c r="AD107">
        <v>0</v>
      </c>
      <c r="AE107">
        <v>0</v>
      </c>
      <c r="AG107" s="157">
        <v>8</v>
      </c>
      <c r="AH107">
        <v>0</v>
      </c>
      <c r="AI107">
        <v>0</v>
      </c>
      <c r="AJ107">
        <v>0</v>
      </c>
      <c r="AK107">
        <v>0</v>
      </c>
      <c r="AL107">
        <v>0</v>
      </c>
      <c r="AM107">
        <v>0</v>
      </c>
      <c r="AN107">
        <v>0</v>
      </c>
      <c r="AO107">
        <v>318</v>
      </c>
      <c r="AP107">
        <v>0</v>
      </c>
      <c r="AQ107">
        <v>0</v>
      </c>
      <c r="AR107">
        <v>0</v>
      </c>
      <c r="AS107">
        <v>0</v>
      </c>
      <c r="AT107">
        <v>0</v>
      </c>
      <c r="AU107">
        <v>0</v>
      </c>
    </row>
    <row r="108" spans="1:47" x14ac:dyDescent="0.25">
      <c r="A108">
        <v>9</v>
      </c>
      <c r="B108">
        <v>0</v>
      </c>
      <c r="C108">
        <v>0</v>
      </c>
      <c r="D108">
        <v>0</v>
      </c>
      <c r="E108">
        <v>0</v>
      </c>
      <c r="F108">
        <v>0</v>
      </c>
      <c r="G108">
        <v>0</v>
      </c>
      <c r="H108">
        <v>0</v>
      </c>
      <c r="I108">
        <v>0</v>
      </c>
      <c r="J108">
        <v>52805.701029999997</v>
      </c>
      <c r="K108">
        <v>3018.0365000000002</v>
      </c>
      <c r="L108">
        <v>0</v>
      </c>
      <c r="M108">
        <v>182.81926000000001</v>
      </c>
      <c r="N108">
        <v>0</v>
      </c>
      <c r="O108">
        <v>0</v>
      </c>
      <c r="Q108">
        <v>9</v>
      </c>
      <c r="R108">
        <v>0</v>
      </c>
      <c r="S108">
        <v>0</v>
      </c>
      <c r="T108">
        <v>0</v>
      </c>
      <c r="U108">
        <v>0</v>
      </c>
      <c r="V108">
        <v>0</v>
      </c>
      <c r="W108">
        <v>0</v>
      </c>
      <c r="X108">
        <v>0</v>
      </c>
      <c r="Y108">
        <v>0</v>
      </c>
      <c r="Z108">
        <v>0</v>
      </c>
      <c r="AA108">
        <v>0</v>
      </c>
      <c r="AB108">
        <v>0</v>
      </c>
      <c r="AC108">
        <v>0</v>
      </c>
      <c r="AD108">
        <v>0</v>
      </c>
      <c r="AE108">
        <v>0</v>
      </c>
      <c r="AG108" s="157">
        <v>9</v>
      </c>
      <c r="AH108">
        <v>0</v>
      </c>
      <c r="AI108">
        <v>0</v>
      </c>
      <c r="AJ108">
        <v>0</v>
      </c>
      <c r="AK108">
        <v>0</v>
      </c>
      <c r="AL108">
        <v>0</v>
      </c>
      <c r="AM108">
        <v>0</v>
      </c>
      <c r="AN108">
        <v>0</v>
      </c>
      <c r="AO108">
        <v>0</v>
      </c>
      <c r="AP108">
        <v>0</v>
      </c>
      <c r="AQ108">
        <v>0</v>
      </c>
      <c r="AR108">
        <v>0</v>
      </c>
      <c r="AS108">
        <v>0</v>
      </c>
      <c r="AT108">
        <v>0</v>
      </c>
      <c r="AU108">
        <v>0</v>
      </c>
    </row>
    <row r="109" spans="1:47" x14ac:dyDescent="0.25">
      <c r="A109">
        <v>10</v>
      </c>
      <c r="B109">
        <v>0</v>
      </c>
      <c r="C109">
        <v>0</v>
      </c>
      <c r="D109">
        <v>0</v>
      </c>
      <c r="E109">
        <v>0</v>
      </c>
      <c r="F109">
        <v>0</v>
      </c>
      <c r="G109">
        <v>0</v>
      </c>
      <c r="H109">
        <v>0</v>
      </c>
      <c r="I109">
        <v>0</v>
      </c>
      <c r="J109">
        <v>0</v>
      </c>
      <c r="K109">
        <v>7585.6688599999998</v>
      </c>
      <c r="L109">
        <v>0</v>
      </c>
      <c r="M109">
        <v>0</v>
      </c>
      <c r="N109">
        <v>0</v>
      </c>
      <c r="O109">
        <v>0</v>
      </c>
      <c r="Q109">
        <v>10</v>
      </c>
      <c r="R109">
        <v>0</v>
      </c>
      <c r="S109">
        <v>0</v>
      </c>
      <c r="T109">
        <v>0</v>
      </c>
      <c r="U109">
        <v>0</v>
      </c>
      <c r="V109">
        <v>0</v>
      </c>
      <c r="W109">
        <v>0</v>
      </c>
      <c r="X109">
        <v>0</v>
      </c>
      <c r="Y109">
        <v>0</v>
      </c>
      <c r="Z109">
        <v>0</v>
      </c>
      <c r="AA109">
        <v>3219</v>
      </c>
      <c r="AB109">
        <v>0</v>
      </c>
      <c r="AC109">
        <v>0</v>
      </c>
      <c r="AD109">
        <v>0</v>
      </c>
      <c r="AE109">
        <v>0</v>
      </c>
      <c r="AG109" s="157">
        <v>10</v>
      </c>
      <c r="AH109">
        <v>0</v>
      </c>
      <c r="AI109">
        <v>0</v>
      </c>
      <c r="AJ109">
        <v>0</v>
      </c>
      <c r="AK109">
        <v>0</v>
      </c>
      <c r="AL109">
        <v>0</v>
      </c>
      <c r="AM109">
        <v>0</v>
      </c>
      <c r="AN109">
        <v>0</v>
      </c>
      <c r="AO109">
        <v>0</v>
      </c>
      <c r="AP109">
        <v>0</v>
      </c>
      <c r="AQ109">
        <v>3219</v>
      </c>
      <c r="AR109">
        <v>0</v>
      </c>
      <c r="AS109">
        <v>0</v>
      </c>
      <c r="AT109">
        <v>0</v>
      </c>
      <c r="AU109">
        <v>0</v>
      </c>
    </row>
    <row r="110" spans="1:47" x14ac:dyDescent="0.25">
      <c r="A110">
        <v>11</v>
      </c>
      <c r="B110">
        <v>0</v>
      </c>
      <c r="C110">
        <v>0</v>
      </c>
      <c r="D110">
        <v>0</v>
      </c>
      <c r="E110">
        <v>0</v>
      </c>
      <c r="F110">
        <v>0</v>
      </c>
      <c r="G110">
        <v>0</v>
      </c>
      <c r="H110">
        <v>0</v>
      </c>
      <c r="I110">
        <v>0</v>
      </c>
      <c r="J110">
        <v>0</v>
      </c>
      <c r="K110">
        <v>0</v>
      </c>
      <c r="L110">
        <v>6189.4277199999997</v>
      </c>
      <c r="M110">
        <v>0</v>
      </c>
      <c r="N110">
        <v>0</v>
      </c>
      <c r="O110">
        <v>0</v>
      </c>
      <c r="Q110">
        <v>11</v>
      </c>
      <c r="R110">
        <v>0</v>
      </c>
      <c r="S110">
        <v>0</v>
      </c>
      <c r="T110">
        <v>0</v>
      </c>
      <c r="U110">
        <v>0</v>
      </c>
      <c r="V110">
        <v>0</v>
      </c>
      <c r="W110">
        <v>0</v>
      </c>
      <c r="X110">
        <v>0</v>
      </c>
      <c r="Y110">
        <v>0</v>
      </c>
      <c r="Z110">
        <v>0</v>
      </c>
      <c r="AA110">
        <v>0</v>
      </c>
      <c r="AB110">
        <v>196</v>
      </c>
      <c r="AC110">
        <v>0</v>
      </c>
      <c r="AD110">
        <v>0</v>
      </c>
      <c r="AE110">
        <v>0</v>
      </c>
      <c r="AG110" s="157">
        <v>11</v>
      </c>
      <c r="AH110">
        <v>0</v>
      </c>
      <c r="AI110">
        <v>0</v>
      </c>
      <c r="AJ110">
        <v>0</v>
      </c>
      <c r="AK110">
        <v>0</v>
      </c>
      <c r="AL110">
        <v>0</v>
      </c>
      <c r="AM110">
        <v>0</v>
      </c>
      <c r="AN110">
        <v>0</v>
      </c>
      <c r="AO110">
        <v>0</v>
      </c>
      <c r="AP110">
        <v>0</v>
      </c>
      <c r="AQ110">
        <v>0</v>
      </c>
      <c r="AR110">
        <v>196</v>
      </c>
      <c r="AS110">
        <v>0</v>
      </c>
      <c r="AT110">
        <v>0</v>
      </c>
      <c r="AU110">
        <v>0</v>
      </c>
    </row>
    <row r="111" spans="1:47" x14ac:dyDescent="0.25">
      <c r="A111">
        <v>12</v>
      </c>
      <c r="B111">
        <v>0</v>
      </c>
      <c r="C111">
        <v>0</v>
      </c>
      <c r="D111">
        <v>0</v>
      </c>
      <c r="E111">
        <v>0</v>
      </c>
      <c r="F111">
        <v>0</v>
      </c>
      <c r="G111">
        <v>0</v>
      </c>
      <c r="H111">
        <v>0</v>
      </c>
      <c r="I111">
        <v>0</v>
      </c>
      <c r="J111">
        <v>0</v>
      </c>
      <c r="K111">
        <v>0</v>
      </c>
      <c r="L111">
        <v>0</v>
      </c>
      <c r="M111">
        <v>3330.77684</v>
      </c>
      <c r="N111">
        <v>0</v>
      </c>
      <c r="O111">
        <v>0</v>
      </c>
      <c r="Q111">
        <v>12</v>
      </c>
      <c r="R111">
        <v>0</v>
      </c>
      <c r="S111">
        <v>0</v>
      </c>
      <c r="T111">
        <v>0</v>
      </c>
      <c r="U111">
        <v>0</v>
      </c>
      <c r="V111">
        <v>0</v>
      </c>
      <c r="W111">
        <v>0</v>
      </c>
      <c r="X111">
        <v>0</v>
      </c>
      <c r="Y111">
        <v>0</v>
      </c>
      <c r="Z111">
        <v>0</v>
      </c>
      <c r="AA111">
        <v>0</v>
      </c>
      <c r="AB111">
        <v>0</v>
      </c>
      <c r="AC111">
        <v>0</v>
      </c>
      <c r="AD111">
        <v>0</v>
      </c>
      <c r="AE111">
        <v>0</v>
      </c>
      <c r="AG111" s="157">
        <v>12</v>
      </c>
      <c r="AH111">
        <v>0</v>
      </c>
      <c r="AI111">
        <v>0</v>
      </c>
      <c r="AJ111">
        <v>0</v>
      </c>
      <c r="AK111">
        <v>0</v>
      </c>
      <c r="AL111">
        <v>0</v>
      </c>
      <c r="AM111">
        <v>0</v>
      </c>
      <c r="AN111">
        <v>0</v>
      </c>
      <c r="AO111">
        <v>0</v>
      </c>
      <c r="AP111">
        <v>0</v>
      </c>
      <c r="AQ111">
        <v>0</v>
      </c>
      <c r="AR111">
        <v>0</v>
      </c>
      <c r="AS111">
        <v>0</v>
      </c>
      <c r="AT111">
        <v>0</v>
      </c>
      <c r="AU111">
        <v>0</v>
      </c>
    </row>
    <row r="112" spans="1:47" x14ac:dyDescent="0.25">
      <c r="A112">
        <v>13</v>
      </c>
      <c r="B112">
        <v>0</v>
      </c>
      <c r="C112">
        <v>0</v>
      </c>
      <c r="D112">
        <v>0</v>
      </c>
      <c r="E112">
        <v>0</v>
      </c>
      <c r="F112">
        <v>0</v>
      </c>
      <c r="G112">
        <v>0</v>
      </c>
      <c r="H112">
        <v>0</v>
      </c>
      <c r="I112">
        <v>0</v>
      </c>
      <c r="J112">
        <v>495.31540000000001</v>
      </c>
      <c r="K112">
        <v>0</v>
      </c>
      <c r="L112">
        <v>0</v>
      </c>
      <c r="M112">
        <v>0</v>
      </c>
      <c r="N112">
        <v>3742.0928399999998</v>
      </c>
      <c r="O112">
        <v>0</v>
      </c>
      <c r="Q112">
        <v>13</v>
      </c>
      <c r="R112">
        <v>0</v>
      </c>
      <c r="S112">
        <v>0</v>
      </c>
      <c r="T112">
        <v>0</v>
      </c>
      <c r="U112">
        <v>0</v>
      </c>
      <c r="V112">
        <v>0</v>
      </c>
      <c r="W112">
        <v>0</v>
      </c>
      <c r="X112">
        <v>0</v>
      </c>
      <c r="Y112">
        <v>0</v>
      </c>
      <c r="Z112">
        <v>0</v>
      </c>
      <c r="AA112">
        <v>79</v>
      </c>
      <c r="AB112">
        <v>0</v>
      </c>
      <c r="AC112">
        <v>0</v>
      </c>
      <c r="AD112">
        <v>829</v>
      </c>
      <c r="AE112">
        <v>0</v>
      </c>
      <c r="AG112" s="157">
        <v>13</v>
      </c>
      <c r="AH112">
        <v>0</v>
      </c>
      <c r="AI112">
        <v>0</v>
      </c>
      <c r="AJ112">
        <v>0</v>
      </c>
      <c r="AK112">
        <v>0</v>
      </c>
      <c r="AL112">
        <v>0</v>
      </c>
      <c r="AM112">
        <v>0</v>
      </c>
      <c r="AN112">
        <v>0</v>
      </c>
      <c r="AO112">
        <v>0</v>
      </c>
      <c r="AP112">
        <v>0</v>
      </c>
      <c r="AQ112">
        <v>79</v>
      </c>
      <c r="AR112">
        <v>0</v>
      </c>
      <c r="AS112">
        <v>0</v>
      </c>
      <c r="AT112">
        <v>829</v>
      </c>
      <c r="AU112">
        <v>0</v>
      </c>
    </row>
    <row r="113" spans="1:47" x14ac:dyDescent="0.25">
      <c r="A113">
        <v>14</v>
      </c>
      <c r="B113">
        <v>0</v>
      </c>
      <c r="C113">
        <v>0</v>
      </c>
      <c r="D113">
        <v>0</v>
      </c>
      <c r="E113">
        <v>0</v>
      </c>
      <c r="F113">
        <v>0</v>
      </c>
      <c r="G113">
        <v>0</v>
      </c>
      <c r="H113">
        <v>0</v>
      </c>
      <c r="I113">
        <v>0</v>
      </c>
      <c r="J113">
        <v>0</v>
      </c>
      <c r="K113">
        <v>0</v>
      </c>
      <c r="L113">
        <v>0</v>
      </c>
      <c r="M113">
        <v>0</v>
      </c>
      <c r="N113">
        <v>0</v>
      </c>
      <c r="O113">
        <v>0</v>
      </c>
      <c r="Q113">
        <v>14</v>
      </c>
      <c r="R113">
        <v>0</v>
      </c>
      <c r="S113">
        <v>0</v>
      </c>
      <c r="T113">
        <v>0</v>
      </c>
      <c r="U113">
        <v>0</v>
      </c>
      <c r="V113">
        <v>0</v>
      </c>
      <c r="W113">
        <v>0</v>
      </c>
      <c r="X113">
        <v>0</v>
      </c>
      <c r="Y113">
        <v>0</v>
      </c>
      <c r="Z113">
        <v>0</v>
      </c>
      <c r="AA113">
        <v>0</v>
      </c>
      <c r="AB113">
        <v>0</v>
      </c>
      <c r="AC113">
        <v>0</v>
      </c>
      <c r="AD113">
        <v>0</v>
      </c>
      <c r="AE113">
        <v>0</v>
      </c>
      <c r="AG113" s="157">
        <v>14</v>
      </c>
      <c r="AH113">
        <v>0</v>
      </c>
      <c r="AI113">
        <v>0</v>
      </c>
      <c r="AJ113">
        <v>0</v>
      </c>
      <c r="AK113">
        <v>0</v>
      </c>
      <c r="AL113">
        <v>0</v>
      </c>
      <c r="AM113">
        <v>0</v>
      </c>
      <c r="AN113">
        <v>0</v>
      </c>
      <c r="AO113">
        <v>0</v>
      </c>
      <c r="AP113">
        <v>0</v>
      </c>
      <c r="AQ113">
        <v>0</v>
      </c>
      <c r="AR113">
        <v>0</v>
      </c>
      <c r="AS113">
        <v>0</v>
      </c>
      <c r="AT113">
        <v>0</v>
      </c>
      <c r="AU113">
        <v>0</v>
      </c>
    </row>
    <row r="114" spans="1:47" x14ac:dyDescent="0.25">
      <c r="A114" t="s">
        <v>197</v>
      </c>
      <c r="Q114" t="s">
        <v>197</v>
      </c>
    </row>
    <row r="115" spans="1:47" x14ac:dyDescent="0.25">
      <c r="B115" t="s">
        <v>208</v>
      </c>
      <c r="C115" t="s">
        <v>209</v>
      </c>
      <c r="D115" t="s">
        <v>210</v>
      </c>
      <c r="E115" t="s">
        <v>211</v>
      </c>
      <c r="F115" t="s">
        <v>212</v>
      </c>
      <c r="G115" t="s">
        <v>213</v>
      </c>
      <c r="H115" t="s">
        <v>214</v>
      </c>
      <c r="I115" t="s">
        <v>215</v>
      </c>
      <c r="J115" t="s">
        <v>216</v>
      </c>
      <c r="K115" t="s">
        <v>400</v>
      </c>
      <c r="L115" t="s">
        <v>401</v>
      </c>
      <c r="M115" t="s">
        <v>402</v>
      </c>
      <c r="N115" t="s">
        <v>403</v>
      </c>
      <c r="O115" t="s">
        <v>404</v>
      </c>
      <c r="R115" t="s">
        <v>208</v>
      </c>
      <c r="S115" t="s">
        <v>209</v>
      </c>
      <c r="T115" t="s">
        <v>210</v>
      </c>
      <c r="U115" t="s">
        <v>211</v>
      </c>
      <c r="V115" t="s">
        <v>212</v>
      </c>
      <c r="W115" t="s">
        <v>213</v>
      </c>
      <c r="X115" t="s">
        <v>214</v>
      </c>
      <c r="Y115" t="s">
        <v>215</v>
      </c>
      <c r="Z115" t="s">
        <v>216</v>
      </c>
      <c r="AA115" t="s">
        <v>400</v>
      </c>
      <c r="AB115" t="s">
        <v>401</v>
      </c>
      <c r="AC115" t="s">
        <v>402</v>
      </c>
      <c r="AD115" t="s">
        <v>403</v>
      </c>
      <c r="AE115" t="s">
        <v>404</v>
      </c>
      <c r="AH115" t="s">
        <v>208</v>
      </c>
      <c r="AI115" t="s">
        <v>209</v>
      </c>
      <c r="AJ115" t="s">
        <v>210</v>
      </c>
      <c r="AK115" t="s">
        <v>211</v>
      </c>
      <c r="AL115" t="s">
        <v>212</v>
      </c>
      <c r="AM115" t="s">
        <v>213</v>
      </c>
      <c r="AN115" t="s">
        <v>214</v>
      </c>
      <c r="AO115" t="s">
        <v>215</v>
      </c>
      <c r="AP115" t="s">
        <v>216</v>
      </c>
      <c r="AQ115" t="s">
        <v>400</v>
      </c>
      <c r="AR115" t="s">
        <v>401</v>
      </c>
      <c r="AS115" t="s">
        <v>402</v>
      </c>
      <c r="AT115" t="s">
        <v>403</v>
      </c>
      <c r="AU115" t="s">
        <v>404</v>
      </c>
    </row>
    <row r="116" spans="1:47" x14ac:dyDescent="0.25">
      <c r="A116">
        <v>1</v>
      </c>
      <c r="B116">
        <v>3648.0375199999999</v>
      </c>
      <c r="C116">
        <v>0</v>
      </c>
      <c r="D116">
        <v>3333.1755499999999</v>
      </c>
      <c r="E116">
        <v>12.729279999999999</v>
      </c>
      <c r="F116">
        <v>1121.1537900000001</v>
      </c>
      <c r="G116">
        <v>335.47404</v>
      </c>
      <c r="H116">
        <v>0</v>
      </c>
      <c r="I116">
        <v>0</v>
      </c>
      <c r="J116">
        <v>0</v>
      </c>
      <c r="K116">
        <v>0</v>
      </c>
      <c r="L116">
        <v>0</v>
      </c>
      <c r="M116">
        <v>0</v>
      </c>
      <c r="N116">
        <v>0</v>
      </c>
      <c r="O116">
        <v>0</v>
      </c>
      <c r="Q116">
        <v>1</v>
      </c>
      <c r="R116">
        <v>0</v>
      </c>
      <c r="S116">
        <v>0</v>
      </c>
      <c r="T116">
        <v>0</v>
      </c>
      <c r="U116">
        <v>0</v>
      </c>
      <c r="V116">
        <v>0</v>
      </c>
      <c r="W116">
        <v>0</v>
      </c>
      <c r="X116">
        <v>0</v>
      </c>
      <c r="Y116">
        <v>0</v>
      </c>
      <c r="Z116">
        <v>0</v>
      </c>
      <c r="AA116">
        <v>0</v>
      </c>
      <c r="AB116">
        <v>0</v>
      </c>
      <c r="AC116">
        <v>0</v>
      </c>
      <c r="AD116">
        <v>0</v>
      </c>
      <c r="AE116">
        <v>0</v>
      </c>
      <c r="AG116">
        <v>1</v>
      </c>
      <c r="AH116">
        <v>0</v>
      </c>
      <c r="AI116">
        <v>0</v>
      </c>
      <c r="AJ116">
        <v>0</v>
      </c>
      <c r="AK116">
        <v>0</v>
      </c>
      <c r="AL116">
        <v>0</v>
      </c>
      <c r="AM116">
        <v>0</v>
      </c>
      <c r="AN116">
        <v>0</v>
      </c>
      <c r="AO116">
        <v>0</v>
      </c>
      <c r="AP116">
        <v>0</v>
      </c>
      <c r="AQ116">
        <v>0</v>
      </c>
      <c r="AR116">
        <v>0</v>
      </c>
      <c r="AS116">
        <v>0</v>
      </c>
      <c r="AT116">
        <v>0</v>
      </c>
      <c r="AU116">
        <v>0</v>
      </c>
    </row>
    <row r="117" spans="1:47" x14ac:dyDescent="0.25">
      <c r="A117">
        <v>2</v>
      </c>
      <c r="B117">
        <v>0</v>
      </c>
      <c r="C117">
        <v>0</v>
      </c>
      <c r="D117">
        <v>0</v>
      </c>
      <c r="E117">
        <v>0</v>
      </c>
      <c r="F117">
        <v>0</v>
      </c>
      <c r="G117">
        <v>503.67755</v>
      </c>
      <c r="H117">
        <v>0</v>
      </c>
      <c r="I117">
        <v>0</v>
      </c>
      <c r="J117">
        <v>0</v>
      </c>
      <c r="K117">
        <v>0</v>
      </c>
      <c r="L117">
        <v>0</v>
      </c>
      <c r="M117">
        <v>0</v>
      </c>
      <c r="N117">
        <v>0</v>
      </c>
      <c r="O117">
        <v>0</v>
      </c>
      <c r="Q117">
        <v>2</v>
      </c>
      <c r="R117">
        <v>0</v>
      </c>
      <c r="S117">
        <v>0</v>
      </c>
      <c r="T117">
        <v>0</v>
      </c>
      <c r="U117">
        <v>0</v>
      </c>
      <c r="V117">
        <v>0</v>
      </c>
      <c r="W117">
        <v>0</v>
      </c>
      <c r="X117">
        <v>0</v>
      </c>
      <c r="Y117">
        <v>0</v>
      </c>
      <c r="Z117">
        <v>0</v>
      </c>
      <c r="AA117">
        <v>0</v>
      </c>
      <c r="AB117">
        <v>0</v>
      </c>
      <c r="AC117">
        <v>0</v>
      </c>
      <c r="AD117">
        <v>0</v>
      </c>
      <c r="AE117">
        <v>0</v>
      </c>
      <c r="AG117">
        <v>2</v>
      </c>
      <c r="AH117">
        <v>0</v>
      </c>
      <c r="AI117">
        <v>0</v>
      </c>
      <c r="AJ117">
        <v>0</v>
      </c>
      <c r="AK117">
        <v>0</v>
      </c>
      <c r="AL117">
        <v>0</v>
      </c>
      <c r="AM117">
        <v>0</v>
      </c>
      <c r="AN117">
        <v>0</v>
      </c>
      <c r="AO117">
        <v>0</v>
      </c>
      <c r="AP117">
        <v>0</v>
      </c>
      <c r="AQ117">
        <v>0</v>
      </c>
      <c r="AR117">
        <v>0</v>
      </c>
      <c r="AS117">
        <v>0</v>
      </c>
      <c r="AT117">
        <v>0</v>
      </c>
      <c r="AU117">
        <v>0</v>
      </c>
    </row>
    <row r="118" spans="1:47" x14ac:dyDescent="0.25">
      <c r="A118">
        <v>3</v>
      </c>
      <c r="B118">
        <v>0</v>
      </c>
      <c r="C118">
        <v>0</v>
      </c>
      <c r="D118">
        <v>966326.61259000003</v>
      </c>
      <c r="E118">
        <v>3955.3921999999998</v>
      </c>
      <c r="F118">
        <v>106660.25827999999</v>
      </c>
      <c r="G118">
        <v>339.82889999999998</v>
      </c>
      <c r="H118">
        <v>0</v>
      </c>
      <c r="I118">
        <v>0</v>
      </c>
      <c r="J118">
        <v>335.47404</v>
      </c>
      <c r="K118">
        <v>0</v>
      </c>
      <c r="L118">
        <v>267.86455999999998</v>
      </c>
      <c r="M118">
        <v>1191.94128</v>
      </c>
      <c r="N118">
        <v>377.36547999999999</v>
      </c>
      <c r="O118">
        <v>0</v>
      </c>
      <c r="Q118">
        <v>3</v>
      </c>
      <c r="R118">
        <v>0</v>
      </c>
      <c r="S118">
        <v>0</v>
      </c>
      <c r="T118">
        <v>73133</v>
      </c>
      <c r="U118">
        <v>1448</v>
      </c>
      <c r="V118">
        <v>2041</v>
      </c>
      <c r="W118">
        <v>26</v>
      </c>
      <c r="X118">
        <v>0</v>
      </c>
      <c r="Y118">
        <v>0</v>
      </c>
      <c r="Z118">
        <v>0</v>
      </c>
      <c r="AA118">
        <v>107</v>
      </c>
      <c r="AB118">
        <v>0</v>
      </c>
      <c r="AC118">
        <v>0</v>
      </c>
      <c r="AD118">
        <v>10</v>
      </c>
      <c r="AE118">
        <v>0</v>
      </c>
      <c r="AG118">
        <v>3</v>
      </c>
      <c r="AH118">
        <v>0</v>
      </c>
      <c r="AI118">
        <v>0</v>
      </c>
      <c r="AJ118">
        <v>73133</v>
      </c>
      <c r="AK118">
        <v>1448</v>
      </c>
      <c r="AL118">
        <v>2041</v>
      </c>
      <c r="AM118">
        <v>26</v>
      </c>
      <c r="AN118">
        <v>0</v>
      </c>
      <c r="AO118">
        <v>0</v>
      </c>
      <c r="AP118">
        <v>0</v>
      </c>
      <c r="AQ118">
        <v>107</v>
      </c>
      <c r="AR118">
        <v>0</v>
      </c>
      <c r="AS118">
        <v>0</v>
      </c>
      <c r="AT118">
        <v>10</v>
      </c>
      <c r="AU118">
        <v>0</v>
      </c>
    </row>
    <row r="119" spans="1:47" x14ac:dyDescent="0.25">
      <c r="A119">
        <v>4</v>
      </c>
      <c r="B119">
        <v>0</v>
      </c>
      <c r="C119">
        <v>0</v>
      </c>
      <c r="D119">
        <v>0</v>
      </c>
      <c r="E119">
        <v>13141.51506</v>
      </c>
      <c r="F119">
        <v>0</v>
      </c>
      <c r="G119">
        <v>810.71419000000003</v>
      </c>
      <c r="H119">
        <v>0</v>
      </c>
      <c r="I119">
        <v>0</v>
      </c>
      <c r="J119">
        <v>0</v>
      </c>
      <c r="K119">
        <v>0</v>
      </c>
      <c r="L119">
        <v>0</v>
      </c>
      <c r="M119">
        <v>0</v>
      </c>
      <c r="N119">
        <v>0</v>
      </c>
      <c r="O119">
        <v>0</v>
      </c>
      <c r="Q119">
        <v>4</v>
      </c>
      <c r="R119">
        <v>0</v>
      </c>
      <c r="S119">
        <v>0</v>
      </c>
      <c r="T119">
        <v>0</v>
      </c>
      <c r="U119">
        <v>414</v>
      </c>
      <c r="V119">
        <v>0</v>
      </c>
      <c r="W119">
        <v>12</v>
      </c>
      <c r="X119">
        <v>0</v>
      </c>
      <c r="Y119">
        <v>0</v>
      </c>
      <c r="Z119">
        <v>0</v>
      </c>
      <c r="AA119">
        <v>10</v>
      </c>
      <c r="AB119">
        <v>0</v>
      </c>
      <c r="AC119">
        <v>0</v>
      </c>
      <c r="AD119">
        <v>3</v>
      </c>
      <c r="AE119">
        <v>0</v>
      </c>
      <c r="AG119">
        <v>4</v>
      </c>
      <c r="AH119">
        <v>0</v>
      </c>
      <c r="AI119">
        <v>0</v>
      </c>
      <c r="AJ119">
        <v>0</v>
      </c>
      <c r="AK119">
        <v>414</v>
      </c>
      <c r="AL119">
        <v>0</v>
      </c>
      <c r="AM119">
        <v>12</v>
      </c>
      <c r="AN119">
        <v>0</v>
      </c>
      <c r="AO119">
        <v>0</v>
      </c>
      <c r="AP119">
        <v>0</v>
      </c>
      <c r="AQ119">
        <v>10</v>
      </c>
      <c r="AR119">
        <v>0</v>
      </c>
      <c r="AS119">
        <v>0</v>
      </c>
      <c r="AT119">
        <v>3</v>
      </c>
      <c r="AU119">
        <v>0</v>
      </c>
    </row>
    <row r="120" spans="1:47" x14ac:dyDescent="0.25">
      <c r="A120">
        <v>5</v>
      </c>
      <c r="B120">
        <v>0</v>
      </c>
      <c r="C120">
        <v>0</v>
      </c>
      <c r="D120">
        <v>0</v>
      </c>
      <c r="E120">
        <v>0</v>
      </c>
      <c r="F120">
        <v>1443583.1520799999</v>
      </c>
      <c r="G120">
        <v>32698.51599</v>
      </c>
      <c r="H120">
        <v>0</v>
      </c>
      <c r="I120">
        <v>0</v>
      </c>
      <c r="J120">
        <v>1712.4812400000001</v>
      </c>
      <c r="K120">
        <v>0</v>
      </c>
      <c r="L120">
        <v>1310.09266</v>
      </c>
      <c r="M120">
        <v>1700.33826</v>
      </c>
      <c r="N120">
        <v>0</v>
      </c>
      <c r="O120">
        <v>270.39208000000002</v>
      </c>
      <c r="Q120">
        <v>5</v>
      </c>
      <c r="R120">
        <v>0</v>
      </c>
      <c r="S120">
        <v>0</v>
      </c>
      <c r="T120">
        <v>0</v>
      </c>
      <c r="U120">
        <v>0</v>
      </c>
      <c r="V120">
        <v>72718</v>
      </c>
      <c r="W120">
        <v>808</v>
      </c>
      <c r="X120">
        <v>0</v>
      </c>
      <c r="Y120">
        <v>0</v>
      </c>
      <c r="Z120">
        <v>0</v>
      </c>
      <c r="AA120">
        <v>20</v>
      </c>
      <c r="AB120">
        <v>0</v>
      </c>
      <c r="AC120">
        <v>0</v>
      </c>
      <c r="AD120">
        <v>2</v>
      </c>
      <c r="AE120">
        <v>0</v>
      </c>
      <c r="AG120">
        <v>5</v>
      </c>
      <c r="AH120">
        <v>0</v>
      </c>
      <c r="AI120">
        <v>0</v>
      </c>
      <c r="AJ120">
        <v>0</v>
      </c>
      <c r="AK120">
        <v>0</v>
      </c>
      <c r="AL120">
        <v>72718</v>
      </c>
      <c r="AM120">
        <v>808</v>
      </c>
      <c r="AN120">
        <v>0</v>
      </c>
      <c r="AO120">
        <v>0</v>
      </c>
      <c r="AP120">
        <v>0</v>
      </c>
      <c r="AQ120">
        <v>20</v>
      </c>
      <c r="AR120">
        <v>0</v>
      </c>
      <c r="AS120">
        <v>0</v>
      </c>
      <c r="AT120">
        <v>2</v>
      </c>
      <c r="AU120">
        <v>0</v>
      </c>
    </row>
    <row r="121" spans="1:47" x14ac:dyDescent="0.25">
      <c r="A121">
        <v>6</v>
      </c>
      <c r="B121">
        <v>0</v>
      </c>
      <c r="C121">
        <v>0</v>
      </c>
      <c r="D121">
        <v>0</v>
      </c>
      <c r="E121">
        <v>0</v>
      </c>
      <c r="F121">
        <v>0</v>
      </c>
      <c r="G121">
        <v>33236.756820000002</v>
      </c>
      <c r="H121">
        <v>0</v>
      </c>
      <c r="I121">
        <v>0</v>
      </c>
      <c r="J121">
        <v>0</v>
      </c>
      <c r="K121">
        <v>0</v>
      </c>
      <c r="L121">
        <v>0</v>
      </c>
      <c r="M121">
        <v>0</v>
      </c>
      <c r="N121">
        <v>0</v>
      </c>
      <c r="O121">
        <v>0</v>
      </c>
      <c r="Q121">
        <v>6</v>
      </c>
      <c r="R121">
        <v>0</v>
      </c>
      <c r="S121">
        <v>0</v>
      </c>
      <c r="T121">
        <v>0</v>
      </c>
      <c r="U121">
        <v>0</v>
      </c>
      <c r="V121">
        <v>2629</v>
      </c>
      <c r="W121">
        <v>218</v>
      </c>
      <c r="X121">
        <v>0</v>
      </c>
      <c r="Y121">
        <v>0</v>
      </c>
      <c r="Z121">
        <v>0</v>
      </c>
      <c r="AA121">
        <v>16</v>
      </c>
      <c r="AB121">
        <v>0</v>
      </c>
      <c r="AC121">
        <v>0</v>
      </c>
      <c r="AD121">
        <v>6</v>
      </c>
      <c r="AE121">
        <v>0</v>
      </c>
      <c r="AG121">
        <v>6</v>
      </c>
      <c r="AH121">
        <v>0</v>
      </c>
      <c r="AI121">
        <v>0</v>
      </c>
      <c r="AJ121">
        <v>0</v>
      </c>
      <c r="AK121">
        <v>0</v>
      </c>
      <c r="AL121">
        <v>2629</v>
      </c>
      <c r="AM121">
        <v>218</v>
      </c>
      <c r="AN121">
        <v>0</v>
      </c>
      <c r="AO121">
        <v>0</v>
      </c>
      <c r="AP121">
        <v>0</v>
      </c>
      <c r="AQ121">
        <v>16</v>
      </c>
      <c r="AR121">
        <v>0</v>
      </c>
      <c r="AS121">
        <v>0</v>
      </c>
      <c r="AT121">
        <v>6</v>
      </c>
      <c r="AU121">
        <v>0</v>
      </c>
    </row>
    <row r="122" spans="1:47" x14ac:dyDescent="0.25">
      <c r="A122">
        <v>7</v>
      </c>
      <c r="B122">
        <v>0</v>
      </c>
      <c r="C122">
        <v>0</v>
      </c>
      <c r="D122">
        <v>3356.0694100000001</v>
      </c>
      <c r="E122">
        <v>485.09944000000002</v>
      </c>
      <c r="F122">
        <v>8319.4975699999995</v>
      </c>
      <c r="G122">
        <v>0</v>
      </c>
      <c r="H122">
        <v>203335.10109000001</v>
      </c>
      <c r="I122">
        <v>5.3857799999999996</v>
      </c>
      <c r="J122">
        <v>5386.1722399999999</v>
      </c>
      <c r="K122">
        <v>0</v>
      </c>
      <c r="L122">
        <v>0</v>
      </c>
      <c r="M122">
        <v>1700.33826</v>
      </c>
      <c r="N122">
        <v>390.42032</v>
      </c>
      <c r="O122">
        <v>270.39208000000002</v>
      </c>
      <c r="Q122">
        <v>7</v>
      </c>
      <c r="R122">
        <v>0</v>
      </c>
      <c r="S122">
        <v>0</v>
      </c>
      <c r="T122">
        <v>379</v>
      </c>
      <c r="U122">
        <v>0</v>
      </c>
      <c r="V122">
        <v>510</v>
      </c>
      <c r="W122">
        <v>0</v>
      </c>
      <c r="X122">
        <v>17128</v>
      </c>
      <c r="Y122">
        <v>0</v>
      </c>
      <c r="Z122">
        <v>0</v>
      </c>
      <c r="AA122">
        <v>34</v>
      </c>
      <c r="AB122">
        <v>0</v>
      </c>
      <c r="AC122">
        <v>0</v>
      </c>
      <c r="AD122">
        <v>7</v>
      </c>
      <c r="AE122">
        <v>0</v>
      </c>
      <c r="AG122">
        <v>7</v>
      </c>
      <c r="AH122">
        <v>0</v>
      </c>
      <c r="AI122">
        <v>0</v>
      </c>
      <c r="AJ122">
        <v>379</v>
      </c>
      <c r="AK122">
        <v>0</v>
      </c>
      <c r="AL122">
        <v>510</v>
      </c>
      <c r="AM122">
        <v>0</v>
      </c>
      <c r="AN122">
        <v>17128</v>
      </c>
      <c r="AO122">
        <v>0</v>
      </c>
      <c r="AP122">
        <v>0</v>
      </c>
      <c r="AQ122">
        <v>34</v>
      </c>
      <c r="AR122">
        <v>0</v>
      </c>
      <c r="AS122">
        <v>0</v>
      </c>
      <c r="AT122">
        <v>7</v>
      </c>
      <c r="AU122">
        <v>0</v>
      </c>
    </row>
    <row r="123" spans="1:47" x14ac:dyDescent="0.25">
      <c r="A123">
        <v>8</v>
      </c>
      <c r="B123">
        <v>0</v>
      </c>
      <c r="C123">
        <v>0</v>
      </c>
      <c r="D123">
        <v>0</v>
      </c>
      <c r="E123">
        <v>0</v>
      </c>
      <c r="F123">
        <v>2449.2818200000002</v>
      </c>
      <c r="G123">
        <v>0</v>
      </c>
      <c r="H123">
        <v>0</v>
      </c>
      <c r="I123">
        <v>22609.138719999999</v>
      </c>
      <c r="J123">
        <v>0</v>
      </c>
      <c r="K123">
        <v>0</v>
      </c>
      <c r="L123">
        <v>0</v>
      </c>
      <c r="M123">
        <v>0</v>
      </c>
      <c r="N123">
        <v>0</v>
      </c>
      <c r="O123">
        <v>0</v>
      </c>
      <c r="Q123">
        <v>8</v>
      </c>
      <c r="R123">
        <v>0</v>
      </c>
      <c r="S123">
        <v>0</v>
      </c>
      <c r="T123">
        <v>0</v>
      </c>
      <c r="U123">
        <v>0</v>
      </c>
      <c r="V123">
        <v>0</v>
      </c>
      <c r="W123">
        <v>0</v>
      </c>
      <c r="X123">
        <v>0</v>
      </c>
      <c r="Y123">
        <v>3142</v>
      </c>
      <c r="Z123">
        <v>0</v>
      </c>
      <c r="AA123">
        <v>0</v>
      </c>
      <c r="AB123">
        <v>0</v>
      </c>
      <c r="AC123">
        <v>0</v>
      </c>
      <c r="AD123">
        <v>0</v>
      </c>
      <c r="AE123">
        <v>0</v>
      </c>
      <c r="AG123">
        <v>8</v>
      </c>
      <c r="AH123">
        <v>0</v>
      </c>
      <c r="AI123">
        <v>0</v>
      </c>
      <c r="AJ123">
        <v>0</v>
      </c>
      <c r="AK123">
        <v>0</v>
      </c>
      <c r="AL123">
        <v>0</v>
      </c>
      <c r="AM123">
        <v>0</v>
      </c>
      <c r="AN123">
        <v>0</v>
      </c>
      <c r="AO123">
        <v>3142</v>
      </c>
      <c r="AP123">
        <v>0</v>
      </c>
      <c r="AQ123">
        <v>0</v>
      </c>
      <c r="AR123">
        <v>0</v>
      </c>
      <c r="AS123">
        <v>0</v>
      </c>
      <c r="AT123">
        <v>0</v>
      </c>
      <c r="AU123">
        <v>0</v>
      </c>
    </row>
    <row r="124" spans="1:47" x14ac:dyDescent="0.25">
      <c r="A124">
        <v>9</v>
      </c>
      <c r="B124">
        <v>0</v>
      </c>
      <c r="C124">
        <v>0</v>
      </c>
      <c r="D124">
        <v>0</v>
      </c>
      <c r="E124">
        <v>0</v>
      </c>
      <c r="F124">
        <v>0</v>
      </c>
      <c r="G124">
        <v>0</v>
      </c>
      <c r="H124">
        <v>0</v>
      </c>
      <c r="I124">
        <v>0</v>
      </c>
      <c r="J124">
        <v>30436.309420000001</v>
      </c>
      <c r="K124">
        <v>0</v>
      </c>
      <c r="L124">
        <v>0</v>
      </c>
      <c r="M124">
        <v>0</v>
      </c>
      <c r="N124">
        <v>0</v>
      </c>
      <c r="O124">
        <v>0</v>
      </c>
      <c r="Q124">
        <v>9</v>
      </c>
      <c r="R124">
        <v>0</v>
      </c>
      <c r="S124">
        <v>0</v>
      </c>
      <c r="T124">
        <v>0</v>
      </c>
      <c r="U124">
        <v>0</v>
      </c>
      <c r="V124">
        <v>0</v>
      </c>
      <c r="W124">
        <v>0</v>
      </c>
      <c r="X124">
        <v>0</v>
      </c>
      <c r="Y124">
        <v>0</v>
      </c>
      <c r="Z124">
        <v>0</v>
      </c>
      <c r="AA124">
        <v>0</v>
      </c>
      <c r="AB124">
        <v>0</v>
      </c>
      <c r="AC124">
        <v>0</v>
      </c>
      <c r="AD124">
        <v>0</v>
      </c>
      <c r="AE124">
        <v>0</v>
      </c>
      <c r="AG124">
        <v>9</v>
      </c>
      <c r="AH124">
        <v>0</v>
      </c>
      <c r="AI124">
        <v>0</v>
      </c>
      <c r="AJ124">
        <v>0</v>
      </c>
      <c r="AK124">
        <v>0</v>
      </c>
      <c r="AL124">
        <v>0</v>
      </c>
      <c r="AM124">
        <v>0</v>
      </c>
      <c r="AN124">
        <v>0</v>
      </c>
      <c r="AO124">
        <v>0</v>
      </c>
      <c r="AP124">
        <v>0</v>
      </c>
      <c r="AQ124">
        <v>0</v>
      </c>
      <c r="AR124">
        <v>0</v>
      </c>
      <c r="AS124">
        <v>0</v>
      </c>
      <c r="AT124">
        <v>0</v>
      </c>
      <c r="AU124">
        <v>0</v>
      </c>
    </row>
    <row r="125" spans="1:47" x14ac:dyDescent="0.25">
      <c r="A125">
        <v>10</v>
      </c>
      <c r="B125">
        <v>0</v>
      </c>
      <c r="C125">
        <v>0</v>
      </c>
      <c r="D125">
        <v>0</v>
      </c>
      <c r="E125">
        <v>0</v>
      </c>
      <c r="F125">
        <v>0</v>
      </c>
      <c r="G125">
        <v>0</v>
      </c>
      <c r="H125">
        <v>0</v>
      </c>
      <c r="I125">
        <v>0</v>
      </c>
      <c r="J125">
        <v>0</v>
      </c>
      <c r="K125">
        <v>3261.3915999999999</v>
      </c>
      <c r="L125">
        <v>0</v>
      </c>
      <c r="M125">
        <v>0</v>
      </c>
      <c r="N125">
        <v>0</v>
      </c>
      <c r="O125">
        <v>0</v>
      </c>
      <c r="Q125">
        <v>10</v>
      </c>
      <c r="R125">
        <v>0</v>
      </c>
      <c r="S125">
        <v>0</v>
      </c>
      <c r="T125">
        <v>0</v>
      </c>
      <c r="U125">
        <v>0</v>
      </c>
      <c r="V125">
        <v>0</v>
      </c>
      <c r="W125">
        <v>0</v>
      </c>
      <c r="X125">
        <v>0</v>
      </c>
      <c r="Y125">
        <v>0</v>
      </c>
      <c r="Z125">
        <v>0</v>
      </c>
      <c r="AA125">
        <v>1416</v>
      </c>
      <c r="AB125">
        <v>0</v>
      </c>
      <c r="AC125">
        <v>0</v>
      </c>
      <c r="AD125">
        <v>0</v>
      </c>
      <c r="AE125">
        <v>0</v>
      </c>
      <c r="AG125">
        <v>10</v>
      </c>
      <c r="AH125">
        <v>0</v>
      </c>
      <c r="AI125">
        <v>0</v>
      </c>
      <c r="AJ125">
        <v>0</v>
      </c>
      <c r="AK125">
        <v>0</v>
      </c>
      <c r="AL125">
        <v>0</v>
      </c>
      <c r="AM125">
        <v>0</v>
      </c>
      <c r="AN125">
        <v>0</v>
      </c>
      <c r="AO125">
        <v>0</v>
      </c>
      <c r="AP125">
        <v>0</v>
      </c>
      <c r="AQ125">
        <v>1416</v>
      </c>
      <c r="AR125">
        <v>0</v>
      </c>
      <c r="AS125">
        <v>0</v>
      </c>
      <c r="AT125">
        <v>0</v>
      </c>
      <c r="AU125">
        <v>0</v>
      </c>
    </row>
    <row r="126" spans="1:47" x14ac:dyDescent="0.25">
      <c r="A126">
        <v>11</v>
      </c>
      <c r="B126">
        <v>0</v>
      </c>
      <c r="C126">
        <v>0</v>
      </c>
      <c r="D126">
        <v>0</v>
      </c>
      <c r="E126">
        <v>0</v>
      </c>
      <c r="F126">
        <v>0</v>
      </c>
      <c r="G126">
        <v>0</v>
      </c>
      <c r="H126">
        <v>0</v>
      </c>
      <c r="I126">
        <v>0</v>
      </c>
      <c r="J126">
        <v>0</v>
      </c>
      <c r="K126">
        <v>0</v>
      </c>
      <c r="L126">
        <v>6414.5320000000002</v>
      </c>
      <c r="M126">
        <v>566.77941999999996</v>
      </c>
      <c r="N126">
        <v>0</v>
      </c>
      <c r="O126">
        <v>0</v>
      </c>
      <c r="Q126">
        <v>11</v>
      </c>
      <c r="R126">
        <v>0</v>
      </c>
      <c r="S126">
        <v>0</v>
      </c>
      <c r="T126">
        <v>0</v>
      </c>
      <c r="U126">
        <v>0</v>
      </c>
      <c r="V126">
        <v>0</v>
      </c>
      <c r="W126">
        <v>0</v>
      </c>
      <c r="X126">
        <v>0</v>
      </c>
      <c r="Y126">
        <v>0</v>
      </c>
      <c r="Z126">
        <v>0</v>
      </c>
      <c r="AA126">
        <v>0</v>
      </c>
      <c r="AB126">
        <v>106</v>
      </c>
      <c r="AC126">
        <v>0</v>
      </c>
      <c r="AD126">
        <v>0</v>
      </c>
      <c r="AE126">
        <v>0</v>
      </c>
      <c r="AG126">
        <v>11</v>
      </c>
      <c r="AH126">
        <v>0</v>
      </c>
      <c r="AI126">
        <v>0</v>
      </c>
      <c r="AJ126">
        <v>0</v>
      </c>
      <c r="AK126">
        <v>0</v>
      </c>
      <c r="AL126">
        <v>0</v>
      </c>
      <c r="AM126">
        <v>0</v>
      </c>
      <c r="AN126">
        <v>0</v>
      </c>
      <c r="AO126">
        <v>0</v>
      </c>
      <c r="AP126">
        <v>0</v>
      </c>
      <c r="AQ126">
        <v>0</v>
      </c>
      <c r="AR126">
        <v>106</v>
      </c>
      <c r="AS126">
        <v>0</v>
      </c>
      <c r="AT126">
        <v>0</v>
      </c>
      <c r="AU126">
        <v>0</v>
      </c>
    </row>
    <row r="127" spans="1:47" x14ac:dyDescent="0.25">
      <c r="A127">
        <v>12</v>
      </c>
      <c r="B127">
        <v>0</v>
      </c>
      <c r="C127">
        <v>0</v>
      </c>
      <c r="D127">
        <v>0</v>
      </c>
      <c r="E127">
        <v>0</v>
      </c>
      <c r="F127">
        <v>0</v>
      </c>
      <c r="G127">
        <v>0</v>
      </c>
      <c r="H127">
        <v>0</v>
      </c>
      <c r="I127">
        <v>0</v>
      </c>
      <c r="J127">
        <v>0</v>
      </c>
      <c r="K127">
        <v>0</v>
      </c>
      <c r="L127">
        <v>0</v>
      </c>
      <c r="M127">
        <v>5052.5193399999998</v>
      </c>
      <c r="N127">
        <v>0</v>
      </c>
      <c r="O127">
        <v>0</v>
      </c>
      <c r="Q127">
        <v>12</v>
      </c>
      <c r="R127">
        <v>0</v>
      </c>
      <c r="S127">
        <v>0</v>
      </c>
      <c r="T127">
        <v>0</v>
      </c>
      <c r="U127">
        <v>0</v>
      </c>
      <c r="V127">
        <v>0</v>
      </c>
      <c r="W127">
        <v>0</v>
      </c>
      <c r="X127">
        <v>0</v>
      </c>
      <c r="Y127">
        <v>0</v>
      </c>
      <c r="Z127">
        <v>0</v>
      </c>
      <c r="AA127">
        <v>0</v>
      </c>
      <c r="AB127">
        <v>0</v>
      </c>
      <c r="AC127">
        <v>42</v>
      </c>
      <c r="AD127">
        <v>0</v>
      </c>
      <c r="AE127">
        <v>0</v>
      </c>
      <c r="AG127">
        <v>12</v>
      </c>
      <c r="AH127">
        <v>0</v>
      </c>
      <c r="AI127">
        <v>0</v>
      </c>
      <c r="AJ127">
        <v>0</v>
      </c>
      <c r="AK127">
        <v>0</v>
      </c>
      <c r="AL127">
        <v>0</v>
      </c>
      <c r="AM127">
        <v>0</v>
      </c>
      <c r="AN127">
        <v>0</v>
      </c>
      <c r="AO127">
        <v>0</v>
      </c>
      <c r="AP127">
        <v>0</v>
      </c>
      <c r="AQ127">
        <v>0</v>
      </c>
      <c r="AR127">
        <v>0</v>
      </c>
      <c r="AS127">
        <v>42</v>
      </c>
      <c r="AT127">
        <v>0</v>
      </c>
      <c r="AU127">
        <v>0</v>
      </c>
    </row>
    <row r="128" spans="1:47" x14ac:dyDescent="0.25">
      <c r="A128">
        <v>13</v>
      </c>
      <c r="B128">
        <v>0</v>
      </c>
      <c r="C128">
        <v>0</v>
      </c>
      <c r="D128">
        <v>0</v>
      </c>
      <c r="E128">
        <v>0</v>
      </c>
      <c r="F128">
        <v>0</v>
      </c>
      <c r="G128">
        <v>0</v>
      </c>
      <c r="H128">
        <v>0</v>
      </c>
      <c r="I128">
        <v>0</v>
      </c>
      <c r="J128">
        <v>116.36127999999999</v>
      </c>
      <c r="K128">
        <v>0</v>
      </c>
      <c r="L128">
        <v>708.17759999999998</v>
      </c>
      <c r="M128">
        <v>0</v>
      </c>
      <c r="N128">
        <v>3153.9642600000002</v>
      </c>
      <c r="O128">
        <v>0</v>
      </c>
      <c r="Q128">
        <v>13</v>
      </c>
      <c r="R128">
        <v>0</v>
      </c>
      <c r="S128">
        <v>0</v>
      </c>
      <c r="T128">
        <v>0</v>
      </c>
      <c r="U128">
        <v>0</v>
      </c>
      <c r="V128">
        <v>0</v>
      </c>
      <c r="W128">
        <v>0</v>
      </c>
      <c r="X128">
        <v>0</v>
      </c>
      <c r="Y128">
        <v>0</v>
      </c>
      <c r="Z128">
        <v>0</v>
      </c>
      <c r="AA128">
        <v>37</v>
      </c>
      <c r="AB128">
        <v>0</v>
      </c>
      <c r="AC128">
        <v>0</v>
      </c>
      <c r="AD128">
        <v>194</v>
      </c>
      <c r="AE128">
        <v>0</v>
      </c>
      <c r="AG128">
        <v>13</v>
      </c>
      <c r="AH128">
        <v>0</v>
      </c>
      <c r="AI128">
        <v>0</v>
      </c>
      <c r="AJ128">
        <v>0</v>
      </c>
      <c r="AK128">
        <v>0</v>
      </c>
      <c r="AL128">
        <v>0</v>
      </c>
      <c r="AM128">
        <v>0</v>
      </c>
      <c r="AN128">
        <v>0</v>
      </c>
      <c r="AO128">
        <v>0</v>
      </c>
      <c r="AP128">
        <v>0</v>
      </c>
      <c r="AQ128">
        <v>37</v>
      </c>
      <c r="AR128">
        <v>0</v>
      </c>
      <c r="AS128">
        <v>0</v>
      </c>
      <c r="AT128">
        <v>194</v>
      </c>
      <c r="AU128">
        <v>0</v>
      </c>
    </row>
    <row r="129" spans="1:47" x14ac:dyDescent="0.25">
      <c r="A129">
        <v>14</v>
      </c>
      <c r="B129">
        <v>0</v>
      </c>
      <c r="C129">
        <v>0</v>
      </c>
      <c r="D129">
        <v>0</v>
      </c>
      <c r="E129">
        <v>0</v>
      </c>
      <c r="F129">
        <v>0</v>
      </c>
      <c r="G129">
        <v>0</v>
      </c>
      <c r="H129">
        <v>0</v>
      </c>
      <c r="I129">
        <v>0</v>
      </c>
      <c r="J129">
        <v>0</v>
      </c>
      <c r="K129">
        <v>0</v>
      </c>
      <c r="L129">
        <v>0</v>
      </c>
      <c r="M129">
        <v>0</v>
      </c>
      <c r="N129">
        <v>0</v>
      </c>
      <c r="O129">
        <v>270.39208000000002</v>
      </c>
      <c r="Q129">
        <v>14</v>
      </c>
      <c r="R129">
        <v>0</v>
      </c>
      <c r="S129">
        <v>0</v>
      </c>
      <c r="T129">
        <v>0</v>
      </c>
      <c r="U129">
        <v>0</v>
      </c>
      <c r="V129">
        <v>0</v>
      </c>
      <c r="W129">
        <v>0</v>
      </c>
      <c r="X129">
        <v>0</v>
      </c>
      <c r="Y129">
        <v>0</v>
      </c>
      <c r="Z129">
        <v>0</v>
      </c>
      <c r="AA129">
        <v>0</v>
      </c>
      <c r="AB129">
        <v>0</v>
      </c>
      <c r="AC129">
        <v>0</v>
      </c>
      <c r="AD129">
        <v>0</v>
      </c>
      <c r="AE129">
        <v>0</v>
      </c>
      <c r="AG129">
        <v>14</v>
      </c>
      <c r="AH129">
        <v>0</v>
      </c>
      <c r="AI129">
        <v>0</v>
      </c>
      <c r="AJ129">
        <v>0</v>
      </c>
      <c r="AK129">
        <v>0</v>
      </c>
      <c r="AL129">
        <v>0</v>
      </c>
      <c r="AM129">
        <v>0</v>
      </c>
      <c r="AN129">
        <v>0</v>
      </c>
      <c r="AO129">
        <v>0</v>
      </c>
      <c r="AP129">
        <v>0</v>
      </c>
      <c r="AQ129">
        <v>0</v>
      </c>
      <c r="AR129">
        <v>0</v>
      </c>
      <c r="AS129">
        <v>0</v>
      </c>
      <c r="AT129">
        <v>0</v>
      </c>
      <c r="AU129">
        <v>0</v>
      </c>
    </row>
    <row r="130" spans="1:47" x14ac:dyDescent="0.25">
      <c r="A130" t="s">
        <v>219</v>
      </c>
      <c r="B130" s="29">
        <f>B4+B20+B36+B52+B68+B84+B100+B116</f>
        <v>12508323.854310002</v>
      </c>
      <c r="C130" s="29">
        <f>C4+C20+C36+C52+C68+C84+C100+C116</f>
        <v>292030.01546999998</v>
      </c>
      <c r="D130" s="29">
        <f>D4+D20+D36+D52+D68+D84+D100+D116</f>
        <v>847855.71293000004</v>
      </c>
      <c r="E130" s="29">
        <f t="shared" ref="E130:O130" si="0">E4+E20+E36+E52+E68+E84+E100+E116</f>
        <v>23700.626969999998</v>
      </c>
      <c r="F130" s="29">
        <f t="shared" si="0"/>
        <v>413327.91597000003</v>
      </c>
      <c r="G130" s="29">
        <f t="shared" si="0"/>
        <v>13282.499079999998</v>
      </c>
      <c r="H130" s="29">
        <f t="shared" si="0"/>
        <v>224.07056</v>
      </c>
      <c r="I130" s="29">
        <f t="shared" si="0"/>
        <v>4361.1678000000002</v>
      </c>
      <c r="J130" s="29">
        <f t="shared" si="0"/>
        <v>8660.1945300000007</v>
      </c>
      <c r="K130" s="29">
        <f t="shared" si="0"/>
        <v>289.83724999999998</v>
      </c>
      <c r="L130" s="29">
        <f t="shared" si="0"/>
        <v>1871.39474</v>
      </c>
      <c r="M130" s="29">
        <f t="shared" si="0"/>
        <v>49810.760450000009</v>
      </c>
      <c r="N130" s="29">
        <f t="shared" si="0"/>
        <v>5146.3213799999994</v>
      </c>
      <c r="O130" s="29">
        <f t="shared" si="0"/>
        <v>7177.5812700000006</v>
      </c>
      <c r="Q130" t="s">
        <v>219</v>
      </c>
    </row>
    <row r="131" spans="1:47" x14ac:dyDescent="0.25">
      <c r="B131" s="29" t="s">
        <v>208</v>
      </c>
      <c r="C131" s="29" t="s">
        <v>209</v>
      </c>
      <c r="D131" s="29" t="s">
        <v>210</v>
      </c>
      <c r="E131" s="29" t="s">
        <v>211</v>
      </c>
      <c r="F131" s="29" t="s">
        <v>212</v>
      </c>
      <c r="G131" s="29" t="s">
        <v>213</v>
      </c>
      <c r="H131" s="29" t="s">
        <v>214</v>
      </c>
      <c r="I131" s="29" t="s">
        <v>215</v>
      </c>
      <c r="J131" s="29" t="s">
        <v>216</v>
      </c>
      <c r="K131" s="29" t="s">
        <v>400</v>
      </c>
      <c r="L131" s="29" t="s">
        <v>401</v>
      </c>
      <c r="M131" s="29" t="s">
        <v>402</v>
      </c>
      <c r="N131" s="29" t="s">
        <v>403</v>
      </c>
      <c r="O131" s="29" t="s">
        <v>404</v>
      </c>
      <c r="R131" t="s">
        <v>208</v>
      </c>
      <c r="S131" t="s">
        <v>209</v>
      </c>
      <c r="T131" t="s">
        <v>210</v>
      </c>
      <c r="U131" t="s">
        <v>211</v>
      </c>
      <c r="V131" t="s">
        <v>212</v>
      </c>
      <c r="W131" t="s">
        <v>213</v>
      </c>
      <c r="X131" t="s">
        <v>214</v>
      </c>
      <c r="Y131" t="s">
        <v>215</v>
      </c>
      <c r="Z131" t="s">
        <v>216</v>
      </c>
      <c r="AA131" t="s">
        <v>400</v>
      </c>
      <c r="AB131" t="s">
        <v>401</v>
      </c>
      <c r="AC131" t="s">
        <v>402</v>
      </c>
      <c r="AD131" t="s">
        <v>403</v>
      </c>
      <c r="AE131" t="s">
        <v>404</v>
      </c>
      <c r="AH131" t="s">
        <v>208</v>
      </c>
      <c r="AI131" t="s">
        <v>209</v>
      </c>
      <c r="AJ131" t="s">
        <v>210</v>
      </c>
      <c r="AK131" t="s">
        <v>211</v>
      </c>
      <c r="AL131" t="s">
        <v>212</v>
      </c>
      <c r="AM131" t="s">
        <v>213</v>
      </c>
      <c r="AN131" t="s">
        <v>214</v>
      </c>
      <c r="AO131" t="s">
        <v>215</v>
      </c>
      <c r="AP131" t="s">
        <v>216</v>
      </c>
      <c r="AQ131" t="s">
        <v>400</v>
      </c>
      <c r="AR131" t="s">
        <v>401</v>
      </c>
      <c r="AS131" t="s">
        <v>402</v>
      </c>
      <c r="AT131" t="s">
        <v>403</v>
      </c>
      <c r="AU131" t="s">
        <v>404</v>
      </c>
    </row>
    <row r="132" spans="1:47" x14ac:dyDescent="0.25">
      <c r="A132">
        <v>1</v>
      </c>
      <c r="B132" s="29">
        <v>12627546.57502</v>
      </c>
      <c r="C132" s="29">
        <v>292197.45559999999</v>
      </c>
      <c r="D132" s="29">
        <v>1295409.0258200001</v>
      </c>
      <c r="E132" s="29">
        <v>23900.64717</v>
      </c>
      <c r="F132" s="29">
        <v>596697.52275999996</v>
      </c>
      <c r="G132" s="29">
        <v>13570.145909999999</v>
      </c>
      <c r="H132" s="29">
        <v>224.07056</v>
      </c>
      <c r="I132" s="29">
        <v>4361.1678000000002</v>
      </c>
      <c r="J132" s="29">
        <v>9431.2501499999998</v>
      </c>
      <c r="K132" s="29">
        <v>289.83724999999998</v>
      </c>
      <c r="L132" s="29">
        <v>1871.39474</v>
      </c>
      <c r="M132" s="29">
        <v>49952.319009999999</v>
      </c>
      <c r="N132" s="29">
        <v>5146.3213800000003</v>
      </c>
      <c r="O132" s="29">
        <v>7252.9680600000002</v>
      </c>
      <c r="Q132">
        <v>1</v>
      </c>
      <c r="R132">
        <v>2965006</v>
      </c>
      <c r="S132">
        <v>251776</v>
      </c>
      <c r="T132">
        <v>298621</v>
      </c>
      <c r="U132">
        <v>12150</v>
      </c>
      <c r="V132">
        <v>131945</v>
      </c>
      <c r="W132">
        <v>6842</v>
      </c>
      <c r="X132">
        <v>0</v>
      </c>
      <c r="Y132">
        <v>0</v>
      </c>
      <c r="Z132">
        <v>0</v>
      </c>
      <c r="AA132">
        <v>0</v>
      </c>
      <c r="AB132">
        <v>0</v>
      </c>
      <c r="AC132">
        <v>0</v>
      </c>
      <c r="AD132">
        <v>0</v>
      </c>
      <c r="AE132">
        <v>0</v>
      </c>
      <c r="AG132">
        <v>1</v>
      </c>
      <c r="AH132">
        <v>2965006</v>
      </c>
      <c r="AI132">
        <v>251776</v>
      </c>
      <c r="AJ132">
        <v>298621</v>
      </c>
      <c r="AK132">
        <v>12150</v>
      </c>
      <c r="AL132">
        <v>131945</v>
      </c>
      <c r="AM132">
        <v>6842</v>
      </c>
      <c r="AN132">
        <v>0</v>
      </c>
      <c r="AO132">
        <v>0</v>
      </c>
      <c r="AP132">
        <v>0</v>
      </c>
      <c r="AQ132">
        <v>0</v>
      </c>
      <c r="AR132">
        <v>0</v>
      </c>
      <c r="AS132">
        <v>0</v>
      </c>
      <c r="AT132">
        <v>0</v>
      </c>
      <c r="AU132">
        <v>0</v>
      </c>
    </row>
    <row r="133" spans="1:47" x14ac:dyDescent="0.25">
      <c r="A133">
        <v>2</v>
      </c>
      <c r="B133" s="29">
        <v>0</v>
      </c>
      <c r="C133" s="29">
        <v>361952.30257</v>
      </c>
      <c r="D133" s="29">
        <v>0</v>
      </c>
      <c r="E133" s="29">
        <v>27752.137940000001</v>
      </c>
      <c r="F133" s="29">
        <v>0</v>
      </c>
      <c r="G133" s="29">
        <v>8202.3899700000002</v>
      </c>
      <c r="H133" s="29">
        <v>0</v>
      </c>
      <c r="I133" s="29">
        <v>0</v>
      </c>
      <c r="J133" s="29">
        <v>0</v>
      </c>
      <c r="K133" s="29">
        <v>0</v>
      </c>
      <c r="L133" s="29">
        <v>111.87426000000001</v>
      </c>
      <c r="M133" s="29">
        <v>5180.38717</v>
      </c>
      <c r="N133" s="29">
        <v>421.60663</v>
      </c>
      <c r="O133" s="29">
        <v>0</v>
      </c>
      <c r="Q133">
        <v>2</v>
      </c>
      <c r="R133">
        <v>43124</v>
      </c>
      <c r="S133">
        <v>39701</v>
      </c>
      <c r="T133">
        <v>5917</v>
      </c>
      <c r="U133">
        <v>2105</v>
      </c>
      <c r="V133">
        <v>2753</v>
      </c>
      <c r="W133">
        <v>1250</v>
      </c>
      <c r="X133">
        <v>0</v>
      </c>
      <c r="Y133">
        <v>0</v>
      </c>
      <c r="Z133">
        <v>0</v>
      </c>
      <c r="AA133">
        <v>0</v>
      </c>
      <c r="AB133">
        <v>0</v>
      </c>
      <c r="AC133">
        <v>0</v>
      </c>
      <c r="AD133">
        <v>0</v>
      </c>
      <c r="AE133">
        <v>0</v>
      </c>
      <c r="AG133">
        <v>2</v>
      </c>
      <c r="AH133">
        <v>43124</v>
      </c>
      <c r="AI133">
        <v>39701</v>
      </c>
      <c r="AJ133">
        <v>5917</v>
      </c>
      <c r="AK133">
        <v>2105</v>
      </c>
      <c r="AL133">
        <v>2753</v>
      </c>
      <c r="AM133">
        <v>1250</v>
      </c>
      <c r="AN133">
        <v>0</v>
      </c>
      <c r="AO133">
        <v>0</v>
      </c>
      <c r="AP133">
        <v>0</v>
      </c>
      <c r="AQ133">
        <v>0</v>
      </c>
      <c r="AR133">
        <v>0</v>
      </c>
      <c r="AS133">
        <v>0</v>
      </c>
      <c r="AT133">
        <v>0</v>
      </c>
      <c r="AU133">
        <v>0</v>
      </c>
    </row>
    <row r="134" spans="1:47" x14ac:dyDescent="0.25">
      <c r="A134">
        <v>3</v>
      </c>
      <c r="B134" s="29">
        <v>39638.95377</v>
      </c>
      <c r="C134" s="29">
        <v>4523.7521900000002</v>
      </c>
      <c r="D134" s="29">
        <v>2842838.7991900002</v>
      </c>
      <c r="E134" s="29">
        <v>33568.434439999997</v>
      </c>
      <c r="F134" s="29">
        <v>874258.83933999995</v>
      </c>
      <c r="G134" s="29">
        <v>5304.53125</v>
      </c>
      <c r="H134" s="29">
        <v>112.84287</v>
      </c>
      <c r="I134" s="29">
        <v>2183.2768799999999</v>
      </c>
      <c r="J134" s="29">
        <v>38793.070059999998</v>
      </c>
      <c r="K134" s="29">
        <v>15685.006590000001</v>
      </c>
      <c r="L134" s="29">
        <v>44038.018830000001</v>
      </c>
      <c r="M134" s="29">
        <v>19423.60742</v>
      </c>
      <c r="N134" s="29">
        <v>4521.0076600000002</v>
      </c>
      <c r="O134" s="29">
        <v>142263.58567</v>
      </c>
      <c r="Q134">
        <v>3</v>
      </c>
      <c r="R134">
        <v>0</v>
      </c>
      <c r="S134">
        <v>0</v>
      </c>
      <c r="T134">
        <v>895963</v>
      </c>
      <c r="U134">
        <v>26365</v>
      </c>
      <c r="V134">
        <v>173903</v>
      </c>
      <c r="W134">
        <v>5163</v>
      </c>
      <c r="X134">
        <v>0</v>
      </c>
      <c r="Y134">
        <v>0</v>
      </c>
      <c r="Z134">
        <v>0</v>
      </c>
      <c r="AA134">
        <v>11121</v>
      </c>
      <c r="AB134">
        <v>0</v>
      </c>
      <c r="AC134">
        <v>0</v>
      </c>
      <c r="AD134">
        <v>3298</v>
      </c>
      <c r="AE134">
        <v>0</v>
      </c>
      <c r="AG134">
        <v>3</v>
      </c>
      <c r="AH134">
        <v>0</v>
      </c>
      <c r="AI134">
        <v>0</v>
      </c>
      <c r="AJ134">
        <v>895963</v>
      </c>
      <c r="AK134">
        <v>26365</v>
      </c>
      <c r="AL134">
        <v>173903</v>
      </c>
      <c r="AM134">
        <v>5163</v>
      </c>
      <c r="AN134">
        <v>0</v>
      </c>
      <c r="AO134">
        <v>0</v>
      </c>
      <c r="AP134">
        <v>0</v>
      </c>
      <c r="AQ134">
        <v>11121</v>
      </c>
      <c r="AR134">
        <v>0</v>
      </c>
      <c r="AS134">
        <v>0</v>
      </c>
      <c r="AT134">
        <v>3298</v>
      </c>
      <c r="AU134">
        <v>0</v>
      </c>
    </row>
    <row r="135" spans="1:47" x14ac:dyDescent="0.25">
      <c r="A135">
        <v>4</v>
      </c>
      <c r="B135" s="29">
        <v>0</v>
      </c>
      <c r="C135" s="29">
        <v>298.39301999999998</v>
      </c>
      <c r="D135" s="29">
        <v>0</v>
      </c>
      <c r="E135" s="29">
        <v>29698.39788</v>
      </c>
      <c r="F135" s="29">
        <v>0</v>
      </c>
      <c r="G135" s="29">
        <v>4731.6837500000001</v>
      </c>
      <c r="H135" s="29">
        <v>0</v>
      </c>
      <c r="I135" s="29">
        <v>0</v>
      </c>
      <c r="J135" s="29">
        <v>0</v>
      </c>
      <c r="K135" s="29">
        <v>14.922029999999999</v>
      </c>
      <c r="L135" s="29">
        <v>111.87426000000001</v>
      </c>
      <c r="M135" s="29">
        <v>47.197839999999999</v>
      </c>
      <c r="N135" s="29">
        <v>217.97167999999999</v>
      </c>
      <c r="O135" s="29">
        <v>426.78379999999999</v>
      </c>
      <c r="Q135">
        <v>4</v>
      </c>
      <c r="R135">
        <v>0</v>
      </c>
      <c r="S135">
        <v>0</v>
      </c>
      <c r="T135">
        <v>10345</v>
      </c>
      <c r="U135">
        <v>4913</v>
      </c>
      <c r="V135">
        <v>3233</v>
      </c>
      <c r="W135">
        <v>1191</v>
      </c>
      <c r="X135">
        <v>0</v>
      </c>
      <c r="Y135">
        <v>0</v>
      </c>
      <c r="Z135">
        <v>0</v>
      </c>
      <c r="AA135">
        <v>352</v>
      </c>
      <c r="AB135">
        <v>0</v>
      </c>
      <c r="AC135">
        <v>0</v>
      </c>
      <c r="AD135">
        <v>587</v>
      </c>
      <c r="AE135">
        <v>0</v>
      </c>
      <c r="AG135">
        <v>4</v>
      </c>
      <c r="AH135">
        <v>0</v>
      </c>
      <c r="AI135">
        <v>0</v>
      </c>
      <c r="AJ135">
        <v>10345</v>
      </c>
      <c r="AK135">
        <v>4913</v>
      </c>
      <c r="AL135">
        <v>3233</v>
      </c>
      <c r="AM135">
        <v>1191</v>
      </c>
      <c r="AN135">
        <v>0</v>
      </c>
      <c r="AO135">
        <v>0</v>
      </c>
      <c r="AP135">
        <v>0</v>
      </c>
      <c r="AQ135">
        <v>352</v>
      </c>
      <c r="AR135">
        <v>0</v>
      </c>
      <c r="AS135">
        <v>0</v>
      </c>
      <c r="AT135">
        <v>587</v>
      </c>
      <c r="AU135">
        <v>0</v>
      </c>
    </row>
    <row r="136" spans="1:47" x14ac:dyDescent="0.25">
      <c r="A136">
        <v>5</v>
      </c>
      <c r="B136" s="29">
        <v>1461.04441</v>
      </c>
      <c r="C136" s="29">
        <v>0</v>
      </c>
      <c r="D136" s="29">
        <v>0</v>
      </c>
      <c r="E136" s="29">
        <v>0</v>
      </c>
      <c r="F136" s="29">
        <v>2626125.2912300001</v>
      </c>
      <c r="G136" s="29">
        <v>18838.7526</v>
      </c>
      <c r="H136" s="29">
        <v>0</v>
      </c>
      <c r="I136" s="29">
        <v>0</v>
      </c>
      <c r="J136" s="29">
        <v>10461.298070000001</v>
      </c>
      <c r="K136" s="29">
        <v>2908.3590300000001</v>
      </c>
      <c r="L136" s="29">
        <v>14828.88838</v>
      </c>
      <c r="M136" s="29">
        <v>22925.30271</v>
      </c>
      <c r="N136" s="29">
        <v>927.28</v>
      </c>
      <c r="O136" s="29">
        <v>92135.860130000001</v>
      </c>
      <c r="Q136">
        <v>5</v>
      </c>
      <c r="R136">
        <v>0</v>
      </c>
      <c r="S136">
        <v>0</v>
      </c>
      <c r="T136">
        <v>0</v>
      </c>
      <c r="U136">
        <v>0</v>
      </c>
      <c r="V136">
        <v>674215</v>
      </c>
      <c r="W136">
        <v>17467</v>
      </c>
      <c r="X136">
        <v>0</v>
      </c>
      <c r="Y136">
        <v>0</v>
      </c>
      <c r="Z136">
        <v>0</v>
      </c>
      <c r="AA136">
        <v>2814</v>
      </c>
      <c r="AB136">
        <v>0</v>
      </c>
      <c r="AC136">
        <v>0</v>
      </c>
      <c r="AD136">
        <v>1570</v>
      </c>
      <c r="AE136">
        <v>0</v>
      </c>
      <c r="AG136">
        <v>5</v>
      </c>
      <c r="AH136">
        <v>0</v>
      </c>
      <c r="AI136">
        <v>0</v>
      </c>
      <c r="AJ136">
        <v>0</v>
      </c>
      <c r="AK136">
        <v>0</v>
      </c>
      <c r="AL136">
        <v>674215</v>
      </c>
      <c r="AM136">
        <v>17467</v>
      </c>
      <c r="AN136">
        <v>0</v>
      </c>
      <c r="AO136">
        <v>0</v>
      </c>
      <c r="AP136">
        <v>0</v>
      </c>
      <c r="AQ136">
        <v>2814</v>
      </c>
      <c r="AR136">
        <v>0</v>
      </c>
      <c r="AS136">
        <v>0</v>
      </c>
      <c r="AT136">
        <v>1570</v>
      </c>
      <c r="AU136">
        <v>0</v>
      </c>
    </row>
    <row r="137" spans="1:47" x14ac:dyDescent="0.25">
      <c r="A137">
        <v>6</v>
      </c>
      <c r="B137" s="29">
        <v>0</v>
      </c>
      <c r="C137" s="29">
        <v>0</v>
      </c>
      <c r="D137" s="29">
        <v>0</v>
      </c>
      <c r="E137" s="29">
        <v>0</v>
      </c>
      <c r="F137" s="29">
        <v>0</v>
      </c>
      <c r="G137" s="29">
        <v>18698.205539999999</v>
      </c>
      <c r="H137" s="29">
        <v>0</v>
      </c>
      <c r="I137" s="29">
        <v>0</v>
      </c>
      <c r="J137" s="29">
        <v>354.02075000000002</v>
      </c>
      <c r="K137" s="29">
        <v>0</v>
      </c>
      <c r="L137" s="29">
        <v>0</v>
      </c>
      <c r="M137" s="29">
        <v>0</v>
      </c>
      <c r="N137" s="29">
        <v>0</v>
      </c>
      <c r="O137" s="29">
        <v>1800.01126</v>
      </c>
      <c r="Q137">
        <v>6</v>
      </c>
      <c r="R137">
        <v>0</v>
      </c>
      <c r="S137">
        <v>0</v>
      </c>
      <c r="T137">
        <v>0</v>
      </c>
      <c r="U137">
        <v>0</v>
      </c>
      <c r="V137">
        <v>13248</v>
      </c>
      <c r="W137">
        <v>4005</v>
      </c>
      <c r="X137">
        <v>0</v>
      </c>
      <c r="Y137">
        <v>0</v>
      </c>
      <c r="Z137">
        <v>0</v>
      </c>
      <c r="AA137">
        <v>100</v>
      </c>
      <c r="AB137">
        <v>0</v>
      </c>
      <c r="AC137">
        <v>0</v>
      </c>
      <c r="AD137">
        <v>177</v>
      </c>
      <c r="AE137">
        <v>0</v>
      </c>
      <c r="AG137">
        <v>6</v>
      </c>
      <c r="AH137">
        <v>0</v>
      </c>
      <c r="AI137">
        <v>0</v>
      </c>
      <c r="AJ137">
        <v>0</v>
      </c>
      <c r="AK137">
        <v>0</v>
      </c>
      <c r="AL137">
        <v>13248</v>
      </c>
      <c r="AM137">
        <v>4005</v>
      </c>
      <c r="AN137">
        <v>0</v>
      </c>
      <c r="AO137">
        <v>0</v>
      </c>
      <c r="AP137">
        <v>0</v>
      </c>
      <c r="AQ137">
        <v>100</v>
      </c>
      <c r="AR137">
        <v>0</v>
      </c>
      <c r="AS137">
        <v>0</v>
      </c>
      <c r="AT137">
        <v>177</v>
      </c>
      <c r="AU137">
        <v>0</v>
      </c>
    </row>
    <row r="138" spans="1:47" x14ac:dyDescent="0.25">
      <c r="A138">
        <v>7</v>
      </c>
      <c r="B138" s="29">
        <v>145143.71343</v>
      </c>
      <c r="C138" s="29">
        <v>6245.3119699999997</v>
      </c>
      <c r="D138" s="29">
        <v>160416.17965999999</v>
      </c>
      <c r="E138" s="29">
        <v>940.18796999999995</v>
      </c>
      <c r="F138" s="29">
        <v>115103.75453000001</v>
      </c>
      <c r="G138" s="29">
        <v>1683.5844400000001</v>
      </c>
      <c r="H138" s="29">
        <v>2053884.54042</v>
      </c>
      <c r="I138" s="29">
        <v>23080.96371</v>
      </c>
      <c r="J138" s="29">
        <v>268406.82387000002</v>
      </c>
      <c r="K138" s="29">
        <v>72961.040540000002</v>
      </c>
      <c r="L138" s="29">
        <v>50749.898690000002</v>
      </c>
      <c r="M138" s="29">
        <v>69216.982910000006</v>
      </c>
      <c r="N138" s="29">
        <v>10589.869780000001</v>
      </c>
      <c r="O138" s="29">
        <v>27494.232950000001</v>
      </c>
      <c r="Q138">
        <v>7</v>
      </c>
      <c r="R138">
        <v>0</v>
      </c>
      <c r="S138">
        <v>0</v>
      </c>
      <c r="T138">
        <v>41738</v>
      </c>
      <c r="U138">
        <v>333</v>
      </c>
      <c r="V138">
        <v>24881</v>
      </c>
      <c r="W138">
        <v>265</v>
      </c>
      <c r="X138">
        <v>885202</v>
      </c>
      <c r="Y138">
        <v>0</v>
      </c>
      <c r="Z138">
        <v>0</v>
      </c>
      <c r="AA138">
        <v>44301</v>
      </c>
      <c r="AB138">
        <v>0</v>
      </c>
      <c r="AC138">
        <v>0</v>
      </c>
      <c r="AD138">
        <v>5208</v>
      </c>
      <c r="AE138">
        <v>0</v>
      </c>
      <c r="AG138">
        <v>7</v>
      </c>
      <c r="AH138">
        <v>0</v>
      </c>
      <c r="AI138">
        <v>0</v>
      </c>
      <c r="AJ138">
        <v>41738</v>
      </c>
      <c r="AK138">
        <v>333</v>
      </c>
      <c r="AL138">
        <v>24881</v>
      </c>
      <c r="AM138">
        <v>265</v>
      </c>
      <c r="AN138">
        <v>885202</v>
      </c>
      <c r="AO138">
        <v>0</v>
      </c>
      <c r="AP138">
        <v>0</v>
      </c>
      <c r="AQ138">
        <v>44301</v>
      </c>
      <c r="AR138">
        <v>0</v>
      </c>
      <c r="AS138">
        <v>0</v>
      </c>
      <c r="AT138">
        <v>5208</v>
      </c>
      <c r="AU138">
        <v>0</v>
      </c>
    </row>
    <row r="139" spans="1:47" x14ac:dyDescent="0.25">
      <c r="A139">
        <v>8</v>
      </c>
      <c r="B139" s="29">
        <v>4433.9916400000002</v>
      </c>
      <c r="C139" s="29">
        <v>0</v>
      </c>
      <c r="D139" s="29">
        <v>5715.3997799999997</v>
      </c>
      <c r="E139" s="29">
        <v>0</v>
      </c>
      <c r="F139" s="29">
        <v>4394.0572300000003</v>
      </c>
      <c r="G139" s="29">
        <v>0</v>
      </c>
      <c r="H139" s="29">
        <v>0</v>
      </c>
      <c r="I139" s="29">
        <v>353472.86736999999</v>
      </c>
      <c r="J139" s="29">
        <v>6262.1190200000001</v>
      </c>
      <c r="K139" s="29">
        <v>813.90976000000001</v>
      </c>
      <c r="L139" s="29">
        <v>0</v>
      </c>
      <c r="M139" s="29">
        <v>802.04670999999996</v>
      </c>
      <c r="N139" s="29">
        <v>88.062920000000005</v>
      </c>
      <c r="O139" s="29">
        <v>1280.6207300000001</v>
      </c>
      <c r="Q139">
        <v>8</v>
      </c>
      <c r="R139">
        <v>0</v>
      </c>
      <c r="S139">
        <v>0</v>
      </c>
      <c r="T139">
        <v>0</v>
      </c>
      <c r="U139">
        <v>0</v>
      </c>
      <c r="V139">
        <v>0</v>
      </c>
      <c r="W139">
        <v>0</v>
      </c>
      <c r="X139">
        <v>0</v>
      </c>
      <c r="Y139">
        <v>112122</v>
      </c>
      <c r="Z139">
        <v>0</v>
      </c>
      <c r="AA139">
        <v>0</v>
      </c>
      <c r="AB139">
        <v>0</v>
      </c>
      <c r="AC139">
        <v>0</v>
      </c>
      <c r="AD139">
        <v>0</v>
      </c>
      <c r="AE139">
        <v>0</v>
      </c>
      <c r="AG139">
        <v>8</v>
      </c>
      <c r="AH139">
        <v>0</v>
      </c>
      <c r="AI139">
        <v>0</v>
      </c>
      <c r="AJ139">
        <v>0</v>
      </c>
      <c r="AK139">
        <v>0</v>
      </c>
      <c r="AL139">
        <v>0</v>
      </c>
      <c r="AM139">
        <v>0</v>
      </c>
      <c r="AN139">
        <v>0</v>
      </c>
      <c r="AO139">
        <v>112122</v>
      </c>
      <c r="AP139">
        <v>0</v>
      </c>
      <c r="AQ139">
        <v>0</v>
      </c>
      <c r="AR139">
        <v>0</v>
      </c>
      <c r="AS139">
        <v>0</v>
      </c>
      <c r="AT139">
        <v>0</v>
      </c>
      <c r="AU139">
        <v>0</v>
      </c>
    </row>
    <row r="140" spans="1:47" x14ac:dyDescent="0.25">
      <c r="A140">
        <v>9</v>
      </c>
      <c r="B140" s="29">
        <v>1859.36256</v>
      </c>
      <c r="C140" s="29">
        <v>0</v>
      </c>
      <c r="D140" s="29">
        <v>845.91886999999997</v>
      </c>
      <c r="E140" s="29">
        <v>0</v>
      </c>
      <c r="F140" s="29">
        <v>446.57832000000002</v>
      </c>
      <c r="G140" s="29">
        <v>0</v>
      </c>
      <c r="H140" s="29">
        <v>961.57952</v>
      </c>
      <c r="I140" s="29">
        <v>257.36313999999999</v>
      </c>
      <c r="J140" s="29">
        <v>934821.58777999994</v>
      </c>
      <c r="K140" s="29">
        <v>23477.129369999999</v>
      </c>
      <c r="L140" s="29">
        <v>50158.194490000002</v>
      </c>
      <c r="M140" s="29">
        <v>16341.427820000001</v>
      </c>
      <c r="N140" s="29">
        <v>0</v>
      </c>
      <c r="O140" s="29">
        <v>5201.0820199999998</v>
      </c>
      <c r="Q140">
        <v>9</v>
      </c>
      <c r="R140">
        <v>0</v>
      </c>
      <c r="S140">
        <v>0</v>
      </c>
      <c r="T140">
        <v>0</v>
      </c>
      <c r="U140">
        <v>0</v>
      </c>
      <c r="V140">
        <v>0</v>
      </c>
      <c r="W140">
        <v>0</v>
      </c>
      <c r="X140">
        <v>0</v>
      </c>
      <c r="Y140">
        <v>0</v>
      </c>
      <c r="Z140">
        <v>0</v>
      </c>
      <c r="AA140">
        <v>0</v>
      </c>
      <c r="AB140">
        <v>0</v>
      </c>
      <c r="AC140">
        <v>0</v>
      </c>
      <c r="AD140">
        <v>0</v>
      </c>
      <c r="AE140">
        <v>0</v>
      </c>
      <c r="AG140">
        <v>9</v>
      </c>
      <c r="AH140">
        <v>0</v>
      </c>
      <c r="AI140">
        <v>0</v>
      </c>
      <c r="AJ140">
        <v>0</v>
      </c>
      <c r="AK140">
        <v>0</v>
      </c>
      <c r="AL140">
        <v>0</v>
      </c>
      <c r="AM140">
        <v>0</v>
      </c>
      <c r="AN140">
        <v>0</v>
      </c>
      <c r="AO140">
        <v>0</v>
      </c>
      <c r="AP140">
        <v>0</v>
      </c>
      <c r="AQ140">
        <v>0</v>
      </c>
      <c r="AR140">
        <v>0</v>
      </c>
      <c r="AS140">
        <v>0</v>
      </c>
      <c r="AT140">
        <v>0</v>
      </c>
      <c r="AU140">
        <v>0</v>
      </c>
    </row>
    <row r="141" spans="1:47" x14ac:dyDescent="0.25">
      <c r="A141">
        <v>10</v>
      </c>
      <c r="B141" s="29">
        <v>733.91264000000001</v>
      </c>
      <c r="C141" s="29">
        <v>0</v>
      </c>
      <c r="D141" s="29">
        <v>0</v>
      </c>
      <c r="E141" s="29">
        <v>0</v>
      </c>
      <c r="F141" s="29">
        <v>0</v>
      </c>
      <c r="G141" s="29">
        <v>0</v>
      </c>
      <c r="H141" s="29">
        <v>0</v>
      </c>
      <c r="I141" s="29">
        <v>0</v>
      </c>
      <c r="J141" s="29">
        <v>0</v>
      </c>
      <c r="K141" s="29">
        <v>229028.83377999999</v>
      </c>
      <c r="L141" s="29">
        <v>8771.7501799999991</v>
      </c>
      <c r="M141" s="29">
        <v>18948.92613</v>
      </c>
      <c r="N141" s="29">
        <v>0</v>
      </c>
      <c r="O141" s="29">
        <v>0</v>
      </c>
      <c r="Q141">
        <v>10</v>
      </c>
      <c r="R141">
        <v>0</v>
      </c>
      <c r="S141">
        <v>0</v>
      </c>
      <c r="T141">
        <v>0</v>
      </c>
      <c r="U141">
        <v>0</v>
      </c>
      <c r="V141">
        <v>0</v>
      </c>
      <c r="W141">
        <v>0</v>
      </c>
      <c r="X141">
        <v>0</v>
      </c>
      <c r="Y141">
        <v>0</v>
      </c>
      <c r="Z141">
        <v>0</v>
      </c>
      <c r="AA141">
        <v>161271</v>
      </c>
      <c r="AB141">
        <v>0</v>
      </c>
      <c r="AC141">
        <v>0</v>
      </c>
      <c r="AD141">
        <v>0</v>
      </c>
      <c r="AE141">
        <v>0</v>
      </c>
      <c r="AG141">
        <v>10</v>
      </c>
      <c r="AH141">
        <v>0</v>
      </c>
      <c r="AI141">
        <v>0</v>
      </c>
      <c r="AJ141">
        <v>0</v>
      </c>
      <c r="AK141">
        <v>0</v>
      </c>
      <c r="AL141">
        <v>0</v>
      </c>
      <c r="AM141">
        <v>0</v>
      </c>
      <c r="AN141">
        <v>0</v>
      </c>
      <c r="AO141">
        <v>0</v>
      </c>
      <c r="AP141">
        <v>0</v>
      </c>
      <c r="AQ141">
        <v>161271</v>
      </c>
      <c r="AR141">
        <v>0</v>
      </c>
      <c r="AS141">
        <v>0</v>
      </c>
      <c r="AT141">
        <v>0</v>
      </c>
      <c r="AU141">
        <v>0</v>
      </c>
    </row>
    <row r="142" spans="1:47" x14ac:dyDescent="0.25">
      <c r="A142">
        <v>11</v>
      </c>
      <c r="B142" s="29">
        <v>0</v>
      </c>
      <c r="C142" s="29">
        <v>0</v>
      </c>
      <c r="D142" s="29">
        <v>0</v>
      </c>
      <c r="E142" s="29">
        <v>0</v>
      </c>
      <c r="F142" s="29">
        <v>446.57832000000002</v>
      </c>
      <c r="G142" s="29">
        <v>0</v>
      </c>
      <c r="H142" s="29">
        <v>0</v>
      </c>
      <c r="I142" s="29">
        <v>0</v>
      </c>
      <c r="J142" s="29">
        <v>0</v>
      </c>
      <c r="K142" s="29">
        <v>1897.4163599999999</v>
      </c>
      <c r="L142" s="29">
        <v>90734.311499999996</v>
      </c>
      <c r="M142" s="29">
        <v>5372.50857</v>
      </c>
      <c r="N142" s="29">
        <v>0</v>
      </c>
      <c r="O142" s="29">
        <v>964.85623999999996</v>
      </c>
      <c r="Q142">
        <v>11</v>
      </c>
      <c r="R142">
        <v>0</v>
      </c>
      <c r="S142">
        <v>0</v>
      </c>
      <c r="T142">
        <v>0</v>
      </c>
      <c r="U142">
        <v>0</v>
      </c>
      <c r="V142">
        <v>0</v>
      </c>
      <c r="W142">
        <v>0</v>
      </c>
      <c r="X142">
        <v>0</v>
      </c>
      <c r="Y142">
        <v>0</v>
      </c>
      <c r="Z142">
        <v>0</v>
      </c>
      <c r="AA142">
        <v>0</v>
      </c>
      <c r="AB142">
        <v>7710</v>
      </c>
      <c r="AC142">
        <v>0</v>
      </c>
      <c r="AD142">
        <v>0</v>
      </c>
      <c r="AE142">
        <v>0</v>
      </c>
      <c r="AG142">
        <v>11</v>
      </c>
      <c r="AH142">
        <v>0</v>
      </c>
      <c r="AI142">
        <v>0</v>
      </c>
      <c r="AJ142">
        <v>0</v>
      </c>
      <c r="AK142">
        <v>0</v>
      </c>
      <c r="AL142">
        <v>0</v>
      </c>
      <c r="AM142">
        <v>0</v>
      </c>
      <c r="AN142">
        <v>0</v>
      </c>
      <c r="AO142">
        <v>0</v>
      </c>
      <c r="AP142">
        <v>0</v>
      </c>
      <c r="AQ142">
        <v>0</v>
      </c>
      <c r="AR142">
        <v>7710</v>
      </c>
      <c r="AS142">
        <v>0</v>
      </c>
      <c r="AT142">
        <v>0</v>
      </c>
      <c r="AU142">
        <v>0</v>
      </c>
    </row>
    <row r="143" spans="1:47" x14ac:dyDescent="0.25">
      <c r="A143">
        <v>12</v>
      </c>
      <c r="B143" s="29">
        <v>0</v>
      </c>
      <c r="C143" s="29">
        <v>0</v>
      </c>
      <c r="D143" s="29">
        <v>692.68317999999999</v>
      </c>
      <c r="E143" s="29">
        <v>0</v>
      </c>
      <c r="F143" s="29">
        <v>112.94412</v>
      </c>
      <c r="G143" s="29">
        <v>0</v>
      </c>
      <c r="H143" s="29">
        <v>0</v>
      </c>
      <c r="I143" s="29">
        <v>0</v>
      </c>
      <c r="J143" s="29">
        <v>0</v>
      </c>
      <c r="K143" s="29">
        <v>432.24617000000001</v>
      </c>
      <c r="L143" s="29">
        <v>44.190469999999998</v>
      </c>
      <c r="M143" s="29">
        <v>268561.74982000003</v>
      </c>
      <c r="N143" s="29">
        <v>0</v>
      </c>
      <c r="O143" s="29">
        <v>0</v>
      </c>
      <c r="Q143">
        <v>12</v>
      </c>
      <c r="R143">
        <v>0</v>
      </c>
      <c r="S143">
        <v>0</v>
      </c>
      <c r="T143">
        <v>0</v>
      </c>
      <c r="U143">
        <v>0</v>
      </c>
      <c r="V143">
        <v>0</v>
      </c>
      <c r="W143">
        <v>0</v>
      </c>
      <c r="X143">
        <v>0</v>
      </c>
      <c r="Y143">
        <v>0</v>
      </c>
      <c r="Z143">
        <v>0</v>
      </c>
      <c r="AA143">
        <v>0</v>
      </c>
      <c r="AB143">
        <v>0</v>
      </c>
      <c r="AC143">
        <v>14680</v>
      </c>
      <c r="AD143">
        <v>0</v>
      </c>
      <c r="AE143">
        <v>0</v>
      </c>
      <c r="AG143">
        <v>12</v>
      </c>
      <c r="AH143">
        <v>0</v>
      </c>
      <c r="AI143">
        <v>0</v>
      </c>
      <c r="AJ143">
        <v>0</v>
      </c>
      <c r="AK143">
        <v>0</v>
      </c>
      <c r="AL143">
        <v>0</v>
      </c>
      <c r="AM143">
        <v>0</v>
      </c>
      <c r="AN143">
        <v>0</v>
      </c>
      <c r="AO143">
        <v>0</v>
      </c>
      <c r="AP143">
        <v>0</v>
      </c>
      <c r="AQ143">
        <v>0</v>
      </c>
      <c r="AR143">
        <v>0</v>
      </c>
      <c r="AS143">
        <v>14680</v>
      </c>
      <c r="AT143">
        <v>0</v>
      </c>
      <c r="AU143">
        <v>0</v>
      </c>
    </row>
    <row r="144" spans="1:47" x14ac:dyDescent="0.25">
      <c r="A144">
        <v>13</v>
      </c>
      <c r="B144" s="29">
        <v>2573.1311099999998</v>
      </c>
      <c r="C144" s="29">
        <v>87.105360000000005</v>
      </c>
      <c r="D144" s="29">
        <v>524.46555999999998</v>
      </c>
      <c r="E144" s="29">
        <v>0</v>
      </c>
      <c r="F144" s="29">
        <v>0</v>
      </c>
      <c r="G144" s="29">
        <v>92.561769999999996</v>
      </c>
      <c r="H144" s="29">
        <v>0</v>
      </c>
      <c r="I144" s="29">
        <v>0</v>
      </c>
      <c r="J144" s="29">
        <v>10761.26254</v>
      </c>
      <c r="K144" s="29">
        <v>3709.2003500000001</v>
      </c>
      <c r="L144" s="29">
        <v>5653.2170699999997</v>
      </c>
      <c r="M144" s="29">
        <v>2531.2458499999998</v>
      </c>
      <c r="N144" s="29">
        <v>47562.706749999998</v>
      </c>
      <c r="O144" s="29">
        <v>84.101759999999999</v>
      </c>
      <c r="Q144">
        <v>13</v>
      </c>
      <c r="R144">
        <v>0</v>
      </c>
      <c r="S144">
        <v>0</v>
      </c>
      <c r="T144">
        <v>0</v>
      </c>
      <c r="U144">
        <v>0</v>
      </c>
      <c r="V144">
        <v>0</v>
      </c>
      <c r="W144">
        <v>0</v>
      </c>
      <c r="X144">
        <v>0</v>
      </c>
      <c r="Y144">
        <v>0</v>
      </c>
      <c r="Z144">
        <v>0</v>
      </c>
      <c r="AA144">
        <v>7214</v>
      </c>
      <c r="AB144">
        <v>0</v>
      </c>
      <c r="AC144">
        <v>0</v>
      </c>
      <c r="AD144">
        <v>23040</v>
      </c>
      <c r="AE144">
        <v>0</v>
      </c>
      <c r="AG144">
        <v>13</v>
      </c>
      <c r="AH144">
        <v>0</v>
      </c>
      <c r="AI144">
        <v>0</v>
      </c>
      <c r="AJ144">
        <v>0</v>
      </c>
      <c r="AK144">
        <v>0</v>
      </c>
      <c r="AL144">
        <v>0</v>
      </c>
      <c r="AM144">
        <v>0</v>
      </c>
      <c r="AN144">
        <v>0</v>
      </c>
      <c r="AO144">
        <v>0</v>
      </c>
      <c r="AP144">
        <v>0</v>
      </c>
      <c r="AQ144">
        <v>7214</v>
      </c>
      <c r="AR144">
        <v>0</v>
      </c>
      <c r="AS144">
        <v>0</v>
      </c>
      <c r="AT144">
        <v>23040</v>
      </c>
      <c r="AU144">
        <v>0</v>
      </c>
    </row>
    <row r="145" spans="1:47" x14ac:dyDescent="0.25">
      <c r="A145">
        <v>14</v>
      </c>
      <c r="B145" s="29">
        <v>1835.6516200000001</v>
      </c>
      <c r="C145" s="29">
        <v>0</v>
      </c>
      <c r="D145" s="29">
        <v>1692.41455</v>
      </c>
      <c r="E145" s="29">
        <v>0</v>
      </c>
      <c r="F145" s="29">
        <v>6195.4983000000002</v>
      </c>
      <c r="G145" s="29">
        <v>0</v>
      </c>
      <c r="H145" s="29">
        <v>454.25977999999998</v>
      </c>
      <c r="I145" s="29">
        <v>0</v>
      </c>
      <c r="J145" s="29">
        <v>0</v>
      </c>
      <c r="K145" s="29">
        <v>0</v>
      </c>
      <c r="L145" s="29">
        <v>0</v>
      </c>
      <c r="M145" s="29">
        <v>0</v>
      </c>
      <c r="N145" s="29">
        <v>0</v>
      </c>
      <c r="O145" s="29">
        <v>980705.95206000004</v>
      </c>
      <c r="Q145">
        <v>14</v>
      </c>
      <c r="R145">
        <v>0</v>
      </c>
      <c r="S145">
        <v>0</v>
      </c>
      <c r="T145">
        <v>0</v>
      </c>
      <c r="U145">
        <v>0</v>
      </c>
      <c r="V145">
        <v>0</v>
      </c>
      <c r="W145">
        <v>0</v>
      </c>
      <c r="X145">
        <v>0</v>
      </c>
      <c r="Y145">
        <v>0</v>
      </c>
      <c r="Z145">
        <v>0</v>
      </c>
      <c r="AA145">
        <v>0</v>
      </c>
      <c r="AB145">
        <v>0</v>
      </c>
      <c r="AC145">
        <v>0</v>
      </c>
      <c r="AD145">
        <v>0</v>
      </c>
      <c r="AE145">
        <v>236110</v>
      </c>
      <c r="AG145">
        <v>14</v>
      </c>
      <c r="AH145">
        <v>0</v>
      </c>
      <c r="AI145">
        <v>0</v>
      </c>
      <c r="AJ145">
        <v>0</v>
      </c>
      <c r="AK145">
        <v>0</v>
      </c>
      <c r="AL145">
        <v>0</v>
      </c>
      <c r="AM145">
        <v>0</v>
      </c>
      <c r="AN145">
        <v>0</v>
      </c>
      <c r="AO145">
        <v>0</v>
      </c>
      <c r="AP145">
        <v>0</v>
      </c>
      <c r="AQ145">
        <v>0</v>
      </c>
      <c r="AR145">
        <v>0</v>
      </c>
      <c r="AS145">
        <v>0</v>
      </c>
      <c r="AT145">
        <v>0</v>
      </c>
      <c r="AU145">
        <v>236110</v>
      </c>
    </row>
    <row r="146" spans="1:47" x14ac:dyDescent="0.25">
      <c r="A146" t="s">
        <v>547</v>
      </c>
      <c r="D146" s="89"/>
      <c r="Q146" t="s">
        <v>547</v>
      </c>
    </row>
    <row r="147" spans="1:47" x14ac:dyDescent="0.25">
      <c r="B147" t="s">
        <v>208</v>
      </c>
      <c r="C147" t="s">
        <v>209</v>
      </c>
      <c r="D147" t="s">
        <v>210</v>
      </c>
      <c r="E147" t="s">
        <v>211</v>
      </c>
      <c r="F147" t="s">
        <v>212</v>
      </c>
      <c r="G147" t="s">
        <v>213</v>
      </c>
      <c r="H147" t="s">
        <v>214</v>
      </c>
      <c r="I147" t="s">
        <v>215</v>
      </c>
      <c r="J147" t="s">
        <v>216</v>
      </c>
      <c r="K147" t="s">
        <v>400</v>
      </c>
      <c r="L147" t="s">
        <v>401</v>
      </c>
      <c r="M147" t="s">
        <v>402</v>
      </c>
      <c r="N147" t="s">
        <v>403</v>
      </c>
      <c r="O147" t="s">
        <v>404</v>
      </c>
      <c r="R147" t="s">
        <v>208</v>
      </c>
      <c r="S147" t="s">
        <v>209</v>
      </c>
      <c r="T147" t="s">
        <v>210</v>
      </c>
      <c r="U147" t="s">
        <v>211</v>
      </c>
      <c r="V147" t="s">
        <v>212</v>
      </c>
      <c r="W147" t="s">
        <v>213</v>
      </c>
      <c r="X147" t="s">
        <v>214</v>
      </c>
      <c r="Y147" t="s">
        <v>215</v>
      </c>
      <c r="Z147" t="s">
        <v>216</v>
      </c>
      <c r="AA147" t="s">
        <v>400</v>
      </c>
      <c r="AB147" t="s">
        <v>401</v>
      </c>
      <c r="AC147" t="s">
        <v>402</v>
      </c>
      <c r="AD147" t="s">
        <v>403</v>
      </c>
      <c r="AE147" t="s">
        <v>404</v>
      </c>
      <c r="AH147" t="s">
        <v>208</v>
      </c>
      <c r="AI147" t="s">
        <v>209</v>
      </c>
      <c r="AJ147" t="s">
        <v>210</v>
      </c>
      <c r="AK147" t="s">
        <v>211</v>
      </c>
      <c r="AL147" t="s">
        <v>212</v>
      </c>
      <c r="AM147" t="s">
        <v>213</v>
      </c>
      <c r="AN147" t="s">
        <v>214</v>
      </c>
      <c r="AO147" t="s">
        <v>215</v>
      </c>
      <c r="AP147" t="s">
        <v>216</v>
      </c>
      <c r="AQ147" t="s">
        <v>400</v>
      </c>
      <c r="AR147" t="s">
        <v>401</v>
      </c>
      <c r="AS147" t="s">
        <v>402</v>
      </c>
      <c r="AT147" t="s">
        <v>403</v>
      </c>
      <c r="AU147" t="s">
        <v>404</v>
      </c>
    </row>
    <row r="148" spans="1:47" x14ac:dyDescent="0.25">
      <c r="A148">
        <v>1</v>
      </c>
      <c r="B148">
        <v>0</v>
      </c>
      <c r="C148">
        <v>0</v>
      </c>
      <c r="D148">
        <v>438707.17473000003</v>
      </c>
      <c r="E148">
        <v>102.29367999999999</v>
      </c>
      <c r="F148">
        <v>179608.65805999999</v>
      </c>
      <c r="G148">
        <v>268.62398999999999</v>
      </c>
      <c r="H148">
        <v>0</v>
      </c>
      <c r="I148">
        <v>0</v>
      </c>
      <c r="J148">
        <v>771.05561999999998</v>
      </c>
      <c r="K148">
        <v>0</v>
      </c>
      <c r="L148">
        <v>0</v>
      </c>
      <c r="M148">
        <v>0</v>
      </c>
      <c r="N148">
        <v>0</v>
      </c>
      <c r="O148">
        <v>75.386790000000005</v>
      </c>
      <c r="Q148">
        <v>1</v>
      </c>
      <c r="R148">
        <v>0</v>
      </c>
      <c r="S148">
        <v>0</v>
      </c>
      <c r="T148">
        <v>102032</v>
      </c>
      <c r="U148">
        <v>2125</v>
      </c>
      <c r="V148">
        <v>63426</v>
      </c>
      <c r="W148">
        <v>1503</v>
      </c>
      <c r="X148">
        <v>0</v>
      </c>
      <c r="Y148">
        <v>0</v>
      </c>
      <c r="Z148">
        <v>0</v>
      </c>
      <c r="AA148">
        <v>0</v>
      </c>
      <c r="AB148">
        <v>0</v>
      </c>
      <c r="AC148">
        <v>0</v>
      </c>
      <c r="AD148">
        <v>0</v>
      </c>
      <c r="AE148">
        <v>0</v>
      </c>
      <c r="AG148">
        <v>1</v>
      </c>
      <c r="AH148">
        <v>0</v>
      </c>
      <c r="AI148">
        <v>0</v>
      </c>
      <c r="AJ148">
        <v>102032</v>
      </c>
      <c r="AK148">
        <v>2125</v>
      </c>
      <c r="AL148">
        <v>63426</v>
      </c>
      <c r="AM148">
        <v>1503</v>
      </c>
      <c r="AN148">
        <v>0</v>
      </c>
      <c r="AO148">
        <v>0</v>
      </c>
      <c r="AP148">
        <v>0</v>
      </c>
      <c r="AQ148">
        <v>0</v>
      </c>
      <c r="AR148">
        <v>0</v>
      </c>
      <c r="AS148">
        <v>0</v>
      </c>
      <c r="AT148">
        <v>0</v>
      </c>
      <c r="AU148">
        <v>0</v>
      </c>
    </row>
    <row r="149" spans="1:47" x14ac:dyDescent="0.25">
      <c r="A149">
        <v>2</v>
      </c>
      <c r="B149">
        <v>0</v>
      </c>
      <c r="C149">
        <v>0</v>
      </c>
      <c r="D149">
        <v>0</v>
      </c>
      <c r="E149">
        <v>163.97425999999999</v>
      </c>
      <c r="F149">
        <v>0</v>
      </c>
      <c r="G149">
        <v>329.89438000000001</v>
      </c>
      <c r="H149">
        <v>0</v>
      </c>
      <c r="I149">
        <v>0</v>
      </c>
      <c r="J149">
        <v>0</v>
      </c>
      <c r="K149">
        <v>0</v>
      </c>
      <c r="L149">
        <v>0</v>
      </c>
      <c r="M149">
        <v>0</v>
      </c>
      <c r="N149">
        <v>0</v>
      </c>
      <c r="O149">
        <v>0</v>
      </c>
      <c r="Q149">
        <v>2</v>
      </c>
      <c r="R149">
        <v>0</v>
      </c>
      <c r="S149">
        <v>0</v>
      </c>
      <c r="T149">
        <v>1276</v>
      </c>
      <c r="U149">
        <v>479</v>
      </c>
      <c r="V149">
        <v>896</v>
      </c>
      <c r="W149">
        <v>301</v>
      </c>
      <c r="X149">
        <v>0</v>
      </c>
      <c r="Y149">
        <v>0</v>
      </c>
      <c r="Z149">
        <v>0</v>
      </c>
      <c r="AA149">
        <v>0</v>
      </c>
      <c r="AB149">
        <v>0</v>
      </c>
      <c r="AC149">
        <v>0</v>
      </c>
      <c r="AD149">
        <v>0</v>
      </c>
      <c r="AE149">
        <v>0</v>
      </c>
      <c r="AG149">
        <v>2</v>
      </c>
      <c r="AH149">
        <v>0</v>
      </c>
      <c r="AI149">
        <v>0</v>
      </c>
      <c r="AJ149">
        <v>1276</v>
      </c>
      <c r="AK149">
        <v>479</v>
      </c>
      <c r="AL149">
        <v>896</v>
      </c>
      <c r="AM149">
        <v>301</v>
      </c>
      <c r="AN149">
        <v>0</v>
      </c>
      <c r="AO149">
        <v>0</v>
      </c>
      <c r="AP149">
        <v>0</v>
      </c>
      <c r="AQ149">
        <v>0</v>
      </c>
      <c r="AR149">
        <v>0</v>
      </c>
      <c r="AS149">
        <v>0</v>
      </c>
      <c r="AT149">
        <v>0</v>
      </c>
      <c r="AU149">
        <v>0</v>
      </c>
    </row>
    <row r="150" spans="1:47" x14ac:dyDescent="0.25">
      <c r="A150">
        <v>3</v>
      </c>
      <c r="B150">
        <v>0</v>
      </c>
      <c r="C150">
        <v>0</v>
      </c>
      <c r="D150">
        <v>487718.53811999998</v>
      </c>
      <c r="E150">
        <v>0</v>
      </c>
      <c r="F150">
        <v>348411.28759999998</v>
      </c>
      <c r="G150">
        <v>805.16638999999998</v>
      </c>
      <c r="H150">
        <v>0</v>
      </c>
      <c r="I150">
        <v>0</v>
      </c>
      <c r="J150">
        <v>146.35839999999999</v>
      </c>
      <c r="K150">
        <v>0</v>
      </c>
      <c r="L150">
        <v>0</v>
      </c>
      <c r="M150">
        <v>0</v>
      </c>
      <c r="N150">
        <v>0</v>
      </c>
      <c r="O150">
        <v>0</v>
      </c>
      <c r="Q150">
        <v>3</v>
      </c>
      <c r="R150">
        <v>0</v>
      </c>
      <c r="S150">
        <v>0</v>
      </c>
      <c r="T150">
        <v>118436</v>
      </c>
      <c r="U150">
        <v>2377</v>
      </c>
      <c r="V150">
        <v>47130</v>
      </c>
      <c r="W150">
        <v>1022</v>
      </c>
      <c r="X150">
        <v>0</v>
      </c>
      <c r="Y150">
        <v>0</v>
      </c>
      <c r="Z150">
        <v>0</v>
      </c>
      <c r="AA150">
        <v>31</v>
      </c>
      <c r="AB150">
        <v>0</v>
      </c>
      <c r="AC150">
        <v>0</v>
      </c>
      <c r="AD150">
        <v>0</v>
      </c>
      <c r="AE150">
        <v>0</v>
      </c>
      <c r="AG150">
        <v>3</v>
      </c>
      <c r="AH150">
        <v>0</v>
      </c>
      <c r="AI150">
        <v>0</v>
      </c>
      <c r="AJ150">
        <v>118436</v>
      </c>
      <c r="AK150">
        <v>2377</v>
      </c>
      <c r="AL150">
        <v>47130</v>
      </c>
      <c r="AM150">
        <v>1022</v>
      </c>
      <c r="AN150">
        <v>0</v>
      </c>
      <c r="AO150">
        <v>0</v>
      </c>
      <c r="AP150">
        <v>0</v>
      </c>
      <c r="AQ150">
        <v>31</v>
      </c>
      <c r="AR150">
        <v>0</v>
      </c>
      <c r="AS150">
        <v>0</v>
      </c>
      <c r="AT150">
        <v>0</v>
      </c>
      <c r="AU150">
        <v>0</v>
      </c>
    </row>
    <row r="151" spans="1:47" x14ac:dyDescent="0.25">
      <c r="A151">
        <v>4</v>
      </c>
      <c r="B151">
        <v>0</v>
      </c>
      <c r="C151">
        <v>0</v>
      </c>
      <c r="D151">
        <v>0</v>
      </c>
      <c r="E151">
        <v>354.21521999999999</v>
      </c>
      <c r="F151">
        <v>0</v>
      </c>
      <c r="G151">
        <v>3072.40967</v>
      </c>
      <c r="H151">
        <v>0</v>
      </c>
      <c r="I151">
        <v>0</v>
      </c>
      <c r="J151">
        <v>0</v>
      </c>
      <c r="K151">
        <v>0</v>
      </c>
      <c r="L151">
        <v>0</v>
      </c>
      <c r="M151">
        <v>0</v>
      </c>
      <c r="N151">
        <v>0</v>
      </c>
      <c r="O151">
        <v>0</v>
      </c>
      <c r="Q151">
        <v>4</v>
      </c>
      <c r="R151">
        <v>0</v>
      </c>
      <c r="S151">
        <v>0</v>
      </c>
      <c r="T151">
        <v>1450</v>
      </c>
      <c r="U151">
        <v>549</v>
      </c>
      <c r="V151">
        <v>612</v>
      </c>
      <c r="W151">
        <v>225</v>
      </c>
      <c r="X151">
        <v>0</v>
      </c>
      <c r="Y151">
        <v>0</v>
      </c>
      <c r="Z151">
        <v>0</v>
      </c>
      <c r="AA151">
        <v>0</v>
      </c>
      <c r="AB151">
        <v>0</v>
      </c>
      <c r="AC151">
        <v>0</v>
      </c>
      <c r="AD151">
        <v>0</v>
      </c>
      <c r="AE151">
        <v>0</v>
      </c>
      <c r="AG151">
        <v>4</v>
      </c>
      <c r="AH151">
        <v>0</v>
      </c>
      <c r="AI151">
        <v>0</v>
      </c>
      <c r="AJ151">
        <v>1450</v>
      </c>
      <c r="AK151">
        <v>549</v>
      </c>
      <c r="AL151">
        <v>612</v>
      </c>
      <c r="AM151">
        <v>225</v>
      </c>
      <c r="AN151">
        <v>0</v>
      </c>
      <c r="AO151">
        <v>0</v>
      </c>
      <c r="AP151">
        <v>0</v>
      </c>
      <c r="AQ151">
        <v>0</v>
      </c>
      <c r="AR151">
        <v>0</v>
      </c>
      <c r="AS151">
        <v>0</v>
      </c>
      <c r="AT151">
        <v>0</v>
      </c>
      <c r="AU151">
        <v>0</v>
      </c>
    </row>
    <row r="152" spans="1:47" x14ac:dyDescent="0.25">
      <c r="A152">
        <v>5</v>
      </c>
      <c r="B152">
        <v>0</v>
      </c>
      <c r="C152">
        <v>0</v>
      </c>
      <c r="D152">
        <v>0</v>
      </c>
      <c r="E152">
        <v>0</v>
      </c>
      <c r="F152">
        <v>831291.12346999999</v>
      </c>
      <c r="G152">
        <v>882.61325999999997</v>
      </c>
      <c r="H152">
        <v>0</v>
      </c>
      <c r="I152">
        <v>0</v>
      </c>
      <c r="J152">
        <v>942.79116999999997</v>
      </c>
      <c r="K152">
        <v>0</v>
      </c>
      <c r="L152">
        <v>0</v>
      </c>
      <c r="M152">
        <v>571.71141999999998</v>
      </c>
      <c r="N152">
        <v>0</v>
      </c>
      <c r="O152">
        <v>0</v>
      </c>
      <c r="Q152">
        <v>5</v>
      </c>
      <c r="R152">
        <v>0</v>
      </c>
      <c r="S152">
        <v>0</v>
      </c>
      <c r="T152">
        <v>0</v>
      </c>
      <c r="U152">
        <v>0</v>
      </c>
      <c r="V152">
        <v>150965</v>
      </c>
      <c r="W152">
        <v>3317</v>
      </c>
      <c r="X152">
        <v>0</v>
      </c>
      <c r="Y152">
        <v>0</v>
      </c>
      <c r="Z152">
        <v>0</v>
      </c>
      <c r="AA152">
        <v>16</v>
      </c>
      <c r="AB152">
        <v>0</v>
      </c>
      <c r="AC152">
        <v>0</v>
      </c>
      <c r="AD152">
        <v>0</v>
      </c>
      <c r="AE152">
        <v>0</v>
      </c>
      <c r="AG152">
        <v>5</v>
      </c>
      <c r="AH152">
        <v>0</v>
      </c>
      <c r="AI152">
        <v>0</v>
      </c>
      <c r="AJ152">
        <v>0</v>
      </c>
      <c r="AK152">
        <v>0</v>
      </c>
      <c r="AL152">
        <v>150965</v>
      </c>
      <c r="AM152">
        <v>3317</v>
      </c>
      <c r="AN152">
        <v>0</v>
      </c>
      <c r="AO152">
        <v>0</v>
      </c>
      <c r="AP152">
        <v>0</v>
      </c>
      <c r="AQ152">
        <v>16</v>
      </c>
      <c r="AR152">
        <v>0</v>
      </c>
      <c r="AS152">
        <v>0</v>
      </c>
      <c r="AT152">
        <v>0</v>
      </c>
      <c r="AU152">
        <v>0</v>
      </c>
    </row>
    <row r="153" spans="1:47" x14ac:dyDescent="0.25">
      <c r="A153">
        <v>6</v>
      </c>
      <c r="B153">
        <v>0</v>
      </c>
      <c r="C153">
        <v>0</v>
      </c>
      <c r="D153">
        <v>0</v>
      </c>
      <c r="E153">
        <v>0</v>
      </c>
      <c r="F153">
        <v>0</v>
      </c>
      <c r="G153">
        <v>5231.0796899999996</v>
      </c>
      <c r="H153">
        <v>0</v>
      </c>
      <c r="I153">
        <v>0</v>
      </c>
      <c r="J153">
        <v>0</v>
      </c>
      <c r="K153">
        <v>0</v>
      </c>
      <c r="L153">
        <v>0</v>
      </c>
      <c r="M153">
        <v>0</v>
      </c>
      <c r="N153">
        <v>0</v>
      </c>
      <c r="O153">
        <v>0</v>
      </c>
      <c r="Q153">
        <v>6</v>
      </c>
      <c r="R153">
        <v>0</v>
      </c>
      <c r="S153">
        <v>0</v>
      </c>
      <c r="T153">
        <v>0</v>
      </c>
      <c r="U153">
        <v>0</v>
      </c>
      <c r="V153">
        <v>1866</v>
      </c>
      <c r="W153">
        <v>692</v>
      </c>
      <c r="X153">
        <v>0</v>
      </c>
      <c r="Y153">
        <v>0</v>
      </c>
      <c r="Z153">
        <v>0</v>
      </c>
      <c r="AA153">
        <v>0</v>
      </c>
      <c r="AB153">
        <v>0</v>
      </c>
      <c r="AC153">
        <v>0</v>
      </c>
      <c r="AD153">
        <v>0</v>
      </c>
      <c r="AE153">
        <v>0</v>
      </c>
      <c r="AG153">
        <v>6</v>
      </c>
      <c r="AH153">
        <v>0</v>
      </c>
      <c r="AI153">
        <v>0</v>
      </c>
      <c r="AJ153">
        <v>0</v>
      </c>
      <c r="AK153">
        <v>0</v>
      </c>
      <c r="AL153">
        <v>1866</v>
      </c>
      <c r="AM153">
        <v>692</v>
      </c>
      <c r="AN153">
        <v>0</v>
      </c>
      <c r="AO153">
        <v>0</v>
      </c>
      <c r="AP153">
        <v>0</v>
      </c>
      <c r="AQ153">
        <v>0</v>
      </c>
      <c r="AR153">
        <v>0</v>
      </c>
      <c r="AS153">
        <v>0</v>
      </c>
      <c r="AT153">
        <v>0</v>
      </c>
      <c r="AU153">
        <v>0</v>
      </c>
    </row>
    <row r="154" spans="1:47" x14ac:dyDescent="0.25">
      <c r="A154">
        <v>7</v>
      </c>
      <c r="B154">
        <v>0</v>
      </c>
      <c r="C154">
        <v>0</v>
      </c>
      <c r="D154">
        <v>2688.7374399999999</v>
      </c>
      <c r="E154">
        <v>0</v>
      </c>
      <c r="F154">
        <v>10185.892449999999</v>
      </c>
      <c r="G154">
        <v>0</v>
      </c>
      <c r="H154">
        <v>267033.64922999998</v>
      </c>
      <c r="I154">
        <v>1356.6573000000001</v>
      </c>
      <c r="J154">
        <v>2928.83484</v>
      </c>
      <c r="K154">
        <v>0</v>
      </c>
      <c r="L154">
        <v>0</v>
      </c>
      <c r="M154">
        <v>0</v>
      </c>
      <c r="N154">
        <v>0</v>
      </c>
      <c r="O154">
        <v>0</v>
      </c>
      <c r="Q154">
        <v>7</v>
      </c>
      <c r="R154">
        <v>0</v>
      </c>
      <c r="S154">
        <v>0</v>
      </c>
      <c r="T154">
        <v>4618</v>
      </c>
      <c r="U154">
        <v>17</v>
      </c>
      <c r="V154">
        <v>3390</v>
      </c>
      <c r="W154">
        <v>11</v>
      </c>
      <c r="X154">
        <v>98261</v>
      </c>
      <c r="Y154">
        <v>0</v>
      </c>
      <c r="Z154">
        <v>0</v>
      </c>
      <c r="AA154">
        <v>391</v>
      </c>
      <c r="AB154">
        <v>0</v>
      </c>
      <c r="AC154">
        <v>0</v>
      </c>
      <c r="AD154">
        <v>0</v>
      </c>
      <c r="AE154">
        <v>0</v>
      </c>
      <c r="AG154">
        <v>7</v>
      </c>
      <c r="AH154">
        <v>0</v>
      </c>
      <c r="AI154">
        <v>0</v>
      </c>
      <c r="AJ154">
        <v>4618</v>
      </c>
      <c r="AK154">
        <v>17</v>
      </c>
      <c r="AL154">
        <v>3390</v>
      </c>
      <c r="AM154">
        <v>11</v>
      </c>
      <c r="AN154">
        <v>98261</v>
      </c>
      <c r="AO154">
        <v>0</v>
      </c>
      <c r="AP154">
        <v>0</v>
      </c>
      <c r="AQ154">
        <v>391</v>
      </c>
      <c r="AR154">
        <v>0</v>
      </c>
      <c r="AS154">
        <v>0</v>
      </c>
      <c r="AT154">
        <v>0</v>
      </c>
      <c r="AU154">
        <v>0</v>
      </c>
    </row>
    <row r="155" spans="1:47" x14ac:dyDescent="0.25">
      <c r="A155">
        <v>8</v>
      </c>
      <c r="B155">
        <v>0</v>
      </c>
      <c r="C155">
        <v>0</v>
      </c>
      <c r="D155">
        <v>440.43038999999999</v>
      </c>
      <c r="E155">
        <v>0</v>
      </c>
      <c r="F155">
        <v>0</v>
      </c>
      <c r="G155">
        <v>0</v>
      </c>
      <c r="H155">
        <v>0</v>
      </c>
      <c r="I155">
        <v>8242.5337600000003</v>
      </c>
      <c r="J155">
        <v>0</v>
      </c>
      <c r="K155">
        <v>0</v>
      </c>
      <c r="L155">
        <v>0</v>
      </c>
      <c r="M155">
        <v>0</v>
      </c>
      <c r="N155">
        <v>0</v>
      </c>
      <c r="O155">
        <v>0</v>
      </c>
      <c r="Q155">
        <v>8</v>
      </c>
      <c r="R155">
        <v>0</v>
      </c>
      <c r="S155">
        <v>0</v>
      </c>
      <c r="T155">
        <v>0</v>
      </c>
      <c r="U155">
        <v>0</v>
      </c>
      <c r="V155">
        <v>0</v>
      </c>
      <c r="W155">
        <v>0</v>
      </c>
      <c r="X155">
        <v>0</v>
      </c>
      <c r="Y155">
        <v>1955</v>
      </c>
      <c r="Z155">
        <v>0</v>
      </c>
      <c r="AA155">
        <v>0</v>
      </c>
      <c r="AB155">
        <v>0</v>
      </c>
      <c r="AC155">
        <v>0</v>
      </c>
      <c r="AD155">
        <v>0</v>
      </c>
      <c r="AE155">
        <v>0</v>
      </c>
      <c r="AG155">
        <v>8</v>
      </c>
      <c r="AH155">
        <v>0</v>
      </c>
      <c r="AI155">
        <v>0</v>
      </c>
      <c r="AJ155">
        <v>0</v>
      </c>
      <c r="AK155">
        <v>0</v>
      </c>
      <c r="AL155">
        <v>0</v>
      </c>
      <c r="AM155">
        <v>0</v>
      </c>
      <c r="AN155">
        <v>0</v>
      </c>
      <c r="AO155">
        <v>1955</v>
      </c>
      <c r="AP155">
        <v>0</v>
      </c>
      <c r="AQ155">
        <v>0</v>
      </c>
      <c r="AR155">
        <v>0</v>
      </c>
      <c r="AS155">
        <v>0</v>
      </c>
      <c r="AT155">
        <v>0</v>
      </c>
      <c r="AU155">
        <v>0</v>
      </c>
    </row>
    <row r="156" spans="1:47" x14ac:dyDescent="0.25">
      <c r="A156">
        <v>9</v>
      </c>
      <c r="B156">
        <v>0</v>
      </c>
      <c r="C156">
        <v>0</v>
      </c>
      <c r="D156">
        <v>0</v>
      </c>
      <c r="E156">
        <v>0</v>
      </c>
      <c r="F156">
        <v>0</v>
      </c>
      <c r="G156">
        <v>0</v>
      </c>
      <c r="H156">
        <v>0</v>
      </c>
      <c r="I156">
        <v>0</v>
      </c>
      <c r="J156">
        <v>12712.95939</v>
      </c>
      <c r="K156">
        <v>0</v>
      </c>
      <c r="L156">
        <v>0</v>
      </c>
      <c r="M156">
        <v>0</v>
      </c>
      <c r="N156">
        <v>0</v>
      </c>
      <c r="O156">
        <v>0</v>
      </c>
      <c r="Q156">
        <v>9</v>
      </c>
      <c r="R156">
        <v>0</v>
      </c>
      <c r="S156">
        <v>0</v>
      </c>
      <c r="T156">
        <v>0</v>
      </c>
      <c r="U156">
        <v>0</v>
      </c>
      <c r="V156">
        <v>0</v>
      </c>
      <c r="W156">
        <v>0</v>
      </c>
      <c r="X156">
        <v>0</v>
      </c>
      <c r="Y156">
        <v>0</v>
      </c>
      <c r="Z156">
        <v>0</v>
      </c>
      <c r="AA156">
        <v>0</v>
      </c>
      <c r="AB156">
        <v>0</v>
      </c>
      <c r="AC156">
        <v>0</v>
      </c>
      <c r="AD156">
        <v>0</v>
      </c>
      <c r="AE156">
        <v>0</v>
      </c>
      <c r="AG156">
        <v>9</v>
      </c>
      <c r="AH156">
        <v>0</v>
      </c>
      <c r="AI156">
        <v>0</v>
      </c>
      <c r="AJ156">
        <v>0</v>
      </c>
      <c r="AK156">
        <v>0</v>
      </c>
      <c r="AL156">
        <v>0</v>
      </c>
      <c r="AM156">
        <v>0</v>
      </c>
      <c r="AN156">
        <v>0</v>
      </c>
      <c r="AO156">
        <v>0</v>
      </c>
      <c r="AP156">
        <v>0</v>
      </c>
      <c r="AQ156">
        <v>0</v>
      </c>
      <c r="AR156">
        <v>0</v>
      </c>
      <c r="AS156">
        <v>0</v>
      </c>
      <c r="AT156">
        <v>0</v>
      </c>
      <c r="AU156">
        <v>0</v>
      </c>
    </row>
    <row r="157" spans="1:47" x14ac:dyDescent="0.25">
      <c r="A157">
        <v>10</v>
      </c>
      <c r="B157">
        <v>0</v>
      </c>
      <c r="C157">
        <v>0</v>
      </c>
      <c r="D157">
        <v>0</v>
      </c>
      <c r="E157">
        <v>0</v>
      </c>
      <c r="F157">
        <v>0</v>
      </c>
      <c r="G157">
        <v>0</v>
      </c>
      <c r="H157">
        <v>0</v>
      </c>
      <c r="I157">
        <v>0</v>
      </c>
      <c r="J157">
        <v>0</v>
      </c>
      <c r="K157">
        <v>0</v>
      </c>
      <c r="L157">
        <v>0</v>
      </c>
      <c r="M157">
        <v>285.85570999999999</v>
      </c>
      <c r="N157">
        <v>0</v>
      </c>
      <c r="O157">
        <v>0</v>
      </c>
      <c r="Q157">
        <v>10</v>
      </c>
      <c r="R157">
        <v>0</v>
      </c>
      <c r="S157">
        <v>0</v>
      </c>
      <c r="T157">
        <v>0</v>
      </c>
      <c r="U157">
        <v>0</v>
      </c>
      <c r="V157">
        <v>0</v>
      </c>
      <c r="W157">
        <v>0</v>
      </c>
      <c r="X157">
        <v>0</v>
      </c>
      <c r="Y157">
        <v>0</v>
      </c>
      <c r="Z157">
        <v>0</v>
      </c>
      <c r="AA157">
        <v>1175</v>
      </c>
      <c r="AB157">
        <v>0</v>
      </c>
      <c r="AC157">
        <v>0</v>
      </c>
      <c r="AD157">
        <v>0</v>
      </c>
      <c r="AE157">
        <v>0</v>
      </c>
      <c r="AG157">
        <v>10</v>
      </c>
      <c r="AH157">
        <v>0</v>
      </c>
      <c r="AI157">
        <v>0</v>
      </c>
      <c r="AJ157">
        <v>0</v>
      </c>
      <c r="AK157">
        <v>0</v>
      </c>
      <c r="AL157">
        <v>0</v>
      </c>
      <c r="AM157">
        <v>0</v>
      </c>
      <c r="AN157">
        <v>0</v>
      </c>
      <c r="AO157">
        <v>0</v>
      </c>
      <c r="AP157">
        <v>0</v>
      </c>
      <c r="AQ157">
        <v>1175</v>
      </c>
      <c r="AR157">
        <v>0</v>
      </c>
      <c r="AS157">
        <v>0</v>
      </c>
      <c r="AT157">
        <v>0</v>
      </c>
      <c r="AU157">
        <v>0</v>
      </c>
    </row>
    <row r="158" spans="1:47" x14ac:dyDescent="0.25">
      <c r="A158">
        <v>11</v>
      </c>
      <c r="B158">
        <v>0</v>
      </c>
      <c r="C158">
        <v>0</v>
      </c>
      <c r="D158">
        <v>0</v>
      </c>
      <c r="E158">
        <v>0</v>
      </c>
      <c r="F158">
        <v>0</v>
      </c>
      <c r="G158">
        <v>0</v>
      </c>
      <c r="H158">
        <v>0</v>
      </c>
      <c r="I158">
        <v>0</v>
      </c>
      <c r="J158">
        <v>0</v>
      </c>
      <c r="K158">
        <v>0</v>
      </c>
      <c r="L158">
        <v>0</v>
      </c>
      <c r="M158">
        <v>0</v>
      </c>
      <c r="N158">
        <v>0</v>
      </c>
      <c r="O158">
        <v>0</v>
      </c>
      <c r="Q158">
        <v>11</v>
      </c>
      <c r="R158">
        <v>0</v>
      </c>
      <c r="S158">
        <v>0</v>
      </c>
      <c r="T158">
        <v>0</v>
      </c>
      <c r="U158">
        <v>0</v>
      </c>
      <c r="V158">
        <v>0</v>
      </c>
      <c r="W158">
        <v>0</v>
      </c>
      <c r="X158">
        <v>0</v>
      </c>
      <c r="Y158">
        <v>0</v>
      </c>
      <c r="Z158">
        <v>0</v>
      </c>
      <c r="AA158">
        <v>0</v>
      </c>
      <c r="AB158">
        <v>0</v>
      </c>
      <c r="AC158">
        <v>0</v>
      </c>
      <c r="AD158">
        <v>0</v>
      </c>
      <c r="AE158">
        <v>0</v>
      </c>
      <c r="AG158">
        <v>11</v>
      </c>
      <c r="AH158">
        <v>0</v>
      </c>
      <c r="AI158">
        <v>0</v>
      </c>
      <c r="AJ158">
        <v>0</v>
      </c>
      <c r="AK158">
        <v>0</v>
      </c>
      <c r="AL158">
        <v>0</v>
      </c>
      <c r="AM158">
        <v>0</v>
      </c>
      <c r="AN158">
        <v>0</v>
      </c>
      <c r="AO158">
        <v>0</v>
      </c>
      <c r="AP158">
        <v>0</v>
      </c>
      <c r="AQ158">
        <v>0</v>
      </c>
      <c r="AR158">
        <v>0</v>
      </c>
      <c r="AS158">
        <v>0</v>
      </c>
      <c r="AT158">
        <v>0</v>
      </c>
      <c r="AU158">
        <v>0</v>
      </c>
    </row>
    <row r="159" spans="1:47" x14ac:dyDescent="0.25">
      <c r="A159">
        <v>12</v>
      </c>
      <c r="B159">
        <v>0</v>
      </c>
      <c r="C159">
        <v>0</v>
      </c>
      <c r="D159">
        <v>0</v>
      </c>
      <c r="E159">
        <v>0</v>
      </c>
      <c r="F159">
        <v>0</v>
      </c>
      <c r="G159">
        <v>0</v>
      </c>
      <c r="H159">
        <v>0</v>
      </c>
      <c r="I159">
        <v>0</v>
      </c>
      <c r="J159">
        <v>0</v>
      </c>
      <c r="K159">
        <v>0</v>
      </c>
      <c r="L159">
        <v>0</v>
      </c>
      <c r="M159">
        <v>792.31780000000003</v>
      </c>
      <c r="N159">
        <v>0</v>
      </c>
      <c r="O159">
        <v>0</v>
      </c>
      <c r="Q159">
        <v>12</v>
      </c>
      <c r="R159">
        <v>0</v>
      </c>
      <c r="S159">
        <v>0</v>
      </c>
      <c r="T159">
        <v>0</v>
      </c>
      <c r="U159">
        <v>0</v>
      </c>
      <c r="V159">
        <v>0</v>
      </c>
      <c r="W159">
        <v>0</v>
      </c>
      <c r="X159">
        <v>0</v>
      </c>
      <c r="Y159">
        <v>0</v>
      </c>
      <c r="Z159">
        <v>0</v>
      </c>
      <c r="AA159">
        <v>0</v>
      </c>
      <c r="AB159">
        <v>0</v>
      </c>
      <c r="AC159">
        <v>0</v>
      </c>
      <c r="AD159">
        <v>0</v>
      </c>
      <c r="AE159">
        <v>0</v>
      </c>
      <c r="AG159">
        <v>12</v>
      </c>
      <c r="AH159">
        <v>0</v>
      </c>
      <c r="AI159">
        <v>0</v>
      </c>
      <c r="AJ159">
        <v>0</v>
      </c>
      <c r="AK159">
        <v>0</v>
      </c>
      <c r="AL159">
        <v>0</v>
      </c>
      <c r="AM159">
        <v>0</v>
      </c>
      <c r="AN159">
        <v>0</v>
      </c>
      <c r="AO159">
        <v>0</v>
      </c>
      <c r="AP159">
        <v>0</v>
      </c>
      <c r="AQ159">
        <v>0</v>
      </c>
      <c r="AR159">
        <v>0</v>
      </c>
      <c r="AS159">
        <v>0</v>
      </c>
      <c r="AT159">
        <v>0</v>
      </c>
      <c r="AU159">
        <v>0</v>
      </c>
    </row>
    <row r="160" spans="1:47" x14ac:dyDescent="0.25">
      <c r="A160">
        <v>13</v>
      </c>
      <c r="B160">
        <v>0</v>
      </c>
      <c r="C160">
        <v>0</v>
      </c>
      <c r="D160">
        <v>0</v>
      </c>
      <c r="E160">
        <v>0</v>
      </c>
      <c r="F160">
        <v>0</v>
      </c>
      <c r="G160">
        <v>0</v>
      </c>
      <c r="H160">
        <v>0</v>
      </c>
      <c r="I160">
        <v>0</v>
      </c>
      <c r="J160">
        <v>0</v>
      </c>
      <c r="K160">
        <v>0</v>
      </c>
      <c r="L160">
        <v>0</v>
      </c>
      <c r="M160">
        <v>0</v>
      </c>
      <c r="N160">
        <v>0</v>
      </c>
      <c r="O160">
        <v>0</v>
      </c>
      <c r="Q160">
        <v>13</v>
      </c>
      <c r="R160">
        <v>0</v>
      </c>
      <c r="S160">
        <v>0</v>
      </c>
      <c r="T160">
        <v>0</v>
      </c>
      <c r="U160">
        <v>0</v>
      </c>
      <c r="V160">
        <v>0</v>
      </c>
      <c r="W160">
        <v>0</v>
      </c>
      <c r="X160">
        <v>0</v>
      </c>
      <c r="Y160">
        <v>0</v>
      </c>
      <c r="Z160">
        <v>0</v>
      </c>
      <c r="AA160">
        <v>3</v>
      </c>
      <c r="AB160">
        <v>0</v>
      </c>
      <c r="AC160">
        <v>0</v>
      </c>
      <c r="AD160">
        <v>0</v>
      </c>
      <c r="AE160">
        <v>0</v>
      </c>
      <c r="AG160">
        <v>13</v>
      </c>
      <c r="AH160">
        <v>0</v>
      </c>
      <c r="AI160">
        <v>0</v>
      </c>
      <c r="AJ160">
        <v>0</v>
      </c>
      <c r="AK160">
        <v>0</v>
      </c>
      <c r="AL160">
        <v>0</v>
      </c>
      <c r="AM160">
        <v>0</v>
      </c>
      <c r="AN160">
        <v>0</v>
      </c>
      <c r="AO160">
        <v>0</v>
      </c>
      <c r="AP160">
        <v>0</v>
      </c>
      <c r="AQ160">
        <v>3</v>
      </c>
      <c r="AR160">
        <v>0</v>
      </c>
      <c r="AS160">
        <v>0</v>
      </c>
      <c r="AT160">
        <v>0</v>
      </c>
      <c r="AU160">
        <v>0</v>
      </c>
    </row>
    <row r="161" spans="1:47" x14ac:dyDescent="0.25">
      <c r="A161">
        <v>14</v>
      </c>
      <c r="B161">
        <v>0</v>
      </c>
      <c r="C161">
        <v>0</v>
      </c>
      <c r="D161">
        <v>0</v>
      </c>
      <c r="E161">
        <v>0</v>
      </c>
      <c r="F161">
        <v>0</v>
      </c>
      <c r="G161">
        <v>0</v>
      </c>
      <c r="H161">
        <v>0</v>
      </c>
      <c r="I161">
        <v>0</v>
      </c>
      <c r="J161">
        <v>0</v>
      </c>
      <c r="K161">
        <v>0</v>
      </c>
      <c r="L161">
        <v>0</v>
      </c>
      <c r="M161">
        <v>0</v>
      </c>
      <c r="N161">
        <v>0</v>
      </c>
      <c r="O161">
        <v>100.51572</v>
      </c>
      <c r="Q161">
        <v>14</v>
      </c>
      <c r="R161">
        <v>0</v>
      </c>
      <c r="S161">
        <v>0</v>
      </c>
      <c r="T161">
        <v>0</v>
      </c>
      <c r="U161">
        <v>0</v>
      </c>
      <c r="V161">
        <v>0</v>
      </c>
      <c r="W161">
        <v>0</v>
      </c>
      <c r="X161">
        <v>0</v>
      </c>
      <c r="Y161">
        <v>0</v>
      </c>
      <c r="Z161">
        <v>0</v>
      </c>
      <c r="AA161">
        <v>0</v>
      </c>
      <c r="AB161">
        <v>0</v>
      </c>
      <c r="AC161">
        <v>0</v>
      </c>
      <c r="AD161">
        <v>0</v>
      </c>
      <c r="AE161">
        <v>0</v>
      </c>
      <c r="AG161">
        <v>14</v>
      </c>
      <c r="AH161">
        <v>0</v>
      </c>
      <c r="AI161">
        <v>0</v>
      </c>
      <c r="AJ161">
        <v>0</v>
      </c>
      <c r="AK161">
        <v>0</v>
      </c>
      <c r="AL161">
        <v>0</v>
      </c>
      <c r="AM161">
        <v>0</v>
      </c>
      <c r="AN161">
        <v>0</v>
      </c>
      <c r="AO161">
        <v>0</v>
      </c>
      <c r="AP161">
        <v>0</v>
      </c>
      <c r="AQ161">
        <v>0</v>
      </c>
      <c r="AR161">
        <v>0</v>
      </c>
      <c r="AS161">
        <v>0</v>
      </c>
      <c r="AT161">
        <v>0</v>
      </c>
      <c r="AU161">
        <v>0</v>
      </c>
    </row>
  </sheetData>
  <pageMargins left="0.7" right="0.7" top="0.75" bottom="0.75" header="0.3" footer="0.3"/>
  <pageSetup paperSize="0" orientation="portrait" horizontalDpi="0" verticalDpi="0" copie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L186"/>
  <sheetViews>
    <sheetView tabSelected="1" topLeftCell="W1" zoomScale="80" zoomScaleNormal="80" workbookViewId="0">
      <pane ySplit="4" topLeftCell="A5" activePane="bottomLeft" state="frozen"/>
      <selection activeCell="Q1" sqref="Q1"/>
      <selection pane="bottomLeft" activeCell="Y7" sqref="Y7:Y19"/>
    </sheetView>
  </sheetViews>
  <sheetFormatPr defaultRowHeight="15" x14ac:dyDescent="0.25"/>
  <cols>
    <col min="1" max="1" width="10.7109375" bestFit="1" customWidth="1"/>
    <col min="2" max="2" width="17.85546875" bestFit="1" customWidth="1"/>
    <col min="3" max="3" width="10.85546875" bestFit="1" customWidth="1"/>
    <col min="4" max="4" width="8.140625" bestFit="1" customWidth="1"/>
    <col min="5" max="5" width="9.85546875" bestFit="1" customWidth="1"/>
    <col min="6" max="6" width="8.140625" bestFit="1" customWidth="1"/>
    <col min="7" max="7" width="9.85546875" bestFit="1" customWidth="1"/>
    <col min="8" max="8" width="8.140625" bestFit="1" customWidth="1"/>
    <col min="9" max="9" width="9.85546875" bestFit="1" customWidth="1"/>
    <col min="10" max="10" width="8.140625" bestFit="1" customWidth="1"/>
    <col min="11" max="11" width="9.85546875" bestFit="1" customWidth="1"/>
    <col min="12" max="13" width="8.140625" bestFit="1" customWidth="1"/>
    <col min="14" max="14" width="7.28515625" bestFit="1" customWidth="1"/>
    <col min="15" max="15" width="8.140625" bestFit="1" customWidth="1"/>
    <col min="16" max="16" width="10.85546875" bestFit="1" customWidth="1"/>
    <col min="18" max="18" width="13" bestFit="1" customWidth="1"/>
    <col min="19" max="20" width="4.5703125" bestFit="1" customWidth="1"/>
    <col min="21" max="21" width="11.28515625" bestFit="1" customWidth="1"/>
    <col min="22" max="22" width="8.5703125" bestFit="1" customWidth="1"/>
    <col min="23" max="23" width="9.5703125" bestFit="1" customWidth="1"/>
    <col min="25" max="25" width="17.85546875" bestFit="1" customWidth="1"/>
    <col min="26" max="26" width="10.85546875" bestFit="1" customWidth="1"/>
    <col min="27" max="27" width="8.140625" bestFit="1" customWidth="1"/>
    <col min="28" max="28" width="9.85546875" bestFit="1" customWidth="1"/>
    <col min="29" max="29" width="8.140625" bestFit="1" customWidth="1"/>
    <col min="30" max="30" width="9.85546875" bestFit="1" customWidth="1"/>
    <col min="31" max="31" width="8.140625" bestFit="1" customWidth="1"/>
    <col min="32" max="32" width="22.42578125" bestFit="1" customWidth="1"/>
    <col min="33" max="33" width="8.140625" bestFit="1" customWidth="1"/>
    <col min="34" max="35" width="9.85546875" bestFit="1" customWidth="1"/>
    <col min="36" max="36" width="8.5703125" bestFit="1" customWidth="1"/>
    <col min="37" max="37" width="7.28515625" bestFit="1" customWidth="1"/>
    <col min="38" max="38" width="8.140625" bestFit="1" customWidth="1"/>
    <col min="39" max="39" width="10.85546875" bestFit="1" customWidth="1"/>
    <col min="41" max="41" width="17.28515625" bestFit="1" customWidth="1"/>
    <col min="42" max="42" width="10.85546875" bestFit="1" customWidth="1"/>
    <col min="43" max="44" width="9.85546875" bestFit="1" customWidth="1"/>
    <col min="45" max="45" width="8.140625" bestFit="1" customWidth="1"/>
    <col min="46" max="46" width="9.85546875" bestFit="1" customWidth="1"/>
    <col min="47" max="47" width="8.140625" bestFit="1" customWidth="1"/>
    <col min="48" max="48" width="22.42578125" bestFit="1" customWidth="1"/>
    <col min="49" max="49" width="8.140625" bestFit="1" customWidth="1"/>
    <col min="50" max="50" width="9.85546875" bestFit="1" customWidth="1"/>
    <col min="51" max="53" width="8.140625" bestFit="1" customWidth="1"/>
    <col min="54" max="54" width="9.85546875" bestFit="1" customWidth="1"/>
    <col min="55" max="55" width="10.85546875" bestFit="1" customWidth="1"/>
    <col min="57" max="57" width="17.85546875" bestFit="1" customWidth="1"/>
    <col min="58" max="58" width="8" bestFit="1" customWidth="1"/>
    <col min="59" max="59" width="7.42578125" bestFit="1" customWidth="1"/>
    <col min="60" max="60" width="8" bestFit="1" customWidth="1"/>
    <col min="61" max="61" width="7.7109375" bestFit="1" customWidth="1"/>
    <col min="62" max="62" width="8" bestFit="1" customWidth="1"/>
    <col min="63" max="63" width="7.7109375" bestFit="1" customWidth="1"/>
    <col min="64" max="65" width="7.42578125" bestFit="1" customWidth="1"/>
    <col min="66" max="66" width="8.7109375" bestFit="1" customWidth="1"/>
    <col min="67" max="69" width="7.42578125" bestFit="1" customWidth="1"/>
    <col min="70" max="70" width="7.7109375" bestFit="1" customWidth="1"/>
    <col min="71" max="71" width="7.42578125" bestFit="1" customWidth="1"/>
    <col min="73" max="73" width="17.85546875" bestFit="1" customWidth="1"/>
    <col min="74" max="74" width="8" bestFit="1" customWidth="1"/>
    <col min="75" max="75" width="7.42578125" bestFit="1" customWidth="1"/>
    <col min="76" max="76" width="8" bestFit="1" customWidth="1"/>
    <col min="77" max="77" width="7.7109375" bestFit="1" customWidth="1"/>
    <col min="78" max="78" width="8" bestFit="1" customWidth="1"/>
    <col min="79" max="79" width="7.7109375" bestFit="1" customWidth="1"/>
    <col min="80" max="81" width="7.42578125" bestFit="1" customWidth="1"/>
    <col min="82" max="82" width="8.7109375" bestFit="1" customWidth="1"/>
    <col min="83" max="83" width="8.5703125" bestFit="1" customWidth="1"/>
    <col min="84" max="85" width="7.42578125" bestFit="1" customWidth="1"/>
    <col min="86" max="86" width="7.7109375" bestFit="1" customWidth="1"/>
    <col min="87" max="87" width="7.42578125" bestFit="1" customWidth="1"/>
    <col min="89" max="89" width="17.85546875" bestFit="1" customWidth="1"/>
    <col min="90" max="90" width="6.5703125" bestFit="1" customWidth="1"/>
    <col min="91" max="91" width="6.7109375" bestFit="1" customWidth="1"/>
    <col min="92" max="92" width="8" bestFit="1" customWidth="1"/>
    <col min="93" max="93" width="7.7109375" bestFit="1" customWidth="1"/>
    <col min="94" max="94" width="8" bestFit="1" customWidth="1"/>
    <col min="95" max="95" width="7.7109375" bestFit="1" customWidth="1"/>
    <col min="96" max="96" width="6" bestFit="1" customWidth="1"/>
    <col min="97" max="97" width="4.85546875" bestFit="1" customWidth="1"/>
    <col min="98" max="98" width="8.7109375" bestFit="1" customWidth="1"/>
    <col min="99" max="100" width="5.28515625" bestFit="1" customWidth="1"/>
    <col min="101" max="101" width="6.7109375" bestFit="1" customWidth="1"/>
    <col min="102" max="102" width="8" bestFit="1" customWidth="1"/>
    <col min="103" max="103" width="9.5703125" bestFit="1" customWidth="1"/>
    <col min="119" max="119" width="10.140625" bestFit="1" customWidth="1"/>
  </cols>
  <sheetData>
    <row r="1" spans="1:168" ht="28.5" x14ac:dyDescent="0.45">
      <c r="A1" s="174" t="s">
        <v>371</v>
      </c>
      <c r="EG1" s="408" t="s">
        <v>570</v>
      </c>
      <c r="EH1" s="408"/>
      <c r="EI1" s="276">
        <v>1</v>
      </c>
    </row>
    <row r="3" spans="1:168" ht="28.5" x14ac:dyDescent="0.45">
      <c r="B3" s="406" t="s">
        <v>227</v>
      </c>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E3" s="406" t="s">
        <v>201</v>
      </c>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K3" s="407" t="s">
        <v>228</v>
      </c>
      <c r="CL3" s="407"/>
      <c r="CM3" s="407"/>
      <c r="CN3" s="407"/>
      <c r="CO3" s="407"/>
      <c r="CP3" s="407"/>
      <c r="CQ3" s="407"/>
      <c r="CR3" s="407"/>
      <c r="CS3" s="407"/>
      <c r="CT3" s="407"/>
      <c r="CU3" s="407"/>
      <c r="CV3" s="407"/>
      <c r="CW3" s="407"/>
      <c r="CX3" s="407"/>
      <c r="CY3" s="407"/>
      <c r="DA3" s="407" t="s">
        <v>578</v>
      </c>
      <c r="DB3" s="407"/>
      <c r="DC3" s="407"/>
      <c r="DD3" s="407"/>
      <c r="DE3" s="407"/>
      <c r="DF3" s="407"/>
      <c r="DG3" s="407"/>
      <c r="DH3" s="407"/>
      <c r="DI3" s="407"/>
      <c r="DJ3" s="407"/>
      <c r="DK3" s="407"/>
      <c r="DL3" s="407"/>
      <c r="DM3" s="407"/>
      <c r="DN3" s="407"/>
      <c r="DO3" s="407"/>
      <c r="DQ3" s="407" t="s">
        <v>567</v>
      </c>
      <c r="DR3" s="407"/>
      <c r="DS3" s="407"/>
      <c r="DT3" s="407"/>
      <c r="DU3" s="407"/>
      <c r="DV3" s="407"/>
      <c r="DW3" s="407"/>
      <c r="DX3" s="407"/>
      <c r="DY3" s="407"/>
      <c r="DZ3" s="407"/>
      <c r="EA3" s="407"/>
      <c r="EB3" s="407"/>
      <c r="EC3" s="407"/>
      <c r="ED3" s="407"/>
      <c r="EE3" s="407"/>
      <c r="EG3" s="407" t="s">
        <v>568</v>
      </c>
      <c r="EH3" s="407"/>
      <c r="EI3" s="407"/>
      <c r="EJ3" s="407"/>
      <c r="EK3" s="407"/>
      <c r="EL3" s="407"/>
      <c r="EM3" s="407"/>
      <c r="EN3" s="407"/>
      <c r="EO3" s="407"/>
      <c r="EP3" s="407"/>
      <c r="EQ3" s="407"/>
      <c r="ER3" s="407"/>
      <c r="ES3" s="407"/>
      <c r="ET3" s="407"/>
      <c r="EU3" s="407"/>
      <c r="EW3" s="407" t="s">
        <v>582</v>
      </c>
      <c r="EX3" s="407"/>
      <c r="EY3" s="407"/>
      <c r="EZ3" s="407"/>
      <c r="FA3" s="407"/>
      <c r="FB3" s="407"/>
      <c r="FC3" s="407"/>
      <c r="FD3" s="407"/>
      <c r="FE3" s="407"/>
      <c r="FF3" s="407"/>
      <c r="FG3" s="407"/>
      <c r="FH3" s="407"/>
      <c r="FI3" s="407"/>
      <c r="FJ3" s="407"/>
      <c r="FK3" s="407"/>
      <c r="FL3" s="407"/>
    </row>
    <row r="4" spans="1:168" ht="21" x14ac:dyDescent="0.35">
      <c r="B4" s="165" t="s">
        <v>191</v>
      </c>
      <c r="R4" s="409" t="s">
        <v>549</v>
      </c>
      <c r="S4" s="409"/>
      <c r="T4" s="409"/>
      <c r="U4" s="409" t="s">
        <v>550</v>
      </c>
      <c r="V4" s="409"/>
      <c r="W4" s="409"/>
      <c r="X4" s="326"/>
      <c r="Y4" s="165" t="s">
        <v>191</v>
      </c>
      <c r="AN4" s="326"/>
      <c r="AO4" s="165" t="s">
        <v>200</v>
      </c>
      <c r="BE4" s="165" t="s">
        <v>191</v>
      </c>
      <c r="BU4" s="165" t="s">
        <v>200</v>
      </c>
      <c r="CK4" s="165"/>
      <c r="EX4">
        <v>1</v>
      </c>
      <c r="EY4">
        <v>2</v>
      </c>
      <c r="EZ4">
        <v>3</v>
      </c>
      <c r="FA4">
        <v>4</v>
      </c>
      <c r="FB4">
        <v>5</v>
      </c>
      <c r="FC4">
        <v>6</v>
      </c>
      <c r="FD4">
        <v>7</v>
      </c>
      <c r="FE4">
        <v>8</v>
      </c>
      <c r="FG4">
        <v>9</v>
      </c>
      <c r="FH4">
        <v>10</v>
      </c>
      <c r="FI4">
        <v>11</v>
      </c>
      <c r="FJ4">
        <v>12</v>
      </c>
      <c r="FK4">
        <v>13</v>
      </c>
    </row>
    <row r="5" spans="1:168" x14ac:dyDescent="0.25">
      <c r="B5" t="s">
        <v>205</v>
      </c>
      <c r="C5" s="383" t="s">
        <v>206</v>
      </c>
      <c r="D5" s="383"/>
      <c r="E5" s="383"/>
      <c r="F5" s="383"/>
      <c r="G5" s="383"/>
      <c r="H5" s="383"/>
      <c r="I5" s="383"/>
      <c r="J5" s="383"/>
      <c r="K5" s="383"/>
      <c r="L5" s="383"/>
      <c r="M5" s="383"/>
      <c r="N5" s="383"/>
      <c r="O5" s="383"/>
      <c r="P5" s="383"/>
      <c r="R5" s="410"/>
      <c r="S5" s="410"/>
      <c r="T5" s="410"/>
      <c r="U5" s="409"/>
      <c r="V5" s="409"/>
      <c r="W5" s="409"/>
      <c r="X5" s="326"/>
      <c r="Y5" t="s">
        <v>205</v>
      </c>
      <c r="Z5" s="383" t="s">
        <v>206</v>
      </c>
      <c r="AA5" s="383"/>
      <c r="AB5" s="383"/>
      <c r="AC5" s="383"/>
      <c r="AD5" s="383"/>
      <c r="AE5" s="383"/>
      <c r="AF5" s="383"/>
      <c r="AG5" s="383"/>
      <c r="AH5" s="383"/>
      <c r="AI5" s="383"/>
      <c r="AJ5" s="383"/>
      <c r="AK5" s="383"/>
      <c r="AL5" s="383"/>
      <c r="AM5" s="383"/>
      <c r="AN5" s="326"/>
      <c r="AO5" t="s">
        <v>205</v>
      </c>
      <c r="AP5" s="383" t="s">
        <v>206</v>
      </c>
      <c r="AQ5" s="383"/>
      <c r="AR5" s="383"/>
      <c r="AS5" s="383"/>
      <c r="AT5" s="383"/>
      <c r="AU5" s="383"/>
      <c r="AV5" s="383"/>
      <c r="AW5" s="383"/>
      <c r="AX5" s="383"/>
      <c r="AY5" s="383"/>
      <c r="AZ5" s="383"/>
      <c r="BA5" s="383"/>
      <c r="BB5" s="383"/>
      <c r="BC5" s="383"/>
      <c r="BE5" t="s">
        <v>205</v>
      </c>
      <c r="BF5" s="383" t="s">
        <v>206</v>
      </c>
      <c r="BG5" s="383"/>
      <c r="BH5" s="383"/>
      <c r="BI5" s="383"/>
      <c r="BJ5" s="383"/>
      <c r="BK5" s="383"/>
      <c r="BL5" s="383"/>
      <c r="BM5" s="383"/>
      <c r="BN5" s="383"/>
      <c r="BO5" s="383"/>
      <c r="BP5" s="383"/>
      <c r="BQ5" s="383"/>
      <c r="BR5" s="383"/>
      <c r="BS5" s="383"/>
      <c r="BU5" t="s">
        <v>205</v>
      </c>
      <c r="BV5" s="383" t="s">
        <v>206</v>
      </c>
      <c r="BW5" s="383"/>
      <c r="BX5" s="383"/>
      <c r="BY5" s="383"/>
      <c r="BZ5" s="383"/>
      <c r="CA5" s="383"/>
      <c r="CB5" s="383"/>
      <c r="CC5" s="383"/>
      <c r="CD5" s="383"/>
      <c r="CE5" s="383"/>
      <c r="CF5" s="383"/>
      <c r="CG5" s="383"/>
      <c r="CH5" s="383"/>
      <c r="CI5" s="383"/>
      <c r="CK5" t="s">
        <v>205</v>
      </c>
      <c r="CL5" s="383" t="s">
        <v>206</v>
      </c>
      <c r="CM5" s="383"/>
      <c r="CN5" s="383"/>
      <c r="CO5" s="383"/>
      <c r="CP5" s="383"/>
      <c r="CQ5" s="383"/>
      <c r="CR5" s="383"/>
      <c r="CS5" s="383"/>
      <c r="CT5" s="383"/>
      <c r="CU5" s="383"/>
      <c r="CV5" s="383"/>
      <c r="CW5" s="383"/>
      <c r="CX5" s="383"/>
      <c r="CY5" s="383"/>
      <c r="DA5" t="s">
        <v>4</v>
      </c>
      <c r="DB5" s="383" t="s">
        <v>206</v>
      </c>
      <c r="DC5" s="383"/>
      <c r="DD5" s="383"/>
      <c r="DE5" s="383"/>
      <c r="DF5" s="383"/>
      <c r="DG5" s="383"/>
      <c r="DH5" s="383"/>
      <c r="DI5" s="383"/>
      <c r="DJ5" s="383"/>
      <c r="DK5" s="383"/>
      <c r="DL5" s="383"/>
      <c r="DM5" s="383"/>
      <c r="DN5" s="383"/>
      <c r="DO5" s="383"/>
      <c r="DQ5" t="s">
        <v>4</v>
      </c>
      <c r="DR5" s="383" t="s">
        <v>206</v>
      </c>
      <c r="DS5" s="383"/>
      <c r="DT5" s="383"/>
      <c r="DU5" s="383"/>
      <c r="DV5" s="383"/>
      <c r="DW5" s="383"/>
      <c r="DX5" s="383"/>
      <c r="DY5" s="383"/>
      <c r="DZ5" s="383"/>
      <c r="EA5" s="383"/>
      <c r="EB5" s="383"/>
      <c r="EC5" s="383"/>
      <c r="ED5" s="383"/>
      <c r="EE5" s="383"/>
      <c r="EG5" t="s">
        <v>4</v>
      </c>
      <c r="EH5" s="383" t="s">
        <v>206</v>
      </c>
      <c r="EI5" s="383"/>
      <c r="EJ5" s="383"/>
      <c r="EK5" s="383"/>
      <c r="EL5" s="383"/>
      <c r="EM5" s="383"/>
      <c r="EN5" s="383"/>
      <c r="EO5" s="383"/>
      <c r="EP5" s="383"/>
      <c r="EQ5" s="383"/>
      <c r="ER5" s="383"/>
      <c r="ES5" s="383"/>
      <c r="ET5" s="383"/>
      <c r="EU5" s="383"/>
      <c r="EW5" t="s">
        <v>4</v>
      </c>
      <c r="EX5" s="383" t="s">
        <v>207</v>
      </c>
      <c r="EY5" s="383"/>
      <c r="EZ5" s="383"/>
      <c r="FA5" s="383"/>
      <c r="FB5" s="383"/>
      <c r="FC5" s="383"/>
      <c r="FD5" s="383"/>
      <c r="FE5" s="383"/>
      <c r="FF5" s="383"/>
      <c r="FG5" s="383"/>
      <c r="FH5" s="383"/>
      <c r="FI5" s="383"/>
      <c r="FJ5" s="383"/>
      <c r="FK5" s="383"/>
      <c r="FL5" s="383"/>
    </row>
    <row r="6" spans="1:168" ht="35.450000000000003" customHeight="1" x14ac:dyDescent="0.25">
      <c r="B6" s="163" t="s">
        <v>207</v>
      </c>
      <c r="C6" s="164" t="s">
        <v>386</v>
      </c>
      <c r="D6" s="164" t="s">
        <v>387</v>
      </c>
      <c r="E6" s="164" t="s">
        <v>388</v>
      </c>
      <c r="F6" s="164" t="s">
        <v>389</v>
      </c>
      <c r="G6" s="164" t="s">
        <v>390</v>
      </c>
      <c r="H6" s="164" t="s">
        <v>391</v>
      </c>
      <c r="I6" s="164" t="s">
        <v>392</v>
      </c>
      <c r="J6" s="164" t="s">
        <v>393</v>
      </c>
      <c r="K6" s="164" t="s">
        <v>546</v>
      </c>
      <c r="L6" s="164" t="s">
        <v>396</v>
      </c>
      <c r="M6" s="164" t="s">
        <v>397</v>
      </c>
      <c r="N6" s="164" t="s">
        <v>398</v>
      </c>
      <c r="O6" s="164" t="s">
        <v>399</v>
      </c>
      <c r="P6" s="106" t="s">
        <v>29</v>
      </c>
      <c r="R6" s="164" t="s">
        <v>546</v>
      </c>
      <c r="S6" s="164" t="s">
        <v>396</v>
      </c>
      <c r="T6" s="164" t="s">
        <v>397</v>
      </c>
      <c r="U6" s="164" t="s">
        <v>546</v>
      </c>
      <c r="V6" s="164" t="s">
        <v>396</v>
      </c>
      <c r="W6" s="164" t="s">
        <v>397</v>
      </c>
      <c r="X6" s="296"/>
      <c r="Y6" s="163" t="s">
        <v>207</v>
      </c>
      <c r="Z6" s="164" t="s">
        <v>386</v>
      </c>
      <c r="AA6" s="164" t="s">
        <v>387</v>
      </c>
      <c r="AB6" s="164" t="s">
        <v>388</v>
      </c>
      <c r="AC6" s="164" t="s">
        <v>389</v>
      </c>
      <c r="AD6" s="164" t="s">
        <v>390</v>
      </c>
      <c r="AE6" s="164" t="s">
        <v>391</v>
      </c>
      <c r="AF6" s="164" t="s">
        <v>392</v>
      </c>
      <c r="AG6" s="164" t="s">
        <v>393</v>
      </c>
      <c r="AH6" s="164" t="s">
        <v>546</v>
      </c>
      <c r="AI6" s="164" t="s">
        <v>396</v>
      </c>
      <c r="AJ6" s="164" t="s">
        <v>397</v>
      </c>
      <c r="AK6" s="164" t="s">
        <v>398</v>
      </c>
      <c r="AL6" s="164" t="s">
        <v>399</v>
      </c>
      <c r="AM6" s="106" t="s">
        <v>29</v>
      </c>
      <c r="AN6" s="296"/>
      <c r="AO6" s="163" t="s">
        <v>207</v>
      </c>
      <c r="AP6" s="164" t="s">
        <v>386</v>
      </c>
      <c r="AQ6" s="164" t="s">
        <v>387</v>
      </c>
      <c r="AR6" s="164" t="s">
        <v>388</v>
      </c>
      <c r="AS6" s="164" t="s">
        <v>389</v>
      </c>
      <c r="AT6" s="164" t="s">
        <v>390</v>
      </c>
      <c r="AU6" s="164" t="s">
        <v>391</v>
      </c>
      <c r="AV6" s="164" t="s">
        <v>392</v>
      </c>
      <c r="AW6" s="164" t="s">
        <v>393</v>
      </c>
      <c r="AX6" s="164" t="s">
        <v>546</v>
      </c>
      <c r="AY6" s="164" t="s">
        <v>396</v>
      </c>
      <c r="AZ6" s="164" t="s">
        <v>397</v>
      </c>
      <c r="BA6" s="164" t="s">
        <v>398</v>
      </c>
      <c r="BB6" s="164" t="s">
        <v>399</v>
      </c>
      <c r="BC6" s="106" t="s">
        <v>29</v>
      </c>
      <c r="BE6" s="163" t="s">
        <v>207</v>
      </c>
      <c r="BF6" s="164" t="s">
        <v>538</v>
      </c>
      <c r="BG6" s="164"/>
      <c r="BH6" s="164" t="s">
        <v>576</v>
      </c>
      <c r="BI6" s="164"/>
      <c r="BJ6" s="164" t="s">
        <v>577</v>
      </c>
      <c r="BK6" s="164"/>
      <c r="BL6" s="164" t="s">
        <v>392</v>
      </c>
      <c r="BM6" s="164" t="s">
        <v>393</v>
      </c>
      <c r="BN6" s="164" t="s">
        <v>546</v>
      </c>
      <c r="BO6" s="164" t="s">
        <v>396</v>
      </c>
      <c r="BP6" s="164" t="s">
        <v>397</v>
      </c>
      <c r="BQ6" s="164" t="s">
        <v>398</v>
      </c>
      <c r="BR6" s="164" t="s">
        <v>399</v>
      </c>
      <c r="BS6" s="106" t="s">
        <v>29</v>
      </c>
      <c r="BU6" s="163" t="s">
        <v>207</v>
      </c>
      <c r="BV6" s="164" t="s">
        <v>538</v>
      </c>
      <c r="BW6" s="164"/>
      <c r="BX6" s="164" t="s">
        <v>576</v>
      </c>
      <c r="BY6" s="164"/>
      <c r="BZ6" s="164" t="s">
        <v>577</v>
      </c>
      <c r="CA6" s="164"/>
      <c r="CB6" s="164" t="s">
        <v>392</v>
      </c>
      <c r="CC6" s="164" t="s">
        <v>393</v>
      </c>
      <c r="CD6" s="164" t="s">
        <v>546</v>
      </c>
      <c r="CE6" s="164" t="s">
        <v>396</v>
      </c>
      <c r="CF6" s="164" t="s">
        <v>397</v>
      </c>
      <c r="CG6" s="164" t="s">
        <v>398</v>
      </c>
      <c r="CH6" s="164" t="s">
        <v>399</v>
      </c>
      <c r="CI6" s="106" t="s">
        <v>29</v>
      </c>
      <c r="CK6" s="163" t="s">
        <v>207</v>
      </c>
      <c r="CL6" s="164" t="s">
        <v>386</v>
      </c>
      <c r="CM6" s="164" t="s">
        <v>387</v>
      </c>
      <c r="CN6" s="164" t="s">
        <v>388</v>
      </c>
      <c r="CO6" s="164" t="s">
        <v>389</v>
      </c>
      <c r="CP6" s="164" t="s">
        <v>390</v>
      </c>
      <c r="CQ6" s="164" t="s">
        <v>391</v>
      </c>
      <c r="CR6" s="164" t="s">
        <v>392</v>
      </c>
      <c r="CS6" s="164" t="s">
        <v>393</v>
      </c>
      <c r="CT6" s="164" t="s">
        <v>546</v>
      </c>
      <c r="CU6" s="164" t="s">
        <v>396</v>
      </c>
      <c r="CV6" s="164" t="s">
        <v>397</v>
      </c>
      <c r="CW6" s="164" t="s">
        <v>398</v>
      </c>
      <c r="CX6" s="164" t="s">
        <v>399</v>
      </c>
      <c r="CY6" s="106" t="s">
        <v>29</v>
      </c>
      <c r="DA6" s="163" t="s">
        <v>207</v>
      </c>
      <c r="DB6" s="164" t="s">
        <v>538</v>
      </c>
      <c r="DC6" s="164"/>
      <c r="DD6" s="164" t="s">
        <v>576</v>
      </c>
      <c r="DE6" s="164"/>
      <c r="DF6" s="164" t="s">
        <v>577</v>
      </c>
      <c r="DG6" s="164"/>
      <c r="DH6" s="164" t="s">
        <v>392</v>
      </c>
      <c r="DI6" s="164" t="s">
        <v>393</v>
      </c>
      <c r="DJ6" s="164" t="s">
        <v>546</v>
      </c>
      <c r="DK6" s="164" t="s">
        <v>396</v>
      </c>
      <c r="DL6" s="164" t="s">
        <v>397</v>
      </c>
      <c r="DM6" s="164" t="s">
        <v>398</v>
      </c>
      <c r="DN6" s="164" t="s">
        <v>399</v>
      </c>
      <c r="DO6" s="106" t="s">
        <v>29</v>
      </c>
      <c r="DQ6" s="163" t="s">
        <v>207</v>
      </c>
      <c r="DR6" s="164" t="s">
        <v>538</v>
      </c>
      <c r="DS6" s="164"/>
      <c r="DT6" s="164" t="s">
        <v>576</v>
      </c>
      <c r="DU6" s="164"/>
      <c r="DV6" s="164" t="s">
        <v>577</v>
      </c>
      <c r="DW6" s="164"/>
      <c r="DX6" s="164" t="s">
        <v>392</v>
      </c>
      <c r="DY6" s="164" t="s">
        <v>393</v>
      </c>
      <c r="DZ6" s="164" t="s">
        <v>546</v>
      </c>
      <c r="EA6" s="164" t="s">
        <v>396</v>
      </c>
      <c r="EB6" s="164" t="s">
        <v>397</v>
      </c>
      <c r="EC6" s="164" t="s">
        <v>398</v>
      </c>
      <c r="ED6" s="164" t="s">
        <v>399</v>
      </c>
      <c r="EE6" s="106" t="s">
        <v>29</v>
      </c>
      <c r="EG6" s="163" t="s">
        <v>207</v>
      </c>
      <c r="EH6" s="164" t="s">
        <v>538</v>
      </c>
      <c r="EI6" s="164"/>
      <c r="EJ6" s="164" t="s">
        <v>576</v>
      </c>
      <c r="EK6" s="164"/>
      <c r="EL6" s="164" t="s">
        <v>577</v>
      </c>
      <c r="EM6" s="164"/>
      <c r="EN6" s="164" t="s">
        <v>392</v>
      </c>
      <c r="EO6" s="164" t="s">
        <v>393</v>
      </c>
      <c r="EP6" s="164" t="s">
        <v>546</v>
      </c>
      <c r="EQ6" s="164" t="s">
        <v>396</v>
      </c>
      <c r="ER6" s="164" t="s">
        <v>397</v>
      </c>
      <c r="ES6" s="164" t="s">
        <v>398</v>
      </c>
      <c r="ET6" s="164" t="s">
        <v>399</v>
      </c>
      <c r="EU6" s="106" t="s">
        <v>29</v>
      </c>
      <c r="EW6" s="163" t="s">
        <v>206</v>
      </c>
      <c r="EX6" s="164" t="s">
        <v>386</v>
      </c>
      <c r="EY6" s="164" t="s">
        <v>387</v>
      </c>
      <c r="EZ6" s="164" t="s">
        <v>388</v>
      </c>
      <c r="FA6" s="164" t="s">
        <v>389</v>
      </c>
      <c r="FB6" s="164" t="s">
        <v>390</v>
      </c>
      <c r="FC6" s="164" t="s">
        <v>391</v>
      </c>
      <c r="FD6" s="164" t="s">
        <v>392</v>
      </c>
      <c r="FE6" s="164" t="s">
        <v>393</v>
      </c>
      <c r="FF6" s="164"/>
      <c r="FG6" s="164" t="s">
        <v>546</v>
      </c>
      <c r="FH6" s="164" t="s">
        <v>396</v>
      </c>
      <c r="FI6" s="164" t="s">
        <v>397</v>
      </c>
      <c r="FJ6" s="164" t="s">
        <v>398</v>
      </c>
      <c r="FK6" s="164" t="s">
        <v>399</v>
      </c>
      <c r="FL6" s="106" t="s">
        <v>29</v>
      </c>
    </row>
    <row r="7" spans="1:168" x14ac:dyDescent="0.25">
      <c r="B7" s="107" t="s">
        <v>386</v>
      </c>
      <c r="C7" s="160">
        <f>TripMode_inputCBD!B4</f>
        <v>388418.58111999999</v>
      </c>
      <c r="D7" s="160">
        <f>TripMode_inputCBD!C4</f>
        <v>19226.428629999999</v>
      </c>
      <c r="E7" s="160">
        <f>TripMode_inputCBD!D4</f>
        <v>64291.640079999997</v>
      </c>
      <c r="F7" s="160">
        <f>TripMode_inputCBD!E4</f>
        <v>883.28647999999998</v>
      </c>
      <c r="G7" s="160">
        <f>TripMode_inputCBD!F4</f>
        <v>22169.38078</v>
      </c>
      <c r="H7" s="160">
        <f>TripMode_inputCBD!G4</f>
        <v>462.80885000000001</v>
      </c>
      <c r="I7" s="294"/>
      <c r="J7" s="294"/>
      <c r="K7" s="294"/>
      <c r="L7" s="294"/>
      <c r="M7" s="294"/>
      <c r="N7" s="294"/>
      <c r="O7" s="294"/>
      <c r="P7" s="161">
        <f t="shared" ref="P7:P19" si="0">SUM(C7:O7)</f>
        <v>495452.12593999994</v>
      </c>
      <c r="R7">
        <f>K7/K$15</f>
        <v>0</v>
      </c>
      <c r="S7">
        <f>L7/L$16</f>
        <v>0</v>
      </c>
      <c r="T7">
        <f>M7/M$17</f>
        <v>0</v>
      </c>
      <c r="Y7" s="107" t="s">
        <v>386</v>
      </c>
      <c r="Z7" s="160">
        <f>+C7</f>
        <v>388418.58111999999</v>
      </c>
      <c r="AA7" s="160">
        <f t="shared" ref="AA7:AF13" si="1">+D7</f>
        <v>19226.428629999999</v>
      </c>
      <c r="AB7" s="160">
        <f t="shared" si="1"/>
        <v>64291.640079999997</v>
      </c>
      <c r="AC7" s="160">
        <f t="shared" si="1"/>
        <v>883.28647999999998</v>
      </c>
      <c r="AD7" s="160">
        <f t="shared" si="1"/>
        <v>22169.38078</v>
      </c>
      <c r="AE7" s="160">
        <f t="shared" si="1"/>
        <v>462.80885000000001</v>
      </c>
      <c r="AF7" s="294"/>
      <c r="AG7" s="294"/>
      <c r="AH7" s="294"/>
      <c r="AI7" s="294"/>
      <c r="AJ7" s="294"/>
      <c r="AK7" s="294"/>
      <c r="AL7" s="294"/>
      <c r="AM7" s="161">
        <f t="shared" ref="AM7:AM19" si="2">SUM(Z7:AL7)</f>
        <v>495452.12593999994</v>
      </c>
      <c r="AO7" s="107" t="s">
        <v>386</v>
      </c>
      <c r="AP7" s="160">
        <f>TripMode_inputCBD!R4*Index!$B$2</f>
        <v>214370</v>
      </c>
      <c r="AQ7" s="160">
        <f>TripMode_inputCBD!S4*Index!$B$2</f>
        <v>20840</v>
      </c>
      <c r="AR7" s="160">
        <f>TripMode_inputCBD!T4*Index!$B$2</f>
        <v>6995</v>
      </c>
      <c r="AS7" s="160">
        <f>TripMode_inputCBD!U4*Index!$B$2</f>
        <v>765</v>
      </c>
      <c r="AT7" s="160">
        <f>TripMode_inputCBD!V4*Index!$B$2</f>
        <v>24205</v>
      </c>
      <c r="AU7" s="160">
        <f>TripMode_inputCBD!W4*Index!$B$2</f>
        <v>3150</v>
      </c>
      <c r="AV7" s="294">
        <f>TripMode_inputCBD!X4*Index!$B$2</f>
        <v>0</v>
      </c>
      <c r="AW7" s="294">
        <f>TripMode_inputCBD!Y4*Index!$B$2</f>
        <v>0</v>
      </c>
      <c r="AX7" s="294">
        <f>TripMode_inputCBD!AA4*Index!$B$2</f>
        <v>0</v>
      </c>
      <c r="AY7" s="294">
        <f>TripMode_inputCBD!AB4*Index!$B$2</f>
        <v>0</v>
      </c>
      <c r="AZ7" s="160">
        <f>TripMode_inputCBD!AC4*Index!$B$2</f>
        <v>0</v>
      </c>
      <c r="BA7" s="294">
        <f>TripMode_inputCBD!AD4*Index!$B$2</f>
        <v>0</v>
      </c>
      <c r="BB7" s="294">
        <f>TripMode_inputCBD!AE4*Index!$B$2</f>
        <v>0</v>
      </c>
      <c r="BC7" s="161">
        <f t="shared" ref="BC7:BC19" si="3">SUM(AP7:BB7)</f>
        <v>270325</v>
      </c>
      <c r="BE7" s="107" t="s">
        <v>538</v>
      </c>
      <c r="BF7" s="166">
        <f>IF(Z$20+AA$20&gt;0,SUM(Z7:AA8)/(Z$20+AA$20),"")</f>
        <v>0.99999999999999989</v>
      </c>
      <c r="BG7" s="166"/>
      <c r="BH7" s="166">
        <f>IF(AB$20+AC$20&gt;0,SUM(AB7:AC8)/(AB$20+AC$20),"")</f>
        <v>0.409311703779416</v>
      </c>
      <c r="BI7" s="166"/>
      <c r="BJ7" s="166">
        <f>IF(AD$20+AE$20&gt;0,SUM(AD7:AE8)/(AD$20+AE$20),"")</f>
        <v>0.34621103888671956</v>
      </c>
      <c r="BK7" s="166"/>
      <c r="BL7" s="166">
        <f t="shared" ref="BL7:BS7" si="4">IF(AF$20&gt;0,(AF7+AF8)/AF$20,"")</f>
        <v>0</v>
      </c>
      <c r="BM7" s="166">
        <f t="shared" si="4"/>
        <v>0</v>
      </c>
      <c r="BN7" s="166">
        <f t="shared" si="4"/>
        <v>0</v>
      </c>
      <c r="BO7" s="166">
        <f t="shared" si="4"/>
        <v>0</v>
      </c>
      <c r="BP7" s="166">
        <f t="shared" si="4"/>
        <v>0</v>
      </c>
      <c r="BQ7" s="166">
        <f t="shared" si="4"/>
        <v>0</v>
      </c>
      <c r="BR7" s="166">
        <f t="shared" si="4"/>
        <v>0</v>
      </c>
      <c r="BS7" s="166">
        <f t="shared" si="4"/>
        <v>0.37140343833610667</v>
      </c>
      <c r="BU7" s="107" t="s">
        <v>538</v>
      </c>
      <c r="BV7" s="166">
        <f>IF(AP$20+AQ$20&gt;0,SUM(AP7:AQ8)/(AP$20+AQ$20),"")</f>
        <v>1</v>
      </c>
      <c r="BW7" s="166"/>
      <c r="BX7" s="166">
        <f>IF(AR$20+AS$20&gt;0,SUM(AR7:AS8)/(AR$20+AS$20),"")</f>
        <v>0.32856846902838199</v>
      </c>
      <c r="BY7" s="166"/>
      <c r="BZ7" s="166">
        <f>IF(AT$20+AU$20&gt;0,SUM(AT7:AU8)/(AT$20+AU$20),"")</f>
        <v>0.37355382704751944</v>
      </c>
      <c r="CA7" s="166"/>
      <c r="CB7" s="166">
        <f t="shared" ref="CB7:CI7" si="5">IF(AV$20&gt;0,(AV7+AV8)/AV$20,"")</f>
        <v>0</v>
      </c>
      <c r="CC7" s="166">
        <f t="shared" si="5"/>
        <v>0</v>
      </c>
      <c r="CD7" s="166">
        <f t="shared" si="5"/>
        <v>0</v>
      </c>
      <c r="CE7" s="166">
        <f t="shared" si="5"/>
        <v>0</v>
      </c>
      <c r="CF7" s="166">
        <f t="shared" si="5"/>
        <v>0</v>
      </c>
      <c r="CG7" s="166">
        <f t="shared" si="5"/>
        <v>0</v>
      </c>
      <c r="CH7" s="166" t="str">
        <f t="shared" si="5"/>
        <v/>
      </c>
      <c r="CI7" s="166">
        <f t="shared" si="5"/>
        <v>0.30752414731535388</v>
      </c>
      <c r="CK7" s="107" t="s">
        <v>386</v>
      </c>
      <c r="CL7" s="166">
        <f t="shared" ref="CL7:CO10" si="6">IF(OR(ISNA(BF7),BF7=0,BF7=""),"",(BV7-BF7)/BF7)</f>
        <v>1.1102230246251565E-16</v>
      </c>
      <c r="CM7" s="166" t="str">
        <f t="shared" si="6"/>
        <v/>
      </c>
      <c r="CN7" s="166">
        <f t="shared" si="6"/>
        <v>-0.19726588320217617</v>
      </c>
      <c r="CO7" s="166" t="str">
        <f t="shared" si="6"/>
        <v/>
      </c>
      <c r="CP7" s="166"/>
      <c r="CQ7" s="166"/>
      <c r="CR7" s="166"/>
      <c r="CS7" s="166"/>
      <c r="CT7" s="166" t="str">
        <f t="shared" ref="CT7:CY10" si="7">IF(OR(ISNA(BN7),BN7=0,BN7=""),"",(CD7-BN7)/BN7)</f>
        <v/>
      </c>
      <c r="CU7" s="166" t="str">
        <f t="shared" si="7"/>
        <v/>
      </c>
      <c r="CV7" s="166" t="str">
        <f t="shared" si="7"/>
        <v/>
      </c>
      <c r="CW7" s="166" t="str">
        <f t="shared" si="7"/>
        <v/>
      </c>
      <c r="CX7" s="166" t="str">
        <f t="shared" si="7"/>
        <v/>
      </c>
      <c r="CY7" s="167">
        <f t="shared" si="7"/>
        <v>-0.17199434476679332</v>
      </c>
      <c r="DA7" s="107" t="s">
        <v>538</v>
      </c>
      <c r="DB7" s="314">
        <f>IFERROR(IF(BV7&gt;0,LN(BF7/BV7),0),0)</f>
        <v>-1.1102230246251565E-16</v>
      </c>
      <c r="DC7" s="314"/>
      <c r="DD7" s="314">
        <f>IFERROR(IF(BX7&gt;0,LN(BH7/BX7),0),0)</f>
        <v>0.21973173219664419</v>
      </c>
      <c r="DE7" s="314"/>
      <c r="DF7" s="314">
        <f>IFERROR(IF(BZ7&gt;0,LN(BJ7/BZ7),0),0)</f>
        <v>-7.6013581344162542E-2</v>
      </c>
      <c r="DG7" s="314"/>
      <c r="DH7" s="315"/>
      <c r="DI7" s="315"/>
      <c r="DJ7" s="315"/>
      <c r="DK7" s="315"/>
      <c r="DL7" s="314">
        <f>IFERROR(IF(CF7&gt;0,LN(BP7/CF7),0),0)</f>
        <v>0</v>
      </c>
      <c r="DM7" s="315"/>
      <c r="DN7" s="315"/>
      <c r="DO7" s="167"/>
      <c r="DQ7" s="107" t="s">
        <v>538</v>
      </c>
      <c r="DR7" s="314">
        <v>0</v>
      </c>
      <c r="DS7" s="314">
        <v>0</v>
      </c>
      <c r="DT7" s="314">
        <v>0</v>
      </c>
      <c r="DU7" s="314">
        <v>0</v>
      </c>
      <c r="DV7" s="314">
        <v>0</v>
      </c>
      <c r="DW7" s="314">
        <v>0</v>
      </c>
      <c r="DX7" s="315"/>
      <c r="DY7" s="315"/>
      <c r="DZ7" s="315"/>
      <c r="EA7" s="315"/>
      <c r="EB7" s="314">
        <v>0</v>
      </c>
      <c r="EC7" s="315"/>
      <c r="ED7" s="315"/>
      <c r="EE7" s="167"/>
      <c r="EG7" s="107" t="s">
        <v>538</v>
      </c>
      <c r="EH7" s="314">
        <v>0</v>
      </c>
      <c r="EI7" s="314">
        <v>0</v>
      </c>
      <c r="EJ7" s="314">
        <v>0</v>
      </c>
      <c r="EK7" s="314">
        <v>0</v>
      </c>
      <c r="EL7" s="314">
        <v>0</v>
      </c>
      <c r="EM7" s="314">
        <v>0</v>
      </c>
      <c r="EN7" s="315"/>
      <c r="EO7" s="315"/>
      <c r="EP7" s="315"/>
      <c r="EQ7" s="315"/>
      <c r="ER7" s="314">
        <f>EB7+(DL7-DL$17)*$EI$1</f>
        <v>0</v>
      </c>
      <c r="ES7" s="315"/>
      <c r="ET7" s="315"/>
      <c r="EU7" s="167"/>
      <c r="EW7" s="164" t="s">
        <v>386</v>
      </c>
      <c r="EX7" s="316">
        <f>INDEX($EH$7:$ET$19,EX$4,MATCH($EW7,$EW$7:$EW$19,0))</f>
        <v>0</v>
      </c>
      <c r="EY7" s="316">
        <f t="shared" ref="EY7:FK19" si="8">INDEX($EH$7:$ET$19,EY$4,MATCH($EW7,$EW$7:$EW$19,0))</f>
        <v>0</v>
      </c>
      <c r="EZ7" s="316">
        <f t="shared" si="8"/>
        <v>0</v>
      </c>
      <c r="FA7" s="316">
        <f t="shared" si="8"/>
        <v>0</v>
      </c>
      <c r="FB7" s="316">
        <f t="shared" si="8"/>
        <v>0</v>
      </c>
      <c r="FC7" s="316">
        <f t="shared" si="8"/>
        <v>0</v>
      </c>
      <c r="FD7" s="316">
        <f t="shared" si="8"/>
        <v>0</v>
      </c>
      <c r="FE7" s="316">
        <f t="shared" si="8"/>
        <v>0</v>
      </c>
      <c r="FF7" s="316"/>
      <c r="FG7" s="316">
        <f t="shared" si="8"/>
        <v>0</v>
      </c>
      <c r="FH7" s="316">
        <f t="shared" si="8"/>
        <v>0</v>
      </c>
      <c r="FI7" s="316">
        <f t="shared" si="8"/>
        <v>0</v>
      </c>
      <c r="FJ7" s="316">
        <f t="shared" si="8"/>
        <v>0</v>
      </c>
      <c r="FK7" s="316">
        <f t="shared" si="8"/>
        <v>0</v>
      </c>
      <c r="FL7" s="167"/>
    </row>
    <row r="8" spans="1:168" x14ac:dyDescent="0.25">
      <c r="B8" s="107" t="s">
        <v>387</v>
      </c>
      <c r="C8" s="160">
        <f>TripMode_inputCBD!B5</f>
        <v>0</v>
      </c>
      <c r="D8" s="160">
        <f>TripMode_inputCBD!C5</f>
        <v>16884.050609999998</v>
      </c>
      <c r="E8" s="160">
        <f>TripMode_inputCBD!D5</f>
        <v>0</v>
      </c>
      <c r="F8" s="160">
        <f>TripMode_inputCBD!E5</f>
        <v>662.54885999999999</v>
      </c>
      <c r="G8" s="160">
        <f>TripMode_inputCBD!F5</f>
        <v>0</v>
      </c>
      <c r="H8" s="160">
        <f>TripMode_inputCBD!G5</f>
        <v>70.804150000000007</v>
      </c>
      <c r="I8" s="294"/>
      <c r="J8" s="294"/>
      <c r="K8" s="294"/>
      <c r="L8" s="294"/>
      <c r="M8" s="294"/>
      <c r="N8" s="294"/>
      <c r="O8" s="294"/>
      <c r="P8" s="162">
        <f t="shared" si="0"/>
        <v>17617.403619999997</v>
      </c>
      <c r="R8">
        <f t="shared" ref="R8:R19" si="9">K8/K$15</f>
        <v>0</v>
      </c>
      <c r="S8">
        <f t="shared" ref="S8:S19" si="10">L8/L$16</f>
        <v>0</v>
      </c>
      <c r="T8">
        <f t="shared" ref="T8:T19" si="11">M8/M$17</f>
        <v>0</v>
      </c>
      <c r="Y8" s="107" t="s">
        <v>387</v>
      </c>
      <c r="Z8" s="160">
        <f>+C8</f>
        <v>0</v>
      </c>
      <c r="AA8" s="160">
        <f t="shared" si="1"/>
        <v>16884.050609999998</v>
      </c>
      <c r="AB8" s="160">
        <f t="shared" si="1"/>
        <v>0</v>
      </c>
      <c r="AC8" s="160">
        <f t="shared" si="1"/>
        <v>662.54885999999999</v>
      </c>
      <c r="AD8" s="160">
        <f t="shared" si="1"/>
        <v>0</v>
      </c>
      <c r="AE8" s="160">
        <f t="shared" si="1"/>
        <v>70.804150000000007</v>
      </c>
      <c r="AF8" s="294"/>
      <c r="AG8" s="294"/>
      <c r="AH8" s="294"/>
      <c r="AI8" s="294"/>
      <c r="AJ8" s="294"/>
      <c r="AK8" s="294"/>
      <c r="AL8" s="294"/>
      <c r="AM8" s="162">
        <f t="shared" si="2"/>
        <v>17617.403619999997</v>
      </c>
      <c r="AO8" s="107" t="s">
        <v>387</v>
      </c>
      <c r="AP8" s="160">
        <f>TripMode_inputCBD!R5*Index!$B$2</f>
        <v>1665</v>
      </c>
      <c r="AQ8" s="160">
        <f>TripMode_inputCBD!S5*Index!$B$2</f>
        <v>2340</v>
      </c>
      <c r="AR8" s="160">
        <f>TripMode_inputCBD!T5*Index!$B$2</f>
        <v>95</v>
      </c>
      <c r="AS8" s="160">
        <f>TripMode_inputCBD!U5*Index!$B$2</f>
        <v>75</v>
      </c>
      <c r="AT8" s="160">
        <f>TripMode_inputCBD!V5*Index!$B$2</f>
        <v>515</v>
      </c>
      <c r="AU8" s="160">
        <f>TripMode_inputCBD!W5*Index!$B$2</f>
        <v>705</v>
      </c>
      <c r="AV8" s="294">
        <f>TripMode_inputCBD!X5*Index!$B$2</f>
        <v>0</v>
      </c>
      <c r="AW8" s="294">
        <f>TripMode_inputCBD!Y5*Index!$B$2</f>
        <v>0</v>
      </c>
      <c r="AX8" s="294">
        <f>TripMode_inputCBD!AA5*Index!$B$2</f>
        <v>0</v>
      </c>
      <c r="AY8" s="294">
        <f>TripMode_inputCBD!AB5*Index!$B$2</f>
        <v>0</v>
      </c>
      <c r="AZ8" s="160">
        <f>TripMode_inputCBD!AC5*Index!$B$2</f>
        <v>0</v>
      </c>
      <c r="BA8" s="294">
        <f>TripMode_inputCBD!AD5*Index!$B$2</f>
        <v>0</v>
      </c>
      <c r="BB8" s="294">
        <f>TripMode_inputCBD!AE5*Index!$B$2</f>
        <v>0</v>
      </c>
      <c r="BC8" s="162">
        <f t="shared" si="3"/>
        <v>5395</v>
      </c>
      <c r="BE8" s="107"/>
      <c r="BF8" s="166"/>
      <c r="BG8" s="166"/>
      <c r="BH8" s="166"/>
      <c r="BI8" s="166"/>
      <c r="BJ8" s="166"/>
      <c r="BK8" s="166"/>
      <c r="BL8" s="166"/>
      <c r="BM8" s="166"/>
      <c r="BN8" s="166"/>
      <c r="BO8" s="166"/>
      <c r="BP8" s="166"/>
      <c r="BQ8" s="166"/>
      <c r="BR8" s="166"/>
      <c r="BS8" s="166"/>
      <c r="BU8" s="107"/>
      <c r="BV8" s="166"/>
      <c r="BW8" s="166"/>
      <c r="BX8" s="166"/>
      <c r="BY8" s="166"/>
      <c r="BZ8" s="166"/>
      <c r="CA8" s="166"/>
      <c r="CB8" s="166"/>
      <c r="CC8" s="166"/>
      <c r="CD8" s="166"/>
      <c r="CE8" s="166"/>
      <c r="CF8" s="166"/>
      <c r="CG8" s="166"/>
      <c r="CH8" s="166"/>
      <c r="CI8" s="166"/>
      <c r="CK8" s="107" t="s">
        <v>387</v>
      </c>
      <c r="CL8" s="166" t="str">
        <f t="shared" si="6"/>
        <v/>
      </c>
      <c r="CM8" s="166" t="str">
        <f t="shared" si="6"/>
        <v/>
      </c>
      <c r="CN8" s="166" t="str">
        <f t="shared" si="6"/>
        <v/>
      </c>
      <c r="CO8" s="166" t="str">
        <f t="shared" si="6"/>
        <v/>
      </c>
      <c r="CP8" s="166"/>
      <c r="CQ8" s="166"/>
      <c r="CR8" s="166"/>
      <c r="CS8" s="166"/>
      <c r="CT8" s="166" t="str">
        <f t="shared" si="7"/>
        <v/>
      </c>
      <c r="CU8" s="166" t="str">
        <f t="shared" si="7"/>
        <v/>
      </c>
      <c r="CV8" s="166" t="str">
        <f t="shared" si="7"/>
        <v/>
      </c>
      <c r="CW8" s="166" t="str">
        <f t="shared" si="7"/>
        <v/>
      </c>
      <c r="CX8" s="166" t="str">
        <f t="shared" si="7"/>
        <v/>
      </c>
      <c r="CY8" s="168" t="str">
        <f t="shared" si="7"/>
        <v/>
      </c>
      <c r="DA8" s="107"/>
      <c r="DB8" s="314"/>
      <c r="DC8" s="314"/>
      <c r="DD8" s="314"/>
      <c r="DE8" s="314"/>
      <c r="DF8" s="314"/>
      <c r="DG8" s="314"/>
      <c r="DH8" s="315"/>
      <c r="DI8" s="315"/>
      <c r="DJ8" s="315"/>
      <c r="DK8" s="315"/>
      <c r="DL8" s="314"/>
      <c r="DM8" s="315"/>
      <c r="DN8" s="315"/>
      <c r="DO8" s="168"/>
      <c r="DQ8" s="107"/>
      <c r="DR8" s="314">
        <v>0</v>
      </c>
      <c r="DS8" s="314">
        <v>0</v>
      </c>
      <c r="DT8" s="314">
        <v>0</v>
      </c>
      <c r="DU8" s="314">
        <v>0</v>
      </c>
      <c r="DV8" s="314">
        <v>0</v>
      </c>
      <c r="DW8" s="314">
        <v>0</v>
      </c>
      <c r="DX8" s="315"/>
      <c r="DY8" s="315"/>
      <c r="DZ8" s="315"/>
      <c r="EA8" s="315"/>
      <c r="EB8" s="314">
        <v>0</v>
      </c>
      <c r="EC8" s="315"/>
      <c r="ED8" s="315"/>
      <c r="EE8" s="168"/>
      <c r="EG8" s="107"/>
      <c r="EH8" s="314">
        <v>0</v>
      </c>
      <c r="EI8" s="314">
        <v>0</v>
      </c>
      <c r="EJ8" s="314">
        <v>0</v>
      </c>
      <c r="EK8" s="314">
        <v>0</v>
      </c>
      <c r="EL8" s="314">
        <v>0</v>
      </c>
      <c r="EM8" s="314">
        <v>0</v>
      </c>
      <c r="EN8" s="315"/>
      <c r="EO8" s="315"/>
      <c r="EP8" s="315"/>
      <c r="EQ8" s="315"/>
      <c r="ER8" s="314">
        <f>EB7+(DL7-DL$17)*$EI$1</f>
        <v>0</v>
      </c>
      <c r="ES8" s="315"/>
      <c r="ET8" s="315"/>
      <c r="EU8" s="168"/>
      <c r="EW8" s="164" t="s">
        <v>387</v>
      </c>
      <c r="EX8" s="316">
        <f t="shared" ref="EX8:EX19" si="12">INDEX($EH$7:$ET$19,EX$4,MATCH($EW8,$EW$7:$EW$19,0))</f>
        <v>0</v>
      </c>
      <c r="EY8" s="316">
        <f t="shared" si="8"/>
        <v>0</v>
      </c>
      <c r="EZ8" s="316">
        <f t="shared" si="8"/>
        <v>0</v>
      </c>
      <c r="FA8" s="316">
        <f t="shared" si="8"/>
        <v>0</v>
      </c>
      <c r="FB8" s="316">
        <f t="shared" si="8"/>
        <v>0</v>
      </c>
      <c r="FC8" s="316">
        <f t="shared" si="8"/>
        <v>0</v>
      </c>
      <c r="FD8" s="316">
        <f t="shared" si="8"/>
        <v>0</v>
      </c>
      <c r="FE8" s="316">
        <f t="shared" si="8"/>
        <v>0</v>
      </c>
      <c r="FF8" s="316"/>
      <c r="FG8" s="316">
        <f t="shared" si="8"/>
        <v>0</v>
      </c>
      <c r="FH8" s="316">
        <f t="shared" si="8"/>
        <v>0</v>
      </c>
      <c r="FI8" s="316">
        <f t="shared" si="8"/>
        <v>0</v>
      </c>
      <c r="FJ8" s="316">
        <f t="shared" si="8"/>
        <v>0</v>
      </c>
      <c r="FK8" s="316">
        <f t="shared" si="8"/>
        <v>0</v>
      </c>
      <c r="FL8" s="168"/>
    </row>
    <row r="9" spans="1:168" x14ac:dyDescent="0.25">
      <c r="B9" s="107" t="s">
        <v>388</v>
      </c>
      <c r="C9" s="294"/>
      <c r="D9" s="294"/>
      <c r="E9" s="160">
        <f>TripMode_inputCBD!D6</f>
        <v>88381.097500000003</v>
      </c>
      <c r="F9" s="160">
        <f>TripMode_inputCBD!E6</f>
        <v>645.45622000000003</v>
      </c>
      <c r="G9" s="160">
        <f>TripMode_inputCBD!F6</f>
        <v>13039.621429999999</v>
      </c>
      <c r="H9" s="160">
        <f>TripMode_inputCBD!G6</f>
        <v>331.41672999999997</v>
      </c>
      <c r="I9" s="294"/>
      <c r="J9" s="294"/>
      <c r="K9" s="160">
        <f>TripMode_inputCBD!K6+TripMode_inputCBD!J6</f>
        <v>17443.846089999999</v>
      </c>
      <c r="L9" s="294"/>
      <c r="M9" s="294"/>
      <c r="N9" s="160">
        <f>TripMode_inputCBD!N6</f>
        <v>1816.8508300000001</v>
      </c>
      <c r="O9" s="294"/>
      <c r="P9" s="162">
        <f t="shared" si="0"/>
        <v>121658.28879999999</v>
      </c>
      <c r="R9">
        <f t="shared" si="9"/>
        <v>4.0783051388832488E-2</v>
      </c>
      <c r="S9">
        <f t="shared" si="10"/>
        <v>0</v>
      </c>
      <c r="T9">
        <f t="shared" si="11"/>
        <v>0</v>
      </c>
      <c r="Y9" s="107" t="s">
        <v>388</v>
      </c>
      <c r="Z9" s="294"/>
      <c r="AA9" s="294"/>
      <c r="AB9" s="160">
        <f t="shared" si="1"/>
        <v>88381.097500000003</v>
      </c>
      <c r="AC9" s="160">
        <f t="shared" si="1"/>
        <v>645.45622000000003</v>
      </c>
      <c r="AD9" s="160">
        <f t="shared" si="1"/>
        <v>13039.621429999999</v>
      </c>
      <c r="AE9" s="160">
        <f t="shared" si="1"/>
        <v>331.41672999999997</v>
      </c>
      <c r="AF9" s="294"/>
      <c r="AG9" s="294"/>
      <c r="AH9" s="160">
        <f>AH15*R9</f>
        <v>16723.244929704335</v>
      </c>
      <c r="AI9" s="294"/>
      <c r="AJ9" s="294"/>
      <c r="AK9" s="160">
        <f>+N9</f>
        <v>1816.8508300000001</v>
      </c>
      <c r="AL9" s="294"/>
      <c r="AM9" s="162">
        <f t="shared" si="2"/>
        <v>120937.68763970432</v>
      </c>
      <c r="AO9" s="107" t="s">
        <v>388</v>
      </c>
      <c r="AP9" s="294">
        <f>TripMode_inputCBD!R6*Index!$B$2</f>
        <v>0</v>
      </c>
      <c r="AQ9" s="294">
        <f>TripMode_inputCBD!S6*Index!$B$2</f>
        <v>0</v>
      </c>
      <c r="AR9" s="160">
        <f>TripMode_inputCBD!T6*Index!$B$2</f>
        <v>11155</v>
      </c>
      <c r="AS9" s="160">
        <f>TripMode_inputCBD!U6*Index!$B$2</f>
        <v>1170</v>
      </c>
      <c r="AT9" s="160">
        <f>TripMode_inputCBD!V6*Index!$B$2</f>
        <v>10930</v>
      </c>
      <c r="AU9" s="160">
        <f>TripMode_inputCBD!W6*Index!$B$2</f>
        <v>1365</v>
      </c>
      <c r="AV9" s="294">
        <f>TripMode_inputCBD!X6*Index!$B$2</f>
        <v>0</v>
      </c>
      <c r="AW9" s="294">
        <f>TripMode_inputCBD!Y6*Index!$B$2</f>
        <v>0</v>
      </c>
      <c r="AX9" s="160">
        <f>TripMode_inputCBD!AA6*Index!$B$2</f>
        <v>11330</v>
      </c>
      <c r="AY9" s="160">
        <f>TripMode_inputCBD!AB6*Index!$B$2</f>
        <v>0</v>
      </c>
      <c r="AZ9" s="160">
        <f>TripMode_inputCBD!AC6*Index!$B$2</f>
        <v>0</v>
      </c>
      <c r="BA9" s="160">
        <f>TripMode_inputCBD!AD6*Index!$B$2</f>
        <v>390</v>
      </c>
      <c r="BB9" s="294">
        <f>TripMode_inputCBD!AE6*Index!$B$2</f>
        <v>0</v>
      </c>
      <c r="BC9" s="162">
        <f t="shared" si="3"/>
        <v>36340</v>
      </c>
      <c r="BE9" s="107" t="s">
        <v>576</v>
      </c>
      <c r="BF9" s="166">
        <f>IF(Z$20+AA$20&gt;0,SUM(Z9:AA10)/(Z$20+AA$20),"")</f>
        <v>0</v>
      </c>
      <c r="BG9" s="166"/>
      <c r="BH9" s="166">
        <f>IF(AB$20+AC$20&gt;0,SUM(AB9:AC10)/(AB$20+AC$20),"")</f>
        <v>0.55451791522705485</v>
      </c>
      <c r="BI9" s="166"/>
      <c r="BJ9" s="166">
        <f>IF(AD$20+AE$20&gt;0,SUM(AD9:AE10)/(AD$20+AE$20),"")</f>
        <v>0.20854694245508362</v>
      </c>
      <c r="BK9" s="166"/>
      <c r="BL9" s="166">
        <f t="shared" ref="BL9:BS9" si="13">IF(AF$20&gt;0,(AF9+AF10)/AF$20,"")</f>
        <v>0</v>
      </c>
      <c r="BM9" s="166">
        <f t="shared" si="13"/>
        <v>0</v>
      </c>
      <c r="BN9" s="166">
        <f t="shared" si="13"/>
        <v>3.3556951344997706E-2</v>
      </c>
      <c r="BO9" s="166">
        <f t="shared" si="13"/>
        <v>0</v>
      </c>
      <c r="BP9" s="166">
        <f t="shared" si="13"/>
        <v>0</v>
      </c>
      <c r="BQ9" s="166">
        <f t="shared" si="13"/>
        <v>0.14420402091598261</v>
      </c>
      <c r="BR9" s="166">
        <f t="shared" si="13"/>
        <v>0</v>
      </c>
      <c r="BS9" s="166">
        <f t="shared" si="13"/>
        <v>8.7886517398833477E-2</v>
      </c>
      <c r="BU9" s="107" t="s">
        <v>576</v>
      </c>
      <c r="BV9" s="166">
        <f>IF(AP$20+AQ$20&gt;0,SUM(AP9:AQ10)/(AP$20+AQ$20),"")</f>
        <v>0</v>
      </c>
      <c r="BW9" s="166"/>
      <c r="BX9" s="166">
        <f>IF(AR$20+AS$20&gt;0,SUM(AR9:AS10)/(AR$20+AS$20),"")</f>
        <v>0.51750569712036465</v>
      </c>
      <c r="BY9" s="166"/>
      <c r="BZ9" s="166">
        <f>IF(AT$20+AU$20&gt;0,SUM(AT9:AU10)/(AT$20+AU$20),"")</f>
        <v>0.16615465063076018</v>
      </c>
      <c r="CA9" s="166"/>
      <c r="CB9" s="166">
        <f t="shared" ref="CB9:CI9" si="14">IF(AV$20&gt;0,(AV9+AV10)/AV$20,"")</f>
        <v>0</v>
      </c>
      <c r="CC9" s="166">
        <f t="shared" si="14"/>
        <v>0</v>
      </c>
      <c r="CD9" s="166">
        <f t="shared" si="14"/>
        <v>3.2581523248708402E-2</v>
      </c>
      <c r="CE9" s="166">
        <f t="shared" si="14"/>
        <v>0</v>
      </c>
      <c r="CF9" s="166">
        <f t="shared" si="14"/>
        <v>0</v>
      </c>
      <c r="CG9" s="166">
        <f t="shared" si="14"/>
        <v>0.10579345088161209</v>
      </c>
      <c r="CH9" s="166" t="str">
        <f t="shared" si="14"/>
        <v/>
      </c>
      <c r="CI9" s="166">
        <f t="shared" si="14"/>
        <v>4.165830154587432E-2</v>
      </c>
      <c r="CK9" s="107" t="s">
        <v>388</v>
      </c>
      <c r="CL9" s="166" t="str">
        <f t="shared" si="6"/>
        <v/>
      </c>
      <c r="CM9" s="166" t="str">
        <f t="shared" si="6"/>
        <v/>
      </c>
      <c r="CN9" s="166">
        <f t="shared" si="6"/>
        <v>-6.6746658837045947E-2</v>
      </c>
      <c r="CO9" s="166" t="str">
        <f t="shared" si="6"/>
        <v/>
      </c>
      <c r="CP9" s="166"/>
      <c r="CQ9" s="166"/>
      <c r="CR9" s="166"/>
      <c r="CS9" s="166"/>
      <c r="CT9" s="166">
        <f t="shared" si="7"/>
        <v>-2.9067840110413048E-2</v>
      </c>
      <c r="CU9" s="166" t="str">
        <f t="shared" si="7"/>
        <v/>
      </c>
      <c r="CV9" s="166" t="str">
        <f t="shared" si="7"/>
        <v/>
      </c>
      <c r="CW9" s="166">
        <f t="shared" si="7"/>
        <v>-0.26636268385851475</v>
      </c>
      <c r="CX9" s="166" t="str">
        <f t="shared" si="7"/>
        <v/>
      </c>
      <c r="CY9" s="168">
        <f t="shared" si="7"/>
        <v>-0.52599894979537265</v>
      </c>
      <c r="DA9" s="107" t="s">
        <v>576</v>
      </c>
      <c r="DB9" s="315"/>
      <c r="DC9" s="315"/>
      <c r="DD9" s="314">
        <f>IFERROR(IF(BX9&gt;0,LN(BH9/BX9),0),0)</f>
        <v>6.9078581056746621E-2</v>
      </c>
      <c r="DE9" s="314"/>
      <c r="DF9" s="314">
        <f>IFERROR(IF(BZ9&gt;0,LN(BJ9/BZ9),0),0)</f>
        <v>0.22724517460313201</v>
      </c>
      <c r="DG9" s="314"/>
      <c r="DH9" s="315"/>
      <c r="DI9" s="315"/>
      <c r="DJ9" s="314">
        <f t="shared" ref="DJ9:DK18" si="15">IFERROR(IF(CD9&gt;0,LN(BN9/CD9),0),0)</f>
        <v>2.949867936268628E-2</v>
      </c>
      <c r="DK9" s="314">
        <f t="shared" si="15"/>
        <v>0</v>
      </c>
      <c r="DL9" s="314">
        <f>IFERROR(IF(CF9&gt;0,LN(BP9/CF9),0),0)</f>
        <v>0</v>
      </c>
      <c r="DM9" s="314">
        <f>IFERROR(IF(CG9&gt;0,LN(BQ9/CG9),0),0)</f>
        <v>0.30974049218323735</v>
      </c>
      <c r="DN9" s="315"/>
      <c r="DO9" s="168"/>
      <c r="DQ9" s="107" t="s">
        <v>576</v>
      </c>
      <c r="DR9" s="315"/>
      <c r="DS9" s="315"/>
      <c r="DT9" s="314">
        <v>0.16636411396592779</v>
      </c>
      <c r="DU9" s="314">
        <v>0.16636411396592779</v>
      </c>
      <c r="DV9" s="314">
        <v>-0.15929506298918827</v>
      </c>
      <c r="DW9" s="314">
        <v>-0.15929506298918827</v>
      </c>
      <c r="DX9" s="315"/>
      <c r="DY9" s="315"/>
      <c r="DZ9" s="314">
        <v>-1.6623572862594067</v>
      </c>
      <c r="EA9" s="314">
        <v>0</v>
      </c>
      <c r="EB9" s="314">
        <v>0</v>
      </c>
      <c r="EC9" s="314">
        <v>-3.4241337117586683</v>
      </c>
      <c r="ED9" s="315"/>
      <c r="EE9" s="168"/>
      <c r="EG9" s="107" t="s">
        <v>576</v>
      </c>
      <c r="EH9" s="315"/>
      <c r="EI9" s="315"/>
      <c r="EJ9" s="314">
        <f>DT9+(DD9-DD$7)*$EI$1</f>
        <v>1.5710962826030211E-2</v>
      </c>
      <c r="EK9" s="314">
        <f>DT9+(DD9-DD$7)*$EI$1</f>
        <v>1.5710962826030211E-2</v>
      </c>
      <c r="EL9" s="314">
        <f>DV9+(DF9-DF$7)*$EI$1</f>
        <v>0.14396369295810629</v>
      </c>
      <c r="EM9" s="314">
        <f>DV9+(DF9-DF$7)*$EI$1</f>
        <v>0.14396369295810629</v>
      </c>
      <c r="EN9" s="315"/>
      <c r="EO9" s="315"/>
      <c r="EP9" s="314">
        <f>DZ9+(DJ9-DJ$15)*$EI$1</f>
        <v>-1.7820852452090614</v>
      </c>
      <c r="EQ9" s="314">
        <f>EA9+(DK9-DK$16)*$EI$1</f>
        <v>0</v>
      </c>
      <c r="ER9" s="314">
        <f>EB9+(DL9-DL$17)*$EI$1</f>
        <v>0</v>
      </c>
      <c r="ES9" s="314">
        <f>EC9+(DM9-DM$18)*$EI$1</f>
        <v>-3.1311903190944443</v>
      </c>
      <c r="ET9" s="315"/>
      <c r="EU9" s="168"/>
      <c r="EW9" s="164" t="s">
        <v>388</v>
      </c>
      <c r="EX9" s="316">
        <f t="shared" si="12"/>
        <v>0</v>
      </c>
      <c r="EY9" s="316">
        <f t="shared" si="8"/>
        <v>0</v>
      </c>
      <c r="EZ9" s="316">
        <f t="shared" si="8"/>
        <v>1.5710962826030211E-2</v>
      </c>
      <c r="FA9" s="316">
        <f t="shared" si="8"/>
        <v>1.5710962826030211E-2</v>
      </c>
      <c r="FB9" s="316">
        <f t="shared" si="8"/>
        <v>0</v>
      </c>
      <c r="FC9" s="316">
        <f t="shared" si="8"/>
        <v>0</v>
      </c>
      <c r="FD9" s="316">
        <f t="shared" si="8"/>
        <v>-1.2141990812417294</v>
      </c>
      <c r="FE9" s="316">
        <f t="shared" si="8"/>
        <v>0</v>
      </c>
      <c r="FF9" s="316"/>
      <c r="FG9" s="316">
        <f t="shared" si="8"/>
        <v>0</v>
      </c>
      <c r="FH9" s="316">
        <f t="shared" si="8"/>
        <v>0</v>
      </c>
      <c r="FI9" s="316">
        <f t="shared" si="8"/>
        <v>0</v>
      </c>
      <c r="FJ9" s="316">
        <f t="shared" si="8"/>
        <v>0</v>
      </c>
      <c r="FK9" s="316">
        <f t="shared" si="8"/>
        <v>0</v>
      </c>
      <c r="FL9" s="168"/>
    </row>
    <row r="10" spans="1:168" x14ac:dyDescent="0.25">
      <c r="B10" s="107" t="s">
        <v>389</v>
      </c>
      <c r="C10" s="294"/>
      <c r="D10" s="294"/>
      <c r="E10" s="160">
        <f>TripMode_inputCBD!D7</f>
        <v>0</v>
      </c>
      <c r="F10" s="160">
        <f>TripMode_inputCBD!E7</f>
        <v>167.23007999999999</v>
      </c>
      <c r="G10" s="160">
        <f>TripMode_inputCBD!F7</f>
        <v>0</v>
      </c>
      <c r="H10" s="160">
        <f>TripMode_inputCBD!G7</f>
        <v>304.55101999999999</v>
      </c>
      <c r="I10" s="294"/>
      <c r="J10" s="294"/>
      <c r="K10" s="160">
        <f>TripMode_inputCBD!K7+TripMode_inputCBD!J7</f>
        <v>0</v>
      </c>
      <c r="L10" s="294"/>
      <c r="M10" s="294"/>
      <c r="N10" s="160">
        <f>TripMode_inputCBD!N7</f>
        <v>0</v>
      </c>
      <c r="O10" s="294"/>
      <c r="P10" s="162">
        <f t="shared" si="0"/>
        <v>471.78109999999998</v>
      </c>
      <c r="R10">
        <f t="shared" si="9"/>
        <v>0</v>
      </c>
      <c r="S10">
        <f t="shared" si="10"/>
        <v>0</v>
      </c>
      <c r="T10">
        <f t="shared" si="11"/>
        <v>0</v>
      </c>
      <c r="Y10" s="107" t="s">
        <v>389</v>
      </c>
      <c r="Z10" s="294"/>
      <c r="AA10" s="294"/>
      <c r="AB10" s="160">
        <f t="shared" si="1"/>
        <v>0</v>
      </c>
      <c r="AC10" s="160">
        <f t="shared" si="1"/>
        <v>167.23007999999999</v>
      </c>
      <c r="AD10" s="160">
        <f t="shared" si="1"/>
        <v>0</v>
      </c>
      <c r="AE10" s="160">
        <f t="shared" si="1"/>
        <v>304.55101999999999</v>
      </c>
      <c r="AF10" s="294"/>
      <c r="AG10" s="294"/>
      <c r="AH10" s="160">
        <f>AH15*R10</f>
        <v>0</v>
      </c>
      <c r="AI10" s="294"/>
      <c r="AJ10" s="294"/>
      <c r="AK10" s="160">
        <f>+N10</f>
        <v>0</v>
      </c>
      <c r="AL10" s="294"/>
      <c r="AM10" s="162">
        <f t="shared" si="2"/>
        <v>471.78109999999998</v>
      </c>
      <c r="AO10" s="107" t="s">
        <v>389</v>
      </c>
      <c r="AP10" s="294">
        <f>TripMode_inputCBD!R7*Index!$B$2</f>
        <v>0</v>
      </c>
      <c r="AQ10" s="294">
        <f>TripMode_inputCBD!S7*Index!$B$2</f>
        <v>0</v>
      </c>
      <c r="AR10" s="160">
        <f>TripMode_inputCBD!T7*Index!$B$2</f>
        <v>0</v>
      </c>
      <c r="AS10" s="160">
        <f>TripMode_inputCBD!U7*Index!$B$2</f>
        <v>165</v>
      </c>
      <c r="AT10" s="160">
        <f>TripMode_inputCBD!V7*Index!$B$2</f>
        <v>150</v>
      </c>
      <c r="AU10" s="160">
        <f>TripMode_inputCBD!W7*Index!$B$2</f>
        <v>265</v>
      </c>
      <c r="AV10" s="294">
        <f>TripMode_inputCBD!X7*Index!$B$2</f>
        <v>0</v>
      </c>
      <c r="AW10" s="294">
        <f>TripMode_inputCBD!Y7*Index!$B$2</f>
        <v>0</v>
      </c>
      <c r="AX10" s="160">
        <f>TripMode_inputCBD!AA7*Index!$B$2</f>
        <v>400</v>
      </c>
      <c r="AY10" s="160">
        <f>TripMode_inputCBD!AB7*Index!$B$2</f>
        <v>0</v>
      </c>
      <c r="AZ10" s="160">
        <f>TripMode_inputCBD!AC7*Index!$B$2</f>
        <v>0</v>
      </c>
      <c r="BA10" s="160">
        <f>TripMode_inputCBD!AD7*Index!$B$2</f>
        <v>30</v>
      </c>
      <c r="BB10" s="294">
        <f>TripMode_inputCBD!AE7*Index!$B$2</f>
        <v>0</v>
      </c>
      <c r="BC10" s="162">
        <f t="shared" si="3"/>
        <v>1010</v>
      </c>
      <c r="BE10" s="107"/>
      <c r="BF10" s="166"/>
      <c r="BG10" s="166"/>
      <c r="BH10" s="166"/>
      <c r="BI10" s="166"/>
      <c r="BJ10" s="166"/>
      <c r="BK10" s="166"/>
      <c r="BL10" s="166"/>
      <c r="BM10" s="166"/>
      <c r="BN10" s="166"/>
      <c r="BO10" s="166"/>
      <c r="BP10" s="166"/>
      <c r="BQ10" s="166"/>
      <c r="BR10" s="166"/>
      <c r="BS10" s="166"/>
      <c r="BU10" s="107"/>
      <c r="BV10" s="166"/>
      <c r="BW10" s="166"/>
      <c r="BX10" s="166"/>
      <c r="BY10" s="166"/>
      <c r="BZ10" s="166"/>
      <c r="CA10" s="166"/>
      <c r="CB10" s="166"/>
      <c r="CC10" s="166"/>
      <c r="CD10" s="166"/>
      <c r="CE10" s="166"/>
      <c r="CF10" s="166"/>
      <c r="CG10" s="166"/>
      <c r="CH10" s="166"/>
      <c r="CI10" s="166"/>
      <c r="CK10" s="107" t="s">
        <v>389</v>
      </c>
      <c r="CL10" s="166" t="str">
        <f t="shared" si="6"/>
        <v/>
      </c>
      <c r="CM10" s="166" t="str">
        <f t="shared" si="6"/>
        <v/>
      </c>
      <c r="CN10" s="166" t="str">
        <f t="shared" si="6"/>
        <v/>
      </c>
      <c r="CO10" s="166" t="str">
        <f t="shared" si="6"/>
        <v/>
      </c>
      <c r="CP10" s="166"/>
      <c r="CQ10" s="166"/>
      <c r="CR10" s="166"/>
      <c r="CS10" s="166"/>
      <c r="CT10" s="166" t="str">
        <f t="shared" si="7"/>
        <v/>
      </c>
      <c r="CU10" s="166" t="str">
        <f t="shared" si="7"/>
        <v/>
      </c>
      <c r="CV10" s="166" t="str">
        <f t="shared" si="7"/>
        <v/>
      </c>
      <c r="CW10" s="166" t="str">
        <f t="shared" si="7"/>
        <v/>
      </c>
      <c r="CX10" s="166" t="str">
        <f t="shared" si="7"/>
        <v/>
      </c>
      <c r="CY10" s="168" t="str">
        <f t="shared" si="7"/>
        <v/>
      </c>
      <c r="DA10" s="107"/>
      <c r="DB10" s="315"/>
      <c r="DC10" s="315"/>
      <c r="DD10" s="314"/>
      <c r="DE10" s="314"/>
      <c r="DF10" s="314"/>
      <c r="DG10" s="314"/>
      <c r="DH10" s="315"/>
      <c r="DI10" s="315"/>
      <c r="DJ10" s="314"/>
      <c r="DK10" s="314"/>
      <c r="DL10" s="314"/>
      <c r="DM10" s="314"/>
      <c r="DN10" s="315"/>
      <c r="DO10" s="168"/>
      <c r="DQ10" s="107"/>
      <c r="DR10" s="315"/>
      <c r="DS10" s="315"/>
      <c r="DT10" s="314">
        <v>0.16636411396592779</v>
      </c>
      <c r="DU10" s="314">
        <v>0.16636411396592779</v>
      </c>
      <c r="DV10" s="314">
        <v>-0.15929506298918827</v>
      </c>
      <c r="DW10" s="314">
        <v>-0.15929506298918827</v>
      </c>
      <c r="DX10" s="315"/>
      <c r="DY10" s="315"/>
      <c r="DZ10" s="314">
        <v>-1.6623572862594067</v>
      </c>
      <c r="EA10" s="314">
        <v>0</v>
      </c>
      <c r="EB10" s="314">
        <v>0</v>
      </c>
      <c r="EC10" s="314">
        <v>-3.4241337117586683</v>
      </c>
      <c r="ED10" s="315"/>
      <c r="EE10" s="168"/>
      <c r="EG10" s="107"/>
      <c r="EH10" s="315"/>
      <c r="EI10" s="315"/>
      <c r="EJ10" s="314">
        <f>DT9+(DD9-DD$7)*$EI$1</f>
        <v>1.5710962826030211E-2</v>
      </c>
      <c r="EK10" s="314">
        <f>DT9+(DD9-DD$7)*$EI$1</f>
        <v>1.5710962826030211E-2</v>
      </c>
      <c r="EL10" s="314">
        <f>DV9+(DF9-DF$7)*$EI$1</f>
        <v>0.14396369295810629</v>
      </c>
      <c r="EM10" s="314">
        <f>DV9+(DF9-DF$7)*$EI$1</f>
        <v>0.14396369295810629</v>
      </c>
      <c r="EN10" s="315"/>
      <c r="EO10" s="315"/>
      <c r="EP10" s="314">
        <f>DZ9+(DJ9-DJ$15)*$EI$1</f>
        <v>-1.7820852452090614</v>
      </c>
      <c r="EQ10" s="314">
        <f>EA9+(DK9-DK$16)*$EI$1</f>
        <v>0</v>
      </c>
      <c r="ER10" s="314">
        <f>EB9+(DL9-DL$17)*$EI$1</f>
        <v>0</v>
      </c>
      <c r="ES10" s="314">
        <f>EC9+(DM9-DM$18)*$EI$1</f>
        <v>-3.1311903190944443</v>
      </c>
      <c r="ET10" s="315"/>
      <c r="EU10" s="168"/>
      <c r="EW10" s="164" t="s">
        <v>389</v>
      </c>
      <c r="EX10" s="316">
        <f t="shared" si="12"/>
        <v>0</v>
      </c>
      <c r="EY10" s="316">
        <f t="shared" si="8"/>
        <v>0</v>
      </c>
      <c r="EZ10" s="316">
        <f t="shared" si="8"/>
        <v>1.5710962826030211E-2</v>
      </c>
      <c r="FA10" s="316">
        <f t="shared" si="8"/>
        <v>1.5710962826030211E-2</v>
      </c>
      <c r="FB10" s="316">
        <f t="shared" si="8"/>
        <v>0</v>
      </c>
      <c r="FC10" s="316">
        <f t="shared" si="8"/>
        <v>0</v>
      </c>
      <c r="FD10" s="316">
        <f t="shared" si="8"/>
        <v>-1.2141990812417294</v>
      </c>
      <c r="FE10" s="316">
        <f t="shared" si="8"/>
        <v>0</v>
      </c>
      <c r="FF10" s="316"/>
      <c r="FG10" s="316">
        <f t="shared" si="8"/>
        <v>0</v>
      </c>
      <c r="FH10" s="316">
        <f t="shared" si="8"/>
        <v>0</v>
      </c>
      <c r="FI10" s="316">
        <f t="shared" si="8"/>
        <v>0</v>
      </c>
      <c r="FJ10" s="316">
        <f t="shared" si="8"/>
        <v>0</v>
      </c>
      <c r="FK10" s="316">
        <f t="shared" si="8"/>
        <v>0</v>
      </c>
      <c r="FL10" s="168"/>
    </row>
    <row r="11" spans="1:168" x14ac:dyDescent="0.25">
      <c r="B11" s="107" t="s">
        <v>390</v>
      </c>
      <c r="C11" s="294"/>
      <c r="D11" s="294"/>
      <c r="E11" s="294"/>
      <c r="F11" s="294"/>
      <c r="G11" s="160">
        <f>TripMode_inputCBD!F8</f>
        <v>26569.29754</v>
      </c>
      <c r="H11" s="160">
        <f>TripMode_inputCBD!G8</f>
        <v>211.98925</v>
      </c>
      <c r="I11" s="294"/>
      <c r="J11" s="294"/>
      <c r="K11" s="160">
        <f>TripMode_inputCBD!K8+TripMode_inputCBD!J8</f>
        <v>3633.1733399999998</v>
      </c>
      <c r="L11" s="294"/>
      <c r="M11" s="294"/>
      <c r="N11" s="160">
        <f>TripMode_inputCBD!N8</f>
        <v>750.03156000000001</v>
      </c>
      <c r="O11" s="294"/>
      <c r="P11" s="162">
        <f t="shared" si="0"/>
        <v>31164.491689999999</v>
      </c>
      <c r="R11">
        <f t="shared" si="9"/>
        <v>8.4942216450016941E-3</v>
      </c>
      <c r="S11">
        <f t="shared" si="10"/>
        <v>0</v>
      </c>
      <c r="T11">
        <f t="shared" si="11"/>
        <v>0</v>
      </c>
      <c r="Y11" s="107" t="s">
        <v>390</v>
      </c>
      <c r="Z11" s="294"/>
      <c r="AA11" s="294"/>
      <c r="AB11" s="294"/>
      <c r="AC11" s="294"/>
      <c r="AD11" s="160">
        <f t="shared" si="1"/>
        <v>26569.29754</v>
      </c>
      <c r="AE11" s="160">
        <f t="shared" si="1"/>
        <v>211.98925</v>
      </c>
      <c r="AF11" s="294"/>
      <c r="AG11" s="294"/>
      <c r="AH11" s="160">
        <f>AH15*R11</f>
        <v>3483.0878077812695</v>
      </c>
      <c r="AI11" s="294"/>
      <c r="AJ11" s="294"/>
      <c r="AK11" s="160">
        <f>+N11</f>
        <v>750.03156000000001</v>
      </c>
      <c r="AL11" s="294"/>
      <c r="AM11" s="162">
        <f t="shared" si="2"/>
        <v>31014.406157781268</v>
      </c>
      <c r="AO11" s="107" t="s">
        <v>390</v>
      </c>
      <c r="AP11" s="294">
        <f>TripMode_inputCBD!R8*Index!$B$2</f>
        <v>0</v>
      </c>
      <c r="AQ11" s="294">
        <f>TripMode_inputCBD!S8*Index!$B$2</f>
        <v>0</v>
      </c>
      <c r="AR11" s="294">
        <f>TripMode_inputCBD!T8*Index!$B$2</f>
        <v>0</v>
      </c>
      <c r="AS11" s="294">
        <f>TripMode_inputCBD!U8*Index!$B$2</f>
        <v>0</v>
      </c>
      <c r="AT11" s="160">
        <f>TripMode_inputCBD!V8*Index!$B$2</f>
        <v>24960</v>
      </c>
      <c r="AU11" s="160">
        <f>TripMode_inputCBD!W8*Index!$B$2</f>
        <v>2815</v>
      </c>
      <c r="AV11" s="294">
        <f>TripMode_inputCBD!X8*Index!$B$2</f>
        <v>0</v>
      </c>
      <c r="AW11" s="294">
        <f>TripMode_inputCBD!Y8*Index!$B$2</f>
        <v>0</v>
      </c>
      <c r="AX11" s="160">
        <f>TripMode_inputCBD!AA8*Index!$B$2</f>
        <v>1225</v>
      </c>
      <c r="AY11" s="160">
        <f>TripMode_inputCBD!AB8*Index!$B$2</f>
        <v>0</v>
      </c>
      <c r="AZ11" s="160">
        <f>TripMode_inputCBD!AC8*Index!$B$2</f>
        <v>0</v>
      </c>
      <c r="BA11" s="160">
        <f>TripMode_inputCBD!AD8*Index!$B$2</f>
        <v>95</v>
      </c>
      <c r="BB11" s="294">
        <f>TripMode_inputCBD!AE8*Index!$B$2</f>
        <v>0</v>
      </c>
      <c r="BC11" s="162">
        <f t="shared" si="3"/>
        <v>29095</v>
      </c>
      <c r="BE11" s="107" t="s">
        <v>577</v>
      </c>
      <c r="BF11" s="166">
        <f>IF(Z$20+AA$20&gt;0,SUM(Z11:AA12)/(Z$20+AA$20),"")</f>
        <v>0</v>
      </c>
      <c r="BG11" s="166"/>
      <c r="BH11" s="166">
        <f>IF(AB$20+AC$20&gt;0,SUM(AB11:AC12)/(AB$20+AC$20),"")</f>
        <v>0</v>
      </c>
      <c r="BI11" s="166"/>
      <c r="BJ11" s="166">
        <f>IF(AD$20+AE$20&gt;0,SUM(AD11:AE12)/(AD$20+AE$20),"")</f>
        <v>0.40948301315255303</v>
      </c>
      <c r="BK11" s="166"/>
      <c r="BL11" s="166">
        <f t="shared" ref="BL11:BS11" si="16">IF(AF$20&gt;0,(AF11+AF12)/AF$20,"")</f>
        <v>0</v>
      </c>
      <c r="BM11" s="166">
        <f t="shared" si="16"/>
        <v>0</v>
      </c>
      <c r="BN11" s="166">
        <f t="shared" si="16"/>
        <v>6.9891823379601269E-3</v>
      </c>
      <c r="BO11" s="166">
        <f t="shared" si="16"/>
        <v>0</v>
      </c>
      <c r="BP11" s="166">
        <f t="shared" si="16"/>
        <v>0</v>
      </c>
      <c r="BQ11" s="166">
        <f t="shared" si="16"/>
        <v>5.9530240446810413E-2</v>
      </c>
      <c r="BR11" s="166">
        <f t="shared" si="16"/>
        <v>0</v>
      </c>
      <c r="BS11" s="166">
        <f t="shared" si="16"/>
        <v>2.2502123639288971E-2</v>
      </c>
      <c r="BU11" s="107" t="s">
        <v>577</v>
      </c>
      <c r="BV11" s="166">
        <f>IF(AP$20+AQ$20&gt;0,SUM(AP11:AQ12)/(AP$20+AQ$20),"")</f>
        <v>0</v>
      </c>
      <c r="BW11" s="166"/>
      <c r="BX11" s="166">
        <f>IF(AR$20+AS$20&gt;0,SUM(AR11:AS12)/(AR$20+AS$20),"")</f>
        <v>0</v>
      </c>
      <c r="BY11" s="166"/>
      <c r="BZ11" s="166">
        <f>IF(AT$20+AU$20&gt;0,SUM(AT11:AU12)/(AT$20+AU$20),"")</f>
        <v>0.37492646578207728</v>
      </c>
      <c r="CA11" s="166"/>
      <c r="CB11" s="166">
        <f t="shared" ref="CB11:CI11" si="17">IF(AV$20&gt;0,(AV11+AV12)/AV$20,"")</f>
        <v>0</v>
      </c>
      <c r="CC11" s="166">
        <f t="shared" si="17"/>
        <v>0</v>
      </c>
      <c r="CD11" s="166">
        <f t="shared" si="17"/>
        <v>3.4859174490306094E-3</v>
      </c>
      <c r="CE11" s="166">
        <f t="shared" si="17"/>
        <v>0</v>
      </c>
      <c r="CF11" s="166">
        <f t="shared" si="17"/>
        <v>0</v>
      </c>
      <c r="CG11" s="166">
        <f t="shared" si="17"/>
        <v>2.6448362720403022E-2</v>
      </c>
      <c r="CH11" s="166" t="str">
        <f t="shared" si="17"/>
        <v/>
      </c>
      <c r="CI11" s="166">
        <f t="shared" si="17"/>
        <v>3.3505097146936134E-2</v>
      </c>
      <c r="CK11" s="107" t="s">
        <v>390</v>
      </c>
      <c r="CL11" s="166"/>
      <c r="CM11" s="166"/>
      <c r="CN11" s="166"/>
      <c r="CO11" s="166"/>
      <c r="CP11" s="166"/>
      <c r="CQ11" s="166"/>
      <c r="CR11" s="166"/>
      <c r="CS11" s="166"/>
      <c r="CT11" s="166"/>
      <c r="CU11" s="166"/>
      <c r="CV11" s="166"/>
      <c r="CW11" s="166"/>
      <c r="CX11" s="166"/>
      <c r="CY11" s="168"/>
      <c r="DA11" s="107" t="s">
        <v>577</v>
      </c>
      <c r="DB11" s="315"/>
      <c r="DC11" s="315"/>
      <c r="DD11" s="315"/>
      <c r="DE11" s="315"/>
      <c r="DF11" s="314">
        <f>IFERROR(IF(BZ11&gt;0,LN(BJ11/BZ11),0),0)</f>
        <v>8.8165505015563542E-2</v>
      </c>
      <c r="DG11" s="314"/>
      <c r="DH11" s="315"/>
      <c r="DI11" s="315"/>
      <c r="DJ11" s="314">
        <f t="shared" si="15"/>
        <v>0.6956323073288011</v>
      </c>
      <c r="DK11" s="314">
        <f t="shared" si="15"/>
        <v>0</v>
      </c>
      <c r="DL11" s="314">
        <f>IFERROR(IF(CF11&gt;0,LN(BP11/CF11),0),0)</f>
        <v>0</v>
      </c>
      <c r="DM11" s="314">
        <f>IFERROR(IF(CG11&gt;0,LN(BQ11/CG11),0),0)</f>
        <v>0.81129017078506738</v>
      </c>
      <c r="DN11" s="315"/>
      <c r="DO11" s="168"/>
      <c r="DQ11" s="107" t="s">
        <v>577</v>
      </c>
      <c r="DR11" s="315"/>
      <c r="DS11" s="315"/>
      <c r="DT11" s="315"/>
      <c r="DU11" s="315"/>
      <c r="DV11" s="314">
        <v>3.9561651286053046E-3</v>
      </c>
      <c r="DW11" s="314">
        <v>3.9561651286053046E-3</v>
      </c>
      <c r="DX11" s="315"/>
      <c r="DY11" s="315"/>
      <c r="DZ11" s="314">
        <v>-2.6672634470773713</v>
      </c>
      <c r="EA11" s="314">
        <v>0</v>
      </c>
      <c r="EB11" s="314">
        <v>0</v>
      </c>
      <c r="EC11" s="314">
        <v>-4.2768358744049877</v>
      </c>
      <c r="ED11" s="315"/>
      <c r="EE11" s="168"/>
      <c r="EG11" s="107" t="s">
        <v>577</v>
      </c>
      <c r="EH11" s="315"/>
      <c r="EI11" s="315"/>
      <c r="EJ11" s="315"/>
      <c r="EK11" s="315"/>
      <c r="EL11" s="314">
        <f>DV11+(DF11-DF$7)*$EI$1</f>
        <v>0.16813525148833139</v>
      </c>
      <c r="EM11" s="314">
        <f>DV11+(DF11-DF$7)*$EI$1</f>
        <v>0.16813525148833139</v>
      </c>
      <c r="EN11" s="315"/>
      <c r="EO11" s="315"/>
      <c r="EP11" s="314">
        <f>DZ11+(DJ11-DJ$15)*$EI$1</f>
        <v>-2.1208577780609108</v>
      </c>
      <c r="EQ11" s="314">
        <f>EA11+(DK11-DK$16)*$EI$1</f>
        <v>0</v>
      </c>
      <c r="ER11" s="314">
        <f>EB11+(DL11-DL$17)*$EI$1</f>
        <v>0</v>
      </c>
      <c r="ES11" s="314">
        <f>EC11+(DM11-DM$18)*$EI$1</f>
        <v>-3.4823428031389336</v>
      </c>
      <c r="ET11" s="315"/>
      <c r="EU11" s="168"/>
      <c r="EW11" s="164" t="s">
        <v>390</v>
      </c>
      <c r="EX11" s="316">
        <f t="shared" si="12"/>
        <v>0</v>
      </c>
      <c r="EY11" s="316">
        <f t="shared" si="8"/>
        <v>0</v>
      </c>
      <c r="EZ11" s="316">
        <f t="shared" si="8"/>
        <v>0.14396369295810629</v>
      </c>
      <c r="FA11" s="316">
        <f t="shared" si="8"/>
        <v>0.14396369295810629</v>
      </c>
      <c r="FB11" s="316">
        <f t="shared" si="8"/>
        <v>0.16813525148833139</v>
      </c>
      <c r="FC11" s="316">
        <f t="shared" si="8"/>
        <v>0.16813525148833139</v>
      </c>
      <c r="FD11" s="316">
        <f t="shared" si="8"/>
        <v>-2.7622648492705157</v>
      </c>
      <c r="FE11" s="316">
        <f t="shared" si="8"/>
        <v>0</v>
      </c>
      <c r="FF11" s="316"/>
      <c r="FG11" s="316">
        <f t="shared" si="8"/>
        <v>0</v>
      </c>
      <c r="FH11" s="316">
        <f t="shared" si="8"/>
        <v>0</v>
      </c>
      <c r="FI11" s="316">
        <f t="shared" si="8"/>
        <v>0</v>
      </c>
      <c r="FJ11" s="316">
        <f t="shared" si="8"/>
        <v>0</v>
      </c>
      <c r="FK11" s="316">
        <f t="shared" si="8"/>
        <v>0</v>
      </c>
      <c r="FL11" s="168"/>
    </row>
    <row r="12" spans="1:168" x14ac:dyDescent="0.25">
      <c r="B12" s="107" t="s">
        <v>391</v>
      </c>
      <c r="C12" s="294"/>
      <c r="D12" s="294"/>
      <c r="E12" s="294"/>
      <c r="F12" s="294"/>
      <c r="G12" s="160">
        <f>TripMode_inputCBD!F9</f>
        <v>0</v>
      </c>
      <c r="H12" s="160">
        <f>TripMode_inputCBD!G9</f>
        <v>70.804150000000007</v>
      </c>
      <c r="I12" s="294"/>
      <c r="J12" s="294"/>
      <c r="K12" s="160">
        <f>TripMode_inputCBD!K9+TripMode_inputCBD!J9</f>
        <v>0</v>
      </c>
      <c r="L12" s="294"/>
      <c r="M12" s="294"/>
      <c r="N12" s="160">
        <f>TripMode_inputCBD!N9</f>
        <v>0</v>
      </c>
      <c r="O12" s="294"/>
      <c r="P12" s="162">
        <f t="shared" si="0"/>
        <v>70.804150000000007</v>
      </c>
      <c r="R12">
        <f t="shared" si="9"/>
        <v>0</v>
      </c>
      <c r="S12">
        <f t="shared" si="10"/>
        <v>0</v>
      </c>
      <c r="T12">
        <f t="shared" si="11"/>
        <v>0</v>
      </c>
      <c r="Y12" s="107" t="s">
        <v>391</v>
      </c>
      <c r="Z12" s="294"/>
      <c r="AA12" s="294"/>
      <c r="AB12" s="294"/>
      <c r="AC12" s="294"/>
      <c r="AD12" s="160">
        <f t="shared" si="1"/>
        <v>0</v>
      </c>
      <c r="AE12" s="160">
        <f t="shared" si="1"/>
        <v>70.804150000000007</v>
      </c>
      <c r="AF12" s="294"/>
      <c r="AG12" s="294"/>
      <c r="AH12" s="160">
        <f>AH15*R12</f>
        <v>0</v>
      </c>
      <c r="AI12" s="294"/>
      <c r="AJ12" s="294"/>
      <c r="AK12" s="160">
        <f>+N12</f>
        <v>0</v>
      </c>
      <c r="AL12" s="294"/>
      <c r="AM12" s="162">
        <f t="shared" si="2"/>
        <v>70.804150000000007</v>
      </c>
      <c r="AO12" s="107" t="s">
        <v>391</v>
      </c>
      <c r="AP12" s="294">
        <f>TripMode_inputCBD!R9*Index!$B$2</f>
        <v>0</v>
      </c>
      <c r="AQ12" s="294">
        <f>TripMode_inputCBD!S9*Index!$B$2</f>
        <v>0</v>
      </c>
      <c r="AR12" s="294">
        <f>TripMode_inputCBD!T9*Index!$B$2</f>
        <v>0</v>
      </c>
      <c r="AS12" s="294">
        <f>TripMode_inputCBD!U9*Index!$B$2</f>
        <v>0</v>
      </c>
      <c r="AT12" s="160">
        <f>TripMode_inputCBD!V9*Index!$B$2</f>
        <v>375</v>
      </c>
      <c r="AU12" s="160">
        <f>TripMode_inputCBD!W9*Index!$B$2</f>
        <v>530</v>
      </c>
      <c r="AV12" s="294">
        <f>TripMode_inputCBD!X9*Index!$B$2</f>
        <v>0</v>
      </c>
      <c r="AW12" s="294">
        <f>TripMode_inputCBD!Y9*Index!$B$2</f>
        <v>0</v>
      </c>
      <c r="AX12" s="160">
        <f>TripMode_inputCBD!AA9*Index!$B$2</f>
        <v>30</v>
      </c>
      <c r="AY12" s="160">
        <f>TripMode_inputCBD!AB9*Index!$B$2</f>
        <v>0</v>
      </c>
      <c r="AZ12" s="160">
        <f>TripMode_inputCBD!AC9*Index!$B$2</f>
        <v>0</v>
      </c>
      <c r="BA12" s="160">
        <f>TripMode_inputCBD!AD9*Index!$B$2</f>
        <v>10</v>
      </c>
      <c r="BB12" s="294">
        <f>TripMode_inputCBD!AE9*Index!$B$2</f>
        <v>0</v>
      </c>
      <c r="BC12" s="162">
        <f t="shared" si="3"/>
        <v>945</v>
      </c>
      <c r="BE12" s="107"/>
      <c r="BF12" s="166"/>
      <c r="BG12" s="166"/>
      <c r="BH12" s="166"/>
      <c r="BI12" s="166"/>
      <c r="BJ12" s="166"/>
      <c r="BK12" s="166"/>
      <c r="BL12" s="166"/>
      <c r="BM12" s="166"/>
      <c r="BN12" s="166"/>
      <c r="BO12" s="166"/>
      <c r="BP12" s="166"/>
      <c r="BQ12" s="166"/>
      <c r="BR12" s="166"/>
      <c r="BS12" s="166"/>
      <c r="BU12" s="107"/>
      <c r="BV12" s="166"/>
      <c r="BW12" s="166"/>
      <c r="BX12" s="166"/>
      <c r="BY12" s="166"/>
      <c r="BZ12" s="166"/>
      <c r="CA12" s="166"/>
      <c r="CB12" s="166"/>
      <c r="CC12" s="166"/>
      <c r="CD12" s="166"/>
      <c r="CE12" s="166"/>
      <c r="CF12" s="166"/>
      <c r="CG12" s="166"/>
      <c r="CH12" s="166"/>
      <c r="CI12" s="166"/>
      <c r="CK12" s="107" t="s">
        <v>391</v>
      </c>
      <c r="CL12" s="166"/>
      <c r="CM12" s="166"/>
      <c r="CN12" s="166"/>
      <c r="CO12" s="166"/>
      <c r="CP12" s="166"/>
      <c r="CQ12" s="166"/>
      <c r="CR12" s="166"/>
      <c r="CS12" s="166"/>
      <c r="CT12" s="166"/>
      <c r="CU12" s="166"/>
      <c r="CV12" s="166"/>
      <c r="CW12" s="166"/>
      <c r="CX12" s="166"/>
      <c r="CY12" s="168"/>
      <c r="DA12" s="107"/>
      <c r="DB12" s="315"/>
      <c r="DC12" s="315"/>
      <c r="DD12" s="315"/>
      <c r="DE12" s="315"/>
      <c r="DF12" s="314"/>
      <c r="DG12" s="314"/>
      <c r="DH12" s="315"/>
      <c r="DI12" s="315"/>
      <c r="DJ12" s="314"/>
      <c r="DK12" s="314"/>
      <c r="DL12" s="314"/>
      <c r="DM12" s="314"/>
      <c r="DN12" s="315"/>
      <c r="DO12" s="168"/>
      <c r="DQ12" s="107"/>
      <c r="DR12" s="315"/>
      <c r="DS12" s="315"/>
      <c r="DT12" s="315"/>
      <c r="DU12" s="315"/>
      <c r="DV12" s="314">
        <v>3.9561651286053046E-3</v>
      </c>
      <c r="DW12" s="314">
        <v>3.9561651286053046E-3</v>
      </c>
      <c r="DX12" s="315"/>
      <c r="DY12" s="315"/>
      <c r="DZ12" s="314">
        <v>-2.6672634470773713</v>
      </c>
      <c r="EA12" s="314">
        <v>0</v>
      </c>
      <c r="EB12" s="314">
        <v>0</v>
      </c>
      <c r="EC12" s="314">
        <v>-4.2768358744049877</v>
      </c>
      <c r="ED12" s="315"/>
      <c r="EE12" s="168"/>
      <c r="EG12" s="107"/>
      <c r="EH12" s="315"/>
      <c r="EI12" s="315"/>
      <c r="EJ12" s="315"/>
      <c r="EK12" s="315"/>
      <c r="EL12" s="314">
        <f>DV11+(DF11-DF$7)*$EI$1</f>
        <v>0.16813525148833139</v>
      </c>
      <c r="EM12" s="314">
        <f>DV11+(DF11-DF$7)*$EI$1</f>
        <v>0.16813525148833139</v>
      </c>
      <c r="EN12" s="315"/>
      <c r="EO12" s="315"/>
      <c r="EP12" s="314">
        <f>DZ11+(DJ11-DJ$15)*$EI$1</f>
        <v>-2.1208577780609108</v>
      </c>
      <c r="EQ12" s="314">
        <f>EA11+(DK11-DK$16)*$EI$1</f>
        <v>0</v>
      </c>
      <c r="ER12" s="314">
        <f>EB11+(DL11-DL$17)*$EI$1</f>
        <v>0</v>
      </c>
      <c r="ES12" s="314">
        <f>EC11+(DM11-DM$18)*$EI$1</f>
        <v>-3.4823428031389336</v>
      </c>
      <c r="ET12" s="315"/>
      <c r="EU12" s="168"/>
      <c r="EW12" s="164" t="s">
        <v>391</v>
      </c>
      <c r="EX12" s="316">
        <f t="shared" si="12"/>
        <v>0</v>
      </c>
      <c r="EY12" s="316">
        <f t="shared" si="8"/>
        <v>0</v>
      </c>
      <c r="EZ12" s="316">
        <f t="shared" si="8"/>
        <v>0.14396369295810629</v>
      </c>
      <c r="FA12" s="316">
        <f t="shared" si="8"/>
        <v>0.14396369295810629</v>
      </c>
      <c r="FB12" s="316">
        <f t="shared" si="8"/>
        <v>0.16813525148833139</v>
      </c>
      <c r="FC12" s="316">
        <f t="shared" si="8"/>
        <v>0.16813525148833139</v>
      </c>
      <c r="FD12" s="316">
        <f t="shared" si="8"/>
        <v>-2.7622648492705157</v>
      </c>
      <c r="FE12" s="316">
        <f t="shared" si="8"/>
        <v>0</v>
      </c>
      <c r="FF12" s="316"/>
      <c r="FG12" s="316">
        <f t="shared" si="8"/>
        <v>0</v>
      </c>
      <c r="FH12" s="316">
        <f t="shared" si="8"/>
        <v>0</v>
      </c>
      <c r="FI12" s="316">
        <f t="shared" si="8"/>
        <v>0</v>
      </c>
      <c r="FJ12" s="316">
        <f t="shared" si="8"/>
        <v>0</v>
      </c>
      <c r="FK12" s="316">
        <f t="shared" si="8"/>
        <v>0</v>
      </c>
      <c r="FL12" s="168"/>
    </row>
    <row r="13" spans="1:168" x14ac:dyDescent="0.25">
      <c r="B13" s="107" t="s">
        <v>392</v>
      </c>
      <c r="C13" s="294"/>
      <c r="D13" s="294"/>
      <c r="E13" s="160">
        <f>TripMode_inputCBD!D10</f>
        <v>5817.9781999999996</v>
      </c>
      <c r="F13" s="160">
        <f>TripMode_inputCBD!E10</f>
        <v>0</v>
      </c>
      <c r="G13" s="160">
        <f>TripMode_inputCBD!F10</f>
        <v>2344.91795</v>
      </c>
      <c r="H13" s="160">
        <f>TripMode_inputCBD!G10</f>
        <v>0</v>
      </c>
      <c r="I13" s="160">
        <f>TripMode_inputCBD!H10</f>
        <v>42704.56955</v>
      </c>
      <c r="J13" s="294"/>
      <c r="K13" s="160">
        <f>TripMode_inputCBD!K10+TripMode_inputCBD!J10</f>
        <v>66194.162339999995</v>
      </c>
      <c r="L13" s="294"/>
      <c r="M13" s="294"/>
      <c r="N13" s="160">
        <f>TripMode_inputCBD!N10</f>
        <v>1463.6681000000001</v>
      </c>
      <c r="O13" s="294"/>
      <c r="P13" s="162">
        <f t="shared" si="0"/>
        <v>118525.29613999999</v>
      </c>
      <c r="R13">
        <f t="shared" si="9"/>
        <v>0.15475944412858209</v>
      </c>
      <c r="S13">
        <f t="shared" si="10"/>
        <v>0</v>
      </c>
      <c r="T13">
        <f t="shared" si="11"/>
        <v>0</v>
      </c>
      <c r="Y13" s="107" t="s">
        <v>392</v>
      </c>
      <c r="Z13" s="294"/>
      <c r="AA13" s="294"/>
      <c r="AB13" s="160">
        <f>+E13</f>
        <v>5817.9781999999996</v>
      </c>
      <c r="AC13" s="160">
        <f>+F13</f>
        <v>0</v>
      </c>
      <c r="AD13" s="160">
        <f t="shared" si="1"/>
        <v>2344.91795</v>
      </c>
      <c r="AE13" s="160">
        <f t="shared" si="1"/>
        <v>0</v>
      </c>
      <c r="AF13" s="160">
        <f t="shared" si="1"/>
        <v>42704.56955</v>
      </c>
      <c r="AG13" s="294"/>
      <c r="AH13" s="160">
        <f>AH15*R13</f>
        <v>63459.697134282083</v>
      </c>
      <c r="AI13" s="294"/>
      <c r="AJ13" s="294"/>
      <c r="AK13" s="160">
        <f>+N13</f>
        <v>1463.6681000000001</v>
      </c>
      <c r="AL13" s="294"/>
      <c r="AM13" s="162">
        <f t="shared" si="2"/>
        <v>115790.83093428209</v>
      </c>
      <c r="AO13" s="107" t="s">
        <v>392</v>
      </c>
      <c r="AP13" s="294">
        <f>TripMode_inputCBD!R10*Index!$B$2</f>
        <v>0</v>
      </c>
      <c r="AQ13" s="294">
        <f>TripMode_inputCBD!S10*Index!$B$2</f>
        <v>0</v>
      </c>
      <c r="AR13" s="160">
        <f>TripMode_inputCBD!T10*Index!$B$2</f>
        <v>3470</v>
      </c>
      <c r="AS13" s="160">
        <f>TripMode_inputCBD!U10*Index!$B$2</f>
        <v>245</v>
      </c>
      <c r="AT13" s="160">
        <f>TripMode_inputCBD!V10*Index!$B$2</f>
        <v>5855</v>
      </c>
      <c r="AU13" s="160">
        <f>TripMode_inputCBD!W10*Index!$B$2</f>
        <v>675</v>
      </c>
      <c r="AV13" s="160">
        <f>TripMode_inputCBD!X10*Index!$B$2</f>
        <v>86215</v>
      </c>
      <c r="AW13" s="294">
        <f>TripMode_inputCBD!Y10*Index!$B$2</f>
        <v>0</v>
      </c>
      <c r="AX13" s="160">
        <f>TripMode_inputCBD!AA10*Index!$B$2</f>
        <v>88605</v>
      </c>
      <c r="AY13" s="160">
        <f>TripMode_inputCBD!AB10*Index!$B$2</f>
        <v>0</v>
      </c>
      <c r="AZ13" s="160">
        <f>TripMode_inputCBD!AC10*Index!$B$2</f>
        <v>0</v>
      </c>
      <c r="BA13" s="160">
        <f>TripMode_inputCBD!AD10*Index!$B$2</f>
        <v>790</v>
      </c>
      <c r="BB13" s="294">
        <f>TripMode_inputCBD!AE10*Index!$B$2</f>
        <v>0</v>
      </c>
      <c r="BC13" s="162">
        <f t="shared" si="3"/>
        <v>185855</v>
      </c>
      <c r="BE13" s="107" t="s">
        <v>392</v>
      </c>
      <c r="BF13" s="166">
        <f t="shared" ref="BF13:BF20" si="18">IF(Z$20&gt;0,Z13/Z$20,"")</f>
        <v>0</v>
      </c>
      <c r="BG13" s="166"/>
      <c r="BH13" s="166">
        <f t="shared" ref="BH13:BH20" si="19">IF(AB$20&gt;0,AB13/AB$20,"")</f>
        <v>3.6708637293782549E-2</v>
      </c>
      <c r="BI13" s="166"/>
      <c r="BJ13" s="166">
        <f t="shared" ref="BJ13:BJ20" si="20">IF(AD$20&gt;0,AD13/AD$20,"")</f>
        <v>3.6568937650176589E-2</v>
      </c>
      <c r="BK13" s="166"/>
      <c r="BL13" s="166">
        <f t="shared" ref="BL13:BS20" si="21">IF(AF$20&gt;0,AF13/AF$20,"")</f>
        <v>1</v>
      </c>
      <c r="BM13" s="166">
        <f t="shared" si="21"/>
        <v>0</v>
      </c>
      <c r="BN13" s="166">
        <f t="shared" si="21"/>
        <v>0.12733856246528369</v>
      </c>
      <c r="BO13" s="166">
        <f t="shared" si="21"/>
        <v>0</v>
      </c>
      <c r="BP13" s="166">
        <f t="shared" si="21"/>
        <v>0</v>
      </c>
      <c r="BQ13" s="166">
        <f t="shared" si="21"/>
        <v>0.11617179672722859</v>
      </c>
      <c r="BR13" s="166">
        <f t="shared" si="21"/>
        <v>0</v>
      </c>
      <c r="BS13" s="166">
        <f t="shared" si="21"/>
        <v>8.381926865481111E-2</v>
      </c>
      <c r="BU13" s="107" t="s">
        <v>392</v>
      </c>
      <c r="BV13" s="166">
        <f t="shared" ref="BV13:CI20" si="22">IF(AP$20&gt;0,AP13/AP$20,"")</f>
        <v>0</v>
      </c>
      <c r="BW13" s="166">
        <f t="shared" si="22"/>
        <v>0</v>
      </c>
      <c r="BX13" s="166">
        <f t="shared" si="22"/>
        <v>0.15979737508634584</v>
      </c>
      <c r="BY13" s="166">
        <f t="shared" si="22"/>
        <v>0.1012396694214876</v>
      </c>
      <c r="BZ13" s="166">
        <f t="shared" si="22"/>
        <v>8.7401104642483948E-2</v>
      </c>
      <c r="CA13" s="166">
        <f t="shared" si="22"/>
        <v>7.1015255128879531E-2</v>
      </c>
      <c r="CB13" s="166">
        <f t="shared" si="22"/>
        <v>1</v>
      </c>
      <c r="CC13" s="166">
        <f t="shared" si="22"/>
        <v>0</v>
      </c>
      <c r="CD13" s="166">
        <f t="shared" si="22"/>
        <v>0.24611132714849174</v>
      </c>
      <c r="CE13" s="166">
        <f t="shared" si="22"/>
        <v>0</v>
      </c>
      <c r="CF13" s="166">
        <f t="shared" si="22"/>
        <v>0</v>
      </c>
      <c r="CG13" s="166">
        <f t="shared" si="22"/>
        <v>0.19899244332493704</v>
      </c>
      <c r="CH13" s="166" t="str">
        <f t="shared" si="22"/>
        <v/>
      </c>
      <c r="CI13" s="168">
        <f t="shared" si="22"/>
        <v>0.2072932699814852</v>
      </c>
      <c r="CK13" s="107" t="s">
        <v>392</v>
      </c>
      <c r="CL13" s="166"/>
      <c r="CM13" s="166"/>
      <c r="CN13" s="166"/>
      <c r="CO13" s="166"/>
      <c r="CP13" s="166"/>
      <c r="CQ13" s="166"/>
      <c r="CR13" s="166"/>
      <c r="CS13" s="166"/>
      <c r="CT13" s="166"/>
      <c r="CU13" s="166"/>
      <c r="CV13" s="166"/>
      <c r="CW13" s="166"/>
      <c r="CX13" s="166"/>
      <c r="CY13" s="168"/>
      <c r="DA13" s="107" t="s">
        <v>392</v>
      </c>
      <c r="DB13" s="315"/>
      <c r="DC13" s="315"/>
      <c r="DD13" s="314">
        <f>IFERROR(IF(BX13&gt;0,LN(BH13/BX13),0),0)</f>
        <v>-1.4708945309793042</v>
      </c>
      <c r="DE13" s="314">
        <f>IFERROR(IF(BY13&gt;0,LN(BI13/BY13),0),0)</f>
        <v>0</v>
      </c>
      <c r="DF13" s="314">
        <f>IFERROR(IF(BZ13&gt;0,LN(BJ13/BZ13),0),0)</f>
        <v>-0.8713087395350444</v>
      </c>
      <c r="DG13" s="314">
        <f>IFERROR(IF(CA13&gt;0,LN(BK13/CA13),0),0)</f>
        <v>0</v>
      </c>
      <c r="DH13" s="314">
        <f>IFERROR(IF(CB13&gt;0,LN(BL13/CB13),0),0)</f>
        <v>0</v>
      </c>
      <c r="DI13" s="315"/>
      <c r="DJ13" s="314">
        <f t="shared" si="15"/>
        <v>-0.65893459737034055</v>
      </c>
      <c r="DK13" s="314">
        <f t="shared" si="15"/>
        <v>0</v>
      </c>
      <c r="DL13" s="314">
        <f>IFERROR(IF(CF13&gt;0,LN(BP13/CF13),0),0)</f>
        <v>0</v>
      </c>
      <c r="DM13" s="314">
        <f>IFERROR(IF(CG13&gt;0,LN(BQ13/CG13),0),0)</f>
        <v>-0.53819674899457459</v>
      </c>
      <c r="DN13" s="315"/>
      <c r="DO13" s="168"/>
      <c r="DQ13" s="107" t="s">
        <v>392</v>
      </c>
      <c r="DR13" s="315"/>
      <c r="DS13" s="315"/>
      <c r="DT13" s="314">
        <v>0.47642718193421896</v>
      </c>
      <c r="DU13" s="314">
        <v>0.47642718193421896</v>
      </c>
      <c r="DV13" s="314">
        <v>-1.9669696910796339</v>
      </c>
      <c r="DW13" s="314">
        <v>-1.9669696910796339</v>
      </c>
      <c r="DX13" s="314">
        <v>0</v>
      </c>
      <c r="DY13" s="315"/>
      <c r="DZ13" s="314">
        <v>-2.3788371071645877</v>
      </c>
      <c r="EA13" s="314">
        <v>0</v>
      </c>
      <c r="EB13" s="314">
        <v>0</v>
      </c>
      <c r="EC13" s="314">
        <v>-0.96946456764639799</v>
      </c>
      <c r="ED13" s="315"/>
      <c r="EE13" s="168"/>
      <c r="EG13" s="107" t="s">
        <v>392</v>
      </c>
      <c r="EH13" s="315"/>
      <c r="EI13" s="315"/>
      <c r="EJ13" s="314">
        <f>DT13+(DD13-DD$7)*$EI$1</f>
        <v>-1.2141990812417294</v>
      </c>
      <c r="EK13" s="314">
        <f>DT13+(DD13-DD$7)*$EI$1</f>
        <v>-1.2141990812417294</v>
      </c>
      <c r="EL13" s="314">
        <f>DV13+(DF13-DF$7)*$EI$1</f>
        <v>-2.7622648492705157</v>
      </c>
      <c r="EM13" s="314">
        <f>DV13+(DF13-DF$7)*$EI$1</f>
        <v>-2.7622648492705157</v>
      </c>
      <c r="EN13" s="314">
        <v>0</v>
      </c>
      <c r="EO13" s="315"/>
      <c r="EP13" s="314">
        <f>DZ13+(DJ13-DJ$15)*$EI$1</f>
        <v>-3.1869983428472692</v>
      </c>
      <c r="EQ13" s="314">
        <f>EA13+(DK13-DK$16)*$EI$1</f>
        <v>0</v>
      </c>
      <c r="ER13" s="314">
        <f>EB13+(DL13-DL$17)*$EI$1</f>
        <v>0</v>
      </c>
      <c r="ES13" s="314">
        <f>EC13+(DM13-DM$18)*$EI$1</f>
        <v>-1.5244584161599857</v>
      </c>
      <c r="ET13" s="315"/>
      <c r="EU13" s="168"/>
      <c r="EW13" s="164" t="s">
        <v>392</v>
      </c>
      <c r="EX13" s="316">
        <f t="shared" si="12"/>
        <v>0</v>
      </c>
      <c r="EY13" s="316">
        <f t="shared" si="8"/>
        <v>0</v>
      </c>
      <c r="EZ13" s="316">
        <f t="shared" si="8"/>
        <v>0</v>
      </c>
      <c r="FA13" s="316">
        <f t="shared" si="8"/>
        <v>0</v>
      </c>
      <c r="FB13" s="316">
        <f t="shared" si="8"/>
        <v>0</v>
      </c>
      <c r="FC13" s="316">
        <f t="shared" si="8"/>
        <v>0</v>
      </c>
      <c r="FD13" s="316">
        <f t="shared" si="8"/>
        <v>0</v>
      </c>
      <c r="FE13" s="316">
        <f t="shared" si="8"/>
        <v>0</v>
      </c>
      <c r="FF13" s="316"/>
      <c r="FG13" s="316">
        <f t="shared" si="8"/>
        <v>0</v>
      </c>
      <c r="FH13" s="316">
        <f t="shared" si="8"/>
        <v>0</v>
      </c>
      <c r="FI13" s="316">
        <f t="shared" si="8"/>
        <v>0</v>
      </c>
      <c r="FJ13" s="316">
        <f t="shared" si="8"/>
        <v>0</v>
      </c>
      <c r="FK13" s="316">
        <f t="shared" si="8"/>
        <v>0</v>
      </c>
      <c r="FL13" s="168"/>
    </row>
    <row r="14" spans="1:168" x14ac:dyDescent="0.25">
      <c r="B14" s="107" t="s">
        <v>393</v>
      </c>
      <c r="C14" s="294"/>
      <c r="D14" s="294"/>
      <c r="E14" s="294"/>
      <c r="F14" s="294"/>
      <c r="G14" s="294"/>
      <c r="H14" s="294"/>
      <c r="I14" s="294"/>
      <c r="J14" s="160">
        <f>TripMode_inputCBD!I11</f>
        <v>66125.770869999993</v>
      </c>
      <c r="K14" s="294"/>
      <c r="L14" s="294"/>
      <c r="M14" s="294"/>
      <c r="N14" s="294"/>
      <c r="O14" s="294"/>
      <c r="P14" s="162">
        <f t="shared" si="0"/>
        <v>66125.770869999993</v>
      </c>
      <c r="R14">
        <f t="shared" si="9"/>
        <v>0</v>
      </c>
      <c r="S14">
        <f t="shared" si="10"/>
        <v>0</v>
      </c>
      <c r="T14">
        <f t="shared" si="11"/>
        <v>0</v>
      </c>
      <c r="Y14" s="107" t="s">
        <v>393</v>
      </c>
      <c r="Z14" s="294"/>
      <c r="AA14" s="294"/>
      <c r="AB14" s="294"/>
      <c r="AC14" s="294"/>
      <c r="AD14" s="294"/>
      <c r="AE14" s="294"/>
      <c r="AF14" s="294"/>
      <c r="AG14" s="160">
        <f>+J14</f>
        <v>66125.770869999993</v>
      </c>
      <c r="AH14" s="294"/>
      <c r="AI14" s="294"/>
      <c r="AJ14" s="294"/>
      <c r="AK14" s="294"/>
      <c r="AL14" s="294"/>
      <c r="AM14" s="162">
        <f t="shared" si="2"/>
        <v>66125.770869999993</v>
      </c>
      <c r="AO14" s="107" t="s">
        <v>393</v>
      </c>
      <c r="AP14" s="294">
        <f>TripMode_inputCBD!R11*Index!$B$2</f>
        <v>0</v>
      </c>
      <c r="AQ14" s="294">
        <f>TripMode_inputCBD!S11*Index!$B$2</f>
        <v>0</v>
      </c>
      <c r="AR14" s="294">
        <f>TripMode_inputCBD!T11*Index!$B$2</f>
        <v>0</v>
      </c>
      <c r="AS14" s="294">
        <f>TripMode_inputCBD!U11*Index!$B$2</f>
        <v>0</v>
      </c>
      <c r="AT14" s="294">
        <f>TripMode_inputCBD!V11*Index!$B$2</f>
        <v>0</v>
      </c>
      <c r="AU14" s="294">
        <f>TripMode_inputCBD!W11*Index!$B$2</f>
        <v>0</v>
      </c>
      <c r="AV14" s="294">
        <f>TripMode_inputCBD!X11*Index!$B$2</f>
        <v>0</v>
      </c>
      <c r="AW14" s="160">
        <f>TripMode_inputCBD!Y11*Index!$B$2</f>
        <v>65230</v>
      </c>
      <c r="AX14" s="294">
        <f>TripMode_inputCBD!AA11*Index!$B$2</f>
        <v>0</v>
      </c>
      <c r="AY14" s="294">
        <f>TripMode_inputCBD!AB11*Index!$B$2</f>
        <v>0</v>
      </c>
      <c r="AZ14" s="294">
        <f>TripMode_inputCBD!AC11*Index!$B$2</f>
        <v>0</v>
      </c>
      <c r="BA14" s="294">
        <f>TripMode_inputCBD!AD11*Index!$B$2</f>
        <v>0</v>
      </c>
      <c r="BB14" s="294">
        <f>TripMode_inputCBD!AE11*Index!$B$2</f>
        <v>0</v>
      </c>
      <c r="BC14" s="162">
        <f t="shared" si="3"/>
        <v>65230</v>
      </c>
      <c r="BE14" s="107" t="s">
        <v>393</v>
      </c>
      <c r="BF14" s="166">
        <f t="shared" si="18"/>
        <v>0</v>
      </c>
      <c r="BG14" s="166"/>
      <c r="BH14" s="166">
        <f t="shared" si="19"/>
        <v>0</v>
      </c>
      <c r="BI14" s="166"/>
      <c r="BJ14" s="166">
        <f t="shared" si="20"/>
        <v>0</v>
      </c>
      <c r="BK14" s="166"/>
      <c r="BL14" s="166">
        <f t="shared" si="21"/>
        <v>0</v>
      </c>
      <c r="BM14" s="166">
        <f t="shared" si="21"/>
        <v>1</v>
      </c>
      <c r="BN14" s="166">
        <f t="shared" si="21"/>
        <v>0</v>
      </c>
      <c r="BO14" s="166">
        <f t="shared" si="21"/>
        <v>0</v>
      </c>
      <c r="BP14" s="166">
        <f t="shared" si="21"/>
        <v>0</v>
      </c>
      <c r="BQ14" s="166">
        <f t="shared" si="21"/>
        <v>0</v>
      </c>
      <c r="BR14" s="166">
        <f t="shared" si="21"/>
        <v>0</v>
      </c>
      <c r="BS14" s="166">
        <f t="shared" si="21"/>
        <v>4.786746678331346E-2</v>
      </c>
      <c r="BU14" s="107" t="s">
        <v>393</v>
      </c>
      <c r="BV14" s="166">
        <f t="shared" si="22"/>
        <v>0</v>
      </c>
      <c r="BW14" s="166">
        <f t="shared" si="22"/>
        <v>0</v>
      </c>
      <c r="BX14" s="166">
        <f t="shared" si="22"/>
        <v>0</v>
      </c>
      <c r="BY14" s="166">
        <f t="shared" si="22"/>
        <v>0</v>
      </c>
      <c r="BZ14" s="166">
        <f t="shared" si="22"/>
        <v>0</v>
      </c>
      <c r="CA14" s="166">
        <f t="shared" si="22"/>
        <v>0</v>
      </c>
      <c r="CB14" s="166">
        <f t="shared" si="22"/>
        <v>0</v>
      </c>
      <c r="CC14" s="166">
        <f t="shared" si="22"/>
        <v>1</v>
      </c>
      <c r="CD14" s="166">
        <f t="shared" si="22"/>
        <v>0</v>
      </c>
      <c r="CE14" s="166">
        <f t="shared" si="22"/>
        <v>0</v>
      </c>
      <c r="CF14" s="166">
        <f t="shared" si="22"/>
        <v>0</v>
      </c>
      <c r="CG14" s="166">
        <f t="shared" si="22"/>
        <v>0</v>
      </c>
      <c r="CH14" s="166" t="str">
        <f t="shared" si="22"/>
        <v/>
      </c>
      <c r="CI14" s="168">
        <f t="shared" si="22"/>
        <v>7.2754243904615309E-2</v>
      </c>
      <c r="CK14" s="107" t="s">
        <v>393</v>
      </c>
      <c r="CL14" s="166"/>
      <c r="CM14" s="166"/>
      <c r="CN14" s="166"/>
      <c r="CO14" s="166"/>
      <c r="CP14" s="166"/>
      <c r="CQ14" s="166"/>
      <c r="CR14" s="166"/>
      <c r="CS14" s="166"/>
      <c r="CT14" s="166"/>
      <c r="CU14" s="166"/>
      <c r="CV14" s="166"/>
      <c r="CW14" s="166"/>
      <c r="CX14" s="166"/>
      <c r="CY14" s="168"/>
      <c r="DA14" s="107" t="s">
        <v>393</v>
      </c>
      <c r="DB14" s="315"/>
      <c r="DC14" s="315"/>
      <c r="DD14" s="315"/>
      <c r="DE14" s="315"/>
      <c r="DF14" s="315"/>
      <c r="DG14" s="315"/>
      <c r="DH14" s="315"/>
      <c r="DI14" s="314">
        <f>IFERROR(IF(CC14&gt;0,LN(BM14/CC14),0),0)</f>
        <v>0</v>
      </c>
      <c r="DJ14" s="315"/>
      <c r="DK14" s="315"/>
      <c r="DL14" s="315"/>
      <c r="DM14" s="315"/>
      <c r="DN14" s="315"/>
      <c r="DO14" s="168"/>
      <c r="DQ14" s="107" t="s">
        <v>393</v>
      </c>
      <c r="DR14" s="315"/>
      <c r="DS14" s="315"/>
      <c r="DT14" s="315"/>
      <c r="DU14" s="315"/>
      <c r="DV14" s="315"/>
      <c r="DW14" s="315"/>
      <c r="DX14" s="315"/>
      <c r="DY14" s="314">
        <v>0</v>
      </c>
      <c r="DZ14" s="315"/>
      <c r="EA14" s="315"/>
      <c r="EB14" s="315"/>
      <c r="EC14" s="315"/>
      <c r="ED14" s="315"/>
      <c r="EE14" s="168"/>
      <c r="EG14" s="107" t="s">
        <v>393</v>
      </c>
      <c r="EH14" s="315"/>
      <c r="EI14" s="315"/>
      <c r="EJ14" s="315"/>
      <c r="EK14" s="315"/>
      <c r="EL14" s="315"/>
      <c r="EM14" s="315"/>
      <c r="EN14" s="315"/>
      <c r="EO14" s="314">
        <v>0</v>
      </c>
      <c r="EP14" s="315"/>
      <c r="EQ14" s="315"/>
      <c r="ER14" s="315"/>
      <c r="ES14" s="315"/>
      <c r="ET14" s="315"/>
      <c r="EU14" s="168"/>
      <c r="EW14" s="164" t="s">
        <v>393</v>
      </c>
      <c r="EX14" s="316">
        <f t="shared" si="12"/>
        <v>0</v>
      </c>
      <c r="EY14" s="316">
        <f t="shared" si="8"/>
        <v>0</v>
      </c>
      <c r="EZ14" s="316">
        <f t="shared" si="8"/>
        <v>0</v>
      </c>
      <c r="FA14" s="316">
        <f t="shared" si="8"/>
        <v>0</v>
      </c>
      <c r="FB14" s="316">
        <f t="shared" si="8"/>
        <v>0</v>
      </c>
      <c r="FC14" s="316">
        <f t="shared" si="8"/>
        <v>0</v>
      </c>
      <c r="FD14" s="316">
        <f t="shared" si="8"/>
        <v>0</v>
      </c>
      <c r="FE14" s="316">
        <f t="shared" si="8"/>
        <v>0</v>
      </c>
      <c r="FF14" s="316"/>
      <c r="FG14" s="316">
        <f t="shared" si="8"/>
        <v>0</v>
      </c>
      <c r="FH14" s="316">
        <f t="shared" si="8"/>
        <v>0</v>
      </c>
      <c r="FI14" s="316">
        <f t="shared" si="8"/>
        <v>0</v>
      </c>
      <c r="FJ14" s="316">
        <f t="shared" si="8"/>
        <v>0</v>
      </c>
      <c r="FK14" s="316">
        <f t="shared" si="8"/>
        <v>0</v>
      </c>
      <c r="FL14" s="168"/>
    </row>
    <row r="15" spans="1:168" x14ac:dyDescent="0.25">
      <c r="B15" s="107" t="s">
        <v>546</v>
      </c>
      <c r="C15" s="294"/>
      <c r="D15" s="294"/>
      <c r="E15" s="294"/>
      <c r="F15" s="294"/>
      <c r="G15" s="294"/>
      <c r="H15" s="294"/>
      <c r="I15" s="294"/>
      <c r="J15" s="294"/>
      <c r="K15" s="160">
        <f>TripMode_inputCBD!K12+TripMode_inputCBD!J12+TripMode_inputCBD!K13+TripMode_inputCBD!J13</f>
        <v>427722.92645999999</v>
      </c>
      <c r="L15" s="294"/>
      <c r="M15" s="294"/>
      <c r="N15" s="294"/>
      <c r="O15" s="294"/>
      <c r="P15" s="162">
        <f t="shared" si="0"/>
        <v>427722.92645999999</v>
      </c>
      <c r="R15">
        <f t="shared" si="9"/>
        <v>1</v>
      </c>
      <c r="S15">
        <f t="shared" si="10"/>
        <v>0</v>
      </c>
      <c r="T15">
        <f t="shared" si="11"/>
        <v>0</v>
      </c>
      <c r="U15" s="127">
        <f>+K15/K$159</f>
        <v>0.70573713153178352</v>
      </c>
      <c r="V15" s="127"/>
      <c r="W15" s="127"/>
      <c r="X15" s="127"/>
      <c r="Y15" s="107" t="s">
        <v>546</v>
      </c>
      <c r="Z15" s="294"/>
      <c r="AA15" s="294"/>
      <c r="AB15" s="294"/>
      <c r="AC15" s="294"/>
      <c r="AD15" s="294"/>
      <c r="AE15" s="294"/>
      <c r="AF15" s="294"/>
      <c r="AG15" s="294"/>
      <c r="AH15" s="160">
        <f>U15*U$159</f>
        <v>410053.7934315434</v>
      </c>
      <c r="AI15" s="294"/>
      <c r="AJ15" s="294"/>
      <c r="AK15" s="294"/>
      <c r="AL15" s="294"/>
      <c r="AM15" s="162">
        <f t="shared" si="2"/>
        <v>410053.7934315434</v>
      </c>
      <c r="AN15" s="127"/>
      <c r="AO15" s="107" t="s">
        <v>395</v>
      </c>
      <c r="AP15" s="294">
        <f>TripMode_inputCBD!R13*Index!$B$2</f>
        <v>0</v>
      </c>
      <c r="AQ15" s="294">
        <f>TripMode_inputCBD!S13*Index!$B$2</f>
        <v>0</v>
      </c>
      <c r="AR15" s="294">
        <f>TripMode_inputCBD!T13*Index!$B$2</f>
        <v>0</v>
      </c>
      <c r="AS15" s="294">
        <f>TripMode_inputCBD!U13*Index!$B$2</f>
        <v>0</v>
      </c>
      <c r="AT15" s="294">
        <f>TripMode_inputCBD!V13*Index!$B$2</f>
        <v>0</v>
      </c>
      <c r="AU15" s="294">
        <f>TripMode_inputCBD!W13*Index!$B$2</f>
        <v>0</v>
      </c>
      <c r="AV15" s="294">
        <f>TripMode_inputCBD!X13*Index!$B$2</f>
        <v>0</v>
      </c>
      <c r="AW15" s="294">
        <f>TripMode_inputCBD!Y13*Index!$B$2</f>
        <v>0</v>
      </c>
      <c r="AX15" s="160">
        <f>TripMode_inputCBD!AA13*Index!$B$2</f>
        <v>255165</v>
      </c>
      <c r="AY15" s="160">
        <f>TripMode_inputCBD!AB13*Index!$B$2</f>
        <v>0</v>
      </c>
      <c r="AZ15" s="160">
        <f>TripMode_inputCBD!AC13*Index!$B$2</f>
        <v>0</v>
      </c>
      <c r="BA15" s="294">
        <f>TripMode_inputCBD!AD13*Index!$B$2</f>
        <v>0</v>
      </c>
      <c r="BB15" s="294">
        <f>TripMode_inputCBD!AE13*Index!$B$2</f>
        <v>0</v>
      </c>
      <c r="BC15" s="162">
        <f t="shared" si="3"/>
        <v>255165</v>
      </c>
      <c r="BE15" s="107" t="s">
        <v>395</v>
      </c>
      <c r="BF15" s="166">
        <f t="shared" si="18"/>
        <v>0</v>
      </c>
      <c r="BG15" s="166"/>
      <c r="BH15" s="166">
        <f t="shared" si="19"/>
        <v>0</v>
      </c>
      <c r="BI15" s="166"/>
      <c r="BJ15" s="166">
        <f t="shared" si="20"/>
        <v>0</v>
      </c>
      <c r="BK15" s="166"/>
      <c r="BL15" s="166">
        <f t="shared" si="21"/>
        <v>0</v>
      </c>
      <c r="BM15" s="166">
        <f t="shared" si="21"/>
        <v>0</v>
      </c>
      <c r="BN15" s="166">
        <f t="shared" si="21"/>
        <v>0.82281610135200711</v>
      </c>
      <c r="BO15" s="166">
        <f t="shared" si="21"/>
        <v>0</v>
      </c>
      <c r="BP15" s="166">
        <f t="shared" si="21"/>
        <v>0</v>
      </c>
      <c r="BQ15" s="166">
        <f t="shared" si="21"/>
        <v>0</v>
      </c>
      <c r="BR15" s="166">
        <f t="shared" si="21"/>
        <v>0</v>
      </c>
      <c r="BS15" s="166">
        <f t="shared" si="21"/>
        <v>0.29683187172281478</v>
      </c>
      <c r="BU15" s="107" t="s">
        <v>395</v>
      </c>
      <c r="BV15" s="166">
        <f t="shared" si="22"/>
        <v>0</v>
      </c>
      <c r="BW15" s="166">
        <f t="shared" si="22"/>
        <v>0</v>
      </c>
      <c r="BX15" s="166">
        <f t="shared" si="22"/>
        <v>0</v>
      </c>
      <c r="BY15" s="166">
        <f t="shared" si="22"/>
        <v>0</v>
      </c>
      <c r="BZ15" s="166">
        <f t="shared" si="22"/>
        <v>0</v>
      </c>
      <c r="CA15" s="166">
        <f t="shared" si="22"/>
        <v>0</v>
      </c>
      <c r="CB15" s="166">
        <f t="shared" si="22"/>
        <v>0</v>
      </c>
      <c r="CC15" s="166">
        <f t="shared" si="22"/>
        <v>0</v>
      </c>
      <c r="CD15" s="166">
        <f t="shared" si="22"/>
        <v>0.70875229153935893</v>
      </c>
      <c r="CE15" s="166">
        <f t="shared" si="22"/>
        <v>0</v>
      </c>
      <c r="CF15" s="166">
        <f t="shared" si="22"/>
        <v>0</v>
      </c>
      <c r="CG15" s="166">
        <f t="shared" si="22"/>
        <v>0</v>
      </c>
      <c r="CH15" s="166" t="str">
        <f t="shared" si="22"/>
        <v/>
      </c>
      <c r="CI15" s="168">
        <f t="shared" si="22"/>
        <v>0.28459813959713576</v>
      </c>
      <c r="CK15" s="107" t="s">
        <v>395</v>
      </c>
      <c r="CL15" s="166" t="str">
        <f t="shared" ref="CL15:CO20" si="23">IF(OR(ISNA(BF15),BF15=0,BF15=""),"",(BV15-BF15)/BF15)</f>
        <v/>
      </c>
      <c r="CM15" s="166" t="str">
        <f t="shared" si="23"/>
        <v/>
      </c>
      <c r="CN15" s="166" t="str">
        <f t="shared" si="23"/>
        <v/>
      </c>
      <c r="CO15" s="166" t="str">
        <f t="shared" si="23"/>
        <v/>
      </c>
      <c r="CP15" s="166"/>
      <c r="CQ15" s="166"/>
      <c r="CR15" s="166"/>
      <c r="CS15" s="166"/>
      <c r="CT15" s="166">
        <f t="shared" ref="CT15:CY20" si="24">IF(OR(ISNA(BN15),BN15=0,BN15=""),"",(CD15-BN15)/BN15)</f>
        <v>-0.13862612754566261</v>
      </c>
      <c r="CU15" s="166" t="str">
        <f t="shared" si="24"/>
        <v/>
      </c>
      <c r="CV15" s="166" t="str">
        <f t="shared" si="24"/>
        <v/>
      </c>
      <c r="CW15" s="166" t="str">
        <f t="shared" si="24"/>
        <v/>
      </c>
      <c r="CX15" s="166" t="str">
        <f t="shared" si="24"/>
        <v/>
      </c>
      <c r="CY15" s="168">
        <f t="shared" si="24"/>
        <v>-4.1214348225729038E-2</v>
      </c>
      <c r="DA15" s="107" t="s">
        <v>395</v>
      </c>
      <c r="DB15" s="315"/>
      <c r="DC15" s="315"/>
      <c r="DD15" s="315"/>
      <c r="DE15" s="315"/>
      <c r="DF15" s="315"/>
      <c r="DG15" s="315"/>
      <c r="DH15" s="315"/>
      <c r="DI15" s="315"/>
      <c r="DJ15" s="314">
        <f t="shared" si="15"/>
        <v>0.1492266383123409</v>
      </c>
      <c r="DK15" s="314">
        <f t="shared" si="15"/>
        <v>0</v>
      </c>
      <c r="DL15" s="314">
        <f>IFERROR(IF(CF15&gt;0,LN(BP15/CF15),0),0)</f>
        <v>0</v>
      </c>
      <c r="DM15" s="315"/>
      <c r="DN15" s="315"/>
      <c r="DO15" s="168"/>
      <c r="DQ15" s="107" t="s">
        <v>395</v>
      </c>
      <c r="DR15" s="315"/>
      <c r="DS15" s="315"/>
      <c r="DT15" s="315"/>
      <c r="DU15" s="315"/>
      <c r="DV15" s="315"/>
      <c r="DW15" s="315"/>
      <c r="DX15" s="315"/>
      <c r="DY15" s="315"/>
      <c r="DZ15" s="314">
        <v>0</v>
      </c>
      <c r="EA15" s="314">
        <v>0</v>
      </c>
      <c r="EB15" s="314">
        <v>0</v>
      </c>
      <c r="EC15" s="315"/>
      <c r="ED15" s="315"/>
      <c r="EE15" s="168"/>
      <c r="EG15" s="107" t="s">
        <v>581</v>
      </c>
      <c r="EH15" s="315"/>
      <c r="EI15" s="315"/>
      <c r="EJ15" s="315"/>
      <c r="EK15" s="315"/>
      <c r="EL15" s="315"/>
      <c r="EM15" s="315"/>
      <c r="EN15" s="315"/>
      <c r="EO15" s="315"/>
      <c r="EP15" s="314">
        <v>0</v>
      </c>
      <c r="EQ15" s="314">
        <f>EA15+(DK15-DK$16)*$EI$1</f>
        <v>0</v>
      </c>
      <c r="ER15" s="314">
        <f>EB15+(DL15-DL$17)*$EI$1</f>
        <v>0</v>
      </c>
      <c r="ES15" s="315"/>
      <c r="ET15" s="315"/>
      <c r="EU15" s="168"/>
      <c r="EW15" s="164" t="s">
        <v>546</v>
      </c>
      <c r="EX15" s="316">
        <f t="shared" si="12"/>
        <v>0</v>
      </c>
      <c r="EY15" s="316">
        <f t="shared" si="8"/>
        <v>0</v>
      </c>
      <c r="EZ15" s="316">
        <f t="shared" si="8"/>
        <v>-1.7820852452090614</v>
      </c>
      <c r="FA15" s="316">
        <f t="shared" si="8"/>
        <v>-1.7820852452090614</v>
      </c>
      <c r="FB15" s="316">
        <f t="shared" si="8"/>
        <v>-2.1208577780609108</v>
      </c>
      <c r="FC15" s="316">
        <f t="shared" si="8"/>
        <v>-2.1208577780609108</v>
      </c>
      <c r="FD15" s="316">
        <f t="shared" si="8"/>
        <v>-3.1869983428472692</v>
      </c>
      <c r="FE15" s="316">
        <f t="shared" si="8"/>
        <v>0</v>
      </c>
      <c r="FF15" s="316"/>
      <c r="FG15" s="316">
        <f t="shared" si="8"/>
        <v>0</v>
      </c>
      <c r="FH15" s="316">
        <f t="shared" si="8"/>
        <v>0</v>
      </c>
      <c r="FI15" s="316">
        <f t="shared" si="8"/>
        <v>0</v>
      </c>
      <c r="FJ15" s="316">
        <f t="shared" si="8"/>
        <v>-0.83256970087072202</v>
      </c>
      <c r="FK15" s="316">
        <f t="shared" si="8"/>
        <v>0</v>
      </c>
      <c r="FL15" s="168"/>
    </row>
    <row r="16" spans="1:168" x14ac:dyDescent="0.25">
      <c r="B16" s="107" t="s">
        <v>396</v>
      </c>
      <c r="C16" s="294"/>
      <c r="D16" s="294"/>
      <c r="E16" s="294"/>
      <c r="F16" s="294"/>
      <c r="G16" s="294"/>
      <c r="H16" s="294"/>
      <c r="I16" s="294"/>
      <c r="J16" s="294"/>
      <c r="K16" s="294"/>
      <c r="L16" s="160">
        <f>TripMode_inputCBD!L14</f>
        <v>47690.655449999998</v>
      </c>
      <c r="M16" s="294"/>
      <c r="N16" s="294"/>
      <c r="O16" s="294"/>
      <c r="P16" s="162">
        <f t="shared" si="0"/>
        <v>47690.655449999998</v>
      </c>
      <c r="R16">
        <f t="shared" si="9"/>
        <v>0</v>
      </c>
      <c r="S16">
        <f t="shared" si="10"/>
        <v>1</v>
      </c>
      <c r="T16">
        <f t="shared" si="11"/>
        <v>0</v>
      </c>
      <c r="V16" s="127">
        <f>+L16/L$160</f>
        <v>0.80589699278384352</v>
      </c>
      <c r="W16" s="127"/>
      <c r="X16" s="127"/>
      <c r="Y16" s="107" t="s">
        <v>396</v>
      </c>
      <c r="Z16" s="294"/>
      <c r="AA16" s="294"/>
      <c r="AB16" s="294"/>
      <c r="AC16" s="294"/>
      <c r="AD16" s="294"/>
      <c r="AE16" s="294"/>
      <c r="AF16" s="294"/>
      <c r="AG16" s="294"/>
      <c r="AH16" s="294"/>
      <c r="AI16" s="160">
        <f>V16*V$160</f>
        <v>25213.281713893408</v>
      </c>
      <c r="AJ16" s="294"/>
      <c r="AK16" s="294"/>
      <c r="AL16" s="294"/>
      <c r="AM16" s="162">
        <f t="shared" si="2"/>
        <v>25213.281713893408</v>
      </c>
      <c r="AN16" s="127"/>
      <c r="AO16" s="107" t="s">
        <v>396</v>
      </c>
      <c r="AP16" s="294">
        <f>TripMode_inputCBD!R14*Index!$B$2</f>
        <v>0</v>
      </c>
      <c r="AQ16" s="294">
        <f>TripMode_inputCBD!S14*Index!$B$2</f>
        <v>0</v>
      </c>
      <c r="AR16" s="294">
        <f>TripMode_inputCBD!T14*Index!$B$2</f>
        <v>0</v>
      </c>
      <c r="AS16" s="294">
        <f>TripMode_inputCBD!U14*Index!$B$2</f>
        <v>0</v>
      </c>
      <c r="AT16" s="294">
        <f>TripMode_inputCBD!V14*Index!$B$2</f>
        <v>0</v>
      </c>
      <c r="AU16" s="294">
        <f>TripMode_inputCBD!W14*Index!$B$2</f>
        <v>0</v>
      </c>
      <c r="AV16" s="294">
        <f>TripMode_inputCBD!X14*Index!$B$2</f>
        <v>0</v>
      </c>
      <c r="AW16" s="294">
        <f>TripMode_inputCBD!Y14*Index!$B$2</f>
        <v>0</v>
      </c>
      <c r="AX16" s="294">
        <f>TripMode_inputCBD!AA14*Index!$B$2</f>
        <v>0</v>
      </c>
      <c r="AY16" s="160">
        <f>TripMode_inputCBD!AB14*Index!$B$2</f>
        <v>11445</v>
      </c>
      <c r="AZ16" s="294">
        <f>TripMode_inputCBD!AC14*Index!$B$2</f>
        <v>0</v>
      </c>
      <c r="BA16" s="294">
        <f>TripMode_inputCBD!AD14*Index!$B$2</f>
        <v>0</v>
      </c>
      <c r="BB16" s="294">
        <f>TripMode_inputCBD!AE14*Index!$B$2</f>
        <v>0</v>
      </c>
      <c r="BC16" s="162">
        <f t="shared" si="3"/>
        <v>11445</v>
      </c>
      <c r="BE16" s="107" t="s">
        <v>396</v>
      </c>
      <c r="BF16" s="166">
        <f t="shared" si="18"/>
        <v>0</v>
      </c>
      <c r="BG16" s="166"/>
      <c r="BH16" s="166">
        <f t="shared" si="19"/>
        <v>0</v>
      </c>
      <c r="BI16" s="166"/>
      <c r="BJ16" s="166">
        <f t="shared" si="20"/>
        <v>0</v>
      </c>
      <c r="BK16" s="166"/>
      <c r="BL16" s="166">
        <f t="shared" si="21"/>
        <v>0</v>
      </c>
      <c r="BM16" s="166">
        <f t="shared" si="21"/>
        <v>0</v>
      </c>
      <c r="BN16" s="166">
        <f t="shared" si="21"/>
        <v>0</v>
      </c>
      <c r="BO16" s="166">
        <f t="shared" si="21"/>
        <v>1</v>
      </c>
      <c r="BP16" s="166">
        <f t="shared" si="21"/>
        <v>0</v>
      </c>
      <c r="BQ16" s="166">
        <f t="shared" si="21"/>
        <v>0</v>
      </c>
      <c r="BR16" s="166">
        <f t="shared" si="21"/>
        <v>0</v>
      </c>
      <c r="BS16" s="166">
        <f t="shared" si="21"/>
        <v>1.8251521442537361E-2</v>
      </c>
      <c r="BU16" s="107" t="s">
        <v>396</v>
      </c>
      <c r="BV16" s="166">
        <f t="shared" si="22"/>
        <v>0</v>
      </c>
      <c r="BW16" s="166">
        <f t="shared" si="22"/>
        <v>0</v>
      </c>
      <c r="BX16" s="166">
        <f t="shared" si="22"/>
        <v>0</v>
      </c>
      <c r="BY16" s="166">
        <f t="shared" si="22"/>
        <v>0</v>
      </c>
      <c r="BZ16" s="166">
        <f t="shared" si="22"/>
        <v>0</v>
      </c>
      <c r="CA16" s="166">
        <f t="shared" si="22"/>
        <v>0</v>
      </c>
      <c r="CB16" s="166">
        <f t="shared" si="22"/>
        <v>0</v>
      </c>
      <c r="CC16" s="166">
        <f t="shared" si="22"/>
        <v>0</v>
      </c>
      <c r="CD16" s="166">
        <f t="shared" si="22"/>
        <v>0</v>
      </c>
      <c r="CE16" s="166">
        <f t="shared" si="22"/>
        <v>1</v>
      </c>
      <c r="CF16" s="166">
        <f t="shared" si="22"/>
        <v>0</v>
      </c>
      <c r="CG16" s="166">
        <f t="shared" si="22"/>
        <v>0</v>
      </c>
      <c r="CH16" s="166" t="str">
        <f t="shared" si="22"/>
        <v/>
      </c>
      <c r="CI16" s="168">
        <f t="shared" si="22"/>
        <v>1.2765174329117312E-2</v>
      </c>
      <c r="CK16" s="107" t="s">
        <v>396</v>
      </c>
      <c r="CL16" s="166" t="str">
        <f t="shared" si="23"/>
        <v/>
      </c>
      <c r="CM16" s="166" t="str">
        <f t="shared" si="23"/>
        <v/>
      </c>
      <c r="CN16" s="166" t="str">
        <f t="shared" si="23"/>
        <v/>
      </c>
      <c r="CO16" s="166" t="str">
        <f t="shared" si="23"/>
        <v/>
      </c>
      <c r="CP16" s="166"/>
      <c r="CQ16" s="166"/>
      <c r="CR16" s="166"/>
      <c r="CS16" s="166"/>
      <c r="CT16" s="166" t="str">
        <f t="shared" si="24"/>
        <v/>
      </c>
      <c r="CU16" s="166">
        <f t="shared" si="24"/>
        <v>0</v>
      </c>
      <c r="CV16" s="166" t="str">
        <f t="shared" si="24"/>
        <v/>
      </c>
      <c r="CW16" s="166" t="str">
        <f t="shared" si="24"/>
        <v/>
      </c>
      <c r="CX16" s="166" t="str">
        <f t="shared" si="24"/>
        <v/>
      </c>
      <c r="CY16" s="168">
        <f t="shared" si="24"/>
        <v>-0.30059669988023346</v>
      </c>
      <c r="DA16" s="107" t="s">
        <v>396</v>
      </c>
      <c r="DB16" s="315"/>
      <c r="DC16" s="315"/>
      <c r="DD16" s="315"/>
      <c r="DE16" s="315"/>
      <c r="DF16" s="315"/>
      <c r="DG16" s="315"/>
      <c r="DH16" s="315"/>
      <c r="DI16" s="315"/>
      <c r="DJ16" s="315"/>
      <c r="DK16" s="314">
        <f t="shared" si="15"/>
        <v>0</v>
      </c>
      <c r="DL16" s="315"/>
      <c r="DM16" s="315"/>
      <c r="DN16" s="315"/>
      <c r="DO16" s="168"/>
      <c r="DQ16" s="107" t="s">
        <v>396</v>
      </c>
      <c r="DR16" s="315"/>
      <c r="DS16" s="315"/>
      <c r="DT16" s="315"/>
      <c r="DU16" s="315"/>
      <c r="DV16" s="315"/>
      <c r="DW16" s="315"/>
      <c r="DX16" s="315"/>
      <c r="DY16" s="315"/>
      <c r="DZ16" s="315"/>
      <c r="EA16" s="314">
        <v>0</v>
      </c>
      <c r="EB16" s="315"/>
      <c r="EC16" s="315"/>
      <c r="ED16" s="315"/>
      <c r="EE16" s="168"/>
      <c r="EG16" s="107" t="s">
        <v>396</v>
      </c>
      <c r="EH16" s="315"/>
      <c r="EI16" s="315"/>
      <c r="EJ16" s="315"/>
      <c r="EK16" s="315"/>
      <c r="EL16" s="315"/>
      <c r="EM16" s="315"/>
      <c r="EN16" s="315"/>
      <c r="EO16" s="315"/>
      <c r="EP16" s="315"/>
      <c r="EQ16" s="314">
        <v>0</v>
      </c>
      <c r="ER16" s="315"/>
      <c r="ES16" s="315"/>
      <c r="ET16" s="315"/>
      <c r="EU16" s="168"/>
      <c r="EW16" s="164" t="s">
        <v>396</v>
      </c>
      <c r="EX16" s="316">
        <f t="shared" si="12"/>
        <v>0</v>
      </c>
      <c r="EY16" s="316">
        <f t="shared" si="8"/>
        <v>0</v>
      </c>
      <c r="EZ16" s="316">
        <f t="shared" si="8"/>
        <v>0</v>
      </c>
      <c r="FA16" s="316">
        <f t="shared" si="8"/>
        <v>0</v>
      </c>
      <c r="FB16" s="316">
        <f t="shared" si="8"/>
        <v>0</v>
      </c>
      <c r="FC16" s="316">
        <f t="shared" si="8"/>
        <v>0</v>
      </c>
      <c r="FD16" s="316">
        <f t="shared" si="8"/>
        <v>0</v>
      </c>
      <c r="FE16" s="316">
        <f t="shared" si="8"/>
        <v>0</v>
      </c>
      <c r="FF16" s="316"/>
      <c r="FG16" s="316">
        <f t="shared" si="8"/>
        <v>0</v>
      </c>
      <c r="FH16" s="316">
        <f t="shared" si="8"/>
        <v>0</v>
      </c>
      <c r="FI16" s="316">
        <f t="shared" si="8"/>
        <v>0</v>
      </c>
      <c r="FJ16" s="316">
        <f t="shared" si="8"/>
        <v>0</v>
      </c>
      <c r="FK16" s="316">
        <f t="shared" si="8"/>
        <v>0</v>
      </c>
      <c r="FL16" s="168"/>
    </row>
    <row r="17" spans="2:168" x14ac:dyDescent="0.25">
      <c r="B17" s="107" t="s">
        <v>397</v>
      </c>
      <c r="C17" s="294"/>
      <c r="D17" s="294"/>
      <c r="E17" s="294"/>
      <c r="F17" s="294"/>
      <c r="G17" s="294"/>
      <c r="H17" s="294"/>
      <c r="I17" s="294"/>
      <c r="J17" s="294"/>
      <c r="K17" s="294"/>
      <c r="L17" s="294"/>
      <c r="M17" s="160">
        <f>TripMode_inputCBD!M15</f>
        <v>216819.09826999999</v>
      </c>
      <c r="N17" s="294"/>
      <c r="O17" s="294"/>
      <c r="P17" s="162">
        <f t="shared" si="0"/>
        <v>216819.09826999999</v>
      </c>
      <c r="R17">
        <f t="shared" si="9"/>
        <v>0</v>
      </c>
      <c r="S17">
        <f t="shared" si="10"/>
        <v>0</v>
      </c>
      <c r="T17">
        <f t="shared" si="11"/>
        <v>1</v>
      </c>
      <c r="W17" s="127">
        <f>+M17/M$161</f>
        <v>0.89585179500125312</v>
      </c>
      <c r="X17" s="127"/>
      <c r="Y17" s="107" t="s">
        <v>397</v>
      </c>
      <c r="Z17" s="294"/>
      <c r="AA17" s="294"/>
      <c r="AB17" s="294"/>
      <c r="AC17" s="294"/>
      <c r="AD17" s="294"/>
      <c r="AE17" s="294"/>
      <c r="AF17" s="294"/>
      <c r="AG17" s="294"/>
      <c r="AH17" s="294"/>
      <c r="AI17" s="294"/>
      <c r="AJ17" s="160">
        <f>W17*W$161</f>
        <v>82589.1486382414</v>
      </c>
      <c r="AK17" s="294"/>
      <c r="AL17" s="294"/>
      <c r="AM17" s="162">
        <f t="shared" si="2"/>
        <v>82589.1486382414</v>
      </c>
      <c r="AN17" s="127"/>
      <c r="AO17" s="107" t="s">
        <v>397</v>
      </c>
      <c r="AP17" s="294">
        <f>TripMode_inputCBD!R15*Index!$B$2</f>
        <v>0</v>
      </c>
      <c r="AQ17" s="294">
        <f>TripMode_inputCBD!S15*Index!$B$2</f>
        <v>0</v>
      </c>
      <c r="AR17" s="294">
        <f>TripMode_inputCBD!T15*Index!$B$2</f>
        <v>0</v>
      </c>
      <c r="AS17" s="294">
        <f>TripMode_inputCBD!U15*Index!$B$2</f>
        <v>0</v>
      </c>
      <c r="AT17" s="294">
        <f>TripMode_inputCBD!V15*Index!$B$2</f>
        <v>0</v>
      </c>
      <c r="AU17" s="294">
        <f>TripMode_inputCBD!W15*Index!$B$2</f>
        <v>0</v>
      </c>
      <c r="AV17" s="294">
        <f>TripMode_inputCBD!X15*Index!$B$2</f>
        <v>0</v>
      </c>
      <c r="AW17" s="294">
        <f>TripMode_inputCBD!Y15*Index!$B$2</f>
        <v>0</v>
      </c>
      <c r="AX17" s="294">
        <f>TripMode_inputCBD!AA15*Index!$B$2</f>
        <v>0</v>
      </c>
      <c r="AY17" s="294">
        <f>TripMode_inputCBD!AB15*Index!$B$2</f>
        <v>0</v>
      </c>
      <c r="AZ17" s="160">
        <f>TripMode_inputCBD!AC15*Index!$B$2</f>
        <v>29855</v>
      </c>
      <c r="BA17" s="294">
        <f>TripMode_inputCBD!AD15*Index!$B$2</f>
        <v>0</v>
      </c>
      <c r="BB17" s="294">
        <f>TripMode_inputCBD!AE15*Index!$B$2</f>
        <v>0</v>
      </c>
      <c r="BC17" s="162">
        <f t="shared" si="3"/>
        <v>29855</v>
      </c>
      <c r="BE17" s="107" t="s">
        <v>397</v>
      </c>
      <c r="BF17" s="166">
        <f t="shared" si="18"/>
        <v>0</v>
      </c>
      <c r="BG17" s="166"/>
      <c r="BH17" s="166">
        <f t="shared" si="19"/>
        <v>0</v>
      </c>
      <c r="BI17" s="166"/>
      <c r="BJ17" s="166">
        <f t="shared" si="20"/>
        <v>0</v>
      </c>
      <c r="BK17" s="166"/>
      <c r="BL17" s="166">
        <f t="shared" si="21"/>
        <v>0</v>
      </c>
      <c r="BM17" s="166">
        <f t="shared" si="21"/>
        <v>0</v>
      </c>
      <c r="BN17" s="166">
        <f t="shared" si="21"/>
        <v>0</v>
      </c>
      <c r="BO17" s="166">
        <f t="shared" si="21"/>
        <v>0</v>
      </c>
      <c r="BP17" s="166">
        <f t="shared" si="21"/>
        <v>1</v>
      </c>
      <c r="BQ17" s="166">
        <f t="shared" si="21"/>
        <v>0</v>
      </c>
      <c r="BR17" s="166">
        <f t="shared" si="21"/>
        <v>0</v>
      </c>
      <c r="BS17" s="166">
        <f t="shared" si="21"/>
        <v>5.9785062269825433E-2</v>
      </c>
      <c r="BU17" s="107" t="s">
        <v>397</v>
      </c>
      <c r="BV17" s="166">
        <f t="shared" si="22"/>
        <v>0</v>
      </c>
      <c r="BW17" s="166">
        <f t="shared" si="22"/>
        <v>0</v>
      </c>
      <c r="BX17" s="166">
        <f t="shared" si="22"/>
        <v>0</v>
      </c>
      <c r="BY17" s="166">
        <f t="shared" si="22"/>
        <v>0</v>
      </c>
      <c r="BZ17" s="166">
        <f t="shared" si="22"/>
        <v>0</v>
      </c>
      <c r="CA17" s="166">
        <f t="shared" si="22"/>
        <v>0</v>
      </c>
      <c r="CB17" s="166">
        <f t="shared" si="22"/>
        <v>0</v>
      </c>
      <c r="CC17" s="166">
        <f t="shared" si="22"/>
        <v>0</v>
      </c>
      <c r="CD17" s="166">
        <f t="shared" si="22"/>
        <v>0</v>
      </c>
      <c r="CE17" s="166">
        <f t="shared" si="22"/>
        <v>0</v>
      </c>
      <c r="CF17" s="166">
        <f t="shared" si="22"/>
        <v>1</v>
      </c>
      <c r="CG17" s="166">
        <f t="shared" si="22"/>
        <v>0</v>
      </c>
      <c r="CH17" s="166" t="str">
        <f t="shared" si="22"/>
        <v/>
      </c>
      <c r="CI17" s="168">
        <f t="shared" si="22"/>
        <v>3.3298757500724981E-2</v>
      </c>
      <c r="CK17" s="107" t="s">
        <v>397</v>
      </c>
      <c r="CL17" s="166" t="str">
        <f t="shared" si="23"/>
        <v/>
      </c>
      <c r="CM17" s="166" t="str">
        <f t="shared" si="23"/>
        <v/>
      </c>
      <c r="CN17" s="166" t="str">
        <f t="shared" si="23"/>
        <v/>
      </c>
      <c r="CO17" s="166" t="str">
        <f t="shared" si="23"/>
        <v/>
      </c>
      <c r="CP17" s="166"/>
      <c r="CQ17" s="166"/>
      <c r="CR17" s="166"/>
      <c r="CS17" s="166"/>
      <c r="CT17" s="166" t="str">
        <f t="shared" si="24"/>
        <v/>
      </c>
      <c r="CU17" s="166" t="str">
        <f t="shared" si="24"/>
        <v/>
      </c>
      <c r="CV17" s="166">
        <f t="shared" si="24"/>
        <v>0</v>
      </c>
      <c r="CW17" s="166" t="str">
        <f t="shared" si="24"/>
        <v/>
      </c>
      <c r="CX17" s="166" t="str">
        <f t="shared" si="24"/>
        <v/>
      </c>
      <c r="CY17" s="168">
        <f t="shared" si="24"/>
        <v>-0.44302546093472173</v>
      </c>
      <c r="DA17" s="107" t="s">
        <v>397</v>
      </c>
      <c r="DB17" s="315"/>
      <c r="DC17" s="315"/>
      <c r="DD17" s="315"/>
      <c r="DE17" s="315"/>
      <c r="DF17" s="315"/>
      <c r="DG17" s="315"/>
      <c r="DH17" s="315"/>
      <c r="DI17" s="315"/>
      <c r="DJ17" s="315"/>
      <c r="DK17" s="315"/>
      <c r="DL17" s="314">
        <f>IFERROR(IF(CF17&gt;0,LN(BP17/CF17),0),0)</f>
        <v>0</v>
      </c>
      <c r="DM17" s="315"/>
      <c r="DN17" s="315"/>
      <c r="DO17" s="168"/>
      <c r="DQ17" s="107" t="s">
        <v>397</v>
      </c>
      <c r="DR17" s="315"/>
      <c r="DS17" s="315"/>
      <c r="DT17" s="315"/>
      <c r="DU17" s="315"/>
      <c r="DV17" s="315"/>
      <c r="DW17" s="315"/>
      <c r="DX17" s="315"/>
      <c r="DY17" s="315"/>
      <c r="DZ17" s="315"/>
      <c r="EA17" s="315"/>
      <c r="EB17" s="314">
        <v>0</v>
      </c>
      <c r="EC17" s="315"/>
      <c r="ED17" s="315"/>
      <c r="EE17" s="168"/>
      <c r="EG17" s="107" t="s">
        <v>397</v>
      </c>
      <c r="EH17" s="315"/>
      <c r="EI17" s="315"/>
      <c r="EJ17" s="315"/>
      <c r="EK17" s="315"/>
      <c r="EL17" s="315"/>
      <c r="EM17" s="315"/>
      <c r="EN17" s="315"/>
      <c r="EO17" s="315"/>
      <c r="EP17" s="315"/>
      <c r="EQ17" s="315"/>
      <c r="ER17" s="314">
        <v>0</v>
      </c>
      <c r="ES17" s="315"/>
      <c r="ET17" s="315"/>
      <c r="EU17" s="168"/>
      <c r="EW17" s="164" t="s">
        <v>397</v>
      </c>
      <c r="EX17" s="316">
        <f t="shared" si="12"/>
        <v>0</v>
      </c>
      <c r="EY17" s="316">
        <f t="shared" si="8"/>
        <v>0</v>
      </c>
      <c r="EZ17" s="316">
        <f t="shared" si="8"/>
        <v>0</v>
      </c>
      <c r="FA17" s="316">
        <f t="shared" si="8"/>
        <v>0</v>
      </c>
      <c r="FB17" s="316">
        <f t="shared" si="8"/>
        <v>0</v>
      </c>
      <c r="FC17" s="316">
        <f t="shared" si="8"/>
        <v>0</v>
      </c>
      <c r="FD17" s="316">
        <f t="shared" si="8"/>
        <v>0</v>
      </c>
      <c r="FE17" s="316">
        <f t="shared" si="8"/>
        <v>0</v>
      </c>
      <c r="FF17" s="316"/>
      <c r="FG17" s="316">
        <f t="shared" si="8"/>
        <v>0</v>
      </c>
      <c r="FH17" s="316">
        <f t="shared" si="8"/>
        <v>0</v>
      </c>
      <c r="FI17" s="316">
        <f t="shared" si="8"/>
        <v>0</v>
      </c>
      <c r="FJ17" s="316">
        <f t="shared" si="8"/>
        <v>0</v>
      </c>
      <c r="FK17" s="316">
        <f t="shared" si="8"/>
        <v>0</v>
      </c>
      <c r="FL17" s="168"/>
    </row>
    <row r="18" spans="2:168" x14ac:dyDescent="0.25">
      <c r="B18" s="107" t="s">
        <v>398</v>
      </c>
      <c r="C18" s="294"/>
      <c r="D18" s="294"/>
      <c r="E18" s="294"/>
      <c r="F18" s="294"/>
      <c r="G18" s="294"/>
      <c r="H18" s="294"/>
      <c r="I18" s="294"/>
      <c r="J18" s="294"/>
      <c r="K18" s="160">
        <f>TripMode_inputCBD!K16+TripMode_inputCBD!J16</f>
        <v>4833.9867199999999</v>
      </c>
      <c r="L18" s="294"/>
      <c r="M18" s="294"/>
      <c r="N18" s="160">
        <f>TripMode_inputCBD!N16</f>
        <v>8568.6185100000002</v>
      </c>
      <c r="O18" s="294"/>
      <c r="P18" s="162">
        <f t="shared" si="0"/>
        <v>13402.605230000001</v>
      </c>
      <c r="R18">
        <f t="shared" si="9"/>
        <v>1.1301677840858192E-2</v>
      </c>
      <c r="S18">
        <f t="shared" si="10"/>
        <v>0</v>
      </c>
      <c r="T18">
        <f t="shared" si="11"/>
        <v>0</v>
      </c>
      <c r="Y18" s="107" t="s">
        <v>398</v>
      </c>
      <c r="Z18" s="294"/>
      <c r="AA18" s="294"/>
      <c r="AB18" s="294"/>
      <c r="AC18" s="294"/>
      <c r="AD18" s="294"/>
      <c r="AE18" s="294"/>
      <c r="AF18" s="294"/>
      <c r="AG18" s="294"/>
      <c r="AH18" s="160">
        <f>AH15*R18</f>
        <v>4634.2958707851167</v>
      </c>
      <c r="AI18" s="160">
        <f>AI16*S18</f>
        <v>0</v>
      </c>
      <c r="AJ18" s="160">
        <f>AJ17*T18</f>
        <v>0</v>
      </c>
      <c r="AK18" s="160">
        <f>N18</f>
        <v>8568.6185100000002</v>
      </c>
      <c r="AL18" s="294"/>
      <c r="AM18" s="162">
        <f t="shared" si="2"/>
        <v>13202.914380785118</v>
      </c>
      <c r="AO18" s="107" t="s">
        <v>398</v>
      </c>
      <c r="AP18" s="294">
        <f>TripMode_inputCBD!R16*Index!$B$2</f>
        <v>0</v>
      </c>
      <c r="AQ18" s="294">
        <f>TripMode_inputCBD!S16*Index!$B$2</f>
        <v>0</v>
      </c>
      <c r="AR18" s="294">
        <f>TripMode_inputCBD!T16*Index!$B$2</f>
        <v>0</v>
      </c>
      <c r="AS18" s="294">
        <f>TripMode_inputCBD!U16*Index!$B$2</f>
        <v>0</v>
      </c>
      <c r="AT18" s="294">
        <f>TripMode_inputCBD!V16*Index!$B$2</f>
        <v>0</v>
      </c>
      <c r="AU18" s="294">
        <f>TripMode_inputCBD!W16*Index!$B$2</f>
        <v>0</v>
      </c>
      <c r="AV18" s="294">
        <f>TripMode_inputCBD!X16*Index!$B$2</f>
        <v>0</v>
      </c>
      <c r="AW18" s="294">
        <f>TripMode_inputCBD!Y16*Index!$B$2</f>
        <v>0</v>
      </c>
      <c r="AX18" s="160">
        <f>TripMode_inputCBD!AA16*Index!$B$2</f>
        <v>3265</v>
      </c>
      <c r="AY18" s="160">
        <f>TripMode_inputCBD!AB16*Index!$B$2</f>
        <v>0</v>
      </c>
      <c r="AZ18" s="160">
        <f>TripMode_inputCBD!AC16*Index!$B$2</f>
        <v>0</v>
      </c>
      <c r="BA18" s="160">
        <f>TripMode_inputCBD!AD16*Index!$B$2</f>
        <v>2655</v>
      </c>
      <c r="BB18" s="294">
        <f>TripMode_inputCBD!AE16*Index!$B$2</f>
        <v>0</v>
      </c>
      <c r="BC18" s="162">
        <f t="shared" si="3"/>
        <v>5920</v>
      </c>
      <c r="BE18" s="107" t="s">
        <v>398</v>
      </c>
      <c r="BF18" s="166">
        <f t="shared" si="18"/>
        <v>0</v>
      </c>
      <c r="BG18" s="166"/>
      <c r="BH18" s="166">
        <f t="shared" si="19"/>
        <v>0</v>
      </c>
      <c r="BI18" s="166"/>
      <c r="BJ18" s="166">
        <f t="shared" si="20"/>
        <v>0</v>
      </c>
      <c r="BK18" s="166"/>
      <c r="BL18" s="166">
        <f t="shared" si="21"/>
        <v>0</v>
      </c>
      <c r="BM18" s="166">
        <f t="shared" si="21"/>
        <v>0</v>
      </c>
      <c r="BN18" s="166">
        <f t="shared" si="21"/>
        <v>9.2992024997513075E-3</v>
      </c>
      <c r="BO18" s="166">
        <f t="shared" si="21"/>
        <v>0</v>
      </c>
      <c r="BP18" s="166">
        <f t="shared" si="21"/>
        <v>0</v>
      </c>
      <c r="BQ18" s="166">
        <f t="shared" si="21"/>
        <v>0.68009394190997829</v>
      </c>
      <c r="BR18" s="166">
        <f t="shared" si="21"/>
        <v>0</v>
      </c>
      <c r="BS18" s="166">
        <f t="shared" si="21"/>
        <v>9.5573942995329994E-3</v>
      </c>
      <c r="BU18" s="107" t="s">
        <v>398</v>
      </c>
      <c r="BV18" s="166">
        <f t="shared" si="22"/>
        <v>0</v>
      </c>
      <c r="BW18" s="166">
        <f t="shared" si="22"/>
        <v>0</v>
      </c>
      <c r="BX18" s="166">
        <f t="shared" si="22"/>
        <v>0</v>
      </c>
      <c r="BY18" s="166">
        <f t="shared" si="22"/>
        <v>0</v>
      </c>
      <c r="BZ18" s="166">
        <f t="shared" si="22"/>
        <v>0</v>
      </c>
      <c r="CA18" s="166">
        <f t="shared" si="22"/>
        <v>0</v>
      </c>
      <c r="CB18" s="166">
        <f t="shared" si="22"/>
        <v>0</v>
      </c>
      <c r="CC18" s="166">
        <f t="shared" si="22"/>
        <v>0</v>
      </c>
      <c r="CD18" s="166">
        <f t="shared" si="22"/>
        <v>9.0689406144103101E-3</v>
      </c>
      <c r="CE18" s="166">
        <f t="shared" si="22"/>
        <v>0</v>
      </c>
      <c r="CF18" s="166">
        <f t="shared" si="22"/>
        <v>0</v>
      </c>
      <c r="CG18" s="166">
        <f t="shared" si="22"/>
        <v>0.66876574307304781</v>
      </c>
      <c r="CH18" s="166" t="str">
        <f t="shared" si="22"/>
        <v/>
      </c>
      <c r="CI18" s="168">
        <f t="shared" si="22"/>
        <v>6.6028686787570545E-3</v>
      </c>
      <c r="CK18" s="107" t="s">
        <v>398</v>
      </c>
      <c r="CL18" s="166" t="str">
        <f t="shared" si="23"/>
        <v/>
      </c>
      <c r="CM18" s="166" t="str">
        <f t="shared" si="23"/>
        <v/>
      </c>
      <c r="CN18" s="166" t="str">
        <f t="shared" si="23"/>
        <v/>
      </c>
      <c r="CO18" s="166" t="str">
        <f t="shared" si="23"/>
        <v/>
      </c>
      <c r="CP18" s="166"/>
      <c r="CQ18" s="166"/>
      <c r="CR18" s="166"/>
      <c r="CS18" s="166"/>
      <c r="CT18" s="166">
        <f t="shared" si="24"/>
        <v>-2.4761465872708482E-2</v>
      </c>
      <c r="CU18" s="166" t="str">
        <f t="shared" si="24"/>
        <v/>
      </c>
      <c r="CV18" s="166" t="str">
        <f t="shared" si="24"/>
        <v/>
      </c>
      <c r="CW18" s="166">
        <f t="shared" si="24"/>
        <v>-1.6656814799902976E-2</v>
      </c>
      <c r="CX18" s="166" t="str">
        <f t="shared" si="24"/>
        <v/>
      </c>
      <c r="CY18" s="168">
        <f t="shared" si="24"/>
        <v>-0.30913505587190343</v>
      </c>
      <c r="DA18" s="107" t="s">
        <v>398</v>
      </c>
      <c r="DB18" s="315"/>
      <c r="DC18" s="315"/>
      <c r="DD18" s="315"/>
      <c r="DE18" s="315"/>
      <c r="DF18" s="315"/>
      <c r="DG18" s="315"/>
      <c r="DH18" s="315"/>
      <c r="DI18" s="315"/>
      <c r="DJ18" s="314">
        <f t="shared" si="15"/>
        <v>2.5073187519349869E-2</v>
      </c>
      <c r="DK18" s="314">
        <f t="shared" si="15"/>
        <v>0</v>
      </c>
      <c r="DL18" s="314">
        <f>IFERROR(IF(CF18&gt;0,LN(BP18/CF18),0),0)</f>
        <v>0</v>
      </c>
      <c r="DM18" s="314">
        <f>IFERROR(IF(CG18&gt;0,LN(BQ18/CG18),0),0)</f>
        <v>1.6797099519013151E-2</v>
      </c>
      <c r="DN18" s="315"/>
      <c r="DO18" s="168"/>
      <c r="DQ18" s="107" t="s">
        <v>398</v>
      </c>
      <c r="DR18" s="315"/>
      <c r="DS18" s="315"/>
      <c r="DT18" s="315"/>
      <c r="DU18" s="315"/>
      <c r="DV18" s="315"/>
      <c r="DW18" s="315"/>
      <c r="DX18" s="315"/>
      <c r="DY18" s="315"/>
      <c r="DZ18" s="314">
        <v>-0.70841625007773101</v>
      </c>
      <c r="EA18" s="314">
        <v>0</v>
      </c>
      <c r="EB18" s="314">
        <v>0</v>
      </c>
      <c r="EC18" s="314">
        <v>0</v>
      </c>
      <c r="ED18" s="315"/>
      <c r="EE18" s="168"/>
      <c r="EG18" s="107" t="s">
        <v>398</v>
      </c>
      <c r="EH18" s="315"/>
      <c r="EI18" s="315"/>
      <c r="EJ18" s="315"/>
      <c r="EK18" s="315"/>
      <c r="EL18" s="315"/>
      <c r="EM18" s="315"/>
      <c r="EN18" s="315"/>
      <c r="EO18" s="315"/>
      <c r="EP18" s="314">
        <f>DZ18+(DJ18-DJ$15)*$EI$1</f>
        <v>-0.83256970087072202</v>
      </c>
      <c r="EQ18" s="314">
        <f>EA18+(DK18-DK$16)*$EI$1</f>
        <v>0</v>
      </c>
      <c r="ER18" s="314">
        <f>EB18+(DL18-DL$17)*$EI$1</f>
        <v>0</v>
      </c>
      <c r="ES18" s="314">
        <v>0</v>
      </c>
      <c r="ET18" s="315"/>
      <c r="EU18" s="168"/>
      <c r="EW18" s="164" t="s">
        <v>398</v>
      </c>
      <c r="EX18" s="316">
        <f t="shared" si="12"/>
        <v>0</v>
      </c>
      <c r="EY18" s="316">
        <f t="shared" si="8"/>
        <v>0</v>
      </c>
      <c r="EZ18" s="316">
        <f t="shared" si="8"/>
        <v>-3.1311903190944443</v>
      </c>
      <c r="FA18" s="316">
        <f t="shared" si="8"/>
        <v>-3.1311903190944443</v>
      </c>
      <c r="FB18" s="316">
        <f t="shared" si="8"/>
        <v>-3.4823428031389336</v>
      </c>
      <c r="FC18" s="316">
        <f t="shared" si="8"/>
        <v>-3.4823428031389336</v>
      </c>
      <c r="FD18" s="316">
        <f t="shared" si="8"/>
        <v>-1.5244584161599857</v>
      </c>
      <c r="FE18" s="316">
        <f t="shared" si="8"/>
        <v>0</v>
      </c>
      <c r="FF18" s="316"/>
      <c r="FG18" s="316">
        <f t="shared" si="8"/>
        <v>0</v>
      </c>
      <c r="FH18" s="316">
        <f t="shared" si="8"/>
        <v>0</v>
      </c>
      <c r="FI18" s="316">
        <f t="shared" si="8"/>
        <v>0</v>
      </c>
      <c r="FJ18" s="316">
        <f t="shared" si="8"/>
        <v>0</v>
      </c>
      <c r="FK18" s="316">
        <f t="shared" si="8"/>
        <v>0</v>
      </c>
      <c r="FL18" s="168"/>
    </row>
    <row r="19" spans="2:168" x14ac:dyDescent="0.25">
      <c r="B19" s="107" t="s">
        <v>399</v>
      </c>
      <c r="C19" s="294"/>
      <c r="D19" s="294"/>
      <c r="E19" s="294"/>
      <c r="F19" s="294"/>
      <c r="G19" s="294"/>
      <c r="H19" s="294"/>
      <c r="I19" s="294"/>
      <c r="J19" s="294"/>
      <c r="K19" s="294"/>
      <c r="L19" s="294"/>
      <c r="M19" s="294"/>
      <c r="N19" s="294"/>
      <c r="O19" s="160">
        <f>TripMode_inputCBD!O17</f>
        <v>2894.5687200000002</v>
      </c>
      <c r="P19" s="162">
        <f t="shared" si="0"/>
        <v>2894.5687200000002</v>
      </c>
      <c r="R19">
        <f t="shared" si="9"/>
        <v>0</v>
      </c>
      <c r="S19">
        <f t="shared" si="10"/>
        <v>0</v>
      </c>
      <c r="T19">
        <f t="shared" si="11"/>
        <v>0</v>
      </c>
      <c r="Y19" s="107" t="s">
        <v>399</v>
      </c>
      <c r="Z19" s="294"/>
      <c r="AA19" s="294"/>
      <c r="AB19" s="294"/>
      <c r="AC19" s="294"/>
      <c r="AD19" s="294"/>
      <c r="AE19" s="294"/>
      <c r="AF19" s="294"/>
      <c r="AG19" s="294"/>
      <c r="AH19" s="294"/>
      <c r="AI19" s="294"/>
      <c r="AJ19" s="294"/>
      <c r="AK19" s="294"/>
      <c r="AL19" s="160">
        <f>+O19</f>
        <v>2894.5687200000002</v>
      </c>
      <c r="AM19" s="162">
        <f t="shared" si="2"/>
        <v>2894.5687200000002</v>
      </c>
      <c r="AO19" s="107" t="s">
        <v>399</v>
      </c>
      <c r="AP19" s="294">
        <f>TripMode_inputCBD!R17*Index!$B$2</f>
        <v>0</v>
      </c>
      <c r="AQ19" s="294">
        <f>TripMode_inputCBD!S17*Index!$B$2</f>
        <v>0</v>
      </c>
      <c r="AR19" s="294">
        <f>TripMode_inputCBD!T17*Index!$B$2</f>
        <v>0</v>
      </c>
      <c r="AS19" s="294">
        <f>TripMode_inputCBD!U17*Index!$B$2</f>
        <v>0</v>
      </c>
      <c r="AT19" s="294">
        <f>TripMode_inputCBD!V17*Index!$B$2</f>
        <v>0</v>
      </c>
      <c r="AU19" s="294">
        <f>TripMode_inputCBD!W17*Index!$B$2</f>
        <v>0</v>
      </c>
      <c r="AV19" s="294">
        <f>TripMode_inputCBD!X17*Index!$B$2</f>
        <v>0</v>
      </c>
      <c r="AW19" s="294">
        <f>TripMode_inputCBD!Y17*Index!$B$2</f>
        <v>0</v>
      </c>
      <c r="AX19" s="294">
        <f>TripMode_inputCBD!AA17*Index!$B$2</f>
        <v>0</v>
      </c>
      <c r="AY19" s="294">
        <f>TripMode_inputCBD!AB17*Index!$B$2</f>
        <v>0</v>
      </c>
      <c r="AZ19" s="294">
        <f>TripMode_inputCBD!AC17*Index!$B$2</f>
        <v>0</v>
      </c>
      <c r="BA19" s="294">
        <f>TripMode_inputCBD!AD17*Index!$B$2</f>
        <v>0</v>
      </c>
      <c r="BB19" s="160">
        <f>TripMode_inputCBD!AE17*Index!$B$2</f>
        <v>0</v>
      </c>
      <c r="BC19" s="162">
        <f t="shared" si="3"/>
        <v>0</v>
      </c>
      <c r="BE19" s="107" t="s">
        <v>399</v>
      </c>
      <c r="BF19" s="166">
        <f t="shared" si="18"/>
        <v>0</v>
      </c>
      <c r="BG19" s="166"/>
      <c r="BH19" s="166">
        <f t="shared" si="19"/>
        <v>0</v>
      </c>
      <c r="BI19" s="166"/>
      <c r="BJ19" s="166">
        <f t="shared" si="20"/>
        <v>0</v>
      </c>
      <c r="BK19" s="166"/>
      <c r="BL19" s="166">
        <f t="shared" si="21"/>
        <v>0</v>
      </c>
      <c r="BM19" s="166">
        <f t="shared" si="21"/>
        <v>0</v>
      </c>
      <c r="BN19" s="166">
        <f t="shared" si="21"/>
        <v>0</v>
      </c>
      <c r="BO19" s="166">
        <f t="shared" si="21"/>
        <v>0</v>
      </c>
      <c r="BP19" s="166">
        <f t="shared" si="21"/>
        <v>0</v>
      </c>
      <c r="BQ19" s="166">
        <f t="shared" si="21"/>
        <v>0</v>
      </c>
      <c r="BR19" s="166">
        <f t="shared" si="21"/>
        <v>1</v>
      </c>
      <c r="BS19" s="166">
        <f t="shared" si="21"/>
        <v>2.0953354529357668E-3</v>
      </c>
      <c r="BU19" s="107" t="s">
        <v>399</v>
      </c>
      <c r="BV19" s="166">
        <f t="shared" si="22"/>
        <v>0</v>
      </c>
      <c r="BW19" s="166">
        <f t="shared" si="22"/>
        <v>0</v>
      </c>
      <c r="BX19" s="166">
        <f t="shared" si="22"/>
        <v>0</v>
      </c>
      <c r="BY19" s="166">
        <f t="shared" si="22"/>
        <v>0</v>
      </c>
      <c r="BZ19" s="166">
        <f t="shared" si="22"/>
        <v>0</v>
      </c>
      <c r="CA19" s="166">
        <f t="shared" si="22"/>
        <v>0</v>
      </c>
      <c r="CB19" s="166">
        <f t="shared" si="22"/>
        <v>0</v>
      </c>
      <c r="CC19" s="166">
        <f t="shared" si="22"/>
        <v>0</v>
      </c>
      <c r="CD19" s="166">
        <f t="shared" si="22"/>
        <v>0</v>
      </c>
      <c r="CE19" s="166">
        <f t="shared" si="22"/>
        <v>0</v>
      </c>
      <c r="CF19" s="166">
        <f t="shared" si="22"/>
        <v>0</v>
      </c>
      <c r="CG19" s="166">
        <f t="shared" si="22"/>
        <v>0</v>
      </c>
      <c r="CH19" s="166" t="str">
        <f t="shared" si="22"/>
        <v/>
      </c>
      <c r="CI19" s="168">
        <f t="shared" si="22"/>
        <v>0</v>
      </c>
      <c r="CK19" s="107" t="s">
        <v>399</v>
      </c>
      <c r="CL19" s="166" t="str">
        <f t="shared" si="23"/>
        <v/>
      </c>
      <c r="CM19" s="166" t="str">
        <f t="shared" si="23"/>
        <v/>
      </c>
      <c r="CN19" s="166" t="str">
        <f t="shared" si="23"/>
        <v/>
      </c>
      <c r="CO19" s="166" t="str">
        <f t="shared" si="23"/>
        <v/>
      </c>
      <c r="CP19" s="166"/>
      <c r="CQ19" s="166"/>
      <c r="CR19" s="166"/>
      <c r="CS19" s="166"/>
      <c r="CT19" s="166" t="str">
        <f t="shared" si="24"/>
        <v/>
      </c>
      <c r="CU19" s="166" t="str">
        <f t="shared" si="24"/>
        <v/>
      </c>
      <c r="CV19" s="166" t="str">
        <f t="shared" si="24"/>
        <v/>
      </c>
      <c r="CW19" s="166" t="str">
        <f t="shared" si="24"/>
        <v/>
      </c>
      <c r="CX19" s="166" t="e">
        <f t="shared" si="24"/>
        <v>#VALUE!</v>
      </c>
      <c r="CY19" s="168">
        <f t="shared" si="24"/>
        <v>-1</v>
      </c>
      <c r="DA19" s="107" t="s">
        <v>399</v>
      </c>
      <c r="DB19" s="315"/>
      <c r="DC19" s="315"/>
      <c r="DD19" s="315"/>
      <c r="DE19" s="315"/>
      <c r="DF19" s="315"/>
      <c r="DG19" s="315"/>
      <c r="DH19" s="315"/>
      <c r="DI19" s="315"/>
      <c r="DJ19" s="315"/>
      <c r="DK19" s="315"/>
      <c r="DL19" s="315"/>
      <c r="DM19" s="315"/>
      <c r="DN19" s="314">
        <f>IFERROR(IF(CH19&gt;0,LN(BR19/CH19),0),0)</f>
        <v>0</v>
      </c>
      <c r="DO19" s="168"/>
      <c r="DQ19" s="107" t="s">
        <v>399</v>
      </c>
      <c r="DR19" s="315"/>
      <c r="DS19" s="315"/>
      <c r="DT19" s="315"/>
      <c r="DU19" s="315"/>
      <c r="DV19" s="315"/>
      <c r="DW19" s="315"/>
      <c r="DX19" s="315"/>
      <c r="DY19" s="315"/>
      <c r="DZ19" s="315"/>
      <c r="EA19" s="315"/>
      <c r="EB19" s="315"/>
      <c r="EC19" s="315"/>
      <c r="ED19" s="314">
        <v>0</v>
      </c>
      <c r="EE19" s="168"/>
      <c r="EG19" s="107" t="s">
        <v>399</v>
      </c>
      <c r="EH19" s="315"/>
      <c r="EI19" s="315"/>
      <c r="EJ19" s="315"/>
      <c r="EK19" s="315"/>
      <c r="EL19" s="315"/>
      <c r="EM19" s="315"/>
      <c r="EN19" s="315"/>
      <c r="EO19" s="315"/>
      <c r="EP19" s="315"/>
      <c r="EQ19" s="315"/>
      <c r="ER19" s="315"/>
      <c r="ES19" s="315"/>
      <c r="ET19" s="314">
        <v>0</v>
      </c>
      <c r="EU19" s="168"/>
      <c r="EW19" s="164" t="s">
        <v>399</v>
      </c>
      <c r="EX19" s="316">
        <f t="shared" si="12"/>
        <v>0</v>
      </c>
      <c r="EY19" s="316">
        <f t="shared" si="8"/>
        <v>0</v>
      </c>
      <c r="EZ19" s="316">
        <f t="shared" si="8"/>
        <v>0</v>
      </c>
      <c r="FA19" s="316">
        <f t="shared" si="8"/>
        <v>0</v>
      </c>
      <c r="FB19" s="316">
        <f t="shared" si="8"/>
        <v>0</v>
      </c>
      <c r="FC19" s="316">
        <f t="shared" si="8"/>
        <v>0</v>
      </c>
      <c r="FD19" s="316">
        <f t="shared" si="8"/>
        <v>0</v>
      </c>
      <c r="FE19" s="316">
        <f t="shared" si="8"/>
        <v>0</v>
      </c>
      <c r="FF19" s="316"/>
      <c r="FG19" s="316">
        <f t="shared" si="8"/>
        <v>0</v>
      </c>
      <c r="FH19" s="316">
        <f t="shared" si="8"/>
        <v>0</v>
      </c>
      <c r="FI19" s="316">
        <f t="shared" si="8"/>
        <v>0</v>
      </c>
      <c r="FJ19" s="316">
        <f t="shared" si="8"/>
        <v>0</v>
      </c>
      <c r="FK19" s="316">
        <f t="shared" si="8"/>
        <v>0</v>
      </c>
      <c r="FL19" s="168"/>
    </row>
    <row r="20" spans="2:168" ht="15.75" thickBot="1" x14ac:dyDescent="0.3">
      <c r="B20" s="108" t="s">
        <v>29</v>
      </c>
      <c r="C20" s="109">
        <f t="shared" ref="C20:P20" si="25">SUM(C7:C19)</f>
        <v>388418.58111999999</v>
      </c>
      <c r="D20" s="110">
        <f t="shared" si="25"/>
        <v>36110.479240000001</v>
      </c>
      <c r="E20" s="110">
        <f t="shared" si="25"/>
        <v>158490.71578000003</v>
      </c>
      <c r="F20" s="110">
        <f t="shared" si="25"/>
        <v>2358.5216399999999</v>
      </c>
      <c r="G20" s="110">
        <f t="shared" si="25"/>
        <v>64123.217700000001</v>
      </c>
      <c r="H20" s="110">
        <f t="shared" si="25"/>
        <v>1452.3741500000001</v>
      </c>
      <c r="I20" s="110">
        <f t="shared" si="25"/>
        <v>42704.56955</v>
      </c>
      <c r="J20" s="110">
        <f t="shared" si="25"/>
        <v>66125.770869999993</v>
      </c>
      <c r="K20" s="110">
        <f t="shared" si="25"/>
        <v>519828.09495</v>
      </c>
      <c r="L20" s="110">
        <f t="shared" si="25"/>
        <v>47690.655449999998</v>
      </c>
      <c r="M20" s="110">
        <f t="shared" si="25"/>
        <v>216819.09826999999</v>
      </c>
      <c r="N20" s="110">
        <f t="shared" si="25"/>
        <v>12599.169000000002</v>
      </c>
      <c r="O20" s="110">
        <f t="shared" si="25"/>
        <v>2894.5687200000002</v>
      </c>
      <c r="P20" s="112">
        <f t="shared" si="25"/>
        <v>1559615.8164400002</v>
      </c>
      <c r="Y20" s="108" t="s">
        <v>29</v>
      </c>
      <c r="Z20" s="109">
        <f t="shared" ref="Z20:AM20" si="26">SUM(Z7:Z19)</f>
        <v>388418.58111999999</v>
      </c>
      <c r="AA20" s="110">
        <f t="shared" si="26"/>
        <v>36110.479240000001</v>
      </c>
      <c r="AB20" s="110">
        <f t="shared" si="26"/>
        <v>158490.71578000003</v>
      </c>
      <c r="AC20" s="110">
        <f t="shared" si="26"/>
        <v>2358.5216399999999</v>
      </c>
      <c r="AD20" s="110">
        <f t="shared" si="26"/>
        <v>64123.217700000001</v>
      </c>
      <c r="AE20" s="110">
        <f t="shared" si="26"/>
        <v>1452.3741500000001</v>
      </c>
      <c r="AF20" s="110">
        <f t="shared" si="26"/>
        <v>42704.56955</v>
      </c>
      <c r="AG20" s="110">
        <f t="shared" si="26"/>
        <v>66125.770869999993</v>
      </c>
      <c r="AH20" s="110">
        <f t="shared" si="26"/>
        <v>498354.11917409621</v>
      </c>
      <c r="AI20" s="110">
        <f t="shared" si="26"/>
        <v>25213.281713893408</v>
      </c>
      <c r="AJ20" s="110">
        <f t="shared" si="26"/>
        <v>82589.1486382414</v>
      </c>
      <c r="AK20" s="110">
        <f t="shared" si="26"/>
        <v>12599.169000000002</v>
      </c>
      <c r="AL20" s="110">
        <f t="shared" si="26"/>
        <v>2894.5687200000002</v>
      </c>
      <c r="AM20" s="112">
        <f t="shared" si="26"/>
        <v>1381434.5172962309</v>
      </c>
      <c r="AO20" s="108" t="s">
        <v>29</v>
      </c>
      <c r="AP20" s="109">
        <f t="shared" ref="AP20:BC20" si="27">SUM(AP7:AP19)</f>
        <v>216035</v>
      </c>
      <c r="AQ20" s="110">
        <f t="shared" si="27"/>
        <v>23180</v>
      </c>
      <c r="AR20" s="110">
        <f t="shared" si="27"/>
        <v>21715</v>
      </c>
      <c r="AS20" s="110">
        <f t="shared" si="27"/>
        <v>2420</v>
      </c>
      <c r="AT20" s="110">
        <f t="shared" si="27"/>
        <v>66990</v>
      </c>
      <c r="AU20" s="110">
        <f t="shared" si="27"/>
        <v>9505</v>
      </c>
      <c r="AV20" s="110">
        <f t="shared" si="27"/>
        <v>86215</v>
      </c>
      <c r="AW20" s="110">
        <f t="shared" si="27"/>
        <v>65230</v>
      </c>
      <c r="AX20" s="110">
        <f t="shared" si="27"/>
        <v>360020</v>
      </c>
      <c r="AY20" s="110">
        <f t="shared" si="27"/>
        <v>11445</v>
      </c>
      <c r="AZ20" s="110">
        <f t="shared" si="27"/>
        <v>29855</v>
      </c>
      <c r="BA20" s="110">
        <f t="shared" si="27"/>
        <v>3970</v>
      </c>
      <c r="BB20" s="110">
        <f t="shared" si="27"/>
        <v>0</v>
      </c>
      <c r="BC20" s="112">
        <f t="shared" si="27"/>
        <v>896580</v>
      </c>
      <c r="BE20" s="108" t="s">
        <v>29</v>
      </c>
      <c r="BF20" s="120">
        <f t="shared" si="18"/>
        <v>1</v>
      </c>
      <c r="BG20" s="120"/>
      <c r="BH20" s="120">
        <f t="shared" si="19"/>
        <v>1</v>
      </c>
      <c r="BI20" s="120"/>
      <c r="BJ20" s="120">
        <f t="shared" si="20"/>
        <v>1</v>
      </c>
      <c r="BK20" s="120"/>
      <c r="BL20" s="120">
        <f t="shared" si="21"/>
        <v>1</v>
      </c>
      <c r="BM20" s="120">
        <f t="shared" si="21"/>
        <v>1</v>
      </c>
      <c r="BN20" s="120">
        <f t="shared" si="21"/>
        <v>1</v>
      </c>
      <c r="BO20" s="120">
        <f t="shared" si="21"/>
        <v>1</v>
      </c>
      <c r="BP20" s="120">
        <f t="shared" si="21"/>
        <v>1</v>
      </c>
      <c r="BQ20" s="120">
        <f t="shared" si="21"/>
        <v>1</v>
      </c>
      <c r="BR20" s="120">
        <f t="shared" si="21"/>
        <v>1</v>
      </c>
      <c r="BS20" s="120">
        <f t="shared" si="21"/>
        <v>1</v>
      </c>
      <c r="BU20" s="108" t="s">
        <v>29</v>
      </c>
      <c r="BV20" s="120">
        <f t="shared" si="22"/>
        <v>1</v>
      </c>
      <c r="BW20" s="121">
        <f t="shared" si="22"/>
        <v>1</v>
      </c>
      <c r="BX20" s="121">
        <f t="shared" si="22"/>
        <v>1</v>
      </c>
      <c r="BY20" s="121">
        <f t="shared" si="22"/>
        <v>1</v>
      </c>
      <c r="BZ20" s="121">
        <f t="shared" si="22"/>
        <v>1</v>
      </c>
      <c r="CA20" s="121">
        <f t="shared" si="22"/>
        <v>1</v>
      </c>
      <c r="CB20" s="121">
        <f t="shared" si="22"/>
        <v>1</v>
      </c>
      <c r="CC20" s="121">
        <f t="shared" si="22"/>
        <v>1</v>
      </c>
      <c r="CD20" s="121">
        <f t="shared" si="22"/>
        <v>1</v>
      </c>
      <c r="CE20" s="121">
        <f t="shared" si="22"/>
        <v>1</v>
      </c>
      <c r="CF20" s="121">
        <f t="shared" si="22"/>
        <v>1</v>
      </c>
      <c r="CG20" s="121">
        <f t="shared" si="22"/>
        <v>1</v>
      </c>
      <c r="CH20" s="121" t="str">
        <f t="shared" si="22"/>
        <v/>
      </c>
      <c r="CI20" s="123">
        <f t="shared" si="22"/>
        <v>1</v>
      </c>
      <c r="CK20" s="108" t="s">
        <v>29</v>
      </c>
      <c r="CL20" s="120">
        <f t="shared" si="23"/>
        <v>0</v>
      </c>
      <c r="CM20" s="121" t="str">
        <f t="shared" si="23"/>
        <v/>
      </c>
      <c r="CN20" s="121">
        <f t="shared" si="23"/>
        <v>0</v>
      </c>
      <c r="CO20" s="121" t="str">
        <f t="shared" si="23"/>
        <v/>
      </c>
      <c r="CP20" s="121"/>
      <c r="CQ20" s="121"/>
      <c r="CR20" s="121"/>
      <c r="CS20" s="121"/>
      <c r="CT20" s="121">
        <f t="shared" si="24"/>
        <v>0</v>
      </c>
      <c r="CU20" s="121">
        <f t="shared" si="24"/>
        <v>0</v>
      </c>
      <c r="CV20" s="121">
        <f t="shared" si="24"/>
        <v>0</v>
      </c>
      <c r="CW20" s="121">
        <f t="shared" si="24"/>
        <v>0</v>
      </c>
      <c r="CX20" s="121" t="e">
        <f t="shared" si="24"/>
        <v>#VALUE!</v>
      </c>
      <c r="CY20" s="123">
        <f t="shared" si="24"/>
        <v>0</v>
      </c>
      <c r="DA20" s="108" t="s">
        <v>29</v>
      </c>
      <c r="DB20" s="120"/>
      <c r="DC20" s="121"/>
      <c r="DD20" s="121"/>
      <c r="DE20" s="121"/>
      <c r="DF20" s="121"/>
      <c r="DG20" s="121"/>
      <c r="DH20" s="121"/>
      <c r="DI20" s="121"/>
      <c r="DJ20" s="121"/>
      <c r="DK20" s="121"/>
      <c r="DL20" s="121"/>
      <c r="DM20" s="121"/>
      <c r="DN20" s="121"/>
      <c r="DO20" s="123"/>
      <c r="DQ20" s="108" t="s">
        <v>29</v>
      </c>
      <c r="DR20" s="120"/>
      <c r="DS20" s="121"/>
      <c r="DT20" s="121"/>
      <c r="DU20" s="121"/>
      <c r="DV20" s="121"/>
      <c r="DW20" s="121"/>
      <c r="DX20" s="121"/>
      <c r="DY20" s="121"/>
      <c r="DZ20" s="121"/>
      <c r="EA20" s="121"/>
      <c r="EB20" s="121"/>
      <c r="EC20" s="121"/>
      <c r="ED20" s="121"/>
      <c r="EE20" s="123"/>
      <c r="EG20" s="108" t="s">
        <v>29</v>
      </c>
      <c r="EH20" s="120"/>
      <c r="EI20" s="121"/>
      <c r="EJ20" s="121"/>
      <c r="EK20" s="121"/>
      <c r="EL20" s="121"/>
      <c r="EM20" s="121"/>
      <c r="EN20" s="121"/>
      <c r="EO20" s="121"/>
      <c r="EP20" s="121"/>
      <c r="EQ20" s="121"/>
      <c r="ER20" s="121"/>
      <c r="ES20" s="121"/>
      <c r="ET20" s="121"/>
      <c r="EU20" s="123"/>
      <c r="EW20" s="108" t="s">
        <v>29</v>
      </c>
      <c r="EX20" s="120"/>
      <c r="EY20" s="121"/>
      <c r="EZ20" s="121"/>
      <c r="FA20" s="121"/>
      <c r="FB20" s="121"/>
      <c r="FC20" s="121"/>
      <c r="FD20" s="121"/>
      <c r="FE20" s="121"/>
      <c r="FF20" s="121"/>
      <c r="FG20" s="121"/>
      <c r="FH20" s="121"/>
      <c r="FI20" s="121"/>
      <c r="FJ20" s="121"/>
      <c r="FK20" s="121"/>
      <c r="FL20" s="123"/>
    </row>
    <row r="21" spans="2:168" x14ac:dyDescent="0.25">
      <c r="B21" t="s">
        <v>217</v>
      </c>
      <c r="C21" s="383" t="s">
        <v>206</v>
      </c>
      <c r="D21" s="383"/>
      <c r="E21" s="383"/>
      <c r="F21" s="383"/>
      <c r="G21" s="383"/>
      <c r="H21" s="383"/>
      <c r="I21" s="383"/>
      <c r="J21" s="383"/>
      <c r="K21" s="383"/>
      <c r="L21" s="383"/>
      <c r="M21" s="383"/>
      <c r="N21" s="383"/>
      <c r="O21" s="383"/>
      <c r="P21" s="383"/>
      <c r="Y21" t="s">
        <v>217</v>
      </c>
      <c r="Z21" s="383" t="s">
        <v>206</v>
      </c>
      <c r="AA21" s="383"/>
      <c r="AB21" s="383"/>
      <c r="AC21" s="383"/>
      <c r="AD21" s="383"/>
      <c r="AE21" s="383"/>
      <c r="AF21" s="383"/>
      <c r="AG21" s="383"/>
      <c r="AH21" s="383"/>
      <c r="AI21" s="383"/>
      <c r="AJ21" s="383"/>
      <c r="AK21" s="383"/>
      <c r="AL21" s="383"/>
      <c r="AM21" s="383"/>
      <c r="AO21" t="s">
        <v>217</v>
      </c>
      <c r="AP21" s="383" t="s">
        <v>206</v>
      </c>
      <c r="AQ21" s="383"/>
      <c r="AR21" s="383"/>
      <c r="AS21" s="383"/>
      <c r="AT21" s="383"/>
      <c r="AU21" s="383"/>
      <c r="AV21" s="383"/>
      <c r="AW21" s="383"/>
      <c r="AX21" s="383"/>
      <c r="AY21" s="383"/>
      <c r="AZ21" s="383"/>
      <c r="BA21" s="383"/>
      <c r="BB21" s="383"/>
      <c r="BC21" s="383"/>
      <c r="BE21" t="s">
        <v>217</v>
      </c>
      <c r="BF21" s="383" t="s">
        <v>206</v>
      </c>
      <c r="BG21" s="383"/>
      <c r="BH21" s="383"/>
      <c r="BI21" s="383"/>
      <c r="BJ21" s="383"/>
      <c r="BK21" s="383"/>
      <c r="BL21" s="383"/>
      <c r="BM21" s="383"/>
      <c r="BN21" s="383"/>
      <c r="BO21" s="383"/>
      <c r="BP21" s="383"/>
      <c r="BQ21" s="383"/>
      <c r="BR21" s="383"/>
      <c r="BS21" s="383"/>
      <c r="BU21" t="s">
        <v>217</v>
      </c>
      <c r="BV21" s="383" t="s">
        <v>206</v>
      </c>
      <c r="BW21" s="383"/>
      <c r="BX21" s="383"/>
      <c r="BY21" s="383"/>
      <c r="BZ21" s="383"/>
      <c r="CA21" s="383"/>
      <c r="CB21" s="383"/>
      <c r="CC21" s="383"/>
      <c r="CD21" s="383"/>
      <c r="CE21" s="383"/>
      <c r="CF21" s="383"/>
      <c r="CG21" s="383"/>
      <c r="CH21" s="383"/>
      <c r="CI21" s="383"/>
      <c r="CK21" t="s">
        <v>217</v>
      </c>
      <c r="CL21" s="383" t="s">
        <v>206</v>
      </c>
      <c r="CM21" s="383"/>
      <c r="CN21" s="383"/>
      <c r="CO21" s="383"/>
      <c r="CP21" s="383"/>
      <c r="CQ21" s="383"/>
      <c r="CR21" s="383"/>
      <c r="CS21" s="383"/>
      <c r="CT21" s="383"/>
      <c r="CU21" s="383"/>
      <c r="CV21" s="383"/>
      <c r="CW21" s="383"/>
      <c r="CX21" s="383"/>
      <c r="CY21" s="383"/>
      <c r="DA21" t="s">
        <v>189</v>
      </c>
      <c r="DB21" s="383" t="s">
        <v>206</v>
      </c>
      <c r="DC21" s="383"/>
      <c r="DD21" s="383"/>
      <c r="DE21" s="383"/>
      <c r="DF21" s="383"/>
      <c r="DG21" s="383"/>
      <c r="DH21" s="383"/>
      <c r="DI21" s="383"/>
      <c r="DJ21" s="383"/>
      <c r="DK21" s="383"/>
      <c r="DL21" s="383"/>
      <c r="DM21" s="383"/>
      <c r="DN21" s="383"/>
      <c r="DO21" s="383"/>
      <c r="DQ21" t="s">
        <v>189</v>
      </c>
      <c r="DR21" s="383" t="s">
        <v>206</v>
      </c>
      <c r="DS21" s="383"/>
      <c r="DT21" s="383"/>
      <c r="DU21" s="383"/>
      <c r="DV21" s="383"/>
      <c r="DW21" s="383"/>
      <c r="DX21" s="383"/>
      <c r="DY21" s="383"/>
      <c r="DZ21" s="383"/>
      <c r="EA21" s="383"/>
      <c r="EB21" s="383"/>
      <c r="EC21" s="383"/>
      <c r="ED21" s="383"/>
      <c r="EE21" s="383"/>
      <c r="EG21" t="s">
        <v>189</v>
      </c>
      <c r="EH21" s="383" t="s">
        <v>206</v>
      </c>
      <c r="EI21" s="383"/>
      <c r="EJ21" s="383"/>
      <c r="EK21" s="383"/>
      <c r="EL21" s="383"/>
      <c r="EM21" s="383"/>
      <c r="EN21" s="383"/>
      <c r="EO21" s="383"/>
      <c r="EP21" s="383"/>
      <c r="EQ21" s="383"/>
      <c r="ER21" s="383"/>
      <c r="ES21" s="383"/>
      <c r="ET21" s="383"/>
      <c r="EU21" s="383"/>
      <c r="EW21" t="s">
        <v>189</v>
      </c>
      <c r="EX21" s="383" t="s">
        <v>207</v>
      </c>
      <c r="EY21" s="383"/>
      <c r="EZ21" s="383"/>
      <c r="FA21" s="383"/>
      <c r="FB21" s="383"/>
      <c r="FC21" s="383"/>
      <c r="FD21" s="383"/>
      <c r="FE21" s="383"/>
      <c r="FF21" s="383"/>
      <c r="FG21" s="383"/>
      <c r="FH21" s="383"/>
      <c r="FI21" s="383"/>
      <c r="FJ21" s="383"/>
      <c r="FK21" s="383"/>
      <c r="FL21" s="383"/>
    </row>
    <row r="22" spans="2:168" ht="35.450000000000003" customHeight="1" x14ac:dyDescent="0.25">
      <c r="B22" s="163" t="s">
        <v>207</v>
      </c>
      <c r="C22" s="164" t="s">
        <v>386</v>
      </c>
      <c r="D22" s="164" t="s">
        <v>387</v>
      </c>
      <c r="E22" s="164" t="s">
        <v>388</v>
      </c>
      <c r="F22" s="164" t="s">
        <v>389</v>
      </c>
      <c r="G22" s="164" t="s">
        <v>390</v>
      </c>
      <c r="H22" s="164" t="s">
        <v>391</v>
      </c>
      <c r="I22" s="164" t="s">
        <v>392</v>
      </c>
      <c r="J22" s="164" t="s">
        <v>393</v>
      </c>
      <c r="K22" s="164" t="s">
        <v>546</v>
      </c>
      <c r="L22" s="164" t="s">
        <v>396</v>
      </c>
      <c r="M22" s="164" t="s">
        <v>397</v>
      </c>
      <c r="N22" s="164" t="s">
        <v>398</v>
      </c>
      <c r="O22" s="164" t="s">
        <v>399</v>
      </c>
      <c r="P22" s="106" t="s">
        <v>29</v>
      </c>
      <c r="R22" s="164" t="s">
        <v>546</v>
      </c>
      <c r="S22" s="164" t="s">
        <v>396</v>
      </c>
      <c r="T22" s="164" t="s">
        <v>397</v>
      </c>
      <c r="U22" s="164" t="s">
        <v>546</v>
      </c>
      <c r="V22" s="164" t="s">
        <v>396</v>
      </c>
      <c r="W22" s="164" t="s">
        <v>397</v>
      </c>
      <c r="X22" s="296"/>
      <c r="Y22" s="163" t="s">
        <v>207</v>
      </c>
      <c r="Z22" s="164" t="s">
        <v>386</v>
      </c>
      <c r="AA22" s="164" t="s">
        <v>387</v>
      </c>
      <c r="AB22" s="164" t="s">
        <v>388</v>
      </c>
      <c r="AC22" s="164" t="s">
        <v>389</v>
      </c>
      <c r="AD22" s="164" t="s">
        <v>390</v>
      </c>
      <c r="AE22" s="164" t="s">
        <v>391</v>
      </c>
      <c r="AF22" s="164" t="s">
        <v>392</v>
      </c>
      <c r="AG22" s="164" t="s">
        <v>393</v>
      </c>
      <c r="AH22" s="164" t="s">
        <v>546</v>
      </c>
      <c r="AI22" s="164" t="s">
        <v>396</v>
      </c>
      <c r="AJ22" s="164" t="s">
        <v>397</v>
      </c>
      <c r="AK22" s="164" t="s">
        <v>398</v>
      </c>
      <c r="AL22" s="164" t="s">
        <v>399</v>
      </c>
      <c r="AM22" s="106" t="s">
        <v>29</v>
      </c>
      <c r="AN22" s="296"/>
      <c r="AO22" s="163" t="s">
        <v>207</v>
      </c>
      <c r="AP22" s="164" t="s">
        <v>386</v>
      </c>
      <c r="AQ22" s="164" t="s">
        <v>387</v>
      </c>
      <c r="AR22" s="164" t="s">
        <v>388</v>
      </c>
      <c r="AS22" s="164" t="s">
        <v>389</v>
      </c>
      <c r="AT22" s="164" t="s">
        <v>390</v>
      </c>
      <c r="AU22" s="164" t="s">
        <v>391</v>
      </c>
      <c r="AV22" s="164" t="s">
        <v>392</v>
      </c>
      <c r="AW22" s="164" t="s">
        <v>393</v>
      </c>
      <c r="AX22" s="164" t="s">
        <v>546</v>
      </c>
      <c r="AY22" s="164" t="s">
        <v>396</v>
      </c>
      <c r="AZ22" s="164" t="s">
        <v>397</v>
      </c>
      <c r="BA22" s="164" t="s">
        <v>398</v>
      </c>
      <c r="BB22" s="164" t="s">
        <v>399</v>
      </c>
      <c r="BC22" s="106" t="s">
        <v>29</v>
      </c>
      <c r="BE22" s="163" t="s">
        <v>207</v>
      </c>
      <c r="BF22" s="164" t="s">
        <v>538</v>
      </c>
      <c r="BG22" s="164"/>
      <c r="BH22" s="164" t="s">
        <v>576</v>
      </c>
      <c r="BI22" s="164"/>
      <c r="BJ22" s="164" t="s">
        <v>577</v>
      </c>
      <c r="BK22" s="164"/>
      <c r="BL22" s="164" t="s">
        <v>392</v>
      </c>
      <c r="BM22" s="164" t="s">
        <v>393</v>
      </c>
      <c r="BN22" s="164" t="s">
        <v>546</v>
      </c>
      <c r="BO22" s="164" t="s">
        <v>396</v>
      </c>
      <c r="BP22" s="164" t="s">
        <v>397</v>
      </c>
      <c r="BQ22" s="164" t="s">
        <v>398</v>
      </c>
      <c r="BR22" s="164" t="s">
        <v>399</v>
      </c>
      <c r="BS22" s="106" t="s">
        <v>29</v>
      </c>
      <c r="BU22" s="163" t="s">
        <v>207</v>
      </c>
      <c r="BV22" s="164" t="s">
        <v>538</v>
      </c>
      <c r="BW22" s="164"/>
      <c r="BX22" s="164" t="s">
        <v>576</v>
      </c>
      <c r="BY22" s="164"/>
      <c r="BZ22" s="164" t="s">
        <v>577</v>
      </c>
      <c r="CA22" s="164"/>
      <c r="CB22" s="164" t="s">
        <v>392</v>
      </c>
      <c r="CC22" s="164" t="s">
        <v>393</v>
      </c>
      <c r="CD22" s="164" t="s">
        <v>546</v>
      </c>
      <c r="CE22" s="164" t="s">
        <v>396</v>
      </c>
      <c r="CF22" s="164" t="s">
        <v>397</v>
      </c>
      <c r="CG22" s="164" t="s">
        <v>398</v>
      </c>
      <c r="CH22" s="164" t="s">
        <v>399</v>
      </c>
      <c r="CI22" s="106" t="s">
        <v>29</v>
      </c>
      <c r="CK22" s="163" t="s">
        <v>207</v>
      </c>
      <c r="CL22" s="164" t="s">
        <v>386</v>
      </c>
      <c r="CM22" s="164" t="s">
        <v>387</v>
      </c>
      <c r="CN22" s="164" t="s">
        <v>388</v>
      </c>
      <c r="CO22" s="164" t="s">
        <v>389</v>
      </c>
      <c r="CP22" s="164" t="s">
        <v>390</v>
      </c>
      <c r="CQ22" s="164" t="s">
        <v>391</v>
      </c>
      <c r="CR22" s="164" t="s">
        <v>392</v>
      </c>
      <c r="CS22" s="164" t="s">
        <v>393</v>
      </c>
      <c r="CT22" s="164" t="s">
        <v>546</v>
      </c>
      <c r="CU22" s="164" t="s">
        <v>396</v>
      </c>
      <c r="CV22" s="164" t="s">
        <v>397</v>
      </c>
      <c r="CW22" s="164" t="s">
        <v>398</v>
      </c>
      <c r="CX22" s="164" t="s">
        <v>399</v>
      </c>
      <c r="CY22" s="106" t="s">
        <v>29</v>
      </c>
      <c r="DA22" s="163" t="s">
        <v>207</v>
      </c>
      <c r="DB22" s="164" t="s">
        <v>538</v>
      </c>
      <c r="DC22" s="164"/>
      <c r="DD22" s="164" t="s">
        <v>576</v>
      </c>
      <c r="DE22" s="164"/>
      <c r="DF22" s="164" t="s">
        <v>577</v>
      </c>
      <c r="DG22" s="164"/>
      <c r="DH22" s="164" t="s">
        <v>392</v>
      </c>
      <c r="DI22" s="164" t="s">
        <v>393</v>
      </c>
      <c r="DJ22" s="164" t="s">
        <v>546</v>
      </c>
      <c r="DK22" s="164" t="s">
        <v>396</v>
      </c>
      <c r="DL22" s="164" t="s">
        <v>397</v>
      </c>
      <c r="DM22" s="164" t="s">
        <v>398</v>
      </c>
      <c r="DN22" s="164" t="s">
        <v>399</v>
      </c>
      <c r="DO22" s="106" t="s">
        <v>29</v>
      </c>
      <c r="DQ22" s="163" t="s">
        <v>207</v>
      </c>
      <c r="DR22" s="164" t="s">
        <v>538</v>
      </c>
      <c r="DS22" s="164"/>
      <c r="DT22" s="164" t="s">
        <v>576</v>
      </c>
      <c r="DU22" s="164"/>
      <c r="DV22" s="164" t="s">
        <v>577</v>
      </c>
      <c r="DW22" s="164"/>
      <c r="DX22" s="164" t="s">
        <v>392</v>
      </c>
      <c r="DY22" s="164" t="s">
        <v>393</v>
      </c>
      <c r="DZ22" s="164" t="s">
        <v>546</v>
      </c>
      <c r="EA22" s="164" t="s">
        <v>396</v>
      </c>
      <c r="EB22" s="164" t="s">
        <v>397</v>
      </c>
      <c r="EC22" s="164" t="s">
        <v>398</v>
      </c>
      <c r="ED22" s="164" t="s">
        <v>399</v>
      </c>
      <c r="EE22" s="106" t="s">
        <v>29</v>
      </c>
      <c r="EG22" s="163" t="s">
        <v>207</v>
      </c>
      <c r="EH22" s="164" t="s">
        <v>538</v>
      </c>
      <c r="EI22" s="164"/>
      <c r="EJ22" s="164" t="s">
        <v>576</v>
      </c>
      <c r="EK22" s="164"/>
      <c r="EL22" s="164" t="s">
        <v>577</v>
      </c>
      <c r="EM22" s="164"/>
      <c r="EN22" s="164" t="s">
        <v>392</v>
      </c>
      <c r="EO22" s="164" t="s">
        <v>393</v>
      </c>
      <c r="EP22" s="164" t="s">
        <v>546</v>
      </c>
      <c r="EQ22" s="164" t="s">
        <v>396</v>
      </c>
      <c r="ER22" s="164" t="s">
        <v>397</v>
      </c>
      <c r="ES22" s="164" t="s">
        <v>398</v>
      </c>
      <c r="ET22" s="164" t="s">
        <v>399</v>
      </c>
      <c r="EU22" s="106" t="s">
        <v>29</v>
      </c>
      <c r="EW22" s="163" t="s">
        <v>206</v>
      </c>
      <c r="EX22" s="164" t="s">
        <v>386</v>
      </c>
      <c r="EY22" s="164" t="s">
        <v>387</v>
      </c>
      <c r="EZ22" s="164" t="s">
        <v>388</v>
      </c>
      <c r="FA22" s="164" t="s">
        <v>389</v>
      </c>
      <c r="FB22" s="164" t="s">
        <v>390</v>
      </c>
      <c r="FC22" s="164" t="s">
        <v>391</v>
      </c>
      <c r="FD22" s="164" t="s">
        <v>392</v>
      </c>
      <c r="FE22" s="164" t="s">
        <v>393</v>
      </c>
      <c r="FF22" s="164"/>
      <c r="FG22" s="164" t="s">
        <v>546</v>
      </c>
      <c r="FH22" s="164" t="s">
        <v>396</v>
      </c>
      <c r="FI22" s="164" t="s">
        <v>397</v>
      </c>
      <c r="FJ22" s="164" t="s">
        <v>398</v>
      </c>
      <c r="FK22" s="164" t="s">
        <v>399</v>
      </c>
      <c r="FL22" s="106" t="s">
        <v>29</v>
      </c>
    </row>
    <row r="23" spans="2:168" x14ac:dyDescent="0.25">
      <c r="B23" s="107" t="s">
        <v>386</v>
      </c>
      <c r="C23" s="160">
        <f>TripMode_inputCBD!B20</f>
        <v>23007.45376</v>
      </c>
      <c r="D23" s="160">
        <f>TripMode_inputCBD!C20</f>
        <v>329.32002</v>
      </c>
      <c r="E23" s="160">
        <f>TripMode_inputCBD!D20</f>
        <v>0</v>
      </c>
      <c r="F23" s="160">
        <f>TripMode_inputCBD!E20</f>
        <v>0</v>
      </c>
      <c r="G23" s="160">
        <f>TripMode_inputCBD!F20</f>
        <v>0</v>
      </c>
      <c r="H23" s="160">
        <f>TripMode_inputCBD!G20</f>
        <v>0</v>
      </c>
      <c r="I23" s="294"/>
      <c r="J23" s="294"/>
      <c r="K23" s="294"/>
      <c r="L23" s="294"/>
      <c r="M23" s="294"/>
      <c r="N23" s="294"/>
      <c r="O23" s="294"/>
      <c r="P23" s="161">
        <f t="shared" ref="P23:P35" si="28">SUM(C23:O23)</f>
        <v>23336.77378</v>
      </c>
      <c r="R23">
        <f>K23/K$31</f>
        <v>0</v>
      </c>
      <c r="S23">
        <f>L23/L$32</f>
        <v>0</v>
      </c>
      <c r="T23">
        <f>M23/M$33</f>
        <v>0</v>
      </c>
      <c r="Y23" s="107" t="s">
        <v>386</v>
      </c>
      <c r="Z23" s="160">
        <f>+C23</f>
        <v>23007.45376</v>
      </c>
      <c r="AA23" s="160">
        <f t="shared" ref="AA23:AF29" si="29">+D23</f>
        <v>329.32002</v>
      </c>
      <c r="AB23" s="160">
        <f t="shared" si="29"/>
        <v>0</v>
      </c>
      <c r="AC23" s="160">
        <f t="shared" si="29"/>
        <v>0</v>
      </c>
      <c r="AD23" s="160">
        <f t="shared" si="29"/>
        <v>0</v>
      </c>
      <c r="AE23" s="160">
        <f t="shared" si="29"/>
        <v>0</v>
      </c>
      <c r="AF23" s="294"/>
      <c r="AG23" s="294"/>
      <c r="AH23" s="294"/>
      <c r="AI23" s="294"/>
      <c r="AJ23" s="294"/>
      <c r="AK23" s="294"/>
      <c r="AL23" s="294"/>
      <c r="AM23" s="161">
        <f t="shared" ref="AM23:AM35" si="30">SUM(Z23:AL23)</f>
        <v>23336.77378</v>
      </c>
      <c r="AO23" s="107" t="s">
        <v>386</v>
      </c>
      <c r="AP23" s="160">
        <f>TripMode_inputCBD!R20*Index!$B$2</f>
        <v>3115</v>
      </c>
      <c r="AQ23" s="160">
        <f>TripMode_inputCBD!S20*Index!$B$2</f>
        <v>485</v>
      </c>
      <c r="AR23" s="160">
        <f>TripMode_inputCBD!T20*Index!$B$2</f>
        <v>220</v>
      </c>
      <c r="AS23" s="160">
        <f>TripMode_inputCBD!U20*Index!$B$2</f>
        <v>40</v>
      </c>
      <c r="AT23" s="160">
        <f>TripMode_inputCBD!V20*Index!$B$2</f>
        <v>210</v>
      </c>
      <c r="AU23" s="160">
        <f>TripMode_inputCBD!W20*Index!$B$2</f>
        <v>35</v>
      </c>
      <c r="AV23" s="294">
        <f>TripMode_inputCBD!X20*Index!$B$2</f>
        <v>0</v>
      </c>
      <c r="AW23" s="294">
        <f>TripMode_inputCBD!Y20*Index!$B$2</f>
        <v>0</v>
      </c>
      <c r="AX23" s="294">
        <f>TripMode_inputCBD!AA20*Index!$B$2</f>
        <v>0</v>
      </c>
      <c r="AY23" s="294">
        <f>TripMode_inputCBD!AB20*Index!$B$2</f>
        <v>0</v>
      </c>
      <c r="AZ23" s="160">
        <f>TripMode_inputCBD!AC20*Index!$B$2</f>
        <v>0</v>
      </c>
      <c r="BA23" s="294">
        <f>TripMode_inputCBD!AD20*Index!$B$2</f>
        <v>0</v>
      </c>
      <c r="BB23" s="294">
        <f>TripMode_inputCBD!AE20*Index!$B$2</f>
        <v>0</v>
      </c>
      <c r="BC23" s="161">
        <f t="shared" ref="BC23:BC35" si="31">SUM(AP23:BB23)</f>
        <v>4105</v>
      </c>
      <c r="BE23" s="107" t="s">
        <v>538</v>
      </c>
      <c r="BF23" s="166">
        <f>IF(Z$36+AA$36&gt;0,SUM(Z23:AA24)/(Z$36+AA$36),"")</f>
        <v>1</v>
      </c>
      <c r="BG23" s="166"/>
      <c r="BH23" s="166">
        <f>IF(AB$36+AC$36&gt;0,SUM(AB23:AC24)/(AB$36+AC$36),"")</f>
        <v>0</v>
      </c>
      <c r="BI23" s="166"/>
      <c r="BJ23" s="166">
        <f>IF(AD$36+AE$36&gt;0,SUM(AD23:AE24)/(AD$36+AE$36),"")</f>
        <v>0</v>
      </c>
      <c r="BK23" s="166"/>
      <c r="BL23" s="166">
        <f t="shared" ref="BL23:BS23" si="32">IF(AF$36&gt;0,(AF23+AF24)/AF$36,"")</f>
        <v>0</v>
      </c>
      <c r="BM23" s="166">
        <f t="shared" si="32"/>
        <v>0</v>
      </c>
      <c r="BN23" s="166">
        <f t="shared" si="32"/>
        <v>0</v>
      </c>
      <c r="BO23" s="166">
        <f t="shared" si="32"/>
        <v>0</v>
      </c>
      <c r="BP23" s="166">
        <f t="shared" si="32"/>
        <v>0</v>
      </c>
      <c r="BQ23" s="166" t="str">
        <f t="shared" si="32"/>
        <v/>
      </c>
      <c r="BR23" s="166" t="str">
        <f t="shared" si="32"/>
        <v/>
      </c>
      <c r="BS23" s="166">
        <f t="shared" si="32"/>
        <v>0.22197922326623745</v>
      </c>
      <c r="BU23" s="107" t="s">
        <v>538</v>
      </c>
      <c r="BV23" s="166">
        <f>IF(AP$36+AQ$36&gt;0,SUM(AP23:AQ24)/(AP$36+AQ$36),"")</f>
        <v>1</v>
      </c>
      <c r="BW23" s="166"/>
      <c r="BX23" s="166">
        <f>IF(AR$36+AS$36&gt;0,SUM(AR23:AS24)/(AR$36+AS$36),"")</f>
        <v>0.24886877828054299</v>
      </c>
      <c r="BY23" s="166"/>
      <c r="BZ23" s="166">
        <f>IF(AT$36+AU$36&gt;0,SUM(AT23:AU24)/(AT$36+AU$36),"")</f>
        <v>0.3923076923076923</v>
      </c>
      <c r="CA23" s="166"/>
      <c r="CB23" s="166">
        <f t="shared" ref="CB23:CI23" si="33">IF(AV$36&gt;0,(AV23+AV24)/AV$36,"")</f>
        <v>0</v>
      </c>
      <c r="CC23" s="166">
        <f t="shared" si="33"/>
        <v>0</v>
      </c>
      <c r="CD23" s="166">
        <f t="shared" si="33"/>
        <v>0</v>
      </c>
      <c r="CE23" s="166">
        <f t="shared" si="33"/>
        <v>0</v>
      </c>
      <c r="CF23" s="166">
        <f t="shared" si="33"/>
        <v>0</v>
      </c>
      <c r="CG23" s="166">
        <f t="shared" si="33"/>
        <v>0</v>
      </c>
      <c r="CH23" s="166" t="str">
        <f t="shared" si="33"/>
        <v/>
      </c>
      <c r="CI23" s="166">
        <f t="shared" si="33"/>
        <v>8.6799639170091203E-2</v>
      </c>
      <c r="CK23" s="107" t="s">
        <v>386</v>
      </c>
      <c r="CL23" s="166">
        <f t="shared" ref="CL23:CO26" si="34">IF(OR(ISNA(BF23),BF23=0,BF23=""),"",(BV23-BF23)/BF23)</f>
        <v>0</v>
      </c>
      <c r="CM23" s="166" t="str">
        <f t="shared" si="34"/>
        <v/>
      </c>
      <c r="CN23" s="166" t="str">
        <f t="shared" si="34"/>
        <v/>
      </c>
      <c r="CO23" s="166" t="str">
        <f t="shared" si="34"/>
        <v/>
      </c>
      <c r="CP23" s="166"/>
      <c r="CQ23" s="166"/>
      <c r="CR23" s="166"/>
      <c r="CS23" s="166"/>
      <c r="CT23" s="166" t="str">
        <f t="shared" ref="CT23:CY26" si="35">IF(OR(ISNA(BN23),BN23=0,BN23=""),"",(CD23-BN23)/BN23)</f>
        <v/>
      </c>
      <c r="CU23" s="166" t="str">
        <f t="shared" si="35"/>
        <v/>
      </c>
      <c r="CV23" s="166" t="str">
        <f t="shared" si="35"/>
        <v/>
      </c>
      <c r="CW23" s="166" t="str">
        <f t="shared" si="35"/>
        <v/>
      </c>
      <c r="CX23" s="166" t="str">
        <f t="shared" si="35"/>
        <v/>
      </c>
      <c r="CY23" s="167">
        <f t="shared" si="35"/>
        <v>-0.60897403868295619</v>
      </c>
      <c r="DA23" s="107" t="s">
        <v>538</v>
      </c>
      <c r="DB23" s="314">
        <f>IFERROR(IF(BV23&gt;0,LN(BF23/BV23),0),0)</f>
        <v>0</v>
      </c>
      <c r="DC23" s="314"/>
      <c r="DD23" s="314">
        <f>IFERROR(IF(BX23&gt;0,LN(BH23/BX23),0),0)</f>
        <v>0</v>
      </c>
      <c r="DE23" s="314"/>
      <c r="DF23" s="314">
        <f>IFERROR(IF(BZ23&gt;0,LN(BJ23/BZ23),0),0)</f>
        <v>0</v>
      </c>
      <c r="DG23" s="314"/>
      <c r="DH23" s="315"/>
      <c r="DI23" s="315"/>
      <c r="DJ23" s="315"/>
      <c r="DK23" s="315"/>
      <c r="DL23" s="315"/>
      <c r="DM23" s="315"/>
      <c r="DN23" s="315"/>
      <c r="DO23" s="167"/>
      <c r="DQ23" s="107" t="s">
        <v>538</v>
      </c>
      <c r="DR23" s="314">
        <v>0</v>
      </c>
      <c r="DS23" s="314">
        <v>0</v>
      </c>
      <c r="DT23" s="314">
        <v>0</v>
      </c>
      <c r="DU23" s="314">
        <v>0</v>
      </c>
      <c r="DV23" s="314">
        <v>0</v>
      </c>
      <c r="DW23" s="314">
        <v>0</v>
      </c>
      <c r="DX23" s="315"/>
      <c r="DY23" s="315"/>
      <c r="DZ23" s="315"/>
      <c r="EA23" s="315"/>
      <c r="EB23" s="315"/>
      <c r="EC23" s="315"/>
      <c r="ED23" s="315"/>
      <c r="EE23" s="167"/>
      <c r="EG23" s="107" t="s">
        <v>538</v>
      </c>
      <c r="EH23" s="314">
        <v>0</v>
      </c>
      <c r="EI23" s="314">
        <v>0</v>
      </c>
      <c r="EJ23" s="314">
        <v>0</v>
      </c>
      <c r="EK23" s="314">
        <v>0</v>
      </c>
      <c r="EL23" s="314">
        <v>0</v>
      </c>
      <c r="EM23" s="314">
        <v>0</v>
      </c>
      <c r="EN23" s="315"/>
      <c r="EO23" s="315"/>
      <c r="EP23" s="315"/>
      <c r="EQ23" s="315"/>
      <c r="ER23" s="315"/>
      <c r="ES23" s="315"/>
      <c r="ET23" s="315"/>
      <c r="EU23" s="167"/>
      <c r="EW23" s="164" t="s">
        <v>386</v>
      </c>
      <c r="EX23" s="316">
        <f>INDEX($EH$23:$ET$35,EX$4,MATCH($EW23,$EW$7:$EW$19,0))</f>
        <v>0</v>
      </c>
      <c r="EY23" s="316">
        <f t="shared" ref="EY23:FK35" si="36">INDEX($EH$23:$ET$35,EY$4,MATCH($EW23,$EW$7:$EW$19,0))</f>
        <v>0</v>
      </c>
      <c r="EZ23" s="316">
        <f t="shared" si="36"/>
        <v>0</v>
      </c>
      <c r="FA23" s="316">
        <f t="shared" si="36"/>
        <v>0</v>
      </c>
      <c r="FB23" s="316">
        <f t="shared" si="36"/>
        <v>0</v>
      </c>
      <c r="FC23" s="316">
        <f t="shared" si="36"/>
        <v>0</v>
      </c>
      <c r="FD23" s="316">
        <f t="shared" si="36"/>
        <v>0</v>
      </c>
      <c r="FE23" s="316">
        <f t="shared" si="36"/>
        <v>0</v>
      </c>
      <c r="FF23" s="316"/>
      <c r="FG23" s="316">
        <f t="shared" si="36"/>
        <v>0</v>
      </c>
      <c r="FH23" s="316">
        <f t="shared" si="36"/>
        <v>0</v>
      </c>
      <c r="FI23" s="316">
        <f t="shared" si="36"/>
        <v>0</v>
      </c>
      <c r="FJ23" s="316">
        <f t="shared" si="36"/>
        <v>0</v>
      </c>
      <c r="FK23" s="316">
        <f t="shared" si="36"/>
        <v>0</v>
      </c>
      <c r="FL23" s="167"/>
    </row>
    <row r="24" spans="2:168" x14ac:dyDescent="0.25">
      <c r="B24" s="107" t="s">
        <v>387</v>
      </c>
      <c r="C24" s="160">
        <f>TripMode_inputCBD!B21</f>
        <v>0</v>
      </c>
      <c r="D24" s="160">
        <f>TripMode_inputCBD!C21</f>
        <v>1621.63041</v>
      </c>
      <c r="E24" s="160">
        <f>TripMode_inputCBD!D21</f>
        <v>0</v>
      </c>
      <c r="F24" s="160">
        <f>TripMode_inputCBD!E21</f>
        <v>0</v>
      </c>
      <c r="G24" s="160">
        <f>TripMode_inputCBD!F21</f>
        <v>0</v>
      </c>
      <c r="H24" s="160">
        <f>TripMode_inputCBD!G21</f>
        <v>0</v>
      </c>
      <c r="I24" s="294"/>
      <c r="J24" s="294"/>
      <c r="K24" s="294"/>
      <c r="L24" s="294"/>
      <c r="M24" s="294"/>
      <c r="N24" s="294"/>
      <c r="O24" s="294"/>
      <c r="P24" s="162">
        <f t="shared" si="28"/>
        <v>1621.63041</v>
      </c>
      <c r="R24">
        <f t="shared" ref="R24:R35" si="37">K24/K$31</f>
        <v>0</v>
      </c>
      <c r="S24">
        <f t="shared" ref="S24:S35" si="38">L24/L$32</f>
        <v>0</v>
      </c>
      <c r="T24">
        <f t="shared" ref="T24:T35" si="39">M24/M$33</f>
        <v>0</v>
      </c>
      <c r="Y24" s="107" t="s">
        <v>387</v>
      </c>
      <c r="Z24" s="160">
        <f>+C24</f>
        <v>0</v>
      </c>
      <c r="AA24" s="160">
        <f t="shared" si="29"/>
        <v>1621.63041</v>
      </c>
      <c r="AB24" s="160">
        <f t="shared" si="29"/>
        <v>0</v>
      </c>
      <c r="AC24" s="160">
        <f t="shared" si="29"/>
        <v>0</v>
      </c>
      <c r="AD24" s="160">
        <f t="shared" si="29"/>
        <v>0</v>
      </c>
      <c r="AE24" s="160">
        <f t="shared" si="29"/>
        <v>0</v>
      </c>
      <c r="AF24" s="294"/>
      <c r="AG24" s="294"/>
      <c r="AH24" s="294"/>
      <c r="AI24" s="294"/>
      <c r="AJ24" s="294"/>
      <c r="AK24" s="294"/>
      <c r="AL24" s="294"/>
      <c r="AM24" s="162">
        <f t="shared" si="30"/>
        <v>1621.63041</v>
      </c>
      <c r="AO24" s="107" t="s">
        <v>387</v>
      </c>
      <c r="AP24" s="160">
        <f>TripMode_inputCBD!R21*Index!$B$2</f>
        <v>80</v>
      </c>
      <c r="AQ24" s="160">
        <f>TripMode_inputCBD!S21*Index!$B$2</f>
        <v>120</v>
      </c>
      <c r="AR24" s="160">
        <f>TripMode_inputCBD!T21*Index!$B$2</f>
        <v>0</v>
      </c>
      <c r="AS24" s="160">
        <f>TripMode_inputCBD!U21*Index!$B$2</f>
        <v>15</v>
      </c>
      <c r="AT24" s="160">
        <f>TripMode_inputCBD!V21*Index!$B$2</f>
        <v>0</v>
      </c>
      <c r="AU24" s="160">
        <f>TripMode_inputCBD!W21*Index!$B$2</f>
        <v>10</v>
      </c>
      <c r="AV24" s="294">
        <f>TripMode_inputCBD!X21*Index!$B$2</f>
        <v>0</v>
      </c>
      <c r="AW24" s="294">
        <f>TripMode_inputCBD!Y21*Index!$B$2</f>
        <v>0</v>
      </c>
      <c r="AX24" s="294">
        <f>TripMode_inputCBD!AA21*Index!$B$2</f>
        <v>0</v>
      </c>
      <c r="AY24" s="294">
        <f>TripMode_inputCBD!AB21*Index!$B$2</f>
        <v>0</v>
      </c>
      <c r="AZ24" s="160">
        <f>TripMode_inputCBD!AC21*Index!$B$2</f>
        <v>0</v>
      </c>
      <c r="BA24" s="294">
        <f>TripMode_inputCBD!AD21*Index!$B$2</f>
        <v>0</v>
      </c>
      <c r="BB24" s="294">
        <f>TripMode_inputCBD!AE21*Index!$B$2</f>
        <v>0</v>
      </c>
      <c r="BC24" s="162">
        <f t="shared" si="31"/>
        <v>225</v>
      </c>
      <c r="BE24" s="107"/>
      <c r="BF24" s="166"/>
      <c r="BG24" s="166"/>
      <c r="BH24" s="166"/>
      <c r="BI24" s="166"/>
      <c r="BJ24" s="166"/>
      <c r="BK24" s="166"/>
      <c r="BL24" s="166"/>
      <c r="BM24" s="166"/>
      <c r="BN24" s="166"/>
      <c r="BO24" s="166"/>
      <c r="BP24" s="166"/>
      <c r="BQ24" s="166"/>
      <c r="BR24" s="166"/>
      <c r="BS24" s="166"/>
      <c r="BU24" s="107"/>
      <c r="BV24" s="166"/>
      <c r="BW24" s="166"/>
      <c r="BX24" s="166"/>
      <c r="BY24" s="166"/>
      <c r="BZ24" s="166"/>
      <c r="CA24" s="166"/>
      <c r="CB24" s="166"/>
      <c r="CC24" s="166"/>
      <c r="CD24" s="166"/>
      <c r="CE24" s="166"/>
      <c r="CF24" s="166"/>
      <c r="CG24" s="166"/>
      <c r="CH24" s="166"/>
      <c r="CI24" s="166"/>
      <c r="CK24" s="107" t="s">
        <v>387</v>
      </c>
      <c r="CL24" s="166" t="str">
        <f t="shared" si="34"/>
        <v/>
      </c>
      <c r="CM24" s="166" t="str">
        <f t="shared" si="34"/>
        <v/>
      </c>
      <c r="CN24" s="166" t="str">
        <f t="shared" si="34"/>
        <v/>
      </c>
      <c r="CO24" s="166" t="str">
        <f t="shared" si="34"/>
        <v/>
      </c>
      <c r="CP24" s="166"/>
      <c r="CQ24" s="166"/>
      <c r="CR24" s="166"/>
      <c r="CS24" s="166"/>
      <c r="CT24" s="166" t="str">
        <f t="shared" si="35"/>
        <v/>
      </c>
      <c r="CU24" s="166" t="str">
        <f t="shared" si="35"/>
        <v/>
      </c>
      <c r="CV24" s="166" t="str">
        <f t="shared" si="35"/>
        <v/>
      </c>
      <c r="CW24" s="166" t="str">
        <f t="shared" si="35"/>
        <v/>
      </c>
      <c r="CX24" s="166" t="str">
        <f t="shared" si="35"/>
        <v/>
      </c>
      <c r="CY24" s="168" t="str">
        <f t="shared" si="35"/>
        <v/>
      </c>
      <c r="DA24" s="107"/>
      <c r="DB24" s="314"/>
      <c r="DC24" s="314"/>
      <c r="DD24" s="314"/>
      <c r="DE24" s="314"/>
      <c r="DF24" s="314"/>
      <c r="DG24" s="314"/>
      <c r="DH24" s="315"/>
      <c r="DI24" s="315"/>
      <c r="DJ24" s="315"/>
      <c r="DK24" s="315"/>
      <c r="DL24" s="315"/>
      <c r="DM24" s="315"/>
      <c r="DN24" s="315"/>
      <c r="DO24" s="168"/>
      <c r="DQ24" s="107"/>
      <c r="DR24" s="314">
        <v>0</v>
      </c>
      <c r="DS24" s="314">
        <v>0</v>
      </c>
      <c r="DT24" s="314">
        <v>0</v>
      </c>
      <c r="DU24" s="314">
        <v>0</v>
      </c>
      <c r="DV24" s="314">
        <v>0</v>
      </c>
      <c r="DW24" s="314">
        <v>0</v>
      </c>
      <c r="DX24" s="315"/>
      <c r="DY24" s="315"/>
      <c r="DZ24" s="315"/>
      <c r="EA24" s="315"/>
      <c r="EB24" s="315"/>
      <c r="EC24" s="315"/>
      <c r="ED24" s="315"/>
      <c r="EE24" s="168"/>
      <c r="EG24" s="107"/>
      <c r="EH24" s="314">
        <v>0</v>
      </c>
      <c r="EI24" s="314">
        <v>0</v>
      </c>
      <c r="EJ24" s="314">
        <v>0</v>
      </c>
      <c r="EK24" s="314">
        <v>0</v>
      </c>
      <c r="EL24" s="314">
        <v>0</v>
      </c>
      <c r="EM24" s="314">
        <v>0</v>
      </c>
      <c r="EN24" s="315"/>
      <c r="EO24" s="315"/>
      <c r="EP24" s="315"/>
      <c r="EQ24" s="315"/>
      <c r="ER24" s="315"/>
      <c r="ES24" s="315"/>
      <c r="ET24" s="315"/>
      <c r="EU24" s="168"/>
      <c r="EW24" s="164" t="s">
        <v>387</v>
      </c>
      <c r="EX24" s="316">
        <f t="shared" ref="EX24:EX35" si="40">INDEX($EH$23:$ET$35,EX$4,MATCH($EW24,$EW$7:$EW$19,0))</f>
        <v>0</v>
      </c>
      <c r="EY24" s="316">
        <f t="shared" si="36"/>
        <v>0</v>
      </c>
      <c r="EZ24" s="316">
        <f t="shared" si="36"/>
        <v>0</v>
      </c>
      <c r="FA24" s="316">
        <f t="shared" si="36"/>
        <v>0</v>
      </c>
      <c r="FB24" s="316">
        <f t="shared" si="36"/>
        <v>0</v>
      </c>
      <c r="FC24" s="316">
        <f t="shared" si="36"/>
        <v>0</v>
      </c>
      <c r="FD24" s="316">
        <f t="shared" si="36"/>
        <v>0</v>
      </c>
      <c r="FE24" s="316">
        <f t="shared" si="36"/>
        <v>0</v>
      </c>
      <c r="FF24" s="316"/>
      <c r="FG24" s="316">
        <f t="shared" si="36"/>
        <v>0</v>
      </c>
      <c r="FH24" s="316">
        <f t="shared" si="36"/>
        <v>0</v>
      </c>
      <c r="FI24" s="316">
        <f t="shared" si="36"/>
        <v>0</v>
      </c>
      <c r="FJ24" s="316">
        <f t="shared" si="36"/>
        <v>0</v>
      </c>
      <c r="FK24" s="316">
        <f t="shared" si="36"/>
        <v>0</v>
      </c>
      <c r="FL24" s="168"/>
    </row>
    <row r="25" spans="2:168" x14ac:dyDescent="0.25">
      <c r="B25" s="107" t="s">
        <v>388</v>
      </c>
      <c r="C25" s="294"/>
      <c r="D25" s="294"/>
      <c r="E25" s="160">
        <f>TripMode_inputCBD!D22</f>
        <v>3811.9765000000002</v>
      </c>
      <c r="F25" s="160">
        <f>TripMode_inputCBD!E22</f>
        <v>0</v>
      </c>
      <c r="G25" s="160">
        <f>TripMode_inputCBD!F22</f>
        <v>535.72911999999997</v>
      </c>
      <c r="H25" s="160">
        <f>TripMode_inputCBD!G22</f>
        <v>0</v>
      </c>
      <c r="I25" s="294"/>
      <c r="J25" s="294"/>
      <c r="K25" s="160">
        <f>TripMode_inputCBD!K22+TripMode_inputCBD!J22</f>
        <v>0</v>
      </c>
      <c r="L25" s="294"/>
      <c r="M25" s="294"/>
      <c r="N25" s="160">
        <f>TripMode_inputCBD!N22</f>
        <v>0</v>
      </c>
      <c r="O25" s="294"/>
      <c r="P25" s="162">
        <f t="shared" si="28"/>
        <v>4347.7056200000006</v>
      </c>
      <c r="R25">
        <f t="shared" si="37"/>
        <v>0</v>
      </c>
      <c r="S25">
        <f t="shared" si="38"/>
        <v>0</v>
      </c>
      <c r="T25">
        <f t="shared" si="39"/>
        <v>0</v>
      </c>
      <c r="Y25" s="107" t="s">
        <v>388</v>
      </c>
      <c r="Z25" s="294"/>
      <c r="AA25" s="294"/>
      <c r="AB25" s="160">
        <f t="shared" si="29"/>
        <v>3811.9765000000002</v>
      </c>
      <c r="AC25" s="160">
        <f t="shared" si="29"/>
        <v>0</v>
      </c>
      <c r="AD25" s="160">
        <f t="shared" si="29"/>
        <v>535.72911999999997</v>
      </c>
      <c r="AE25" s="160">
        <f t="shared" si="29"/>
        <v>0</v>
      </c>
      <c r="AF25" s="294"/>
      <c r="AG25" s="294"/>
      <c r="AH25" s="160">
        <f>AH31*R25</f>
        <v>0</v>
      </c>
      <c r="AI25" s="294"/>
      <c r="AJ25" s="294"/>
      <c r="AK25" s="160">
        <f>+N25</f>
        <v>0</v>
      </c>
      <c r="AL25" s="294"/>
      <c r="AM25" s="162">
        <f t="shared" si="30"/>
        <v>4347.7056200000006</v>
      </c>
      <c r="AO25" s="107" t="s">
        <v>388</v>
      </c>
      <c r="AP25" s="294">
        <f>TripMode_inputCBD!R22*Index!$B$2</f>
        <v>0</v>
      </c>
      <c r="AQ25" s="294">
        <f>TripMode_inputCBD!S22*Index!$B$2</f>
        <v>0</v>
      </c>
      <c r="AR25" s="160">
        <f>TripMode_inputCBD!T22*Index!$B$2</f>
        <v>645</v>
      </c>
      <c r="AS25" s="160">
        <f>TripMode_inputCBD!U22*Index!$B$2</f>
        <v>75</v>
      </c>
      <c r="AT25" s="160">
        <f>TripMode_inputCBD!V22*Index!$B$2</f>
        <v>60</v>
      </c>
      <c r="AU25" s="160">
        <f>TripMode_inputCBD!W22*Index!$B$2</f>
        <v>15</v>
      </c>
      <c r="AV25" s="294">
        <f>TripMode_inputCBD!X22*Index!$B$2</f>
        <v>0</v>
      </c>
      <c r="AW25" s="294">
        <f>TripMode_inputCBD!Y22*Index!$B$2</f>
        <v>0</v>
      </c>
      <c r="AX25" s="160">
        <f>TripMode_inputCBD!AA22*Index!$B$2</f>
        <v>200</v>
      </c>
      <c r="AY25" s="160">
        <f>TripMode_inputCBD!AB22*Index!$B$2</f>
        <v>0</v>
      </c>
      <c r="AZ25" s="160">
        <f>TripMode_inputCBD!AC22*Index!$B$2</f>
        <v>0</v>
      </c>
      <c r="BA25" s="160">
        <f>TripMode_inputCBD!AD22*Index!$B$2</f>
        <v>105</v>
      </c>
      <c r="BB25" s="294">
        <f>TripMode_inputCBD!AE22*Index!$B$2</f>
        <v>0</v>
      </c>
      <c r="BC25" s="162">
        <f t="shared" si="31"/>
        <v>1100</v>
      </c>
      <c r="BE25" s="107" t="s">
        <v>576</v>
      </c>
      <c r="BF25" s="166">
        <f>IF(Z$36+AA$36&gt;0,SUM(Z25:AA26)/(Z$36+AA$36),"")</f>
        <v>0</v>
      </c>
      <c r="BG25" s="166"/>
      <c r="BH25" s="166">
        <f>IF(AB$36+AC$36&gt;0,SUM(AB25:AC26)/(AB$36+AC$36),"")</f>
        <v>0.74633578977215431</v>
      </c>
      <c r="BI25" s="166"/>
      <c r="BJ25" s="166">
        <f>IF(AD$36+AE$36&gt;0,SUM(AD25:AE26)/(AD$36+AE$36),"")</f>
        <v>0.5714285714285714</v>
      </c>
      <c r="BK25" s="166"/>
      <c r="BL25" s="166">
        <f t="shared" ref="BL25:BS25" si="41">IF(AF$36&gt;0,(AF25+AF26)/AF$36,"")</f>
        <v>0</v>
      </c>
      <c r="BM25" s="166">
        <f t="shared" si="41"/>
        <v>0</v>
      </c>
      <c r="BN25" s="166">
        <f t="shared" si="41"/>
        <v>0</v>
      </c>
      <c r="BO25" s="166">
        <f t="shared" si="41"/>
        <v>0</v>
      </c>
      <c r="BP25" s="166">
        <f t="shared" si="41"/>
        <v>0</v>
      </c>
      <c r="BQ25" s="166" t="str">
        <f t="shared" si="41"/>
        <v/>
      </c>
      <c r="BR25" s="166" t="str">
        <f t="shared" si="41"/>
        <v/>
      </c>
      <c r="BS25" s="166">
        <f t="shared" si="41"/>
        <v>3.8668350314822568E-2</v>
      </c>
      <c r="BU25" s="107" t="s">
        <v>576</v>
      </c>
      <c r="BV25" s="166">
        <f>IF(AP$36+AQ$36&gt;0,SUM(AP25:AQ26)/(AP$36+AQ$36),"")</f>
        <v>0</v>
      </c>
      <c r="BW25" s="166"/>
      <c r="BX25" s="166">
        <f>IF(AR$36+AS$36&gt;0,SUM(AR25:AS26)/(AR$36+AS$36),"")</f>
        <v>0.70135746606334837</v>
      </c>
      <c r="BY25" s="166"/>
      <c r="BZ25" s="166">
        <f>IF(AT$36+AU$36&gt;0,SUM(AT25:AU26)/(AT$36+AU$36),"")</f>
        <v>0.11538461538461539</v>
      </c>
      <c r="CA25" s="166"/>
      <c r="CB25" s="166">
        <f t="shared" ref="CB25:CI25" si="42">IF(AV$36&gt;0,(AV25+AV26)/AV$36,"")</f>
        <v>0</v>
      </c>
      <c r="CC25" s="166">
        <f t="shared" si="42"/>
        <v>0</v>
      </c>
      <c r="CD25" s="166">
        <f t="shared" si="42"/>
        <v>6.0181945416375084E-3</v>
      </c>
      <c r="CE25" s="166">
        <f t="shared" si="42"/>
        <v>0</v>
      </c>
      <c r="CF25" s="166">
        <f t="shared" si="42"/>
        <v>0</v>
      </c>
      <c r="CG25" s="166">
        <f t="shared" si="42"/>
        <v>0.107981220657277</v>
      </c>
      <c r="CH25" s="166" t="str">
        <f t="shared" si="42"/>
        <v/>
      </c>
      <c r="CI25" s="166">
        <f t="shared" si="42"/>
        <v>2.3654405131803148E-2</v>
      </c>
      <c r="CK25" s="107" t="s">
        <v>388</v>
      </c>
      <c r="CL25" s="166" t="str">
        <f t="shared" si="34"/>
        <v/>
      </c>
      <c r="CM25" s="166" t="str">
        <f t="shared" si="34"/>
        <v/>
      </c>
      <c r="CN25" s="166">
        <f t="shared" si="34"/>
        <v>-6.0265532385278195E-2</v>
      </c>
      <c r="CO25" s="166" t="str">
        <f t="shared" si="34"/>
        <v/>
      </c>
      <c r="CP25" s="166"/>
      <c r="CQ25" s="166"/>
      <c r="CR25" s="166"/>
      <c r="CS25" s="166"/>
      <c r="CT25" s="166" t="str">
        <f t="shared" si="35"/>
        <v/>
      </c>
      <c r="CU25" s="166" t="str">
        <f t="shared" si="35"/>
        <v/>
      </c>
      <c r="CV25" s="166" t="str">
        <f t="shared" si="35"/>
        <v/>
      </c>
      <c r="CW25" s="166" t="str">
        <f t="shared" si="35"/>
        <v/>
      </c>
      <c r="CX25" s="166" t="str">
        <f t="shared" si="35"/>
        <v/>
      </c>
      <c r="CY25" s="168">
        <f t="shared" si="35"/>
        <v>-0.38827477926474124</v>
      </c>
      <c r="DA25" s="107" t="s">
        <v>576</v>
      </c>
      <c r="DB25" s="315"/>
      <c r="DC25" s="315"/>
      <c r="DD25" s="314">
        <f>IFERROR(IF(BX25&gt;0,LN(BH25/BX25),0),0)</f>
        <v>6.2157924884368269E-2</v>
      </c>
      <c r="DE25" s="314"/>
      <c r="DF25" s="314">
        <f>IFERROR(IF(BZ25&gt;0,LN(BJ25/BZ25),0),0)</f>
        <v>1.5998684614179495</v>
      </c>
      <c r="DG25" s="314"/>
      <c r="DH25" s="315"/>
      <c r="DI25" s="315"/>
      <c r="DJ25" s="314">
        <f>IFERROR(IF(CD25&gt;0,LN(BN25/CD25),0),0)</f>
        <v>0</v>
      </c>
      <c r="DK25" s="315"/>
      <c r="DL25" s="315"/>
      <c r="DM25" s="314">
        <f>IFERROR(IF(CG25&gt;0,LN(BQ25/CG25),0),0)</f>
        <v>0</v>
      </c>
      <c r="DN25" s="315"/>
      <c r="DO25" s="168"/>
      <c r="DQ25" s="107" t="s">
        <v>576</v>
      </c>
      <c r="DR25" s="315"/>
      <c r="DS25" s="315"/>
      <c r="DT25" s="314">
        <v>0.13866332532805936</v>
      </c>
      <c r="DU25" s="314">
        <v>0.13866332532805936</v>
      </c>
      <c r="DV25" s="314">
        <v>-1.7398882040077424</v>
      </c>
      <c r="DW25" s="314">
        <v>-1.7398882040077424</v>
      </c>
      <c r="DX25" s="315"/>
      <c r="DY25" s="315"/>
      <c r="DZ25" s="314">
        <v>-7.9556738063216006</v>
      </c>
      <c r="EA25" s="315"/>
      <c r="EB25" s="315"/>
      <c r="EC25" s="314">
        <v>-1.3053440428576306</v>
      </c>
      <c r="ED25" s="315"/>
      <c r="EE25" s="168"/>
      <c r="EG25" s="107" t="s">
        <v>576</v>
      </c>
      <c r="EH25" s="315"/>
      <c r="EI25" s="315"/>
      <c r="EJ25" s="314">
        <f>DT25+(DD25-DD$23)*$EI$1</f>
        <v>0.20082125021242764</v>
      </c>
      <c r="EK25" s="314">
        <f>DT25+(DD25-DD$23)*$EI$1</f>
        <v>0.20082125021242764</v>
      </c>
      <c r="EL25" s="314">
        <f>DV25+(DF25-DF$23)*$EI$1</f>
        <v>-0.14001974258979288</v>
      </c>
      <c r="EM25" s="314">
        <f>DV25+(DF25-DF$23)*$EI$1</f>
        <v>-0.14001974258979288</v>
      </c>
      <c r="EN25" s="315"/>
      <c r="EO25" s="315"/>
      <c r="EP25" s="314">
        <f>DZ25+(DJ25-DJ$31)*$EI$1</f>
        <v>-8.5334316758825342</v>
      </c>
      <c r="EQ25" s="315"/>
      <c r="ER25" s="315"/>
      <c r="ES25" s="314">
        <f>EC25+(DM25-DM$34)*$EI$1</f>
        <v>-1.3053440428576306</v>
      </c>
      <c r="ET25" s="315"/>
      <c r="EU25" s="168"/>
      <c r="EW25" s="164" t="s">
        <v>388</v>
      </c>
      <c r="EX25" s="316">
        <f t="shared" si="40"/>
        <v>0</v>
      </c>
      <c r="EY25" s="316">
        <f t="shared" si="36"/>
        <v>0</v>
      </c>
      <c r="EZ25" s="316">
        <f t="shared" si="36"/>
        <v>0.20082125021242764</v>
      </c>
      <c r="FA25" s="316">
        <f t="shared" si="36"/>
        <v>0.20082125021242764</v>
      </c>
      <c r="FB25" s="316">
        <f t="shared" si="36"/>
        <v>0</v>
      </c>
      <c r="FC25" s="316">
        <f t="shared" si="36"/>
        <v>0</v>
      </c>
      <c r="FD25" s="316">
        <f t="shared" si="36"/>
        <v>5.8711877252366147</v>
      </c>
      <c r="FE25" s="316">
        <f t="shared" si="36"/>
        <v>0</v>
      </c>
      <c r="FF25" s="316"/>
      <c r="FG25" s="316">
        <f t="shared" si="36"/>
        <v>0</v>
      </c>
      <c r="FH25" s="316">
        <f t="shared" si="36"/>
        <v>0</v>
      </c>
      <c r="FI25" s="316">
        <f t="shared" si="36"/>
        <v>0</v>
      </c>
      <c r="FJ25" s="316">
        <f t="shared" si="36"/>
        <v>0</v>
      </c>
      <c r="FK25" s="316">
        <f t="shared" si="36"/>
        <v>0</v>
      </c>
      <c r="FL25" s="168"/>
    </row>
    <row r="26" spans="2:168" x14ac:dyDescent="0.25">
      <c r="B26" s="107" t="s">
        <v>389</v>
      </c>
      <c r="C26" s="294"/>
      <c r="D26" s="294"/>
      <c r="E26" s="160">
        <f>TripMode_inputCBD!D23</f>
        <v>0</v>
      </c>
      <c r="F26" s="160">
        <f>TripMode_inputCBD!E23</f>
        <v>0</v>
      </c>
      <c r="G26" s="160">
        <f>TripMode_inputCBD!F23</f>
        <v>0</v>
      </c>
      <c r="H26" s="160">
        <f>TripMode_inputCBD!G23</f>
        <v>0</v>
      </c>
      <c r="I26" s="294"/>
      <c r="J26" s="294"/>
      <c r="K26" s="160">
        <f>TripMode_inputCBD!K23+TripMode_inputCBD!J23</f>
        <v>0</v>
      </c>
      <c r="L26" s="294"/>
      <c r="M26" s="294"/>
      <c r="N26" s="160">
        <f>TripMode_inputCBD!N23</f>
        <v>0</v>
      </c>
      <c r="O26" s="294"/>
      <c r="P26" s="162">
        <f t="shared" si="28"/>
        <v>0</v>
      </c>
      <c r="R26">
        <f t="shared" si="37"/>
        <v>0</v>
      </c>
      <c r="S26">
        <f t="shared" si="38"/>
        <v>0</v>
      </c>
      <c r="T26">
        <f t="shared" si="39"/>
        <v>0</v>
      </c>
      <c r="Y26" s="107" t="s">
        <v>389</v>
      </c>
      <c r="Z26" s="294"/>
      <c r="AA26" s="294"/>
      <c r="AB26" s="160">
        <f t="shared" si="29"/>
        <v>0</v>
      </c>
      <c r="AC26" s="160">
        <f t="shared" si="29"/>
        <v>0</v>
      </c>
      <c r="AD26" s="160">
        <f t="shared" si="29"/>
        <v>0</v>
      </c>
      <c r="AE26" s="160">
        <f t="shared" si="29"/>
        <v>0</v>
      </c>
      <c r="AF26" s="294"/>
      <c r="AG26" s="294"/>
      <c r="AH26" s="160">
        <f>AH31*R26</f>
        <v>0</v>
      </c>
      <c r="AI26" s="294"/>
      <c r="AJ26" s="294"/>
      <c r="AK26" s="160">
        <f>+N26</f>
        <v>0</v>
      </c>
      <c r="AL26" s="294"/>
      <c r="AM26" s="162">
        <f t="shared" si="30"/>
        <v>0</v>
      </c>
      <c r="AO26" s="107" t="s">
        <v>389</v>
      </c>
      <c r="AP26" s="294">
        <f>TripMode_inputCBD!R23*Index!$B$2</f>
        <v>0</v>
      </c>
      <c r="AQ26" s="294">
        <f>TripMode_inputCBD!S23*Index!$B$2</f>
        <v>0</v>
      </c>
      <c r="AR26" s="160">
        <f>TripMode_inputCBD!T23*Index!$B$2</f>
        <v>15</v>
      </c>
      <c r="AS26" s="160">
        <f>TripMode_inputCBD!U23*Index!$B$2</f>
        <v>40</v>
      </c>
      <c r="AT26" s="160">
        <f>TripMode_inputCBD!V23*Index!$B$2</f>
        <v>0</v>
      </c>
      <c r="AU26" s="160">
        <f>TripMode_inputCBD!W23*Index!$B$2</f>
        <v>0</v>
      </c>
      <c r="AV26" s="294">
        <f>TripMode_inputCBD!X23*Index!$B$2</f>
        <v>0</v>
      </c>
      <c r="AW26" s="294">
        <f>TripMode_inputCBD!Y23*Index!$B$2</f>
        <v>0</v>
      </c>
      <c r="AX26" s="160">
        <f>TripMode_inputCBD!AA23*Index!$B$2</f>
        <v>15</v>
      </c>
      <c r="AY26" s="160">
        <f>TripMode_inputCBD!AB23*Index!$B$2</f>
        <v>0</v>
      </c>
      <c r="AZ26" s="160">
        <f>TripMode_inputCBD!AC23*Index!$B$2</f>
        <v>0</v>
      </c>
      <c r="BA26" s="160">
        <f>TripMode_inputCBD!AD23*Index!$B$2</f>
        <v>10</v>
      </c>
      <c r="BB26" s="294">
        <f>TripMode_inputCBD!AE23*Index!$B$2</f>
        <v>0</v>
      </c>
      <c r="BC26" s="162">
        <f t="shared" si="31"/>
        <v>80</v>
      </c>
      <c r="BE26" s="107"/>
      <c r="BF26" s="166"/>
      <c r="BG26" s="166"/>
      <c r="BH26" s="166"/>
      <c r="BI26" s="166"/>
      <c r="BJ26" s="166"/>
      <c r="BK26" s="166"/>
      <c r="BL26" s="166"/>
      <c r="BM26" s="166"/>
      <c r="BN26" s="166"/>
      <c r="BO26" s="166"/>
      <c r="BP26" s="166"/>
      <c r="BQ26" s="166"/>
      <c r="BR26" s="166"/>
      <c r="BS26" s="166"/>
      <c r="BU26" s="107"/>
      <c r="BV26" s="166"/>
      <c r="BW26" s="166"/>
      <c r="BX26" s="166"/>
      <c r="BY26" s="166"/>
      <c r="BZ26" s="166"/>
      <c r="CA26" s="166"/>
      <c r="CB26" s="166"/>
      <c r="CC26" s="166"/>
      <c r="CD26" s="166"/>
      <c r="CE26" s="166"/>
      <c r="CF26" s="166"/>
      <c r="CG26" s="166"/>
      <c r="CH26" s="166"/>
      <c r="CI26" s="166"/>
      <c r="CK26" s="107" t="s">
        <v>389</v>
      </c>
      <c r="CL26" s="166" t="str">
        <f t="shared" si="34"/>
        <v/>
      </c>
      <c r="CM26" s="166" t="str">
        <f t="shared" si="34"/>
        <v/>
      </c>
      <c r="CN26" s="166" t="str">
        <f t="shared" si="34"/>
        <v/>
      </c>
      <c r="CO26" s="166" t="str">
        <f t="shared" si="34"/>
        <v/>
      </c>
      <c r="CP26" s="166"/>
      <c r="CQ26" s="166"/>
      <c r="CR26" s="166"/>
      <c r="CS26" s="166"/>
      <c r="CT26" s="166" t="str">
        <f t="shared" si="35"/>
        <v/>
      </c>
      <c r="CU26" s="166" t="str">
        <f t="shared" si="35"/>
        <v/>
      </c>
      <c r="CV26" s="166" t="str">
        <f t="shared" si="35"/>
        <v/>
      </c>
      <c r="CW26" s="166" t="str">
        <f t="shared" si="35"/>
        <v/>
      </c>
      <c r="CX26" s="166" t="str">
        <f t="shared" si="35"/>
        <v/>
      </c>
      <c r="CY26" s="168" t="str">
        <f t="shared" si="35"/>
        <v/>
      </c>
      <c r="DA26" s="107"/>
      <c r="DB26" s="315"/>
      <c r="DC26" s="315"/>
      <c r="DD26" s="314"/>
      <c r="DE26" s="314"/>
      <c r="DF26" s="314"/>
      <c r="DG26" s="314"/>
      <c r="DH26" s="315"/>
      <c r="DI26" s="315"/>
      <c r="DJ26" s="314"/>
      <c r="DK26" s="315"/>
      <c r="DL26" s="315"/>
      <c r="DM26" s="314"/>
      <c r="DN26" s="315"/>
      <c r="DO26" s="168"/>
      <c r="DQ26" s="107"/>
      <c r="DR26" s="315"/>
      <c r="DS26" s="315"/>
      <c r="DT26" s="314">
        <v>0.13866332532805936</v>
      </c>
      <c r="DU26" s="314">
        <v>0.13866332532805936</v>
      </c>
      <c r="DV26" s="314">
        <v>-1.7398882040077424</v>
      </c>
      <c r="DW26" s="314">
        <v>-1.7398882040077424</v>
      </c>
      <c r="DX26" s="315"/>
      <c r="DY26" s="315"/>
      <c r="DZ26" s="314">
        <v>-7.9556738063216006</v>
      </c>
      <c r="EA26" s="315"/>
      <c r="EB26" s="315"/>
      <c r="EC26" s="314">
        <v>-1.3053440428576306</v>
      </c>
      <c r="ED26" s="315"/>
      <c r="EE26" s="168"/>
      <c r="EG26" s="107"/>
      <c r="EH26" s="315"/>
      <c r="EI26" s="315"/>
      <c r="EJ26" s="314">
        <f>DT25+(DD25-DD$23)*$EI$1</f>
        <v>0.20082125021242764</v>
      </c>
      <c r="EK26" s="314">
        <f>DT25+(DD25-DD$23)*$EI$1</f>
        <v>0.20082125021242764</v>
      </c>
      <c r="EL26" s="314">
        <f>DV25+(DF25-DF$23)*$EI$1</f>
        <v>-0.14001974258979288</v>
      </c>
      <c r="EM26" s="314">
        <f>DV25+(DF25-DF$23)*$EI$1</f>
        <v>-0.14001974258979288</v>
      </c>
      <c r="EN26" s="315"/>
      <c r="EO26" s="315"/>
      <c r="EP26" s="314">
        <f>DZ25+(DJ25-DJ$31)*$EI$1</f>
        <v>-8.5334316758825342</v>
      </c>
      <c r="EQ26" s="315"/>
      <c r="ER26" s="315"/>
      <c r="ES26" s="314">
        <f>EC25+(DM25-DM$34)*$EI$1</f>
        <v>-1.3053440428576306</v>
      </c>
      <c r="ET26" s="315"/>
      <c r="EU26" s="168"/>
      <c r="EW26" s="164" t="s">
        <v>389</v>
      </c>
      <c r="EX26" s="316">
        <f t="shared" si="40"/>
        <v>0</v>
      </c>
      <c r="EY26" s="316">
        <f t="shared" si="36"/>
        <v>0</v>
      </c>
      <c r="EZ26" s="316">
        <f t="shared" si="36"/>
        <v>0.20082125021242764</v>
      </c>
      <c r="FA26" s="316">
        <f t="shared" si="36"/>
        <v>0.20082125021242764</v>
      </c>
      <c r="FB26" s="316">
        <f t="shared" si="36"/>
        <v>0</v>
      </c>
      <c r="FC26" s="316">
        <f t="shared" si="36"/>
        <v>0</v>
      </c>
      <c r="FD26" s="316">
        <f t="shared" si="36"/>
        <v>5.8711877252366147</v>
      </c>
      <c r="FE26" s="316">
        <f t="shared" si="36"/>
        <v>0</v>
      </c>
      <c r="FF26" s="316"/>
      <c r="FG26" s="316">
        <f t="shared" si="36"/>
        <v>0</v>
      </c>
      <c r="FH26" s="316">
        <f t="shared" si="36"/>
        <v>0</v>
      </c>
      <c r="FI26" s="316">
        <f t="shared" si="36"/>
        <v>0</v>
      </c>
      <c r="FJ26" s="316">
        <f t="shared" si="36"/>
        <v>0</v>
      </c>
      <c r="FK26" s="316">
        <f t="shared" si="36"/>
        <v>0</v>
      </c>
      <c r="FL26" s="168"/>
    </row>
    <row r="27" spans="2:168" x14ac:dyDescent="0.25">
      <c r="B27" s="107" t="s">
        <v>390</v>
      </c>
      <c r="C27" s="294"/>
      <c r="D27" s="294"/>
      <c r="E27" s="294"/>
      <c r="F27" s="294"/>
      <c r="G27" s="160">
        <f>TripMode_inputCBD!F24</f>
        <v>267.86455999999998</v>
      </c>
      <c r="H27" s="160">
        <f>TripMode_inputCBD!G24</f>
        <v>0</v>
      </c>
      <c r="I27" s="294"/>
      <c r="J27" s="294"/>
      <c r="K27" s="160">
        <f>TripMode_inputCBD!K24+TripMode_inputCBD!J24</f>
        <v>169.00756000000001</v>
      </c>
      <c r="L27" s="294"/>
      <c r="M27" s="294"/>
      <c r="N27" s="160">
        <f>TripMode_inputCBD!N24</f>
        <v>0</v>
      </c>
      <c r="O27" s="294"/>
      <c r="P27" s="162">
        <f t="shared" si="28"/>
        <v>436.87212</v>
      </c>
      <c r="R27">
        <f t="shared" si="37"/>
        <v>3.5532059715733472E-3</v>
      </c>
      <c r="S27">
        <f t="shared" si="38"/>
        <v>0</v>
      </c>
      <c r="T27">
        <f t="shared" si="39"/>
        <v>0</v>
      </c>
      <c r="Y27" s="107" t="s">
        <v>390</v>
      </c>
      <c r="Z27" s="294"/>
      <c r="AA27" s="294"/>
      <c r="AB27" s="294"/>
      <c r="AC27" s="294"/>
      <c r="AD27" s="160">
        <f t="shared" si="29"/>
        <v>267.86455999999998</v>
      </c>
      <c r="AE27" s="160">
        <f t="shared" si="29"/>
        <v>0</v>
      </c>
      <c r="AF27" s="294"/>
      <c r="AG27" s="294"/>
      <c r="AH27" s="160">
        <f>AH31*R27</f>
        <v>162.02589762999347</v>
      </c>
      <c r="AI27" s="294"/>
      <c r="AJ27" s="294"/>
      <c r="AK27" s="160">
        <f>+N27</f>
        <v>0</v>
      </c>
      <c r="AL27" s="294"/>
      <c r="AM27" s="162">
        <f t="shared" si="30"/>
        <v>429.89045762999342</v>
      </c>
      <c r="AO27" s="107" t="s">
        <v>390</v>
      </c>
      <c r="AP27" s="294">
        <f>TripMode_inputCBD!R24*Index!$B$2</f>
        <v>0</v>
      </c>
      <c r="AQ27" s="294">
        <f>TripMode_inputCBD!S24*Index!$B$2</f>
        <v>0</v>
      </c>
      <c r="AR27" s="294">
        <f>TripMode_inputCBD!T24*Index!$B$2</f>
        <v>0</v>
      </c>
      <c r="AS27" s="294">
        <f>TripMode_inputCBD!U24*Index!$B$2</f>
        <v>0</v>
      </c>
      <c r="AT27" s="160">
        <f>TripMode_inputCBD!V24*Index!$B$2</f>
        <v>235</v>
      </c>
      <c r="AU27" s="160">
        <f>TripMode_inputCBD!W24*Index!$B$2</f>
        <v>60</v>
      </c>
      <c r="AV27" s="294">
        <f>TripMode_inputCBD!X24*Index!$B$2</f>
        <v>0</v>
      </c>
      <c r="AW27" s="294">
        <f>TripMode_inputCBD!Y24*Index!$B$2</f>
        <v>0</v>
      </c>
      <c r="AX27" s="160">
        <f>TripMode_inputCBD!AA24*Index!$B$2</f>
        <v>15</v>
      </c>
      <c r="AY27" s="160">
        <f>TripMode_inputCBD!AB24*Index!$B$2</f>
        <v>0</v>
      </c>
      <c r="AZ27" s="160">
        <f>TripMode_inputCBD!AC24*Index!$B$2</f>
        <v>0</v>
      </c>
      <c r="BA27" s="160">
        <f>TripMode_inputCBD!AD24*Index!$B$2</f>
        <v>55</v>
      </c>
      <c r="BB27" s="294">
        <f>TripMode_inputCBD!AE24*Index!$B$2</f>
        <v>0</v>
      </c>
      <c r="BC27" s="162">
        <f t="shared" si="31"/>
        <v>365</v>
      </c>
      <c r="BE27" s="107" t="s">
        <v>577</v>
      </c>
      <c r="BF27" s="166">
        <f>IF(Z$36+AA$36&gt;0,SUM(Z27:AA28)/(Z$36+AA$36),"")</f>
        <v>0</v>
      </c>
      <c r="BG27" s="166"/>
      <c r="BH27" s="166">
        <f>IF(AB$36+AC$36&gt;0,SUM(AB27:AC28)/(AB$36+AC$36),"")</f>
        <v>0</v>
      </c>
      <c r="BI27" s="166"/>
      <c r="BJ27" s="166">
        <f>IF(AD$36+AE$36&gt;0,SUM(AD27:AE28)/(AD$36+AE$36),"")</f>
        <v>0.2857142857142857</v>
      </c>
      <c r="BK27" s="166"/>
      <c r="BL27" s="166">
        <f t="shared" ref="BL27:BS27" si="43">IF(AF$36&gt;0,(AF27+AF28)/AF$36,"")</f>
        <v>0</v>
      </c>
      <c r="BM27" s="166">
        <f t="shared" si="43"/>
        <v>0</v>
      </c>
      <c r="BN27" s="166">
        <f t="shared" si="43"/>
        <v>3.1398316084276351E-3</v>
      </c>
      <c r="BO27" s="166">
        <f t="shared" si="43"/>
        <v>0</v>
      </c>
      <c r="BP27" s="166">
        <f t="shared" si="43"/>
        <v>0</v>
      </c>
      <c r="BQ27" s="166" t="str">
        <f t="shared" si="43"/>
        <v/>
      </c>
      <c r="BR27" s="166" t="str">
        <f t="shared" si="43"/>
        <v/>
      </c>
      <c r="BS27" s="166">
        <f t="shared" si="43"/>
        <v>3.8234315442534426E-3</v>
      </c>
      <c r="BU27" s="107" t="s">
        <v>577</v>
      </c>
      <c r="BV27" s="166">
        <f>IF(AP$36+AQ$36&gt;0,SUM(AP27:AQ28)/(AP$36+AQ$36),"")</f>
        <v>0</v>
      </c>
      <c r="BW27" s="166"/>
      <c r="BX27" s="166">
        <f>IF(AR$36+AS$36&gt;0,SUM(AR27:AS28)/(AR$36+AS$36),"")</f>
        <v>0</v>
      </c>
      <c r="BY27" s="166"/>
      <c r="BZ27" s="166">
        <f>IF(AT$36+AU$36&gt;0,SUM(AT27:AU28)/(AT$36+AU$36),"")</f>
        <v>0.46153846153846156</v>
      </c>
      <c r="CA27" s="166"/>
      <c r="CB27" s="166">
        <f t="shared" ref="CB27:CI27" si="44">IF(AV$36&gt;0,(AV27+AV28)/AV$36,"")</f>
        <v>0</v>
      </c>
      <c r="CC27" s="166">
        <f t="shared" si="44"/>
        <v>0</v>
      </c>
      <c r="CD27" s="166">
        <f t="shared" si="44"/>
        <v>4.1987403778866341E-4</v>
      </c>
      <c r="CE27" s="166">
        <f t="shared" si="44"/>
        <v>0</v>
      </c>
      <c r="CF27" s="166">
        <f t="shared" si="44"/>
        <v>0</v>
      </c>
      <c r="CG27" s="166">
        <f t="shared" si="44"/>
        <v>5.6338028169014086E-2</v>
      </c>
      <c r="CH27" s="166" t="str">
        <f t="shared" si="44"/>
        <v/>
      </c>
      <c r="CI27" s="166">
        <f t="shared" si="44"/>
        <v>7.5172897664628644E-3</v>
      </c>
      <c r="CK27" s="107" t="s">
        <v>390</v>
      </c>
      <c r="CL27" s="166"/>
      <c r="CM27" s="166"/>
      <c r="CN27" s="166"/>
      <c r="CO27" s="166"/>
      <c r="CP27" s="166"/>
      <c r="CQ27" s="166"/>
      <c r="CR27" s="166"/>
      <c r="CS27" s="166"/>
      <c r="CT27" s="166"/>
      <c r="CU27" s="166"/>
      <c r="CV27" s="166"/>
      <c r="CW27" s="166"/>
      <c r="CX27" s="166"/>
      <c r="CY27" s="168"/>
      <c r="DA27" s="107" t="s">
        <v>577</v>
      </c>
      <c r="DB27" s="315"/>
      <c r="DC27" s="315"/>
      <c r="DD27" s="315"/>
      <c r="DE27" s="315"/>
      <c r="DF27" s="314">
        <f>IFERROR(IF(BZ27&gt;0,LN(BJ27/BZ27),0),0)</f>
        <v>-0.47957308026188639</v>
      </c>
      <c r="DG27" s="314"/>
      <c r="DH27" s="315"/>
      <c r="DI27" s="315"/>
      <c r="DJ27" s="314">
        <f>IFERROR(IF(CD27&gt;0,LN(BN27/CD27),0),0)</f>
        <v>2.0119696933065683</v>
      </c>
      <c r="DK27" s="315"/>
      <c r="DL27" s="315"/>
      <c r="DM27" s="314">
        <f>IFERROR(IF(CG27&gt;0,LN(BQ27/CG27),0),0)</f>
        <v>0</v>
      </c>
      <c r="DN27" s="315"/>
      <c r="DO27" s="168"/>
      <c r="DQ27" s="107" t="s">
        <v>577</v>
      </c>
      <c r="DR27" s="315"/>
      <c r="DS27" s="315"/>
      <c r="DT27" s="315"/>
      <c r="DU27" s="315"/>
      <c r="DV27" s="314">
        <v>-4.1800059473475426E-2</v>
      </c>
      <c r="DW27" s="314">
        <v>-4.1800059473475426E-2</v>
      </c>
      <c r="DX27" s="315"/>
      <c r="DY27" s="315"/>
      <c r="DZ27" s="314">
        <v>-8.7453534892509879</v>
      </c>
      <c r="EA27" s="315"/>
      <c r="EB27" s="315"/>
      <c r="EC27" s="314">
        <v>-1.3053440428576306</v>
      </c>
      <c r="ED27" s="315"/>
      <c r="EE27" s="168"/>
      <c r="EG27" s="107" t="s">
        <v>577</v>
      </c>
      <c r="EH27" s="315"/>
      <c r="EI27" s="315"/>
      <c r="EJ27" s="315"/>
      <c r="EK27" s="315"/>
      <c r="EL27" s="314">
        <f>DV27+(DF27-DF$23)*$EI$1</f>
        <v>-0.52137313973536181</v>
      </c>
      <c r="EM27" s="314">
        <f>DV27+(DF27-DF$23)*$EI$1</f>
        <v>-0.52137313973536181</v>
      </c>
      <c r="EN27" s="315"/>
      <c r="EO27" s="315"/>
      <c r="EP27" s="314">
        <f>DZ27+(DJ27-DJ$31)*$EI$1</f>
        <v>-7.3111416655053523</v>
      </c>
      <c r="EQ27" s="315"/>
      <c r="ER27" s="315"/>
      <c r="ES27" s="314">
        <f>EC27+(DM27-DM$34)*$EI$1</f>
        <v>-1.3053440428576306</v>
      </c>
      <c r="ET27" s="315"/>
      <c r="EU27" s="168"/>
      <c r="EW27" s="164" t="s">
        <v>390</v>
      </c>
      <c r="EX27" s="316">
        <f t="shared" si="40"/>
        <v>0</v>
      </c>
      <c r="EY27" s="316">
        <f t="shared" si="36"/>
        <v>0</v>
      </c>
      <c r="EZ27" s="316">
        <f t="shared" si="36"/>
        <v>-0.14001974258979288</v>
      </c>
      <c r="FA27" s="316">
        <f t="shared" si="36"/>
        <v>-0.14001974258979288</v>
      </c>
      <c r="FB27" s="316">
        <f t="shared" si="36"/>
        <v>-0.52137313973536181</v>
      </c>
      <c r="FC27" s="316">
        <f t="shared" si="36"/>
        <v>-0.52137313973536181</v>
      </c>
      <c r="FD27" s="316">
        <f t="shared" si="36"/>
        <v>-0.36152707410860208</v>
      </c>
      <c r="FE27" s="316">
        <f t="shared" si="36"/>
        <v>0</v>
      </c>
      <c r="FF27" s="316"/>
      <c r="FG27" s="316">
        <f t="shared" si="36"/>
        <v>0</v>
      </c>
      <c r="FH27" s="316">
        <f t="shared" si="36"/>
        <v>0</v>
      </c>
      <c r="FI27" s="316">
        <f t="shared" si="36"/>
        <v>0</v>
      </c>
      <c r="FJ27" s="316">
        <f t="shared" si="36"/>
        <v>0</v>
      </c>
      <c r="FK27" s="316">
        <f t="shared" si="36"/>
        <v>0</v>
      </c>
      <c r="FL27" s="168"/>
    </row>
    <row r="28" spans="2:168" x14ac:dyDescent="0.25">
      <c r="B28" s="107" t="s">
        <v>391</v>
      </c>
      <c r="C28" s="294"/>
      <c r="D28" s="294"/>
      <c r="E28" s="294"/>
      <c r="F28" s="294"/>
      <c r="G28" s="160">
        <f>TripMode_inputCBD!F25</f>
        <v>0</v>
      </c>
      <c r="H28" s="160">
        <f>TripMode_inputCBD!G25</f>
        <v>0</v>
      </c>
      <c r="I28" s="294"/>
      <c r="J28" s="294"/>
      <c r="K28" s="160">
        <f>TripMode_inputCBD!K25+TripMode_inputCBD!J25</f>
        <v>0</v>
      </c>
      <c r="L28" s="294"/>
      <c r="M28" s="294"/>
      <c r="N28" s="160">
        <f>TripMode_inputCBD!N25</f>
        <v>0</v>
      </c>
      <c r="O28" s="294"/>
      <c r="P28" s="162">
        <f t="shared" si="28"/>
        <v>0</v>
      </c>
      <c r="R28">
        <f t="shared" si="37"/>
        <v>0</v>
      </c>
      <c r="S28">
        <f t="shared" si="38"/>
        <v>0</v>
      </c>
      <c r="T28">
        <f t="shared" si="39"/>
        <v>0</v>
      </c>
      <c r="Y28" s="107" t="s">
        <v>391</v>
      </c>
      <c r="Z28" s="294"/>
      <c r="AA28" s="294"/>
      <c r="AB28" s="294"/>
      <c r="AC28" s="294"/>
      <c r="AD28" s="160">
        <f t="shared" si="29"/>
        <v>0</v>
      </c>
      <c r="AE28" s="160">
        <f t="shared" si="29"/>
        <v>0</v>
      </c>
      <c r="AF28" s="294"/>
      <c r="AG28" s="294"/>
      <c r="AH28" s="160">
        <f>AH31*R28</f>
        <v>0</v>
      </c>
      <c r="AI28" s="294"/>
      <c r="AJ28" s="294"/>
      <c r="AK28" s="160">
        <f>+N28</f>
        <v>0</v>
      </c>
      <c r="AL28" s="294"/>
      <c r="AM28" s="162">
        <f t="shared" si="30"/>
        <v>0</v>
      </c>
      <c r="AO28" s="107" t="s">
        <v>391</v>
      </c>
      <c r="AP28" s="294">
        <f>TripMode_inputCBD!R25*Index!$B$2</f>
        <v>0</v>
      </c>
      <c r="AQ28" s="294">
        <f>TripMode_inputCBD!S25*Index!$B$2</f>
        <v>0</v>
      </c>
      <c r="AR28" s="294">
        <f>TripMode_inputCBD!T25*Index!$B$2</f>
        <v>0</v>
      </c>
      <c r="AS28" s="294">
        <f>TripMode_inputCBD!U25*Index!$B$2</f>
        <v>0</v>
      </c>
      <c r="AT28" s="160">
        <f>TripMode_inputCBD!V25*Index!$B$2</f>
        <v>5</v>
      </c>
      <c r="AU28" s="160">
        <f>TripMode_inputCBD!W25*Index!$B$2</f>
        <v>0</v>
      </c>
      <c r="AV28" s="294">
        <f>TripMode_inputCBD!X25*Index!$B$2</f>
        <v>0</v>
      </c>
      <c r="AW28" s="294">
        <f>TripMode_inputCBD!Y25*Index!$B$2</f>
        <v>0</v>
      </c>
      <c r="AX28" s="160">
        <f>TripMode_inputCBD!AA25*Index!$B$2</f>
        <v>0</v>
      </c>
      <c r="AY28" s="160">
        <f>TripMode_inputCBD!AB25*Index!$B$2</f>
        <v>0</v>
      </c>
      <c r="AZ28" s="160">
        <f>TripMode_inputCBD!AC25*Index!$B$2</f>
        <v>0</v>
      </c>
      <c r="BA28" s="160">
        <f>TripMode_inputCBD!AD25*Index!$B$2</f>
        <v>5</v>
      </c>
      <c r="BB28" s="294">
        <f>TripMode_inputCBD!AE25*Index!$B$2</f>
        <v>0</v>
      </c>
      <c r="BC28" s="162">
        <f t="shared" si="31"/>
        <v>10</v>
      </c>
      <c r="BE28" s="107"/>
      <c r="BF28" s="166"/>
      <c r="BG28" s="166"/>
      <c r="BH28" s="166"/>
      <c r="BI28" s="166"/>
      <c r="BJ28" s="166"/>
      <c r="BK28" s="166"/>
      <c r="BL28" s="166"/>
      <c r="BM28" s="166"/>
      <c r="BN28" s="166"/>
      <c r="BO28" s="166"/>
      <c r="BP28" s="166"/>
      <c r="BQ28" s="166"/>
      <c r="BR28" s="166"/>
      <c r="BS28" s="166"/>
      <c r="BU28" s="107"/>
      <c r="BV28" s="166"/>
      <c r="BW28" s="166"/>
      <c r="BX28" s="166"/>
      <c r="BY28" s="166"/>
      <c r="BZ28" s="166"/>
      <c r="CA28" s="166"/>
      <c r="CB28" s="166"/>
      <c r="CC28" s="166"/>
      <c r="CD28" s="166"/>
      <c r="CE28" s="166"/>
      <c r="CF28" s="166"/>
      <c r="CG28" s="166"/>
      <c r="CH28" s="166"/>
      <c r="CI28" s="166"/>
      <c r="CK28" s="107" t="s">
        <v>391</v>
      </c>
      <c r="CL28" s="166"/>
      <c r="CM28" s="166"/>
      <c r="CN28" s="166"/>
      <c r="CO28" s="166"/>
      <c r="CP28" s="166"/>
      <c r="CQ28" s="166"/>
      <c r="CR28" s="166"/>
      <c r="CS28" s="166"/>
      <c r="CT28" s="166"/>
      <c r="CU28" s="166"/>
      <c r="CV28" s="166"/>
      <c r="CW28" s="166"/>
      <c r="CX28" s="166"/>
      <c r="CY28" s="168"/>
      <c r="DA28" s="107"/>
      <c r="DB28" s="315"/>
      <c r="DC28" s="315"/>
      <c r="DD28" s="315"/>
      <c r="DE28" s="315"/>
      <c r="DF28" s="314"/>
      <c r="DG28" s="314"/>
      <c r="DH28" s="315"/>
      <c r="DI28" s="315"/>
      <c r="DJ28" s="314"/>
      <c r="DK28" s="315"/>
      <c r="DL28" s="315"/>
      <c r="DM28" s="314"/>
      <c r="DN28" s="315"/>
      <c r="DO28" s="168"/>
      <c r="DQ28" s="107"/>
      <c r="DR28" s="315"/>
      <c r="DS28" s="315"/>
      <c r="DT28" s="315"/>
      <c r="DU28" s="315"/>
      <c r="DV28" s="314">
        <v>-4.1800059473475426E-2</v>
      </c>
      <c r="DW28" s="314">
        <v>-4.1800059473475426E-2</v>
      </c>
      <c r="DX28" s="315"/>
      <c r="DY28" s="315"/>
      <c r="DZ28" s="314">
        <v>-8.7453534892509879</v>
      </c>
      <c r="EA28" s="315"/>
      <c r="EB28" s="315"/>
      <c r="EC28" s="314">
        <v>-1.3053440428576306</v>
      </c>
      <c r="ED28" s="315"/>
      <c r="EE28" s="168"/>
      <c r="EG28" s="107"/>
      <c r="EH28" s="315"/>
      <c r="EI28" s="315"/>
      <c r="EJ28" s="315"/>
      <c r="EK28" s="315"/>
      <c r="EL28" s="314">
        <f>DV27+(DF27-DF$23)*$EI$1</f>
        <v>-0.52137313973536181</v>
      </c>
      <c r="EM28" s="314">
        <f>DV27+(DF27-DF$23)*$EI$1</f>
        <v>-0.52137313973536181</v>
      </c>
      <c r="EN28" s="315"/>
      <c r="EO28" s="315"/>
      <c r="EP28" s="314">
        <f>DZ27+(DJ27-DJ$31)*$EI$1</f>
        <v>-7.3111416655053523</v>
      </c>
      <c r="EQ28" s="315"/>
      <c r="ER28" s="315"/>
      <c r="ES28" s="314">
        <f>EC27+(DM27-DM$34)*$EI$1</f>
        <v>-1.3053440428576306</v>
      </c>
      <c r="ET28" s="315"/>
      <c r="EU28" s="168"/>
      <c r="EW28" s="164" t="s">
        <v>391</v>
      </c>
      <c r="EX28" s="316">
        <f t="shared" si="40"/>
        <v>0</v>
      </c>
      <c r="EY28" s="316">
        <f t="shared" si="36"/>
        <v>0</v>
      </c>
      <c r="EZ28" s="316">
        <f t="shared" si="36"/>
        <v>-0.14001974258979288</v>
      </c>
      <c r="FA28" s="316">
        <f t="shared" si="36"/>
        <v>-0.14001974258979288</v>
      </c>
      <c r="FB28" s="316">
        <f t="shared" si="36"/>
        <v>-0.52137313973536181</v>
      </c>
      <c r="FC28" s="316">
        <f t="shared" si="36"/>
        <v>-0.52137313973536181</v>
      </c>
      <c r="FD28" s="316">
        <f t="shared" si="36"/>
        <v>-0.36152707410860208</v>
      </c>
      <c r="FE28" s="316">
        <f t="shared" si="36"/>
        <v>0</v>
      </c>
      <c r="FF28" s="316"/>
      <c r="FG28" s="316">
        <f t="shared" si="36"/>
        <v>0</v>
      </c>
      <c r="FH28" s="316">
        <f t="shared" si="36"/>
        <v>0</v>
      </c>
      <c r="FI28" s="316">
        <f t="shared" si="36"/>
        <v>0</v>
      </c>
      <c r="FJ28" s="316">
        <f t="shared" si="36"/>
        <v>0</v>
      </c>
      <c r="FK28" s="316">
        <f t="shared" si="36"/>
        <v>0</v>
      </c>
      <c r="FL28" s="168"/>
    </row>
    <row r="29" spans="2:168" x14ac:dyDescent="0.25">
      <c r="B29" s="107" t="s">
        <v>392</v>
      </c>
      <c r="C29" s="294"/>
      <c r="D29" s="294"/>
      <c r="E29" s="160">
        <f>TripMode_inputCBD!D26</f>
        <v>1295.6125400000001</v>
      </c>
      <c r="F29" s="160">
        <f>TripMode_inputCBD!E26</f>
        <v>0</v>
      </c>
      <c r="G29" s="160">
        <f>TripMode_inputCBD!F26</f>
        <v>133.93227999999999</v>
      </c>
      <c r="H29" s="160">
        <f>TripMode_inputCBD!G26</f>
        <v>0</v>
      </c>
      <c r="I29" s="160">
        <f>TripMode_inputCBD!H26</f>
        <v>7188.8136800000002</v>
      </c>
      <c r="J29" s="294"/>
      <c r="K29" s="160">
        <f>TripMode_inputCBD!K26+TripMode_inputCBD!J26</f>
        <v>6093.1347100000003</v>
      </c>
      <c r="L29" s="294"/>
      <c r="M29" s="294"/>
      <c r="N29" s="160">
        <f>TripMode_inputCBD!N26</f>
        <v>0</v>
      </c>
      <c r="O29" s="294"/>
      <c r="P29" s="162">
        <f t="shared" si="28"/>
        <v>14711.493210000001</v>
      </c>
      <c r="R29">
        <f t="shared" si="37"/>
        <v>0.12810174075747163</v>
      </c>
      <c r="S29">
        <f t="shared" si="38"/>
        <v>0</v>
      </c>
      <c r="T29">
        <f t="shared" si="39"/>
        <v>0</v>
      </c>
      <c r="Y29" s="107" t="s">
        <v>392</v>
      </c>
      <c r="Z29" s="294"/>
      <c r="AA29" s="294"/>
      <c r="AB29" s="160">
        <f>+E29</f>
        <v>1295.6125400000001</v>
      </c>
      <c r="AC29" s="160">
        <f>+F29</f>
        <v>0</v>
      </c>
      <c r="AD29" s="160">
        <f t="shared" si="29"/>
        <v>133.93227999999999</v>
      </c>
      <c r="AE29" s="160">
        <f t="shared" si="29"/>
        <v>0</v>
      </c>
      <c r="AF29" s="160">
        <f t="shared" si="29"/>
        <v>7188.8136800000002</v>
      </c>
      <c r="AG29" s="294"/>
      <c r="AH29" s="160">
        <f>AH31*R29</f>
        <v>5841.4287548333332</v>
      </c>
      <c r="AI29" s="294"/>
      <c r="AJ29" s="294"/>
      <c r="AK29" s="160">
        <f>+N29</f>
        <v>0</v>
      </c>
      <c r="AL29" s="294"/>
      <c r="AM29" s="162">
        <f t="shared" si="30"/>
        <v>14459.787254833333</v>
      </c>
      <c r="AO29" s="107" t="s">
        <v>392</v>
      </c>
      <c r="AP29" s="294">
        <f>TripMode_inputCBD!R26*Index!$B$2</f>
        <v>0</v>
      </c>
      <c r="AQ29" s="294">
        <f>TripMode_inputCBD!S26*Index!$B$2</f>
        <v>0</v>
      </c>
      <c r="AR29" s="160">
        <f>TripMode_inputCBD!T26*Index!$B$2</f>
        <v>45</v>
      </c>
      <c r="AS29" s="160">
        <f>TripMode_inputCBD!U26*Index!$B$2</f>
        <v>10</v>
      </c>
      <c r="AT29" s="160">
        <f>TripMode_inputCBD!V26*Index!$B$2</f>
        <v>10</v>
      </c>
      <c r="AU29" s="160">
        <f>TripMode_inputCBD!W26*Index!$B$2</f>
        <v>10</v>
      </c>
      <c r="AV29" s="160">
        <f>TripMode_inputCBD!X26*Index!$B$2</f>
        <v>2785</v>
      </c>
      <c r="AW29" s="294">
        <f>TripMode_inputCBD!Y26*Index!$B$2</f>
        <v>0</v>
      </c>
      <c r="AX29" s="160">
        <f>TripMode_inputCBD!AA26*Index!$B$2</f>
        <v>7435</v>
      </c>
      <c r="AY29" s="160">
        <f>TripMode_inputCBD!AB26*Index!$B$2</f>
        <v>0</v>
      </c>
      <c r="AZ29" s="160">
        <f>TripMode_inputCBD!AC26*Index!$B$2</f>
        <v>0</v>
      </c>
      <c r="BA29" s="160">
        <f>TripMode_inputCBD!AD26*Index!$B$2</f>
        <v>25</v>
      </c>
      <c r="BB29" s="294">
        <f>TripMode_inputCBD!AE26*Index!$B$2</f>
        <v>0</v>
      </c>
      <c r="BC29" s="162">
        <f t="shared" si="31"/>
        <v>10320</v>
      </c>
      <c r="BE29" s="107" t="s">
        <v>392</v>
      </c>
      <c r="BF29" s="166">
        <f t="shared" ref="BF29:BS36" si="45">IF(Z$36&gt;0,Z29/Z$36,"")</f>
        <v>0</v>
      </c>
      <c r="BG29" s="166">
        <f t="shared" si="45"/>
        <v>0</v>
      </c>
      <c r="BH29" s="166">
        <f t="shared" si="45"/>
        <v>0.25366421022784558</v>
      </c>
      <c r="BI29" s="166" t="str">
        <f t="shared" si="45"/>
        <v/>
      </c>
      <c r="BJ29" s="166">
        <f t="shared" si="45"/>
        <v>0.14285714285714285</v>
      </c>
      <c r="BK29" s="166" t="str">
        <f t="shared" si="45"/>
        <v/>
      </c>
      <c r="BL29" s="166">
        <f t="shared" si="45"/>
        <v>1</v>
      </c>
      <c r="BM29" s="166">
        <f t="shared" si="45"/>
        <v>0</v>
      </c>
      <c r="BN29" s="166">
        <f t="shared" si="45"/>
        <v>0.11319858683756839</v>
      </c>
      <c r="BO29" s="166">
        <f t="shared" si="45"/>
        <v>0</v>
      </c>
      <c r="BP29" s="166">
        <f t="shared" si="45"/>
        <v>0</v>
      </c>
      <c r="BQ29" s="166" t="str">
        <f t="shared" si="45"/>
        <v/>
      </c>
      <c r="BR29" s="166" t="str">
        <f t="shared" si="45"/>
        <v/>
      </c>
      <c r="BS29" s="166">
        <f t="shared" si="45"/>
        <v>0.12860487068756549</v>
      </c>
      <c r="BU29" s="107" t="s">
        <v>392</v>
      </c>
      <c r="BV29" s="166">
        <f t="shared" ref="BV29:CI36" si="46">IF(AP$36&gt;0,AP29/AP$36,"")</f>
        <v>0</v>
      </c>
      <c r="BW29" s="166">
        <f t="shared" si="46"/>
        <v>0</v>
      </c>
      <c r="BX29" s="166">
        <f t="shared" si="46"/>
        <v>4.8648648648648651E-2</v>
      </c>
      <c r="BY29" s="166">
        <f t="shared" si="46"/>
        <v>5.5555555555555552E-2</v>
      </c>
      <c r="BZ29" s="166">
        <f t="shared" si="46"/>
        <v>1.9230769230769232E-2</v>
      </c>
      <c r="CA29" s="166">
        <f t="shared" si="46"/>
        <v>7.6923076923076927E-2</v>
      </c>
      <c r="CB29" s="166">
        <f t="shared" si="46"/>
        <v>1</v>
      </c>
      <c r="CC29" s="166">
        <f t="shared" si="46"/>
        <v>0</v>
      </c>
      <c r="CD29" s="166">
        <f t="shared" si="46"/>
        <v>0.20811756473058082</v>
      </c>
      <c r="CE29" s="166">
        <f t="shared" si="46"/>
        <v>0</v>
      </c>
      <c r="CF29" s="166">
        <f t="shared" si="46"/>
        <v>0</v>
      </c>
      <c r="CG29" s="166">
        <f t="shared" si="46"/>
        <v>2.3474178403755867E-2</v>
      </c>
      <c r="CH29" s="166" t="str">
        <f t="shared" si="46"/>
        <v/>
      </c>
      <c r="CI29" s="168">
        <f t="shared" si="46"/>
        <v>0.20687581437305802</v>
      </c>
      <c r="CK29" s="107" t="s">
        <v>392</v>
      </c>
      <c r="CL29" s="166"/>
      <c r="CM29" s="166"/>
      <c r="CN29" s="166"/>
      <c r="CO29" s="166"/>
      <c r="CP29" s="166"/>
      <c r="CQ29" s="166"/>
      <c r="CR29" s="166"/>
      <c r="CS29" s="166"/>
      <c r="CT29" s="166"/>
      <c r="CU29" s="166"/>
      <c r="CV29" s="166"/>
      <c r="CW29" s="166"/>
      <c r="CX29" s="166"/>
      <c r="CY29" s="168"/>
      <c r="DA29" s="107" t="s">
        <v>392</v>
      </c>
      <c r="DB29" s="315"/>
      <c r="DC29" s="315"/>
      <c r="DD29" s="314">
        <f>IFERROR(IF(BX29&gt;0,LN(BH29/BX29),0),0)</f>
        <v>1.6513873541793727</v>
      </c>
      <c r="DE29" s="314">
        <f>IFERROR(IF(BY29&gt;0,LN(BI29/BY29),0),0)</f>
        <v>0</v>
      </c>
      <c r="DF29" s="314">
        <f>IFERROR(IF(BZ29&gt;0,LN(BJ29/BZ29),0),0)</f>
        <v>2.0053335695261141</v>
      </c>
      <c r="DG29" s="314">
        <f>IFERROR(IF(CA29&gt;0,LN(BK29/CA29),0),0)</f>
        <v>0</v>
      </c>
      <c r="DH29" s="314">
        <f>IFERROR(IF(CB29&gt;0,LN(BL29/CB29),0),0)</f>
        <v>0</v>
      </c>
      <c r="DI29" s="315"/>
      <c r="DJ29" s="314">
        <f t="shared" ref="DJ29:DJ34" si="47">IFERROR(IF(CD29&gt;0,LN(BN29/CD29),0),0)</f>
        <v>-0.60895945315422839</v>
      </c>
      <c r="DK29" s="315"/>
      <c r="DL29" s="315"/>
      <c r="DM29" s="314">
        <f>IFERROR(IF(CG29&gt;0,LN(BQ29/CG29),0),0)</f>
        <v>0</v>
      </c>
      <c r="DN29" s="315"/>
      <c r="DO29" s="168"/>
      <c r="DQ29" s="107" t="s">
        <v>392</v>
      </c>
      <c r="DR29" s="315"/>
      <c r="DS29" s="315"/>
      <c r="DT29" s="314">
        <v>4.219800371057242</v>
      </c>
      <c r="DU29" s="314">
        <v>4.219800371057242</v>
      </c>
      <c r="DV29" s="314">
        <v>-2.3668606436347162</v>
      </c>
      <c r="DW29" s="314">
        <v>-2.3668606436347162</v>
      </c>
      <c r="DX29" s="314">
        <v>0</v>
      </c>
      <c r="DY29" s="315"/>
      <c r="DZ29" s="314">
        <v>2.6443239165174037</v>
      </c>
      <c r="EA29" s="315"/>
      <c r="EB29" s="315"/>
      <c r="EC29" s="314">
        <v>-1.3053440428576306</v>
      </c>
      <c r="ED29" s="315"/>
      <c r="EE29" s="168"/>
      <c r="EG29" s="107" t="s">
        <v>392</v>
      </c>
      <c r="EH29" s="315"/>
      <c r="EI29" s="315"/>
      <c r="EJ29" s="314">
        <f>DT29+(DD29-DD$23)*$EI$1</f>
        <v>5.8711877252366147</v>
      </c>
      <c r="EK29" s="314">
        <f>DT29+(DD29-DD$23)*$EI$1</f>
        <v>5.8711877252366147</v>
      </c>
      <c r="EL29" s="314">
        <f>DV29+(DF29-DF$23)*$EI$1</f>
        <v>-0.36152707410860208</v>
      </c>
      <c r="EM29" s="314">
        <f>DV29+(DF29-DF$23)*$EI$1</f>
        <v>-0.36152707410860208</v>
      </c>
      <c r="EN29" s="314">
        <v>0</v>
      </c>
      <c r="EO29" s="315"/>
      <c r="EP29" s="314">
        <f>DZ29+(DJ29-DJ$31)*$EI$1</f>
        <v>1.4576065938022427</v>
      </c>
      <c r="EQ29" s="315"/>
      <c r="ER29" s="315"/>
      <c r="ES29" s="314">
        <f>EC29+(DM29-DM$34)*$EI$1</f>
        <v>-1.3053440428576306</v>
      </c>
      <c r="ET29" s="315"/>
      <c r="EU29" s="168"/>
      <c r="EW29" s="164" t="s">
        <v>392</v>
      </c>
      <c r="EX29" s="316">
        <f t="shared" si="40"/>
        <v>0</v>
      </c>
      <c r="EY29" s="316">
        <f t="shared" si="36"/>
        <v>0</v>
      </c>
      <c r="EZ29" s="316">
        <f t="shared" si="36"/>
        <v>0</v>
      </c>
      <c r="FA29" s="316">
        <f t="shared" si="36"/>
        <v>0</v>
      </c>
      <c r="FB29" s="316">
        <f t="shared" si="36"/>
        <v>0</v>
      </c>
      <c r="FC29" s="316">
        <f t="shared" si="36"/>
        <v>0</v>
      </c>
      <c r="FD29" s="316">
        <f t="shared" si="36"/>
        <v>0</v>
      </c>
      <c r="FE29" s="316">
        <f t="shared" si="36"/>
        <v>0</v>
      </c>
      <c r="FF29" s="316"/>
      <c r="FG29" s="316">
        <f t="shared" si="36"/>
        <v>0</v>
      </c>
      <c r="FH29" s="316">
        <f t="shared" si="36"/>
        <v>0</v>
      </c>
      <c r="FI29" s="316">
        <f t="shared" si="36"/>
        <v>0</v>
      </c>
      <c r="FJ29" s="316">
        <f t="shared" si="36"/>
        <v>0</v>
      </c>
      <c r="FK29" s="316">
        <f t="shared" si="36"/>
        <v>0</v>
      </c>
      <c r="FL29" s="168"/>
    </row>
    <row r="30" spans="2:168" x14ac:dyDescent="0.25">
      <c r="B30" s="107" t="s">
        <v>393</v>
      </c>
      <c r="C30" s="294"/>
      <c r="D30" s="294"/>
      <c r="E30" s="294"/>
      <c r="F30" s="294"/>
      <c r="G30" s="294"/>
      <c r="H30" s="294"/>
      <c r="I30" s="294"/>
      <c r="J30" s="160">
        <f>TripMode_inputCBD!I27</f>
        <v>14822.918320000001</v>
      </c>
      <c r="K30" s="294"/>
      <c r="L30" s="294"/>
      <c r="M30" s="294"/>
      <c r="N30" s="294"/>
      <c r="O30" s="294"/>
      <c r="P30" s="162">
        <f t="shared" si="28"/>
        <v>14822.918320000001</v>
      </c>
      <c r="R30">
        <f t="shared" si="37"/>
        <v>0</v>
      </c>
      <c r="S30">
        <f t="shared" si="38"/>
        <v>0</v>
      </c>
      <c r="T30">
        <f t="shared" si="39"/>
        <v>0</v>
      </c>
      <c r="Y30" s="107" t="s">
        <v>393</v>
      </c>
      <c r="Z30" s="294"/>
      <c r="AA30" s="294"/>
      <c r="AB30" s="294"/>
      <c r="AC30" s="294"/>
      <c r="AD30" s="294"/>
      <c r="AE30" s="294"/>
      <c r="AF30" s="294"/>
      <c r="AG30" s="160">
        <f>+J30</f>
        <v>14822.918320000001</v>
      </c>
      <c r="AH30" s="294"/>
      <c r="AI30" s="294"/>
      <c r="AJ30" s="294"/>
      <c r="AK30" s="294"/>
      <c r="AL30" s="294"/>
      <c r="AM30" s="162">
        <f t="shared" si="30"/>
        <v>14822.918320000001</v>
      </c>
      <c r="AO30" s="107" t="s">
        <v>393</v>
      </c>
      <c r="AP30" s="294">
        <f>TripMode_inputCBD!R27*Index!$B$2</f>
        <v>0</v>
      </c>
      <c r="AQ30" s="294">
        <f>TripMode_inputCBD!S27*Index!$B$2</f>
        <v>0</v>
      </c>
      <c r="AR30" s="294">
        <f>TripMode_inputCBD!T27*Index!$B$2</f>
        <v>0</v>
      </c>
      <c r="AS30" s="294">
        <f>TripMode_inputCBD!U27*Index!$B$2</f>
        <v>0</v>
      </c>
      <c r="AT30" s="294">
        <f>TripMode_inputCBD!V27*Index!$B$2</f>
        <v>0</v>
      </c>
      <c r="AU30" s="294">
        <f>TripMode_inputCBD!W27*Index!$B$2</f>
        <v>0</v>
      </c>
      <c r="AV30" s="294">
        <f>TripMode_inputCBD!X27*Index!$B$2</f>
        <v>0</v>
      </c>
      <c r="AW30" s="160">
        <f>TripMode_inputCBD!Y27*Index!$B$2</f>
        <v>730</v>
      </c>
      <c r="AX30" s="294">
        <f>TripMode_inputCBD!AA27*Index!$B$2</f>
        <v>0</v>
      </c>
      <c r="AY30" s="294">
        <f>TripMode_inputCBD!AB27*Index!$B$2</f>
        <v>0</v>
      </c>
      <c r="AZ30" s="294">
        <f>TripMode_inputCBD!AC27*Index!$B$2</f>
        <v>0</v>
      </c>
      <c r="BA30" s="294">
        <f>TripMode_inputCBD!AD27*Index!$B$2</f>
        <v>0</v>
      </c>
      <c r="BB30" s="294">
        <f>TripMode_inputCBD!AE27*Index!$B$2</f>
        <v>0</v>
      </c>
      <c r="BC30" s="162">
        <f t="shared" si="31"/>
        <v>730</v>
      </c>
      <c r="BE30" s="107" t="s">
        <v>393</v>
      </c>
      <c r="BF30" s="166">
        <f t="shared" si="45"/>
        <v>0</v>
      </c>
      <c r="BG30" s="166">
        <f t="shared" si="45"/>
        <v>0</v>
      </c>
      <c r="BH30" s="166">
        <f t="shared" si="45"/>
        <v>0</v>
      </c>
      <c r="BI30" s="166" t="str">
        <f t="shared" si="45"/>
        <v/>
      </c>
      <c r="BJ30" s="166">
        <f t="shared" si="45"/>
        <v>0</v>
      </c>
      <c r="BK30" s="166" t="str">
        <f t="shared" si="45"/>
        <v/>
      </c>
      <c r="BL30" s="166">
        <f t="shared" si="45"/>
        <v>0</v>
      </c>
      <c r="BM30" s="166">
        <f t="shared" si="45"/>
        <v>1</v>
      </c>
      <c r="BN30" s="166">
        <f t="shared" si="45"/>
        <v>0</v>
      </c>
      <c r="BO30" s="166">
        <f t="shared" si="45"/>
        <v>0</v>
      </c>
      <c r="BP30" s="166">
        <f t="shared" si="45"/>
        <v>0</v>
      </c>
      <c r="BQ30" s="166" t="str">
        <f t="shared" si="45"/>
        <v/>
      </c>
      <c r="BR30" s="166" t="str">
        <f t="shared" si="45"/>
        <v/>
      </c>
      <c r="BS30" s="166">
        <f t="shared" si="45"/>
        <v>0.13183454639823594</v>
      </c>
      <c r="BU30" s="107" t="s">
        <v>393</v>
      </c>
      <c r="BV30" s="166">
        <f t="shared" si="46"/>
        <v>0</v>
      </c>
      <c r="BW30" s="166">
        <f t="shared" si="46"/>
        <v>0</v>
      </c>
      <c r="BX30" s="166">
        <f t="shared" si="46"/>
        <v>0</v>
      </c>
      <c r="BY30" s="166">
        <f t="shared" si="46"/>
        <v>0</v>
      </c>
      <c r="BZ30" s="166">
        <f t="shared" si="46"/>
        <v>0</v>
      </c>
      <c r="CA30" s="166">
        <f t="shared" si="46"/>
        <v>0</v>
      </c>
      <c r="CB30" s="166">
        <f t="shared" si="46"/>
        <v>0</v>
      </c>
      <c r="CC30" s="166">
        <f t="shared" si="46"/>
        <v>1</v>
      </c>
      <c r="CD30" s="166">
        <f t="shared" si="46"/>
        <v>0</v>
      </c>
      <c r="CE30" s="166">
        <f t="shared" si="46"/>
        <v>0</v>
      </c>
      <c r="CF30" s="166">
        <f t="shared" si="46"/>
        <v>0</v>
      </c>
      <c r="CG30" s="166">
        <f t="shared" si="46"/>
        <v>0</v>
      </c>
      <c r="CH30" s="166" t="str">
        <f t="shared" si="46"/>
        <v/>
      </c>
      <c r="CI30" s="168">
        <f t="shared" si="46"/>
        <v>1.463365741204771E-2</v>
      </c>
      <c r="CK30" s="107" t="s">
        <v>393</v>
      </c>
      <c r="CL30" s="166"/>
      <c r="CM30" s="166"/>
      <c r="CN30" s="166"/>
      <c r="CO30" s="166"/>
      <c r="CP30" s="166"/>
      <c r="CQ30" s="166"/>
      <c r="CR30" s="166"/>
      <c r="CS30" s="166"/>
      <c r="CT30" s="166"/>
      <c r="CU30" s="166"/>
      <c r="CV30" s="166"/>
      <c r="CW30" s="166"/>
      <c r="CX30" s="166"/>
      <c r="CY30" s="168"/>
      <c r="DA30" s="107" t="s">
        <v>393</v>
      </c>
      <c r="DB30" s="315"/>
      <c r="DC30" s="315"/>
      <c r="DD30" s="315"/>
      <c r="DE30" s="315"/>
      <c r="DF30" s="315"/>
      <c r="DG30" s="315"/>
      <c r="DH30" s="315"/>
      <c r="DI30" s="314">
        <f>IFERROR(IF(CC30&gt;0,LN(BM30/CC30),0),0)</f>
        <v>0</v>
      </c>
      <c r="DJ30" s="315"/>
      <c r="DK30" s="315"/>
      <c r="DL30" s="315"/>
      <c r="DM30" s="315"/>
      <c r="DN30" s="315"/>
      <c r="DO30" s="168"/>
      <c r="DQ30" s="107" t="s">
        <v>393</v>
      </c>
      <c r="DR30" s="315"/>
      <c r="DS30" s="315"/>
      <c r="DT30" s="315"/>
      <c r="DU30" s="315"/>
      <c r="DV30" s="315"/>
      <c r="DW30" s="315"/>
      <c r="DX30" s="315"/>
      <c r="DY30" s="314">
        <v>0</v>
      </c>
      <c r="DZ30" s="315"/>
      <c r="EA30" s="315"/>
      <c r="EB30" s="315"/>
      <c r="EC30" s="315"/>
      <c r="ED30" s="315"/>
      <c r="EE30" s="168"/>
      <c r="EG30" s="107" t="s">
        <v>393</v>
      </c>
      <c r="EH30" s="315"/>
      <c r="EI30" s="315"/>
      <c r="EJ30" s="315"/>
      <c r="EK30" s="315"/>
      <c r="EL30" s="315"/>
      <c r="EM30" s="315"/>
      <c r="EN30" s="315"/>
      <c r="EO30" s="314">
        <v>0</v>
      </c>
      <c r="EP30" s="315"/>
      <c r="EQ30" s="315"/>
      <c r="ER30" s="315"/>
      <c r="ES30" s="315"/>
      <c r="ET30" s="315"/>
      <c r="EU30" s="168"/>
      <c r="EW30" s="164" t="s">
        <v>393</v>
      </c>
      <c r="EX30" s="316">
        <f t="shared" si="40"/>
        <v>0</v>
      </c>
      <c r="EY30" s="316">
        <f t="shared" si="36"/>
        <v>0</v>
      </c>
      <c r="EZ30" s="316">
        <f t="shared" si="36"/>
        <v>0</v>
      </c>
      <c r="FA30" s="316">
        <f t="shared" si="36"/>
        <v>0</v>
      </c>
      <c r="FB30" s="316">
        <f t="shared" si="36"/>
        <v>0</v>
      </c>
      <c r="FC30" s="316">
        <f t="shared" si="36"/>
        <v>0</v>
      </c>
      <c r="FD30" s="316">
        <f t="shared" si="36"/>
        <v>0</v>
      </c>
      <c r="FE30" s="316">
        <f t="shared" si="36"/>
        <v>0</v>
      </c>
      <c r="FF30" s="316"/>
      <c r="FG30" s="316">
        <f t="shared" si="36"/>
        <v>0</v>
      </c>
      <c r="FH30" s="316">
        <f t="shared" si="36"/>
        <v>0</v>
      </c>
      <c r="FI30" s="316">
        <f t="shared" si="36"/>
        <v>0</v>
      </c>
      <c r="FJ30" s="316">
        <f t="shared" si="36"/>
        <v>0</v>
      </c>
      <c r="FK30" s="316">
        <f t="shared" si="36"/>
        <v>0</v>
      </c>
      <c r="FL30" s="168"/>
    </row>
    <row r="31" spans="2:168" x14ac:dyDescent="0.25">
      <c r="B31" s="107" t="s">
        <v>546</v>
      </c>
      <c r="C31" s="294"/>
      <c r="D31" s="294"/>
      <c r="E31" s="294"/>
      <c r="F31" s="294"/>
      <c r="G31" s="294"/>
      <c r="H31" s="294"/>
      <c r="I31" s="294"/>
      <c r="J31" s="294"/>
      <c r="K31" s="160">
        <f>TripMode_inputCBD!K29+TripMode_inputCBD!J29+TripMode_inputCBD!K28+TripMode_inputCBD!J28</f>
        <v>47564.80805</v>
      </c>
      <c r="L31" s="294"/>
      <c r="M31" s="294"/>
      <c r="N31" s="294"/>
      <c r="O31" s="294"/>
      <c r="P31" s="162">
        <f t="shared" si="28"/>
        <v>47564.80805</v>
      </c>
      <c r="R31">
        <f t="shared" si="37"/>
        <v>1</v>
      </c>
      <c r="S31">
        <f t="shared" si="38"/>
        <v>0</v>
      </c>
      <c r="T31">
        <f t="shared" si="39"/>
        <v>0</v>
      </c>
      <c r="U31" s="127">
        <f>+K31/K$159</f>
        <v>7.8481299735066082E-2</v>
      </c>
      <c r="V31" s="127"/>
      <c r="W31" s="127"/>
      <c r="X31" s="127"/>
      <c r="Y31" s="107" t="s">
        <v>546</v>
      </c>
      <c r="Z31" s="294"/>
      <c r="AA31" s="294"/>
      <c r="AB31" s="294"/>
      <c r="AC31" s="294"/>
      <c r="AD31" s="294"/>
      <c r="AE31" s="294"/>
      <c r="AF31" s="294"/>
      <c r="AG31" s="294"/>
      <c r="AH31" s="160">
        <f>U31*U$159</f>
        <v>45599.917068204457</v>
      </c>
      <c r="AI31" s="294"/>
      <c r="AJ31" s="294"/>
      <c r="AK31" s="294"/>
      <c r="AL31" s="294"/>
      <c r="AM31" s="162">
        <f t="shared" si="30"/>
        <v>45599.917068204457</v>
      </c>
      <c r="AN31" s="127"/>
      <c r="AO31" s="107" t="s">
        <v>395</v>
      </c>
      <c r="AP31" s="294">
        <f>TripMode_inputCBD!R29*Index!$B$2</f>
        <v>0</v>
      </c>
      <c r="AQ31" s="294">
        <f>TripMode_inputCBD!S29*Index!$B$2</f>
        <v>0</v>
      </c>
      <c r="AR31" s="294">
        <f>TripMode_inputCBD!T29*Index!$B$2</f>
        <v>0</v>
      </c>
      <c r="AS31" s="294">
        <f>TripMode_inputCBD!U29*Index!$B$2</f>
        <v>0</v>
      </c>
      <c r="AT31" s="294">
        <f>TripMode_inputCBD!V29*Index!$B$2</f>
        <v>0</v>
      </c>
      <c r="AU31" s="294">
        <f>TripMode_inputCBD!W29*Index!$B$2</f>
        <v>0</v>
      </c>
      <c r="AV31" s="294">
        <f>TripMode_inputCBD!X29*Index!$B$2</f>
        <v>0</v>
      </c>
      <c r="AW31" s="294">
        <f>TripMode_inputCBD!Y29*Index!$B$2</f>
        <v>0</v>
      </c>
      <c r="AX31" s="160">
        <f>TripMode_inputCBD!AA29*Index!$B$2</f>
        <v>17715</v>
      </c>
      <c r="AY31" s="160">
        <f>TripMode_inputCBD!AB29*Index!$B$2</f>
        <v>0</v>
      </c>
      <c r="AZ31" s="160">
        <f>TripMode_inputCBD!AC29*Index!$B$2</f>
        <v>0</v>
      </c>
      <c r="BA31" s="294">
        <f>TripMode_inputCBD!AD29*Index!$B$2</f>
        <v>0</v>
      </c>
      <c r="BB31" s="294">
        <f>TripMode_inputCBD!AE29*Index!$B$2</f>
        <v>0</v>
      </c>
      <c r="BC31" s="162">
        <f t="shared" si="31"/>
        <v>17715</v>
      </c>
      <c r="BE31" s="107" t="s">
        <v>395</v>
      </c>
      <c r="BF31" s="166">
        <f t="shared" si="45"/>
        <v>0</v>
      </c>
      <c r="BG31" s="166">
        <f t="shared" si="45"/>
        <v>0</v>
      </c>
      <c r="BH31" s="166">
        <f t="shared" si="45"/>
        <v>0</v>
      </c>
      <c r="BI31" s="166" t="str">
        <f t="shared" si="45"/>
        <v/>
      </c>
      <c r="BJ31" s="166">
        <f t="shared" si="45"/>
        <v>0</v>
      </c>
      <c r="BK31" s="166" t="str">
        <f t="shared" si="45"/>
        <v/>
      </c>
      <c r="BL31" s="166">
        <f t="shared" si="45"/>
        <v>0</v>
      </c>
      <c r="BM31" s="166">
        <f t="shared" si="45"/>
        <v>0</v>
      </c>
      <c r="BN31" s="166">
        <f t="shared" si="45"/>
        <v>0.88366158155400398</v>
      </c>
      <c r="BO31" s="166">
        <f t="shared" si="45"/>
        <v>0</v>
      </c>
      <c r="BP31" s="166">
        <f t="shared" si="45"/>
        <v>0</v>
      </c>
      <c r="BQ31" s="166" t="str">
        <f t="shared" si="45"/>
        <v/>
      </c>
      <c r="BR31" s="166" t="str">
        <f t="shared" si="45"/>
        <v/>
      </c>
      <c r="BS31" s="166">
        <f t="shared" si="45"/>
        <v>0.40556415765798481</v>
      </c>
      <c r="BU31" s="107" t="s">
        <v>395</v>
      </c>
      <c r="BV31" s="166">
        <f t="shared" si="46"/>
        <v>0</v>
      </c>
      <c r="BW31" s="166">
        <f t="shared" si="46"/>
        <v>0</v>
      </c>
      <c r="BX31" s="166">
        <f t="shared" si="46"/>
        <v>0</v>
      </c>
      <c r="BY31" s="166">
        <f t="shared" si="46"/>
        <v>0</v>
      </c>
      <c r="BZ31" s="166">
        <f t="shared" si="46"/>
        <v>0</v>
      </c>
      <c r="CA31" s="166">
        <f t="shared" si="46"/>
        <v>0</v>
      </c>
      <c r="CB31" s="166">
        <f t="shared" si="46"/>
        <v>0</v>
      </c>
      <c r="CC31" s="166">
        <f t="shared" si="46"/>
        <v>0</v>
      </c>
      <c r="CD31" s="166">
        <f t="shared" si="46"/>
        <v>0.49587123862841148</v>
      </c>
      <c r="CE31" s="166">
        <f t="shared" si="46"/>
        <v>0</v>
      </c>
      <c r="CF31" s="166">
        <f t="shared" si="46"/>
        <v>0</v>
      </c>
      <c r="CG31" s="166">
        <f t="shared" si="46"/>
        <v>0</v>
      </c>
      <c r="CH31" s="166" t="str">
        <f t="shared" si="46"/>
        <v/>
      </c>
      <c r="CI31" s="168">
        <f t="shared" si="46"/>
        <v>0.35511676856770574</v>
      </c>
      <c r="CK31" s="107" t="s">
        <v>395</v>
      </c>
      <c r="CL31" s="166" t="str">
        <f t="shared" ref="CL31:CO36" si="48">IF(OR(ISNA(BF31),BF31=0,BF31=""),"",(BV31-BF31)/BF31)</f>
        <v/>
      </c>
      <c r="CM31" s="166" t="str">
        <f t="shared" si="48"/>
        <v/>
      </c>
      <c r="CN31" s="166" t="str">
        <f t="shared" si="48"/>
        <v/>
      </c>
      <c r="CO31" s="166" t="str">
        <f t="shared" si="48"/>
        <v/>
      </c>
      <c r="CP31" s="166"/>
      <c r="CQ31" s="166"/>
      <c r="CR31" s="166"/>
      <c r="CS31" s="166"/>
      <c r="CT31" s="166">
        <f t="shared" ref="CT31:CY36" si="49">IF(OR(ISNA(BN31),BN31=0,BN31=""),"",(CD31-BN31)/BN31)</f>
        <v>-0.43884485986549948</v>
      </c>
      <c r="CU31" s="166" t="str">
        <f t="shared" si="49"/>
        <v/>
      </c>
      <c r="CV31" s="166" t="str">
        <f t="shared" si="49"/>
        <v/>
      </c>
      <c r="CW31" s="166" t="str">
        <f t="shared" si="49"/>
        <v/>
      </c>
      <c r="CX31" s="166" t="str">
        <f t="shared" si="49"/>
        <v/>
      </c>
      <c r="CY31" s="168">
        <f t="shared" si="49"/>
        <v>-0.1243881840584683</v>
      </c>
      <c r="DA31" s="107" t="s">
        <v>395</v>
      </c>
      <c r="DB31" s="315"/>
      <c r="DC31" s="315"/>
      <c r="DD31" s="315"/>
      <c r="DE31" s="315"/>
      <c r="DF31" s="315"/>
      <c r="DG31" s="315"/>
      <c r="DH31" s="315"/>
      <c r="DI31" s="315"/>
      <c r="DJ31" s="314">
        <f t="shared" si="47"/>
        <v>0.57775786956093278</v>
      </c>
      <c r="DK31" s="315"/>
      <c r="DL31" s="315"/>
      <c r="DM31" s="315"/>
      <c r="DN31" s="315"/>
      <c r="DO31" s="168"/>
      <c r="DQ31" s="107" t="s">
        <v>395</v>
      </c>
      <c r="DR31" s="315"/>
      <c r="DS31" s="315"/>
      <c r="DT31" s="315"/>
      <c r="DU31" s="315"/>
      <c r="DV31" s="315"/>
      <c r="DW31" s="315"/>
      <c r="DX31" s="315"/>
      <c r="DY31" s="315"/>
      <c r="DZ31" s="314">
        <v>0</v>
      </c>
      <c r="EA31" s="315"/>
      <c r="EB31" s="315"/>
      <c r="EC31" s="315"/>
      <c r="ED31" s="315"/>
      <c r="EE31" s="168"/>
      <c r="EG31" s="107" t="s">
        <v>395</v>
      </c>
      <c r="EH31" s="315"/>
      <c r="EI31" s="315"/>
      <c r="EJ31" s="315"/>
      <c r="EK31" s="315"/>
      <c r="EL31" s="315"/>
      <c r="EM31" s="315"/>
      <c r="EN31" s="315"/>
      <c r="EO31" s="315"/>
      <c r="EP31" s="314">
        <v>0</v>
      </c>
      <c r="EQ31" s="315"/>
      <c r="ER31" s="315"/>
      <c r="ES31" s="315"/>
      <c r="ET31" s="315"/>
      <c r="EU31" s="168"/>
      <c r="EW31" s="164" t="s">
        <v>546</v>
      </c>
      <c r="EX31" s="316">
        <f t="shared" si="40"/>
        <v>0</v>
      </c>
      <c r="EY31" s="316">
        <f t="shared" si="36"/>
        <v>0</v>
      </c>
      <c r="EZ31" s="316">
        <f t="shared" si="36"/>
        <v>-8.5334316758825342</v>
      </c>
      <c r="FA31" s="316">
        <f t="shared" si="36"/>
        <v>-8.5334316758825342</v>
      </c>
      <c r="FB31" s="316">
        <f t="shared" si="36"/>
        <v>-7.3111416655053523</v>
      </c>
      <c r="FC31" s="316">
        <f t="shared" si="36"/>
        <v>-7.3111416655053523</v>
      </c>
      <c r="FD31" s="316">
        <f t="shared" si="36"/>
        <v>1.4576065938022427</v>
      </c>
      <c r="FE31" s="316">
        <f t="shared" si="36"/>
        <v>0</v>
      </c>
      <c r="FF31" s="316"/>
      <c r="FG31" s="316">
        <f t="shared" si="36"/>
        <v>0</v>
      </c>
      <c r="FH31" s="316">
        <f t="shared" si="36"/>
        <v>0</v>
      </c>
      <c r="FI31" s="316">
        <f t="shared" si="36"/>
        <v>0</v>
      </c>
      <c r="FJ31" s="316">
        <f t="shared" si="36"/>
        <v>-1.9034112270801362</v>
      </c>
      <c r="FK31" s="316">
        <f t="shared" si="36"/>
        <v>0</v>
      </c>
      <c r="FL31" s="168"/>
    </row>
    <row r="32" spans="2:168" x14ac:dyDescent="0.25">
      <c r="B32" s="107" t="s">
        <v>396</v>
      </c>
      <c r="C32" s="294"/>
      <c r="D32" s="294"/>
      <c r="E32" s="294"/>
      <c r="F32" s="294"/>
      <c r="G32" s="294"/>
      <c r="H32" s="294"/>
      <c r="I32" s="294"/>
      <c r="J32" s="294"/>
      <c r="K32" s="294"/>
      <c r="L32" s="160">
        <f>TripMode_inputCBD!L30</f>
        <v>3792.7442099999998</v>
      </c>
      <c r="M32" s="294"/>
      <c r="N32" s="294"/>
      <c r="O32" s="294"/>
      <c r="P32" s="162">
        <f t="shared" si="28"/>
        <v>3792.7442099999998</v>
      </c>
      <c r="R32">
        <f t="shared" si="37"/>
        <v>0</v>
      </c>
      <c r="S32">
        <f t="shared" si="38"/>
        <v>1</v>
      </c>
      <c r="T32">
        <f t="shared" si="39"/>
        <v>0</v>
      </c>
      <c r="V32" s="127">
        <f>+L32/L$160</f>
        <v>6.4091405840330809E-2</v>
      </c>
      <c r="W32" s="127"/>
      <c r="X32" s="127"/>
      <c r="Y32" s="107" t="s">
        <v>396</v>
      </c>
      <c r="Z32" s="294"/>
      <c r="AA32" s="294"/>
      <c r="AB32" s="294"/>
      <c r="AC32" s="294"/>
      <c r="AD32" s="294"/>
      <c r="AE32" s="294"/>
      <c r="AF32" s="294"/>
      <c r="AG32" s="294"/>
      <c r="AH32" s="294"/>
      <c r="AI32" s="160">
        <f>V32*V$160</f>
        <v>2005.1628004091126</v>
      </c>
      <c r="AJ32" s="294"/>
      <c r="AK32" s="294"/>
      <c r="AL32" s="294"/>
      <c r="AM32" s="162">
        <f t="shared" si="30"/>
        <v>2005.1628004091126</v>
      </c>
      <c r="AN32" s="127"/>
      <c r="AO32" s="107" t="s">
        <v>396</v>
      </c>
      <c r="AP32" s="294">
        <f>TripMode_inputCBD!R30*Index!$B$2</f>
        <v>0</v>
      </c>
      <c r="AQ32" s="294">
        <f>TripMode_inputCBD!S30*Index!$B$2</f>
        <v>0</v>
      </c>
      <c r="AR32" s="294">
        <f>TripMode_inputCBD!T30*Index!$B$2</f>
        <v>0</v>
      </c>
      <c r="AS32" s="294">
        <f>TripMode_inputCBD!U30*Index!$B$2</f>
        <v>0</v>
      </c>
      <c r="AT32" s="294">
        <f>TripMode_inputCBD!V30*Index!$B$2</f>
        <v>0</v>
      </c>
      <c r="AU32" s="294">
        <f>TripMode_inputCBD!W30*Index!$B$2</f>
        <v>0</v>
      </c>
      <c r="AV32" s="294">
        <f>TripMode_inputCBD!X30*Index!$B$2</f>
        <v>0</v>
      </c>
      <c r="AW32" s="294">
        <f>TripMode_inputCBD!Y30*Index!$B$2</f>
        <v>0</v>
      </c>
      <c r="AX32" s="294">
        <f>TripMode_inputCBD!AA30*Index!$B$2</f>
        <v>0</v>
      </c>
      <c r="AY32" s="160">
        <f>TripMode_inputCBD!AB30*Index!$B$2</f>
        <v>700</v>
      </c>
      <c r="AZ32" s="294">
        <f>TripMode_inputCBD!AC30*Index!$B$2</f>
        <v>0</v>
      </c>
      <c r="BA32" s="294">
        <f>TripMode_inputCBD!AD30*Index!$B$2</f>
        <v>0</v>
      </c>
      <c r="BB32" s="294">
        <f>TripMode_inputCBD!AE30*Index!$B$2</f>
        <v>0</v>
      </c>
      <c r="BC32" s="162">
        <f t="shared" si="31"/>
        <v>700</v>
      </c>
      <c r="BE32" s="107" t="s">
        <v>396</v>
      </c>
      <c r="BF32" s="166">
        <f t="shared" si="45"/>
        <v>0</v>
      </c>
      <c r="BG32" s="166">
        <f t="shared" si="45"/>
        <v>0</v>
      </c>
      <c r="BH32" s="166">
        <f t="shared" si="45"/>
        <v>0</v>
      </c>
      <c r="BI32" s="166" t="str">
        <f t="shared" si="45"/>
        <v/>
      </c>
      <c r="BJ32" s="166">
        <f t="shared" si="45"/>
        <v>0</v>
      </c>
      <c r="BK32" s="166" t="str">
        <f t="shared" si="45"/>
        <v/>
      </c>
      <c r="BL32" s="166">
        <f t="shared" si="45"/>
        <v>0</v>
      </c>
      <c r="BM32" s="166">
        <f t="shared" si="45"/>
        <v>0</v>
      </c>
      <c r="BN32" s="166">
        <f t="shared" si="45"/>
        <v>0</v>
      </c>
      <c r="BO32" s="166">
        <f t="shared" si="45"/>
        <v>1</v>
      </c>
      <c r="BP32" s="166">
        <f t="shared" si="45"/>
        <v>0</v>
      </c>
      <c r="BQ32" s="166" t="str">
        <f t="shared" si="45"/>
        <v/>
      </c>
      <c r="BR32" s="166" t="str">
        <f t="shared" si="45"/>
        <v/>
      </c>
      <c r="BS32" s="166">
        <f t="shared" si="45"/>
        <v>1.783385177869292E-2</v>
      </c>
      <c r="BU32" s="107" t="s">
        <v>396</v>
      </c>
      <c r="BV32" s="166">
        <f t="shared" si="46"/>
        <v>0</v>
      </c>
      <c r="BW32" s="166">
        <f t="shared" si="46"/>
        <v>0</v>
      </c>
      <c r="BX32" s="166">
        <f t="shared" si="46"/>
        <v>0</v>
      </c>
      <c r="BY32" s="166">
        <f t="shared" si="46"/>
        <v>0</v>
      </c>
      <c r="BZ32" s="166">
        <f t="shared" si="46"/>
        <v>0</v>
      </c>
      <c r="CA32" s="166">
        <f t="shared" si="46"/>
        <v>0</v>
      </c>
      <c r="CB32" s="166">
        <f t="shared" si="46"/>
        <v>0</v>
      </c>
      <c r="CC32" s="166">
        <f t="shared" si="46"/>
        <v>0</v>
      </c>
      <c r="CD32" s="166">
        <f t="shared" si="46"/>
        <v>0</v>
      </c>
      <c r="CE32" s="166">
        <f t="shared" si="46"/>
        <v>1</v>
      </c>
      <c r="CF32" s="166">
        <f t="shared" si="46"/>
        <v>0</v>
      </c>
      <c r="CG32" s="166">
        <f t="shared" si="46"/>
        <v>0</v>
      </c>
      <c r="CH32" s="166" t="str">
        <f t="shared" si="46"/>
        <v/>
      </c>
      <c r="CI32" s="168">
        <f t="shared" si="46"/>
        <v>1.403227423073068E-2</v>
      </c>
      <c r="CK32" s="107" t="s">
        <v>396</v>
      </c>
      <c r="CL32" s="166" t="str">
        <f t="shared" si="48"/>
        <v/>
      </c>
      <c r="CM32" s="166" t="str">
        <f t="shared" si="48"/>
        <v/>
      </c>
      <c r="CN32" s="166" t="str">
        <f t="shared" si="48"/>
        <v/>
      </c>
      <c r="CO32" s="166" t="str">
        <f t="shared" si="48"/>
        <v/>
      </c>
      <c r="CP32" s="166"/>
      <c r="CQ32" s="166"/>
      <c r="CR32" s="166"/>
      <c r="CS32" s="166"/>
      <c r="CT32" s="166" t="str">
        <f t="shared" si="49"/>
        <v/>
      </c>
      <c r="CU32" s="166">
        <f t="shared" si="49"/>
        <v>0</v>
      </c>
      <c r="CV32" s="166" t="str">
        <f t="shared" si="49"/>
        <v/>
      </c>
      <c r="CW32" s="166" t="str">
        <f t="shared" si="49"/>
        <v/>
      </c>
      <c r="CX32" s="166" t="str">
        <f t="shared" si="49"/>
        <v/>
      </c>
      <c r="CY32" s="168">
        <f t="shared" si="49"/>
        <v>-0.21316637567349264</v>
      </c>
      <c r="DA32" s="107" t="s">
        <v>396</v>
      </c>
      <c r="DB32" s="315"/>
      <c r="DC32" s="315"/>
      <c r="DD32" s="315"/>
      <c r="DE32" s="315"/>
      <c r="DF32" s="315"/>
      <c r="DG32" s="315"/>
      <c r="DH32" s="315"/>
      <c r="DI32" s="315"/>
      <c r="DJ32" s="315"/>
      <c r="DK32" s="314">
        <f>IFERROR(IF(CE32&gt;0,LN(BO32/CE32),0),0)</f>
        <v>0</v>
      </c>
      <c r="DL32" s="315"/>
      <c r="DM32" s="315"/>
      <c r="DN32" s="315"/>
      <c r="DO32" s="168"/>
      <c r="DQ32" s="107" t="s">
        <v>396</v>
      </c>
      <c r="DR32" s="315"/>
      <c r="DS32" s="315"/>
      <c r="DT32" s="315"/>
      <c r="DU32" s="315"/>
      <c r="DV32" s="315"/>
      <c r="DW32" s="315"/>
      <c r="DX32" s="315"/>
      <c r="DY32" s="315"/>
      <c r="DZ32" s="315"/>
      <c r="EA32" s="314">
        <v>0</v>
      </c>
      <c r="EB32" s="315"/>
      <c r="EC32" s="315"/>
      <c r="ED32" s="315"/>
      <c r="EE32" s="168"/>
      <c r="EG32" s="107" t="s">
        <v>396</v>
      </c>
      <c r="EH32" s="315"/>
      <c r="EI32" s="315"/>
      <c r="EJ32" s="315"/>
      <c r="EK32" s="315"/>
      <c r="EL32" s="315"/>
      <c r="EM32" s="315"/>
      <c r="EN32" s="315"/>
      <c r="EO32" s="315"/>
      <c r="EP32" s="315"/>
      <c r="EQ32" s="314">
        <v>0</v>
      </c>
      <c r="ER32" s="315"/>
      <c r="ES32" s="315"/>
      <c r="ET32" s="315"/>
      <c r="EU32" s="168"/>
      <c r="EW32" s="164" t="s">
        <v>396</v>
      </c>
      <c r="EX32" s="316">
        <f t="shared" si="40"/>
        <v>0</v>
      </c>
      <c r="EY32" s="316">
        <f t="shared" si="36"/>
        <v>0</v>
      </c>
      <c r="EZ32" s="316">
        <f t="shared" si="36"/>
        <v>0</v>
      </c>
      <c r="FA32" s="316">
        <f t="shared" si="36"/>
        <v>0</v>
      </c>
      <c r="FB32" s="316">
        <f t="shared" si="36"/>
        <v>0</v>
      </c>
      <c r="FC32" s="316">
        <f t="shared" si="36"/>
        <v>0</v>
      </c>
      <c r="FD32" s="316">
        <f t="shared" si="36"/>
        <v>0</v>
      </c>
      <c r="FE32" s="316">
        <f t="shared" si="36"/>
        <v>0</v>
      </c>
      <c r="FF32" s="316"/>
      <c r="FG32" s="316">
        <f t="shared" si="36"/>
        <v>0</v>
      </c>
      <c r="FH32" s="316">
        <f t="shared" si="36"/>
        <v>0</v>
      </c>
      <c r="FI32" s="316">
        <f t="shared" si="36"/>
        <v>0</v>
      </c>
      <c r="FJ32" s="316">
        <f t="shared" si="36"/>
        <v>0</v>
      </c>
      <c r="FK32" s="316">
        <f t="shared" si="36"/>
        <v>0</v>
      </c>
      <c r="FL32" s="168"/>
    </row>
    <row r="33" spans="2:168" x14ac:dyDescent="0.25">
      <c r="B33" s="107" t="s">
        <v>397</v>
      </c>
      <c r="C33" s="294"/>
      <c r="D33" s="294"/>
      <c r="E33" s="294"/>
      <c r="F33" s="294"/>
      <c r="G33" s="294"/>
      <c r="H33" s="294"/>
      <c r="I33" s="294"/>
      <c r="J33" s="294"/>
      <c r="K33" s="294"/>
      <c r="L33" s="294"/>
      <c r="M33" s="160">
        <f>TripMode_inputCBD!M31</f>
        <v>15258.03968</v>
      </c>
      <c r="N33" s="294"/>
      <c r="O33" s="294"/>
      <c r="P33" s="162">
        <f t="shared" si="28"/>
        <v>15258.03968</v>
      </c>
      <c r="R33">
        <f t="shared" si="37"/>
        <v>0</v>
      </c>
      <c r="S33">
        <f t="shared" si="38"/>
        <v>0</v>
      </c>
      <c r="T33">
        <f t="shared" si="39"/>
        <v>1</v>
      </c>
      <c r="W33" s="127">
        <f>+M33/M$161</f>
        <v>6.3043072979238737E-2</v>
      </c>
      <c r="X33" s="127"/>
      <c r="Y33" s="107" t="s">
        <v>397</v>
      </c>
      <c r="Z33" s="294"/>
      <c r="AA33" s="294"/>
      <c r="AB33" s="294"/>
      <c r="AC33" s="294"/>
      <c r="AD33" s="294"/>
      <c r="AE33" s="294"/>
      <c r="AF33" s="294"/>
      <c r="AG33" s="294"/>
      <c r="AH33" s="294"/>
      <c r="AI33" s="294"/>
      <c r="AJ33" s="160">
        <f>W33*W$161</f>
        <v>5811.9811267292989</v>
      </c>
      <c r="AK33" s="294"/>
      <c r="AL33" s="294"/>
      <c r="AM33" s="162">
        <f t="shared" si="30"/>
        <v>5811.9811267292989</v>
      </c>
      <c r="AN33" s="127"/>
      <c r="AO33" s="107" t="s">
        <v>397</v>
      </c>
      <c r="AP33" s="294">
        <f>TripMode_inputCBD!R31*Index!$B$2</f>
        <v>0</v>
      </c>
      <c r="AQ33" s="294">
        <f>TripMode_inputCBD!S31*Index!$B$2</f>
        <v>0</v>
      </c>
      <c r="AR33" s="294">
        <f>TripMode_inputCBD!T31*Index!$B$2</f>
        <v>0</v>
      </c>
      <c r="AS33" s="294">
        <f>TripMode_inputCBD!U31*Index!$B$2</f>
        <v>0</v>
      </c>
      <c r="AT33" s="294">
        <f>TripMode_inputCBD!V31*Index!$B$2</f>
        <v>0</v>
      </c>
      <c r="AU33" s="294">
        <f>TripMode_inputCBD!W31*Index!$B$2</f>
        <v>0</v>
      </c>
      <c r="AV33" s="294">
        <f>TripMode_inputCBD!X31*Index!$B$2</f>
        <v>0</v>
      </c>
      <c r="AW33" s="294">
        <f>TripMode_inputCBD!Y31*Index!$B$2</f>
        <v>0</v>
      </c>
      <c r="AX33" s="294">
        <f>TripMode_inputCBD!AA31*Index!$B$2</f>
        <v>0</v>
      </c>
      <c r="AY33" s="294">
        <f>TripMode_inputCBD!AB31*Index!$B$2</f>
        <v>0</v>
      </c>
      <c r="AZ33" s="160">
        <f>TripMode_inputCBD!AC31*Index!$B$2</f>
        <v>3325</v>
      </c>
      <c r="BA33" s="294">
        <f>TripMode_inputCBD!AD31*Index!$B$2</f>
        <v>0</v>
      </c>
      <c r="BB33" s="294">
        <f>TripMode_inputCBD!AE31*Index!$B$2</f>
        <v>0</v>
      </c>
      <c r="BC33" s="162">
        <f t="shared" si="31"/>
        <v>3325</v>
      </c>
      <c r="BE33" s="107" t="s">
        <v>397</v>
      </c>
      <c r="BF33" s="166">
        <f t="shared" si="45"/>
        <v>0</v>
      </c>
      <c r="BG33" s="166">
        <f t="shared" si="45"/>
        <v>0</v>
      </c>
      <c r="BH33" s="166">
        <f t="shared" si="45"/>
        <v>0</v>
      </c>
      <c r="BI33" s="166" t="str">
        <f t="shared" si="45"/>
        <v/>
      </c>
      <c r="BJ33" s="166">
        <f t="shared" si="45"/>
        <v>0</v>
      </c>
      <c r="BK33" s="166" t="str">
        <f t="shared" si="45"/>
        <v/>
      </c>
      <c r="BL33" s="166">
        <f t="shared" si="45"/>
        <v>0</v>
      </c>
      <c r="BM33" s="166">
        <f t="shared" si="45"/>
        <v>0</v>
      </c>
      <c r="BN33" s="166">
        <f t="shared" si="45"/>
        <v>0</v>
      </c>
      <c r="BO33" s="166">
        <f t="shared" si="45"/>
        <v>0</v>
      </c>
      <c r="BP33" s="166">
        <f t="shared" si="45"/>
        <v>1</v>
      </c>
      <c r="BQ33" s="166" t="str">
        <f t="shared" si="45"/>
        <v/>
      </c>
      <c r="BR33" s="166" t="str">
        <f t="shared" si="45"/>
        <v/>
      </c>
      <c r="BS33" s="166">
        <f t="shared" si="45"/>
        <v>5.1691568352207271E-2</v>
      </c>
      <c r="BU33" s="107" t="s">
        <v>397</v>
      </c>
      <c r="BV33" s="166">
        <f t="shared" si="46"/>
        <v>0</v>
      </c>
      <c r="BW33" s="166">
        <f t="shared" si="46"/>
        <v>0</v>
      </c>
      <c r="BX33" s="166">
        <f t="shared" si="46"/>
        <v>0</v>
      </c>
      <c r="BY33" s="166">
        <f t="shared" si="46"/>
        <v>0</v>
      </c>
      <c r="BZ33" s="166">
        <f t="shared" si="46"/>
        <v>0</v>
      </c>
      <c r="CA33" s="166">
        <f t="shared" si="46"/>
        <v>0</v>
      </c>
      <c r="CB33" s="166">
        <f t="shared" si="46"/>
        <v>0</v>
      </c>
      <c r="CC33" s="166">
        <f t="shared" si="46"/>
        <v>0</v>
      </c>
      <c r="CD33" s="166">
        <f t="shared" si="46"/>
        <v>0</v>
      </c>
      <c r="CE33" s="166">
        <f t="shared" si="46"/>
        <v>0</v>
      </c>
      <c r="CF33" s="166">
        <f t="shared" si="46"/>
        <v>1</v>
      </c>
      <c r="CG33" s="166">
        <f t="shared" si="46"/>
        <v>0</v>
      </c>
      <c r="CH33" s="166" t="str">
        <f t="shared" si="46"/>
        <v/>
      </c>
      <c r="CI33" s="168">
        <f t="shared" si="46"/>
        <v>6.6653302595970729E-2</v>
      </c>
      <c r="CK33" s="107" t="s">
        <v>397</v>
      </c>
      <c r="CL33" s="166" t="str">
        <f t="shared" si="48"/>
        <v/>
      </c>
      <c r="CM33" s="166" t="str">
        <f t="shared" si="48"/>
        <v/>
      </c>
      <c r="CN33" s="166" t="str">
        <f t="shared" si="48"/>
        <v/>
      </c>
      <c r="CO33" s="166" t="str">
        <f t="shared" si="48"/>
        <v/>
      </c>
      <c r="CP33" s="166"/>
      <c r="CQ33" s="166"/>
      <c r="CR33" s="166"/>
      <c r="CS33" s="166"/>
      <c r="CT33" s="166" t="str">
        <f t="shared" si="49"/>
        <v/>
      </c>
      <c r="CU33" s="166" t="str">
        <f t="shared" si="49"/>
        <v/>
      </c>
      <c r="CV33" s="166">
        <f t="shared" si="49"/>
        <v>0</v>
      </c>
      <c r="CW33" s="166" t="str">
        <f t="shared" si="49"/>
        <v/>
      </c>
      <c r="CX33" s="166" t="str">
        <f t="shared" si="49"/>
        <v/>
      </c>
      <c r="CY33" s="168">
        <f t="shared" si="49"/>
        <v>0.28944245107480049</v>
      </c>
      <c r="DA33" s="107" t="s">
        <v>397</v>
      </c>
      <c r="DB33" s="315"/>
      <c r="DC33" s="315"/>
      <c r="DD33" s="315"/>
      <c r="DE33" s="315"/>
      <c r="DF33" s="315"/>
      <c r="DG33" s="315"/>
      <c r="DH33" s="315"/>
      <c r="DI33" s="315"/>
      <c r="DJ33" s="315"/>
      <c r="DK33" s="315"/>
      <c r="DL33" s="314">
        <f>IFERROR(IF(CF33&gt;0,LN(BP33/CF33),0),0)</f>
        <v>0</v>
      </c>
      <c r="DM33" s="315"/>
      <c r="DN33" s="315"/>
      <c r="DO33" s="168"/>
      <c r="DQ33" s="107" t="s">
        <v>397</v>
      </c>
      <c r="DR33" s="315"/>
      <c r="DS33" s="315"/>
      <c r="DT33" s="315"/>
      <c r="DU33" s="315"/>
      <c r="DV33" s="315"/>
      <c r="DW33" s="315"/>
      <c r="DX33" s="315"/>
      <c r="DY33" s="315"/>
      <c r="DZ33" s="315"/>
      <c r="EA33" s="315"/>
      <c r="EB33" s="314">
        <v>0</v>
      </c>
      <c r="EC33" s="315"/>
      <c r="ED33" s="315"/>
      <c r="EE33" s="168"/>
      <c r="EG33" s="107" t="s">
        <v>397</v>
      </c>
      <c r="EH33" s="315"/>
      <c r="EI33" s="315"/>
      <c r="EJ33" s="315"/>
      <c r="EK33" s="315"/>
      <c r="EL33" s="315"/>
      <c r="EM33" s="315"/>
      <c r="EN33" s="315"/>
      <c r="EO33" s="315"/>
      <c r="EP33" s="315"/>
      <c r="EQ33" s="315"/>
      <c r="ER33" s="314">
        <v>0</v>
      </c>
      <c r="ES33" s="315"/>
      <c r="ET33" s="315"/>
      <c r="EU33" s="168"/>
      <c r="EW33" s="164" t="s">
        <v>397</v>
      </c>
      <c r="EX33" s="316">
        <f t="shared" si="40"/>
        <v>0</v>
      </c>
      <c r="EY33" s="316">
        <f t="shared" si="36"/>
        <v>0</v>
      </c>
      <c r="EZ33" s="316">
        <f t="shared" si="36"/>
        <v>0</v>
      </c>
      <c r="FA33" s="316">
        <f t="shared" si="36"/>
        <v>0</v>
      </c>
      <c r="FB33" s="316">
        <f t="shared" si="36"/>
        <v>0</v>
      </c>
      <c r="FC33" s="316">
        <f t="shared" si="36"/>
        <v>0</v>
      </c>
      <c r="FD33" s="316">
        <f t="shared" si="36"/>
        <v>0</v>
      </c>
      <c r="FE33" s="316">
        <f t="shared" si="36"/>
        <v>0</v>
      </c>
      <c r="FF33" s="316"/>
      <c r="FG33" s="316">
        <f t="shared" si="36"/>
        <v>0</v>
      </c>
      <c r="FH33" s="316">
        <f t="shared" si="36"/>
        <v>0</v>
      </c>
      <c r="FI33" s="316">
        <f t="shared" si="36"/>
        <v>0</v>
      </c>
      <c r="FJ33" s="316">
        <f t="shared" si="36"/>
        <v>0</v>
      </c>
      <c r="FK33" s="316">
        <f t="shared" si="36"/>
        <v>0</v>
      </c>
      <c r="FL33" s="168"/>
    </row>
    <row r="34" spans="2:168" x14ac:dyDescent="0.25">
      <c r="B34" s="107" t="s">
        <v>398</v>
      </c>
      <c r="C34" s="294"/>
      <c r="D34" s="294"/>
      <c r="E34" s="294"/>
      <c r="F34" s="294"/>
      <c r="G34" s="294"/>
      <c r="H34" s="294"/>
      <c r="I34" s="294"/>
      <c r="J34" s="294"/>
      <c r="K34" s="160">
        <f>TripMode_inputCBD!K32+TripMode_inputCBD!J32</f>
        <v>0</v>
      </c>
      <c r="L34" s="294"/>
      <c r="M34" s="294"/>
      <c r="N34" s="160">
        <f>TripMode_inputCBD!N32</f>
        <v>0</v>
      </c>
      <c r="O34" s="294"/>
      <c r="P34" s="162">
        <f t="shared" si="28"/>
        <v>0</v>
      </c>
      <c r="R34">
        <f t="shared" si="37"/>
        <v>0</v>
      </c>
      <c r="S34">
        <f t="shared" si="38"/>
        <v>0</v>
      </c>
      <c r="T34">
        <f t="shared" si="39"/>
        <v>0</v>
      </c>
      <c r="Y34" s="107" t="s">
        <v>398</v>
      </c>
      <c r="Z34" s="294"/>
      <c r="AA34" s="294"/>
      <c r="AB34" s="294"/>
      <c r="AC34" s="294"/>
      <c r="AD34" s="294"/>
      <c r="AE34" s="294"/>
      <c r="AF34" s="294"/>
      <c r="AG34" s="294"/>
      <c r="AH34" s="160">
        <f>AH31*R34</f>
        <v>0</v>
      </c>
      <c r="AI34" s="160">
        <f>AI32*S34</f>
        <v>0</v>
      </c>
      <c r="AJ34" s="160">
        <f>AJ33*T34</f>
        <v>0</v>
      </c>
      <c r="AK34" s="160">
        <f>N34</f>
        <v>0</v>
      </c>
      <c r="AL34" s="294"/>
      <c r="AM34" s="162">
        <f t="shared" si="30"/>
        <v>0</v>
      </c>
      <c r="AO34" s="107" t="s">
        <v>398</v>
      </c>
      <c r="AP34" s="294">
        <f>TripMode_inputCBD!R32*Index!$B$2</f>
        <v>0</v>
      </c>
      <c r="AQ34" s="294">
        <f>TripMode_inputCBD!S32*Index!$B$2</f>
        <v>0</v>
      </c>
      <c r="AR34" s="294">
        <f>TripMode_inputCBD!T32*Index!$B$2</f>
        <v>0</v>
      </c>
      <c r="AS34" s="294">
        <f>TripMode_inputCBD!U32*Index!$B$2</f>
        <v>0</v>
      </c>
      <c r="AT34" s="294">
        <f>TripMode_inputCBD!V32*Index!$B$2</f>
        <v>0</v>
      </c>
      <c r="AU34" s="294">
        <f>TripMode_inputCBD!W32*Index!$B$2</f>
        <v>0</v>
      </c>
      <c r="AV34" s="294">
        <f>TripMode_inputCBD!X32*Index!$B$2</f>
        <v>0</v>
      </c>
      <c r="AW34" s="294">
        <f>TripMode_inputCBD!Y32*Index!$B$2</f>
        <v>0</v>
      </c>
      <c r="AX34" s="160">
        <f>TripMode_inputCBD!AA32*Index!$B$2</f>
        <v>10345</v>
      </c>
      <c r="AY34" s="160">
        <f>TripMode_inputCBD!AB32*Index!$B$2</f>
        <v>0</v>
      </c>
      <c r="AZ34" s="160">
        <f>TripMode_inputCBD!AC32*Index!$B$2</f>
        <v>0</v>
      </c>
      <c r="BA34" s="160">
        <f>TripMode_inputCBD!AD32*Index!$B$2</f>
        <v>865</v>
      </c>
      <c r="BB34" s="294">
        <f>TripMode_inputCBD!AE32*Index!$B$2</f>
        <v>0</v>
      </c>
      <c r="BC34" s="162">
        <f t="shared" si="31"/>
        <v>11210</v>
      </c>
      <c r="BE34" s="107" t="s">
        <v>398</v>
      </c>
      <c r="BF34" s="166">
        <f t="shared" si="45"/>
        <v>0</v>
      </c>
      <c r="BG34" s="166">
        <f t="shared" si="45"/>
        <v>0</v>
      </c>
      <c r="BH34" s="166">
        <f t="shared" si="45"/>
        <v>0</v>
      </c>
      <c r="BI34" s="166" t="str">
        <f t="shared" si="45"/>
        <v/>
      </c>
      <c r="BJ34" s="166">
        <f t="shared" si="45"/>
        <v>0</v>
      </c>
      <c r="BK34" s="166" t="str">
        <f t="shared" si="45"/>
        <v/>
      </c>
      <c r="BL34" s="166">
        <f t="shared" si="45"/>
        <v>0</v>
      </c>
      <c r="BM34" s="166">
        <f t="shared" si="45"/>
        <v>0</v>
      </c>
      <c r="BN34" s="166">
        <f t="shared" si="45"/>
        <v>0</v>
      </c>
      <c r="BO34" s="166">
        <f t="shared" si="45"/>
        <v>0</v>
      </c>
      <c r="BP34" s="166">
        <f t="shared" si="45"/>
        <v>0</v>
      </c>
      <c r="BQ34" s="166" t="str">
        <f t="shared" si="45"/>
        <v/>
      </c>
      <c r="BR34" s="166" t="str">
        <f t="shared" si="45"/>
        <v/>
      </c>
      <c r="BS34" s="166">
        <f t="shared" si="45"/>
        <v>0</v>
      </c>
      <c r="BU34" s="107" t="s">
        <v>398</v>
      </c>
      <c r="BV34" s="166">
        <f t="shared" si="46"/>
        <v>0</v>
      </c>
      <c r="BW34" s="166">
        <f t="shared" si="46"/>
        <v>0</v>
      </c>
      <c r="BX34" s="166">
        <f t="shared" si="46"/>
        <v>0</v>
      </c>
      <c r="BY34" s="166">
        <f t="shared" si="46"/>
        <v>0</v>
      </c>
      <c r="BZ34" s="166">
        <f t="shared" si="46"/>
        <v>0</v>
      </c>
      <c r="CA34" s="166">
        <f t="shared" si="46"/>
        <v>0</v>
      </c>
      <c r="CB34" s="166">
        <f t="shared" si="46"/>
        <v>0</v>
      </c>
      <c r="CC34" s="166">
        <f t="shared" si="46"/>
        <v>0</v>
      </c>
      <c r="CD34" s="166">
        <f t="shared" si="46"/>
        <v>0.28957312806158153</v>
      </c>
      <c r="CE34" s="166">
        <f t="shared" si="46"/>
        <v>0</v>
      </c>
      <c r="CF34" s="166">
        <f t="shared" si="46"/>
        <v>0</v>
      </c>
      <c r="CG34" s="166">
        <f t="shared" si="46"/>
        <v>0.81220657276995301</v>
      </c>
      <c r="CH34" s="166" t="str">
        <f t="shared" si="46"/>
        <v/>
      </c>
      <c r="CI34" s="168">
        <f t="shared" si="46"/>
        <v>0.22471684875212991</v>
      </c>
      <c r="CK34" s="107" t="s">
        <v>398</v>
      </c>
      <c r="CL34" s="166" t="str">
        <f t="shared" si="48"/>
        <v/>
      </c>
      <c r="CM34" s="166" t="str">
        <f t="shared" si="48"/>
        <v/>
      </c>
      <c r="CN34" s="166" t="str">
        <f t="shared" si="48"/>
        <v/>
      </c>
      <c r="CO34" s="166" t="str">
        <f t="shared" si="48"/>
        <v/>
      </c>
      <c r="CP34" s="166"/>
      <c r="CQ34" s="166"/>
      <c r="CR34" s="166"/>
      <c r="CS34" s="166"/>
      <c r="CT34" s="166" t="str">
        <f t="shared" si="49"/>
        <v/>
      </c>
      <c r="CU34" s="166" t="str">
        <f t="shared" si="49"/>
        <v/>
      </c>
      <c r="CV34" s="166" t="str">
        <f t="shared" si="49"/>
        <v/>
      </c>
      <c r="CW34" s="166" t="str">
        <f t="shared" si="49"/>
        <v/>
      </c>
      <c r="CX34" s="166" t="str">
        <f t="shared" si="49"/>
        <v/>
      </c>
      <c r="CY34" s="168" t="str">
        <f t="shared" si="49"/>
        <v/>
      </c>
      <c r="DA34" s="107" t="s">
        <v>398</v>
      </c>
      <c r="DB34" s="315"/>
      <c r="DC34" s="315"/>
      <c r="DD34" s="315"/>
      <c r="DE34" s="315"/>
      <c r="DF34" s="315"/>
      <c r="DG34" s="315"/>
      <c r="DH34" s="315"/>
      <c r="DI34" s="315"/>
      <c r="DJ34" s="314">
        <f t="shared" si="47"/>
        <v>0</v>
      </c>
      <c r="DK34" s="314">
        <f>IFERROR(IF(CE34&gt;0,LN(BO34/CE34),0),0)</f>
        <v>0</v>
      </c>
      <c r="DL34" s="314">
        <f>IFERROR(IF(CF34&gt;0,LN(BP34/CF34),0),0)</f>
        <v>0</v>
      </c>
      <c r="DM34" s="314">
        <f>IFERROR(IF(CG34&gt;0,LN(BQ34/CG34),0),0)</f>
        <v>0</v>
      </c>
      <c r="DN34" s="315"/>
      <c r="DO34" s="168"/>
      <c r="DQ34" s="107" t="s">
        <v>398</v>
      </c>
      <c r="DR34" s="315"/>
      <c r="DS34" s="315"/>
      <c r="DT34" s="315"/>
      <c r="DU34" s="315"/>
      <c r="DV34" s="315"/>
      <c r="DW34" s="315"/>
      <c r="DX34" s="315"/>
      <c r="DY34" s="315"/>
      <c r="DZ34" s="314">
        <v>-1.3256533575192035</v>
      </c>
      <c r="EA34" s="314">
        <v>0</v>
      </c>
      <c r="EB34" s="314">
        <v>0</v>
      </c>
      <c r="EC34" s="314">
        <v>0</v>
      </c>
      <c r="ED34" s="315"/>
      <c r="EE34" s="168"/>
      <c r="EG34" s="107" t="s">
        <v>398</v>
      </c>
      <c r="EH34" s="315"/>
      <c r="EI34" s="315"/>
      <c r="EJ34" s="315"/>
      <c r="EK34" s="315"/>
      <c r="EL34" s="315"/>
      <c r="EM34" s="315"/>
      <c r="EN34" s="315"/>
      <c r="EO34" s="315"/>
      <c r="EP34" s="314">
        <f>DZ34+(DJ34-DJ$31)*$EI$1</f>
        <v>-1.9034112270801362</v>
      </c>
      <c r="EQ34" s="314">
        <f>EA34+(DK34-DK$32)*$EI$1</f>
        <v>0</v>
      </c>
      <c r="ER34" s="314">
        <f>EB34+(DL34-DL$33)*$EI$1</f>
        <v>0</v>
      </c>
      <c r="ES34" s="314">
        <v>0</v>
      </c>
      <c r="ET34" s="315"/>
      <c r="EU34" s="168"/>
      <c r="EW34" s="164" t="s">
        <v>398</v>
      </c>
      <c r="EX34" s="316">
        <f t="shared" si="40"/>
        <v>0</v>
      </c>
      <c r="EY34" s="316">
        <f t="shared" si="36"/>
        <v>0</v>
      </c>
      <c r="EZ34" s="316">
        <f t="shared" si="36"/>
        <v>-1.3053440428576306</v>
      </c>
      <c r="FA34" s="316">
        <f t="shared" si="36"/>
        <v>-1.3053440428576306</v>
      </c>
      <c r="FB34" s="316">
        <f t="shared" si="36"/>
        <v>-1.3053440428576306</v>
      </c>
      <c r="FC34" s="316">
        <f t="shared" si="36"/>
        <v>-1.3053440428576306</v>
      </c>
      <c r="FD34" s="316">
        <f t="shared" si="36"/>
        <v>-1.3053440428576306</v>
      </c>
      <c r="FE34" s="316">
        <f t="shared" si="36"/>
        <v>0</v>
      </c>
      <c r="FF34" s="316"/>
      <c r="FG34" s="316">
        <f t="shared" si="36"/>
        <v>0</v>
      </c>
      <c r="FH34" s="316">
        <f t="shared" si="36"/>
        <v>0</v>
      </c>
      <c r="FI34" s="316">
        <f t="shared" si="36"/>
        <v>0</v>
      </c>
      <c r="FJ34" s="316">
        <f t="shared" si="36"/>
        <v>0</v>
      </c>
      <c r="FK34" s="316">
        <f t="shared" si="36"/>
        <v>0</v>
      </c>
      <c r="FL34" s="168"/>
    </row>
    <row r="35" spans="2:168" x14ac:dyDescent="0.25">
      <c r="B35" s="107" t="s">
        <v>399</v>
      </c>
      <c r="C35" s="294"/>
      <c r="D35" s="294"/>
      <c r="E35" s="294"/>
      <c r="F35" s="294"/>
      <c r="G35" s="294"/>
      <c r="H35" s="294"/>
      <c r="I35" s="294"/>
      <c r="J35" s="294"/>
      <c r="K35" s="294"/>
      <c r="L35" s="294"/>
      <c r="M35" s="294"/>
      <c r="N35" s="294"/>
      <c r="O35" s="160">
        <f>TripMode_inputCBD!O33</f>
        <v>0</v>
      </c>
      <c r="P35" s="162">
        <f t="shared" si="28"/>
        <v>0</v>
      </c>
      <c r="R35">
        <f t="shared" si="37"/>
        <v>0</v>
      </c>
      <c r="S35">
        <f t="shared" si="38"/>
        <v>0</v>
      </c>
      <c r="T35">
        <f t="shared" si="39"/>
        <v>0</v>
      </c>
      <c r="Y35" s="107" t="s">
        <v>399</v>
      </c>
      <c r="Z35" s="294"/>
      <c r="AA35" s="294"/>
      <c r="AB35" s="294"/>
      <c r="AC35" s="294"/>
      <c r="AD35" s="294"/>
      <c r="AE35" s="294"/>
      <c r="AF35" s="294"/>
      <c r="AG35" s="294"/>
      <c r="AH35" s="294"/>
      <c r="AI35" s="294"/>
      <c r="AJ35" s="294"/>
      <c r="AK35" s="294"/>
      <c r="AL35" s="160">
        <f>+O35</f>
        <v>0</v>
      </c>
      <c r="AM35" s="162">
        <f t="shared" si="30"/>
        <v>0</v>
      </c>
      <c r="AO35" s="107" t="s">
        <v>399</v>
      </c>
      <c r="AP35" s="294">
        <f>TripMode_inputCBD!R33*Index!$B$2</f>
        <v>0</v>
      </c>
      <c r="AQ35" s="294">
        <f>TripMode_inputCBD!S33*Index!$B$2</f>
        <v>0</v>
      </c>
      <c r="AR35" s="294">
        <f>TripMode_inputCBD!T33*Index!$B$2</f>
        <v>0</v>
      </c>
      <c r="AS35" s="294">
        <f>TripMode_inputCBD!U33*Index!$B$2</f>
        <v>0</v>
      </c>
      <c r="AT35" s="294">
        <f>TripMode_inputCBD!V33*Index!$B$2</f>
        <v>0</v>
      </c>
      <c r="AU35" s="294">
        <f>TripMode_inputCBD!W33*Index!$B$2</f>
        <v>0</v>
      </c>
      <c r="AV35" s="294">
        <f>TripMode_inputCBD!X33*Index!$B$2</f>
        <v>0</v>
      </c>
      <c r="AW35" s="294">
        <f>TripMode_inputCBD!Y33*Index!$B$2</f>
        <v>0</v>
      </c>
      <c r="AX35" s="294">
        <f>TripMode_inputCBD!AA33*Index!$B$2</f>
        <v>0</v>
      </c>
      <c r="AY35" s="294">
        <f>TripMode_inputCBD!AB33*Index!$B$2</f>
        <v>0</v>
      </c>
      <c r="AZ35" s="294">
        <f>TripMode_inputCBD!AC33*Index!$B$2</f>
        <v>0</v>
      </c>
      <c r="BA35" s="294">
        <f>TripMode_inputCBD!AD33*Index!$B$2</f>
        <v>0</v>
      </c>
      <c r="BB35" s="160">
        <f>TripMode_inputCBD!AE33*Index!$B$2</f>
        <v>0</v>
      </c>
      <c r="BC35" s="162">
        <f t="shared" si="31"/>
        <v>0</v>
      </c>
      <c r="BE35" s="107" t="s">
        <v>399</v>
      </c>
      <c r="BF35" s="166">
        <f t="shared" si="45"/>
        <v>0</v>
      </c>
      <c r="BG35" s="166">
        <f t="shared" si="45"/>
        <v>0</v>
      </c>
      <c r="BH35" s="166">
        <f t="shared" si="45"/>
        <v>0</v>
      </c>
      <c r="BI35" s="166" t="str">
        <f t="shared" si="45"/>
        <v/>
      </c>
      <c r="BJ35" s="166">
        <f t="shared" si="45"/>
        <v>0</v>
      </c>
      <c r="BK35" s="166" t="str">
        <f t="shared" si="45"/>
        <v/>
      </c>
      <c r="BL35" s="166">
        <f t="shared" si="45"/>
        <v>0</v>
      </c>
      <c r="BM35" s="166">
        <f t="shared" si="45"/>
        <v>0</v>
      </c>
      <c r="BN35" s="166">
        <f t="shared" si="45"/>
        <v>0</v>
      </c>
      <c r="BO35" s="166">
        <f t="shared" si="45"/>
        <v>0</v>
      </c>
      <c r="BP35" s="166">
        <f t="shared" si="45"/>
        <v>0</v>
      </c>
      <c r="BQ35" s="166" t="str">
        <f t="shared" si="45"/>
        <v/>
      </c>
      <c r="BR35" s="166" t="str">
        <f t="shared" si="45"/>
        <v/>
      </c>
      <c r="BS35" s="166">
        <f t="shared" si="45"/>
        <v>0</v>
      </c>
      <c r="BU35" s="107" t="s">
        <v>399</v>
      </c>
      <c r="BV35" s="166">
        <f t="shared" si="46"/>
        <v>0</v>
      </c>
      <c r="BW35" s="166">
        <f t="shared" si="46"/>
        <v>0</v>
      </c>
      <c r="BX35" s="166">
        <f t="shared" si="46"/>
        <v>0</v>
      </c>
      <c r="BY35" s="166">
        <f t="shared" si="46"/>
        <v>0</v>
      </c>
      <c r="BZ35" s="166">
        <f t="shared" si="46"/>
        <v>0</v>
      </c>
      <c r="CA35" s="166">
        <f t="shared" si="46"/>
        <v>0</v>
      </c>
      <c r="CB35" s="166">
        <f t="shared" si="46"/>
        <v>0</v>
      </c>
      <c r="CC35" s="166">
        <f t="shared" si="46"/>
        <v>0</v>
      </c>
      <c r="CD35" s="166">
        <f t="shared" si="46"/>
        <v>0</v>
      </c>
      <c r="CE35" s="166">
        <f t="shared" si="46"/>
        <v>0</v>
      </c>
      <c r="CF35" s="166">
        <f t="shared" si="46"/>
        <v>0</v>
      </c>
      <c r="CG35" s="166">
        <f t="shared" si="46"/>
        <v>0</v>
      </c>
      <c r="CH35" s="166" t="str">
        <f t="shared" si="46"/>
        <v/>
      </c>
      <c r="CI35" s="168">
        <f t="shared" si="46"/>
        <v>0</v>
      </c>
      <c r="CK35" s="107" t="s">
        <v>399</v>
      </c>
      <c r="CL35" s="166" t="str">
        <f t="shared" si="48"/>
        <v/>
      </c>
      <c r="CM35" s="166" t="str">
        <f t="shared" si="48"/>
        <v/>
      </c>
      <c r="CN35" s="166" t="str">
        <f t="shared" si="48"/>
        <v/>
      </c>
      <c r="CO35" s="166" t="str">
        <f t="shared" si="48"/>
        <v/>
      </c>
      <c r="CP35" s="166"/>
      <c r="CQ35" s="166"/>
      <c r="CR35" s="166"/>
      <c r="CS35" s="166"/>
      <c r="CT35" s="166" t="str">
        <f t="shared" si="49"/>
        <v/>
      </c>
      <c r="CU35" s="166" t="str">
        <f t="shared" si="49"/>
        <v/>
      </c>
      <c r="CV35" s="166" t="str">
        <f t="shared" si="49"/>
        <v/>
      </c>
      <c r="CW35" s="166" t="str">
        <f t="shared" si="49"/>
        <v/>
      </c>
      <c r="CX35" s="166" t="str">
        <f t="shared" si="49"/>
        <v/>
      </c>
      <c r="CY35" s="168" t="str">
        <f t="shared" si="49"/>
        <v/>
      </c>
      <c r="DA35" s="107" t="s">
        <v>399</v>
      </c>
      <c r="DB35" s="315"/>
      <c r="DC35" s="315"/>
      <c r="DD35" s="315"/>
      <c r="DE35" s="315"/>
      <c r="DF35" s="315"/>
      <c r="DG35" s="315"/>
      <c r="DH35" s="315"/>
      <c r="DI35" s="315"/>
      <c r="DJ35" s="315"/>
      <c r="DK35" s="315"/>
      <c r="DL35" s="315"/>
      <c r="DM35" s="315"/>
      <c r="DN35" s="314">
        <f>IFERROR(IF(CH35&gt;0,LN(BR35/CH35),0),0)</f>
        <v>0</v>
      </c>
      <c r="DO35" s="168"/>
      <c r="DQ35" s="107" t="s">
        <v>399</v>
      </c>
      <c r="DR35" s="315"/>
      <c r="DS35" s="315"/>
      <c r="DT35" s="315"/>
      <c r="DU35" s="315"/>
      <c r="DV35" s="315"/>
      <c r="DW35" s="315"/>
      <c r="DX35" s="315"/>
      <c r="DY35" s="315"/>
      <c r="DZ35" s="315"/>
      <c r="EA35" s="315"/>
      <c r="EB35" s="315"/>
      <c r="EC35" s="315"/>
      <c r="ED35" s="314">
        <v>0</v>
      </c>
      <c r="EE35" s="168"/>
      <c r="EG35" s="107" t="s">
        <v>399</v>
      </c>
      <c r="EH35" s="315"/>
      <c r="EI35" s="315"/>
      <c r="EJ35" s="315"/>
      <c r="EK35" s="315"/>
      <c r="EL35" s="315"/>
      <c r="EM35" s="315"/>
      <c r="EN35" s="315"/>
      <c r="EO35" s="315"/>
      <c r="EP35" s="315"/>
      <c r="EQ35" s="315"/>
      <c r="ER35" s="315"/>
      <c r="ES35" s="315"/>
      <c r="ET35" s="314">
        <v>0</v>
      </c>
      <c r="EU35" s="168"/>
      <c r="EW35" s="164" t="s">
        <v>399</v>
      </c>
      <c r="EX35" s="316">
        <f t="shared" si="40"/>
        <v>0</v>
      </c>
      <c r="EY35" s="316">
        <f t="shared" si="36"/>
        <v>0</v>
      </c>
      <c r="EZ35" s="316">
        <f t="shared" si="36"/>
        <v>0</v>
      </c>
      <c r="FA35" s="316">
        <f t="shared" si="36"/>
        <v>0</v>
      </c>
      <c r="FB35" s="316">
        <f t="shared" si="36"/>
        <v>0</v>
      </c>
      <c r="FC35" s="316">
        <f t="shared" si="36"/>
        <v>0</v>
      </c>
      <c r="FD35" s="316">
        <f t="shared" si="36"/>
        <v>0</v>
      </c>
      <c r="FE35" s="316">
        <f t="shared" si="36"/>
        <v>0</v>
      </c>
      <c r="FF35" s="316"/>
      <c r="FG35" s="316">
        <f t="shared" si="36"/>
        <v>0</v>
      </c>
      <c r="FH35" s="316">
        <f t="shared" si="36"/>
        <v>0</v>
      </c>
      <c r="FI35" s="316">
        <f t="shared" si="36"/>
        <v>0</v>
      </c>
      <c r="FJ35" s="316">
        <f t="shared" si="36"/>
        <v>0</v>
      </c>
      <c r="FK35" s="316">
        <f t="shared" si="36"/>
        <v>0</v>
      </c>
      <c r="FL35" s="168"/>
    </row>
    <row r="36" spans="2:168" ht="15.75" thickBot="1" x14ac:dyDescent="0.3">
      <c r="B36" s="108" t="s">
        <v>29</v>
      </c>
      <c r="C36" s="109">
        <f t="shared" ref="C36:P36" si="50">SUM(C23:C35)</f>
        <v>23007.45376</v>
      </c>
      <c r="D36" s="110">
        <f t="shared" si="50"/>
        <v>1950.9504299999999</v>
      </c>
      <c r="E36" s="110">
        <f t="shared" si="50"/>
        <v>5107.5890400000008</v>
      </c>
      <c r="F36" s="110">
        <f t="shared" si="50"/>
        <v>0</v>
      </c>
      <c r="G36" s="110">
        <f t="shared" si="50"/>
        <v>937.52595999999994</v>
      </c>
      <c r="H36" s="110">
        <f t="shared" si="50"/>
        <v>0</v>
      </c>
      <c r="I36" s="110">
        <f t="shared" si="50"/>
        <v>7188.8136800000002</v>
      </c>
      <c r="J36" s="110">
        <f t="shared" si="50"/>
        <v>14822.918320000001</v>
      </c>
      <c r="K36" s="110">
        <f t="shared" si="50"/>
        <v>53826.950320000004</v>
      </c>
      <c r="L36" s="110">
        <f t="shared" si="50"/>
        <v>3792.7442099999998</v>
      </c>
      <c r="M36" s="110">
        <f t="shared" si="50"/>
        <v>15258.03968</v>
      </c>
      <c r="N36" s="110">
        <f t="shared" si="50"/>
        <v>0</v>
      </c>
      <c r="O36" s="110">
        <f t="shared" si="50"/>
        <v>0</v>
      </c>
      <c r="P36" s="112">
        <f t="shared" si="50"/>
        <v>125892.98540000002</v>
      </c>
      <c r="Y36" s="108" t="s">
        <v>29</v>
      </c>
      <c r="Z36" s="109">
        <f t="shared" ref="Z36:AM36" si="51">SUM(Z23:Z35)</f>
        <v>23007.45376</v>
      </c>
      <c r="AA36" s="110">
        <f t="shared" si="51"/>
        <v>1950.9504299999999</v>
      </c>
      <c r="AB36" s="110">
        <f t="shared" si="51"/>
        <v>5107.5890400000008</v>
      </c>
      <c r="AC36" s="110">
        <f t="shared" si="51"/>
        <v>0</v>
      </c>
      <c r="AD36" s="110">
        <f t="shared" si="51"/>
        <v>937.52595999999994</v>
      </c>
      <c r="AE36" s="110">
        <f t="shared" si="51"/>
        <v>0</v>
      </c>
      <c r="AF36" s="110">
        <f t="shared" si="51"/>
        <v>7188.8136800000002</v>
      </c>
      <c r="AG36" s="110">
        <f t="shared" si="51"/>
        <v>14822.918320000001</v>
      </c>
      <c r="AH36" s="110">
        <f t="shared" si="51"/>
        <v>51603.371720667783</v>
      </c>
      <c r="AI36" s="110">
        <f t="shared" si="51"/>
        <v>2005.1628004091126</v>
      </c>
      <c r="AJ36" s="110">
        <f t="shared" si="51"/>
        <v>5811.9811267292989</v>
      </c>
      <c r="AK36" s="110">
        <f t="shared" si="51"/>
        <v>0</v>
      </c>
      <c r="AL36" s="110">
        <f t="shared" si="51"/>
        <v>0</v>
      </c>
      <c r="AM36" s="112">
        <f t="shared" si="51"/>
        <v>112435.76683780621</v>
      </c>
      <c r="AO36" s="108" t="s">
        <v>29</v>
      </c>
      <c r="AP36" s="109">
        <f t="shared" ref="AP36:BC36" si="52">SUM(AP23:AP35)</f>
        <v>3195</v>
      </c>
      <c r="AQ36" s="110">
        <f t="shared" si="52"/>
        <v>605</v>
      </c>
      <c r="AR36" s="110">
        <f t="shared" si="52"/>
        <v>925</v>
      </c>
      <c r="AS36" s="110">
        <f t="shared" si="52"/>
        <v>180</v>
      </c>
      <c r="AT36" s="110">
        <f t="shared" si="52"/>
        <v>520</v>
      </c>
      <c r="AU36" s="110">
        <f t="shared" si="52"/>
        <v>130</v>
      </c>
      <c r="AV36" s="110">
        <f t="shared" si="52"/>
        <v>2785</v>
      </c>
      <c r="AW36" s="110">
        <f t="shared" si="52"/>
        <v>730</v>
      </c>
      <c r="AX36" s="110">
        <f t="shared" si="52"/>
        <v>35725</v>
      </c>
      <c r="AY36" s="110">
        <f t="shared" si="52"/>
        <v>700</v>
      </c>
      <c r="AZ36" s="110">
        <f t="shared" si="52"/>
        <v>3325</v>
      </c>
      <c r="BA36" s="110">
        <f t="shared" si="52"/>
        <v>1065</v>
      </c>
      <c r="BB36" s="110">
        <f t="shared" si="52"/>
        <v>0</v>
      </c>
      <c r="BC36" s="112">
        <f t="shared" si="52"/>
        <v>49885</v>
      </c>
      <c r="BE36" s="108" t="s">
        <v>29</v>
      </c>
      <c r="BF36" s="120">
        <f t="shared" si="45"/>
        <v>1</v>
      </c>
      <c r="BG36" s="120">
        <f t="shared" si="45"/>
        <v>1</v>
      </c>
      <c r="BH36" s="120">
        <f t="shared" si="45"/>
        <v>1</v>
      </c>
      <c r="BI36" s="120" t="str">
        <f t="shared" si="45"/>
        <v/>
      </c>
      <c r="BJ36" s="120">
        <f t="shared" si="45"/>
        <v>1</v>
      </c>
      <c r="BK36" s="120" t="str">
        <f t="shared" si="45"/>
        <v/>
      </c>
      <c r="BL36" s="120">
        <f t="shared" si="45"/>
        <v>1</v>
      </c>
      <c r="BM36" s="120">
        <f t="shared" si="45"/>
        <v>1</v>
      </c>
      <c r="BN36" s="120">
        <f t="shared" si="45"/>
        <v>1</v>
      </c>
      <c r="BO36" s="120">
        <f t="shared" si="45"/>
        <v>1</v>
      </c>
      <c r="BP36" s="120">
        <f t="shared" si="45"/>
        <v>1</v>
      </c>
      <c r="BQ36" s="120" t="str">
        <f t="shared" si="45"/>
        <v/>
      </c>
      <c r="BR36" s="120" t="str">
        <f t="shared" si="45"/>
        <v/>
      </c>
      <c r="BS36" s="120">
        <f t="shared" si="45"/>
        <v>1</v>
      </c>
      <c r="BU36" s="108" t="s">
        <v>29</v>
      </c>
      <c r="BV36" s="120">
        <f t="shared" si="46"/>
        <v>1</v>
      </c>
      <c r="BW36" s="121">
        <f t="shared" si="46"/>
        <v>1</v>
      </c>
      <c r="BX36" s="121">
        <f t="shared" si="46"/>
        <v>1</v>
      </c>
      <c r="BY36" s="121">
        <f t="shared" si="46"/>
        <v>1</v>
      </c>
      <c r="BZ36" s="121">
        <f t="shared" si="46"/>
        <v>1</v>
      </c>
      <c r="CA36" s="121">
        <f t="shared" si="46"/>
        <v>1</v>
      </c>
      <c r="CB36" s="121">
        <f t="shared" si="46"/>
        <v>1</v>
      </c>
      <c r="CC36" s="121">
        <f t="shared" si="46"/>
        <v>1</v>
      </c>
      <c r="CD36" s="121">
        <f t="shared" si="46"/>
        <v>1</v>
      </c>
      <c r="CE36" s="121">
        <f t="shared" si="46"/>
        <v>1</v>
      </c>
      <c r="CF36" s="121">
        <f t="shared" si="46"/>
        <v>1</v>
      </c>
      <c r="CG36" s="121">
        <f t="shared" si="46"/>
        <v>1</v>
      </c>
      <c r="CH36" s="121" t="str">
        <f t="shared" si="46"/>
        <v/>
      </c>
      <c r="CI36" s="123">
        <f t="shared" si="46"/>
        <v>1</v>
      </c>
      <c r="CK36" s="108" t="s">
        <v>29</v>
      </c>
      <c r="CL36" s="120">
        <f t="shared" si="48"/>
        <v>0</v>
      </c>
      <c r="CM36" s="121">
        <f t="shared" si="48"/>
        <v>0</v>
      </c>
      <c r="CN36" s="121">
        <f t="shared" si="48"/>
        <v>0</v>
      </c>
      <c r="CO36" s="121" t="str">
        <f t="shared" si="48"/>
        <v/>
      </c>
      <c r="CP36" s="121"/>
      <c r="CQ36" s="121"/>
      <c r="CR36" s="121"/>
      <c r="CS36" s="121"/>
      <c r="CT36" s="121">
        <f t="shared" si="49"/>
        <v>0</v>
      </c>
      <c r="CU36" s="121">
        <f t="shared" si="49"/>
        <v>0</v>
      </c>
      <c r="CV36" s="121">
        <f t="shared" si="49"/>
        <v>0</v>
      </c>
      <c r="CW36" s="121" t="str">
        <f t="shared" si="49"/>
        <v/>
      </c>
      <c r="CX36" s="121" t="str">
        <f t="shared" si="49"/>
        <v/>
      </c>
      <c r="CY36" s="123">
        <f t="shared" si="49"/>
        <v>0</v>
      </c>
      <c r="DA36" s="108" t="s">
        <v>29</v>
      </c>
      <c r="DB36" s="120"/>
      <c r="DC36" s="121"/>
      <c r="DD36" s="121"/>
      <c r="DE36" s="121"/>
      <c r="DF36" s="121"/>
      <c r="DG36" s="121"/>
      <c r="DH36" s="121"/>
      <c r="DI36" s="121"/>
      <c r="DJ36" s="121"/>
      <c r="DK36" s="121"/>
      <c r="DL36" s="121"/>
      <c r="DM36" s="121"/>
      <c r="DN36" s="121"/>
      <c r="DO36" s="123"/>
      <c r="DQ36" s="108" t="s">
        <v>29</v>
      </c>
      <c r="DR36" s="120"/>
      <c r="DS36" s="121"/>
      <c r="DT36" s="121"/>
      <c r="DU36" s="121"/>
      <c r="DV36" s="121"/>
      <c r="DW36" s="121"/>
      <c r="DX36" s="121"/>
      <c r="DY36" s="121"/>
      <c r="DZ36" s="121"/>
      <c r="EA36" s="121"/>
      <c r="EB36" s="121"/>
      <c r="EC36" s="121"/>
      <c r="ED36" s="121"/>
      <c r="EE36" s="123"/>
      <c r="EG36" s="108" t="s">
        <v>29</v>
      </c>
      <c r="EH36" s="120"/>
      <c r="EI36" s="121"/>
      <c r="EJ36" s="121"/>
      <c r="EK36" s="121"/>
      <c r="EL36" s="121"/>
      <c r="EM36" s="121"/>
      <c r="EN36" s="121"/>
      <c r="EO36" s="121"/>
      <c r="EP36" s="121"/>
      <c r="EQ36" s="121"/>
      <c r="ER36" s="121"/>
      <c r="ES36" s="121"/>
      <c r="ET36" s="121"/>
      <c r="EU36" s="123"/>
      <c r="EW36" s="108" t="s">
        <v>29</v>
      </c>
      <c r="EX36" s="120"/>
      <c r="EY36" s="121"/>
      <c r="EZ36" s="121"/>
      <c r="FA36" s="121"/>
      <c r="FB36" s="121"/>
      <c r="FC36" s="121"/>
      <c r="FD36" s="121"/>
      <c r="FE36" s="121"/>
      <c r="FF36" s="121"/>
      <c r="FG36" s="121"/>
      <c r="FH36" s="121"/>
      <c r="FI36" s="121"/>
      <c r="FJ36" s="121"/>
      <c r="FK36" s="121"/>
      <c r="FL36" s="123"/>
    </row>
    <row r="37" spans="2:168" x14ac:dyDescent="0.25">
      <c r="B37" t="s">
        <v>218</v>
      </c>
      <c r="C37" s="383" t="s">
        <v>206</v>
      </c>
      <c r="D37" s="383"/>
      <c r="E37" s="383"/>
      <c r="F37" s="383"/>
      <c r="G37" s="383"/>
      <c r="H37" s="383"/>
      <c r="I37" s="383"/>
      <c r="J37" s="383"/>
      <c r="K37" s="383"/>
      <c r="L37" s="383"/>
      <c r="M37" s="383"/>
      <c r="N37" s="383"/>
      <c r="O37" s="383"/>
      <c r="P37" s="383"/>
      <c r="Y37" t="s">
        <v>218</v>
      </c>
      <c r="Z37" s="383" t="s">
        <v>206</v>
      </c>
      <c r="AA37" s="383"/>
      <c r="AB37" s="383"/>
      <c r="AC37" s="383"/>
      <c r="AD37" s="383"/>
      <c r="AE37" s="383"/>
      <c r="AF37" s="383"/>
      <c r="AG37" s="383"/>
      <c r="AH37" s="383"/>
      <c r="AI37" s="383"/>
      <c r="AJ37" s="383"/>
      <c r="AK37" s="383"/>
      <c r="AL37" s="383"/>
      <c r="AM37" s="383"/>
      <c r="AO37" t="s">
        <v>218</v>
      </c>
      <c r="AP37" s="383" t="s">
        <v>206</v>
      </c>
      <c r="AQ37" s="383"/>
      <c r="AR37" s="383"/>
      <c r="AS37" s="383"/>
      <c r="AT37" s="383"/>
      <c r="AU37" s="383"/>
      <c r="AV37" s="383"/>
      <c r="AW37" s="383"/>
      <c r="AX37" s="383"/>
      <c r="AY37" s="383"/>
      <c r="AZ37" s="383"/>
      <c r="BA37" s="383"/>
      <c r="BB37" s="383"/>
      <c r="BC37" s="383"/>
      <c r="BE37" t="s">
        <v>218</v>
      </c>
      <c r="BF37" s="383" t="s">
        <v>206</v>
      </c>
      <c r="BG37" s="383"/>
      <c r="BH37" s="383"/>
      <c r="BI37" s="383"/>
      <c r="BJ37" s="383"/>
      <c r="BK37" s="383"/>
      <c r="BL37" s="383"/>
      <c r="BM37" s="383"/>
      <c r="BN37" s="383"/>
      <c r="BO37" s="383"/>
      <c r="BP37" s="383"/>
      <c r="BQ37" s="383"/>
      <c r="BR37" s="383"/>
      <c r="BS37" s="383"/>
      <c r="BU37" t="s">
        <v>218</v>
      </c>
      <c r="BV37" s="383" t="s">
        <v>206</v>
      </c>
      <c r="BW37" s="383"/>
      <c r="BX37" s="383"/>
      <c r="BY37" s="383"/>
      <c r="BZ37" s="383"/>
      <c r="CA37" s="383"/>
      <c r="CB37" s="383"/>
      <c r="CC37" s="383"/>
      <c r="CD37" s="383"/>
      <c r="CE37" s="383"/>
      <c r="CF37" s="383"/>
      <c r="CG37" s="383"/>
      <c r="CH37" s="383"/>
      <c r="CI37" s="383"/>
      <c r="CK37" t="s">
        <v>218</v>
      </c>
      <c r="CL37" s="383" t="s">
        <v>206</v>
      </c>
      <c r="CM37" s="383"/>
      <c r="CN37" s="383"/>
      <c r="CO37" s="383"/>
      <c r="CP37" s="383"/>
      <c r="CQ37" s="383"/>
      <c r="CR37" s="383"/>
      <c r="CS37" s="383"/>
      <c r="CT37" s="383"/>
      <c r="CU37" s="383"/>
      <c r="CV37" s="383"/>
      <c r="CW37" s="383"/>
      <c r="CX37" s="383"/>
      <c r="CY37" s="383"/>
      <c r="DA37" t="s">
        <v>190</v>
      </c>
      <c r="DB37" s="383" t="s">
        <v>206</v>
      </c>
      <c r="DC37" s="383"/>
      <c r="DD37" s="383"/>
      <c r="DE37" s="383"/>
      <c r="DF37" s="383"/>
      <c r="DG37" s="383"/>
      <c r="DH37" s="383"/>
      <c r="DI37" s="383"/>
      <c r="DJ37" s="383"/>
      <c r="DK37" s="383"/>
      <c r="DL37" s="383"/>
      <c r="DM37" s="383"/>
      <c r="DN37" s="383"/>
      <c r="DO37" s="383"/>
      <c r="DQ37" t="s">
        <v>190</v>
      </c>
      <c r="DR37" s="383" t="s">
        <v>206</v>
      </c>
      <c r="DS37" s="383"/>
      <c r="DT37" s="383"/>
      <c r="DU37" s="383"/>
      <c r="DV37" s="383"/>
      <c r="DW37" s="383"/>
      <c r="DX37" s="383"/>
      <c r="DY37" s="383"/>
      <c r="DZ37" s="383"/>
      <c r="EA37" s="383"/>
      <c r="EB37" s="383"/>
      <c r="EC37" s="383"/>
      <c r="ED37" s="383"/>
      <c r="EE37" s="383"/>
      <c r="EG37" t="s">
        <v>190</v>
      </c>
      <c r="EH37" s="383" t="s">
        <v>206</v>
      </c>
      <c r="EI37" s="383"/>
      <c r="EJ37" s="383"/>
      <c r="EK37" s="383"/>
      <c r="EL37" s="383"/>
      <c r="EM37" s="383"/>
      <c r="EN37" s="383"/>
      <c r="EO37" s="383"/>
      <c r="EP37" s="383"/>
      <c r="EQ37" s="383"/>
      <c r="ER37" s="383"/>
      <c r="ES37" s="383"/>
      <c r="ET37" s="383"/>
      <c r="EU37" s="383"/>
      <c r="EW37" t="s">
        <v>190</v>
      </c>
      <c r="EX37" s="383" t="s">
        <v>207</v>
      </c>
      <c r="EY37" s="383"/>
      <c r="EZ37" s="383"/>
      <c r="FA37" s="383"/>
      <c r="FB37" s="383"/>
      <c r="FC37" s="383"/>
      <c r="FD37" s="383"/>
      <c r="FE37" s="383"/>
      <c r="FF37" s="383"/>
      <c r="FG37" s="383"/>
      <c r="FH37" s="383"/>
      <c r="FI37" s="383"/>
      <c r="FJ37" s="383"/>
      <c r="FK37" s="383"/>
      <c r="FL37" s="383"/>
    </row>
    <row r="38" spans="2:168" ht="35.450000000000003" customHeight="1" x14ac:dyDescent="0.25">
      <c r="B38" s="163" t="s">
        <v>207</v>
      </c>
      <c r="C38" s="164" t="s">
        <v>386</v>
      </c>
      <c r="D38" s="164" t="s">
        <v>387</v>
      </c>
      <c r="E38" s="164" t="s">
        <v>388</v>
      </c>
      <c r="F38" s="164" t="s">
        <v>389</v>
      </c>
      <c r="G38" s="164" t="s">
        <v>390</v>
      </c>
      <c r="H38" s="164" t="s">
        <v>391</v>
      </c>
      <c r="I38" s="164" t="s">
        <v>392</v>
      </c>
      <c r="J38" s="164" t="s">
        <v>393</v>
      </c>
      <c r="K38" s="164" t="s">
        <v>546</v>
      </c>
      <c r="L38" s="164" t="s">
        <v>396</v>
      </c>
      <c r="M38" s="164" t="s">
        <v>397</v>
      </c>
      <c r="N38" s="164" t="s">
        <v>398</v>
      </c>
      <c r="O38" s="164" t="s">
        <v>399</v>
      </c>
      <c r="P38" s="106" t="s">
        <v>29</v>
      </c>
      <c r="R38" s="164" t="s">
        <v>546</v>
      </c>
      <c r="S38" s="164" t="s">
        <v>396</v>
      </c>
      <c r="T38" s="164" t="s">
        <v>397</v>
      </c>
      <c r="U38" s="164" t="s">
        <v>546</v>
      </c>
      <c r="V38" s="164" t="s">
        <v>396</v>
      </c>
      <c r="W38" s="164" t="s">
        <v>397</v>
      </c>
      <c r="X38" s="296"/>
      <c r="Y38" s="163" t="s">
        <v>207</v>
      </c>
      <c r="Z38" s="164" t="s">
        <v>386</v>
      </c>
      <c r="AA38" s="164" t="s">
        <v>387</v>
      </c>
      <c r="AB38" s="164" t="s">
        <v>388</v>
      </c>
      <c r="AC38" s="164" t="s">
        <v>389</v>
      </c>
      <c r="AD38" s="164" t="s">
        <v>390</v>
      </c>
      <c r="AE38" s="164" t="s">
        <v>391</v>
      </c>
      <c r="AF38" s="164" t="s">
        <v>392</v>
      </c>
      <c r="AG38" s="164" t="s">
        <v>393</v>
      </c>
      <c r="AH38" s="164" t="s">
        <v>546</v>
      </c>
      <c r="AI38" s="164" t="s">
        <v>396</v>
      </c>
      <c r="AJ38" s="164" t="s">
        <v>397</v>
      </c>
      <c r="AK38" s="164" t="s">
        <v>398</v>
      </c>
      <c r="AL38" s="164" t="s">
        <v>399</v>
      </c>
      <c r="AM38" s="106" t="s">
        <v>29</v>
      </c>
      <c r="AN38" s="296"/>
      <c r="AO38" s="163" t="s">
        <v>207</v>
      </c>
      <c r="AP38" s="164" t="s">
        <v>386</v>
      </c>
      <c r="AQ38" s="164" t="s">
        <v>387</v>
      </c>
      <c r="AR38" s="164" t="s">
        <v>388</v>
      </c>
      <c r="AS38" s="164" t="s">
        <v>389</v>
      </c>
      <c r="AT38" s="164" t="s">
        <v>390</v>
      </c>
      <c r="AU38" s="164" t="s">
        <v>391</v>
      </c>
      <c r="AV38" s="164" t="s">
        <v>392</v>
      </c>
      <c r="AW38" s="164" t="s">
        <v>393</v>
      </c>
      <c r="AX38" s="164" t="s">
        <v>546</v>
      </c>
      <c r="AY38" s="164" t="s">
        <v>396</v>
      </c>
      <c r="AZ38" s="164" t="s">
        <v>397</v>
      </c>
      <c r="BA38" s="164" t="s">
        <v>398</v>
      </c>
      <c r="BB38" s="164" t="s">
        <v>399</v>
      </c>
      <c r="BC38" s="106" t="s">
        <v>29</v>
      </c>
      <c r="BE38" s="163" t="s">
        <v>207</v>
      </c>
      <c r="BF38" s="164" t="s">
        <v>538</v>
      </c>
      <c r="BG38" s="164"/>
      <c r="BH38" s="164" t="s">
        <v>576</v>
      </c>
      <c r="BI38" s="164"/>
      <c r="BJ38" s="164" t="s">
        <v>577</v>
      </c>
      <c r="BK38" s="164"/>
      <c r="BL38" s="164" t="s">
        <v>392</v>
      </c>
      <c r="BM38" s="164" t="s">
        <v>393</v>
      </c>
      <c r="BN38" s="164" t="s">
        <v>546</v>
      </c>
      <c r="BO38" s="164" t="s">
        <v>396</v>
      </c>
      <c r="BP38" s="164" t="s">
        <v>397</v>
      </c>
      <c r="BQ38" s="164" t="s">
        <v>398</v>
      </c>
      <c r="BR38" s="164" t="s">
        <v>399</v>
      </c>
      <c r="BS38" s="106" t="s">
        <v>29</v>
      </c>
      <c r="BU38" s="163" t="s">
        <v>207</v>
      </c>
      <c r="BV38" s="164" t="s">
        <v>538</v>
      </c>
      <c r="BW38" s="164"/>
      <c r="BX38" s="164" t="s">
        <v>576</v>
      </c>
      <c r="BY38" s="164"/>
      <c r="BZ38" s="164" t="s">
        <v>577</v>
      </c>
      <c r="CA38" s="164"/>
      <c r="CB38" s="164" t="s">
        <v>392</v>
      </c>
      <c r="CC38" s="164" t="s">
        <v>393</v>
      </c>
      <c r="CD38" s="164" t="s">
        <v>546</v>
      </c>
      <c r="CE38" s="164" t="s">
        <v>396</v>
      </c>
      <c r="CF38" s="164" t="s">
        <v>397</v>
      </c>
      <c r="CG38" s="164" t="s">
        <v>398</v>
      </c>
      <c r="CH38" s="164" t="s">
        <v>399</v>
      </c>
      <c r="CI38" s="106" t="s">
        <v>29</v>
      </c>
      <c r="CK38" s="163" t="s">
        <v>207</v>
      </c>
      <c r="CL38" s="164" t="s">
        <v>386</v>
      </c>
      <c r="CM38" s="164" t="s">
        <v>387</v>
      </c>
      <c r="CN38" s="164" t="s">
        <v>388</v>
      </c>
      <c r="CO38" s="164" t="s">
        <v>389</v>
      </c>
      <c r="CP38" s="164" t="s">
        <v>390</v>
      </c>
      <c r="CQ38" s="164" t="s">
        <v>391</v>
      </c>
      <c r="CR38" s="164" t="s">
        <v>392</v>
      </c>
      <c r="CS38" s="164" t="s">
        <v>393</v>
      </c>
      <c r="CT38" s="164" t="s">
        <v>546</v>
      </c>
      <c r="CU38" s="164" t="s">
        <v>396</v>
      </c>
      <c r="CV38" s="164" t="s">
        <v>397</v>
      </c>
      <c r="CW38" s="164" t="s">
        <v>398</v>
      </c>
      <c r="CX38" s="164" t="s">
        <v>399</v>
      </c>
      <c r="CY38" s="106" t="s">
        <v>29</v>
      </c>
      <c r="DA38" s="163" t="s">
        <v>207</v>
      </c>
      <c r="DB38" s="164" t="s">
        <v>538</v>
      </c>
      <c r="DC38" s="164"/>
      <c r="DD38" s="164" t="s">
        <v>576</v>
      </c>
      <c r="DE38" s="164"/>
      <c r="DF38" s="164" t="s">
        <v>577</v>
      </c>
      <c r="DG38" s="164"/>
      <c r="DH38" s="164" t="s">
        <v>392</v>
      </c>
      <c r="DI38" s="164" t="s">
        <v>393</v>
      </c>
      <c r="DJ38" s="164" t="s">
        <v>546</v>
      </c>
      <c r="DK38" s="164" t="s">
        <v>396</v>
      </c>
      <c r="DL38" s="164" t="s">
        <v>397</v>
      </c>
      <c r="DM38" s="164" t="s">
        <v>398</v>
      </c>
      <c r="DN38" s="164" t="s">
        <v>399</v>
      </c>
      <c r="DO38" s="106" t="s">
        <v>29</v>
      </c>
      <c r="DQ38" s="163" t="s">
        <v>207</v>
      </c>
      <c r="DR38" s="164" t="s">
        <v>538</v>
      </c>
      <c r="DS38" s="164"/>
      <c r="DT38" s="164" t="s">
        <v>576</v>
      </c>
      <c r="DU38" s="164"/>
      <c r="DV38" s="164" t="s">
        <v>577</v>
      </c>
      <c r="DW38" s="164"/>
      <c r="DX38" s="164" t="s">
        <v>392</v>
      </c>
      <c r="DY38" s="164" t="s">
        <v>393</v>
      </c>
      <c r="DZ38" s="164" t="s">
        <v>546</v>
      </c>
      <c r="EA38" s="164" t="s">
        <v>396</v>
      </c>
      <c r="EB38" s="164" t="s">
        <v>397</v>
      </c>
      <c r="EC38" s="164" t="s">
        <v>398</v>
      </c>
      <c r="ED38" s="164" t="s">
        <v>399</v>
      </c>
      <c r="EE38" s="106" t="s">
        <v>29</v>
      </c>
      <c r="EG38" s="163" t="s">
        <v>207</v>
      </c>
      <c r="EH38" s="164" t="s">
        <v>538</v>
      </c>
      <c r="EI38" s="164"/>
      <c r="EJ38" s="164" t="s">
        <v>576</v>
      </c>
      <c r="EK38" s="164"/>
      <c r="EL38" s="164" t="s">
        <v>577</v>
      </c>
      <c r="EM38" s="164"/>
      <c r="EN38" s="164" t="s">
        <v>392</v>
      </c>
      <c r="EO38" s="164" t="s">
        <v>393</v>
      </c>
      <c r="EP38" s="164" t="s">
        <v>546</v>
      </c>
      <c r="EQ38" s="164" t="s">
        <v>396</v>
      </c>
      <c r="ER38" s="164" t="s">
        <v>397</v>
      </c>
      <c r="ES38" s="164" t="s">
        <v>398</v>
      </c>
      <c r="ET38" s="164" t="s">
        <v>399</v>
      </c>
      <c r="EU38" s="106" t="s">
        <v>29</v>
      </c>
      <c r="EW38" s="163" t="s">
        <v>206</v>
      </c>
      <c r="EX38" s="164" t="s">
        <v>386</v>
      </c>
      <c r="EY38" s="164" t="s">
        <v>387</v>
      </c>
      <c r="EZ38" s="164" t="s">
        <v>388</v>
      </c>
      <c r="FA38" s="164" t="s">
        <v>389</v>
      </c>
      <c r="FB38" s="164" t="s">
        <v>390</v>
      </c>
      <c r="FC38" s="164" t="s">
        <v>391</v>
      </c>
      <c r="FD38" s="164" t="s">
        <v>392</v>
      </c>
      <c r="FE38" s="164" t="s">
        <v>393</v>
      </c>
      <c r="FF38" s="164"/>
      <c r="FG38" s="164" t="s">
        <v>546</v>
      </c>
      <c r="FH38" s="164" t="s">
        <v>396</v>
      </c>
      <c r="FI38" s="164" t="s">
        <v>397</v>
      </c>
      <c r="FJ38" s="164" t="s">
        <v>398</v>
      </c>
      <c r="FK38" s="164" t="s">
        <v>399</v>
      </c>
      <c r="FL38" s="106" t="s">
        <v>29</v>
      </c>
    </row>
    <row r="39" spans="2:168" x14ac:dyDescent="0.25">
      <c r="B39" s="107" t="s">
        <v>386</v>
      </c>
      <c r="C39" s="160">
        <f>TripMode_inputCBD!B36</f>
        <v>1290.05512</v>
      </c>
      <c r="D39" s="160">
        <f>TripMode_inputCBD!C36</f>
        <v>0</v>
      </c>
      <c r="E39" s="160">
        <f>TripMode_inputCBD!D36</f>
        <v>365.63852000000003</v>
      </c>
      <c r="F39" s="160">
        <f>TripMode_inputCBD!E36</f>
        <v>0</v>
      </c>
      <c r="G39" s="160">
        <f>TripMode_inputCBD!F36</f>
        <v>0</v>
      </c>
      <c r="H39" s="160">
        <f>TripMode_inputCBD!G36</f>
        <v>0</v>
      </c>
      <c r="I39" s="294"/>
      <c r="J39" s="294"/>
      <c r="K39" s="294"/>
      <c r="L39" s="294"/>
      <c r="M39" s="294"/>
      <c r="N39" s="294"/>
      <c r="O39" s="294"/>
      <c r="P39" s="161">
        <f t="shared" ref="P39:P51" si="53">SUM(C39:O39)</f>
        <v>1655.69364</v>
      </c>
      <c r="R39">
        <f>K39/K$47</f>
        <v>0</v>
      </c>
      <c r="S39">
        <f>L39/L$48</f>
        <v>0</v>
      </c>
      <c r="T39">
        <f>M39/M$49</f>
        <v>0</v>
      </c>
      <c r="Y39" s="107" t="s">
        <v>386</v>
      </c>
      <c r="Z39" s="160">
        <f>+C39</f>
        <v>1290.05512</v>
      </c>
      <c r="AA39" s="160">
        <f t="shared" ref="AA39:AF45" si="54">+D39</f>
        <v>0</v>
      </c>
      <c r="AB39" s="160">
        <f t="shared" si="54"/>
        <v>365.63852000000003</v>
      </c>
      <c r="AC39" s="160">
        <f t="shared" si="54"/>
        <v>0</v>
      </c>
      <c r="AD39" s="160">
        <f t="shared" si="54"/>
        <v>0</v>
      </c>
      <c r="AE39" s="160">
        <f t="shared" si="54"/>
        <v>0</v>
      </c>
      <c r="AF39" s="294"/>
      <c r="AG39" s="294"/>
      <c r="AH39" s="294"/>
      <c r="AI39" s="294"/>
      <c r="AJ39" s="294"/>
      <c r="AK39" s="294"/>
      <c r="AL39" s="294"/>
      <c r="AM39" s="161">
        <f t="shared" ref="AM39:AM51" si="55">SUM(Z39:AL39)</f>
        <v>1655.69364</v>
      </c>
      <c r="AO39" s="107" t="s">
        <v>386</v>
      </c>
      <c r="AP39" s="160">
        <f>TripMode_inputCBD!R36*Index!$B$2</f>
        <v>795</v>
      </c>
      <c r="AQ39" s="160">
        <f>TripMode_inputCBD!S36*Index!$B$2</f>
        <v>215</v>
      </c>
      <c r="AR39" s="160">
        <f>TripMode_inputCBD!T36*Index!$B$2</f>
        <v>200</v>
      </c>
      <c r="AS39" s="160">
        <f>TripMode_inputCBD!U36*Index!$B$2</f>
        <v>10</v>
      </c>
      <c r="AT39" s="160">
        <f>TripMode_inputCBD!V36*Index!$B$2</f>
        <v>340</v>
      </c>
      <c r="AU39" s="160">
        <f>TripMode_inputCBD!W36*Index!$B$2</f>
        <v>65</v>
      </c>
      <c r="AV39" s="294">
        <f>TripMode_inputCBD!X36*Index!$B$2</f>
        <v>0</v>
      </c>
      <c r="AW39" s="294">
        <f>TripMode_inputCBD!Y36*Index!$B$2</f>
        <v>0</v>
      </c>
      <c r="AX39" s="294">
        <f>TripMode_inputCBD!AA36*Index!$B$2</f>
        <v>0</v>
      </c>
      <c r="AY39" s="294">
        <f>TripMode_inputCBD!AB36*Index!$B$2</f>
        <v>0</v>
      </c>
      <c r="AZ39" s="160">
        <f>TripMode_inputCBD!AC36*Index!$B$2</f>
        <v>0</v>
      </c>
      <c r="BA39" s="294">
        <f>TripMode_inputCBD!AD36*Index!$B$2</f>
        <v>0</v>
      </c>
      <c r="BB39" s="294">
        <f>TripMode_inputCBD!AE36*Index!$B$2</f>
        <v>0</v>
      </c>
      <c r="BC39" s="161">
        <f t="shared" ref="BC39:BC51" si="56">SUM(AP39:BB39)</f>
        <v>1625</v>
      </c>
      <c r="BE39" s="107" t="s">
        <v>538</v>
      </c>
      <c r="BF39" s="166">
        <f>IF(Z$52+AA$52&gt;0,SUM(Z39:AA40)/(Z$52+AA$52),"")</f>
        <v>1</v>
      </c>
      <c r="BG39" s="166"/>
      <c r="BH39" s="166">
        <f>IF(AB$52+AC$52&gt;0,SUM(AB39:AC40)/(AB$52+AC$52),"")</f>
        <v>1.6324694767768468E-2</v>
      </c>
      <c r="BI39" s="166"/>
      <c r="BJ39" s="166">
        <f>IF(AD$52+AE$52&gt;0,SUM(AD39:AE40)/(AD$52+AE$52),"")</f>
        <v>0</v>
      </c>
      <c r="BK39" s="166"/>
      <c r="BL39" s="166">
        <f t="shared" ref="BL39:BS39" si="57">IF(AF$52&gt;0,(AF39+AF40)/AF$52,"")</f>
        <v>0</v>
      </c>
      <c r="BM39" s="166" t="str">
        <f t="shared" si="57"/>
        <v/>
      </c>
      <c r="BN39" s="166">
        <f t="shared" si="57"/>
        <v>0</v>
      </c>
      <c r="BO39" s="166">
        <f t="shared" si="57"/>
        <v>0</v>
      </c>
      <c r="BP39" s="166">
        <f t="shared" si="57"/>
        <v>0</v>
      </c>
      <c r="BQ39" s="166">
        <f t="shared" si="57"/>
        <v>0</v>
      </c>
      <c r="BR39" s="166">
        <f t="shared" si="57"/>
        <v>0</v>
      </c>
      <c r="BS39" s="166">
        <f t="shared" si="57"/>
        <v>8.6362491686124872E-3</v>
      </c>
      <c r="BU39" s="107" t="s">
        <v>538</v>
      </c>
      <c r="BV39" s="166">
        <f>IF(AP$52+AQ$52&gt;0,SUM(AP39:AQ40)/(AP$52+AQ$52),"")</f>
        <v>1</v>
      </c>
      <c r="BW39" s="166"/>
      <c r="BX39" s="166">
        <f>IF(AR$52+AS$52&gt;0,SUM(AR39:AS40)/(AR$52+AS$52),"")</f>
        <v>2.4676850763807285E-2</v>
      </c>
      <c r="BY39" s="166"/>
      <c r="BZ39" s="166">
        <f>IF(AT$52+AU$52&gt;0,SUM(AT39:AU40)/(AT$52+AU$52),"")</f>
        <v>9.9225820521208156E-3</v>
      </c>
      <c r="CA39" s="166"/>
      <c r="CB39" s="166">
        <f t="shared" ref="CB39:CI39" si="58">IF(AV$52&gt;0,(AV39+AV40)/AV$52,"")</f>
        <v>0</v>
      </c>
      <c r="CC39" s="166">
        <f t="shared" si="58"/>
        <v>0</v>
      </c>
      <c r="CD39" s="166">
        <f t="shared" si="58"/>
        <v>0</v>
      </c>
      <c r="CE39" s="166">
        <f t="shared" si="58"/>
        <v>0</v>
      </c>
      <c r="CF39" s="166">
        <f t="shared" si="58"/>
        <v>0</v>
      </c>
      <c r="CG39" s="166">
        <f t="shared" si="58"/>
        <v>0</v>
      </c>
      <c r="CH39" s="166">
        <f t="shared" si="58"/>
        <v>0</v>
      </c>
      <c r="CI39" s="166">
        <f t="shared" si="58"/>
        <v>1.5034678843751346E-2</v>
      </c>
      <c r="CK39" s="107" t="s">
        <v>386</v>
      </c>
      <c r="CL39" s="166">
        <f t="shared" ref="CL39:CO42" si="59">IF(OR(ISNA(BF39),BF39=0,BF39=""),"",(BV39-BF39)/BF39)</f>
        <v>0</v>
      </c>
      <c r="CM39" s="166" t="str">
        <f t="shared" si="59"/>
        <v/>
      </c>
      <c r="CN39" s="166">
        <f t="shared" si="59"/>
        <v>0.51162708490754405</v>
      </c>
      <c r="CO39" s="166" t="str">
        <f t="shared" si="59"/>
        <v/>
      </c>
      <c r="CP39" s="166"/>
      <c r="CQ39" s="166"/>
      <c r="CR39" s="166"/>
      <c r="CS39" s="166"/>
      <c r="CT39" s="166" t="str">
        <f t="shared" ref="CT39:CY42" si="60">IF(OR(ISNA(BN39),BN39=0,BN39=""),"",(CD39-BN39)/BN39)</f>
        <v/>
      </c>
      <c r="CU39" s="166" t="str">
        <f t="shared" si="60"/>
        <v/>
      </c>
      <c r="CV39" s="166" t="str">
        <f t="shared" si="60"/>
        <v/>
      </c>
      <c r="CW39" s="166" t="str">
        <f t="shared" si="60"/>
        <v/>
      </c>
      <c r="CX39" s="166" t="str">
        <f t="shared" si="60"/>
        <v/>
      </c>
      <c r="CY39" s="167">
        <f t="shared" si="60"/>
        <v>0.74088062424058565</v>
      </c>
      <c r="DA39" s="107" t="s">
        <v>538</v>
      </c>
      <c r="DB39" s="314">
        <f>IFERROR(IF(BV39&gt;0,LN(BF39/BV39),0),0)</f>
        <v>0</v>
      </c>
      <c r="DC39" s="314"/>
      <c r="DD39" s="314">
        <f>IFERROR(IF(BX39&gt;0,LN(BH39/BX39),0),0)</f>
        <v>-0.41318661037153281</v>
      </c>
      <c r="DE39" s="314"/>
      <c r="DF39" s="314">
        <f>IFERROR(IF(BZ39&gt;0,LN(BJ39/BZ39),0),0)</f>
        <v>0</v>
      </c>
      <c r="DG39" s="314"/>
      <c r="DH39" s="315"/>
      <c r="DI39" s="315"/>
      <c r="DJ39" s="315"/>
      <c r="DK39" s="315"/>
      <c r="DL39" s="315"/>
      <c r="DM39" s="315"/>
      <c r="DN39" s="315"/>
      <c r="DO39" s="167"/>
      <c r="DQ39" s="107" t="s">
        <v>538</v>
      </c>
      <c r="DR39" s="314">
        <v>0</v>
      </c>
      <c r="DS39" s="314">
        <v>0</v>
      </c>
      <c r="DT39" s="314">
        <v>0</v>
      </c>
      <c r="DU39" s="314">
        <v>0</v>
      </c>
      <c r="DV39" s="314">
        <v>0</v>
      </c>
      <c r="DW39" s="314">
        <v>0</v>
      </c>
      <c r="DX39" s="315"/>
      <c r="DY39" s="315"/>
      <c r="DZ39" s="315"/>
      <c r="EA39" s="315"/>
      <c r="EB39" s="315"/>
      <c r="EC39" s="315"/>
      <c r="ED39" s="315"/>
      <c r="EE39" s="167"/>
      <c r="EG39" s="107" t="s">
        <v>538</v>
      </c>
      <c r="EH39" s="314">
        <v>0</v>
      </c>
      <c r="EI39" s="314">
        <v>0</v>
      </c>
      <c r="EJ39" s="314">
        <v>0</v>
      </c>
      <c r="EK39" s="314">
        <v>0</v>
      </c>
      <c r="EL39" s="314">
        <v>0</v>
      </c>
      <c r="EM39" s="314">
        <v>0</v>
      </c>
      <c r="EN39" s="315"/>
      <c r="EO39" s="315"/>
      <c r="EP39" s="315"/>
      <c r="EQ39" s="315"/>
      <c r="ER39" s="315"/>
      <c r="ES39" s="315"/>
      <c r="ET39" s="315"/>
      <c r="EU39" s="167"/>
      <c r="EW39" s="164" t="s">
        <v>386</v>
      </c>
      <c r="EX39" s="316">
        <f>INDEX($EH$39:$ET$51,EX$4,MATCH($EW39,$EW$7:$EW$19,0))</f>
        <v>0</v>
      </c>
      <c r="EY39" s="316">
        <f t="shared" ref="EY39:FK51" si="61">INDEX($EH$39:$ET$51,EY$4,MATCH($EW39,$EW$7:$EW$19,0))</f>
        <v>0</v>
      </c>
      <c r="EZ39" s="316">
        <f t="shared" si="61"/>
        <v>0</v>
      </c>
      <c r="FA39" s="316">
        <f t="shared" si="61"/>
        <v>0</v>
      </c>
      <c r="FB39" s="316">
        <f t="shared" si="61"/>
        <v>0</v>
      </c>
      <c r="FC39" s="316">
        <f t="shared" si="61"/>
        <v>0</v>
      </c>
      <c r="FD39" s="316">
        <f t="shared" si="61"/>
        <v>0</v>
      </c>
      <c r="FE39" s="316">
        <f t="shared" si="61"/>
        <v>0</v>
      </c>
      <c r="FF39" s="316"/>
      <c r="FG39" s="316">
        <f t="shared" si="61"/>
        <v>0</v>
      </c>
      <c r="FH39" s="316">
        <f t="shared" si="61"/>
        <v>0</v>
      </c>
      <c r="FI39" s="316">
        <f t="shared" si="61"/>
        <v>0</v>
      </c>
      <c r="FJ39" s="316">
        <f t="shared" si="61"/>
        <v>0</v>
      </c>
      <c r="FK39" s="316">
        <f t="shared" si="61"/>
        <v>0</v>
      </c>
      <c r="FL39" s="167"/>
    </row>
    <row r="40" spans="2:168" x14ac:dyDescent="0.25">
      <c r="B40" s="107" t="s">
        <v>387</v>
      </c>
      <c r="C40" s="160">
        <f>TripMode_inputCBD!B37</f>
        <v>0</v>
      </c>
      <c r="D40" s="160">
        <f>TripMode_inputCBD!C37</f>
        <v>0</v>
      </c>
      <c r="E40" s="160">
        <f>TripMode_inputCBD!D37</f>
        <v>0</v>
      </c>
      <c r="F40" s="160">
        <f>TripMode_inputCBD!E37</f>
        <v>0</v>
      </c>
      <c r="G40" s="160">
        <f>TripMode_inputCBD!F37</f>
        <v>0</v>
      </c>
      <c r="H40" s="160">
        <f>TripMode_inputCBD!G37</f>
        <v>0</v>
      </c>
      <c r="I40" s="294"/>
      <c r="J40" s="294"/>
      <c r="K40" s="294"/>
      <c r="L40" s="294"/>
      <c r="M40" s="294"/>
      <c r="N40" s="294"/>
      <c r="O40" s="294"/>
      <c r="P40" s="162">
        <f t="shared" si="53"/>
        <v>0</v>
      </c>
      <c r="R40">
        <f t="shared" ref="R40:R51" si="62">K40/K$47</f>
        <v>0</v>
      </c>
      <c r="S40">
        <f t="shared" ref="S40:S51" si="63">L40/L$48</f>
        <v>0</v>
      </c>
      <c r="T40">
        <f t="shared" ref="T40:T51" si="64">M40/M$49</f>
        <v>0</v>
      </c>
      <c r="Y40" s="107" t="s">
        <v>387</v>
      </c>
      <c r="Z40" s="160">
        <f>+C40</f>
        <v>0</v>
      </c>
      <c r="AA40" s="160">
        <f t="shared" si="54"/>
        <v>0</v>
      </c>
      <c r="AB40" s="160">
        <f t="shared" si="54"/>
        <v>0</v>
      </c>
      <c r="AC40" s="160">
        <f t="shared" si="54"/>
        <v>0</v>
      </c>
      <c r="AD40" s="160">
        <f t="shared" si="54"/>
        <v>0</v>
      </c>
      <c r="AE40" s="160">
        <f t="shared" si="54"/>
        <v>0</v>
      </c>
      <c r="AF40" s="294"/>
      <c r="AG40" s="294"/>
      <c r="AH40" s="294"/>
      <c r="AI40" s="294"/>
      <c r="AJ40" s="294"/>
      <c r="AK40" s="294"/>
      <c r="AL40" s="294"/>
      <c r="AM40" s="162">
        <f t="shared" si="55"/>
        <v>0</v>
      </c>
      <c r="AO40" s="107" t="s">
        <v>387</v>
      </c>
      <c r="AP40" s="160">
        <f>TripMode_inputCBD!R37*Index!$B$2</f>
        <v>10</v>
      </c>
      <c r="AQ40" s="160">
        <f>TripMode_inputCBD!S37*Index!$B$2</f>
        <v>60</v>
      </c>
      <c r="AR40" s="160">
        <f>TripMode_inputCBD!T37*Index!$B$2</f>
        <v>0</v>
      </c>
      <c r="AS40" s="160">
        <f>TripMode_inputCBD!U37*Index!$B$2</f>
        <v>0</v>
      </c>
      <c r="AT40" s="160">
        <f>TripMode_inputCBD!V37*Index!$B$2</f>
        <v>20</v>
      </c>
      <c r="AU40" s="160">
        <f>TripMode_inputCBD!W37*Index!$B$2</f>
        <v>30</v>
      </c>
      <c r="AV40" s="294">
        <f>TripMode_inputCBD!X37*Index!$B$2</f>
        <v>0</v>
      </c>
      <c r="AW40" s="294">
        <f>TripMode_inputCBD!Y37*Index!$B$2</f>
        <v>0</v>
      </c>
      <c r="AX40" s="294">
        <f>TripMode_inputCBD!AA37*Index!$B$2</f>
        <v>0</v>
      </c>
      <c r="AY40" s="294">
        <f>TripMode_inputCBD!AB37*Index!$B$2</f>
        <v>0</v>
      </c>
      <c r="AZ40" s="160">
        <f>TripMode_inputCBD!AC37*Index!$B$2</f>
        <v>0</v>
      </c>
      <c r="BA40" s="294">
        <f>TripMode_inputCBD!AD37*Index!$B$2</f>
        <v>0</v>
      </c>
      <c r="BB40" s="294">
        <f>TripMode_inputCBD!AE37*Index!$B$2</f>
        <v>0</v>
      </c>
      <c r="BC40" s="162">
        <f t="shared" si="56"/>
        <v>120</v>
      </c>
      <c r="BE40" s="107"/>
      <c r="BF40" s="166"/>
      <c r="BG40" s="166"/>
      <c r="BH40" s="166"/>
      <c r="BI40" s="166"/>
      <c r="BJ40" s="166"/>
      <c r="BK40" s="166"/>
      <c r="BL40" s="166"/>
      <c r="BM40" s="166"/>
      <c r="BN40" s="166"/>
      <c r="BO40" s="166"/>
      <c r="BP40" s="166"/>
      <c r="BQ40" s="166"/>
      <c r="BR40" s="166"/>
      <c r="BS40" s="166"/>
      <c r="BU40" s="107"/>
      <c r="BV40" s="166"/>
      <c r="BW40" s="166"/>
      <c r="BX40" s="166"/>
      <c r="BY40" s="166"/>
      <c r="BZ40" s="166"/>
      <c r="CA40" s="166"/>
      <c r="CB40" s="166"/>
      <c r="CC40" s="166"/>
      <c r="CD40" s="166"/>
      <c r="CE40" s="166"/>
      <c r="CF40" s="166"/>
      <c r="CG40" s="166"/>
      <c r="CH40" s="166"/>
      <c r="CI40" s="166"/>
      <c r="CK40" s="107" t="s">
        <v>387</v>
      </c>
      <c r="CL40" s="166" t="str">
        <f t="shared" si="59"/>
        <v/>
      </c>
      <c r="CM40" s="166" t="str">
        <f t="shared" si="59"/>
        <v/>
      </c>
      <c r="CN40" s="166" t="str">
        <f t="shared" si="59"/>
        <v/>
      </c>
      <c r="CO40" s="166" t="str">
        <f t="shared" si="59"/>
        <v/>
      </c>
      <c r="CP40" s="166"/>
      <c r="CQ40" s="166"/>
      <c r="CR40" s="166"/>
      <c r="CS40" s="166"/>
      <c r="CT40" s="166" t="str">
        <f t="shared" si="60"/>
        <v/>
      </c>
      <c r="CU40" s="166" t="str">
        <f t="shared" si="60"/>
        <v/>
      </c>
      <c r="CV40" s="166" t="str">
        <f t="shared" si="60"/>
        <v/>
      </c>
      <c r="CW40" s="166" t="str">
        <f t="shared" si="60"/>
        <v/>
      </c>
      <c r="CX40" s="166" t="str">
        <f t="shared" si="60"/>
        <v/>
      </c>
      <c r="CY40" s="168" t="str">
        <f t="shared" si="60"/>
        <v/>
      </c>
      <c r="DA40" s="107"/>
      <c r="DB40" s="314"/>
      <c r="DC40" s="314"/>
      <c r="DD40" s="314"/>
      <c r="DE40" s="314"/>
      <c r="DF40" s="314"/>
      <c r="DG40" s="314"/>
      <c r="DH40" s="315"/>
      <c r="DI40" s="315"/>
      <c r="DJ40" s="315"/>
      <c r="DK40" s="315"/>
      <c r="DL40" s="315"/>
      <c r="DM40" s="315"/>
      <c r="DN40" s="315"/>
      <c r="DO40" s="168"/>
      <c r="DQ40" s="107"/>
      <c r="DR40" s="314">
        <v>0</v>
      </c>
      <c r="DS40" s="314">
        <v>0</v>
      </c>
      <c r="DT40" s="314">
        <v>0</v>
      </c>
      <c r="DU40" s="314">
        <v>0</v>
      </c>
      <c r="DV40" s="314">
        <v>0</v>
      </c>
      <c r="DW40" s="314">
        <v>0</v>
      </c>
      <c r="DX40" s="315"/>
      <c r="DY40" s="315"/>
      <c r="DZ40" s="315"/>
      <c r="EA40" s="315"/>
      <c r="EB40" s="315"/>
      <c r="EC40" s="315"/>
      <c r="ED40" s="315"/>
      <c r="EE40" s="168"/>
      <c r="EG40" s="107"/>
      <c r="EH40" s="314">
        <v>0</v>
      </c>
      <c r="EI40" s="314">
        <v>0</v>
      </c>
      <c r="EJ40" s="314">
        <v>0</v>
      </c>
      <c r="EK40" s="314">
        <v>0</v>
      </c>
      <c r="EL40" s="314">
        <v>0</v>
      </c>
      <c r="EM40" s="314">
        <v>0</v>
      </c>
      <c r="EN40" s="315"/>
      <c r="EO40" s="315"/>
      <c r="EP40" s="315"/>
      <c r="EQ40" s="315"/>
      <c r="ER40" s="315"/>
      <c r="ES40" s="315"/>
      <c r="ET40" s="315"/>
      <c r="EU40" s="168"/>
      <c r="EW40" s="164" t="s">
        <v>387</v>
      </c>
      <c r="EX40" s="316">
        <f t="shared" ref="EX40:EX51" si="65">INDEX($EH$39:$ET$51,EX$4,MATCH($EW40,$EW$7:$EW$19,0))</f>
        <v>0</v>
      </c>
      <c r="EY40" s="316">
        <f t="shared" si="61"/>
        <v>0</v>
      </c>
      <c r="EZ40" s="316">
        <f t="shared" si="61"/>
        <v>0</v>
      </c>
      <c r="FA40" s="316">
        <f t="shared" si="61"/>
        <v>0</v>
      </c>
      <c r="FB40" s="316">
        <f t="shared" si="61"/>
        <v>0</v>
      </c>
      <c r="FC40" s="316">
        <f t="shared" si="61"/>
        <v>0</v>
      </c>
      <c r="FD40" s="316">
        <f t="shared" si="61"/>
        <v>0</v>
      </c>
      <c r="FE40" s="316">
        <f t="shared" si="61"/>
        <v>0</v>
      </c>
      <c r="FF40" s="316"/>
      <c r="FG40" s="316">
        <f t="shared" si="61"/>
        <v>0</v>
      </c>
      <c r="FH40" s="316">
        <f t="shared" si="61"/>
        <v>0</v>
      </c>
      <c r="FI40" s="316">
        <f t="shared" si="61"/>
        <v>0</v>
      </c>
      <c r="FJ40" s="316">
        <f t="shared" si="61"/>
        <v>0</v>
      </c>
      <c r="FK40" s="316">
        <f t="shared" si="61"/>
        <v>0</v>
      </c>
      <c r="FL40" s="168"/>
    </row>
    <row r="41" spans="2:168" x14ac:dyDescent="0.25">
      <c r="B41" s="107" t="s">
        <v>388</v>
      </c>
      <c r="C41" s="294"/>
      <c r="D41" s="294"/>
      <c r="E41" s="160">
        <f>TripMode_inputCBD!D38</f>
        <v>18328.795829999999</v>
      </c>
      <c r="F41" s="160">
        <f>TripMode_inputCBD!E38</f>
        <v>0</v>
      </c>
      <c r="G41" s="160">
        <f>TripMode_inputCBD!F38</f>
        <v>9734.8880599999993</v>
      </c>
      <c r="H41" s="160">
        <f>TripMode_inputCBD!G38</f>
        <v>0</v>
      </c>
      <c r="I41" s="294"/>
      <c r="J41" s="294"/>
      <c r="K41" s="160">
        <f>TripMode_inputCBD!J38+TripMode_inputCBD!K38</f>
        <v>1869.2399499999999</v>
      </c>
      <c r="L41" s="294"/>
      <c r="M41" s="294"/>
      <c r="N41" s="160">
        <f>TripMode_inputCBD!N38</f>
        <v>229.45972</v>
      </c>
      <c r="O41" s="294"/>
      <c r="P41" s="162">
        <f t="shared" si="53"/>
        <v>30162.383559999998</v>
      </c>
      <c r="R41">
        <f t="shared" si="62"/>
        <v>7.9331659617934952E-2</v>
      </c>
      <c r="S41">
        <f t="shared" si="63"/>
        <v>0</v>
      </c>
      <c r="T41">
        <f t="shared" si="64"/>
        <v>0</v>
      </c>
      <c r="Y41" s="107" t="s">
        <v>388</v>
      </c>
      <c r="Z41" s="294"/>
      <c r="AA41" s="294"/>
      <c r="AB41" s="160">
        <f t="shared" si="54"/>
        <v>18328.795829999999</v>
      </c>
      <c r="AC41" s="160">
        <f t="shared" si="54"/>
        <v>0</v>
      </c>
      <c r="AD41" s="160">
        <f t="shared" si="54"/>
        <v>9734.8880599999993</v>
      </c>
      <c r="AE41" s="160">
        <f t="shared" si="54"/>
        <v>0</v>
      </c>
      <c r="AF41" s="294"/>
      <c r="AG41" s="294"/>
      <c r="AH41" s="160">
        <f>AH47*R41</f>
        <v>1792.022089334904</v>
      </c>
      <c r="AI41" s="294"/>
      <c r="AJ41" s="294"/>
      <c r="AK41" s="160">
        <f>+N41</f>
        <v>229.45972</v>
      </c>
      <c r="AL41" s="294"/>
      <c r="AM41" s="162">
        <f t="shared" si="55"/>
        <v>30085.165699334902</v>
      </c>
      <c r="AO41" s="107" t="s">
        <v>388</v>
      </c>
      <c r="AP41" s="294">
        <f>TripMode_inputCBD!R38*Index!$B$2</f>
        <v>0</v>
      </c>
      <c r="AQ41" s="294">
        <f>TripMode_inputCBD!S38*Index!$B$2</f>
        <v>0</v>
      </c>
      <c r="AR41" s="160">
        <f>TripMode_inputCBD!T38*Index!$B$2</f>
        <v>6475</v>
      </c>
      <c r="AS41" s="160">
        <f>TripMode_inputCBD!U38*Index!$B$2</f>
        <v>300</v>
      </c>
      <c r="AT41" s="160">
        <f>TripMode_inputCBD!V38*Index!$B$2</f>
        <v>8385</v>
      </c>
      <c r="AU41" s="160">
        <f>TripMode_inputCBD!W38*Index!$B$2</f>
        <v>990</v>
      </c>
      <c r="AV41" s="294">
        <f>TripMode_inputCBD!X38*Index!$B$2</f>
        <v>0</v>
      </c>
      <c r="AW41" s="294">
        <f>TripMode_inputCBD!Y38*Index!$B$2</f>
        <v>0</v>
      </c>
      <c r="AX41" s="160">
        <f>TripMode_inputCBD!AA38*Index!$B$2</f>
        <v>1385</v>
      </c>
      <c r="AY41" s="160">
        <f>TripMode_inputCBD!AB38*Index!$B$2</f>
        <v>0</v>
      </c>
      <c r="AZ41" s="160">
        <f>TripMode_inputCBD!AC38*Index!$B$2</f>
        <v>0</v>
      </c>
      <c r="BA41" s="160">
        <f>TripMode_inputCBD!AD38*Index!$B$2</f>
        <v>125</v>
      </c>
      <c r="BB41" s="294">
        <f>TripMode_inputCBD!AE38*Index!$B$2</f>
        <v>0</v>
      </c>
      <c r="BC41" s="162">
        <f t="shared" si="56"/>
        <v>17660</v>
      </c>
      <c r="BE41" s="107" t="s">
        <v>576</v>
      </c>
      <c r="BF41" s="166">
        <f>IF(Z$52+AA$52&gt;0,SUM(Z41:AA42)/(Z$52+AA$52),"")</f>
        <v>0</v>
      </c>
      <c r="BG41" s="166"/>
      <c r="BH41" s="166">
        <f>IF(AB$52+AC$52&gt;0,SUM(AB41:AC42)/(AB$52+AC$52),"")</f>
        <v>0.81832733976031147</v>
      </c>
      <c r="BI41" s="166"/>
      <c r="BJ41" s="166">
        <f>IF(AD$52+AE$52&gt;0,SUM(AD41:AE42)/(AD$52+AE$52),"")</f>
        <v>0.10445042887942793</v>
      </c>
      <c r="BK41" s="166"/>
      <c r="BL41" s="166">
        <f t="shared" ref="BL41:BS41" si="66">IF(AF$52&gt;0,(AF41+AF42)/AF$52,"")</f>
        <v>0</v>
      </c>
      <c r="BM41" s="166" t="str">
        <f t="shared" si="66"/>
        <v/>
      </c>
      <c r="BN41" s="166">
        <f t="shared" si="66"/>
        <v>6.8979541484616352E-2</v>
      </c>
      <c r="BO41" s="166">
        <f t="shared" si="66"/>
        <v>0</v>
      </c>
      <c r="BP41" s="166">
        <f t="shared" si="66"/>
        <v>0</v>
      </c>
      <c r="BQ41" s="166">
        <f t="shared" si="66"/>
        <v>0.5</v>
      </c>
      <c r="BR41" s="166">
        <f t="shared" si="66"/>
        <v>0</v>
      </c>
      <c r="BS41" s="166">
        <f t="shared" si="66"/>
        <v>0.1569269706553019</v>
      </c>
      <c r="BU41" s="107" t="s">
        <v>576</v>
      </c>
      <c r="BV41" s="166">
        <f>IF(AP$52+AQ$52&gt;0,SUM(AP41:AQ42)/(AP$52+AQ$52),"")</f>
        <v>0</v>
      </c>
      <c r="BW41" s="166"/>
      <c r="BX41" s="166">
        <f>IF(AR$52+AS$52&gt;0,SUM(AR41:AS42)/(AR$52+AS$52),"")</f>
        <v>0.81374853113983547</v>
      </c>
      <c r="BY41" s="166"/>
      <c r="BZ41" s="166">
        <f>IF(AT$52+AU$52&gt;0,SUM(AT41:AU42)/(AT$52+AU$52),"")</f>
        <v>0.21524370297677461</v>
      </c>
      <c r="CA41" s="166"/>
      <c r="CB41" s="166">
        <f t="shared" ref="CB41:CI41" si="67">IF(AV$52&gt;0,(AV41+AV42)/AV$52,"")</f>
        <v>0</v>
      </c>
      <c r="CC41" s="166">
        <f t="shared" si="67"/>
        <v>0</v>
      </c>
      <c r="CD41" s="166">
        <f t="shared" si="67"/>
        <v>4.1598330102877591E-2</v>
      </c>
      <c r="CE41" s="166">
        <f t="shared" si="67"/>
        <v>0</v>
      </c>
      <c r="CF41" s="166">
        <f t="shared" si="67"/>
        <v>0</v>
      </c>
      <c r="CG41" s="166">
        <f t="shared" si="67"/>
        <v>0.18666666666666668</v>
      </c>
      <c r="CH41" s="166">
        <f t="shared" si="67"/>
        <v>0</v>
      </c>
      <c r="CI41" s="166">
        <f t="shared" si="67"/>
        <v>0.15792874682290095</v>
      </c>
      <c r="CK41" s="107" t="s">
        <v>388</v>
      </c>
      <c r="CL41" s="166" t="str">
        <f t="shared" si="59"/>
        <v/>
      </c>
      <c r="CM41" s="166" t="str">
        <f t="shared" si="59"/>
        <v/>
      </c>
      <c r="CN41" s="166">
        <f t="shared" si="59"/>
        <v>-5.5953264641226937E-3</v>
      </c>
      <c r="CO41" s="166" t="str">
        <f t="shared" si="59"/>
        <v/>
      </c>
      <c r="CP41" s="166"/>
      <c r="CQ41" s="166"/>
      <c r="CR41" s="166"/>
      <c r="CS41" s="166"/>
      <c r="CT41" s="166">
        <f t="shared" si="60"/>
        <v>-0.39694684528810981</v>
      </c>
      <c r="CU41" s="166" t="str">
        <f t="shared" si="60"/>
        <v/>
      </c>
      <c r="CV41" s="166" t="str">
        <f t="shared" si="60"/>
        <v/>
      </c>
      <c r="CW41" s="166">
        <f t="shared" si="60"/>
        <v>-0.62666666666666671</v>
      </c>
      <c r="CX41" s="166" t="str">
        <f t="shared" si="60"/>
        <v/>
      </c>
      <c r="CY41" s="168">
        <f t="shared" si="60"/>
        <v>6.3837093357234816E-3</v>
      </c>
      <c r="DA41" s="107" t="s">
        <v>576</v>
      </c>
      <c r="DB41" s="315"/>
      <c r="DC41" s="315"/>
      <c r="DD41" s="314">
        <f>IFERROR(IF(BX41&gt;0,LN(BH41/BX41),0),0)</f>
        <v>5.6110389416144067E-3</v>
      </c>
      <c r="DE41" s="314"/>
      <c r="DF41" s="314">
        <f>IFERROR(IF(BZ41&gt;0,LN(BJ41/BZ41),0),0)</f>
        <v>-0.7230582943484879</v>
      </c>
      <c r="DG41" s="314"/>
      <c r="DH41" s="315"/>
      <c r="DI41" s="315"/>
      <c r="DJ41" s="314">
        <f>IFERROR(IF(CD41&gt;0,LN(BN41/CD41),0),0)</f>
        <v>0.50574993570566074</v>
      </c>
      <c r="DK41" s="315"/>
      <c r="DL41" s="315"/>
      <c r="DM41" s="314">
        <f>IFERROR(IF(CG41&gt;0,LN(BQ41/CG41),0),0)</f>
        <v>0.98528360336110643</v>
      </c>
      <c r="DN41" s="315"/>
      <c r="DO41" s="168"/>
      <c r="DQ41" s="107" t="s">
        <v>576</v>
      </c>
      <c r="DR41" s="315"/>
      <c r="DS41" s="315"/>
      <c r="DT41" s="314">
        <v>1.5421170931790862</v>
      </c>
      <c r="DU41" s="314">
        <v>1.5421170931790862</v>
      </c>
      <c r="DV41" s="314">
        <v>0.41329978225153896</v>
      </c>
      <c r="DW41" s="314">
        <v>0.41329978225153896</v>
      </c>
      <c r="DX41" s="315"/>
      <c r="DY41" s="315"/>
      <c r="DZ41" s="314">
        <v>4.6187080952843127</v>
      </c>
      <c r="EA41" s="315"/>
      <c r="EB41" s="315"/>
      <c r="EC41" s="314">
        <v>-0.49521953966539822</v>
      </c>
      <c r="ED41" s="315"/>
      <c r="EE41" s="168"/>
      <c r="EG41" s="107" t="s">
        <v>576</v>
      </c>
      <c r="EH41" s="315"/>
      <c r="EI41" s="315"/>
      <c r="EJ41" s="314">
        <f>DT41+(DD41-DD$39)*$EI$1</f>
        <v>1.9609147424922333</v>
      </c>
      <c r="EK41" s="314">
        <f>DT41+(DD41-DD$39)*$EI$1</f>
        <v>1.9609147424922333</v>
      </c>
      <c r="EL41" s="314">
        <f>DV41+(DF41-DF$39)*$EI$1</f>
        <v>-0.30975851209694893</v>
      </c>
      <c r="EM41" s="314">
        <f>DV41+(DF41-DF$39)*$EI$1</f>
        <v>-0.30975851209694893</v>
      </c>
      <c r="EN41" s="315"/>
      <c r="EO41" s="315"/>
      <c r="EP41" s="314">
        <f>DZ41+(DJ41-DJ$47)*$EI$1</f>
        <v>5.0386039238167681</v>
      </c>
      <c r="EQ41" s="315"/>
      <c r="ER41" s="315"/>
      <c r="ES41" s="314">
        <f>EC41+(DM41-DM$50)*$EI$1</f>
        <v>0.92616614126576247</v>
      </c>
      <c r="ET41" s="315"/>
      <c r="EU41" s="168"/>
      <c r="EW41" s="164" t="s">
        <v>388</v>
      </c>
      <c r="EX41" s="316">
        <f t="shared" si="65"/>
        <v>0</v>
      </c>
      <c r="EY41" s="316">
        <f t="shared" si="61"/>
        <v>0</v>
      </c>
      <c r="EZ41" s="316">
        <f t="shared" si="61"/>
        <v>1.9609147424922333</v>
      </c>
      <c r="FA41" s="316">
        <f t="shared" si="61"/>
        <v>1.9609147424922333</v>
      </c>
      <c r="FB41" s="316">
        <f t="shared" si="61"/>
        <v>0</v>
      </c>
      <c r="FC41" s="316">
        <f t="shared" si="61"/>
        <v>0</v>
      </c>
      <c r="FD41" s="316">
        <f t="shared" si="61"/>
        <v>2.5025027881800783</v>
      </c>
      <c r="FE41" s="316">
        <f t="shared" si="61"/>
        <v>0</v>
      </c>
      <c r="FF41" s="316"/>
      <c r="FG41" s="316">
        <f t="shared" si="61"/>
        <v>0</v>
      </c>
      <c r="FH41" s="316">
        <f t="shared" si="61"/>
        <v>0</v>
      </c>
      <c r="FI41" s="316">
        <f t="shared" si="61"/>
        <v>0</v>
      </c>
      <c r="FJ41" s="316">
        <f t="shared" si="61"/>
        <v>0</v>
      </c>
      <c r="FK41" s="316">
        <f t="shared" si="61"/>
        <v>0</v>
      </c>
      <c r="FL41" s="168"/>
    </row>
    <row r="42" spans="2:168" x14ac:dyDescent="0.25">
      <c r="B42" s="107" t="s">
        <v>389</v>
      </c>
      <c r="C42" s="294"/>
      <c r="D42" s="294"/>
      <c r="E42" s="160">
        <f>TripMode_inputCBD!D39</f>
        <v>0</v>
      </c>
      <c r="F42" s="160">
        <f>TripMode_inputCBD!E39</f>
        <v>0</v>
      </c>
      <c r="G42" s="160">
        <f>TripMode_inputCBD!F39</f>
        <v>0</v>
      </c>
      <c r="H42" s="160">
        <f>TripMode_inputCBD!G39</f>
        <v>0</v>
      </c>
      <c r="I42" s="294"/>
      <c r="J42" s="294"/>
      <c r="K42" s="160">
        <f>TripMode_inputCBD!J39+TripMode_inputCBD!K39</f>
        <v>0</v>
      </c>
      <c r="L42" s="294"/>
      <c r="M42" s="294"/>
      <c r="N42" s="160">
        <f>TripMode_inputCBD!N39</f>
        <v>0</v>
      </c>
      <c r="O42" s="294"/>
      <c r="P42" s="162">
        <f t="shared" si="53"/>
        <v>0</v>
      </c>
      <c r="R42">
        <f t="shared" si="62"/>
        <v>0</v>
      </c>
      <c r="S42">
        <f t="shared" si="63"/>
        <v>0</v>
      </c>
      <c r="T42">
        <f t="shared" si="64"/>
        <v>0</v>
      </c>
      <c r="Y42" s="107" t="s">
        <v>389</v>
      </c>
      <c r="Z42" s="294"/>
      <c r="AA42" s="294"/>
      <c r="AB42" s="160">
        <f t="shared" si="54"/>
        <v>0</v>
      </c>
      <c r="AC42" s="160">
        <f t="shared" si="54"/>
        <v>0</v>
      </c>
      <c r="AD42" s="160">
        <f t="shared" si="54"/>
        <v>0</v>
      </c>
      <c r="AE42" s="160">
        <f t="shared" si="54"/>
        <v>0</v>
      </c>
      <c r="AF42" s="294"/>
      <c r="AG42" s="294"/>
      <c r="AH42" s="160">
        <f>AH47*R42</f>
        <v>0</v>
      </c>
      <c r="AI42" s="294"/>
      <c r="AJ42" s="294"/>
      <c r="AK42" s="160">
        <f>+N42</f>
        <v>0</v>
      </c>
      <c r="AL42" s="294"/>
      <c r="AM42" s="162">
        <f t="shared" si="55"/>
        <v>0</v>
      </c>
      <c r="AO42" s="107" t="s">
        <v>389</v>
      </c>
      <c r="AP42" s="294">
        <f>TripMode_inputCBD!R39*Index!$B$2</f>
        <v>0</v>
      </c>
      <c r="AQ42" s="294">
        <f>TripMode_inputCBD!S39*Index!$B$2</f>
        <v>0</v>
      </c>
      <c r="AR42" s="160">
        <f>TripMode_inputCBD!T39*Index!$B$2</f>
        <v>80</v>
      </c>
      <c r="AS42" s="160">
        <f>TripMode_inputCBD!U39*Index!$B$2</f>
        <v>70</v>
      </c>
      <c r="AT42" s="160">
        <f>TripMode_inputCBD!V39*Index!$B$2</f>
        <v>120</v>
      </c>
      <c r="AU42" s="160">
        <f>TripMode_inputCBD!W39*Index!$B$2</f>
        <v>375</v>
      </c>
      <c r="AV42" s="294">
        <f>TripMode_inputCBD!X39*Index!$B$2</f>
        <v>0</v>
      </c>
      <c r="AW42" s="294">
        <f>TripMode_inputCBD!Y39*Index!$B$2</f>
        <v>0</v>
      </c>
      <c r="AX42" s="160">
        <f>TripMode_inputCBD!AA39*Index!$B$2</f>
        <v>10</v>
      </c>
      <c r="AY42" s="160">
        <f>TripMode_inputCBD!AB39*Index!$B$2</f>
        <v>0</v>
      </c>
      <c r="AZ42" s="160">
        <f>TripMode_inputCBD!AC39*Index!$B$2</f>
        <v>0</v>
      </c>
      <c r="BA42" s="160">
        <f>TripMode_inputCBD!AD39*Index!$B$2</f>
        <v>15</v>
      </c>
      <c r="BB42" s="294">
        <f>TripMode_inputCBD!AE39*Index!$B$2</f>
        <v>0</v>
      </c>
      <c r="BC42" s="162">
        <f t="shared" si="56"/>
        <v>670</v>
      </c>
      <c r="BE42" s="107"/>
      <c r="BF42" s="166"/>
      <c r="BG42" s="166"/>
      <c r="BH42" s="166"/>
      <c r="BI42" s="166"/>
      <c r="BJ42" s="166"/>
      <c r="BK42" s="166"/>
      <c r="BL42" s="166"/>
      <c r="BM42" s="166"/>
      <c r="BN42" s="166"/>
      <c r="BO42" s="166"/>
      <c r="BP42" s="166"/>
      <c r="BQ42" s="166"/>
      <c r="BR42" s="166"/>
      <c r="BS42" s="166"/>
      <c r="BU42" s="107"/>
      <c r="BV42" s="166"/>
      <c r="BW42" s="166"/>
      <c r="BX42" s="166"/>
      <c r="BY42" s="166"/>
      <c r="BZ42" s="166"/>
      <c r="CA42" s="166"/>
      <c r="CB42" s="166"/>
      <c r="CC42" s="166"/>
      <c r="CD42" s="166"/>
      <c r="CE42" s="166"/>
      <c r="CF42" s="166"/>
      <c r="CG42" s="166"/>
      <c r="CH42" s="166"/>
      <c r="CI42" s="166"/>
      <c r="CK42" s="107" t="s">
        <v>389</v>
      </c>
      <c r="CL42" s="166" t="str">
        <f t="shared" si="59"/>
        <v/>
      </c>
      <c r="CM42" s="166" t="str">
        <f t="shared" si="59"/>
        <v/>
      </c>
      <c r="CN42" s="166" t="str">
        <f t="shared" si="59"/>
        <v/>
      </c>
      <c r="CO42" s="166" t="str">
        <f t="shared" si="59"/>
        <v/>
      </c>
      <c r="CP42" s="166"/>
      <c r="CQ42" s="166"/>
      <c r="CR42" s="166"/>
      <c r="CS42" s="166"/>
      <c r="CT42" s="166" t="str">
        <f t="shared" si="60"/>
        <v/>
      </c>
      <c r="CU42" s="166" t="str">
        <f t="shared" si="60"/>
        <v/>
      </c>
      <c r="CV42" s="166" t="str">
        <f t="shared" si="60"/>
        <v/>
      </c>
      <c r="CW42" s="166" t="str">
        <f t="shared" si="60"/>
        <v/>
      </c>
      <c r="CX42" s="166" t="str">
        <f t="shared" si="60"/>
        <v/>
      </c>
      <c r="CY42" s="168" t="str">
        <f t="shared" si="60"/>
        <v/>
      </c>
      <c r="DA42" s="107"/>
      <c r="DB42" s="315"/>
      <c r="DC42" s="315"/>
      <c r="DD42" s="314"/>
      <c r="DE42" s="314"/>
      <c r="DF42" s="314"/>
      <c r="DG42" s="314"/>
      <c r="DH42" s="315"/>
      <c r="DI42" s="315"/>
      <c r="DJ42" s="314"/>
      <c r="DK42" s="315"/>
      <c r="DL42" s="315"/>
      <c r="DM42" s="314"/>
      <c r="DN42" s="315"/>
      <c r="DO42" s="168"/>
      <c r="DQ42" s="107"/>
      <c r="DR42" s="315"/>
      <c r="DS42" s="315"/>
      <c r="DT42" s="314">
        <v>1.5421170931790862</v>
      </c>
      <c r="DU42" s="314">
        <v>1.5421170931790862</v>
      </c>
      <c r="DV42" s="314">
        <v>0.41329978225153896</v>
      </c>
      <c r="DW42" s="314">
        <v>0.41329978225153896</v>
      </c>
      <c r="DX42" s="315"/>
      <c r="DY42" s="315"/>
      <c r="DZ42" s="314">
        <v>4.6187080952843127</v>
      </c>
      <c r="EA42" s="315"/>
      <c r="EB42" s="315"/>
      <c r="EC42" s="314">
        <v>-0.49521953966539822</v>
      </c>
      <c r="ED42" s="315"/>
      <c r="EE42" s="168"/>
      <c r="EG42" s="107"/>
      <c r="EH42" s="315"/>
      <c r="EI42" s="315"/>
      <c r="EJ42" s="314">
        <f>DT41+(DD41-DD$39)*$EI$1</f>
        <v>1.9609147424922333</v>
      </c>
      <c r="EK42" s="314">
        <f>DT41+(DD41-DD$39)*$EI$1</f>
        <v>1.9609147424922333</v>
      </c>
      <c r="EL42" s="314">
        <f>DV41+(DF41-DF$39)*$EI$1</f>
        <v>-0.30975851209694893</v>
      </c>
      <c r="EM42" s="314">
        <f>DV41+(DF41-DF$39)*$EI$1</f>
        <v>-0.30975851209694893</v>
      </c>
      <c r="EN42" s="315"/>
      <c r="EO42" s="315"/>
      <c r="EP42" s="314">
        <f>DZ41+(DJ41-DJ$47)*$EI$1</f>
        <v>5.0386039238167681</v>
      </c>
      <c r="EQ42" s="315"/>
      <c r="ER42" s="315"/>
      <c r="ES42" s="314">
        <f>EC41+(DM41-DM$50)*$EI$1</f>
        <v>0.92616614126576247</v>
      </c>
      <c r="ET42" s="315"/>
      <c r="EU42" s="168"/>
      <c r="EW42" s="164" t="s">
        <v>389</v>
      </c>
      <c r="EX42" s="316">
        <f t="shared" si="65"/>
        <v>0</v>
      </c>
      <c r="EY42" s="316">
        <f t="shared" si="61"/>
        <v>0</v>
      </c>
      <c r="EZ42" s="316">
        <f t="shared" si="61"/>
        <v>1.9609147424922333</v>
      </c>
      <c r="FA42" s="316">
        <f t="shared" si="61"/>
        <v>1.9609147424922333</v>
      </c>
      <c r="FB42" s="316">
        <f t="shared" si="61"/>
        <v>0</v>
      </c>
      <c r="FC42" s="316">
        <f t="shared" si="61"/>
        <v>0</v>
      </c>
      <c r="FD42" s="316">
        <f t="shared" si="61"/>
        <v>2.5025027881800783</v>
      </c>
      <c r="FE42" s="316">
        <f t="shared" si="61"/>
        <v>0</v>
      </c>
      <c r="FF42" s="316"/>
      <c r="FG42" s="316">
        <f t="shared" si="61"/>
        <v>0</v>
      </c>
      <c r="FH42" s="316">
        <f t="shared" si="61"/>
        <v>0</v>
      </c>
      <c r="FI42" s="316">
        <f t="shared" si="61"/>
        <v>0</v>
      </c>
      <c r="FJ42" s="316">
        <f t="shared" si="61"/>
        <v>0</v>
      </c>
      <c r="FK42" s="316">
        <f t="shared" si="61"/>
        <v>0</v>
      </c>
      <c r="FL42" s="168"/>
    </row>
    <row r="43" spans="2:168" x14ac:dyDescent="0.25">
      <c r="B43" s="107" t="s">
        <v>390</v>
      </c>
      <c r="C43" s="294"/>
      <c r="D43" s="294"/>
      <c r="E43" s="294"/>
      <c r="F43" s="294"/>
      <c r="G43" s="160">
        <f>TripMode_inputCBD!F40</f>
        <v>77384.921189999994</v>
      </c>
      <c r="H43" s="160">
        <f>TripMode_inputCBD!G40</f>
        <v>0</v>
      </c>
      <c r="I43" s="294"/>
      <c r="J43" s="294"/>
      <c r="K43" s="160">
        <f>TripMode_inputCBD!J40+TripMode_inputCBD!K40</f>
        <v>710.65732000000003</v>
      </c>
      <c r="L43" s="294"/>
      <c r="M43" s="294"/>
      <c r="N43" s="160">
        <f>TripMode_inputCBD!N40</f>
        <v>0</v>
      </c>
      <c r="O43" s="294"/>
      <c r="P43" s="162">
        <f t="shared" si="53"/>
        <v>78095.578509999992</v>
      </c>
      <c r="R43">
        <f t="shared" si="62"/>
        <v>3.0160721000657982E-2</v>
      </c>
      <c r="S43">
        <f t="shared" si="63"/>
        <v>0</v>
      </c>
      <c r="T43">
        <f t="shared" si="64"/>
        <v>0</v>
      </c>
      <c r="Y43" s="107" t="s">
        <v>390</v>
      </c>
      <c r="Z43" s="294"/>
      <c r="AA43" s="294"/>
      <c r="AB43" s="294"/>
      <c r="AC43" s="294"/>
      <c r="AD43" s="160">
        <f t="shared" si="54"/>
        <v>77384.921189999994</v>
      </c>
      <c r="AE43" s="160">
        <f t="shared" si="54"/>
        <v>0</v>
      </c>
      <c r="AF43" s="294"/>
      <c r="AG43" s="294"/>
      <c r="AH43" s="160">
        <f>AH47*R43</f>
        <v>681.3002340269602</v>
      </c>
      <c r="AI43" s="294"/>
      <c r="AJ43" s="294"/>
      <c r="AK43" s="160">
        <f>+N43</f>
        <v>0</v>
      </c>
      <c r="AL43" s="294"/>
      <c r="AM43" s="162">
        <f t="shared" si="55"/>
        <v>78066.221424026953</v>
      </c>
      <c r="AO43" s="107" t="s">
        <v>390</v>
      </c>
      <c r="AP43" s="294">
        <f>TripMode_inputCBD!R40*Index!$B$2</f>
        <v>0</v>
      </c>
      <c r="AQ43" s="294">
        <f>TripMode_inputCBD!S40*Index!$B$2</f>
        <v>0</v>
      </c>
      <c r="AR43" s="294">
        <f>TripMode_inputCBD!T40*Index!$B$2</f>
        <v>0</v>
      </c>
      <c r="AS43" s="294">
        <f>TripMode_inputCBD!U40*Index!$B$2</f>
        <v>0</v>
      </c>
      <c r="AT43" s="160">
        <f>TripMode_inputCBD!V40*Index!$B$2</f>
        <v>27220</v>
      </c>
      <c r="AU43" s="160">
        <f>TripMode_inputCBD!W40*Index!$B$2</f>
        <v>3365</v>
      </c>
      <c r="AV43" s="294">
        <f>TripMode_inputCBD!X40*Index!$B$2</f>
        <v>0</v>
      </c>
      <c r="AW43" s="294">
        <f>TripMode_inputCBD!Y40*Index!$B$2</f>
        <v>0</v>
      </c>
      <c r="AX43" s="160">
        <f>TripMode_inputCBD!AA40*Index!$B$2</f>
        <v>1205</v>
      </c>
      <c r="AY43" s="160">
        <f>TripMode_inputCBD!AB40*Index!$B$2</f>
        <v>0</v>
      </c>
      <c r="AZ43" s="160">
        <f>TripMode_inputCBD!AC40*Index!$B$2</f>
        <v>0</v>
      </c>
      <c r="BA43" s="160">
        <f>TripMode_inputCBD!AD40*Index!$B$2</f>
        <v>0</v>
      </c>
      <c r="BB43" s="294">
        <f>TripMode_inputCBD!AE40*Index!$B$2</f>
        <v>0</v>
      </c>
      <c r="BC43" s="162">
        <f t="shared" si="56"/>
        <v>31790</v>
      </c>
      <c r="BE43" s="107" t="s">
        <v>577</v>
      </c>
      <c r="BF43" s="166">
        <f>IF(Z$52+AA$52&gt;0,SUM(Z43:AA44)/(Z$52+AA$52),"")</f>
        <v>0</v>
      </c>
      <c r="BG43" s="166"/>
      <c r="BH43" s="166">
        <f>IF(AB$52+AC$52&gt;0,SUM(AB43:AC44)/(AB$52+AC$52),"")</f>
        <v>0</v>
      </c>
      <c r="BI43" s="166"/>
      <c r="BJ43" s="166">
        <f>IF(AD$52+AE$52&gt;0,SUM(AD43:AE44)/(AD$52+AE$52),"")</f>
        <v>0.83030109409354935</v>
      </c>
      <c r="BK43" s="166"/>
      <c r="BL43" s="166">
        <f t="shared" ref="BL43:BS43" si="68">IF(AF$52&gt;0,(AF43+AF44)/AF$52,"")</f>
        <v>0</v>
      </c>
      <c r="BM43" s="166" t="str">
        <f t="shared" si="68"/>
        <v/>
      </c>
      <c r="BN43" s="166">
        <f t="shared" si="68"/>
        <v>2.6224999142719089E-2</v>
      </c>
      <c r="BO43" s="166">
        <f t="shared" si="68"/>
        <v>0</v>
      </c>
      <c r="BP43" s="166">
        <f t="shared" si="68"/>
        <v>0</v>
      </c>
      <c r="BQ43" s="166">
        <f t="shared" si="68"/>
        <v>0</v>
      </c>
      <c r="BR43" s="166">
        <f t="shared" si="68"/>
        <v>0</v>
      </c>
      <c r="BS43" s="166">
        <f t="shared" si="68"/>
        <v>0.40720053733489681</v>
      </c>
      <c r="BU43" s="107" t="s">
        <v>577</v>
      </c>
      <c r="BV43" s="166">
        <f>IF(AP$52+AQ$52&gt;0,SUM(AP43:AQ44)/(AP$52+AQ$52),"")</f>
        <v>0</v>
      </c>
      <c r="BW43" s="166"/>
      <c r="BX43" s="166">
        <f>IF(AR$52+AS$52&gt;0,SUM(AR43:AS44)/(AR$52+AS$52),"")</f>
        <v>0</v>
      </c>
      <c r="BY43" s="166"/>
      <c r="BZ43" s="166">
        <f>IF(AT$52+AU$52&gt;0,SUM(AT43:AU44)/(AT$52+AU$52),"")</f>
        <v>0.69905135754007197</v>
      </c>
      <c r="CA43" s="166"/>
      <c r="CB43" s="166">
        <f t="shared" ref="CB43:CI43" si="69">IF(AV$52&gt;0,(AV43+AV44)/AV$52,"")</f>
        <v>0</v>
      </c>
      <c r="CC43" s="166">
        <f t="shared" si="69"/>
        <v>0</v>
      </c>
      <c r="CD43" s="166">
        <f t="shared" si="69"/>
        <v>3.623080363799016E-2</v>
      </c>
      <c r="CE43" s="166">
        <f t="shared" si="69"/>
        <v>0</v>
      </c>
      <c r="CF43" s="166">
        <f t="shared" si="69"/>
        <v>0</v>
      </c>
      <c r="CG43" s="166">
        <f t="shared" si="69"/>
        <v>0</v>
      </c>
      <c r="CH43" s="166">
        <f t="shared" si="69"/>
        <v>0</v>
      </c>
      <c r="CI43" s="166">
        <f t="shared" si="69"/>
        <v>0.28664972213845691</v>
      </c>
      <c r="CK43" s="107" t="s">
        <v>390</v>
      </c>
      <c r="CL43" s="166"/>
      <c r="CM43" s="166"/>
      <c r="CN43" s="166"/>
      <c r="CO43" s="166"/>
      <c r="CP43" s="166"/>
      <c r="CQ43" s="166"/>
      <c r="CR43" s="166"/>
      <c r="CS43" s="166"/>
      <c r="CT43" s="166"/>
      <c r="CU43" s="166"/>
      <c r="CV43" s="166"/>
      <c r="CW43" s="166"/>
      <c r="CX43" s="166"/>
      <c r="CY43" s="168"/>
      <c r="DA43" s="107" t="s">
        <v>577</v>
      </c>
      <c r="DB43" s="315"/>
      <c r="DC43" s="315"/>
      <c r="DD43" s="315"/>
      <c r="DE43" s="315"/>
      <c r="DF43" s="314">
        <f>IFERROR(IF(BZ43&gt;0,LN(BJ43/BZ43),0),0)</f>
        <v>0.17206418656538555</v>
      </c>
      <c r="DG43" s="314"/>
      <c r="DH43" s="315"/>
      <c r="DI43" s="315"/>
      <c r="DJ43" s="314">
        <f>IFERROR(IF(CD43&gt;0,LN(BN43/CD43),0),0)</f>
        <v>-0.32319656463004121</v>
      </c>
      <c r="DK43" s="315"/>
      <c r="DL43" s="315"/>
      <c r="DM43" s="314">
        <f>IFERROR(IF(CG43&gt;0,LN(BQ43/CG43),0),0)</f>
        <v>0</v>
      </c>
      <c r="DN43" s="315"/>
      <c r="DO43" s="168"/>
      <c r="DQ43" s="107" t="s">
        <v>577</v>
      </c>
      <c r="DR43" s="315"/>
      <c r="DS43" s="315"/>
      <c r="DT43" s="315"/>
      <c r="DU43" s="315"/>
      <c r="DV43" s="314">
        <v>-8.1950573278220751E-2</v>
      </c>
      <c r="DW43" s="314">
        <v>-8.1950573278220751E-2</v>
      </c>
      <c r="DX43" s="315"/>
      <c r="DY43" s="315"/>
      <c r="DZ43" s="314">
        <v>4.0700421885362186</v>
      </c>
      <c r="EA43" s="315"/>
      <c r="EB43" s="315"/>
      <c r="EC43" s="314">
        <v>-3.9037354586395447</v>
      </c>
      <c r="ED43" s="315"/>
      <c r="EE43" s="168"/>
      <c r="EG43" s="107" t="s">
        <v>577</v>
      </c>
      <c r="EH43" s="315"/>
      <c r="EI43" s="315"/>
      <c r="EJ43" s="315"/>
      <c r="EK43" s="315"/>
      <c r="EL43" s="314">
        <f>DV43+(DF43-DF$39)*$EI$1</f>
        <v>9.0113613287164801E-2</v>
      </c>
      <c r="EM43" s="314">
        <f>DV43+(DF43-DF$39)*$EI$1</f>
        <v>9.0113613287164801E-2</v>
      </c>
      <c r="EN43" s="315"/>
      <c r="EO43" s="315"/>
      <c r="EP43" s="314">
        <f>DZ43+(DJ43-DJ$47)*$EI$1</f>
        <v>3.6609915167329725</v>
      </c>
      <c r="EQ43" s="315"/>
      <c r="ER43" s="315"/>
      <c r="ES43" s="314">
        <f>EC43+(DM43-DM$50)*$EI$1</f>
        <v>-3.4676333810694904</v>
      </c>
      <c r="ET43" s="315"/>
      <c r="EU43" s="168"/>
      <c r="EW43" s="164" t="s">
        <v>390</v>
      </c>
      <c r="EX43" s="316">
        <f t="shared" si="65"/>
        <v>0</v>
      </c>
      <c r="EY43" s="316">
        <f t="shared" si="61"/>
        <v>0</v>
      </c>
      <c r="EZ43" s="316">
        <f t="shared" si="61"/>
        <v>-0.30975851209694893</v>
      </c>
      <c r="FA43" s="316">
        <f t="shared" si="61"/>
        <v>-0.30975851209694893</v>
      </c>
      <c r="FB43" s="316">
        <f t="shared" si="61"/>
        <v>9.0113613287164801E-2</v>
      </c>
      <c r="FC43" s="316">
        <f t="shared" si="61"/>
        <v>9.0113613287164801E-2</v>
      </c>
      <c r="FD43" s="316">
        <f t="shared" si="61"/>
        <v>-1.2568149077655808</v>
      </c>
      <c r="FE43" s="316">
        <f t="shared" si="61"/>
        <v>0</v>
      </c>
      <c r="FF43" s="316"/>
      <c r="FG43" s="316">
        <f t="shared" si="61"/>
        <v>0</v>
      </c>
      <c r="FH43" s="316">
        <f t="shared" si="61"/>
        <v>0</v>
      </c>
      <c r="FI43" s="316">
        <f t="shared" si="61"/>
        <v>0</v>
      </c>
      <c r="FJ43" s="316">
        <f t="shared" si="61"/>
        <v>0</v>
      </c>
      <c r="FK43" s="316">
        <f t="shared" si="61"/>
        <v>0</v>
      </c>
      <c r="FL43" s="168"/>
    </row>
    <row r="44" spans="2:168" x14ac:dyDescent="0.25">
      <c r="B44" s="107" t="s">
        <v>391</v>
      </c>
      <c r="C44" s="294"/>
      <c r="D44" s="294"/>
      <c r="E44" s="294"/>
      <c r="F44" s="294"/>
      <c r="G44" s="160">
        <f>TripMode_inputCBD!F41</f>
        <v>0</v>
      </c>
      <c r="H44" s="160">
        <f>TripMode_inputCBD!G41</f>
        <v>0</v>
      </c>
      <c r="I44" s="294"/>
      <c r="J44" s="294"/>
      <c r="K44" s="160">
        <f>TripMode_inputCBD!J41+TripMode_inputCBD!K41</f>
        <v>0</v>
      </c>
      <c r="L44" s="294"/>
      <c r="M44" s="294"/>
      <c r="N44" s="160">
        <f>TripMode_inputCBD!N41</f>
        <v>0</v>
      </c>
      <c r="O44" s="294"/>
      <c r="P44" s="162">
        <f t="shared" si="53"/>
        <v>0</v>
      </c>
      <c r="R44">
        <f t="shared" si="62"/>
        <v>0</v>
      </c>
      <c r="S44">
        <f t="shared" si="63"/>
        <v>0</v>
      </c>
      <c r="T44">
        <f t="shared" si="64"/>
        <v>0</v>
      </c>
      <c r="Y44" s="107" t="s">
        <v>391</v>
      </c>
      <c r="Z44" s="294"/>
      <c r="AA44" s="294"/>
      <c r="AB44" s="294"/>
      <c r="AC44" s="294"/>
      <c r="AD44" s="160">
        <f t="shared" si="54"/>
        <v>0</v>
      </c>
      <c r="AE44" s="160">
        <f t="shared" si="54"/>
        <v>0</v>
      </c>
      <c r="AF44" s="294"/>
      <c r="AG44" s="294"/>
      <c r="AH44" s="160">
        <f>AH47*R44</f>
        <v>0</v>
      </c>
      <c r="AI44" s="294"/>
      <c r="AJ44" s="294"/>
      <c r="AK44" s="160">
        <f>+N44</f>
        <v>0</v>
      </c>
      <c r="AL44" s="294"/>
      <c r="AM44" s="162">
        <f t="shared" si="55"/>
        <v>0</v>
      </c>
      <c r="AO44" s="107" t="s">
        <v>391</v>
      </c>
      <c r="AP44" s="294">
        <f>TripMode_inputCBD!R41*Index!$B$2</f>
        <v>0</v>
      </c>
      <c r="AQ44" s="294">
        <f>TripMode_inputCBD!S41*Index!$B$2</f>
        <v>0</v>
      </c>
      <c r="AR44" s="294">
        <f>TripMode_inputCBD!T41*Index!$B$2</f>
        <v>0</v>
      </c>
      <c r="AS44" s="294">
        <f>TripMode_inputCBD!U41*Index!$B$2</f>
        <v>0</v>
      </c>
      <c r="AT44" s="160">
        <f>TripMode_inputCBD!V41*Index!$B$2</f>
        <v>370</v>
      </c>
      <c r="AU44" s="160">
        <f>TripMode_inputCBD!W41*Index!$B$2</f>
        <v>1100</v>
      </c>
      <c r="AV44" s="294">
        <f>TripMode_inputCBD!X41*Index!$B$2</f>
        <v>0</v>
      </c>
      <c r="AW44" s="294">
        <f>TripMode_inputCBD!Y41*Index!$B$2</f>
        <v>0</v>
      </c>
      <c r="AX44" s="160">
        <f>TripMode_inputCBD!AA41*Index!$B$2</f>
        <v>10</v>
      </c>
      <c r="AY44" s="160">
        <f>TripMode_inputCBD!AB41*Index!$B$2</f>
        <v>0</v>
      </c>
      <c r="AZ44" s="160">
        <f>TripMode_inputCBD!AC41*Index!$B$2</f>
        <v>0</v>
      </c>
      <c r="BA44" s="160">
        <f>TripMode_inputCBD!AD41*Index!$B$2</f>
        <v>0</v>
      </c>
      <c r="BB44" s="294">
        <f>TripMode_inputCBD!AE41*Index!$B$2</f>
        <v>0</v>
      </c>
      <c r="BC44" s="162">
        <f t="shared" si="56"/>
        <v>1480</v>
      </c>
      <c r="BE44" s="107"/>
      <c r="BF44" s="166"/>
      <c r="BG44" s="166"/>
      <c r="BH44" s="166"/>
      <c r="BI44" s="166"/>
      <c r="BJ44" s="166"/>
      <c r="BK44" s="166"/>
      <c r="BL44" s="166"/>
      <c r="BM44" s="166"/>
      <c r="BN44" s="166"/>
      <c r="BO44" s="166"/>
      <c r="BP44" s="166"/>
      <c r="BQ44" s="166"/>
      <c r="BR44" s="166"/>
      <c r="BS44" s="166"/>
      <c r="BU44" s="107"/>
      <c r="BV44" s="166"/>
      <c r="BW44" s="166"/>
      <c r="BX44" s="166"/>
      <c r="BY44" s="166"/>
      <c r="BZ44" s="166"/>
      <c r="CA44" s="166"/>
      <c r="CB44" s="166"/>
      <c r="CC44" s="166"/>
      <c r="CD44" s="166"/>
      <c r="CE44" s="166"/>
      <c r="CF44" s="166"/>
      <c r="CG44" s="166"/>
      <c r="CH44" s="166"/>
      <c r="CI44" s="166"/>
      <c r="CK44" s="107" t="s">
        <v>391</v>
      </c>
      <c r="CL44" s="166"/>
      <c r="CM44" s="166"/>
      <c r="CN44" s="166"/>
      <c r="CO44" s="166"/>
      <c r="CP44" s="166"/>
      <c r="CQ44" s="166"/>
      <c r="CR44" s="166"/>
      <c r="CS44" s="166"/>
      <c r="CT44" s="166"/>
      <c r="CU44" s="166"/>
      <c r="CV44" s="166"/>
      <c r="CW44" s="166"/>
      <c r="CX44" s="166"/>
      <c r="CY44" s="168"/>
      <c r="DA44" s="107"/>
      <c r="DB44" s="315"/>
      <c r="DC44" s="315"/>
      <c r="DD44" s="315"/>
      <c r="DE44" s="315"/>
      <c r="DF44" s="314"/>
      <c r="DG44" s="314"/>
      <c r="DH44" s="315"/>
      <c r="DI44" s="315"/>
      <c r="DJ44" s="314"/>
      <c r="DK44" s="315"/>
      <c r="DL44" s="315"/>
      <c r="DM44" s="314"/>
      <c r="DN44" s="315"/>
      <c r="DO44" s="168"/>
      <c r="DQ44" s="107"/>
      <c r="DR44" s="315"/>
      <c r="DS44" s="315"/>
      <c r="DT44" s="315"/>
      <c r="DU44" s="315"/>
      <c r="DV44" s="314">
        <v>-8.1950573278220751E-2</v>
      </c>
      <c r="DW44" s="314">
        <v>-8.1950573278220751E-2</v>
      </c>
      <c r="DX44" s="315"/>
      <c r="DY44" s="315"/>
      <c r="DZ44" s="314">
        <v>4.0700421885362186</v>
      </c>
      <c r="EA44" s="315"/>
      <c r="EB44" s="315"/>
      <c r="EC44" s="314">
        <v>-3.9037354586395447</v>
      </c>
      <c r="ED44" s="315"/>
      <c r="EE44" s="168"/>
      <c r="EG44" s="107"/>
      <c r="EH44" s="315"/>
      <c r="EI44" s="315"/>
      <c r="EJ44" s="315"/>
      <c r="EK44" s="315"/>
      <c r="EL44" s="314">
        <f>DV43+(DF43-DF$39)*$EI$1</f>
        <v>9.0113613287164801E-2</v>
      </c>
      <c r="EM44" s="314">
        <f>DV43+(DF43-DF$39)*$EI$1</f>
        <v>9.0113613287164801E-2</v>
      </c>
      <c r="EN44" s="315"/>
      <c r="EO44" s="315"/>
      <c r="EP44" s="314">
        <f>DZ43+(DJ43-DJ$47)*$EI$1</f>
        <v>3.6609915167329725</v>
      </c>
      <c r="EQ44" s="315"/>
      <c r="ER44" s="315"/>
      <c r="ES44" s="314">
        <f>EC43+(DM43-DM$50)*$EI$1</f>
        <v>-3.4676333810694904</v>
      </c>
      <c r="ET44" s="315"/>
      <c r="EU44" s="168"/>
      <c r="EW44" s="164" t="s">
        <v>391</v>
      </c>
      <c r="EX44" s="316">
        <f t="shared" si="65"/>
        <v>0</v>
      </c>
      <c r="EY44" s="316">
        <f t="shared" si="61"/>
        <v>0</v>
      </c>
      <c r="EZ44" s="316">
        <f t="shared" si="61"/>
        <v>-0.30975851209694893</v>
      </c>
      <c r="FA44" s="316">
        <f t="shared" si="61"/>
        <v>-0.30975851209694893</v>
      </c>
      <c r="FB44" s="316">
        <f t="shared" si="61"/>
        <v>9.0113613287164801E-2</v>
      </c>
      <c r="FC44" s="316">
        <f t="shared" si="61"/>
        <v>9.0113613287164801E-2</v>
      </c>
      <c r="FD44" s="316">
        <f t="shared" si="61"/>
        <v>-1.2568149077655808</v>
      </c>
      <c r="FE44" s="316">
        <f t="shared" si="61"/>
        <v>0</v>
      </c>
      <c r="FF44" s="316"/>
      <c r="FG44" s="316">
        <f t="shared" si="61"/>
        <v>0</v>
      </c>
      <c r="FH44" s="316">
        <f t="shared" si="61"/>
        <v>0</v>
      </c>
      <c r="FI44" s="316">
        <f t="shared" si="61"/>
        <v>0</v>
      </c>
      <c r="FJ44" s="316">
        <f t="shared" si="61"/>
        <v>0</v>
      </c>
      <c r="FK44" s="316">
        <f t="shared" si="61"/>
        <v>0</v>
      </c>
      <c r="FL44" s="168"/>
    </row>
    <row r="45" spans="2:168" x14ac:dyDescent="0.25">
      <c r="B45" s="107" t="s">
        <v>392</v>
      </c>
      <c r="C45" s="294"/>
      <c r="D45" s="294"/>
      <c r="E45" s="160">
        <f>TripMode_inputCBD!D42</f>
        <v>3703.4435400000002</v>
      </c>
      <c r="F45" s="160">
        <f>TripMode_inputCBD!E42</f>
        <v>0</v>
      </c>
      <c r="G45" s="160">
        <f>TripMode_inputCBD!F42</f>
        <v>6081.2255800000003</v>
      </c>
      <c r="H45" s="160">
        <f>TripMode_inputCBD!G42</f>
        <v>0</v>
      </c>
      <c r="I45" s="160">
        <f>TripMode_inputCBD!H42</f>
        <v>36538.833409999999</v>
      </c>
      <c r="J45" s="294"/>
      <c r="K45" s="160">
        <f>TripMode_inputCBD!J42+TripMode_inputCBD!K42</f>
        <v>956.22627999999997</v>
      </c>
      <c r="L45" s="294"/>
      <c r="M45" s="294"/>
      <c r="N45" s="160">
        <f>TripMode_inputCBD!N42</f>
        <v>0</v>
      </c>
      <c r="O45" s="294"/>
      <c r="P45" s="162">
        <f t="shared" si="53"/>
        <v>47279.728810000001</v>
      </c>
      <c r="R45">
        <f t="shared" si="62"/>
        <v>4.0582814294485924E-2</v>
      </c>
      <c r="S45">
        <f t="shared" si="63"/>
        <v>0</v>
      </c>
      <c r="T45">
        <f t="shared" si="64"/>
        <v>0</v>
      </c>
      <c r="Y45" s="107" t="s">
        <v>392</v>
      </c>
      <c r="Z45" s="294"/>
      <c r="AA45" s="294"/>
      <c r="AB45" s="160">
        <f>+E45</f>
        <v>3703.4435400000002</v>
      </c>
      <c r="AC45" s="160">
        <f>+F45</f>
        <v>0</v>
      </c>
      <c r="AD45" s="160">
        <f t="shared" si="54"/>
        <v>6081.2255800000003</v>
      </c>
      <c r="AE45" s="160">
        <f t="shared" si="54"/>
        <v>0</v>
      </c>
      <c r="AF45" s="160">
        <f t="shared" si="54"/>
        <v>36538.833409999999</v>
      </c>
      <c r="AG45" s="294"/>
      <c r="AH45" s="160">
        <f>AH47*R45</f>
        <v>916.72479831310193</v>
      </c>
      <c r="AI45" s="294"/>
      <c r="AJ45" s="294"/>
      <c r="AK45" s="160">
        <f>+N45</f>
        <v>0</v>
      </c>
      <c r="AL45" s="294"/>
      <c r="AM45" s="162">
        <f t="shared" si="55"/>
        <v>47240.2273283131</v>
      </c>
      <c r="AO45" s="107" t="s">
        <v>392</v>
      </c>
      <c r="AP45" s="294">
        <f>TripMode_inputCBD!R42*Index!$B$2</f>
        <v>0</v>
      </c>
      <c r="AQ45" s="294">
        <f>TripMode_inputCBD!S42*Index!$B$2</f>
        <v>0</v>
      </c>
      <c r="AR45" s="160">
        <f>TripMode_inputCBD!T42*Index!$B$2</f>
        <v>1370</v>
      </c>
      <c r="AS45" s="160">
        <f>TripMode_inputCBD!U42*Index!$B$2</f>
        <v>5</v>
      </c>
      <c r="AT45" s="160">
        <f>TripMode_inputCBD!V42*Index!$B$2</f>
        <v>3300</v>
      </c>
      <c r="AU45" s="160">
        <f>TripMode_inputCBD!W42*Index!$B$2</f>
        <v>175</v>
      </c>
      <c r="AV45" s="160">
        <f>TripMode_inputCBD!X42*Index!$B$2</f>
        <v>16280</v>
      </c>
      <c r="AW45" s="294">
        <f>TripMode_inputCBD!Y42*Index!$B$2</f>
        <v>0</v>
      </c>
      <c r="AX45" s="160">
        <f>TripMode_inputCBD!AA42*Index!$B$2</f>
        <v>4145</v>
      </c>
      <c r="AY45" s="160">
        <f>TripMode_inputCBD!AB42*Index!$B$2</f>
        <v>0</v>
      </c>
      <c r="AZ45" s="160">
        <f>TripMode_inputCBD!AC42*Index!$B$2</f>
        <v>0</v>
      </c>
      <c r="BA45" s="160">
        <f>TripMode_inputCBD!AD42*Index!$B$2</f>
        <v>30</v>
      </c>
      <c r="BB45" s="294">
        <f>TripMode_inputCBD!AE42*Index!$B$2</f>
        <v>0</v>
      </c>
      <c r="BC45" s="162">
        <f t="shared" si="56"/>
        <v>25305</v>
      </c>
      <c r="BE45" s="107" t="s">
        <v>392</v>
      </c>
      <c r="BF45" s="166">
        <f t="shared" ref="BF45:BS52" si="70">IF(Z$52&gt;0,Z45/Z$52,"")</f>
        <v>0</v>
      </c>
      <c r="BG45" s="166" t="str">
        <f t="shared" si="70"/>
        <v/>
      </c>
      <c r="BH45" s="166">
        <f t="shared" si="70"/>
        <v>0.16534796547191999</v>
      </c>
      <c r="BI45" s="166" t="str">
        <f t="shared" si="70"/>
        <v/>
      </c>
      <c r="BJ45" s="166">
        <f t="shared" si="70"/>
        <v>6.524847702702273E-2</v>
      </c>
      <c r="BK45" s="166" t="str">
        <f t="shared" si="70"/>
        <v/>
      </c>
      <c r="BL45" s="166">
        <f t="shared" si="70"/>
        <v>1</v>
      </c>
      <c r="BM45" s="166" t="str">
        <f t="shared" si="70"/>
        <v/>
      </c>
      <c r="BN45" s="166">
        <f t="shared" si="70"/>
        <v>3.5287096421163247E-2</v>
      </c>
      <c r="BO45" s="166">
        <f t="shared" si="70"/>
        <v>0</v>
      </c>
      <c r="BP45" s="166">
        <f t="shared" si="70"/>
        <v>0</v>
      </c>
      <c r="BQ45" s="166">
        <f t="shared" si="70"/>
        <v>0</v>
      </c>
      <c r="BR45" s="166">
        <f t="shared" si="70"/>
        <v>0</v>
      </c>
      <c r="BS45" s="166">
        <f t="shared" si="70"/>
        <v>0.24640933813649785</v>
      </c>
      <c r="BU45" s="107" t="s">
        <v>392</v>
      </c>
      <c r="BV45" s="166">
        <f t="shared" ref="BV45:CI52" si="71">IF(AP$52&gt;0,AP45/AP$52,"")</f>
        <v>0</v>
      </c>
      <c r="BW45" s="166">
        <f t="shared" si="71"/>
        <v>0</v>
      </c>
      <c r="BX45" s="166">
        <f t="shared" si="71"/>
        <v>0.16861538461538461</v>
      </c>
      <c r="BY45" s="166">
        <f t="shared" si="71"/>
        <v>1.2987012987012988E-2</v>
      </c>
      <c r="BZ45" s="166">
        <f t="shared" si="71"/>
        <v>8.3008426613004657E-2</v>
      </c>
      <c r="CA45" s="166">
        <f t="shared" si="71"/>
        <v>2.8688524590163935E-2</v>
      </c>
      <c r="CB45" s="166">
        <f t="shared" si="71"/>
        <v>1</v>
      </c>
      <c r="CC45" s="166">
        <f t="shared" si="71"/>
        <v>0</v>
      </c>
      <c r="CD45" s="166">
        <f t="shared" si="71"/>
        <v>0.1236022066497689</v>
      </c>
      <c r="CE45" s="166">
        <f t="shared" si="71"/>
        <v>0</v>
      </c>
      <c r="CF45" s="166">
        <f t="shared" si="71"/>
        <v>0</v>
      </c>
      <c r="CG45" s="166">
        <f t="shared" si="71"/>
        <v>0.04</v>
      </c>
      <c r="CH45" s="166">
        <f t="shared" si="71"/>
        <v>0</v>
      </c>
      <c r="CI45" s="168">
        <f t="shared" si="71"/>
        <v>0.21802438288889847</v>
      </c>
      <c r="CK45" s="107" t="s">
        <v>392</v>
      </c>
      <c r="CL45" s="166"/>
      <c r="CM45" s="166"/>
      <c r="CN45" s="166"/>
      <c r="CO45" s="166"/>
      <c r="CP45" s="166"/>
      <c r="CQ45" s="166"/>
      <c r="CR45" s="166"/>
      <c r="CS45" s="166"/>
      <c r="CT45" s="166"/>
      <c r="CU45" s="166"/>
      <c r="CV45" s="166"/>
      <c r="CW45" s="166"/>
      <c r="CX45" s="166"/>
      <c r="CY45" s="168"/>
      <c r="DA45" s="107" t="s">
        <v>392</v>
      </c>
      <c r="DB45" s="315"/>
      <c r="DC45" s="315"/>
      <c r="DD45" s="314">
        <f>IFERROR(IF(BX45&gt;0,LN(BH45/BX45),0),0)</f>
        <v>-1.9568155627293998E-2</v>
      </c>
      <c r="DE45" s="314">
        <f>IFERROR(IF(BY45&gt;0,LN(BI45/BY45),0),0)</f>
        <v>0</v>
      </c>
      <c r="DF45" s="314">
        <f>IFERROR(IF(BZ45&gt;0,LN(BJ45/BZ45),0),0)</f>
        <v>-0.24073942275274482</v>
      </c>
      <c r="DG45" s="314">
        <f>IFERROR(IF(CA45&gt;0,LN(BK45/CA45),0),0)</f>
        <v>0</v>
      </c>
      <c r="DH45" s="314">
        <f>IFERROR(IF(CB45&gt;0,LN(BL45/CB45),0),0)</f>
        <v>0</v>
      </c>
      <c r="DI45" s="315"/>
      <c r="DJ45" s="314">
        <f t="shared" ref="DJ45:DJ50" si="72">IFERROR(IF(CD45&gt;0,LN(BN45/CD45),0),0)</f>
        <v>-1.2535510413816113</v>
      </c>
      <c r="DK45" s="315"/>
      <c r="DL45" s="315"/>
      <c r="DM45" s="314">
        <f>IFERROR(IF(CG45&gt;0,LN(BQ45/CG45),0),0)</f>
        <v>0</v>
      </c>
      <c r="DN45" s="315"/>
      <c r="DO45" s="168"/>
      <c r="DQ45" s="107" t="s">
        <v>392</v>
      </c>
      <c r="DR45" s="315"/>
      <c r="DS45" s="315"/>
      <c r="DT45" s="314">
        <v>2.1088843334358396</v>
      </c>
      <c r="DU45" s="314">
        <v>2.1088843334358396</v>
      </c>
      <c r="DV45" s="314">
        <v>-1.016075485012836</v>
      </c>
      <c r="DW45" s="314">
        <v>-1.016075485012836</v>
      </c>
      <c r="DX45" s="314">
        <v>0</v>
      </c>
      <c r="DY45" s="315"/>
      <c r="DZ45" s="314">
        <v>-3.4964011925749903</v>
      </c>
      <c r="EA45" s="315"/>
      <c r="EB45" s="315"/>
      <c r="EC45" s="314">
        <v>-3.9037354586395447</v>
      </c>
      <c r="ED45" s="315"/>
      <c r="EE45" s="168"/>
      <c r="EG45" s="107" t="s">
        <v>392</v>
      </c>
      <c r="EH45" s="315"/>
      <c r="EI45" s="315"/>
      <c r="EJ45" s="314">
        <f>DT45+(DD45-DD$39)*$EI$1</f>
        <v>2.5025027881800783</v>
      </c>
      <c r="EK45" s="314">
        <f>DT45+(DD45-DD$39)*$EI$1</f>
        <v>2.5025027881800783</v>
      </c>
      <c r="EL45" s="314">
        <f>DV45+(DF45-DF$39)*$EI$1</f>
        <v>-1.2568149077655808</v>
      </c>
      <c r="EM45" s="314">
        <f>DV45+(DF45-DF$39)*$EI$1</f>
        <v>-1.2568149077655808</v>
      </c>
      <c r="EN45" s="314">
        <v>0</v>
      </c>
      <c r="EO45" s="315"/>
      <c r="EP45" s="314">
        <f>DZ45+(DJ45-DJ$47)*$EI$1</f>
        <v>-4.8358063411298069</v>
      </c>
      <c r="EQ45" s="315"/>
      <c r="ER45" s="315"/>
      <c r="ES45" s="314">
        <f>EC45+(DM45-DM$50)*$EI$1</f>
        <v>-3.4676333810694904</v>
      </c>
      <c r="ET45" s="315"/>
      <c r="EU45" s="168"/>
      <c r="EW45" s="164" t="s">
        <v>392</v>
      </c>
      <c r="EX45" s="316">
        <f t="shared" si="65"/>
        <v>0</v>
      </c>
      <c r="EY45" s="316">
        <f t="shared" si="61"/>
        <v>0</v>
      </c>
      <c r="EZ45" s="316">
        <f t="shared" si="61"/>
        <v>0</v>
      </c>
      <c r="FA45" s="316">
        <f t="shared" si="61"/>
        <v>0</v>
      </c>
      <c r="FB45" s="316">
        <f t="shared" si="61"/>
        <v>0</v>
      </c>
      <c r="FC45" s="316">
        <f t="shared" si="61"/>
        <v>0</v>
      </c>
      <c r="FD45" s="316">
        <f t="shared" si="61"/>
        <v>0</v>
      </c>
      <c r="FE45" s="316">
        <f t="shared" si="61"/>
        <v>0</v>
      </c>
      <c r="FF45" s="316"/>
      <c r="FG45" s="316">
        <f t="shared" si="61"/>
        <v>0</v>
      </c>
      <c r="FH45" s="316">
        <f t="shared" si="61"/>
        <v>0</v>
      </c>
      <c r="FI45" s="316">
        <f t="shared" si="61"/>
        <v>0</v>
      </c>
      <c r="FJ45" s="316">
        <f t="shared" si="61"/>
        <v>0</v>
      </c>
      <c r="FK45" s="316">
        <f t="shared" si="61"/>
        <v>0</v>
      </c>
      <c r="FL45" s="168"/>
    </row>
    <row r="46" spans="2:168" x14ac:dyDescent="0.25">
      <c r="B46" s="107" t="s">
        <v>393</v>
      </c>
      <c r="C46" s="294"/>
      <c r="D46" s="294"/>
      <c r="E46" s="294"/>
      <c r="F46" s="294"/>
      <c r="G46" s="294"/>
      <c r="H46" s="294"/>
      <c r="I46" s="294"/>
      <c r="J46" s="160">
        <f>TripMode_inputCBD!I43</f>
        <v>0</v>
      </c>
      <c r="K46" s="294"/>
      <c r="L46" s="294"/>
      <c r="M46" s="294"/>
      <c r="N46" s="294"/>
      <c r="O46" s="294"/>
      <c r="P46" s="162">
        <f t="shared" si="53"/>
        <v>0</v>
      </c>
      <c r="R46">
        <f t="shared" si="62"/>
        <v>0</v>
      </c>
      <c r="S46">
        <f t="shared" si="63"/>
        <v>0</v>
      </c>
      <c r="T46">
        <f t="shared" si="64"/>
        <v>0</v>
      </c>
      <c r="Y46" s="107" t="s">
        <v>393</v>
      </c>
      <c r="Z46" s="294"/>
      <c r="AA46" s="294"/>
      <c r="AB46" s="294"/>
      <c r="AC46" s="294"/>
      <c r="AD46" s="294"/>
      <c r="AE46" s="294"/>
      <c r="AF46" s="294"/>
      <c r="AG46" s="160">
        <f>+J46</f>
        <v>0</v>
      </c>
      <c r="AH46" s="294"/>
      <c r="AI46" s="294"/>
      <c r="AJ46" s="294"/>
      <c r="AK46" s="294"/>
      <c r="AL46" s="294"/>
      <c r="AM46" s="162">
        <f t="shared" si="55"/>
        <v>0</v>
      </c>
      <c r="AO46" s="107" t="s">
        <v>393</v>
      </c>
      <c r="AP46" s="294">
        <f>TripMode_inputCBD!R43*Index!$B$2</f>
        <v>0</v>
      </c>
      <c r="AQ46" s="294">
        <f>TripMode_inputCBD!S43*Index!$B$2</f>
        <v>0</v>
      </c>
      <c r="AR46" s="294">
        <f>TripMode_inputCBD!T43*Index!$B$2</f>
        <v>0</v>
      </c>
      <c r="AS46" s="294">
        <f>TripMode_inputCBD!U43*Index!$B$2</f>
        <v>0</v>
      </c>
      <c r="AT46" s="294">
        <f>TripMode_inputCBD!V43*Index!$B$2</f>
        <v>0</v>
      </c>
      <c r="AU46" s="294">
        <f>TripMode_inputCBD!W43*Index!$B$2</f>
        <v>0</v>
      </c>
      <c r="AV46" s="294">
        <f>TripMode_inputCBD!X43*Index!$B$2</f>
        <v>0</v>
      </c>
      <c r="AW46" s="160">
        <f>TripMode_inputCBD!Y43*Index!$B$2</f>
        <v>780</v>
      </c>
      <c r="AX46" s="294">
        <f>TripMode_inputCBD!AA43*Index!$B$2</f>
        <v>0</v>
      </c>
      <c r="AY46" s="294">
        <f>TripMode_inputCBD!AB43*Index!$B$2</f>
        <v>0</v>
      </c>
      <c r="AZ46" s="294">
        <f>TripMode_inputCBD!AC43*Index!$B$2</f>
        <v>0</v>
      </c>
      <c r="BA46" s="294">
        <f>TripMode_inputCBD!AD43*Index!$B$2</f>
        <v>0</v>
      </c>
      <c r="BB46" s="294">
        <f>TripMode_inputCBD!AE43*Index!$B$2</f>
        <v>0</v>
      </c>
      <c r="BC46" s="162">
        <f t="shared" si="56"/>
        <v>780</v>
      </c>
      <c r="BE46" s="107" t="s">
        <v>393</v>
      </c>
      <c r="BF46" s="166">
        <f t="shared" si="70"/>
        <v>0</v>
      </c>
      <c r="BG46" s="166" t="str">
        <f t="shared" si="70"/>
        <v/>
      </c>
      <c r="BH46" s="166">
        <f t="shared" si="70"/>
        <v>0</v>
      </c>
      <c r="BI46" s="166" t="str">
        <f t="shared" si="70"/>
        <v/>
      </c>
      <c r="BJ46" s="166">
        <f t="shared" si="70"/>
        <v>0</v>
      </c>
      <c r="BK46" s="166" t="str">
        <f t="shared" si="70"/>
        <v/>
      </c>
      <c r="BL46" s="166">
        <f t="shared" si="70"/>
        <v>0</v>
      </c>
      <c r="BM46" s="166" t="str">
        <f t="shared" si="70"/>
        <v/>
      </c>
      <c r="BN46" s="166">
        <f t="shared" si="70"/>
        <v>0</v>
      </c>
      <c r="BO46" s="166">
        <f t="shared" si="70"/>
        <v>0</v>
      </c>
      <c r="BP46" s="166">
        <f t="shared" si="70"/>
        <v>0</v>
      </c>
      <c r="BQ46" s="166">
        <f t="shared" si="70"/>
        <v>0</v>
      </c>
      <c r="BR46" s="166">
        <f t="shared" si="70"/>
        <v>0</v>
      </c>
      <c r="BS46" s="166">
        <f t="shared" si="70"/>
        <v>0</v>
      </c>
      <c r="BU46" s="107" t="s">
        <v>393</v>
      </c>
      <c r="BV46" s="166">
        <f t="shared" si="71"/>
        <v>0</v>
      </c>
      <c r="BW46" s="166">
        <f t="shared" si="71"/>
        <v>0</v>
      </c>
      <c r="BX46" s="166">
        <f t="shared" si="71"/>
        <v>0</v>
      </c>
      <c r="BY46" s="166">
        <f t="shared" si="71"/>
        <v>0</v>
      </c>
      <c r="BZ46" s="166">
        <f t="shared" si="71"/>
        <v>0</v>
      </c>
      <c r="CA46" s="166">
        <f t="shared" si="71"/>
        <v>0</v>
      </c>
      <c r="CB46" s="166">
        <f t="shared" si="71"/>
        <v>0</v>
      </c>
      <c r="CC46" s="166">
        <f t="shared" si="71"/>
        <v>1</v>
      </c>
      <c r="CD46" s="166">
        <f t="shared" si="71"/>
        <v>0</v>
      </c>
      <c r="CE46" s="166">
        <f t="shared" si="71"/>
        <v>0</v>
      </c>
      <c r="CF46" s="166">
        <f t="shared" si="71"/>
        <v>0</v>
      </c>
      <c r="CG46" s="166">
        <f t="shared" si="71"/>
        <v>0</v>
      </c>
      <c r="CH46" s="166">
        <f t="shared" si="71"/>
        <v>0</v>
      </c>
      <c r="CI46" s="168">
        <f t="shared" si="71"/>
        <v>6.7203722052298284E-3</v>
      </c>
      <c r="CK46" s="107" t="s">
        <v>393</v>
      </c>
      <c r="CL46" s="166"/>
      <c r="CM46" s="166"/>
      <c r="CN46" s="166"/>
      <c r="CO46" s="166"/>
      <c r="CP46" s="166"/>
      <c r="CQ46" s="166"/>
      <c r="CR46" s="166"/>
      <c r="CS46" s="166"/>
      <c r="CT46" s="166"/>
      <c r="CU46" s="166"/>
      <c r="CV46" s="166"/>
      <c r="CW46" s="166"/>
      <c r="CX46" s="166"/>
      <c r="CY46" s="168"/>
      <c r="DA46" s="107" t="s">
        <v>393</v>
      </c>
      <c r="DB46" s="315"/>
      <c r="DC46" s="315"/>
      <c r="DD46" s="315"/>
      <c r="DE46" s="315"/>
      <c r="DF46" s="315"/>
      <c r="DG46" s="315"/>
      <c r="DH46" s="315"/>
      <c r="DI46" s="314">
        <f>IFERROR(IF(CC46&gt;0,LN(BM46/CC46),0),0)</f>
        <v>0</v>
      </c>
      <c r="DJ46" s="315"/>
      <c r="DK46" s="315"/>
      <c r="DL46" s="315"/>
      <c r="DM46" s="315"/>
      <c r="DN46" s="315"/>
      <c r="DO46" s="168"/>
      <c r="DQ46" s="107" t="s">
        <v>393</v>
      </c>
      <c r="DR46" s="315"/>
      <c r="DS46" s="315"/>
      <c r="DT46" s="315"/>
      <c r="DU46" s="315"/>
      <c r="DV46" s="315"/>
      <c r="DW46" s="315"/>
      <c r="DX46" s="315"/>
      <c r="DY46" s="314">
        <v>0</v>
      </c>
      <c r="DZ46" s="315"/>
      <c r="EA46" s="315"/>
      <c r="EB46" s="315"/>
      <c r="EC46" s="315"/>
      <c r="ED46" s="315"/>
      <c r="EE46" s="168"/>
      <c r="EG46" s="107" t="s">
        <v>393</v>
      </c>
      <c r="EH46" s="315"/>
      <c r="EI46" s="315"/>
      <c r="EJ46" s="315"/>
      <c r="EK46" s="315"/>
      <c r="EL46" s="315"/>
      <c r="EM46" s="315"/>
      <c r="EN46" s="315"/>
      <c r="EO46" s="314">
        <v>0</v>
      </c>
      <c r="EP46" s="315"/>
      <c r="EQ46" s="315"/>
      <c r="ER46" s="315"/>
      <c r="ES46" s="315"/>
      <c r="ET46" s="315"/>
      <c r="EU46" s="168"/>
      <c r="EW46" s="164" t="s">
        <v>393</v>
      </c>
      <c r="EX46" s="316">
        <f t="shared" si="65"/>
        <v>0</v>
      </c>
      <c r="EY46" s="316">
        <f t="shared" si="61"/>
        <v>0</v>
      </c>
      <c r="EZ46" s="316">
        <f t="shared" si="61"/>
        <v>0</v>
      </c>
      <c r="FA46" s="316">
        <f t="shared" si="61"/>
        <v>0</v>
      </c>
      <c r="FB46" s="316">
        <f t="shared" si="61"/>
        <v>0</v>
      </c>
      <c r="FC46" s="316">
        <f t="shared" si="61"/>
        <v>0</v>
      </c>
      <c r="FD46" s="316">
        <f t="shared" si="61"/>
        <v>0</v>
      </c>
      <c r="FE46" s="316">
        <f t="shared" si="61"/>
        <v>0</v>
      </c>
      <c r="FF46" s="316"/>
      <c r="FG46" s="316">
        <f t="shared" si="61"/>
        <v>0</v>
      </c>
      <c r="FH46" s="316">
        <f t="shared" si="61"/>
        <v>0</v>
      </c>
      <c r="FI46" s="316">
        <f t="shared" si="61"/>
        <v>0</v>
      </c>
      <c r="FJ46" s="316">
        <f t="shared" si="61"/>
        <v>0</v>
      </c>
      <c r="FK46" s="316">
        <f t="shared" si="61"/>
        <v>0</v>
      </c>
      <c r="FL46" s="168"/>
    </row>
    <row r="47" spans="2:168" x14ac:dyDescent="0.25">
      <c r="B47" s="107" t="s">
        <v>546</v>
      </c>
      <c r="C47" s="294"/>
      <c r="D47" s="294"/>
      <c r="E47" s="294"/>
      <c r="F47" s="294"/>
      <c r="G47" s="294"/>
      <c r="H47" s="294"/>
      <c r="I47" s="294"/>
      <c r="J47" s="294"/>
      <c r="K47" s="160">
        <f>TripMode_inputCBD!J45+TripMode_inputCBD!K45+TripMode_inputCBD!J44+TripMode_inputCBD!K44</f>
        <v>23562.345209999999</v>
      </c>
      <c r="L47" s="294"/>
      <c r="M47" s="294"/>
      <c r="N47" s="294"/>
      <c r="O47" s="294"/>
      <c r="P47" s="162">
        <f t="shared" si="53"/>
        <v>23562.345209999999</v>
      </c>
      <c r="R47">
        <f t="shared" si="62"/>
        <v>1</v>
      </c>
      <c r="S47">
        <f t="shared" si="63"/>
        <v>0</v>
      </c>
      <c r="T47">
        <f t="shared" si="64"/>
        <v>0</v>
      </c>
      <c r="U47" s="127">
        <f>+K47/K$159</f>
        <v>3.8877555753893317E-2</v>
      </c>
      <c r="V47" s="127"/>
      <c r="W47" s="127"/>
      <c r="X47" s="127"/>
      <c r="Y47" s="107" t="s">
        <v>546</v>
      </c>
      <c r="Z47" s="294"/>
      <c r="AA47" s="294"/>
      <c r="AB47" s="294"/>
      <c r="AC47" s="294"/>
      <c r="AD47" s="294"/>
      <c r="AE47" s="294"/>
      <c r="AF47" s="294"/>
      <c r="AG47" s="294"/>
      <c r="AH47" s="160">
        <f>U47*U$159</f>
        <v>22588.990296753749</v>
      </c>
      <c r="AI47" s="294"/>
      <c r="AJ47" s="294"/>
      <c r="AK47" s="294"/>
      <c r="AL47" s="294"/>
      <c r="AM47" s="162">
        <f t="shared" si="55"/>
        <v>22588.990296753749</v>
      </c>
      <c r="AN47" s="127"/>
      <c r="AO47" s="107" t="s">
        <v>395</v>
      </c>
      <c r="AP47" s="294">
        <f>TripMode_inputCBD!R45*Index!$B$2</f>
        <v>0</v>
      </c>
      <c r="AQ47" s="294">
        <f>TripMode_inputCBD!S45*Index!$B$2</f>
        <v>0</v>
      </c>
      <c r="AR47" s="294">
        <f>TripMode_inputCBD!T45*Index!$B$2</f>
        <v>0</v>
      </c>
      <c r="AS47" s="294">
        <f>TripMode_inputCBD!U45*Index!$B$2</f>
        <v>0</v>
      </c>
      <c r="AT47" s="294">
        <f>TripMode_inputCBD!V45*Index!$B$2</f>
        <v>0</v>
      </c>
      <c r="AU47" s="294">
        <f>TripMode_inputCBD!W45*Index!$B$2</f>
        <v>0</v>
      </c>
      <c r="AV47" s="294">
        <f>TripMode_inputCBD!X45*Index!$B$2</f>
        <v>0</v>
      </c>
      <c r="AW47" s="294">
        <f>TripMode_inputCBD!Y45*Index!$B$2</f>
        <v>0</v>
      </c>
      <c r="AX47" s="160">
        <f>TripMode_inputCBD!AA45*Index!$B$2</f>
        <v>26760</v>
      </c>
      <c r="AY47" s="160">
        <f>TripMode_inputCBD!AB45*Index!$B$2</f>
        <v>0</v>
      </c>
      <c r="AZ47" s="160">
        <f>TripMode_inputCBD!AC45*Index!$B$2</f>
        <v>0</v>
      </c>
      <c r="BA47" s="294">
        <f>TripMode_inputCBD!AD45*Index!$B$2</f>
        <v>0</v>
      </c>
      <c r="BB47" s="294">
        <f>TripMode_inputCBD!AE45*Index!$B$2</f>
        <v>0</v>
      </c>
      <c r="BC47" s="162">
        <f t="shared" si="56"/>
        <v>26760</v>
      </c>
      <c r="BE47" s="107" t="s">
        <v>395</v>
      </c>
      <c r="BF47" s="166">
        <f t="shared" si="70"/>
        <v>0</v>
      </c>
      <c r="BG47" s="166" t="str">
        <f t="shared" si="70"/>
        <v/>
      </c>
      <c r="BH47" s="166">
        <f t="shared" si="70"/>
        <v>0</v>
      </c>
      <c r="BI47" s="166" t="str">
        <f t="shared" si="70"/>
        <v/>
      </c>
      <c r="BJ47" s="166">
        <f t="shared" si="70"/>
        <v>0</v>
      </c>
      <c r="BK47" s="166" t="str">
        <f t="shared" si="70"/>
        <v/>
      </c>
      <c r="BL47" s="166">
        <f t="shared" si="70"/>
        <v>0</v>
      </c>
      <c r="BM47" s="166" t="str">
        <f t="shared" si="70"/>
        <v/>
      </c>
      <c r="BN47" s="166">
        <f t="shared" si="70"/>
        <v>0.86950836295150136</v>
      </c>
      <c r="BO47" s="166">
        <f t="shared" si="70"/>
        <v>0</v>
      </c>
      <c r="BP47" s="166">
        <f t="shared" si="70"/>
        <v>0</v>
      </c>
      <c r="BQ47" s="166">
        <f t="shared" si="70"/>
        <v>0</v>
      </c>
      <c r="BR47" s="166">
        <f t="shared" si="70"/>
        <v>0</v>
      </c>
      <c r="BS47" s="166">
        <f t="shared" si="70"/>
        <v>0.11782623545629801</v>
      </c>
      <c r="BU47" s="107" t="s">
        <v>395</v>
      </c>
      <c r="BV47" s="166">
        <f t="shared" si="71"/>
        <v>0</v>
      </c>
      <c r="BW47" s="166">
        <f t="shared" si="71"/>
        <v>0</v>
      </c>
      <c r="BX47" s="166">
        <f t="shared" si="71"/>
        <v>0</v>
      </c>
      <c r="BY47" s="166">
        <f t="shared" si="71"/>
        <v>0</v>
      </c>
      <c r="BZ47" s="166">
        <f t="shared" si="71"/>
        <v>0</v>
      </c>
      <c r="CA47" s="166">
        <f t="shared" si="71"/>
        <v>0</v>
      </c>
      <c r="CB47" s="166">
        <f t="shared" si="71"/>
        <v>0</v>
      </c>
      <c r="CC47" s="166">
        <f t="shared" si="71"/>
        <v>0</v>
      </c>
      <c r="CD47" s="166">
        <f t="shared" si="71"/>
        <v>0.79797226777993147</v>
      </c>
      <c r="CE47" s="166">
        <f t="shared" si="71"/>
        <v>0</v>
      </c>
      <c r="CF47" s="166">
        <f t="shared" si="71"/>
        <v>0</v>
      </c>
      <c r="CG47" s="166">
        <f t="shared" si="71"/>
        <v>0</v>
      </c>
      <c r="CH47" s="166">
        <f t="shared" si="71"/>
        <v>0</v>
      </c>
      <c r="CI47" s="168">
        <f t="shared" si="71"/>
        <v>0.23056046181019257</v>
      </c>
      <c r="CK47" s="107" t="s">
        <v>395</v>
      </c>
      <c r="CL47" s="166" t="str">
        <f t="shared" ref="CL47:CO52" si="73">IF(OR(ISNA(BF47),BF47=0,BF47=""),"",(BV47-BF47)/BF47)</f>
        <v/>
      </c>
      <c r="CM47" s="166" t="str">
        <f t="shared" si="73"/>
        <v/>
      </c>
      <c r="CN47" s="166" t="str">
        <f t="shared" si="73"/>
        <v/>
      </c>
      <c r="CO47" s="166" t="str">
        <f t="shared" si="73"/>
        <v/>
      </c>
      <c r="CP47" s="166"/>
      <c r="CQ47" s="166"/>
      <c r="CR47" s="166"/>
      <c r="CS47" s="166"/>
      <c r="CT47" s="166">
        <f t="shared" ref="CT47:CY52" si="74">IF(OR(ISNA(BN47),BN47=0,BN47=""),"",(CD47-BN47)/BN47)</f>
        <v>-8.2271888597763798E-2</v>
      </c>
      <c r="CU47" s="166" t="str">
        <f t="shared" si="74"/>
        <v/>
      </c>
      <c r="CV47" s="166" t="str">
        <f t="shared" si="74"/>
        <v/>
      </c>
      <c r="CW47" s="166" t="str">
        <f t="shared" si="74"/>
        <v/>
      </c>
      <c r="CX47" s="166" t="str">
        <f t="shared" si="74"/>
        <v/>
      </c>
      <c r="CY47" s="168">
        <f t="shared" si="74"/>
        <v>0.95678374105152419</v>
      </c>
      <c r="DA47" s="107" t="s">
        <v>395</v>
      </c>
      <c r="DB47" s="315"/>
      <c r="DC47" s="315"/>
      <c r="DD47" s="315"/>
      <c r="DE47" s="315"/>
      <c r="DF47" s="315"/>
      <c r="DG47" s="315"/>
      <c r="DH47" s="315"/>
      <c r="DI47" s="315"/>
      <c r="DJ47" s="314">
        <f t="shared" si="72"/>
        <v>8.5854107173205005E-2</v>
      </c>
      <c r="DK47" s="315"/>
      <c r="DL47" s="315"/>
      <c r="DM47" s="315"/>
      <c r="DN47" s="315"/>
      <c r="DO47" s="168"/>
      <c r="DQ47" s="107" t="s">
        <v>395</v>
      </c>
      <c r="DR47" s="315"/>
      <c r="DS47" s="315"/>
      <c r="DT47" s="315"/>
      <c r="DU47" s="315"/>
      <c r="DV47" s="315"/>
      <c r="DW47" s="315"/>
      <c r="DX47" s="315"/>
      <c r="DY47" s="315"/>
      <c r="DZ47" s="314">
        <v>0</v>
      </c>
      <c r="EA47" s="315"/>
      <c r="EB47" s="315"/>
      <c r="EC47" s="315"/>
      <c r="ED47" s="315"/>
      <c r="EE47" s="168"/>
      <c r="EG47" s="107" t="s">
        <v>395</v>
      </c>
      <c r="EH47" s="315"/>
      <c r="EI47" s="315"/>
      <c r="EJ47" s="315"/>
      <c r="EK47" s="315"/>
      <c r="EL47" s="315"/>
      <c r="EM47" s="315"/>
      <c r="EN47" s="315"/>
      <c r="EO47" s="315"/>
      <c r="EP47" s="314">
        <v>0</v>
      </c>
      <c r="EQ47" s="315"/>
      <c r="ER47" s="315"/>
      <c r="ES47" s="315"/>
      <c r="ET47" s="315"/>
      <c r="EU47" s="168"/>
      <c r="EW47" s="164" t="s">
        <v>546</v>
      </c>
      <c r="EX47" s="316">
        <f t="shared" si="65"/>
        <v>0</v>
      </c>
      <c r="EY47" s="316">
        <f t="shared" si="61"/>
        <v>0</v>
      </c>
      <c r="EZ47" s="316">
        <f t="shared" si="61"/>
        <v>5.0386039238167681</v>
      </c>
      <c r="FA47" s="316">
        <f t="shared" si="61"/>
        <v>5.0386039238167681</v>
      </c>
      <c r="FB47" s="316">
        <f t="shared" si="61"/>
        <v>3.6609915167329725</v>
      </c>
      <c r="FC47" s="316">
        <f t="shared" si="61"/>
        <v>3.6609915167329725</v>
      </c>
      <c r="FD47" s="316">
        <f t="shared" si="61"/>
        <v>-4.8358063411298069</v>
      </c>
      <c r="FE47" s="316">
        <f t="shared" si="61"/>
        <v>0</v>
      </c>
      <c r="FF47" s="316"/>
      <c r="FG47" s="316">
        <f t="shared" si="61"/>
        <v>0</v>
      </c>
      <c r="FH47" s="316">
        <f t="shared" si="61"/>
        <v>0</v>
      </c>
      <c r="FI47" s="316">
        <f t="shared" si="61"/>
        <v>0</v>
      </c>
      <c r="FJ47" s="316">
        <f t="shared" si="61"/>
        <v>-0.52752955228690179</v>
      </c>
      <c r="FK47" s="316">
        <f t="shared" si="61"/>
        <v>0</v>
      </c>
      <c r="FL47" s="168"/>
    </row>
    <row r="48" spans="2:168" x14ac:dyDescent="0.25">
      <c r="B48" s="107" t="s">
        <v>396</v>
      </c>
      <c r="C48" s="294"/>
      <c r="D48" s="294"/>
      <c r="E48" s="294"/>
      <c r="F48" s="294"/>
      <c r="G48" s="294"/>
      <c r="H48" s="294"/>
      <c r="I48" s="294"/>
      <c r="J48" s="294"/>
      <c r="K48" s="294"/>
      <c r="L48" s="160">
        <f>TripMode_inputCBD!L46</f>
        <v>2021.1057800000001</v>
      </c>
      <c r="M48" s="294"/>
      <c r="N48" s="294"/>
      <c r="O48" s="294"/>
      <c r="P48" s="162">
        <f t="shared" si="53"/>
        <v>2021.1057800000001</v>
      </c>
      <c r="R48">
        <f t="shared" si="62"/>
        <v>0</v>
      </c>
      <c r="S48">
        <f t="shared" si="63"/>
        <v>1</v>
      </c>
      <c r="T48">
        <f t="shared" si="64"/>
        <v>0</v>
      </c>
      <c r="V48" s="127">
        <f>+L48/L$160</f>
        <v>3.4153505646566752E-2</v>
      </c>
      <c r="W48" s="127"/>
      <c r="X48" s="127"/>
      <c r="Y48" s="107" t="s">
        <v>396</v>
      </c>
      <c r="Z48" s="294"/>
      <c r="AA48" s="294"/>
      <c r="AB48" s="294"/>
      <c r="AC48" s="294"/>
      <c r="AD48" s="294"/>
      <c r="AE48" s="294"/>
      <c r="AF48" s="294"/>
      <c r="AG48" s="294"/>
      <c r="AH48" s="294"/>
      <c r="AI48" s="160">
        <f>V48*V$160</f>
        <v>1068.5260859571238</v>
      </c>
      <c r="AJ48" s="294"/>
      <c r="AK48" s="294"/>
      <c r="AL48" s="294"/>
      <c r="AM48" s="162">
        <f t="shared" si="55"/>
        <v>1068.5260859571238</v>
      </c>
      <c r="AN48" s="127"/>
      <c r="AO48" s="107" t="s">
        <v>396</v>
      </c>
      <c r="AP48" s="294">
        <f>TripMode_inputCBD!R46*Index!$B$2</f>
        <v>0</v>
      </c>
      <c r="AQ48" s="294">
        <f>TripMode_inputCBD!S46*Index!$B$2</f>
        <v>0</v>
      </c>
      <c r="AR48" s="294">
        <f>TripMode_inputCBD!T46*Index!$B$2</f>
        <v>0</v>
      </c>
      <c r="AS48" s="294">
        <f>TripMode_inputCBD!U46*Index!$B$2</f>
        <v>0</v>
      </c>
      <c r="AT48" s="294">
        <f>TripMode_inputCBD!V46*Index!$B$2</f>
        <v>0</v>
      </c>
      <c r="AU48" s="294">
        <f>TripMode_inputCBD!W46*Index!$B$2</f>
        <v>0</v>
      </c>
      <c r="AV48" s="294">
        <f>TripMode_inputCBD!X46*Index!$B$2</f>
        <v>0</v>
      </c>
      <c r="AW48" s="294">
        <f>TripMode_inputCBD!Y46*Index!$B$2</f>
        <v>0</v>
      </c>
      <c r="AX48" s="294">
        <f>TripMode_inputCBD!AA46*Index!$B$2</f>
        <v>0</v>
      </c>
      <c r="AY48" s="160">
        <f>TripMode_inputCBD!AB46*Index!$B$2</f>
        <v>810</v>
      </c>
      <c r="AZ48" s="294">
        <f>TripMode_inputCBD!AC46*Index!$B$2</f>
        <v>0</v>
      </c>
      <c r="BA48" s="294">
        <f>TripMode_inputCBD!AD46*Index!$B$2</f>
        <v>0</v>
      </c>
      <c r="BB48" s="294">
        <f>TripMode_inputCBD!AE46*Index!$B$2</f>
        <v>0</v>
      </c>
      <c r="BC48" s="162">
        <f t="shared" si="56"/>
        <v>810</v>
      </c>
      <c r="BE48" s="107" t="s">
        <v>396</v>
      </c>
      <c r="BF48" s="166">
        <f t="shared" si="70"/>
        <v>0</v>
      </c>
      <c r="BG48" s="166" t="str">
        <f t="shared" si="70"/>
        <v/>
      </c>
      <c r="BH48" s="166">
        <f t="shared" si="70"/>
        <v>0</v>
      </c>
      <c r="BI48" s="166" t="str">
        <f t="shared" si="70"/>
        <v/>
      </c>
      <c r="BJ48" s="166">
        <f t="shared" si="70"/>
        <v>0</v>
      </c>
      <c r="BK48" s="166" t="str">
        <f t="shared" si="70"/>
        <v/>
      </c>
      <c r="BL48" s="166">
        <f t="shared" si="70"/>
        <v>0</v>
      </c>
      <c r="BM48" s="166" t="str">
        <f t="shared" si="70"/>
        <v/>
      </c>
      <c r="BN48" s="166">
        <f t="shared" si="70"/>
        <v>0</v>
      </c>
      <c r="BO48" s="166">
        <f t="shared" si="70"/>
        <v>1</v>
      </c>
      <c r="BP48" s="166">
        <f t="shared" si="70"/>
        <v>0</v>
      </c>
      <c r="BQ48" s="166">
        <f t="shared" si="70"/>
        <v>0</v>
      </c>
      <c r="BR48" s="166">
        <f t="shared" si="70"/>
        <v>0</v>
      </c>
      <c r="BS48" s="166">
        <f t="shared" si="70"/>
        <v>5.5735296062911525E-3</v>
      </c>
      <c r="BU48" s="107" t="s">
        <v>396</v>
      </c>
      <c r="BV48" s="166">
        <f t="shared" si="71"/>
        <v>0</v>
      </c>
      <c r="BW48" s="166">
        <f t="shared" si="71"/>
        <v>0</v>
      </c>
      <c r="BX48" s="166">
        <f t="shared" si="71"/>
        <v>0</v>
      </c>
      <c r="BY48" s="166">
        <f t="shared" si="71"/>
        <v>0</v>
      </c>
      <c r="BZ48" s="166">
        <f t="shared" si="71"/>
        <v>0</v>
      </c>
      <c r="CA48" s="166">
        <f t="shared" si="71"/>
        <v>0</v>
      </c>
      <c r="CB48" s="166">
        <f t="shared" si="71"/>
        <v>0</v>
      </c>
      <c r="CC48" s="166">
        <f t="shared" si="71"/>
        <v>0</v>
      </c>
      <c r="CD48" s="166">
        <f t="shared" si="71"/>
        <v>0</v>
      </c>
      <c r="CE48" s="166">
        <f t="shared" si="71"/>
        <v>1</v>
      </c>
      <c r="CF48" s="166">
        <f t="shared" si="71"/>
        <v>0</v>
      </c>
      <c r="CG48" s="166">
        <f t="shared" si="71"/>
        <v>0</v>
      </c>
      <c r="CH48" s="166">
        <f t="shared" si="71"/>
        <v>0</v>
      </c>
      <c r="CI48" s="168">
        <f t="shared" si="71"/>
        <v>6.9788480592771294E-3</v>
      </c>
      <c r="CK48" s="107" t="s">
        <v>396</v>
      </c>
      <c r="CL48" s="166" t="str">
        <f t="shared" si="73"/>
        <v/>
      </c>
      <c r="CM48" s="166" t="str">
        <f t="shared" si="73"/>
        <v/>
      </c>
      <c r="CN48" s="166" t="str">
        <f t="shared" si="73"/>
        <v/>
      </c>
      <c r="CO48" s="166" t="str">
        <f t="shared" si="73"/>
        <v/>
      </c>
      <c r="CP48" s="166"/>
      <c r="CQ48" s="166"/>
      <c r="CR48" s="166"/>
      <c r="CS48" s="166"/>
      <c r="CT48" s="166" t="str">
        <f t="shared" si="74"/>
        <v/>
      </c>
      <c r="CU48" s="166">
        <f t="shared" si="74"/>
        <v>0</v>
      </c>
      <c r="CV48" s="166" t="str">
        <f t="shared" si="74"/>
        <v/>
      </c>
      <c r="CW48" s="166" t="str">
        <f t="shared" si="74"/>
        <v/>
      </c>
      <c r="CX48" s="166" t="str">
        <f t="shared" si="74"/>
        <v/>
      </c>
      <c r="CY48" s="168">
        <f t="shared" si="74"/>
        <v>0.25214156060097281</v>
      </c>
      <c r="DA48" s="107" t="s">
        <v>396</v>
      </c>
      <c r="DB48" s="315"/>
      <c r="DC48" s="315"/>
      <c r="DD48" s="315"/>
      <c r="DE48" s="315"/>
      <c r="DF48" s="315"/>
      <c r="DG48" s="315"/>
      <c r="DH48" s="315"/>
      <c r="DI48" s="315"/>
      <c r="DJ48" s="315"/>
      <c r="DK48" s="314">
        <f>IFERROR(IF(CE48&gt;0,LN(BO48/CE48),0),0)</f>
        <v>0</v>
      </c>
      <c r="DL48" s="315"/>
      <c r="DM48" s="315"/>
      <c r="DN48" s="315"/>
      <c r="DO48" s="168"/>
      <c r="DQ48" s="107" t="s">
        <v>396</v>
      </c>
      <c r="DR48" s="315"/>
      <c r="DS48" s="315"/>
      <c r="DT48" s="315"/>
      <c r="DU48" s="315"/>
      <c r="DV48" s="315"/>
      <c r="DW48" s="315"/>
      <c r="DX48" s="315"/>
      <c r="DY48" s="315"/>
      <c r="DZ48" s="315"/>
      <c r="EA48" s="314">
        <v>0</v>
      </c>
      <c r="EB48" s="315"/>
      <c r="EC48" s="315"/>
      <c r="ED48" s="315"/>
      <c r="EE48" s="168"/>
      <c r="EG48" s="107" t="s">
        <v>396</v>
      </c>
      <c r="EH48" s="315"/>
      <c r="EI48" s="315"/>
      <c r="EJ48" s="315"/>
      <c r="EK48" s="315"/>
      <c r="EL48" s="315"/>
      <c r="EM48" s="315"/>
      <c r="EN48" s="315"/>
      <c r="EO48" s="315"/>
      <c r="EP48" s="315"/>
      <c r="EQ48" s="314">
        <v>0</v>
      </c>
      <c r="ER48" s="315"/>
      <c r="ES48" s="315"/>
      <c r="ET48" s="315"/>
      <c r="EU48" s="168"/>
      <c r="EW48" s="164" t="s">
        <v>396</v>
      </c>
      <c r="EX48" s="316">
        <f t="shared" si="65"/>
        <v>0</v>
      </c>
      <c r="EY48" s="316">
        <f t="shared" si="61"/>
        <v>0</v>
      </c>
      <c r="EZ48" s="316">
        <f t="shared" si="61"/>
        <v>0</v>
      </c>
      <c r="FA48" s="316">
        <f t="shared" si="61"/>
        <v>0</v>
      </c>
      <c r="FB48" s="316">
        <f t="shared" si="61"/>
        <v>0</v>
      </c>
      <c r="FC48" s="316">
        <f t="shared" si="61"/>
        <v>0</v>
      </c>
      <c r="FD48" s="316">
        <f t="shared" si="61"/>
        <v>0</v>
      </c>
      <c r="FE48" s="316">
        <f t="shared" si="61"/>
        <v>0</v>
      </c>
      <c r="FF48" s="316"/>
      <c r="FG48" s="316">
        <f t="shared" si="61"/>
        <v>0</v>
      </c>
      <c r="FH48" s="316">
        <f t="shared" si="61"/>
        <v>0</v>
      </c>
      <c r="FI48" s="316">
        <f t="shared" si="61"/>
        <v>0</v>
      </c>
      <c r="FJ48" s="316">
        <f t="shared" si="61"/>
        <v>0</v>
      </c>
      <c r="FK48" s="316">
        <f t="shared" si="61"/>
        <v>0</v>
      </c>
      <c r="FL48" s="168"/>
    </row>
    <row r="49" spans="2:168" x14ac:dyDescent="0.25">
      <c r="B49" s="107" t="s">
        <v>397</v>
      </c>
      <c r="C49" s="294"/>
      <c r="D49" s="294"/>
      <c r="E49" s="294"/>
      <c r="F49" s="294"/>
      <c r="G49" s="294"/>
      <c r="H49" s="294"/>
      <c r="I49" s="294"/>
      <c r="J49" s="294"/>
      <c r="K49" s="294"/>
      <c r="L49" s="294"/>
      <c r="M49" s="160">
        <f>TripMode_inputCBD!M47</f>
        <v>635.31101999999998</v>
      </c>
      <c r="N49" s="294"/>
      <c r="O49" s="294"/>
      <c r="P49" s="162">
        <f t="shared" si="53"/>
        <v>635.31101999999998</v>
      </c>
      <c r="R49">
        <f t="shared" si="62"/>
        <v>0</v>
      </c>
      <c r="S49">
        <f t="shared" si="63"/>
        <v>0</v>
      </c>
      <c r="T49">
        <f t="shared" si="64"/>
        <v>1</v>
      </c>
      <c r="W49" s="127">
        <f>+M49/M$161</f>
        <v>2.6249741014157989E-3</v>
      </c>
      <c r="X49" s="127"/>
      <c r="Y49" s="107" t="s">
        <v>397</v>
      </c>
      <c r="Z49" s="294"/>
      <c r="AA49" s="294"/>
      <c r="AB49" s="294"/>
      <c r="AC49" s="294"/>
      <c r="AD49" s="294"/>
      <c r="AE49" s="294"/>
      <c r="AF49" s="294"/>
      <c r="AG49" s="294"/>
      <c r="AH49" s="294"/>
      <c r="AI49" s="294"/>
      <c r="AJ49" s="160">
        <f>W49*W$161</f>
        <v>241.99803744665189</v>
      </c>
      <c r="AK49" s="294"/>
      <c r="AL49" s="294"/>
      <c r="AM49" s="162">
        <f t="shared" si="55"/>
        <v>241.99803744665189</v>
      </c>
      <c r="AN49" s="127"/>
      <c r="AO49" s="107" t="s">
        <v>397</v>
      </c>
      <c r="AP49" s="294">
        <f>TripMode_inputCBD!R47*Index!$B$2</f>
        <v>0</v>
      </c>
      <c r="AQ49" s="294">
        <f>TripMode_inputCBD!S47*Index!$B$2</f>
        <v>0</v>
      </c>
      <c r="AR49" s="294">
        <f>TripMode_inputCBD!T47*Index!$B$2</f>
        <v>0</v>
      </c>
      <c r="AS49" s="294">
        <f>TripMode_inputCBD!U47*Index!$B$2</f>
        <v>0</v>
      </c>
      <c r="AT49" s="294">
        <f>TripMode_inputCBD!V47*Index!$B$2</f>
        <v>0</v>
      </c>
      <c r="AU49" s="294">
        <f>TripMode_inputCBD!W47*Index!$B$2</f>
        <v>0</v>
      </c>
      <c r="AV49" s="294">
        <f>TripMode_inputCBD!X47*Index!$B$2</f>
        <v>0</v>
      </c>
      <c r="AW49" s="294">
        <f>TripMode_inputCBD!Y47*Index!$B$2</f>
        <v>0</v>
      </c>
      <c r="AX49" s="294">
        <f>TripMode_inputCBD!AA47*Index!$B$2</f>
        <v>0</v>
      </c>
      <c r="AY49" s="294">
        <f>TripMode_inputCBD!AB47*Index!$B$2</f>
        <v>0</v>
      </c>
      <c r="AZ49" s="160">
        <f>TripMode_inputCBD!AC47*Index!$B$2</f>
        <v>60</v>
      </c>
      <c r="BA49" s="294">
        <f>TripMode_inputCBD!AD47*Index!$B$2</f>
        <v>0</v>
      </c>
      <c r="BB49" s="294">
        <f>TripMode_inputCBD!AE47*Index!$B$2</f>
        <v>0</v>
      </c>
      <c r="BC49" s="162">
        <f t="shared" si="56"/>
        <v>60</v>
      </c>
      <c r="BE49" s="107" t="s">
        <v>397</v>
      </c>
      <c r="BF49" s="166">
        <f t="shared" si="70"/>
        <v>0</v>
      </c>
      <c r="BG49" s="166" t="str">
        <f t="shared" si="70"/>
        <v/>
      </c>
      <c r="BH49" s="166">
        <f t="shared" si="70"/>
        <v>0</v>
      </c>
      <c r="BI49" s="166" t="str">
        <f t="shared" si="70"/>
        <v/>
      </c>
      <c r="BJ49" s="166">
        <f t="shared" si="70"/>
        <v>0</v>
      </c>
      <c r="BK49" s="166" t="str">
        <f t="shared" si="70"/>
        <v/>
      </c>
      <c r="BL49" s="166">
        <f t="shared" si="70"/>
        <v>0</v>
      </c>
      <c r="BM49" s="166" t="str">
        <f t="shared" si="70"/>
        <v/>
      </c>
      <c r="BN49" s="166">
        <f t="shared" si="70"/>
        <v>0</v>
      </c>
      <c r="BO49" s="166">
        <f t="shared" si="70"/>
        <v>0</v>
      </c>
      <c r="BP49" s="166">
        <f t="shared" si="70"/>
        <v>1</v>
      </c>
      <c r="BQ49" s="166">
        <f t="shared" si="70"/>
        <v>0</v>
      </c>
      <c r="BR49" s="166">
        <f t="shared" si="70"/>
        <v>0</v>
      </c>
      <c r="BS49" s="166">
        <f t="shared" si="70"/>
        <v>1.2622838544602377E-3</v>
      </c>
      <c r="BU49" s="107" t="s">
        <v>397</v>
      </c>
      <c r="BV49" s="166">
        <f t="shared" si="71"/>
        <v>0</v>
      </c>
      <c r="BW49" s="166">
        <f t="shared" si="71"/>
        <v>0</v>
      </c>
      <c r="BX49" s="166">
        <f t="shared" si="71"/>
        <v>0</v>
      </c>
      <c r="BY49" s="166">
        <f t="shared" si="71"/>
        <v>0</v>
      </c>
      <c r="BZ49" s="166">
        <f t="shared" si="71"/>
        <v>0</v>
      </c>
      <c r="CA49" s="166">
        <f t="shared" si="71"/>
        <v>0</v>
      </c>
      <c r="CB49" s="166">
        <f t="shared" si="71"/>
        <v>0</v>
      </c>
      <c r="CC49" s="166">
        <f t="shared" si="71"/>
        <v>0</v>
      </c>
      <c r="CD49" s="166">
        <f t="shared" si="71"/>
        <v>0</v>
      </c>
      <c r="CE49" s="166">
        <f t="shared" si="71"/>
        <v>0</v>
      </c>
      <c r="CF49" s="166">
        <f t="shared" si="71"/>
        <v>1</v>
      </c>
      <c r="CG49" s="166">
        <f t="shared" si="71"/>
        <v>0</v>
      </c>
      <c r="CH49" s="166">
        <f t="shared" si="71"/>
        <v>0</v>
      </c>
      <c r="CI49" s="168">
        <f t="shared" si="71"/>
        <v>5.1695170809460214E-4</v>
      </c>
      <c r="CK49" s="107" t="s">
        <v>397</v>
      </c>
      <c r="CL49" s="166" t="str">
        <f t="shared" si="73"/>
        <v/>
      </c>
      <c r="CM49" s="166" t="str">
        <f t="shared" si="73"/>
        <v/>
      </c>
      <c r="CN49" s="166" t="str">
        <f t="shared" si="73"/>
        <v/>
      </c>
      <c r="CO49" s="166" t="str">
        <f t="shared" si="73"/>
        <v/>
      </c>
      <c r="CP49" s="166"/>
      <c r="CQ49" s="166"/>
      <c r="CR49" s="166"/>
      <c r="CS49" s="166"/>
      <c r="CT49" s="166" t="str">
        <f t="shared" si="74"/>
        <v/>
      </c>
      <c r="CU49" s="166" t="str">
        <f t="shared" si="74"/>
        <v/>
      </c>
      <c r="CV49" s="166">
        <f t="shared" si="74"/>
        <v>0</v>
      </c>
      <c r="CW49" s="166" t="str">
        <f t="shared" si="74"/>
        <v/>
      </c>
      <c r="CX49" s="166" t="str">
        <f t="shared" si="74"/>
        <v/>
      </c>
      <c r="CY49" s="168">
        <f t="shared" si="74"/>
        <v>-0.5904631860195545</v>
      </c>
      <c r="DA49" s="107" t="s">
        <v>397</v>
      </c>
      <c r="DB49" s="315"/>
      <c r="DC49" s="315"/>
      <c r="DD49" s="315"/>
      <c r="DE49" s="315"/>
      <c r="DF49" s="315"/>
      <c r="DG49" s="315"/>
      <c r="DH49" s="315"/>
      <c r="DI49" s="315"/>
      <c r="DJ49" s="315"/>
      <c r="DK49" s="315"/>
      <c r="DL49" s="314">
        <f>IFERROR(IF(CF49&gt;0,LN(BP49/CF49),0),0)</f>
        <v>0</v>
      </c>
      <c r="DM49" s="315"/>
      <c r="DN49" s="315"/>
      <c r="DO49" s="168"/>
      <c r="DQ49" s="107" t="s">
        <v>397</v>
      </c>
      <c r="DR49" s="315"/>
      <c r="DS49" s="315"/>
      <c r="DT49" s="315"/>
      <c r="DU49" s="315"/>
      <c r="DV49" s="315"/>
      <c r="DW49" s="315"/>
      <c r="DX49" s="315"/>
      <c r="DY49" s="315"/>
      <c r="DZ49" s="315"/>
      <c r="EA49" s="315"/>
      <c r="EB49" s="314">
        <v>0</v>
      </c>
      <c r="EC49" s="315"/>
      <c r="ED49" s="315"/>
      <c r="EE49" s="168"/>
      <c r="EG49" s="107" t="s">
        <v>397</v>
      </c>
      <c r="EH49" s="315"/>
      <c r="EI49" s="315"/>
      <c r="EJ49" s="315"/>
      <c r="EK49" s="315"/>
      <c r="EL49" s="315"/>
      <c r="EM49" s="315"/>
      <c r="EN49" s="315"/>
      <c r="EO49" s="315"/>
      <c r="EP49" s="315"/>
      <c r="EQ49" s="315"/>
      <c r="ER49" s="314">
        <v>0</v>
      </c>
      <c r="ES49" s="315"/>
      <c r="ET49" s="315"/>
      <c r="EU49" s="168"/>
      <c r="EW49" s="164" t="s">
        <v>397</v>
      </c>
      <c r="EX49" s="316">
        <f t="shared" si="65"/>
        <v>0</v>
      </c>
      <c r="EY49" s="316">
        <f t="shared" si="61"/>
        <v>0</v>
      </c>
      <c r="EZ49" s="316">
        <f t="shared" si="61"/>
        <v>0</v>
      </c>
      <c r="FA49" s="316">
        <f t="shared" si="61"/>
        <v>0</v>
      </c>
      <c r="FB49" s="316">
        <f t="shared" si="61"/>
        <v>0</v>
      </c>
      <c r="FC49" s="316">
        <f t="shared" si="61"/>
        <v>0</v>
      </c>
      <c r="FD49" s="316">
        <f t="shared" si="61"/>
        <v>0</v>
      </c>
      <c r="FE49" s="316">
        <f t="shared" si="61"/>
        <v>0</v>
      </c>
      <c r="FF49" s="316"/>
      <c r="FG49" s="316">
        <f t="shared" si="61"/>
        <v>0</v>
      </c>
      <c r="FH49" s="316">
        <f t="shared" si="61"/>
        <v>0</v>
      </c>
      <c r="FI49" s="316">
        <f t="shared" si="61"/>
        <v>0</v>
      </c>
      <c r="FJ49" s="316">
        <f t="shared" si="61"/>
        <v>0</v>
      </c>
      <c r="FK49" s="316">
        <f t="shared" si="61"/>
        <v>0</v>
      </c>
      <c r="FL49" s="168"/>
    </row>
    <row r="50" spans="2:168" x14ac:dyDescent="0.25">
      <c r="B50" s="107" t="s">
        <v>398</v>
      </c>
      <c r="C50" s="294"/>
      <c r="D50" s="294"/>
      <c r="E50" s="294"/>
      <c r="F50" s="294"/>
      <c r="G50" s="294"/>
      <c r="H50" s="294"/>
      <c r="I50" s="294"/>
      <c r="J50" s="294"/>
      <c r="K50" s="160">
        <f>TripMode_inputCBD!J48+TripMode_inputCBD!K48</f>
        <v>0</v>
      </c>
      <c r="L50" s="294"/>
      <c r="M50" s="294"/>
      <c r="N50" s="160">
        <f>TripMode_inputCBD!N48</f>
        <v>229.45972</v>
      </c>
      <c r="O50" s="294"/>
      <c r="P50" s="162">
        <f t="shared" si="53"/>
        <v>229.45972</v>
      </c>
      <c r="R50">
        <f t="shared" si="62"/>
        <v>0</v>
      </c>
      <c r="S50">
        <f t="shared" si="63"/>
        <v>0</v>
      </c>
      <c r="T50">
        <f t="shared" si="64"/>
        <v>0</v>
      </c>
      <c r="Y50" s="107" t="s">
        <v>398</v>
      </c>
      <c r="Z50" s="294"/>
      <c r="AA50" s="294"/>
      <c r="AB50" s="294"/>
      <c r="AC50" s="294"/>
      <c r="AD50" s="294"/>
      <c r="AE50" s="294"/>
      <c r="AF50" s="294"/>
      <c r="AG50" s="294"/>
      <c r="AH50" s="160">
        <f>AH47*R50</f>
        <v>0</v>
      </c>
      <c r="AI50" s="160">
        <f>AI48*S50</f>
        <v>0</v>
      </c>
      <c r="AJ50" s="160">
        <f>AJ49*T50</f>
        <v>0</v>
      </c>
      <c r="AK50" s="160">
        <f>N50</f>
        <v>229.45972</v>
      </c>
      <c r="AL50" s="294"/>
      <c r="AM50" s="162">
        <f t="shared" si="55"/>
        <v>229.45972</v>
      </c>
      <c r="AO50" s="107" t="s">
        <v>398</v>
      </c>
      <c r="AP50" s="294">
        <f>TripMode_inputCBD!R48*Index!$B$2</f>
        <v>0</v>
      </c>
      <c r="AQ50" s="294">
        <f>TripMode_inputCBD!S48*Index!$B$2</f>
        <v>0</v>
      </c>
      <c r="AR50" s="294">
        <f>TripMode_inputCBD!T48*Index!$B$2</f>
        <v>0</v>
      </c>
      <c r="AS50" s="294">
        <f>TripMode_inputCBD!U48*Index!$B$2</f>
        <v>0</v>
      </c>
      <c r="AT50" s="294">
        <f>TripMode_inputCBD!V48*Index!$B$2</f>
        <v>0</v>
      </c>
      <c r="AU50" s="294">
        <f>TripMode_inputCBD!W48*Index!$B$2</f>
        <v>0</v>
      </c>
      <c r="AV50" s="294">
        <f>TripMode_inputCBD!X48*Index!$B$2</f>
        <v>0</v>
      </c>
      <c r="AW50" s="294">
        <f>TripMode_inputCBD!Y48*Index!$B$2</f>
        <v>0</v>
      </c>
      <c r="AX50" s="160">
        <f>TripMode_inputCBD!AA48*Index!$B$2</f>
        <v>20</v>
      </c>
      <c r="AY50" s="160">
        <f>TripMode_inputCBD!AB48*Index!$B$2</f>
        <v>0</v>
      </c>
      <c r="AZ50" s="160">
        <f>TripMode_inputCBD!AC48*Index!$B$2</f>
        <v>0</v>
      </c>
      <c r="BA50" s="160">
        <f>TripMode_inputCBD!AD48*Index!$B$2</f>
        <v>580</v>
      </c>
      <c r="BB50" s="294">
        <f>TripMode_inputCBD!AE48*Index!$B$2</f>
        <v>0</v>
      </c>
      <c r="BC50" s="162">
        <f t="shared" si="56"/>
        <v>600</v>
      </c>
      <c r="BE50" s="107" t="s">
        <v>398</v>
      </c>
      <c r="BF50" s="166">
        <f t="shared" si="70"/>
        <v>0</v>
      </c>
      <c r="BG50" s="166" t="str">
        <f t="shared" si="70"/>
        <v/>
      </c>
      <c r="BH50" s="166">
        <f t="shared" si="70"/>
        <v>0</v>
      </c>
      <c r="BI50" s="166" t="str">
        <f t="shared" si="70"/>
        <v/>
      </c>
      <c r="BJ50" s="166">
        <f t="shared" si="70"/>
        <v>0</v>
      </c>
      <c r="BK50" s="166" t="str">
        <f t="shared" si="70"/>
        <v/>
      </c>
      <c r="BL50" s="166">
        <f t="shared" si="70"/>
        <v>0</v>
      </c>
      <c r="BM50" s="166" t="str">
        <f t="shared" si="70"/>
        <v/>
      </c>
      <c r="BN50" s="166">
        <f t="shared" si="70"/>
        <v>0</v>
      </c>
      <c r="BO50" s="166">
        <f t="shared" si="70"/>
        <v>0</v>
      </c>
      <c r="BP50" s="166">
        <f t="shared" si="70"/>
        <v>0</v>
      </c>
      <c r="BQ50" s="166">
        <f t="shared" si="70"/>
        <v>0.5</v>
      </c>
      <c r="BR50" s="166">
        <f t="shared" si="70"/>
        <v>0</v>
      </c>
      <c r="BS50" s="166">
        <f t="shared" si="70"/>
        <v>1.1968828460801808E-3</v>
      </c>
      <c r="BU50" s="107" t="s">
        <v>398</v>
      </c>
      <c r="BV50" s="166">
        <f t="shared" si="71"/>
        <v>0</v>
      </c>
      <c r="BW50" s="166">
        <f t="shared" si="71"/>
        <v>0</v>
      </c>
      <c r="BX50" s="166">
        <f t="shared" si="71"/>
        <v>0</v>
      </c>
      <c r="BY50" s="166">
        <f t="shared" si="71"/>
        <v>0</v>
      </c>
      <c r="BZ50" s="166">
        <f t="shared" si="71"/>
        <v>0</v>
      </c>
      <c r="CA50" s="166">
        <f t="shared" si="71"/>
        <v>0</v>
      </c>
      <c r="CB50" s="166">
        <f t="shared" si="71"/>
        <v>0</v>
      </c>
      <c r="CC50" s="166">
        <f t="shared" si="71"/>
        <v>0</v>
      </c>
      <c r="CD50" s="166">
        <f t="shared" si="71"/>
        <v>5.963918294319368E-4</v>
      </c>
      <c r="CE50" s="166">
        <f t="shared" si="71"/>
        <v>0</v>
      </c>
      <c r="CF50" s="166">
        <f t="shared" si="71"/>
        <v>0</v>
      </c>
      <c r="CG50" s="166">
        <f t="shared" si="71"/>
        <v>0.77333333333333332</v>
      </c>
      <c r="CH50" s="166">
        <f t="shared" si="71"/>
        <v>0</v>
      </c>
      <c r="CI50" s="168">
        <f t="shared" si="71"/>
        <v>5.1695170809460218E-3</v>
      </c>
      <c r="CK50" s="107" t="s">
        <v>398</v>
      </c>
      <c r="CL50" s="166" t="str">
        <f t="shared" si="73"/>
        <v/>
      </c>
      <c r="CM50" s="166" t="str">
        <f t="shared" si="73"/>
        <v/>
      </c>
      <c r="CN50" s="166" t="str">
        <f t="shared" si="73"/>
        <v/>
      </c>
      <c r="CO50" s="166" t="str">
        <f t="shared" si="73"/>
        <v/>
      </c>
      <c r="CP50" s="166"/>
      <c r="CQ50" s="166"/>
      <c r="CR50" s="166"/>
      <c r="CS50" s="166"/>
      <c r="CT50" s="166" t="str">
        <f t="shared" si="74"/>
        <v/>
      </c>
      <c r="CU50" s="166" t="str">
        <f t="shared" si="74"/>
        <v/>
      </c>
      <c r="CV50" s="166" t="str">
        <f t="shared" si="74"/>
        <v/>
      </c>
      <c r="CW50" s="166">
        <f t="shared" si="74"/>
        <v>0.54666666666666663</v>
      </c>
      <c r="CX50" s="166" t="str">
        <f t="shared" si="74"/>
        <v/>
      </c>
      <c r="CY50" s="168">
        <f t="shared" si="74"/>
        <v>3.3191504480796188</v>
      </c>
      <c r="DA50" s="107" t="s">
        <v>398</v>
      </c>
      <c r="DB50" s="315"/>
      <c r="DC50" s="315"/>
      <c r="DD50" s="315"/>
      <c r="DE50" s="315"/>
      <c r="DF50" s="315"/>
      <c r="DG50" s="315"/>
      <c r="DH50" s="315"/>
      <c r="DI50" s="315"/>
      <c r="DJ50" s="314">
        <f t="shared" si="72"/>
        <v>0</v>
      </c>
      <c r="DK50" s="314">
        <f>IFERROR(IF(CE50&gt;0,LN(BO50/CE50),0),0)</f>
        <v>0</v>
      </c>
      <c r="DL50" s="314">
        <f>IFERROR(IF(CF50&gt;0,LN(BP50/CF50),0),0)</f>
        <v>0</v>
      </c>
      <c r="DM50" s="314">
        <f>IFERROR(IF(CG50&gt;0,LN(BQ50/CG50),0),0)</f>
        <v>-0.4361020775700542</v>
      </c>
      <c r="DN50" s="315"/>
      <c r="DO50" s="168"/>
      <c r="DQ50" s="107" t="s">
        <v>398</v>
      </c>
      <c r="DR50" s="315"/>
      <c r="DS50" s="315"/>
      <c r="DT50" s="315"/>
      <c r="DU50" s="315"/>
      <c r="DV50" s="315"/>
      <c r="DW50" s="315"/>
      <c r="DX50" s="315"/>
      <c r="DY50" s="315"/>
      <c r="DZ50" s="314">
        <v>-0.44167544511369683</v>
      </c>
      <c r="EA50" s="314">
        <v>0</v>
      </c>
      <c r="EB50" s="314">
        <v>0</v>
      </c>
      <c r="EC50" s="314">
        <v>0</v>
      </c>
      <c r="ED50" s="315"/>
      <c r="EE50" s="168"/>
      <c r="EG50" s="107" t="s">
        <v>398</v>
      </c>
      <c r="EH50" s="315"/>
      <c r="EI50" s="315"/>
      <c r="EJ50" s="315"/>
      <c r="EK50" s="315"/>
      <c r="EL50" s="315"/>
      <c r="EM50" s="315"/>
      <c r="EN50" s="315"/>
      <c r="EO50" s="315"/>
      <c r="EP50" s="314">
        <f>DZ50+(DJ50-DJ$47)*$EI$1</f>
        <v>-0.52752955228690179</v>
      </c>
      <c r="EQ50" s="314">
        <f>EA50+(DK50-DK$48)*$EI$1</f>
        <v>0</v>
      </c>
      <c r="ER50" s="314">
        <f>EB50+(DL50-DL$49)*$EI$1</f>
        <v>0</v>
      </c>
      <c r="ES50" s="314">
        <v>0</v>
      </c>
      <c r="ET50" s="315"/>
      <c r="EU50" s="168"/>
      <c r="EW50" s="164" t="s">
        <v>398</v>
      </c>
      <c r="EX50" s="316">
        <f t="shared" si="65"/>
        <v>0</v>
      </c>
      <c r="EY50" s="316">
        <f t="shared" si="61"/>
        <v>0</v>
      </c>
      <c r="EZ50" s="316">
        <f t="shared" si="61"/>
        <v>0.92616614126576247</v>
      </c>
      <c r="FA50" s="316">
        <f t="shared" si="61"/>
        <v>0.92616614126576247</v>
      </c>
      <c r="FB50" s="316">
        <f t="shared" si="61"/>
        <v>-3.4676333810694904</v>
      </c>
      <c r="FC50" s="316">
        <f t="shared" si="61"/>
        <v>-3.4676333810694904</v>
      </c>
      <c r="FD50" s="316">
        <f t="shared" si="61"/>
        <v>-3.4676333810694904</v>
      </c>
      <c r="FE50" s="316">
        <f t="shared" si="61"/>
        <v>0</v>
      </c>
      <c r="FF50" s="316"/>
      <c r="FG50" s="316">
        <f t="shared" si="61"/>
        <v>0</v>
      </c>
      <c r="FH50" s="316">
        <f t="shared" si="61"/>
        <v>0</v>
      </c>
      <c r="FI50" s="316">
        <f t="shared" si="61"/>
        <v>0</v>
      </c>
      <c r="FJ50" s="316">
        <f t="shared" si="61"/>
        <v>0</v>
      </c>
      <c r="FK50" s="316">
        <f t="shared" si="61"/>
        <v>0</v>
      </c>
      <c r="FL50" s="168"/>
    </row>
    <row r="51" spans="2:168" x14ac:dyDescent="0.25">
      <c r="B51" s="107" t="s">
        <v>399</v>
      </c>
      <c r="C51" s="294"/>
      <c r="D51" s="294"/>
      <c r="E51" s="294"/>
      <c r="F51" s="294"/>
      <c r="G51" s="294"/>
      <c r="H51" s="294"/>
      <c r="I51" s="294"/>
      <c r="J51" s="294"/>
      <c r="K51" s="294"/>
      <c r="L51" s="294"/>
      <c r="M51" s="294"/>
      <c r="N51" s="294"/>
      <c r="O51" s="160">
        <f>TripMode_inputCBD!O49</f>
        <v>10538.15394</v>
      </c>
      <c r="P51" s="162">
        <f t="shared" si="53"/>
        <v>10538.15394</v>
      </c>
      <c r="R51">
        <f t="shared" si="62"/>
        <v>0</v>
      </c>
      <c r="S51">
        <f t="shared" si="63"/>
        <v>0</v>
      </c>
      <c r="T51">
        <f t="shared" si="64"/>
        <v>0</v>
      </c>
      <c r="Y51" s="107" t="s">
        <v>399</v>
      </c>
      <c r="Z51" s="294"/>
      <c r="AA51" s="294"/>
      <c r="AB51" s="294"/>
      <c r="AC51" s="294"/>
      <c r="AD51" s="294"/>
      <c r="AE51" s="294"/>
      <c r="AF51" s="294"/>
      <c r="AG51" s="294"/>
      <c r="AH51" s="294"/>
      <c r="AI51" s="294"/>
      <c r="AJ51" s="294"/>
      <c r="AK51" s="294"/>
      <c r="AL51" s="160">
        <f>+O51</f>
        <v>10538.15394</v>
      </c>
      <c r="AM51" s="162">
        <f t="shared" si="55"/>
        <v>10538.15394</v>
      </c>
      <c r="AO51" s="107" t="s">
        <v>399</v>
      </c>
      <c r="AP51" s="294">
        <f>TripMode_inputCBD!R49*Index!$B$2</f>
        <v>0</v>
      </c>
      <c r="AQ51" s="294">
        <f>TripMode_inputCBD!S49*Index!$B$2</f>
        <v>0</v>
      </c>
      <c r="AR51" s="294">
        <f>TripMode_inputCBD!T49*Index!$B$2</f>
        <v>0</v>
      </c>
      <c r="AS51" s="294">
        <f>TripMode_inputCBD!U49*Index!$B$2</f>
        <v>0</v>
      </c>
      <c r="AT51" s="294">
        <f>TripMode_inputCBD!V49*Index!$B$2</f>
        <v>0</v>
      </c>
      <c r="AU51" s="294">
        <f>TripMode_inputCBD!W49*Index!$B$2</f>
        <v>0</v>
      </c>
      <c r="AV51" s="294">
        <f>TripMode_inputCBD!X49*Index!$B$2</f>
        <v>0</v>
      </c>
      <c r="AW51" s="294">
        <f>TripMode_inputCBD!Y49*Index!$B$2</f>
        <v>0</v>
      </c>
      <c r="AX51" s="294">
        <f>TripMode_inputCBD!AA49*Index!$B$2</f>
        <v>0</v>
      </c>
      <c r="AY51" s="294">
        <f>TripMode_inputCBD!AB49*Index!$B$2</f>
        <v>0</v>
      </c>
      <c r="AZ51" s="294">
        <f>TripMode_inputCBD!AC49*Index!$B$2</f>
        <v>0</v>
      </c>
      <c r="BA51" s="294">
        <f>TripMode_inputCBD!AD49*Index!$B$2</f>
        <v>0</v>
      </c>
      <c r="BB51" s="160">
        <f>TripMode_inputCBD!AE49*Index!$B$2</f>
        <v>8405</v>
      </c>
      <c r="BC51" s="162">
        <f t="shared" si="56"/>
        <v>8405</v>
      </c>
      <c r="BE51" s="107" t="s">
        <v>399</v>
      </c>
      <c r="BF51" s="166">
        <f t="shared" si="70"/>
        <v>0</v>
      </c>
      <c r="BG51" s="166" t="str">
        <f t="shared" si="70"/>
        <v/>
      </c>
      <c r="BH51" s="166">
        <f t="shared" si="70"/>
        <v>0</v>
      </c>
      <c r="BI51" s="166" t="str">
        <f t="shared" si="70"/>
        <v/>
      </c>
      <c r="BJ51" s="166">
        <f t="shared" si="70"/>
        <v>0</v>
      </c>
      <c r="BK51" s="166" t="str">
        <f t="shared" si="70"/>
        <v/>
      </c>
      <c r="BL51" s="166">
        <f t="shared" si="70"/>
        <v>0</v>
      </c>
      <c r="BM51" s="166" t="str">
        <f t="shared" si="70"/>
        <v/>
      </c>
      <c r="BN51" s="166">
        <f t="shared" si="70"/>
        <v>0</v>
      </c>
      <c r="BO51" s="166">
        <f t="shared" si="70"/>
        <v>0</v>
      </c>
      <c r="BP51" s="166">
        <f t="shared" si="70"/>
        <v>0</v>
      </c>
      <c r="BQ51" s="166">
        <f t="shared" si="70"/>
        <v>0</v>
      </c>
      <c r="BR51" s="166">
        <f t="shared" si="70"/>
        <v>1</v>
      </c>
      <c r="BS51" s="166">
        <f t="shared" si="70"/>
        <v>5.4967972941561472E-2</v>
      </c>
      <c r="BU51" s="107" t="s">
        <v>399</v>
      </c>
      <c r="BV51" s="166">
        <f t="shared" si="71"/>
        <v>0</v>
      </c>
      <c r="BW51" s="166">
        <f t="shared" si="71"/>
        <v>0</v>
      </c>
      <c r="BX51" s="166">
        <f t="shared" si="71"/>
        <v>0</v>
      </c>
      <c r="BY51" s="166">
        <f t="shared" si="71"/>
        <v>0</v>
      </c>
      <c r="BZ51" s="166">
        <f t="shared" si="71"/>
        <v>0</v>
      </c>
      <c r="CA51" s="166">
        <f t="shared" si="71"/>
        <v>0</v>
      </c>
      <c r="CB51" s="166">
        <f t="shared" si="71"/>
        <v>0</v>
      </c>
      <c r="CC51" s="166">
        <f t="shared" si="71"/>
        <v>0</v>
      </c>
      <c r="CD51" s="166">
        <f t="shared" si="71"/>
        <v>0</v>
      </c>
      <c r="CE51" s="166">
        <f t="shared" si="71"/>
        <v>0</v>
      </c>
      <c r="CF51" s="166">
        <f t="shared" si="71"/>
        <v>0</v>
      </c>
      <c r="CG51" s="166">
        <f t="shared" si="71"/>
        <v>0</v>
      </c>
      <c r="CH51" s="166">
        <f t="shared" si="71"/>
        <v>1</v>
      </c>
      <c r="CI51" s="168">
        <f t="shared" si="71"/>
        <v>7.2416318442252187E-2</v>
      </c>
      <c r="CK51" s="107" t="s">
        <v>399</v>
      </c>
      <c r="CL51" s="166" t="str">
        <f t="shared" si="73"/>
        <v/>
      </c>
      <c r="CM51" s="166" t="str">
        <f t="shared" si="73"/>
        <v/>
      </c>
      <c r="CN51" s="166" t="str">
        <f t="shared" si="73"/>
        <v/>
      </c>
      <c r="CO51" s="166" t="str">
        <f t="shared" si="73"/>
        <v/>
      </c>
      <c r="CP51" s="166"/>
      <c r="CQ51" s="166"/>
      <c r="CR51" s="166"/>
      <c r="CS51" s="166"/>
      <c r="CT51" s="166" t="str">
        <f t="shared" si="74"/>
        <v/>
      </c>
      <c r="CU51" s="166" t="str">
        <f t="shared" si="74"/>
        <v/>
      </c>
      <c r="CV51" s="166" t="str">
        <f t="shared" si="74"/>
        <v/>
      </c>
      <c r="CW51" s="166" t="str">
        <f t="shared" si="74"/>
        <v/>
      </c>
      <c r="CX51" s="166">
        <f t="shared" si="74"/>
        <v>0</v>
      </c>
      <c r="CY51" s="168">
        <f t="shared" si="74"/>
        <v>0.31742748671559545</v>
      </c>
      <c r="DA51" s="107" t="s">
        <v>399</v>
      </c>
      <c r="DB51" s="315"/>
      <c r="DC51" s="315"/>
      <c r="DD51" s="315"/>
      <c r="DE51" s="315"/>
      <c r="DF51" s="315"/>
      <c r="DG51" s="315"/>
      <c r="DH51" s="315"/>
      <c r="DI51" s="315"/>
      <c r="DJ51" s="315"/>
      <c r="DK51" s="315"/>
      <c r="DL51" s="315"/>
      <c r="DM51" s="315"/>
      <c r="DN51" s="314">
        <f>IFERROR(IF(CH51&gt;0,LN(BR51/CH51),0),0)</f>
        <v>0</v>
      </c>
      <c r="DO51" s="168"/>
      <c r="DQ51" s="107" t="s">
        <v>399</v>
      </c>
      <c r="DR51" s="315"/>
      <c r="DS51" s="315"/>
      <c r="DT51" s="315"/>
      <c r="DU51" s="315"/>
      <c r="DV51" s="315"/>
      <c r="DW51" s="315"/>
      <c r="DX51" s="315"/>
      <c r="DY51" s="315"/>
      <c r="DZ51" s="315"/>
      <c r="EA51" s="315"/>
      <c r="EB51" s="315"/>
      <c r="EC51" s="315"/>
      <c r="ED51" s="314">
        <v>0</v>
      </c>
      <c r="EE51" s="168"/>
      <c r="EG51" s="107" t="s">
        <v>399</v>
      </c>
      <c r="EH51" s="315"/>
      <c r="EI51" s="315"/>
      <c r="EJ51" s="315"/>
      <c r="EK51" s="315"/>
      <c r="EL51" s="315"/>
      <c r="EM51" s="315"/>
      <c r="EN51" s="315"/>
      <c r="EO51" s="315"/>
      <c r="EP51" s="315"/>
      <c r="EQ51" s="315"/>
      <c r="ER51" s="315"/>
      <c r="ES51" s="315"/>
      <c r="ET51" s="314">
        <v>0</v>
      </c>
      <c r="EU51" s="168"/>
      <c r="EW51" s="164" t="s">
        <v>399</v>
      </c>
      <c r="EX51" s="316">
        <f t="shared" si="65"/>
        <v>0</v>
      </c>
      <c r="EY51" s="316">
        <f t="shared" si="61"/>
        <v>0</v>
      </c>
      <c r="EZ51" s="316">
        <f t="shared" si="61"/>
        <v>0</v>
      </c>
      <c r="FA51" s="316">
        <f t="shared" si="61"/>
        <v>0</v>
      </c>
      <c r="FB51" s="316">
        <f t="shared" si="61"/>
        <v>0</v>
      </c>
      <c r="FC51" s="316">
        <f t="shared" si="61"/>
        <v>0</v>
      </c>
      <c r="FD51" s="316">
        <f t="shared" si="61"/>
        <v>0</v>
      </c>
      <c r="FE51" s="316">
        <f t="shared" si="61"/>
        <v>0</v>
      </c>
      <c r="FF51" s="316"/>
      <c r="FG51" s="316">
        <f t="shared" si="61"/>
        <v>0</v>
      </c>
      <c r="FH51" s="316">
        <f t="shared" si="61"/>
        <v>0</v>
      </c>
      <c r="FI51" s="316">
        <f t="shared" si="61"/>
        <v>0</v>
      </c>
      <c r="FJ51" s="316">
        <f t="shared" si="61"/>
        <v>0</v>
      </c>
      <c r="FK51" s="316">
        <f t="shared" si="61"/>
        <v>0</v>
      </c>
      <c r="FL51" s="168"/>
    </row>
    <row r="52" spans="2:168" ht="15.75" thickBot="1" x14ac:dyDescent="0.3">
      <c r="B52" s="108" t="s">
        <v>29</v>
      </c>
      <c r="C52" s="109">
        <f t="shared" ref="C52:P52" si="75">SUM(C39:C51)</f>
        <v>1290.05512</v>
      </c>
      <c r="D52" s="110">
        <f t="shared" si="75"/>
        <v>0</v>
      </c>
      <c r="E52" s="110">
        <f t="shared" si="75"/>
        <v>22397.87789</v>
      </c>
      <c r="F52" s="110">
        <f t="shared" si="75"/>
        <v>0</v>
      </c>
      <c r="G52" s="110">
        <f t="shared" si="75"/>
        <v>93201.03482999999</v>
      </c>
      <c r="H52" s="110">
        <f t="shared" si="75"/>
        <v>0</v>
      </c>
      <c r="I52" s="110">
        <f t="shared" si="75"/>
        <v>36538.833409999999</v>
      </c>
      <c r="J52" s="110">
        <f t="shared" si="75"/>
        <v>0</v>
      </c>
      <c r="K52" s="110">
        <f t="shared" si="75"/>
        <v>27098.46876</v>
      </c>
      <c r="L52" s="110">
        <f t="shared" si="75"/>
        <v>2021.1057800000001</v>
      </c>
      <c r="M52" s="110">
        <f t="shared" si="75"/>
        <v>635.31101999999998</v>
      </c>
      <c r="N52" s="110">
        <f t="shared" si="75"/>
        <v>458.91944000000001</v>
      </c>
      <c r="O52" s="110">
        <f t="shared" si="75"/>
        <v>10538.15394</v>
      </c>
      <c r="P52" s="112">
        <f t="shared" si="75"/>
        <v>194179.76019</v>
      </c>
      <c r="Y52" s="108" t="s">
        <v>29</v>
      </c>
      <c r="Z52" s="109">
        <f t="shared" ref="Z52:AM52" si="76">SUM(Z39:Z51)</f>
        <v>1290.05512</v>
      </c>
      <c r="AA52" s="110">
        <f t="shared" si="76"/>
        <v>0</v>
      </c>
      <c r="AB52" s="110">
        <f t="shared" si="76"/>
        <v>22397.87789</v>
      </c>
      <c r="AC52" s="110">
        <f t="shared" si="76"/>
        <v>0</v>
      </c>
      <c r="AD52" s="110">
        <f t="shared" si="76"/>
        <v>93201.03482999999</v>
      </c>
      <c r="AE52" s="110">
        <f t="shared" si="76"/>
        <v>0</v>
      </c>
      <c r="AF52" s="110">
        <f t="shared" si="76"/>
        <v>36538.833409999999</v>
      </c>
      <c r="AG52" s="110">
        <f t="shared" si="76"/>
        <v>0</v>
      </c>
      <c r="AH52" s="110">
        <f t="shared" si="76"/>
        <v>25979.037418428714</v>
      </c>
      <c r="AI52" s="110">
        <f t="shared" si="76"/>
        <v>1068.5260859571238</v>
      </c>
      <c r="AJ52" s="110">
        <f t="shared" si="76"/>
        <v>241.99803744665189</v>
      </c>
      <c r="AK52" s="110">
        <f t="shared" si="76"/>
        <v>458.91944000000001</v>
      </c>
      <c r="AL52" s="110">
        <f t="shared" si="76"/>
        <v>10538.15394</v>
      </c>
      <c r="AM52" s="112">
        <f t="shared" si="76"/>
        <v>191714.43617183247</v>
      </c>
      <c r="AO52" s="108" t="s">
        <v>29</v>
      </c>
      <c r="AP52" s="109">
        <f t="shared" ref="AP52:BC52" si="77">SUM(AP39:AP51)</f>
        <v>805</v>
      </c>
      <c r="AQ52" s="110">
        <f t="shared" si="77"/>
        <v>275</v>
      </c>
      <c r="AR52" s="110">
        <f t="shared" si="77"/>
        <v>8125</v>
      </c>
      <c r="AS52" s="110">
        <f t="shared" si="77"/>
        <v>385</v>
      </c>
      <c r="AT52" s="110">
        <f t="shared" si="77"/>
        <v>39755</v>
      </c>
      <c r="AU52" s="110">
        <f t="shared" si="77"/>
        <v>6100</v>
      </c>
      <c r="AV52" s="110">
        <f t="shared" si="77"/>
        <v>16280</v>
      </c>
      <c r="AW52" s="110">
        <f t="shared" si="77"/>
        <v>780</v>
      </c>
      <c r="AX52" s="110">
        <f t="shared" si="77"/>
        <v>33535</v>
      </c>
      <c r="AY52" s="110">
        <f t="shared" si="77"/>
        <v>810</v>
      </c>
      <c r="AZ52" s="110">
        <f t="shared" si="77"/>
        <v>60</v>
      </c>
      <c r="BA52" s="110">
        <f t="shared" si="77"/>
        <v>750</v>
      </c>
      <c r="BB52" s="110">
        <f t="shared" si="77"/>
        <v>8405</v>
      </c>
      <c r="BC52" s="112">
        <f t="shared" si="77"/>
        <v>116065</v>
      </c>
      <c r="BE52" s="108" t="s">
        <v>29</v>
      </c>
      <c r="BF52" s="120">
        <f t="shared" si="70"/>
        <v>1</v>
      </c>
      <c r="BG52" s="120" t="str">
        <f t="shared" si="70"/>
        <v/>
      </c>
      <c r="BH52" s="120">
        <f t="shared" si="70"/>
        <v>1</v>
      </c>
      <c r="BI52" s="120" t="str">
        <f t="shared" si="70"/>
        <v/>
      </c>
      <c r="BJ52" s="120">
        <f t="shared" si="70"/>
        <v>1</v>
      </c>
      <c r="BK52" s="120" t="str">
        <f t="shared" si="70"/>
        <v/>
      </c>
      <c r="BL52" s="120">
        <f t="shared" si="70"/>
        <v>1</v>
      </c>
      <c r="BM52" s="120" t="str">
        <f t="shared" si="70"/>
        <v/>
      </c>
      <c r="BN52" s="120">
        <f t="shared" si="70"/>
        <v>1</v>
      </c>
      <c r="BO52" s="120">
        <f t="shared" si="70"/>
        <v>1</v>
      </c>
      <c r="BP52" s="120">
        <f t="shared" si="70"/>
        <v>1</v>
      </c>
      <c r="BQ52" s="120">
        <f t="shared" si="70"/>
        <v>1</v>
      </c>
      <c r="BR52" s="120">
        <f t="shared" si="70"/>
        <v>1</v>
      </c>
      <c r="BS52" s="120">
        <f t="shared" si="70"/>
        <v>1</v>
      </c>
      <c r="BU52" s="108" t="s">
        <v>29</v>
      </c>
      <c r="BV52" s="120">
        <f t="shared" si="71"/>
        <v>1</v>
      </c>
      <c r="BW52" s="121">
        <f t="shared" si="71"/>
        <v>1</v>
      </c>
      <c r="BX52" s="121">
        <f t="shared" si="71"/>
        <v>1</v>
      </c>
      <c r="BY52" s="121">
        <f t="shared" si="71"/>
        <v>1</v>
      </c>
      <c r="BZ52" s="121">
        <f t="shared" si="71"/>
        <v>1</v>
      </c>
      <c r="CA52" s="121">
        <f t="shared" si="71"/>
        <v>1</v>
      </c>
      <c r="CB52" s="121">
        <f t="shared" si="71"/>
        <v>1</v>
      </c>
      <c r="CC52" s="121">
        <f t="shared" si="71"/>
        <v>1</v>
      </c>
      <c r="CD52" s="121">
        <f t="shared" si="71"/>
        <v>1</v>
      </c>
      <c r="CE52" s="121">
        <f t="shared" si="71"/>
        <v>1</v>
      </c>
      <c r="CF52" s="121">
        <f t="shared" si="71"/>
        <v>1</v>
      </c>
      <c r="CG52" s="121">
        <f t="shared" si="71"/>
        <v>1</v>
      </c>
      <c r="CH52" s="121">
        <f t="shared" si="71"/>
        <v>1</v>
      </c>
      <c r="CI52" s="123">
        <f t="shared" si="71"/>
        <v>1</v>
      </c>
      <c r="CK52" s="108" t="s">
        <v>29</v>
      </c>
      <c r="CL52" s="120">
        <f t="shared" si="73"/>
        <v>0</v>
      </c>
      <c r="CM52" s="121" t="str">
        <f t="shared" si="73"/>
        <v/>
      </c>
      <c r="CN52" s="121">
        <f t="shared" si="73"/>
        <v>0</v>
      </c>
      <c r="CO52" s="121" t="str">
        <f t="shared" si="73"/>
        <v/>
      </c>
      <c r="CP52" s="121"/>
      <c r="CQ52" s="121"/>
      <c r="CR52" s="121"/>
      <c r="CS52" s="121"/>
      <c r="CT52" s="121">
        <f t="shared" si="74"/>
        <v>0</v>
      </c>
      <c r="CU52" s="121">
        <f t="shared" si="74"/>
        <v>0</v>
      </c>
      <c r="CV52" s="121">
        <f t="shared" si="74"/>
        <v>0</v>
      </c>
      <c r="CW52" s="121">
        <f t="shared" si="74"/>
        <v>0</v>
      </c>
      <c r="CX52" s="121">
        <f t="shared" si="74"/>
        <v>0</v>
      </c>
      <c r="CY52" s="123">
        <f t="shared" si="74"/>
        <v>0</v>
      </c>
      <c r="DA52" s="108" t="s">
        <v>29</v>
      </c>
      <c r="DB52" s="120"/>
      <c r="DC52" s="121"/>
      <c r="DD52" s="121"/>
      <c r="DE52" s="121"/>
      <c r="DF52" s="121"/>
      <c r="DG52" s="121"/>
      <c r="DH52" s="121"/>
      <c r="DI52" s="121"/>
      <c r="DJ52" s="121"/>
      <c r="DK52" s="121"/>
      <c r="DL52" s="121"/>
      <c r="DM52" s="121"/>
      <c r="DN52" s="121"/>
      <c r="DO52" s="123"/>
      <c r="DQ52" s="108" t="s">
        <v>29</v>
      </c>
      <c r="DR52" s="120"/>
      <c r="DS52" s="121"/>
      <c r="DT52" s="121"/>
      <c r="DU52" s="121"/>
      <c r="DV52" s="121"/>
      <c r="DW52" s="121"/>
      <c r="DX52" s="121"/>
      <c r="DY52" s="121"/>
      <c r="DZ52" s="121"/>
      <c r="EA52" s="121"/>
      <c r="EB52" s="121"/>
      <c r="EC52" s="121"/>
      <c r="ED52" s="121"/>
      <c r="EE52" s="123"/>
      <c r="EG52" s="108" t="s">
        <v>29</v>
      </c>
      <c r="EH52" s="120"/>
      <c r="EI52" s="121"/>
      <c r="EJ52" s="121"/>
      <c r="EK52" s="121"/>
      <c r="EL52" s="121"/>
      <c r="EM52" s="121"/>
      <c r="EN52" s="121"/>
      <c r="EO52" s="121"/>
      <c r="EP52" s="121"/>
      <c r="EQ52" s="121"/>
      <c r="ER52" s="121"/>
      <c r="ES52" s="121"/>
      <c r="ET52" s="121"/>
      <c r="EU52" s="123"/>
      <c r="EW52" s="108" t="s">
        <v>29</v>
      </c>
      <c r="EX52" s="120"/>
      <c r="EY52" s="121"/>
      <c r="EZ52" s="121"/>
      <c r="FA52" s="121"/>
      <c r="FB52" s="121"/>
      <c r="FC52" s="121"/>
      <c r="FD52" s="121"/>
      <c r="FE52" s="121"/>
      <c r="FF52" s="121"/>
      <c r="FG52" s="121"/>
      <c r="FH52" s="121"/>
      <c r="FI52" s="121"/>
      <c r="FJ52" s="121"/>
      <c r="FK52" s="121"/>
      <c r="FL52" s="123"/>
    </row>
    <row r="53" spans="2:168" x14ac:dyDescent="0.25">
      <c r="B53" t="s">
        <v>548</v>
      </c>
      <c r="C53" s="383" t="s">
        <v>206</v>
      </c>
      <c r="D53" s="383"/>
      <c r="E53" s="383"/>
      <c r="F53" s="383"/>
      <c r="G53" s="383"/>
      <c r="H53" s="383"/>
      <c r="I53" s="383"/>
      <c r="J53" s="383"/>
      <c r="K53" s="383"/>
      <c r="L53" s="383"/>
      <c r="M53" s="383"/>
      <c r="N53" s="383"/>
      <c r="O53" s="383"/>
      <c r="P53" s="383"/>
      <c r="Y53" t="s">
        <v>548</v>
      </c>
      <c r="Z53" s="383" t="s">
        <v>206</v>
      </c>
      <c r="AA53" s="383"/>
      <c r="AB53" s="383"/>
      <c r="AC53" s="383"/>
      <c r="AD53" s="383"/>
      <c r="AE53" s="383"/>
      <c r="AF53" s="383"/>
      <c r="AG53" s="383"/>
      <c r="AH53" s="383"/>
      <c r="AI53" s="383"/>
      <c r="AJ53" s="383"/>
      <c r="AK53" s="383"/>
      <c r="AL53" s="383"/>
      <c r="AM53" s="383"/>
      <c r="AO53" t="s">
        <v>548</v>
      </c>
      <c r="AP53" s="383" t="s">
        <v>206</v>
      </c>
      <c r="AQ53" s="383"/>
      <c r="AR53" s="383"/>
      <c r="AS53" s="383"/>
      <c r="AT53" s="383"/>
      <c r="AU53" s="383"/>
      <c r="AV53" s="383"/>
      <c r="AW53" s="383"/>
      <c r="AX53" s="383"/>
      <c r="AY53" s="383"/>
      <c r="AZ53" s="383"/>
      <c r="BA53" s="383"/>
      <c r="BB53" s="383"/>
      <c r="BC53" s="383"/>
      <c r="BE53" t="s">
        <v>548</v>
      </c>
      <c r="BF53" s="383" t="s">
        <v>206</v>
      </c>
      <c r="BG53" s="383"/>
      <c r="BH53" s="383"/>
      <c r="BI53" s="383"/>
      <c r="BJ53" s="383"/>
      <c r="BK53" s="383"/>
      <c r="BL53" s="383"/>
      <c r="BM53" s="383"/>
      <c r="BN53" s="383"/>
      <c r="BO53" s="383"/>
      <c r="BP53" s="383"/>
      <c r="BQ53" s="383"/>
      <c r="BR53" s="383"/>
      <c r="BS53" s="383"/>
      <c r="BU53" t="s">
        <v>548</v>
      </c>
      <c r="BV53" s="383" t="s">
        <v>206</v>
      </c>
      <c r="BW53" s="383"/>
      <c r="BX53" s="383"/>
      <c r="BY53" s="383"/>
      <c r="BZ53" s="383"/>
      <c r="CA53" s="383"/>
      <c r="CB53" s="383"/>
      <c r="CC53" s="383"/>
      <c r="CD53" s="383"/>
      <c r="CE53" s="383"/>
      <c r="CF53" s="383"/>
      <c r="CG53" s="383"/>
      <c r="CH53" s="383"/>
      <c r="CI53" s="383"/>
      <c r="CK53" t="s">
        <v>548</v>
      </c>
      <c r="CL53" s="383" t="s">
        <v>206</v>
      </c>
      <c r="CM53" s="383"/>
      <c r="CN53" s="383"/>
      <c r="CO53" s="383"/>
      <c r="CP53" s="383"/>
      <c r="CQ53" s="383"/>
      <c r="CR53" s="383"/>
      <c r="CS53" s="383"/>
      <c r="CT53" s="383"/>
      <c r="CU53" s="383"/>
      <c r="CV53" s="383"/>
      <c r="CW53" s="383"/>
      <c r="CX53" s="383"/>
      <c r="CY53" s="383"/>
      <c r="DA53" t="s">
        <v>579</v>
      </c>
      <c r="DB53" s="383" t="s">
        <v>206</v>
      </c>
      <c r="DC53" s="383"/>
      <c r="DD53" s="383"/>
      <c r="DE53" s="383"/>
      <c r="DF53" s="383"/>
      <c r="DG53" s="383"/>
      <c r="DH53" s="383"/>
      <c r="DI53" s="383"/>
      <c r="DJ53" s="383"/>
      <c r="DK53" s="383"/>
      <c r="DL53" s="383"/>
      <c r="DM53" s="383"/>
      <c r="DN53" s="383"/>
      <c r="DO53" s="383"/>
      <c r="DQ53" t="s">
        <v>579</v>
      </c>
      <c r="DR53" s="383" t="s">
        <v>206</v>
      </c>
      <c r="DS53" s="383"/>
      <c r="DT53" s="383"/>
      <c r="DU53" s="383"/>
      <c r="DV53" s="383"/>
      <c r="DW53" s="383"/>
      <c r="DX53" s="383"/>
      <c r="DY53" s="383"/>
      <c r="DZ53" s="383"/>
      <c r="EA53" s="383"/>
      <c r="EB53" s="383"/>
      <c r="EC53" s="383"/>
      <c r="ED53" s="383"/>
      <c r="EE53" s="383"/>
      <c r="EG53" t="s">
        <v>579</v>
      </c>
      <c r="EH53" s="383" t="s">
        <v>206</v>
      </c>
      <c r="EI53" s="383"/>
      <c r="EJ53" s="383"/>
      <c r="EK53" s="383"/>
      <c r="EL53" s="383"/>
      <c r="EM53" s="383"/>
      <c r="EN53" s="383"/>
      <c r="EO53" s="383"/>
      <c r="EP53" s="383"/>
      <c r="EQ53" s="383"/>
      <c r="ER53" s="383"/>
      <c r="ES53" s="383"/>
      <c r="ET53" s="383"/>
      <c r="EU53" s="383"/>
      <c r="EW53" t="s">
        <v>579</v>
      </c>
      <c r="EX53" s="383" t="s">
        <v>207</v>
      </c>
      <c r="EY53" s="383"/>
      <c r="EZ53" s="383"/>
      <c r="FA53" s="383"/>
      <c r="FB53" s="383"/>
      <c r="FC53" s="383"/>
      <c r="FD53" s="383"/>
      <c r="FE53" s="383"/>
      <c r="FF53" s="383"/>
      <c r="FG53" s="383"/>
      <c r="FH53" s="383"/>
      <c r="FI53" s="383"/>
      <c r="FJ53" s="383"/>
      <c r="FK53" s="383"/>
      <c r="FL53" s="383"/>
    </row>
    <row r="54" spans="2:168" ht="35.450000000000003" customHeight="1" x14ac:dyDescent="0.25">
      <c r="B54" s="163" t="s">
        <v>207</v>
      </c>
      <c r="C54" s="164" t="s">
        <v>386</v>
      </c>
      <c r="D54" s="164" t="s">
        <v>387</v>
      </c>
      <c r="E54" s="164" t="s">
        <v>388</v>
      </c>
      <c r="F54" s="164" t="s">
        <v>389</v>
      </c>
      <c r="G54" s="164" t="s">
        <v>390</v>
      </c>
      <c r="H54" s="164" t="s">
        <v>391</v>
      </c>
      <c r="I54" s="164" t="s">
        <v>392</v>
      </c>
      <c r="J54" s="164" t="s">
        <v>393</v>
      </c>
      <c r="K54" s="164" t="s">
        <v>546</v>
      </c>
      <c r="L54" s="164" t="s">
        <v>396</v>
      </c>
      <c r="M54" s="164" t="s">
        <v>397</v>
      </c>
      <c r="N54" s="164" t="s">
        <v>398</v>
      </c>
      <c r="O54" s="164" t="s">
        <v>399</v>
      </c>
      <c r="P54" s="106" t="s">
        <v>29</v>
      </c>
      <c r="R54" s="164" t="s">
        <v>546</v>
      </c>
      <c r="S54" s="164" t="s">
        <v>396</v>
      </c>
      <c r="T54" s="164" t="s">
        <v>397</v>
      </c>
      <c r="U54" s="164" t="s">
        <v>546</v>
      </c>
      <c r="V54" s="164" t="s">
        <v>396</v>
      </c>
      <c r="W54" s="164" t="s">
        <v>397</v>
      </c>
      <c r="X54" s="296"/>
      <c r="Y54" s="163" t="s">
        <v>207</v>
      </c>
      <c r="Z54" s="164" t="s">
        <v>386</v>
      </c>
      <c r="AA54" s="164" t="s">
        <v>387</v>
      </c>
      <c r="AB54" s="164" t="s">
        <v>388</v>
      </c>
      <c r="AC54" s="164" t="s">
        <v>389</v>
      </c>
      <c r="AD54" s="164" t="s">
        <v>390</v>
      </c>
      <c r="AE54" s="164" t="s">
        <v>391</v>
      </c>
      <c r="AF54" s="164" t="s">
        <v>392</v>
      </c>
      <c r="AG54" s="164" t="s">
        <v>393</v>
      </c>
      <c r="AH54" s="164" t="s">
        <v>546</v>
      </c>
      <c r="AI54" s="164" t="s">
        <v>396</v>
      </c>
      <c r="AJ54" s="164" t="s">
        <v>397</v>
      </c>
      <c r="AK54" s="164" t="s">
        <v>398</v>
      </c>
      <c r="AL54" s="164" t="s">
        <v>399</v>
      </c>
      <c r="AM54" s="106" t="s">
        <v>29</v>
      </c>
      <c r="AN54" s="296"/>
      <c r="AO54" s="163" t="s">
        <v>207</v>
      </c>
      <c r="AP54" s="164" t="s">
        <v>386</v>
      </c>
      <c r="AQ54" s="164" t="s">
        <v>387</v>
      </c>
      <c r="AR54" s="164" t="s">
        <v>388</v>
      </c>
      <c r="AS54" s="164" t="s">
        <v>389</v>
      </c>
      <c r="AT54" s="164" t="s">
        <v>390</v>
      </c>
      <c r="AU54" s="164" t="s">
        <v>391</v>
      </c>
      <c r="AV54" s="164" t="s">
        <v>392</v>
      </c>
      <c r="AW54" s="164" t="s">
        <v>393</v>
      </c>
      <c r="AX54" s="164" t="s">
        <v>546</v>
      </c>
      <c r="AY54" s="164" t="s">
        <v>396</v>
      </c>
      <c r="AZ54" s="164" t="s">
        <v>397</v>
      </c>
      <c r="BA54" s="164" t="s">
        <v>398</v>
      </c>
      <c r="BB54" s="164" t="s">
        <v>399</v>
      </c>
      <c r="BC54" s="106" t="s">
        <v>29</v>
      </c>
      <c r="BE54" s="163" t="s">
        <v>207</v>
      </c>
      <c r="BF54" s="164" t="s">
        <v>538</v>
      </c>
      <c r="BG54" s="164"/>
      <c r="BH54" s="164" t="s">
        <v>576</v>
      </c>
      <c r="BI54" s="164"/>
      <c r="BJ54" s="164" t="s">
        <v>577</v>
      </c>
      <c r="BK54" s="164"/>
      <c r="BL54" s="164" t="s">
        <v>392</v>
      </c>
      <c r="BM54" s="164" t="s">
        <v>393</v>
      </c>
      <c r="BN54" s="164" t="s">
        <v>546</v>
      </c>
      <c r="BO54" s="164" t="s">
        <v>396</v>
      </c>
      <c r="BP54" s="164" t="s">
        <v>397</v>
      </c>
      <c r="BQ54" s="164" t="s">
        <v>398</v>
      </c>
      <c r="BR54" s="164" t="s">
        <v>399</v>
      </c>
      <c r="BS54" s="106" t="s">
        <v>29</v>
      </c>
      <c r="BU54" s="163" t="s">
        <v>207</v>
      </c>
      <c r="BV54" s="164" t="s">
        <v>538</v>
      </c>
      <c r="BW54" s="164"/>
      <c r="BX54" s="164" t="s">
        <v>576</v>
      </c>
      <c r="BY54" s="164"/>
      <c r="BZ54" s="164" t="s">
        <v>577</v>
      </c>
      <c r="CA54" s="164"/>
      <c r="CB54" s="164" t="s">
        <v>392</v>
      </c>
      <c r="CC54" s="164" t="s">
        <v>393</v>
      </c>
      <c r="CD54" s="164" t="s">
        <v>546</v>
      </c>
      <c r="CE54" s="164" t="s">
        <v>396</v>
      </c>
      <c r="CF54" s="164" t="s">
        <v>397</v>
      </c>
      <c r="CG54" s="164" t="s">
        <v>398</v>
      </c>
      <c r="CH54" s="164" t="s">
        <v>399</v>
      </c>
      <c r="CI54" s="106" t="s">
        <v>29</v>
      </c>
      <c r="CK54" s="163" t="s">
        <v>207</v>
      </c>
      <c r="CL54" s="164" t="s">
        <v>386</v>
      </c>
      <c r="CM54" s="164" t="s">
        <v>387</v>
      </c>
      <c r="CN54" s="164" t="s">
        <v>388</v>
      </c>
      <c r="CO54" s="164" t="s">
        <v>389</v>
      </c>
      <c r="CP54" s="164" t="s">
        <v>390</v>
      </c>
      <c r="CQ54" s="164" t="s">
        <v>391</v>
      </c>
      <c r="CR54" s="164" t="s">
        <v>392</v>
      </c>
      <c r="CS54" s="164" t="s">
        <v>393</v>
      </c>
      <c r="CT54" s="164" t="s">
        <v>546</v>
      </c>
      <c r="CU54" s="164" t="s">
        <v>396</v>
      </c>
      <c r="CV54" s="164" t="s">
        <v>397</v>
      </c>
      <c r="CW54" s="164" t="s">
        <v>398</v>
      </c>
      <c r="CX54" s="164" t="s">
        <v>399</v>
      </c>
      <c r="CY54" s="106" t="s">
        <v>29</v>
      </c>
      <c r="DA54" s="163" t="s">
        <v>207</v>
      </c>
      <c r="DB54" s="164" t="s">
        <v>538</v>
      </c>
      <c r="DC54" s="164"/>
      <c r="DD54" s="164" t="s">
        <v>576</v>
      </c>
      <c r="DE54" s="164"/>
      <c r="DF54" s="164" t="s">
        <v>577</v>
      </c>
      <c r="DG54" s="164"/>
      <c r="DH54" s="164" t="s">
        <v>392</v>
      </c>
      <c r="DI54" s="164" t="s">
        <v>393</v>
      </c>
      <c r="DJ54" s="164" t="s">
        <v>546</v>
      </c>
      <c r="DK54" s="164" t="s">
        <v>396</v>
      </c>
      <c r="DL54" s="164" t="s">
        <v>397</v>
      </c>
      <c r="DM54" s="164" t="s">
        <v>398</v>
      </c>
      <c r="DN54" s="164" t="s">
        <v>399</v>
      </c>
      <c r="DO54" s="106" t="s">
        <v>29</v>
      </c>
      <c r="DQ54" s="163" t="s">
        <v>207</v>
      </c>
      <c r="DR54" s="164" t="s">
        <v>538</v>
      </c>
      <c r="DS54" s="164"/>
      <c r="DT54" s="164" t="s">
        <v>576</v>
      </c>
      <c r="DU54" s="164"/>
      <c r="DV54" s="164" t="s">
        <v>577</v>
      </c>
      <c r="DW54" s="164"/>
      <c r="DX54" s="164" t="s">
        <v>392</v>
      </c>
      <c r="DY54" s="164" t="s">
        <v>393</v>
      </c>
      <c r="DZ54" s="164" t="s">
        <v>546</v>
      </c>
      <c r="EA54" s="164" t="s">
        <v>396</v>
      </c>
      <c r="EB54" s="164" t="s">
        <v>397</v>
      </c>
      <c r="EC54" s="164" t="s">
        <v>398</v>
      </c>
      <c r="ED54" s="164" t="s">
        <v>399</v>
      </c>
      <c r="EE54" s="106" t="s">
        <v>29</v>
      </c>
      <c r="EG54" s="163" t="s">
        <v>207</v>
      </c>
      <c r="EH54" s="164" t="s">
        <v>538</v>
      </c>
      <c r="EI54" s="164"/>
      <c r="EJ54" s="164" t="s">
        <v>576</v>
      </c>
      <c r="EK54" s="164"/>
      <c r="EL54" s="164" t="s">
        <v>577</v>
      </c>
      <c r="EM54" s="164"/>
      <c r="EN54" s="164" t="s">
        <v>392</v>
      </c>
      <c r="EO54" s="164" t="s">
        <v>393</v>
      </c>
      <c r="EP54" s="164" t="s">
        <v>546</v>
      </c>
      <c r="EQ54" s="164" t="s">
        <v>396</v>
      </c>
      <c r="ER54" s="164" t="s">
        <v>397</v>
      </c>
      <c r="ES54" s="164" t="s">
        <v>398</v>
      </c>
      <c r="ET54" s="164" t="s">
        <v>399</v>
      </c>
      <c r="EU54" s="106" t="s">
        <v>29</v>
      </c>
      <c r="EW54" s="163" t="s">
        <v>206</v>
      </c>
      <c r="EX54" s="164" t="s">
        <v>386</v>
      </c>
      <c r="EY54" s="164" t="s">
        <v>387</v>
      </c>
      <c r="EZ54" s="164" t="s">
        <v>388</v>
      </c>
      <c r="FA54" s="164" t="s">
        <v>389</v>
      </c>
      <c r="FB54" s="164" t="s">
        <v>390</v>
      </c>
      <c r="FC54" s="164" t="s">
        <v>391</v>
      </c>
      <c r="FD54" s="164" t="s">
        <v>392</v>
      </c>
      <c r="FE54" s="164" t="s">
        <v>393</v>
      </c>
      <c r="FF54" s="164"/>
      <c r="FG54" s="164" t="s">
        <v>546</v>
      </c>
      <c r="FH54" s="164" t="s">
        <v>396</v>
      </c>
      <c r="FI54" s="164" t="s">
        <v>397</v>
      </c>
      <c r="FJ54" s="164" t="s">
        <v>398</v>
      </c>
      <c r="FK54" s="164" t="s">
        <v>399</v>
      </c>
      <c r="FL54" s="106" t="s">
        <v>29</v>
      </c>
    </row>
    <row r="55" spans="2:168" x14ac:dyDescent="0.25">
      <c r="B55" s="107" t="s">
        <v>386</v>
      </c>
      <c r="C55" s="160">
        <f>TripMode_inputCBD!B148</f>
        <v>0</v>
      </c>
      <c r="D55" s="160">
        <f>TripMode_inputCBD!C148</f>
        <v>0</v>
      </c>
      <c r="E55" s="160">
        <f>TripMode_inputCBD!D148</f>
        <v>24658.072059999999</v>
      </c>
      <c r="F55" s="160">
        <f>TripMode_inputCBD!E148</f>
        <v>0</v>
      </c>
      <c r="G55" s="160">
        <f>TripMode_inputCBD!F148</f>
        <v>7086.0150100000001</v>
      </c>
      <c r="H55" s="160">
        <f>TripMode_inputCBD!G148</f>
        <v>119.42748</v>
      </c>
      <c r="I55" s="294"/>
      <c r="J55" s="294"/>
      <c r="K55" s="294"/>
      <c r="L55" s="294"/>
      <c r="M55" s="294"/>
      <c r="N55" s="294"/>
      <c r="O55" s="294"/>
      <c r="P55" s="161">
        <f t="shared" ref="P55:P67" si="78">SUM(C55:O55)</f>
        <v>31863.514549999996</v>
      </c>
      <c r="R55">
        <f>IF(K$63&gt;0,K55/K$63,0)</f>
        <v>0</v>
      </c>
      <c r="S55">
        <f>IF(L$64&gt;0,L55/L$64,0)</f>
        <v>0</v>
      </c>
      <c r="T55">
        <f>IF(M$65&gt;0,M55/M$65,0)</f>
        <v>0</v>
      </c>
      <c r="Y55" s="107" t="s">
        <v>386</v>
      </c>
      <c r="Z55" s="160">
        <f>+C55</f>
        <v>0</v>
      </c>
      <c r="AA55" s="160">
        <f t="shared" ref="AA55:AF61" si="79">+D55</f>
        <v>0</v>
      </c>
      <c r="AB55" s="160">
        <f t="shared" si="79"/>
        <v>24658.072059999999</v>
      </c>
      <c r="AC55" s="160">
        <f t="shared" si="79"/>
        <v>0</v>
      </c>
      <c r="AD55" s="160">
        <f t="shared" si="79"/>
        <v>7086.0150100000001</v>
      </c>
      <c r="AE55" s="160">
        <f t="shared" si="79"/>
        <v>119.42748</v>
      </c>
      <c r="AF55" s="294"/>
      <c r="AG55" s="294"/>
      <c r="AH55" s="294"/>
      <c r="AI55" s="294"/>
      <c r="AJ55" s="294"/>
      <c r="AK55" s="294"/>
      <c r="AL55" s="294"/>
      <c r="AM55" s="161">
        <f t="shared" ref="AM55:AM67" si="80">SUM(Z55:AL55)</f>
        <v>31863.514549999996</v>
      </c>
      <c r="AO55" s="107" t="s">
        <v>386</v>
      </c>
      <c r="AP55" s="160">
        <f>TripMode_inputCBD!R148*Index!$B$2</f>
        <v>0</v>
      </c>
      <c r="AQ55" s="160">
        <f>TripMode_inputCBD!S148*Index!$B$2</f>
        <v>0</v>
      </c>
      <c r="AR55" s="160">
        <f>TripMode_inputCBD!T148*Index!$B$2</f>
        <v>14395</v>
      </c>
      <c r="AS55" s="160">
        <f>TripMode_inputCBD!U148*Index!$B$2</f>
        <v>580</v>
      </c>
      <c r="AT55" s="160">
        <f>TripMode_inputCBD!V148*Index!$B$2</f>
        <v>4800</v>
      </c>
      <c r="AU55" s="160">
        <f>TripMode_inputCBD!W148*Index!$B$2</f>
        <v>325</v>
      </c>
      <c r="AV55" s="294">
        <f>TripMode_inputCBD!X148*Index!$B$2</f>
        <v>0</v>
      </c>
      <c r="AW55" s="294">
        <f>TripMode_inputCBD!Y148*Index!$B$2</f>
        <v>0</v>
      </c>
      <c r="AX55" s="294">
        <f>TripMode_inputCBD!Z148*Index!$B$2</f>
        <v>0</v>
      </c>
      <c r="AY55" s="294">
        <f>TripMode_inputCBD!AA148*Index!$B$2</f>
        <v>0</v>
      </c>
      <c r="AZ55" s="160">
        <f>TripMode_inputCBD!AB148*Index!$B$2</f>
        <v>0</v>
      </c>
      <c r="BA55" s="294">
        <f>TripMode_inputCBD!AC148*Index!$B$2</f>
        <v>0</v>
      </c>
      <c r="BB55" s="294">
        <f>TripMode_inputCBD!AD148*Index!$B$2</f>
        <v>0</v>
      </c>
      <c r="BC55" s="161">
        <f t="shared" ref="BC55:BC67" si="81">SUM(AP55:BB55)</f>
        <v>20100</v>
      </c>
      <c r="BE55" s="107" t="s">
        <v>538</v>
      </c>
      <c r="BF55" s="166" t="str">
        <f>IF(Z$68+AA$68&gt;0,SUM(Z55:AA56)/(Z$68+AA$68),"")</f>
        <v/>
      </c>
      <c r="BG55" s="166"/>
      <c r="BH55" s="166">
        <f>IF(AB$68+AC$68&gt;0,SUM(AB55:AC56)/(AB$68+AC$68),"")</f>
        <v>0.46231557905448684</v>
      </c>
      <c r="BI55" s="166"/>
      <c r="BJ55" s="166">
        <f>IF(AD$68+AE$68&gt;0,SUM(AD55:AE56)/(AD$68+AE$68),"")</f>
        <v>0.18016179703993238</v>
      </c>
      <c r="BK55" s="166"/>
      <c r="BL55" s="166">
        <f t="shared" ref="BL55:BS55" si="82">IF(AF$68&gt;0,(AF55+AF56)/AF$68,"")</f>
        <v>0</v>
      </c>
      <c r="BM55" s="166">
        <f t="shared" si="82"/>
        <v>0</v>
      </c>
      <c r="BN55" s="166">
        <f t="shared" si="82"/>
        <v>0</v>
      </c>
      <c r="BO55" s="166" t="str">
        <f t="shared" si="82"/>
        <v/>
      </c>
      <c r="BP55" s="166" t="str">
        <f t="shared" si="82"/>
        <v/>
      </c>
      <c r="BQ55" s="166" t="str">
        <f t="shared" si="82"/>
        <v/>
      </c>
      <c r="BR55" s="166" t="str">
        <f t="shared" si="82"/>
        <v/>
      </c>
      <c r="BS55" s="166">
        <f t="shared" si="82"/>
        <v>0.28220566873473851</v>
      </c>
      <c r="BU55" s="107" t="s">
        <v>538</v>
      </c>
      <c r="BV55" s="166" t="str">
        <f>IF(AP$68+AQ$68&gt;0,SUM(AP55:AQ56)/(AP$68+AQ$68),"")</f>
        <v/>
      </c>
      <c r="BW55" s="166"/>
      <c r="BX55" s="166">
        <f>IF(AR$68+AS$68&gt;0,SUM(AR55:AS56)/(AR$68+AS$68),"")</f>
        <v>0.39572815533980582</v>
      </c>
      <c r="BY55" s="166"/>
      <c r="BZ55" s="166">
        <f>IF(AT$68+AU$68&gt;0,SUM(AT55:AU56)/(AT$68+AU$68),"")</f>
        <v>0.21088572002410122</v>
      </c>
      <c r="CA55" s="166"/>
      <c r="CB55" s="166">
        <f t="shared" ref="CB55:CI55" si="83">IF(AV$68&gt;0,(AV55+AV56)/AV$68,"")</f>
        <v>0</v>
      </c>
      <c r="CC55" s="166">
        <f t="shared" si="83"/>
        <v>0</v>
      </c>
      <c r="CD55" s="166" t="str">
        <f t="shared" si="83"/>
        <v/>
      </c>
      <c r="CE55" s="166">
        <f t="shared" si="83"/>
        <v>0</v>
      </c>
      <c r="CF55" s="166" t="str">
        <f t="shared" si="83"/>
        <v/>
      </c>
      <c r="CG55" s="166" t="str">
        <f t="shared" si="83"/>
        <v/>
      </c>
      <c r="CH55" s="166" t="str">
        <f t="shared" si="83"/>
        <v/>
      </c>
      <c r="CI55" s="166">
        <f t="shared" si="83"/>
        <v>0.21224806201550386</v>
      </c>
      <c r="CK55" s="107" t="s">
        <v>386</v>
      </c>
      <c r="CL55" s="166" t="str">
        <f t="shared" ref="CL55:CO58" si="84">IF(OR(ISNA(BF55),BF55=0,BF55=""),"",(BV55-BF55)/BF55)</f>
        <v/>
      </c>
      <c r="CM55" s="166" t="str">
        <f t="shared" si="84"/>
        <v/>
      </c>
      <c r="CN55" s="166">
        <f t="shared" si="84"/>
        <v>-0.14403023980040539</v>
      </c>
      <c r="CO55" s="166" t="str">
        <f t="shared" si="84"/>
        <v/>
      </c>
      <c r="CP55" s="166"/>
      <c r="CQ55" s="166"/>
      <c r="CR55" s="166"/>
      <c r="CS55" s="166"/>
      <c r="CT55" s="166" t="str">
        <f t="shared" ref="CT55:CY58" si="85">IF(OR(ISNA(BN55),BN55=0,BN55=""),"",(CD55-BN55)/BN55)</f>
        <v/>
      </c>
      <c r="CU55" s="166" t="str">
        <f t="shared" si="85"/>
        <v/>
      </c>
      <c r="CV55" s="166" t="str">
        <f t="shared" si="85"/>
        <v/>
      </c>
      <c r="CW55" s="166" t="str">
        <f t="shared" si="85"/>
        <v/>
      </c>
      <c r="CX55" s="166" t="str">
        <f t="shared" si="85"/>
        <v/>
      </c>
      <c r="CY55" s="167">
        <f t="shared" si="85"/>
        <v>-0.2478958237546669</v>
      </c>
      <c r="DA55" s="107" t="s">
        <v>538</v>
      </c>
      <c r="DB55" s="314">
        <f>IFERROR(IF(BV55&gt;0,LN(BF55/BV55),0),0)</f>
        <v>0</v>
      </c>
      <c r="DC55" s="314"/>
      <c r="DD55" s="314">
        <f>IFERROR(IF(BX55&gt;0,LN(BH55/BX55),0),0)</f>
        <v>0.15552023033403592</v>
      </c>
      <c r="DE55" s="314"/>
      <c r="DF55" s="314">
        <f>IFERROR(IF(BZ55&gt;0,LN(BJ55/BZ55),0),0)</f>
        <v>-0.15746105590115489</v>
      </c>
      <c r="DG55" s="314"/>
      <c r="DH55" s="315"/>
      <c r="DI55" s="315"/>
      <c r="DJ55" s="315"/>
      <c r="DK55" s="315"/>
      <c r="DL55" s="315"/>
      <c r="DM55" s="315"/>
      <c r="DN55" s="315"/>
      <c r="DO55" s="167"/>
      <c r="DQ55" s="107" t="s">
        <v>538</v>
      </c>
      <c r="DR55" s="314">
        <v>0</v>
      </c>
      <c r="DS55" s="314">
        <v>0</v>
      </c>
      <c r="DT55" s="314">
        <v>0</v>
      </c>
      <c r="DU55" s="314">
        <v>0</v>
      </c>
      <c r="DV55" s="314">
        <v>0</v>
      </c>
      <c r="DW55" s="314">
        <v>0</v>
      </c>
      <c r="DX55" s="315"/>
      <c r="DY55" s="315"/>
      <c r="DZ55" s="315"/>
      <c r="EA55" s="315"/>
      <c r="EB55" s="315"/>
      <c r="EC55" s="315"/>
      <c r="ED55" s="315"/>
      <c r="EE55" s="167"/>
      <c r="EG55" s="107" t="s">
        <v>538</v>
      </c>
      <c r="EH55" s="314">
        <v>0</v>
      </c>
      <c r="EI55" s="314">
        <v>0</v>
      </c>
      <c r="EJ55" s="314">
        <v>0</v>
      </c>
      <c r="EK55" s="314">
        <v>0</v>
      </c>
      <c r="EL55" s="314">
        <v>0</v>
      </c>
      <c r="EM55" s="314">
        <v>0</v>
      </c>
      <c r="EN55" s="315"/>
      <c r="EO55" s="315"/>
      <c r="EP55" s="315"/>
      <c r="EQ55" s="315"/>
      <c r="ER55" s="315"/>
      <c r="ES55" s="315"/>
      <c r="ET55" s="315"/>
      <c r="EU55" s="167"/>
      <c r="EW55" s="164" t="s">
        <v>386</v>
      </c>
      <c r="EX55" s="316">
        <f>INDEX($EH$55:$ET$67,EX$4,MATCH($EW55,$EW$7:$EW$19,0))</f>
        <v>0</v>
      </c>
      <c r="EY55" s="316">
        <f t="shared" ref="EY55:FK67" si="86">INDEX($EH$55:$ET$67,EY$4,MATCH($EW55,$EW$7:$EW$19,0))</f>
        <v>0</v>
      </c>
      <c r="EZ55" s="316">
        <f t="shared" si="86"/>
        <v>0</v>
      </c>
      <c r="FA55" s="316">
        <f t="shared" si="86"/>
        <v>0</v>
      </c>
      <c r="FB55" s="316">
        <f t="shared" si="86"/>
        <v>0</v>
      </c>
      <c r="FC55" s="316">
        <f t="shared" si="86"/>
        <v>0</v>
      </c>
      <c r="FD55" s="316">
        <f t="shared" si="86"/>
        <v>0</v>
      </c>
      <c r="FE55" s="316">
        <f t="shared" si="86"/>
        <v>0</v>
      </c>
      <c r="FF55" s="316"/>
      <c r="FG55" s="316">
        <f t="shared" si="86"/>
        <v>0</v>
      </c>
      <c r="FH55" s="316">
        <f t="shared" si="86"/>
        <v>0</v>
      </c>
      <c r="FI55" s="316">
        <f t="shared" si="86"/>
        <v>0</v>
      </c>
      <c r="FJ55" s="316">
        <f t="shared" si="86"/>
        <v>0</v>
      </c>
      <c r="FK55" s="316">
        <f t="shared" si="86"/>
        <v>0</v>
      </c>
      <c r="FL55" s="167"/>
    </row>
    <row r="56" spans="2:168" x14ac:dyDescent="0.25">
      <c r="B56" s="107" t="s">
        <v>387</v>
      </c>
      <c r="C56" s="160">
        <f>TripMode_inputCBD!B149</f>
        <v>0</v>
      </c>
      <c r="D56" s="160">
        <f>TripMode_inputCBD!C149</f>
        <v>0</v>
      </c>
      <c r="E56" s="160">
        <f>TripMode_inputCBD!D149</f>
        <v>0</v>
      </c>
      <c r="F56" s="160">
        <f>TripMode_inputCBD!E149</f>
        <v>0</v>
      </c>
      <c r="G56" s="160">
        <f>TripMode_inputCBD!F149</f>
        <v>0</v>
      </c>
      <c r="H56" s="160">
        <f>TripMode_inputCBD!G149</f>
        <v>119.42748</v>
      </c>
      <c r="I56" s="294"/>
      <c r="J56" s="294"/>
      <c r="K56" s="294"/>
      <c r="L56" s="294"/>
      <c r="M56" s="294"/>
      <c r="N56" s="294"/>
      <c r="O56" s="294"/>
      <c r="P56" s="162">
        <f t="shared" si="78"/>
        <v>119.42748</v>
      </c>
      <c r="R56">
        <f t="shared" ref="R56:R67" si="87">IF(K$63&gt;0,K56/K$63,0)</f>
        <v>0</v>
      </c>
      <c r="S56">
        <f t="shared" ref="S56:S67" si="88">IF(L$64&gt;0,L56/L$64,0)</f>
        <v>0</v>
      </c>
      <c r="T56">
        <f t="shared" ref="T56:T67" si="89">IF(M$65&gt;0,M56/M$65,0)</f>
        <v>0</v>
      </c>
      <c r="Y56" s="107" t="s">
        <v>387</v>
      </c>
      <c r="Z56" s="160">
        <f>+C56</f>
        <v>0</v>
      </c>
      <c r="AA56" s="160">
        <f t="shared" si="79"/>
        <v>0</v>
      </c>
      <c r="AB56" s="160">
        <f t="shared" si="79"/>
        <v>0</v>
      </c>
      <c r="AC56" s="160">
        <f t="shared" si="79"/>
        <v>0</v>
      </c>
      <c r="AD56" s="160">
        <f t="shared" si="79"/>
        <v>0</v>
      </c>
      <c r="AE56" s="160">
        <f t="shared" si="79"/>
        <v>119.42748</v>
      </c>
      <c r="AF56" s="294"/>
      <c r="AG56" s="294"/>
      <c r="AH56" s="294"/>
      <c r="AI56" s="294"/>
      <c r="AJ56" s="294"/>
      <c r="AK56" s="294"/>
      <c r="AL56" s="294"/>
      <c r="AM56" s="162">
        <f t="shared" si="80"/>
        <v>119.42748</v>
      </c>
      <c r="AO56" s="107" t="s">
        <v>387</v>
      </c>
      <c r="AP56" s="160">
        <f>TripMode_inputCBD!R149*Index!$B$2</f>
        <v>0</v>
      </c>
      <c r="AQ56" s="160">
        <f>TripMode_inputCBD!S149*Index!$B$2</f>
        <v>0</v>
      </c>
      <c r="AR56" s="160">
        <f>TripMode_inputCBD!T149*Index!$B$2</f>
        <v>140</v>
      </c>
      <c r="AS56" s="160">
        <f>TripMode_inputCBD!U149*Index!$B$2</f>
        <v>170</v>
      </c>
      <c r="AT56" s="160">
        <f>TripMode_inputCBD!V149*Index!$B$2</f>
        <v>55</v>
      </c>
      <c r="AU56" s="160">
        <f>TripMode_inputCBD!W149*Index!$B$2</f>
        <v>70</v>
      </c>
      <c r="AV56" s="294">
        <f>TripMode_inputCBD!X149*Index!$B$2</f>
        <v>0</v>
      </c>
      <c r="AW56" s="294">
        <f>TripMode_inputCBD!Y149*Index!$B$2</f>
        <v>0</v>
      </c>
      <c r="AX56" s="294">
        <f>TripMode_inputCBD!Z149*Index!$B$2</f>
        <v>0</v>
      </c>
      <c r="AY56" s="294">
        <f>TripMode_inputCBD!AA149*Index!$B$2</f>
        <v>0</v>
      </c>
      <c r="AZ56" s="160">
        <f>TripMode_inputCBD!AB149*Index!$B$2</f>
        <v>0</v>
      </c>
      <c r="BA56" s="294">
        <f>TripMode_inputCBD!AC149*Index!$B$2</f>
        <v>0</v>
      </c>
      <c r="BB56" s="294">
        <f>TripMode_inputCBD!AD149*Index!$B$2</f>
        <v>0</v>
      </c>
      <c r="BC56" s="162">
        <f t="shared" si="81"/>
        <v>435</v>
      </c>
      <c r="BE56" s="107"/>
      <c r="BF56" s="166"/>
      <c r="BG56" s="166"/>
      <c r="BH56" s="166"/>
      <c r="BI56" s="166"/>
      <c r="BJ56" s="166"/>
      <c r="BK56" s="166"/>
      <c r="BL56" s="166"/>
      <c r="BM56" s="166"/>
      <c r="BN56" s="166"/>
      <c r="BO56" s="166"/>
      <c r="BP56" s="166"/>
      <c r="BQ56" s="166"/>
      <c r="BR56" s="166"/>
      <c r="BS56" s="166"/>
      <c r="BU56" s="107"/>
      <c r="BV56" s="166"/>
      <c r="BW56" s="166"/>
      <c r="BX56" s="166"/>
      <c r="BY56" s="166"/>
      <c r="BZ56" s="166"/>
      <c r="CA56" s="166"/>
      <c r="CB56" s="166"/>
      <c r="CC56" s="166"/>
      <c r="CD56" s="166"/>
      <c r="CE56" s="166"/>
      <c r="CF56" s="166"/>
      <c r="CG56" s="166"/>
      <c r="CH56" s="166"/>
      <c r="CI56" s="166"/>
      <c r="CK56" s="107" t="s">
        <v>387</v>
      </c>
      <c r="CL56" s="166" t="str">
        <f t="shared" si="84"/>
        <v/>
      </c>
      <c r="CM56" s="166" t="str">
        <f t="shared" si="84"/>
        <v/>
      </c>
      <c r="CN56" s="166" t="str">
        <f t="shared" si="84"/>
        <v/>
      </c>
      <c r="CO56" s="166" t="str">
        <f t="shared" si="84"/>
        <v/>
      </c>
      <c r="CP56" s="166"/>
      <c r="CQ56" s="166"/>
      <c r="CR56" s="166"/>
      <c r="CS56" s="166"/>
      <c r="CT56" s="166" t="str">
        <f t="shared" si="85"/>
        <v/>
      </c>
      <c r="CU56" s="166" t="str">
        <f t="shared" si="85"/>
        <v/>
      </c>
      <c r="CV56" s="166" t="str">
        <f t="shared" si="85"/>
        <v/>
      </c>
      <c r="CW56" s="166" t="str">
        <f t="shared" si="85"/>
        <v/>
      </c>
      <c r="CX56" s="166" t="str">
        <f t="shared" si="85"/>
        <v/>
      </c>
      <c r="CY56" s="168" t="str">
        <f t="shared" si="85"/>
        <v/>
      </c>
      <c r="DA56" s="107"/>
      <c r="DB56" s="314"/>
      <c r="DC56" s="314"/>
      <c r="DD56" s="314"/>
      <c r="DE56" s="314"/>
      <c r="DF56" s="314"/>
      <c r="DG56" s="314"/>
      <c r="DH56" s="315"/>
      <c r="DI56" s="315"/>
      <c r="DJ56" s="315"/>
      <c r="DK56" s="315"/>
      <c r="DL56" s="315"/>
      <c r="DM56" s="315"/>
      <c r="DN56" s="315"/>
      <c r="DO56" s="168"/>
      <c r="DQ56" s="107"/>
      <c r="DR56" s="314">
        <v>0</v>
      </c>
      <c r="DS56" s="314">
        <v>0</v>
      </c>
      <c r="DT56" s="314">
        <v>0</v>
      </c>
      <c r="DU56" s="314">
        <v>0</v>
      </c>
      <c r="DV56" s="314">
        <v>0</v>
      </c>
      <c r="DW56" s="314">
        <v>0</v>
      </c>
      <c r="DX56" s="315"/>
      <c r="DY56" s="315"/>
      <c r="DZ56" s="315"/>
      <c r="EA56" s="315"/>
      <c r="EB56" s="315"/>
      <c r="EC56" s="315"/>
      <c r="ED56" s="315"/>
      <c r="EE56" s="168"/>
      <c r="EG56" s="107"/>
      <c r="EH56" s="314">
        <v>0</v>
      </c>
      <c r="EI56" s="314">
        <v>0</v>
      </c>
      <c r="EJ56" s="314">
        <v>0</v>
      </c>
      <c r="EK56" s="314">
        <v>0</v>
      </c>
      <c r="EL56" s="314">
        <v>0</v>
      </c>
      <c r="EM56" s="314">
        <v>0</v>
      </c>
      <c r="EN56" s="315"/>
      <c r="EO56" s="315"/>
      <c r="EP56" s="315"/>
      <c r="EQ56" s="315"/>
      <c r="ER56" s="315"/>
      <c r="ES56" s="315"/>
      <c r="ET56" s="315"/>
      <c r="EU56" s="168"/>
      <c r="EW56" s="164" t="s">
        <v>387</v>
      </c>
      <c r="EX56" s="316">
        <f t="shared" ref="EX56:EX67" si="90">INDEX($EH$55:$ET$67,EX$4,MATCH($EW56,$EW$7:$EW$19,0))</f>
        <v>0</v>
      </c>
      <c r="EY56" s="316">
        <f t="shared" si="86"/>
        <v>0</v>
      </c>
      <c r="EZ56" s="316">
        <f t="shared" si="86"/>
        <v>0</v>
      </c>
      <c r="FA56" s="316">
        <f t="shared" si="86"/>
        <v>0</v>
      </c>
      <c r="FB56" s="316">
        <f t="shared" si="86"/>
        <v>0</v>
      </c>
      <c r="FC56" s="316">
        <f t="shared" si="86"/>
        <v>0</v>
      </c>
      <c r="FD56" s="316">
        <f t="shared" si="86"/>
        <v>0</v>
      </c>
      <c r="FE56" s="316">
        <f t="shared" si="86"/>
        <v>0</v>
      </c>
      <c r="FF56" s="316"/>
      <c r="FG56" s="316">
        <f t="shared" si="86"/>
        <v>0</v>
      </c>
      <c r="FH56" s="316">
        <f t="shared" si="86"/>
        <v>0</v>
      </c>
      <c r="FI56" s="316">
        <f t="shared" si="86"/>
        <v>0</v>
      </c>
      <c r="FJ56" s="316">
        <f t="shared" si="86"/>
        <v>0</v>
      </c>
      <c r="FK56" s="316">
        <f t="shared" si="86"/>
        <v>0</v>
      </c>
      <c r="FL56" s="168"/>
    </row>
    <row r="57" spans="2:168" x14ac:dyDescent="0.25">
      <c r="B57" s="107" t="s">
        <v>388</v>
      </c>
      <c r="C57" s="294"/>
      <c r="D57" s="294"/>
      <c r="E57" s="160">
        <f>TripMode_inputCBD!D150</f>
        <v>28563.216110000001</v>
      </c>
      <c r="F57" s="160">
        <f>TripMode_inputCBD!E150</f>
        <v>0</v>
      </c>
      <c r="G57" s="160">
        <f>TripMode_inputCBD!F150</f>
        <v>12285.08475</v>
      </c>
      <c r="H57" s="160">
        <f>TripMode_inputCBD!G150</f>
        <v>119.42748</v>
      </c>
      <c r="I57" s="294"/>
      <c r="J57" s="294"/>
      <c r="K57" s="160">
        <f>TripMode_inputCBD!J150+TripMode_inputCBD!K150</f>
        <v>0</v>
      </c>
      <c r="L57" s="294"/>
      <c r="M57" s="294"/>
      <c r="N57" s="160">
        <f>TripMode_inputCBD!N150</f>
        <v>0</v>
      </c>
      <c r="O57" s="294"/>
      <c r="P57" s="162">
        <f t="shared" si="78"/>
        <v>40967.728340000001</v>
      </c>
      <c r="R57">
        <f t="shared" si="87"/>
        <v>0</v>
      </c>
      <c r="S57">
        <f t="shared" si="88"/>
        <v>0</v>
      </c>
      <c r="T57">
        <f t="shared" si="89"/>
        <v>0</v>
      </c>
      <c r="Y57" s="107" t="s">
        <v>388</v>
      </c>
      <c r="Z57" s="294"/>
      <c r="AA57" s="294"/>
      <c r="AB57" s="160">
        <f t="shared" si="79"/>
        <v>28563.216110000001</v>
      </c>
      <c r="AC57" s="160">
        <f t="shared" si="79"/>
        <v>0</v>
      </c>
      <c r="AD57" s="160">
        <f t="shared" si="79"/>
        <v>12285.08475</v>
      </c>
      <c r="AE57" s="160">
        <f t="shared" si="79"/>
        <v>119.42748</v>
      </c>
      <c r="AF57" s="294"/>
      <c r="AG57" s="294"/>
      <c r="AH57" s="160">
        <f>AH63*R57</f>
        <v>0</v>
      </c>
      <c r="AI57" s="294"/>
      <c r="AJ57" s="294"/>
      <c r="AK57" s="160">
        <f>+N57</f>
        <v>0</v>
      </c>
      <c r="AL57" s="294"/>
      <c r="AM57" s="162">
        <f t="shared" si="80"/>
        <v>40967.728340000001</v>
      </c>
      <c r="AO57" s="107" t="s">
        <v>388</v>
      </c>
      <c r="AP57" s="294">
        <f>TripMode_inputCBD!R150*Index!$B$2</f>
        <v>0</v>
      </c>
      <c r="AQ57" s="294">
        <f>TripMode_inputCBD!S150*Index!$B$2</f>
        <v>0</v>
      </c>
      <c r="AR57" s="160">
        <f>TripMode_inputCBD!T150*Index!$B$2</f>
        <v>18190</v>
      </c>
      <c r="AS57" s="160">
        <f>TripMode_inputCBD!U150*Index!$B$2</f>
        <v>645</v>
      </c>
      <c r="AT57" s="160">
        <f>TripMode_inputCBD!V150*Index!$B$2</f>
        <v>4040</v>
      </c>
      <c r="AU57" s="160">
        <f>TripMode_inputCBD!W150*Index!$B$2</f>
        <v>205</v>
      </c>
      <c r="AV57" s="294">
        <f>TripMode_inputCBD!X150*Index!$B$2</f>
        <v>0</v>
      </c>
      <c r="AW57" s="294">
        <f>TripMode_inputCBD!Y150*Index!$B$2</f>
        <v>0</v>
      </c>
      <c r="AX57" s="160">
        <f>TripMode_inputCBD!Z150*Index!$B$2</f>
        <v>0</v>
      </c>
      <c r="AY57" s="160">
        <f>TripMode_inputCBD!AA150*Index!$B$2</f>
        <v>15</v>
      </c>
      <c r="AZ57" s="160">
        <f>TripMode_inputCBD!AB150*Index!$B$2</f>
        <v>0</v>
      </c>
      <c r="BA57" s="160">
        <f>TripMode_inputCBD!AC150*Index!$B$2</f>
        <v>0</v>
      </c>
      <c r="BB57" s="294">
        <f>TripMode_inputCBD!AD150*Index!$B$2</f>
        <v>0</v>
      </c>
      <c r="BC57" s="162">
        <f t="shared" si="81"/>
        <v>23095</v>
      </c>
      <c r="BE57" s="107" t="s">
        <v>576</v>
      </c>
      <c r="BF57" s="166" t="str">
        <f>IF(Z$68+AA$68&gt;0,SUM(Z57:AA58)/(Z$68+AA$68),"")</f>
        <v/>
      </c>
      <c r="BG57" s="166"/>
      <c r="BH57" s="166">
        <f>IF(AB$68+AC$68&gt;0,SUM(AB57:AC58)/(AB$68+AC$68),"")</f>
        <v>0.53553334435154121</v>
      </c>
      <c r="BI57" s="166"/>
      <c r="BJ57" s="166">
        <f>IF(AD$68+AE$68&gt;0,SUM(AD57:AE58)/(AD$68+AE$68),"")</f>
        <v>0.30510018934310429</v>
      </c>
      <c r="BK57" s="166"/>
      <c r="BL57" s="166">
        <f t="shared" ref="BL57:BS57" si="91">IF(AF$68&gt;0,(AF57+AF58)/AF$68,"")</f>
        <v>0</v>
      </c>
      <c r="BM57" s="166">
        <f t="shared" si="91"/>
        <v>0</v>
      </c>
      <c r="BN57" s="166">
        <f t="shared" si="91"/>
        <v>0</v>
      </c>
      <c r="BO57" s="166" t="str">
        <f t="shared" si="91"/>
        <v/>
      </c>
      <c r="BP57" s="166" t="str">
        <f t="shared" si="91"/>
        <v/>
      </c>
      <c r="BQ57" s="166" t="str">
        <f t="shared" si="91"/>
        <v/>
      </c>
      <c r="BR57" s="166" t="str">
        <f t="shared" si="91"/>
        <v/>
      </c>
      <c r="BS57" s="166">
        <f t="shared" si="91"/>
        <v>0.3614841049296928</v>
      </c>
      <c r="BU57" s="107" t="s">
        <v>576</v>
      </c>
      <c r="BV57" s="166" t="str">
        <f>IF(AP$68+AQ$68&gt;0,SUM(AP57:AQ58)/(AP$68+AQ$68),"")</f>
        <v/>
      </c>
      <c r="BW57" s="166"/>
      <c r="BX57" s="166">
        <f>IF(AR$68+AS$68&gt;0,SUM(AR57:AS58)/(AR$68+AS$68),"")</f>
        <v>0.4968284789644013</v>
      </c>
      <c r="BY57" s="166"/>
      <c r="BZ57" s="166">
        <f>IF(AT$68+AU$68&gt;0,SUM(AT57:AU58)/(AT$68+AU$68),"")</f>
        <v>0.17553725647720425</v>
      </c>
      <c r="CA57" s="166"/>
      <c r="CB57" s="166">
        <f t="shared" ref="CB57:CI57" si="92">IF(AV$68&gt;0,(AV57+AV58)/AV$68,"")</f>
        <v>0</v>
      </c>
      <c r="CC57" s="166">
        <f t="shared" si="92"/>
        <v>0</v>
      </c>
      <c r="CD57" s="166" t="str">
        <f t="shared" si="92"/>
        <v/>
      </c>
      <c r="CE57" s="166">
        <f t="shared" si="92"/>
        <v>4.7619047619047623E-3</v>
      </c>
      <c r="CF57" s="166" t="str">
        <f t="shared" si="92"/>
        <v/>
      </c>
      <c r="CG57" s="166" t="str">
        <f t="shared" si="92"/>
        <v/>
      </c>
      <c r="CH57" s="166" t="str">
        <f t="shared" si="92"/>
        <v/>
      </c>
      <c r="CI57" s="166">
        <f t="shared" si="92"/>
        <v>0.24366925064599484</v>
      </c>
      <c r="CK57" s="107" t="s">
        <v>388</v>
      </c>
      <c r="CL57" s="166" t="str">
        <f t="shared" si="84"/>
        <v/>
      </c>
      <c r="CM57" s="166" t="str">
        <f t="shared" si="84"/>
        <v/>
      </c>
      <c r="CN57" s="166">
        <f t="shared" si="84"/>
        <v>-7.2273492949363013E-2</v>
      </c>
      <c r="CO57" s="166" t="str">
        <f t="shared" si="84"/>
        <v/>
      </c>
      <c r="CP57" s="166"/>
      <c r="CQ57" s="166"/>
      <c r="CR57" s="166"/>
      <c r="CS57" s="166"/>
      <c r="CT57" s="166" t="str">
        <f t="shared" si="85"/>
        <v/>
      </c>
      <c r="CU57" s="166" t="str">
        <f t="shared" si="85"/>
        <v/>
      </c>
      <c r="CV57" s="166" t="str">
        <f t="shared" si="85"/>
        <v/>
      </c>
      <c r="CW57" s="166" t="str">
        <f t="shared" si="85"/>
        <v/>
      </c>
      <c r="CX57" s="166" t="str">
        <f t="shared" si="85"/>
        <v/>
      </c>
      <c r="CY57" s="168">
        <f t="shared" si="85"/>
        <v>-0.32591987497379027</v>
      </c>
      <c r="DA57" s="107" t="s">
        <v>576</v>
      </c>
      <c r="DB57" s="315"/>
      <c r="DC57" s="315"/>
      <c r="DD57" s="314">
        <f>IFERROR(IF(BX57&gt;0,LN(BH57/BX57),0),0)</f>
        <v>7.5018301862037007E-2</v>
      </c>
      <c r="DE57" s="314"/>
      <c r="DF57" s="314">
        <f>IFERROR(IF(BZ57&gt;0,LN(BJ57/BZ57),0),0)</f>
        <v>0.55278890432053163</v>
      </c>
      <c r="DG57" s="314"/>
      <c r="DH57" s="315"/>
      <c r="DI57" s="315"/>
      <c r="DJ57" s="314">
        <f>IFERROR(IF(CD57&gt;0,LN(BN57/CD57),0),0)</f>
        <v>0</v>
      </c>
      <c r="DK57" s="315"/>
      <c r="DL57" s="315"/>
      <c r="DM57" s="314">
        <f>IFERROR(IF(CG57&gt;0,LN(BQ57/CG57),0),0)</f>
        <v>0</v>
      </c>
      <c r="DN57" s="315"/>
      <c r="DO57" s="168"/>
      <c r="DQ57" s="107" t="s">
        <v>576</v>
      </c>
      <c r="DR57" s="315"/>
      <c r="DS57" s="315"/>
      <c r="DT57" s="314">
        <v>-2.3285872395697051</v>
      </c>
      <c r="DU57" s="314">
        <v>-2.3285872395697051</v>
      </c>
      <c r="DV57" s="314">
        <v>2.3123706668677184</v>
      </c>
      <c r="DW57" s="314">
        <v>2.3123706668677184</v>
      </c>
      <c r="DX57" s="315"/>
      <c r="DY57" s="315"/>
      <c r="DZ57" s="314">
        <v>-4.5834209169339726</v>
      </c>
      <c r="EA57" s="315"/>
      <c r="EB57" s="315"/>
      <c r="EC57" s="314">
        <v>0</v>
      </c>
      <c r="ED57" s="315"/>
      <c r="EE57" s="168"/>
      <c r="EG57" s="107" t="s">
        <v>576</v>
      </c>
      <c r="EH57" s="315"/>
      <c r="EI57" s="315"/>
      <c r="EJ57" s="314">
        <f>DT57+(DD57-DD$55)*$EI$1</f>
        <v>-2.4090891680417039</v>
      </c>
      <c r="EK57" s="314">
        <f>DT57+(DD57-DD$55)*$EI$1</f>
        <v>-2.4090891680417039</v>
      </c>
      <c r="EL57" s="314">
        <f>DV57+(DF57-DF$55)*$EI$1</f>
        <v>3.0226206270894052</v>
      </c>
      <c r="EM57" s="314">
        <f>DV57+(DF57-DF$55)*$EI$1</f>
        <v>3.0226206270894052</v>
      </c>
      <c r="EN57" s="315"/>
      <c r="EO57" s="315"/>
      <c r="EP57" s="314">
        <f>DZ57+(DJ57-DJ$63)*$EI$1</f>
        <v>-4.5834209169339726</v>
      </c>
      <c r="EQ57" s="315"/>
      <c r="ER57" s="315"/>
      <c r="ES57" s="314">
        <f>EC57+(DM57-DM$66)*$EI$14</f>
        <v>0</v>
      </c>
      <c r="ET57" s="315"/>
      <c r="EU57" s="168"/>
      <c r="EW57" s="164" t="s">
        <v>388</v>
      </c>
      <c r="EX57" s="316">
        <f t="shared" si="90"/>
        <v>0</v>
      </c>
      <c r="EY57" s="316">
        <f t="shared" si="86"/>
        <v>0</v>
      </c>
      <c r="EZ57" s="316">
        <f t="shared" si="86"/>
        <v>-2.4090891680417039</v>
      </c>
      <c r="FA57" s="316">
        <f t="shared" si="86"/>
        <v>-2.4090891680417039</v>
      </c>
      <c r="FB57" s="316">
        <f t="shared" si="86"/>
        <v>0</v>
      </c>
      <c r="FC57" s="316">
        <f t="shared" si="86"/>
        <v>0</v>
      </c>
      <c r="FD57" s="316">
        <f t="shared" si="86"/>
        <v>-7.5458414043620339</v>
      </c>
      <c r="FE57" s="316">
        <f t="shared" si="86"/>
        <v>0</v>
      </c>
      <c r="FF57" s="316"/>
      <c r="FG57" s="316">
        <f t="shared" si="86"/>
        <v>0</v>
      </c>
      <c r="FH57" s="316">
        <f t="shared" si="86"/>
        <v>0</v>
      </c>
      <c r="FI57" s="316">
        <f t="shared" si="86"/>
        <v>0</v>
      </c>
      <c r="FJ57" s="316">
        <f t="shared" si="86"/>
        <v>0</v>
      </c>
      <c r="FK57" s="316">
        <f t="shared" si="86"/>
        <v>0</v>
      </c>
      <c r="FL57" s="168"/>
    </row>
    <row r="58" spans="2:168" x14ac:dyDescent="0.25">
      <c r="B58" s="107" t="s">
        <v>389</v>
      </c>
      <c r="C58" s="294"/>
      <c r="D58" s="294"/>
      <c r="E58" s="160">
        <f>TripMode_inputCBD!D151</f>
        <v>0</v>
      </c>
      <c r="F58" s="160">
        <f>TripMode_inputCBD!E151</f>
        <v>0</v>
      </c>
      <c r="G58" s="160">
        <f>TripMode_inputCBD!F151</f>
        <v>0</v>
      </c>
      <c r="H58" s="160">
        <f>TripMode_inputCBD!G151</f>
        <v>0</v>
      </c>
      <c r="I58" s="294"/>
      <c r="J58" s="294"/>
      <c r="K58" s="160">
        <f>TripMode_inputCBD!J151+TripMode_inputCBD!K151</f>
        <v>0</v>
      </c>
      <c r="L58" s="294"/>
      <c r="M58" s="294"/>
      <c r="N58" s="160">
        <f>TripMode_inputCBD!N151</f>
        <v>0</v>
      </c>
      <c r="O58" s="294"/>
      <c r="P58" s="162">
        <f t="shared" si="78"/>
        <v>0</v>
      </c>
      <c r="R58">
        <f t="shared" si="87"/>
        <v>0</v>
      </c>
      <c r="S58">
        <f t="shared" si="88"/>
        <v>0</v>
      </c>
      <c r="T58">
        <f t="shared" si="89"/>
        <v>0</v>
      </c>
      <c r="Y58" s="107" t="s">
        <v>389</v>
      </c>
      <c r="Z58" s="294"/>
      <c r="AA58" s="294"/>
      <c r="AB58" s="160">
        <f t="shared" si="79"/>
        <v>0</v>
      </c>
      <c r="AC58" s="160">
        <f t="shared" si="79"/>
        <v>0</v>
      </c>
      <c r="AD58" s="160">
        <f t="shared" si="79"/>
        <v>0</v>
      </c>
      <c r="AE58" s="160">
        <f t="shared" si="79"/>
        <v>0</v>
      </c>
      <c r="AF58" s="294"/>
      <c r="AG58" s="294"/>
      <c r="AH58" s="160">
        <f>AH63*R58</f>
        <v>0</v>
      </c>
      <c r="AI58" s="294"/>
      <c r="AJ58" s="294"/>
      <c r="AK58" s="160">
        <f>+N58</f>
        <v>0</v>
      </c>
      <c r="AL58" s="294"/>
      <c r="AM58" s="162">
        <f t="shared" si="80"/>
        <v>0</v>
      </c>
      <c r="AO58" s="107" t="s">
        <v>389</v>
      </c>
      <c r="AP58" s="294">
        <f>TripMode_inputCBD!R151*Index!$B$2</f>
        <v>0</v>
      </c>
      <c r="AQ58" s="294">
        <f>TripMode_inputCBD!S151*Index!$B$2</f>
        <v>0</v>
      </c>
      <c r="AR58" s="160">
        <f>TripMode_inputCBD!T151*Index!$B$2</f>
        <v>175</v>
      </c>
      <c r="AS58" s="160">
        <f>TripMode_inputCBD!U151*Index!$B$2</f>
        <v>180</v>
      </c>
      <c r="AT58" s="160">
        <f>TripMode_inputCBD!V151*Index!$B$2</f>
        <v>60</v>
      </c>
      <c r="AU58" s="160">
        <f>TripMode_inputCBD!W151*Index!$B$2</f>
        <v>65</v>
      </c>
      <c r="AV58" s="294">
        <f>TripMode_inputCBD!X151*Index!$B$2</f>
        <v>0</v>
      </c>
      <c r="AW58" s="294">
        <f>TripMode_inputCBD!Y151*Index!$B$2</f>
        <v>0</v>
      </c>
      <c r="AX58" s="160">
        <f>TripMode_inputCBD!Z151*Index!$B$2</f>
        <v>0</v>
      </c>
      <c r="AY58" s="160">
        <f>TripMode_inputCBD!AA151*Index!$B$2</f>
        <v>0</v>
      </c>
      <c r="AZ58" s="160">
        <f>TripMode_inputCBD!AB151*Index!$B$2</f>
        <v>0</v>
      </c>
      <c r="BA58" s="160">
        <f>TripMode_inputCBD!AC151*Index!$B$2</f>
        <v>0</v>
      </c>
      <c r="BB58" s="294">
        <f>TripMode_inputCBD!AD151*Index!$B$2</f>
        <v>0</v>
      </c>
      <c r="BC58" s="162">
        <f t="shared" si="81"/>
        <v>480</v>
      </c>
      <c r="BE58" s="107"/>
      <c r="BF58" s="166"/>
      <c r="BG58" s="166"/>
      <c r="BH58" s="166"/>
      <c r="BI58" s="166"/>
      <c r="BJ58" s="166"/>
      <c r="BK58" s="166"/>
      <c r="BL58" s="166"/>
      <c r="BM58" s="166"/>
      <c r="BN58" s="166"/>
      <c r="BO58" s="166"/>
      <c r="BP58" s="166"/>
      <c r="BQ58" s="166"/>
      <c r="BR58" s="166"/>
      <c r="BS58" s="166"/>
      <c r="BU58" s="107"/>
      <c r="BV58" s="166"/>
      <c r="BW58" s="166"/>
      <c r="BX58" s="166"/>
      <c r="BY58" s="166"/>
      <c r="BZ58" s="166"/>
      <c r="CA58" s="166"/>
      <c r="CB58" s="166"/>
      <c r="CC58" s="166"/>
      <c r="CD58" s="166"/>
      <c r="CE58" s="166"/>
      <c r="CF58" s="166"/>
      <c r="CG58" s="166"/>
      <c r="CH58" s="166"/>
      <c r="CI58" s="166"/>
      <c r="CK58" s="107" t="s">
        <v>389</v>
      </c>
      <c r="CL58" s="166" t="str">
        <f t="shared" si="84"/>
        <v/>
      </c>
      <c r="CM58" s="166" t="str">
        <f t="shared" si="84"/>
        <v/>
      </c>
      <c r="CN58" s="166" t="str">
        <f t="shared" si="84"/>
        <v/>
      </c>
      <c r="CO58" s="166" t="str">
        <f t="shared" si="84"/>
        <v/>
      </c>
      <c r="CP58" s="166"/>
      <c r="CQ58" s="166"/>
      <c r="CR58" s="166"/>
      <c r="CS58" s="166"/>
      <c r="CT58" s="166" t="str">
        <f t="shared" si="85"/>
        <v/>
      </c>
      <c r="CU58" s="166" t="str">
        <f t="shared" si="85"/>
        <v/>
      </c>
      <c r="CV58" s="166" t="str">
        <f t="shared" si="85"/>
        <v/>
      </c>
      <c r="CW58" s="166" t="str">
        <f t="shared" si="85"/>
        <v/>
      </c>
      <c r="CX58" s="166" t="str">
        <f t="shared" si="85"/>
        <v/>
      </c>
      <c r="CY58" s="168" t="str">
        <f t="shared" si="85"/>
        <v/>
      </c>
      <c r="DA58" s="107"/>
      <c r="DB58" s="315"/>
      <c r="DC58" s="315"/>
      <c r="DD58" s="314"/>
      <c r="DE58" s="314"/>
      <c r="DF58" s="314"/>
      <c r="DG58" s="314"/>
      <c r="DH58" s="315"/>
      <c r="DI58" s="315"/>
      <c r="DJ58" s="314"/>
      <c r="DK58" s="315"/>
      <c r="DL58" s="315"/>
      <c r="DM58" s="314"/>
      <c r="DN58" s="315"/>
      <c r="DO58" s="168"/>
      <c r="DQ58" s="107"/>
      <c r="DR58" s="315"/>
      <c r="DS58" s="315"/>
      <c r="DT58" s="314">
        <v>-2.3285872395697051</v>
      </c>
      <c r="DU58" s="314">
        <v>-2.3285872395697051</v>
      </c>
      <c r="DV58" s="314">
        <v>2.3123706668677184</v>
      </c>
      <c r="DW58" s="314">
        <v>2.3123706668677184</v>
      </c>
      <c r="DX58" s="315"/>
      <c r="DY58" s="315"/>
      <c r="DZ58" s="314">
        <v>-4.5834209169339726</v>
      </c>
      <c r="EA58" s="315"/>
      <c r="EB58" s="315"/>
      <c r="EC58" s="314">
        <v>0</v>
      </c>
      <c r="ED58" s="315"/>
      <c r="EE58" s="168"/>
      <c r="EG58" s="107"/>
      <c r="EH58" s="315"/>
      <c r="EI58" s="315"/>
      <c r="EJ58" s="314">
        <f>DT57+(DD57-DD$55)*$EI$1</f>
        <v>-2.4090891680417039</v>
      </c>
      <c r="EK58" s="314">
        <f>DT57+(DD57-DD$55)*$EI$1</f>
        <v>-2.4090891680417039</v>
      </c>
      <c r="EL58" s="314">
        <f>DV57+(DF57-DF$55)*$EI$1</f>
        <v>3.0226206270894052</v>
      </c>
      <c r="EM58" s="314">
        <f>DV57+(DF57-DF$55)*$EI$1</f>
        <v>3.0226206270894052</v>
      </c>
      <c r="EN58" s="315"/>
      <c r="EO58" s="315"/>
      <c r="EP58" s="314">
        <f>DZ57+(DJ57-DJ$63)*$EI$1</f>
        <v>-4.5834209169339726</v>
      </c>
      <c r="EQ58" s="315"/>
      <c r="ER58" s="315"/>
      <c r="ES58" s="314">
        <f>EC57+(DM57-DM$66)*$EI$14</f>
        <v>0</v>
      </c>
      <c r="ET58" s="315"/>
      <c r="EU58" s="168"/>
      <c r="EW58" s="164" t="s">
        <v>389</v>
      </c>
      <c r="EX58" s="316">
        <f t="shared" si="90"/>
        <v>0</v>
      </c>
      <c r="EY58" s="316">
        <f t="shared" si="86"/>
        <v>0</v>
      </c>
      <c r="EZ58" s="316">
        <f t="shared" si="86"/>
        <v>-2.4090891680417039</v>
      </c>
      <c r="FA58" s="316">
        <f t="shared" si="86"/>
        <v>-2.4090891680417039</v>
      </c>
      <c r="FB58" s="316">
        <f t="shared" si="86"/>
        <v>0</v>
      </c>
      <c r="FC58" s="316">
        <f t="shared" si="86"/>
        <v>0</v>
      </c>
      <c r="FD58" s="316">
        <f t="shared" si="86"/>
        <v>-7.5458414043620339</v>
      </c>
      <c r="FE58" s="316">
        <f t="shared" si="86"/>
        <v>0</v>
      </c>
      <c r="FF58" s="316"/>
      <c r="FG58" s="316">
        <f t="shared" si="86"/>
        <v>0</v>
      </c>
      <c r="FH58" s="316">
        <f t="shared" si="86"/>
        <v>0</v>
      </c>
      <c r="FI58" s="316">
        <f t="shared" si="86"/>
        <v>0</v>
      </c>
      <c r="FJ58" s="316">
        <f t="shared" si="86"/>
        <v>0</v>
      </c>
      <c r="FK58" s="316">
        <f t="shared" si="86"/>
        <v>0</v>
      </c>
      <c r="FL58" s="168"/>
    </row>
    <row r="59" spans="2:168" x14ac:dyDescent="0.25">
      <c r="B59" s="107" t="s">
        <v>390</v>
      </c>
      <c r="C59" s="294"/>
      <c r="D59" s="294"/>
      <c r="E59" s="294"/>
      <c r="F59" s="294"/>
      <c r="G59" s="160">
        <f>TripMode_inputCBD!F152</f>
        <v>20808.366760000001</v>
      </c>
      <c r="H59" s="160">
        <f>TripMode_inputCBD!G152</f>
        <v>119.42748</v>
      </c>
      <c r="I59" s="294"/>
      <c r="J59" s="294"/>
      <c r="K59" s="160">
        <f>TripMode_inputCBD!J152+TripMode_inputCBD!K152</f>
        <v>0</v>
      </c>
      <c r="L59" s="294"/>
      <c r="M59" s="294"/>
      <c r="N59" s="160">
        <f>TripMode_inputCBD!N152</f>
        <v>0</v>
      </c>
      <c r="O59" s="294"/>
      <c r="P59" s="162">
        <f t="shared" si="78"/>
        <v>20927.794239999999</v>
      </c>
      <c r="R59">
        <f t="shared" si="87"/>
        <v>0</v>
      </c>
      <c r="S59">
        <f t="shared" si="88"/>
        <v>0</v>
      </c>
      <c r="T59">
        <f t="shared" si="89"/>
        <v>0</v>
      </c>
      <c r="Y59" s="107" t="s">
        <v>390</v>
      </c>
      <c r="Z59" s="294"/>
      <c r="AA59" s="294"/>
      <c r="AB59" s="294"/>
      <c r="AC59" s="294"/>
      <c r="AD59" s="160">
        <f t="shared" si="79"/>
        <v>20808.366760000001</v>
      </c>
      <c r="AE59" s="160">
        <f t="shared" si="79"/>
        <v>119.42748</v>
      </c>
      <c r="AF59" s="294"/>
      <c r="AG59" s="294"/>
      <c r="AH59" s="160">
        <f>AH63*R59</f>
        <v>0</v>
      </c>
      <c r="AI59" s="294"/>
      <c r="AJ59" s="294"/>
      <c r="AK59" s="160">
        <f>+N59</f>
        <v>0</v>
      </c>
      <c r="AL59" s="294"/>
      <c r="AM59" s="162">
        <f t="shared" si="80"/>
        <v>20927.794239999999</v>
      </c>
      <c r="AO59" s="107" t="s">
        <v>390</v>
      </c>
      <c r="AP59" s="294">
        <f>TripMode_inputCBD!R152*Index!$B$2</f>
        <v>0</v>
      </c>
      <c r="AQ59" s="294">
        <f>TripMode_inputCBD!S152*Index!$B$2</f>
        <v>0</v>
      </c>
      <c r="AR59" s="294">
        <f>TripMode_inputCBD!T152*Index!$B$2</f>
        <v>0</v>
      </c>
      <c r="AS59" s="294">
        <f>TripMode_inputCBD!U152*Index!$B$2</f>
        <v>0</v>
      </c>
      <c r="AT59" s="160">
        <f>TripMode_inputCBD!V152*Index!$B$2</f>
        <v>12470</v>
      </c>
      <c r="AU59" s="160">
        <f>TripMode_inputCBD!W152*Index!$B$2</f>
        <v>530</v>
      </c>
      <c r="AV59" s="294">
        <f>TripMode_inputCBD!X152*Index!$B$2</f>
        <v>0</v>
      </c>
      <c r="AW59" s="294">
        <f>TripMode_inputCBD!Y152*Index!$B$2</f>
        <v>0</v>
      </c>
      <c r="AX59" s="160">
        <f>TripMode_inputCBD!Z152*Index!$B$2</f>
        <v>0</v>
      </c>
      <c r="AY59" s="160">
        <f>TripMode_inputCBD!AA152*Index!$B$2</f>
        <v>5</v>
      </c>
      <c r="AZ59" s="160">
        <f>TripMode_inputCBD!AB152*Index!$B$2</f>
        <v>0</v>
      </c>
      <c r="BA59" s="160">
        <f>TripMode_inputCBD!AC152*Index!$B$2</f>
        <v>0</v>
      </c>
      <c r="BB59" s="294">
        <f>TripMode_inputCBD!AD152*Index!$B$2</f>
        <v>0</v>
      </c>
      <c r="BC59" s="162">
        <f t="shared" si="81"/>
        <v>13005</v>
      </c>
      <c r="BE59" s="107" t="s">
        <v>577</v>
      </c>
      <c r="BF59" s="166" t="str">
        <f>IF(Z$68+AA$68&gt;0,SUM(Z59:AA60)/(Z$68+AA$68),"")</f>
        <v/>
      </c>
      <c r="BG59" s="166"/>
      <c r="BH59" s="166">
        <f>IF(AB$68+AC$68&gt;0,SUM(AB59:AC60)/(AB$68+AC$68),"")</f>
        <v>0</v>
      </c>
      <c r="BI59" s="166"/>
      <c r="BJ59" s="166">
        <f>IF(AD$68+AE$68&gt;0,SUM(AD59:AE60)/(AD$68+AE$68),"")</f>
        <v>0.51473801361696325</v>
      </c>
      <c r="BK59" s="166"/>
      <c r="BL59" s="166">
        <f t="shared" ref="BL59:BS59" si="93">IF(AF$68&gt;0,(AF59+AF60)/AF$68,"")</f>
        <v>0</v>
      </c>
      <c r="BM59" s="166">
        <f t="shared" si="93"/>
        <v>0</v>
      </c>
      <c r="BN59" s="166">
        <f t="shared" si="93"/>
        <v>0</v>
      </c>
      <c r="BO59" s="166" t="str">
        <f t="shared" si="93"/>
        <v/>
      </c>
      <c r="BP59" s="166" t="str">
        <f t="shared" si="93"/>
        <v/>
      </c>
      <c r="BQ59" s="166" t="str">
        <f t="shared" si="93"/>
        <v/>
      </c>
      <c r="BR59" s="166" t="str">
        <f t="shared" si="93"/>
        <v/>
      </c>
      <c r="BS59" s="166">
        <f t="shared" si="93"/>
        <v>0.18465912745307908</v>
      </c>
      <c r="BU59" s="107" t="s">
        <v>577</v>
      </c>
      <c r="BV59" s="166" t="str">
        <f>IF(AP$68+AQ$68&gt;0,SUM(AP59:AQ60)/(AP$68+AQ$68),"")</f>
        <v/>
      </c>
      <c r="BW59" s="166"/>
      <c r="BX59" s="166">
        <f>IF(AR$68+AS$68&gt;0,SUM(AR59:AS60)/(AR$68+AS$68),"")</f>
        <v>0</v>
      </c>
      <c r="BY59" s="166"/>
      <c r="BZ59" s="166">
        <f>IF(AT$68+AU$68&gt;0,SUM(AT59:AU60)/(AT$68+AU$68),"")</f>
        <v>0.53384213697529626</v>
      </c>
      <c r="CA59" s="166"/>
      <c r="CB59" s="166">
        <f t="shared" ref="CB59:CI59" si="94">IF(AV$68&gt;0,(AV59+AV60)/AV$68,"")</f>
        <v>0</v>
      </c>
      <c r="CC59" s="166">
        <f t="shared" si="94"/>
        <v>0</v>
      </c>
      <c r="CD59" s="166" t="str">
        <f t="shared" si="94"/>
        <v/>
      </c>
      <c r="CE59" s="166">
        <f t="shared" si="94"/>
        <v>1.5873015873015873E-3</v>
      </c>
      <c r="CF59" s="166" t="str">
        <f t="shared" si="94"/>
        <v/>
      </c>
      <c r="CG59" s="166" t="str">
        <f t="shared" si="94"/>
        <v/>
      </c>
      <c r="CH59" s="166" t="str">
        <f t="shared" si="94"/>
        <v/>
      </c>
      <c r="CI59" s="166">
        <f t="shared" si="94"/>
        <v>0.13741602067183462</v>
      </c>
      <c r="CK59" s="107" t="s">
        <v>390</v>
      </c>
      <c r="CL59" s="166"/>
      <c r="CM59" s="166"/>
      <c r="CN59" s="166"/>
      <c r="CO59" s="166"/>
      <c r="CP59" s="166"/>
      <c r="CQ59" s="166"/>
      <c r="CR59" s="166"/>
      <c r="CS59" s="166"/>
      <c r="CT59" s="166"/>
      <c r="CU59" s="166"/>
      <c r="CV59" s="166"/>
      <c r="CW59" s="166"/>
      <c r="CX59" s="166"/>
      <c r="CY59" s="168"/>
      <c r="DA59" s="107" t="s">
        <v>577</v>
      </c>
      <c r="DB59" s="315"/>
      <c r="DC59" s="315"/>
      <c r="DD59" s="315"/>
      <c r="DE59" s="315"/>
      <c r="DF59" s="314">
        <f>IFERROR(IF(BZ59&gt;0,LN(BJ59/BZ59),0),0)</f>
        <v>-3.6442111810336721E-2</v>
      </c>
      <c r="DG59" s="314"/>
      <c r="DH59" s="315"/>
      <c r="DI59" s="315"/>
      <c r="DJ59" s="314">
        <f>IFERROR(IF(CD59&gt;0,LN(BN59/CD59),0),0)</f>
        <v>0</v>
      </c>
      <c r="DK59" s="315"/>
      <c r="DL59" s="315"/>
      <c r="DM59" s="314">
        <f>IFERROR(IF(CG59&gt;0,LN(BQ59/CG59),0),0)</f>
        <v>0</v>
      </c>
      <c r="DN59" s="315"/>
      <c r="DO59" s="168"/>
      <c r="DQ59" s="107" t="s">
        <v>577</v>
      </c>
      <c r="DR59" s="315"/>
      <c r="DS59" s="315"/>
      <c r="DT59" s="315"/>
      <c r="DU59" s="315"/>
      <c r="DV59" s="314">
        <v>0.2414840630753034</v>
      </c>
      <c r="DW59" s="314">
        <v>0.2414840630753034</v>
      </c>
      <c r="DX59" s="315"/>
      <c r="DY59" s="315"/>
      <c r="DZ59" s="314">
        <v>3.860021687695685</v>
      </c>
      <c r="EA59" s="315"/>
      <c r="EB59" s="315"/>
      <c r="EC59" s="314">
        <v>0</v>
      </c>
      <c r="ED59" s="315"/>
      <c r="EE59" s="168"/>
      <c r="EG59" s="107" t="s">
        <v>577</v>
      </c>
      <c r="EH59" s="315"/>
      <c r="EI59" s="315"/>
      <c r="EJ59" s="315"/>
      <c r="EK59" s="315"/>
      <c r="EL59" s="314">
        <f>DV59+(DF59-DF$55)*$EI$1</f>
        <v>0.3625030071661216</v>
      </c>
      <c r="EM59" s="314">
        <f>DV59+(DF59-DF$55)*$EI$1</f>
        <v>0.3625030071661216</v>
      </c>
      <c r="EN59" s="315"/>
      <c r="EO59" s="315"/>
      <c r="EP59" s="314">
        <f>DZ59+(DJ59-DJ$63)*$EI$1</f>
        <v>3.860021687695685</v>
      </c>
      <c r="EQ59" s="315"/>
      <c r="ER59" s="315"/>
      <c r="ES59" s="314">
        <f>EC59+(DM59-DM$66)*$EI$14</f>
        <v>0</v>
      </c>
      <c r="ET59" s="315"/>
      <c r="EU59" s="168"/>
      <c r="EW59" s="164" t="s">
        <v>390</v>
      </c>
      <c r="EX59" s="316">
        <f t="shared" si="90"/>
        <v>0</v>
      </c>
      <c r="EY59" s="316">
        <f t="shared" si="86"/>
        <v>0</v>
      </c>
      <c r="EZ59" s="316">
        <f t="shared" si="86"/>
        <v>3.0226206270894052</v>
      </c>
      <c r="FA59" s="316">
        <f t="shared" si="86"/>
        <v>3.0226206270894052</v>
      </c>
      <c r="FB59" s="316">
        <f t="shared" si="86"/>
        <v>0.3625030071661216</v>
      </c>
      <c r="FC59" s="316">
        <f t="shared" si="86"/>
        <v>0.3625030071661216</v>
      </c>
      <c r="FD59" s="316">
        <f t="shared" si="86"/>
        <v>7.8561852365337579</v>
      </c>
      <c r="FE59" s="316">
        <f t="shared" si="86"/>
        <v>0</v>
      </c>
      <c r="FF59" s="316"/>
      <c r="FG59" s="316">
        <f t="shared" si="86"/>
        <v>0</v>
      </c>
      <c r="FH59" s="316">
        <f t="shared" si="86"/>
        <v>0</v>
      </c>
      <c r="FI59" s="316">
        <f t="shared" si="86"/>
        <v>0</v>
      </c>
      <c r="FJ59" s="316">
        <f t="shared" si="86"/>
        <v>0</v>
      </c>
      <c r="FK59" s="316">
        <f t="shared" si="86"/>
        <v>0</v>
      </c>
      <c r="FL59" s="168"/>
    </row>
    <row r="60" spans="2:168" x14ac:dyDescent="0.25">
      <c r="B60" s="107" t="s">
        <v>391</v>
      </c>
      <c r="C60" s="294"/>
      <c r="D60" s="294"/>
      <c r="E60" s="294"/>
      <c r="F60" s="294"/>
      <c r="G60" s="160">
        <f>TripMode_inputCBD!F153</f>
        <v>0</v>
      </c>
      <c r="H60" s="160">
        <f>TripMode_inputCBD!G153</f>
        <v>0</v>
      </c>
      <c r="I60" s="294"/>
      <c r="J60" s="294"/>
      <c r="K60" s="160">
        <f>TripMode_inputCBD!J153+TripMode_inputCBD!K153</f>
        <v>0</v>
      </c>
      <c r="L60" s="294"/>
      <c r="M60" s="294"/>
      <c r="N60" s="160">
        <f>TripMode_inputCBD!N153</f>
        <v>0</v>
      </c>
      <c r="O60" s="294"/>
      <c r="P60" s="162">
        <f t="shared" si="78"/>
        <v>0</v>
      </c>
      <c r="R60">
        <f t="shared" si="87"/>
        <v>0</v>
      </c>
      <c r="S60">
        <f t="shared" si="88"/>
        <v>0</v>
      </c>
      <c r="T60">
        <f t="shared" si="89"/>
        <v>0</v>
      </c>
      <c r="Y60" s="107" t="s">
        <v>391</v>
      </c>
      <c r="Z60" s="294"/>
      <c r="AA60" s="294"/>
      <c r="AB60" s="294"/>
      <c r="AC60" s="294"/>
      <c r="AD60" s="160">
        <f t="shared" si="79"/>
        <v>0</v>
      </c>
      <c r="AE60" s="160">
        <f t="shared" si="79"/>
        <v>0</v>
      </c>
      <c r="AF60" s="294"/>
      <c r="AG60" s="294"/>
      <c r="AH60" s="160">
        <f>AH63*R60</f>
        <v>0</v>
      </c>
      <c r="AI60" s="294"/>
      <c r="AJ60" s="294"/>
      <c r="AK60" s="160">
        <f>+N60</f>
        <v>0</v>
      </c>
      <c r="AL60" s="294"/>
      <c r="AM60" s="162">
        <f t="shared" si="80"/>
        <v>0</v>
      </c>
      <c r="AO60" s="107" t="s">
        <v>391</v>
      </c>
      <c r="AP60" s="294">
        <f>TripMode_inputCBD!R153*Index!$B$2</f>
        <v>0</v>
      </c>
      <c r="AQ60" s="294">
        <f>TripMode_inputCBD!S153*Index!$B$2</f>
        <v>0</v>
      </c>
      <c r="AR60" s="294">
        <f>TripMode_inputCBD!T153*Index!$B$2</f>
        <v>0</v>
      </c>
      <c r="AS60" s="294">
        <f>TripMode_inputCBD!U153*Index!$B$2</f>
        <v>0</v>
      </c>
      <c r="AT60" s="160">
        <f>TripMode_inputCBD!V153*Index!$B$2</f>
        <v>110</v>
      </c>
      <c r="AU60" s="160">
        <f>TripMode_inputCBD!W153*Index!$B$2</f>
        <v>180</v>
      </c>
      <c r="AV60" s="294">
        <f>TripMode_inputCBD!X153*Index!$B$2</f>
        <v>0</v>
      </c>
      <c r="AW60" s="294">
        <f>TripMode_inputCBD!Y153*Index!$B$2</f>
        <v>0</v>
      </c>
      <c r="AX60" s="160">
        <f>TripMode_inputCBD!Z153*Index!$B$2</f>
        <v>0</v>
      </c>
      <c r="AY60" s="160">
        <f>TripMode_inputCBD!AA153*Index!$B$2</f>
        <v>0</v>
      </c>
      <c r="AZ60" s="160">
        <f>TripMode_inputCBD!AB153*Index!$B$2</f>
        <v>0</v>
      </c>
      <c r="BA60" s="160">
        <f>TripMode_inputCBD!AC153*Index!$B$2</f>
        <v>0</v>
      </c>
      <c r="BB60" s="294">
        <f>TripMode_inputCBD!AD153*Index!$B$2</f>
        <v>0</v>
      </c>
      <c r="BC60" s="162">
        <f t="shared" si="81"/>
        <v>290</v>
      </c>
      <c r="BE60" s="107"/>
      <c r="BF60" s="166"/>
      <c r="BG60" s="166"/>
      <c r="BH60" s="166"/>
      <c r="BI60" s="166"/>
      <c r="BJ60" s="166"/>
      <c r="BK60" s="166"/>
      <c r="BL60" s="166"/>
      <c r="BM60" s="166"/>
      <c r="BN60" s="166"/>
      <c r="BO60" s="166"/>
      <c r="BP60" s="166"/>
      <c r="BQ60" s="166"/>
      <c r="BR60" s="166"/>
      <c r="BS60" s="166"/>
      <c r="BU60" s="107"/>
      <c r="BV60" s="166"/>
      <c r="BW60" s="166"/>
      <c r="BX60" s="166"/>
      <c r="BY60" s="166"/>
      <c r="BZ60" s="166"/>
      <c r="CA60" s="166"/>
      <c r="CB60" s="166"/>
      <c r="CC60" s="166"/>
      <c r="CD60" s="166"/>
      <c r="CE60" s="166"/>
      <c r="CF60" s="166"/>
      <c r="CG60" s="166"/>
      <c r="CH60" s="166"/>
      <c r="CI60" s="166"/>
      <c r="CK60" s="107" t="s">
        <v>391</v>
      </c>
      <c r="CL60" s="166"/>
      <c r="CM60" s="166"/>
      <c r="CN60" s="166"/>
      <c r="CO60" s="166"/>
      <c r="CP60" s="166"/>
      <c r="CQ60" s="166"/>
      <c r="CR60" s="166"/>
      <c r="CS60" s="166"/>
      <c r="CT60" s="166"/>
      <c r="CU60" s="166"/>
      <c r="CV60" s="166"/>
      <c r="CW60" s="166"/>
      <c r="CX60" s="166"/>
      <c r="CY60" s="168"/>
      <c r="DA60" s="107"/>
      <c r="DB60" s="315"/>
      <c r="DC60" s="315"/>
      <c r="DD60" s="315"/>
      <c r="DE60" s="315"/>
      <c r="DF60" s="314"/>
      <c r="DG60" s="314"/>
      <c r="DH60" s="315"/>
      <c r="DI60" s="315"/>
      <c r="DJ60" s="314"/>
      <c r="DK60" s="315"/>
      <c r="DL60" s="315"/>
      <c r="DM60" s="314"/>
      <c r="DN60" s="315"/>
      <c r="DO60" s="168"/>
      <c r="DQ60" s="107"/>
      <c r="DR60" s="315"/>
      <c r="DS60" s="315"/>
      <c r="DT60" s="315"/>
      <c r="DU60" s="315"/>
      <c r="DV60" s="314">
        <v>0.2414840630753034</v>
      </c>
      <c r="DW60" s="314">
        <v>0.2414840630753034</v>
      </c>
      <c r="DX60" s="315"/>
      <c r="DY60" s="315"/>
      <c r="DZ60" s="314">
        <v>3.860021687695685</v>
      </c>
      <c r="EA60" s="315"/>
      <c r="EB60" s="315"/>
      <c r="EC60" s="314">
        <v>0</v>
      </c>
      <c r="ED60" s="315"/>
      <c r="EE60" s="168"/>
      <c r="EG60" s="107"/>
      <c r="EH60" s="315"/>
      <c r="EI60" s="315"/>
      <c r="EJ60" s="315"/>
      <c r="EK60" s="315"/>
      <c r="EL60" s="314">
        <f>DV59+(DF59-DF$55)*$EI$1</f>
        <v>0.3625030071661216</v>
      </c>
      <c r="EM60" s="314">
        <f>DV59+(DF59-DF$55)*$EI$1</f>
        <v>0.3625030071661216</v>
      </c>
      <c r="EN60" s="315"/>
      <c r="EO60" s="315"/>
      <c r="EP60" s="314">
        <f>DZ59+(DJ59-DJ$63)*$EI$1</f>
        <v>3.860021687695685</v>
      </c>
      <c r="EQ60" s="315"/>
      <c r="ER60" s="315"/>
      <c r="ES60" s="314">
        <f>EC59+(DM59-DM$66)*$EI$14</f>
        <v>0</v>
      </c>
      <c r="ET60" s="315"/>
      <c r="EU60" s="168"/>
      <c r="EW60" s="164" t="s">
        <v>391</v>
      </c>
      <c r="EX60" s="316">
        <f t="shared" si="90"/>
        <v>0</v>
      </c>
      <c r="EY60" s="316">
        <f t="shared" si="86"/>
        <v>0</v>
      </c>
      <c r="EZ60" s="316">
        <f t="shared" si="86"/>
        <v>3.0226206270894052</v>
      </c>
      <c r="FA60" s="316">
        <f t="shared" si="86"/>
        <v>3.0226206270894052</v>
      </c>
      <c r="FB60" s="316">
        <f t="shared" si="86"/>
        <v>0.3625030071661216</v>
      </c>
      <c r="FC60" s="316">
        <f t="shared" si="86"/>
        <v>0.3625030071661216</v>
      </c>
      <c r="FD60" s="316">
        <f t="shared" si="86"/>
        <v>7.8561852365337579</v>
      </c>
      <c r="FE60" s="316">
        <f t="shared" si="86"/>
        <v>0</v>
      </c>
      <c r="FF60" s="316"/>
      <c r="FG60" s="316">
        <f t="shared" si="86"/>
        <v>0</v>
      </c>
      <c r="FH60" s="316">
        <f t="shared" si="86"/>
        <v>0</v>
      </c>
      <c r="FI60" s="316">
        <f t="shared" si="86"/>
        <v>0</v>
      </c>
      <c r="FJ60" s="316">
        <f t="shared" si="86"/>
        <v>0</v>
      </c>
      <c r="FK60" s="316">
        <f t="shared" si="86"/>
        <v>0</v>
      </c>
      <c r="FL60" s="168"/>
    </row>
    <row r="61" spans="2:168" x14ac:dyDescent="0.25">
      <c r="B61" s="107" t="s">
        <v>392</v>
      </c>
      <c r="C61" s="294"/>
      <c r="D61" s="294"/>
      <c r="E61" s="160">
        <f>TripMode_inputCBD!D154</f>
        <v>114.72986</v>
      </c>
      <c r="F61" s="160">
        <f>TripMode_inputCBD!E154</f>
        <v>0</v>
      </c>
      <c r="G61" s="160">
        <f>TripMode_inputCBD!F154</f>
        <v>0</v>
      </c>
      <c r="H61" s="160">
        <f>TripMode_inputCBD!G154</f>
        <v>0</v>
      </c>
      <c r="I61" s="160">
        <f>TripMode_inputCBD!H154</f>
        <v>11056.181689999999</v>
      </c>
      <c r="J61" s="294"/>
      <c r="K61" s="160">
        <f>TripMode_inputCBD!J154+TripMode_inputCBD!K154</f>
        <v>1542.11124</v>
      </c>
      <c r="L61" s="294"/>
      <c r="M61" s="294"/>
      <c r="N61" s="160">
        <f>TripMode_inputCBD!N154</f>
        <v>0</v>
      </c>
      <c r="O61" s="294"/>
      <c r="P61" s="162">
        <f t="shared" si="78"/>
        <v>12713.022789999999</v>
      </c>
      <c r="R61">
        <f t="shared" si="87"/>
        <v>0.23427347281933888</v>
      </c>
      <c r="S61">
        <f t="shared" si="88"/>
        <v>0</v>
      </c>
      <c r="T61">
        <f t="shared" si="89"/>
        <v>0</v>
      </c>
      <c r="Y61" s="107" t="s">
        <v>392</v>
      </c>
      <c r="Z61" s="294"/>
      <c r="AA61" s="294"/>
      <c r="AB61" s="160">
        <f>+E61</f>
        <v>114.72986</v>
      </c>
      <c r="AC61" s="160">
        <f>+F61</f>
        <v>0</v>
      </c>
      <c r="AD61" s="160">
        <f t="shared" si="79"/>
        <v>0</v>
      </c>
      <c r="AE61" s="160">
        <f t="shared" si="79"/>
        <v>0</v>
      </c>
      <c r="AF61" s="160">
        <f t="shared" si="79"/>
        <v>11056.181689999999</v>
      </c>
      <c r="AG61" s="294"/>
      <c r="AH61" s="160">
        <f>AH63*R61</f>
        <v>1478.4069890500891</v>
      </c>
      <c r="AI61" s="294"/>
      <c r="AJ61" s="294"/>
      <c r="AK61" s="160">
        <f>+N61</f>
        <v>0</v>
      </c>
      <c r="AL61" s="294"/>
      <c r="AM61" s="162">
        <f t="shared" si="80"/>
        <v>12649.318539050088</v>
      </c>
      <c r="AO61" s="107" t="s">
        <v>392</v>
      </c>
      <c r="AP61" s="294">
        <f>TripMode_inputCBD!R154*Index!$B$2</f>
        <v>0</v>
      </c>
      <c r="AQ61" s="294">
        <f>TripMode_inputCBD!S154*Index!$B$2</f>
        <v>0</v>
      </c>
      <c r="AR61" s="160">
        <f>TripMode_inputCBD!T154*Index!$B$2</f>
        <v>4095</v>
      </c>
      <c r="AS61" s="160">
        <f>TripMode_inputCBD!U154*Index!$B$2</f>
        <v>55</v>
      </c>
      <c r="AT61" s="160">
        <f>TripMode_inputCBD!V154*Index!$B$2</f>
        <v>1950</v>
      </c>
      <c r="AU61" s="160">
        <f>TripMode_inputCBD!W154*Index!$B$2</f>
        <v>35</v>
      </c>
      <c r="AV61" s="160">
        <f>TripMode_inputCBD!X154*Index!$B$2</f>
        <v>28175</v>
      </c>
      <c r="AW61" s="294">
        <f>TripMode_inputCBD!Y154*Index!$B$2</f>
        <v>0</v>
      </c>
      <c r="AX61" s="160">
        <f>TripMode_inputCBD!Z154*Index!$B$2</f>
        <v>0</v>
      </c>
      <c r="AY61" s="160">
        <f>TripMode_inputCBD!AA154*Index!$B$2</f>
        <v>860</v>
      </c>
      <c r="AZ61" s="160">
        <f>TripMode_inputCBD!AB154*Index!$B$2</f>
        <v>0</v>
      </c>
      <c r="BA61" s="160">
        <f>TripMode_inputCBD!AC154*Index!$B$2</f>
        <v>0</v>
      </c>
      <c r="BB61" s="294">
        <f>TripMode_inputCBD!AD154*Index!$B$2</f>
        <v>0</v>
      </c>
      <c r="BC61" s="162">
        <f t="shared" si="81"/>
        <v>35170</v>
      </c>
      <c r="BE61" s="107" t="s">
        <v>392</v>
      </c>
      <c r="BF61" s="166" t="str">
        <f t="shared" ref="BF61:BS68" si="95">IF(Z$68&gt;0,Z61/Z$68,"")</f>
        <v/>
      </c>
      <c r="BG61" s="166" t="str">
        <f t="shared" si="95"/>
        <v/>
      </c>
      <c r="BH61" s="166">
        <f t="shared" si="95"/>
        <v>2.1510765939719706E-3</v>
      </c>
      <c r="BI61" s="166" t="str">
        <f t="shared" si="95"/>
        <v/>
      </c>
      <c r="BJ61" s="166">
        <f t="shared" si="95"/>
        <v>0</v>
      </c>
      <c r="BK61" s="166">
        <f t="shared" si="95"/>
        <v>0</v>
      </c>
      <c r="BL61" s="166">
        <f t="shared" si="95"/>
        <v>1</v>
      </c>
      <c r="BM61" s="166">
        <f t="shared" si="95"/>
        <v>0</v>
      </c>
      <c r="BN61" s="166">
        <f t="shared" si="95"/>
        <v>0.1898067794361725</v>
      </c>
      <c r="BO61" s="166" t="str">
        <f t="shared" si="95"/>
        <v/>
      </c>
      <c r="BP61" s="166" t="str">
        <f t="shared" si="95"/>
        <v/>
      </c>
      <c r="BQ61" s="166" t="str">
        <f t="shared" si="95"/>
        <v/>
      </c>
      <c r="BR61" s="166" t="str">
        <f t="shared" si="95"/>
        <v/>
      </c>
      <c r="BS61" s="166">
        <f t="shared" si="95"/>
        <v>0.11161291522221341</v>
      </c>
      <c r="BU61" s="107" t="s">
        <v>392</v>
      </c>
      <c r="BV61" s="166">
        <f t="shared" ref="BV61:CI68" si="96">IF(AP$52&gt;0,AP61/AP$52,"")</f>
        <v>0</v>
      </c>
      <c r="BW61" s="166">
        <f t="shared" si="96"/>
        <v>0</v>
      </c>
      <c r="BX61" s="166">
        <f t="shared" si="96"/>
        <v>0.504</v>
      </c>
      <c r="BY61" s="166">
        <f t="shared" si="96"/>
        <v>0.14285714285714285</v>
      </c>
      <c r="BZ61" s="166">
        <f t="shared" si="96"/>
        <v>4.9050433907684571E-2</v>
      </c>
      <c r="CA61" s="166">
        <f t="shared" si="96"/>
        <v>5.7377049180327867E-3</v>
      </c>
      <c r="CB61" s="166">
        <f t="shared" si="96"/>
        <v>1.7306511056511056</v>
      </c>
      <c r="CC61" s="166">
        <f t="shared" si="96"/>
        <v>0</v>
      </c>
      <c r="CD61" s="166">
        <f t="shared" si="96"/>
        <v>0</v>
      </c>
      <c r="CE61" s="166">
        <f t="shared" si="96"/>
        <v>1.0617283950617284</v>
      </c>
      <c r="CF61" s="166">
        <f t="shared" si="96"/>
        <v>0</v>
      </c>
      <c r="CG61" s="166">
        <f t="shared" si="96"/>
        <v>0</v>
      </c>
      <c r="CH61" s="166">
        <f t="shared" si="96"/>
        <v>0</v>
      </c>
      <c r="CI61" s="168">
        <f t="shared" si="96"/>
        <v>0.30301985956145261</v>
      </c>
      <c r="CK61" s="107" t="s">
        <v>392</v>
      </c>
      <c r="CL61" s="166"/>
      <c r="CM61" s="166"/>
      <c r="CN61" s="166"/>
      <c r="CO61" s="166"/>
      <c r="CP61" s="166"/>
      <c r="CQ61" s="166"/>
      <c r="CR61" s="166"/>
      <c r="CS61" s="166"/>
      <c r="CT61" s="166"/>
      <c r="CU61" s="166"/>
      <c r="CV61" s="166"/>
      <c r="CW61" s="166"/>
      <c r="CX61" s="166"/>
      <c r="CY61" s="168"/>
      <c r="DA61" s="107" t="s">
        <v>392</v>
      </c>
      <c r="DB61" s="315"/>
      <c r="DC61" s="315"/>
      <c r="DD61" s="314">
        <f>IFERROR(IF(BX61&gt;0,LN(BH61/BX61),0),0)</f>
        <v>-5.4566078098786148</v>
      </c>
      <c r="DE61" s="314">
        <f>IFERROR(IF(BY61&gt;0,LN(BI61/BY61),0),0)</f>
        <v>0</v>
      </c>
      <c r="DF61" s="314">
        <f>IFERROR(IF(BZ61&gt;0,LN(BJ61/BZ61),0),0)</f>
        <v>0</v>
      </c>
      <c r="DG61" s="314">
        <f>IFERROR(IF(CA61&gt;0,LN(BK61/CA61),0),0)</f>
        <v>0</v>
      </c>
      <c r="DH61" s="314">
        <f>IFERROR(IF(CB61&gt;0,LN(BL61/CB61),0),0)</f>
        <v>-0.54849769935144566</v>
      </c>
      <c r="DI61" s="315"/>
      <c r="DJ61" s="314">
        <f t="shared" ref="DJ61:DJ66" si="97">IFERROR(IF(CD61&gt;0,LN(BN61/CD61),0),0)</f>
        <v>0</v>
      </c>
      <c r="DK61" s="315"/>
      <c r="DL61" s="315"/>
      <c r="DM61" s="314">
        <f>IFERROR(IF(CG61&gt;0,LN(BQ61/CG61),0),0)</f>
        <v>0</v>
      </c>
      <c r="DN61" s="315"/>
      <c r="DO61" s="168"/>
      <c r="DQ61" s="107" t="s">
        <v>392</v>
      </c>
      <c r="DR61" s="315"/>
      <c r="DS61" s="315"/>
      <c r="DT61" s="314">
        <v>-1.9337133641493836</v>
      </c>
      <c r="DU61" s="314">
        <v>-1.9337133641493836</v>
      </c>
      <c r="DV61" s="314">
        <v>7.6987241806326026</v>
      </c>
      <c r="DW61" s="314">
        <v>7.6987241806326026</v>
      </c>
      <c r="DX61" s="314">
        <v>0</v>
      </c>
      <c r="DY61" s="315"/>
      <c r="DZ61" s="314">
        <v>19.691503104227152</v>
      </c>
      <c r="EA61" s="315"/>
      <c r="EB61" s="315"/>
      <c r="EC61" s="314">
        <v>0</v>
      </c>
      <c r="ED61" s="315"/>
      <c r="EE61" s="168"/>
      <c r="EG61" s="107" t="s">
        <v>392</v>
      </c>
      <c r="EH61" s="315"/>
      <c r="EI61" s="315"/>
      <c r="EJ61" s="314">
        <f>DT61+(DD61-DD$55)*$EI$1</f>
        <v>-7.5458414043620339</v>
      </c>
      <c r="EK61" s="314">
        <f>DT61+(DD61-DD$55)*$EI$1</f>
        <v>-7.5458414043620339</v>
      </c>
      <c r="EL61" s="314">
        <f>DV61+(DF61-DF$55)*$EI$1</f>
        <v>7.8561852365337579</v>
      </c>
      <c r="EM61" s="314">
        <f>DV61+(DF61-DF$55)*$EI$1</f>
        <v>7.8561852365337579</v>
      </c>
      <c r="EN61" s="314">
        <v>0</v>
      </c>
      <c r="EO61" s="315"/>
      <c r="EP61" s="314">
        <f>DZ61+(DJ61-DJ$63)*$EI$1</f>
        <v>19.691503104227152</v>
      </c>
      <c r="EQ61" s="315"/>
      <c r="ER61" s="315"/>
      <c r="ES61" s="314">
        <f>EC61+(DM61-DM$66)*$EI$14</f>
        <v>0</v>
      </c>
      <c r="ET61" s="315"/>
      <c r="EU61" s="168"/>
      <c r="EW61" s="164" t="s">
        <v>392</v>
      </c>
      <c r="EX61" s="316">
        <f t="shared" si="90"/>
        <v>0</v>
      </c>
      <c r="EY61" s="316">
        <f t="shared" si="86"/>
        <v>0</v>
      </c>
      <c r="EZ61" s="316">
        <f t="shared" si="86"/>
        <v>0</v>
      </c>
      <c r="FA61" s="316">
        <f t="shared" si="86"/>
        <v>0</v>
      </c>
      <c r="FB61" s="316">
        <f t="shared" si="86"/>
        <v>0</v>
      </c>
      <c r="FC61" s="316">
        <f t="shared" si="86"/>
        <v>0</v>
      </c>
      <c r="FD61" s="316">
        <f t="shared" si="86"/>
        <v>0</v>
      </c>
      <c r="FE61" s="316">
        <f t="shared" si="86"/>
        <v>0</v>
      </c>
      <c r="FF61" s="316"/>
      <c r="FG61" s="316">
        <f t="shared" si="86"/>
        <v>0</v>
      </c>
      <c r="FH61" s="316">
        <f t="shared" si="86"/>
        <v>0</v>
      </c>
      <c r="FI61" s="316">
        <f t="shared" si="86"/>
        <v>0</v>
      </c>
      <c r="FJ61" s="316">
        <f t="shared" si="86"/>
        <v>0</v>
      </c>
      <c r="FK61" s="316">
        <f t="shared" si="86"/>
        <v>0</v>
      </c>
      <c r="FL61" s="168"/>
    </row>
    <row r="62" spans="2:168" x14ac:dyDescent="0.25">
      <c r="B62" s="107" t="s">
        <v>393</v>
      </c>
      <c r="C62" s="294"/>
      <c r="D62" s="294"/>
      <c r="E62" s="294"/>
      <c r="F62" s="294"/>
      <c r="G62" s="294"/>
      <c r="H62" s="294"/>
      <c r="I62" s="294"/>
      <c r="J62" s="160">
        <f>TripMode_inputCBD!I155</f>
        <v>493.64591999999999</v>
      </c>
      <c r="K62" s="294"/>
      <c r="L62" s="294"/>
      <c r="M62" s="294"/>
      <c r="N62" s="294"/>
      <c r="O62" s="294"/>
      <c r="P62" s="162">
        <f t="shared" si="78"/>
        <v>493.64591999999999</v>
      </c>
      <c r="R62">
        <f t="shared" si="87"/>
        <v>0</v>
      </c>
      <c r="S62">
        <f t="shared" si="88"/>
        <v>0</v>
      </c>
      <c r="T62">
        <f t="shared" si="89"/>
        <v>0</v>
      </c>
      <c r="Y62" s="107" t="s">
        <v>393</v>
      </c>
      <c r="Z62" s="294"/>
      <c r="AA62" s="294"/>
      <c r="AB62" s="294"/>
      <c r="AC62" s="294"/>
      <c r="AD62" s="294"/>
      <c r="AE62" s="294"/>
      <c r="AF62" s="294"/>
      <c r="AG62" s="160">
        <f>+J62</f>
        <v>493.64591999999999</v>
      </c>
      <c r="AH62" s="294"/>
      <c r="AI62" s="294"/>
      <c r="AJ62" s="294"/>
      <c r="AK62" s="294"/>
      <c r="AL62" s="294"/>
      <c r="AM62" s="162">
        <f t="shared" si="80"/>
        <v>493.64591999999999</v>
      </c>
      <c r="AO62" s="107" t="s">
        <v>393</v>
      </c>
      <c r="AP62" s="294">
        <f>TripMode_inputCBD!R155*Index!$B$2</f>
        <v>0</v>
      </c>
      <c r="AQ62" s="294">
        <f>TripMode_inputCBD!S155*Index!$B$2</f>
        <v>0</v>
      </c>
      <c r="AR62" s="294">
        <f>TripMode_inputCBD!T155*Index!$B$2</f>
        <v>0</v>
      </c>
      <c r="AS62" s="294">
        <f>TripMode_inputCBD!U155*Index!$B$2</f>
        <v>0</v>
      </c>
      <c r="AT62" s="294">
        <f>TripMode_inputCBD!V155*Index!$B$2</f>
        <v>0</v>
      </c>
      <c r="AU62" s="294">
        <f>TripMode_inputCBD!W155*Index!$B$2</f>
        <v>0</v>
      </c>
      <c r="AV62" s="294">
        <f>TripMode_inputCBD!X155*Index!$B$2</f>
        <v>0</v>
      </c>
      <c r="AW62" s="160">
        <f>TripMode_inputCBD!Y155*Index!$B$2</f>
        <v>1905</v>
      </c>
      <c r="AX62" s="294">
        <f>TripMode_inputCBD!Z155*Index!$B$2</f>
        <v>0</v>
      </c>
      <c r="AY62" s="294">
        <f>TripMode_inputCBD!AA155*Index!$B$2</f>
        <v>0</v>
      </c>
      <c r="AZ62" s="294">
        <f>TripMode_inputCBD!AB155*Index!$B$2</f>
        <v>0</v>
      </c>
      <c r="BA62" s="294">
        <f>TripMode_inputCBD!AC155*Index!$B$2</f>
        <v>0</v>
      </c>
      <c r="BB62" s="294">
        <f>TripMode_inputCBD!AD155*Index!$B$2</f>
        <v>0</v>
      </c>
      <c r="BC62" s="162">
        <f t="shared" si="81"/>
        <v>1905</v>
      </c>
      <c r="BE62" s="107" t="s">
        <v>393</v>
      </c>
      <c r="BF62" s="166" t="str">
        <f t="shared" si="95"/>
        <v/>
      </c>
      <c r="BG62" s="166" t="str">
        <f t="shared" si="95"/>
        <v/>
      </c>
      <c r="BH62" s="166">
        <f t="shared" si="95"/>
        <v>0</v>
      </c>
      <c r="BI62" s="166" t="str">
        <f t="shared" si="95"/>
        <v/>
      </c>
      <c r="BJ62" s="166">
        <f t="shared" si="95"/>
        <v>0</v>
      </c>
      <c r="BK62" s="166">
        <f t="shared" si="95"/>
        <v>0</v>
      </c>
      <c r="BL62" s="166">
        <f t="shared" si="95"/>
        <v>0</v>
      </c>
      <c r="BM62" s="166">
        <f t="shared" si="95"/>
        <v>1</v>
      </c>
      <c r="BN62" s="166">
        <f t="shared" si="95"/>
        <v>0</v>
      </c>
      <c r="BO62" s="166" t="str">
        <f t="shared" si="95"/>
        <v/>
      </c>
      <c r="BP62" s="166" t="str">
        <f t="shared" si="95"/>
        <v/>
      </c>
      <c r="BQ62" s="166" t="str">
        <f t="shared" si="95"/>
        <v/>
      </c>
      <c r="BR62" s="166" t="str">
        <f t="shared" si="95"/>
        <v/>
      </c>
      <c r="BS62" s="166">
        <f t="shared" si="95"/>
        <v>4.3557492878892375E-3</v>
      </c>
      <c r="BU62" s="107" t="s">
        <v>393</v>
      </c>
      <c r="BV62" s="166">
        <f t="shared" si="96"/>
        <v>0</v>
      </c>
      <c r="BW62" s="166">
        <f t="shared" si="96"/>
        <v>0</v>
      </c>
      <c r="BX62" s="166">
        <f t="shared" si="96"/>
        <v>0</v>
      </c>
      <c r="BY62" s="166">
        <f t="shared" si="96"/>
        <v>0</v>
      </c>
      <c r="BZ62" s="166">
        <f t="shared" si="96"/>
        <v>0</v>
      </c>
      <c r="CA62" s="166">
        <f t="shared" si="96"/>
        <v>0</v>
      </c>
      <c r="CB62" s="166">
        <f t="shared" si="96"/>
        <v>0</v>
      </c>
      <c r="CC62" s="166">
        <f t="shared" si="96"/>
        <v>2.4423076923076925</v>
      </c>
      <c r="CD62" s="166">
        <f t="shared" si="96"/>
        <v>0</v>
      </c>
      <c r="CE62" s="166">
        <f t="shared" si="96"/>
        <v>0</v>
      </c>
      <c r="CF62" s="166">
        <f t="shared" si="96"/>
        <v>0</v>
      </c>
      <c r="CG62" s="166">
        <f t="shared" si="96"/>
        <v>0</v>
      </c>
      <c r="CH62" s="166">
        <f t="shared" si="96"/>
        <v>0</v>
      </c>
      <c r="CI62" s="168">
        <f t="shared" si="96"/>
        <v>1.6413216732003619E-2</v>
      </c>
      <c r="CK62" s="107" t="s">
        <v>393</v>
      </c>
      <c r="CL62" s="166"/>
      <c r="CM62" s="166"/>
      <c r="CN62" s="166"/>
      <c r="CO62" s="166"/>
      <c r="CP62" s="166"/>
      <c r="CQ62" s="166"/>
      <c r="CR62" s="166"/>
      <c r="CS62" s="166"/>
      <c r="CT62" s="166"/>
      <c r="CU62" s="166"/>
      <c r="CV62" s="166"/>
      <c r="CW62" s="166"/>
      <c r="CX62" s="166"/>
      <c r="CY62" s="168"/>
      <c r="DA62" s="107" t="s">
        <v>393</v>
      </c>
      <c r="DB62" s="315"/>
      <c r="DC62" s="315"/>
      <c r="DD62" s="315"/>
      <c r="DE62" s="315"/>
      <c r="DF62" s="315"/>
      <c r="DG62" s="315"/>
      <c r="DH62" s="315"/>
      <c r="DI62" s="314">
        <f>IFERROR(IF(CC62&gt;0,LN(BM62/CC62),0),0)</f>
        <v>-0.89294336787716411</v>
      </c>
      <c r="DJ62" s="315"/>
      <c r="DK62" s="315"/>
      <c r="DL62" s="315"/>
      <c r="DM62" s="315"/>
      <c r="DN62" s="315"/>
      <c r="DO62" s="168"/>
      <c r="DQ62" s="107" t="s">
        <v>393</v>
      </c>
      <c r="DR62" s="315"/>
      <c r="DS62" s="315"/>
      <c r="DT62" s="315"/>
      <c r="DU62" s="315"/>
      <c r="DV62" s="315"/>
      <c r="DW62" s="315"/>
      <c r="DX62" s="315"/>
      <c r="DY62" s="314">
        <v>0</v>
      </c>
      <c r="DZ62" s="315"/>
      <c r="EA62" s="315"/>
      <c r="EB62" s="315"/>
      <c r="EC62" s="315"/>
      <c r="ED62" s="315"/>
      <c r="EE62" s="168"/>
      <c r="EG62" s="107" t="s">
        <v>393</v>
      </c>
      <c r="EH62" s="315"/>
      <c r="EI62" s="315"/>
      <c r="EJ62" s="315"/>
      <c r="EK62" s="315"/>
      <c r="EL62" s="315"/>
      <c r="EM62" s="315"/>
      <c r="EN62" s="315"/>
      <c r="EO62" s="314">
        <v>0</v>
      </c>
      <c r="EP62" s="315"/>
      <c r="EQ62" s="315"/>
      <c r="ER62" s="315"/>
      <c r="ES62" s="315"/>
      <c r="ET62" s="315"/>
      <c r="EU62" s="168"/>
      <c r="EW62" s="164" t="s">
        <v>393</v>
      </c>
      <c r="EX62" s="316">
        <f t="shared" si="90"/>
        <v>0</v>
      </c>
      <c r="EY62" s="316">
        <f t="shared" si="86"/>
        <v>0</v>
      </c>
      <c r="EZ62" s="316">
        <f t="shared" si="86"/>
        <v>0</v>
      </c>
      <c r="FA62" s="316">
        <f t="shared" si="86"/>
        <v>0</v>
      </c>
      <c r="FB62" s="316">
        <f t="shared" si="86"/>
        <v>0</v>
      </c>
      <c r="FC62" s="316">
        <f t="shared" si="86"/>
        <v>0</v>
      </c>
      <c r="FD62" s="316">
        <f t="shared" si="86"/>
        <v>0</v>
      </c>
      <c r="FE62" s="316">
        <f t="shared" si="86"/>
        <v>0</v>
      </c>
      <c r="FF62" s="316"/>
      <c r="FG62" s="316">
        <f t="shared" si="86"/>
        <v>0</v>
      </c>
      <c r="FH62" s="316">
        <f t="shared" si="86"/>
        <v>0</v>
      </c>
      <c r="FI62" s="316">
        <f t="shared" si="86"/>
        <v>0</v>
      </c>
      <c r="FJ62" s="316">
        <f t="shared" si="86"/>
        <v>0</v>
      </c>
      <c r="FK62" s="316">
        <f t="shared" si="86"/>
        <v>0</v>
      </c>
      <c r="FL62" s="168"/>
    </row>
    <row r="63" spans="2:168" x14ac:dyDescent="0.25">
      <c r="B63" s="107" t="s">
        <v>546</v>
      </c>
      <c r="C63" s="294"/>
      <c r="D63" s="294"/>
      <c r="E63" s="294"/>
      <c r="F63" s="294"/>
      <c r="G63" s="294"/>
      <c r="H63" s="294"/>
      <c r="I63" s="294"/>
      <c r="J63" s="294"/>
      <c r="K63" s="160">
        <f>TripMode_inputCBD!J156+TripMode_inputCBD!K156+TripMode_inputCBD!J155+TripMode_inputCBD!K155</f>
        <v>6582.5260600000001</v>
      </c>
      <c r="L63" s="294"/>
      <c r="M63" s="294"/>
      <c r="N63" s="294"/>
      <c r="O63" s="294"/>
      <c r="P63" s="162">
        <f t="shared" si="78"/>
        <v>6582.5260600000001</v>
      </c>
      <c r="R63">
        <f t="shared" si="87"/>
        <v>1</v>
      </c>
      <c r="S63">
        <f t="shared" si="88"/>
        <v>0</v>
      </c>
      <c r="T63">
        <f t="shared" si="89"/>
        <v>0</v>
      </c>
      <c r="U63" s="127">
        <f>+K63/K$159</f>
        <v>1.0861080321940742E-2</v>
      </c>
      <c r="V63" s="127"/>
      <c r="W63" s="127"/>
      <c r="X63" s="127"/>
      <c r="Y63" s="107" t="s">
        <v>546</v>
      </c>
      <c r="Z63" s="294"/>
      <c r="AA63" s="294"/>
      <c r="AB63" s="294"/>
      <c r="AC63" s="294"/>
      <c r="AD63" s="294"/>
      <c r="AE63" s="294"/>
      <c r="AF63" s="294"/>
      <c r="AG63" s="294"/>
      <c r="AH63" s="160">
        <f>U63*U$159</f>
        <v>6310.6034637996327</v>
      </c>
      <c r="AI63" s="294"/>
      <c r="AJ63" s="294"/>
      <c r="AK63" s="294"/>
      <c r="AL63" s="294"/>
      <c r="AM63" s="162">
        <f t="shared" si="80"/>
        <v>6310.6034637996327</v>
      </c>
      <c r="AN63" s="127"/>
      <c r="AO63" s="107" t="s">
        <v>395</v>
      </c>
      <c r="AP63" s="294">
        <f>TripMode_inputCBD!R156*Index!$B$2</f>
        <v>0</v>
      </c>
      <c r="AQ63" s="294">
        <f>TripMode_inputCBD!S156*Index!$B$2</f>
        <v>0</v>
      </c>
      <c r="AR63" s="294">
        <f>TripMode_inputCBD!T156*Index!$B$2</f>
        <v>0</v>
      </c>
      <c r="AS63" s="294">
        <f>TripMode_inputCBD!U156*Index!$B$2</f>
        <v>0</v>
      </c>
      <c r="AT63" s="294">
        <f>TripMode_inputCBD!V156*Index!$B$2</f>
        <v>0</v>
      </c>
      <c r="AU63" s="294">
        <f>TripMode_inputCBD!W156*Index!$B$2</f>
        <v>0</v>
      </c>
      <c r="AV63" s="294">
        <f>TripMode_inputCBD!X156*Index!$B$2</f>
        <v>0</v>
      </c>
      <c r="AW63" s="294">
        <f>TripMode_inputCBD!Y156*Index!$B$2</f>
        <v>0</v>
      </c>
      <c r="AX63" s="160">
        <f>TripMode_inputCBD!Z156*Index!$B$2</f>
        <v>0</v>
      </c>
      <c r="AY63" s="160">
        <f>TripMode_inputCBD!AA156*Index!$B$2</f>
        <v>0</v>
      </c>
      <c r="AZ63" s="160">
        <f>TripMode_inputCBD!AB156*Index!$B$2</f>
        <v>0</v>
      </c>
      <c r="BA63" s="294">
        <f>TripMode_inputCBD!AC156*Index!$B$2</f>
        <v>0</v>
      </c>
      <c r="BB63" s="294">
        <f>TripMode_inputCBD!AD156*Index!$B$2</f>
        <v>0</v>
      </c>
      <c r="BC63" s="162">
        <f t="shared" si="81"/>
        <v>0</v>
      </c>
      <c r="BE63" s="107" t="s">
        <v>395</v>
      </c>
      <c r="BF63" s="166" t="str">
        <f t="shared" si="95"/>
        <v/>
      </c>
      <c r="BG63" s="166" t="str">
        <f t="shared" si="95"/>
        <v/>
      </c>
      <c r="BH63" s="166">
        <f t="shared" si="95"/>
        <v>0</v>
      </c>
      <c r="BI63" s="166" t="str">
        <f t="shared" si="95"/>
        <v/>
      </c>
      <c r="BJ63" s="166">
        <f t="shared" si="95"/>
        <v>0</v>
      </c>
      <c r="BK63" s="166">
        <f t="shared" si="95"/>
        <v>0</v>
      </c>
      <c r="BL63" s="166">
        <f t="shared" si="95"/>
        <v>0</v>
      </c>
      <c r="BM63" s="166">
        <f t="shared" si="95"/>
        <v>0</v>
      </c>
      <c r="BN63" s="166">
        <f t="shared" si="95"/>
        <v>0.81019322056382759</v>
      </c>
      <c r="BO63" s="166" t="str">
        <f t="shared" si="95"/>
        <v/>
      </c>
      <c r="BP63" s="166" t="str">
        <f t="shared" si="95"/>
        <v/>
      </c>
      <c r="BQ63" s="166" t="str">
        <f t="shared" si="95"/>
        <v/>
      </c>
      <c r="BR63" s="166" t="str">
        <f t="shared" si="95"/>
        <v/>
      </c>
      <c r="BS63" s="166">
        <f t="shared" si="95"/>
        <v>5.5682434372386999E-2</v>
      </c>
      <c r="BU63" s="107" t="s">
        <v>395</v>
      </c>
      <c r="BV63" s="166">
        <f t="shared" si="96"/>
        <v>0</v>
      </c>
      <c r="BW63" s="166">
        <f t="shared" si="96"/>
        <v>0</v>
      </c>
      <c r="BX63" s="166">
        <f t="shared" si="96"/>
        <v>0</v>
      </c>
      <c r="BY63" s="166">
        <f t="shared" si="96"/>
        <v>0</v>
      </c>
      <c r="BZ63" s="166">
        <f t="shared" si="96"/>
        <v>0</v>
      </c>
      <c r="CA63" s="166">
        <f t="shared" si="96"/>
        <v>0</v>
      </c>
      <c r="CB63" s="166">
        <f t="shared" si="96"/>
        <v>0</v>
      </c>
      <c r="CC63" s="166">
        <f t="shared" si="96"/>
        <v>0</v>
      </c>
      <c r="CD63" s="166">
        <f t="shared" si="96"/>
        <v>0</v>
      </c>
      <c r="CE63" s="166">
        <f t="shared" si="96"/>
        <v>0</v>
      </c>
      <c r="CF63" s="166">
        <f t="shared" si="96"/>
        <v>0</v>
      </c>
      <c r="CG63" s="166">
        <f t="shared" si="96"/>
        <v>0</v>
      </c>
      <c r="CH63" s="166">
        <f t="shared" si="96"/>
        <v>0</v>
      </c>
      <c r="CI63" s="168">
        <f t="shared" si="96"/>
        <v>0</v>
      </c>
      <c r="CK63" s="107" t="s">
        <v>395</v>
      </c>
      <c r="CL63" s="166" t="str">
        <f t="shared" ref="CL63:CO68" si="98">IF(OR(ISNA(BF63),BF63=0,BF63=""),"",(BV63-BF63)/BF63)</f>
        <v/>
      </c>
      <c r="CM63" s="166" t="str">
        <f t="shared" si="98"/>
        <v/>
      </c>
      <c r="CN63" s="166" t="str">
        <f t="shared" si="98"/>
        <v/>
      </c>
      <c r="CO63" s="166" t="str">
        <f t="shared" si="98"/>
        <v/>
      </c>
      <c r="CP63" s="166"/>
      <c r="CQ63" s="166"/>
      <c r="CR63" s="166"/>
      <c r="CS63" s="166"/>
      <c r="CT63" s="166">
        <f t="shared" ref="CT63:CY68" si="99">IF(OR(ISNA(BN63),BN63=0,BN63=""),"",(CD63-BN63)/BN63)</f>
        <v>-1</v>
      </c>
      <c r="CU63" s="166" t="str">
        <f t="shared" si="99"/>
        <v/>
      </c>
      <c r="CV63" s="166" t="str">
        <f t="shared" si="99"/>
        <v/>
      </c>
      <c r="CW63" s="166" t="str">
        <f t="shared" si="99"/>
        <v/>
      </c>
      <c r="CX63" s="166" t="str">
        <f t="shared" si="99"/>
        <v/>
      </c>
      <c r="CY63" s="168">
        <f t="shared" si="99"/>
        <v>-1</v>
      </c>
      <c r="DA63" s="107" t="s">
        <v>395</v>
      </c>
      <c r="DB63" s="315"/>
      <c r="DC63" s="315"/>
      <c r="DD63" s="315"/>
      <c r="DE63" s="315"/>
      <c r="DF63" s="315"/>
      <c r="DG63" s="315"/>
      <c r="DH63" s="315"/>
      <c r="DI63" s="315"/>
      <c r="DJ63" s="314">
        <f t="shared" si="97"/>
        <v>0</v>
      </c>
      <c r="DK63" s="315"/>
      <c r="DL63" s="315"/>
      <c r="DM63" s="315"/>
      <c r="DN63" s="315"/>
      <c r="DO63" s="168"/>
      <c r="DQ63" s="107" t="s">
        <v>395</v>
      </c>
      <c r="DR63" s="315"/>
      <c r="DS63" s="315"/>
      <c r="DT63" s="315"/>
      <c r="DU63" s="315"/>
      <c r="DV63" s="315"/>
      <c r="DW63" s="315"/>
      <c r="DX63" s="315"/>
      <c r="DY63" s="315"/>
      <c r="DZ63" s="314">
        <v>0</v>
      </c>
      <c r="EA63" s="315"/>
      <c r="EB63" s="315"/>
      <c r="EC63" s="315"/>
      <c r="ED63" s="315"/>
      <c r="EE63" s="168"/>
      <c r="EG63" s="107" t="s">
        <v>395</v>
      </c>
      <c r="EH63" s="315"/>
      <c r="EI63" s="315"/>
      <c r="EJ63" s="315"/>
      <c r="EK63" s="315"/>
      <c r="EL63" s="315"/>
      <c r="EM63" s="315"/>
      <c r="EN63" s="315"/>
      <c r="EO63" s="315"/>
      <c r="EP63" s="314">
        <v>0</v>
      </c>
      <c r="EQ63" s="315"/>
      <c r="ER63" s="315"/>
      <c r="ES63" s="315"/>
      <c r="ET63" s="315"/>
      <c r="EU63" s="168"/>
      <c r="EW63" s="164" t="s">
        <v>546</v>
      </c>
      <c r="EX63" s="316">
        <f t="shared" si="90"/>
        <v>0</v>
      </c>
      <c r="EY63" s="316">
        <f t="shared" si="86"/>
        <v>0</v>
      </c>
      <c r="EZ63" s="316">
        <f t="shared" si="86"/>
        <v>-4.5834209169339726</v>
      </c>
      <c r="FA63" s="316">
        <f t="shared" si="86"/>
        <v>-4.5834209169339726</v>
      </c>
      <c r="FB63" s="316">
        <f t="shared" si="86"/>
        <v>3.860021687695685</v>
      </c>
      <c r="FC63" s="316">
        <f t="shared" si="86"/>
        <v>3.860021687695685</v>
      </c>
      <c r="FD63" s="316">
        <f t="shared" si="86"/>
        <v>19.691503104227152</v>
      </c>
      <c r="FE63" s="316">
        <f t="shared" si="86"/>
        <v>0</v>
      </c>
      <c r="FF63" s="316"/>
      <c r="FG63" s="316">
        <f t="shared" si="86"/>
        <v>0</v>
      </c>
      <c r="FH63" s="316">
        <f t="shared" si="86"/>
        <v>0</v>
      </c>
      <c r="FI63" s="316">
        <f t="shared" si="86"/>
        <v>0</v>
      </c>
      <c r="FJ63" s="316">
        <f t="shared" si="86"/>
        <v>0</v>
      </c>
      <c r="FK63" s="316">
        <f t="shared" si="86"/>
        <v>0</v>
      </c>
      <c r="FL63" s="168"/>
    </row>
    <row r="64" spans="2:168" x14ac:dyDescent="0.25">
      <c r="B64" s="107" t="s">
        <v>396</v>
      </c>
      <c r="C64" s="294"/>
      <c r="D64" s="294"/>
      <c r="E64" s="294"/>
      <c r="F64" s="294"/>
      <c r="G64" s="294"/>
      <c r="H64" s="294"/>
      <c r="I64" s="294"/>
      <c r="J64" s="294"/>
      <c r="K64" s="294"/>
      <c r="L64" s="160">
        <f>TripMode_inputCBD!L157</f>
        <v>0</v>
      </c>
      <c r="M64" s="294"/>
      <c r="N64" s="294"/>
      <c r="O64" s="294"/>
      <c r="P64" s="162">
        <f t="shared" si="78"/>
        <v>0</v>
      </c>
      <c r="R64">
        <f t="shared" si="87"/>
        <v>0</v>
      </c>
      <c r="S64">
        <f t="shared" si="88"/>
        <v>0</v>
      </c>
      <c r="T64">
        <f t="shared" si="89"/>
        <v>0</v>
      </c>
      <c r="V64" s="127">
        <f>+L64/L$160</f>
        <v>0</v>
      </c>
      <c r="W64" s="127"/>
      <c r="X64" s="127"/>
      <c r="Y64" s="107" t="s">
        <v>396</v>
      </c>
      <c r="Z64" s="294"/>
      <c r="AA64" s="294"/>
      <c r="AB64" s="294"/>
      <c r="AC64" s="294"/>
      <c r="AD64" s="294"/>
      <c r="AE64" s="294"/>
      <c r="AF64" s="294"/>
      <c r="AG64" s="294"/>
      <c r="AH64" s="294"/>
      <c r="AI64" s="160">
        <f>V64*V$160</f>
        <v>0</v>
      </c>
      <c r="AJ64" s="294"/>
      <c r="AK64" s="294"/>
      <c r="AL64" s="294"/>
      <c r="AM64" s="162">
        <f t="shared" si="80"/>
        <v>0</v>
      </c>
      <c r="AN64" s="127"/>
      <c r="AO64" s="107" t="s">
        <v>396</v>
      </c>
      <c r="AP64" s="294">
        <f>TripMode_inputCBD!R157*Index!$B$2</f>
        <v>0</v>
      </c>
      <c r="AQ64" s="294">
        <f>TripMode_inputCBD!S157*Index!$B$2</f>
        <v>0</v>
      </c>
      <c r="AR64" s="294">
        <f>TripMode_inputCBD!T157*Index!$B$2</f>
        <v>0</v>
      </c>
      <c r="AS64" s="294">
        <f>TripMode_inputCBD!U157*Index!$B$2</f>
        <v>0</v>
      </c>
      <c r="AT64" s="294">
        <f>TripMode_inputCBD!V157*Index!$B$2</f>
        <v>0</v>
      </c>
      <c r="AU64" s="294">
        <f>TripMode_inputCBD!W157*Index!$B$2</f>
        <v>0</v>
      </c>
      <c r="AV64" s="294">
        <f>TripMode_inputCBD!X157*Index!$B$2</f>
        <v>0</v>
      </c>
      <c r="AW64" s="294">
        <f>TripMode_inputCBD!Y157*Index!$B$2</f>
        <v>0</v>
      </c>
      <c r="AX64" s="294">
        <f>TripMode_inputCBD!Z157*Index!$B$2</f>
        <v>0</v>
      </c>
      <c r="AY64" s="160">
        <f>TripMode_inputCBD!AA157*Index!$B$2</f>
        <v>2260</v>
      </c>
      <c r="AZ64" s="294">
        <f>TripMode_inputCBD!AB157*Index!$B$2</f>
        <v>0</v>
      </c>
      <c r="BA64" s="294">
        <f>TripMode_inputCBD!AC157*Index!$B$2</f>
        <v>0</v>
      </c>
      <c r="BB64" s="294">
        <f>TripMode_inputCBD!AD157*Index!$B$2</f>
        <v>0</v>
      </c>
      <c r="BC64" s="162">
        <f t="shared" si="81"/>
        <v>2260</v>
      </c>
      <c r="BE64" s="107" t="s">
        <v>396</v>
      </c>
      <c r="BF64" s="166" t="str">
        <f t="shared" si="95"/>
        <v/>
      </c>
      <c r="BG64" s="166" t="str">
        <f t="shared" si="95"/>
        <v/>
      </c>
      <c r="BH64" s="166">
        <f t="shared" si="95"/>
        <v>0</v>
      </c>
      <c r="BI64" s="166" t="str">
        <f t="shared" si="95"/>
        <v/>
      </c>
      <c r="BJ64" s="166">
        <f t="shared" si="95"/>
        <v>0</v>
      </c>
      <c r="BK64" s="166">
        <f t="shared" si="95"/>
        <v>0</v>
      </c>
      <c r="BL64" s="166">
        <f t="shared" si="95"/>
        <v>0</v>
      </c>
      <c r="BM64" s="166">
        <f t="shared" si="95"/>
        <v>0</v>
      </c>
      <c r="BN64" s="166">
        <f t="shared" si="95"/>
        <v>0</v>
      </c>
      <c r="BO64" s="166" t="str">
        <f t="shared" si="95"/>
        <v/>
      </c>
      <c r="BP64" s="166" t="str">
        <f t="shared" si="95"/>
        <v/>
      </c>
      <c r="BQ64" s="166" t="str">
        <f t="shared" si="95"/>
        <v/>
      </c>
      <c r="BR64" s="166" t="str">
        <f t="shared" si="95"/>
        <v/>
      </c>
      <c r="BS64" s="166">
        <f t="shared" si="95"/>
        <v>0</v>
      </c>
      <c r="BU64" s="107" t="s">
        <v>396</v>
      </c>
      <c r="BV64" s="166">
        <f t="shared" si="96"/>
        <v>0</v>
      </c>
      <c r="BW64" s="166">
        <f t="shared" si="96"/>
        <v>0</v>
      </c>
      <c r="BX64" s="166">
        <f t="shared" si="96"/>
        <v>0</v>
      </c>
      <c r="BY64" s="166">
        <f t="shared" si="96"/>
        <v>0</v>
      </c>
      <c r="BZ64" s="166">
        <f t="shared" si="96"/>
        <v>0</v>
      </c>
      <c r="CA64" s="166">
        <f t="shared" si="96"/>
        <v>0</v>
      </c>
      <c r="CB64" s="166">
        <f t="shared" si="96"/>
        <v>0</v>
      </c>
      <c r="CC64" s="166">
        <f t="shared" si="96"/>
        <v>0</v>
      </c>
      <c r="CD64" s="166">
        <f t="shared" si="96"/>
        <v>0</v>
      </c>
      <c r="CE64" s="166">
        <f t="shared" si="96"/>
        <v>2.7901234567901234</v>
      </c>
      <c r="CF64" s="166">
        <f t="shared" si="96"/>
        <v>0</v>
      </c>
      <c r="CG64" s="166">
        <f t="shared" si="96"/>
        <v>0</v>
      </c>
      <c r="CH64" s="166">
        <f t="shared" si="96"/>
        <v>0</v>
      </c>
      <c r="CI64" s="168">
        <f t="shared" si="96"/>
        <v>1.9471847671563347E-2</v>
      </c>
      <c r="CK64" s="107" t="s">
        <v>396</v>
      </c>
      <c r="CL64" s="166" t="str">
        <f t="shared" si="98"/>
        <v/>
      </c>
      <c r="CM64" s="166" t="str">
        <f t="shared" si="98"/>
        <v/>
      </c>
      <c r="CN64" s="166" t="str">
        <f t="shared" si="98"/>
        <v/>
      </c>
      <c r="CO64" s="166" t="str">
        <f t="shared" si="98"/>
        <v/>
      </c>
      <c r="CP64" s="166"/>
      <c r="CQ64" s="166"/>
      <c r="CR64" s="166"/>
      <c r="CS64" s="166"/>
      <c r="CT64" s="166" t="str">
        <f t="shared" si="99"/>
        <v/>
      </c>
      <c r="CU64" s="166" t="str">
        <f t="shared" si="99"/>
        <v/>
      </c>
      <c r="CV64" s="166" t="str">
        <f t="shared" si="99"/>
        <v/>
      </c>
      <c r="CW64" s="166" t="str">
        <f t="shared" si="99"/>
        <v/>
      </c>
      <c r="CX64" s="166" t="str">
        <f t="shared" si="99"/>
        <v/>
      </c>
      <c r="CY64" s="168" t="str">
        <f t="shared" si="99"/>
        <v/>
      </c>
      <c r="DA64" s="107" t="s">
        <v>396</v>
      </c>
      <c r="DB64" s="315"/>
      <c r="DC64" s="315"/>
      <c r="DD64" s="315"/>
      <c r="DE64" s="315"/>
      <c r="DF64" s="315"/>
      <c r="DG64" s="315"/>
      <c r="DH64" s="315"/>
      <c r="DI64" s="315"/>
      <c r="DJ64" s="315"/>
      <c r="DK64" s="314">
        <f>IFERROR(IF(CE64&gt;0,LN(BO64/CE64),0),0)</f>
        <v>0</v>
      </c>
      <c r="DL64" s="315"/>
      <c r="DM64" s="315"/>
      <c r="DN64" s="315"/>
      <c r="DO64" s="168"/>
      <c r="DQ64" s="107" t="s">
        <v>396</v>
      </c>
      <c r="DR64" s="315"/>
      <c r="DS64" s="315"/>
      <c r="DT64" s="315"/>
      <c r="DU64" s="315"/>
      <c r="DV64" s="315"/>
      <c r="DW64" s="315"/>
      <c r="DX64" s="315"/>
      <c r="DY64" s="315"/>
      <c r="DZ64" s="315"/>
      <c r="EA64" s="314">
        <v>0</v>
      </c>
      <c r="EB64" s="315"/>
      <c r="EC64" s="315"/>
      <c r="ED64" s="315"/>
      <c r="EE64" s="168"/>
      <c r="EG64" s="107" t="s">
        <v>396</v>
      </c>
      <c r="EH64" s="315"/>
      <c r="EI64" s="315"/>
      <c r="EJ64" s="315"/>
      <c r="EK64" s="315"/>
      <c r="EL64" s="315"/>
      <c r="EM64" s="315"/>
      <c r="EN64" s="315"/>
      <c r="EO64" s="315"/>
      <c r="EP64" s="315"/>
      <c r="EQ64" s="314">
        <v>0</v>
      </c>
      <c r="ER64" s="315"/>
      <c r="ES64" s="315"/>
      <c r="ET64" s="315"/>
      <c r="EU64" s="168"/>
      <c r="EW64" s="164" t="s">
        <v>396</v>
      </c>
      <c r="EX64" s="316">
        <f t="shared" si="90"/>
        <v>0</v>
      </c>
      <c r="EY64" s="316">
        <f t="shared" si="86"/>
        <v>0</v>
      </c>
      <c r="EZ64" s="316">
        <f t="shared" si="86"/>
        <v>0</v>
      </c>
      <c r="FA64" s="316">
        <f t="shared" si="86"/>
        <v>0</v>
      </c>
      <c r="FB64" s="316">
        <f t="shared" si="86"/>
        <v>0</v>
      </c>
      <c r="FC64" s="316">
        <f t="shared" si="86"/>
        <v>0</v>
      </c>
      <c r="FD64" s="316">
        <f t="shared" si="86"/>
        <v>0</v>
      </c>
      <c r="FE64" s="316">
        <f t="shared" si="86"/>
        <v>0</v>
      </c>
      <c r="FF64" s="316"/>
      <c r="FG64" s="316">
        <f t="shared" si="86"/>
        <v>0</v>
      </c>
      <c r="FH64" s="316">
        <f t="shared" si="86"/>
        <v>0</v>
      </c>
      <c r="FI64" s="316">
        <f t="shared" si="86"/>
        <v>0</v>
      </c>
      <c r="FJ64" s="316">
        <f t="shared" si="86"/>
        <v>0</v>
      </c>
      <c r="FK64" s="316">
        <f t="shared" si="86"/>
        <v>0</v>
      </c>
      <c r="FL64" s="168"/>
    </row>
    <row r="65" spans="2:168" x14ac:dyDescent="0.25">
      <c r="B65" s="107" t="s">
        <v>397</v>
      </c>
      <c r="C65" s="294"/>
      <c r="D65" s="294"/>
      <c r="E65" s="294"/>
      <c r="F65" s="294"/>
      <c r="G65" s="294"/>
      <c r="H65" s="294"/>
      <c r="I65" s="294"/>
      <c r="J65" s="294"/>
      <c r="K65" s="294"/>
      <c r="L65" s="294"/>
      <c r="M65" s="160">
        <f>TripMode_inputCBD!M158</f>
        <v>0</v>
      </c>
      <c r="N65" s="294"/>
      <c r="O65" s="294"/>
      <c r="P65" s="162">
        <f t="shared" si="78"/>
        <v>0</v>
      </c>
      <c r="R65">
        <f t="shared" si="87"/>
        <v>0</v>
      </c>
      <c r="S65">
        <f t="shared" si="88"/>
        <v>0</v>
      </c>
      <c r="T65">
        <f t="shared" si="89"/>
        <v>0</v>
      </c>
      <c r="W65" s="127">
        <f>+M65/M$161</f>
        <v>0</v>
      </c>
      <c r="X65" s="127"/>
      <c r="Y65" s="107" t="s">
        <v>397</v>
      </c>
      <c r="Z65" s="294"/>
      <c r="AA65" s="294"/>
      <c r="AB65" s="294"/>
      <c r="AC65" s="294"/>
      <c r="AD65" s="294"/>
      <c r="AE65" s="294"/>
      <c r="AF65" s="294"/>
      <c r="AG65" s="294"/>
      <c r="AH65" s="294"/>
      <c r="AI65" s="294"/>
      <c r="AJ65" s="160">
        <f>W65*W$161</f>
        <v>0</v>
      </c>
      <c r="AK65" s="294"/>
      <c r="AL65" s="294"/>
      <c r="AM65" s="162">
        <f t="shared" si="80"/>
        <v>0</v>
      </c>
      <c r="AN65" s="127"/>
      <c r="AO65" s="107" t="s">
        <v>397</v>
      </c>
      <c r="AP65" s="294">
        <f>TripMode_inputCBD!R158*Index!$B$2</f>
        <v>0</v>
      </c>
      <c r="AQ65" s="294">
        <f>TripMode_inputCBD!S158*Index!$B$2</f>
        <v>0</v>
      </c>
      <c r="AR65" s="294">
        <f>TripMode_inputCBD!T158*Index!$B$2</f>
        <v>0</v>
      </c>
      <c r="AS65" s="294">
        <f>TripMode_inputCBD!U158*Index!$B$2</f>
        <v>0</v>
      </c>
      <c r="AT65" s="294">
        <f>TripMode_inputCBD!V158*Index!$B$2</f>
        <v>0</v>
      </c>
      <c r="AU65" s="294">
        <f>TripMode_inputCBD!W158*Index!$B$2</f>
        <v>0</v>
      </c>
      <c r="AV65" s="294">
        <f>TripMode_inputCBD!X158*Index!$B$2</f>
        <v>0</v>
      </c>
      <c r="AW65" s="294">
        <f>TripMode_inputCBD!Y158*Index!$B$2</f>
        <v>0</v>
      </c>
      <c r="AX65" s="294">
        <f>TripMode_inputCBD!Z158*Index!$B$2</f>
        <v>0</v>
      </c>
      <c r="AY65" s="294">
        <f>TripMode_inputCBD!AA158*Index!$B$2</f>
        <v>0</v>
      </c>
      <c r="AZ65" s="160">
        <f>TripMode_inputCBD!AB158*Index!$B$2</f>
        <v>0</v>
      </c>
      <c r="BA65" s="294">
        <f>TripMode_inputCBD!AC158*Index!$B$2</f>
        <v>0</v>
      </c>
      <c r="BB65" s="294">
        <f>TripMode_inputCBD!AD158*Index!$B$2</f>
        <v>0</v>
      </c>
      <c r="BC65" s="162">
        <f t="shared" si="81"/>
        <v>0</v>
      </c>
      <c r="BE65" s="107" t="s">
        <v>397</v>
      </c>
      <c r="BF65" s="166" t="str">
        <f t="shared" si="95"/>
        <v/>
      </c>
      <c r="BG65" s="166" t="str">
        <f t="shared" si="95"/>
        <v/>
      </c>
      <c r="BH65" s="166">
        <f t="shared" si="95"/>
        <v>0</v>
      </c>
      <c r="BI65" s="166" t="str">
        <f t="shared" si="95"/>
        <v/>
      </c>
      <c r="BJ65" s="166">
        <f t="shared" si="95"/>
        <v>0</v>
      </c>
      <c r="BK65" s="166">
        <f t="shared" si="95"/>
        <v>0</v>
      </c>
      <c r="BL65" s="166">
        <f t="shared" si="95"/>
        <v>0</v>
      </c>
      <c r="BM65" s="166">
        <f t="shared" si="95"/>
        <v>0</v>
      </c>
      <c r="BN65" s="166">
        <f t="shared" si="95"/>
        <v>0</v>
      </c>
      <c r="BO65" s="166" t="str">
        <f t="shared" si="95"/>
        <v/>
      </c>
      <c r="BP65" s="166" t="str">
        <f t="shared" si="95"/>
        <v/>
      </c>
      <c r="BQ65" s="166" t="str">
        <f t="shared" si="95"/>
        <v/>
      </c>
      <c r="BR65" s="166" t="str">
        <f t="shared" si="95"/>
        <v/>
      </c>
      <c r="BS65" s="166">
        <f t="shared" si="95"/>
        <v>0</v>
      </c>
      <c r="BU65" s="107" t="s">
        <v>397</v>
      </c>
      <c r="BV65" s="166">
        <f t="shared" si="96"/>
        <v>0</v>
      </c>
      <c r="BW65" s="166">
        <f t="shared" si="96"/>
        <v>0</v>
      </c>
      <c r="BX65" s="166">
        <f t="shared" si="96"/>
        <v>0</v>
      </c>
      <c r="BY65" s="166">
        <f t="shared" si="96"/>
        <v>0</v>
      </c>
      <c r="BZ65" s="166">
        <f t="shared" si="96"/>
        <v>0</v>
      </c>
      <c r="CA65" s="166">
        <f t="shared" si="96"/>
        <v>0</v>
      </c>
      <c r="CB65" s="166">
        <f t="shared" si="96"/>
        <v>0</v>
      </c>
      <c r="CC65" s="166">
        <f t="shared" si="96"/>
        <v>0</v>
      </c>
      <c r="CD65" s="166">
        <f t="shared" si="96"/>
        <v>0</v>
      </c>
      <c r="CE65" s="166">
        <f t="shared" si="96"/>
        <v>0</v>
      </c>
      <c r="CF65" s="166">
        <f t="shared" si="96"/>
        <v>0</v>
      </c>
      <c r="CG65" s="166">
        <f t="shared" si="96"/>
        <v>0</v>
      </c>
      <c r="CH65" s="166">
        <f t="shared" si="96"/>
        <v>0</v>
      </c>
      <c r="CI65" s="168">
        <f t="shared" si="96"/>
        <v>0</v>
      </c>
      <c r="CK65" s="107" t="s">
        <v>397</v>
      </c>
      <c r="CL65" s="166" t="str">
        <f t="shared" si="98"/>
        <v/>
      </c>
      <c r="CM65" s="166" t="str">
        <f t="shared" si="98"/>
        <v/>
      </c>
      <c r="CN65" s="166" t="str">
        <f t="shared" si="98"/>
        <v/>
      </c>
      <c r="CO65" s="166" t="str">
        <f t="shared" si="98"/>
        <v/>
      </c>
      <c r="CP65" s="166"/>
      <c r="CQ65" s="166"/>
      <c r="CR65" s="166"/>
      <c r="CS65" s="166"/>
      <c r="CT65" s="166" t="str">
        <f t="shared" si="99"/>
        <v/>
      </c>
      <c r="CU65" s="166" t="str">
        <f t="shared" si="99"/>
        <v/>
      </c>
      <c r="CV65" s="166" t="str">
        <f t="shared" si="99"/>
        <v/>
      </c>
      <c r="CW65" s="166" t="str">
        <f t="shared" si="99"/>
        <v/>
      </c>
      <c r="CX65" s="166" t="str">
        <f t="shared" si="99"/>
        <v/>
      </c>
      <c r="CY65" s="168" t="str">
        <f t="shared" si="99"/>
        <v/>
      </c>
      <c r="DA65" s="107" t="s">
        <v>397</v>
      </c>
      <c r="DB65" s="315"/>
      <c r="DC65" s="315"/>
      <c r="DD65" s="315"/>
      <c r="DE65" s="315"/>
      <c r="DF65" s="315"/>
      <c r="DG65" s="315"/>
      <c r="DH65" s="315"/>
      <c r="DI65" s="315"/>
      <c r="DJ65" s="315"/>
      <c r="DK65" s="315"/>
      <c r="DL65" s="314">
        <f>IFERROR(IF(CF65&gt;0,LN(BP65/CF65),0),0)</f>
        <v>0</v>
      </c>
      <c r="DM65" s="315"/>
      <c r="DN65" s="315"/>
      <c r="DO65" s="168"/>
      <c r="DQ65" s="107" t="s">
        <v>397</v>
      </c>
      <c r="DR65" s="315"/>
      <c r="DS65" s="315"/>
      <c r="DT65" s="315"/>
      <c r="DU65" s="315"/>
      <c r="DV65" s="315"/>
      <c r="DW65" s="315"/>
      <c r="DX65" s="315"/>
      <c r="DY65" s="315"/>
      <c r="DZ65" s="315"/>
      <c r="EA65" s="315"/>
      <c r="EB65" s="314">
        <v>0</v>
      </c>
      <c r="EC65" s="315"/>
      <c r="ED65" s="315"/>
      <c r="EE65" s="168"/>
      <c r="EG65" s="107" t="s">
        <v>397</v>
      </c>
      <c r="EH65" s="315"/>
      <c r="EI65" s="315"/>
      <c r="EJ65" s="315"/>
      <c r="EK65" s="315"/>
      <c r="EL65" s="315"/>
      <c r="EM65" s="315"/>
      <c r="EN65" s="315"/>
      <c r="EO65" s="315"/>
      <c r="EP65" s="315"/>
      <c r="EQ65" s="315"/>
      <c r="ER65" s="314">
        <v>0</v>
      </c>
      <c r="ES65" s="315"/>
      <c r="ET65" s="315"/>
      <c r="EU65" s="168"/>
      <c r="EW65" s="164" t="s">
        <v>397</v>
      </c>
      <c r="EX65" s="316">
        <f t="shared" si="90"/>
        <v>0</v>
      </c>
      <c r="EY65" s="316">
        <f t="shared" si="86"/>
        <v>0</v>
      </c>
      <c r="EZ65" s="316">
        <f t="shared" si="86"/>
        <v>0</v>
      </c>
      <c r="FA65" s="316">
        <f t="shared" si="86"/>
        <v>0</v>
      </c>
      <c r="FB65" s="316">
        <f t="shared" si="86"/>
        <v>0</v>
      </c>
      <c r="FC65" s="316">
        <f t="shared" si="86"/>
        <v>0</v>
      </c>
      <c r="FD65" s="316">
        <f t="shared" si="86"/>
        <v>0</v>
      </c>
      <c r="FE65" s="316">
        <f t="shared" si="86"/>
        <v>0</v>
      </c>
      <c r="FF65" s="316"/>
      <c r="FG65" s="316">
        <f t="shared" si="86"/>
        <v>0</v>
      </c>
      <c r="FH65" s="316">
        <f t="shared" si="86"/>
        <v>0</v>
      </c>
      <c r="FI65" s="316">
        <f t="shared" si="86"/>
        <v>0</v>
      </c>
      <c r="FJ65" s="316">
        <f t="shared" si="86"/>
        <v>0</v>
      </c>
      <c r="FK65" s="316">
        <f t="shared" si="86"/>
        <v>0</v>
      </c>
      <c r="FL65" s="168"/>
    </row>
    <row r="66" spans="2:168" x14ac:dyDescent="0.25">
      <c r="B66" s="107" t="s">
        <v>398</v>
      </c>
      <c r="C66" s="294"/>
      <c r="D66" s="294"/>
      <c r="E66" s="294"/>
      <c r="F66" s="294"/>
      <c r="G66" s="294"/>
      <c r="H66" s="294"/>
      <c r="I66" s="294"/>
      <c r="J66" s="294"/>
      <c r="K66" s="160">
        <f>TripMode_inputCBD!J159+TripMode_inputCBD!K159</f>
        <v>0</v>
      </c>
      <c r="L66" s="294"/>
      <c r="M66" s="294"/>
      <c r="N66" s="160">
        <f>TripMode_inputCBD!N159</f>
        <v>0</v>
      </c>
      <c r="O66" s="294"/>
      <c r="P66" s="162">
        <f t="shared" si="78"/>
        <v>0</v>
      </c>
      <c r="R66">
        <f t="shared" si="87"/>
        <v>0</v>
      </c>
      <c r="S66">
        <f t="shared" si="88"/>
        <v>0</v>
      </c>
      <c r="T66">
        <f t="shared" si="89"/>
        <v>0</v>
      </c>
      <c r="Y66" s="107" t="s">
        <v>398</v>
      </c>
      <c r="Z66" s="294"/>
      <c r="AA66" s="294"/>
      <c r="AB66" s="294"/>
      <c r="AC66" s="294"/>
      <c r="AD66" s="294"/>
      <c r="AE66" s="294"/>
      <c r="AF66" s="294"/>
      <c r="AG66" s="294"/>
      <c r="AH66" s="160">
        <f>AH63*R66</f>
        <v>0</v>
      </c>
      <c r="AI66" s="160">
        <f>AI64*S66</f>
        <v>0</v>
      </c>
      <c r="AJ66" s="160">
        <f>AJ65*T66</f>
        <v>0</v>
      </c>
      <c r="AK66" s="160">
        <f>N66</f>
        <v>0</v>
      </c>
      <c r="AL66" s="294"/>
      <c r="AM66" s="162">
        <f t="shared" si="80"/>
        <v>0</v>
      </c>
      <c r="AO66" s="107" t="s">
        <v>398</v>
      </c>
      <c r="AP66" s="294">
        <f>TripMode_inputCBD!R159*Index!$B$2</f>
        <v>0</v>
      </c>
      <c r="AQ66" s="294">
        <f>TripMode_inputCBD!S159*Index!$B$2</f>
        <v>0</v>
      </c>
      <c r="AR66" s="294">
        <f>TripMode_inputCBD!T159*Index!$B$2</f>
        <v>0</v>
      </c>
      <c r="AS66" s="294">
        <f>TripMode_inputCBD!U159*Index!$B$2</f>
        <v>0</v>
      </c>
      <c r="AT66" s="294">
        <f>TripMode_inputCBD!V159*Index!$B$2</f>
        <v>0</v>
      </c>
      <c r="AU66" s="294">
        <f>TripMode_inputCBD!W159*Index!$B$2</f>
        <v>0</v>
      </c>
      <c r="AV66" s="294">
        <f>TripMode_inputCBD!X159*Index!$B$2</f>
        <v>0</v>
      </c>
      <c r="AW66" s="294">
        <f>TripMode_inputCBD!Y159*Index!$B$2</f>
        <v>0</v>
      </c>
      <c r="AX66" s="160">
        <f>TripMode_inputCBD!Z159*Index!$B$2</f>
        <v>0</v>
      </c>
      <c r="AY66" s="160">
        <f>TripMode_inputCBD!AA159*Index!$B$2</f>
        <v>0</v>
      </c>
      <c r="AZ66" s="160">
        <f>TripMode_inputCBD!AB159*Index!$B$2</f>
        <v>0</v>
      </c>
      <c r="BA66" s="160">
        <f>TripMode_inputCBD!AC159*Index!$B$2</f>
        <v>0</v>
      </c>
      <c r="BB66" s="294">
        <f>TripMode_inputCBD!AD159*Index!$B$2</f>
        <v>0</v>
      </c>
      <c r="BC66" s="162">
        <f t="shared" si="81"/>
        <v>0</v>
      </c>
      <c r="BE66" s="107" t="s">
        <v>398</v>
      </c>
      <c r="BF66" s="166" t="str">
        <f t="shared" si="95"/>
        <v/>
      </c>
      <c r="BG66" s="166" t="str">
        <f t="shared" si="95"/>
        <v/>
      </c>
      <c r="BH66" s="166">
        <f t="shared" si="95"/>
        <v>0</v>
      </c>
      <c r="BI66" s="166" t="str">
        <f t="shared" si="95"/>
        <v/>
      </c>
      <c r="BJ66" s="166">
        <f t="shared" si="95"/>
        <v>0</v>
      </c>
      <c r="BK66" s="166">
        <f t="shared" si="95"/>
        <v>0</v>
      </c>
      <c r="BL66" s="166">
        <f t="shared" si="95"/>
        <v>0</v>
      </c>
      <c r="BM66" s="166">
        <f t="shared" si="95"/>
        <v>0</v>
      </c>
      <c r="BN66" s="166">
        <f t="shared" si="95"/>
        <v>0</v>
      </c>
      <c r="BO66" s="166" t="str">
        <f t="shared" si="95"/>
        <v/>
      </c>
      <c r="BP66" s="166" t="str">
        <f t="shared" si="95"/>
        <v/>
      </c>
      <c r="BQ66" s="166" t="str">
        <f t="shared" si="95"/>
        <v/>
      </c>
      <c r="BR66" s="166" t="str">
        <f t="shared" si="95"/>
        <v/>
      </c>
      <c r="BS66" s="166">
        <f t="shared" si="95"/>
        <v>0</v>
      </c>
      <c r="BU66" s="107" t="s">
        <v>398</v>
      </c>
      <c r="BV66" s="166">
        <f t="shared" si="96"/>
        <v>0</v>
      </c>
      <c r="BW66" s="166">
        <f t="shared" si="96"/>
        <v>0</v>
      </c>
      <c r="BX66" s="166">
        <f t="shared" si="96"/>
        <v>0</v>
      </c>
      <c r="BY66" s="166">
        <f t="shared" si="96"/>
        <v>0</v>
      </c>
      <c r="BZ66" s="166">
        <f t="shared" si="96"/>
        <v>0</v>
      </c>
      <c r="CA66" s="166">
        <f t="shared" si="96"/>
        <v>0</v>
      </c>
      <c r="CB66" s="166">
        <f t="shared" si="96"/>
        <v>0</v>
      </c>
      <c r="CC66" s="166">
        <f t="shared" si="96"/>
        <v>0</v>
      </c>
      <c r="CD66" s="166">
        <f t="shared" si="96"/>
        <v>0</v>
      </c>
      <c r="CE66" s="166">
        <f t="shared" si="96"/>
        <v>0</v>
      </c>
      <c r="CF66" s="166">
        <f t="shared" si="96"/>
        <v>0</v>
      </c>
      <c r="CG66" s="166">
        <f t="shared" si="96"/>
        <v>0</v>
      </c>
      <c r="CH66" s="166">
        <f t="shared" si="96"/>
        <v>0</v>
      </c>
      <c r="CI66" s="168">
        <f t="shared" si="96"/>
        <v>0</v>
      </c>
      <c r="CK66" s="107" t="s">
        <v>398</v>
      </c>
      <c r="CL66" s="166" t="str">
        <f t="shared" si="98"/>
        <v/>
      </c>
      <c r="CM66" s="166" t="str">
        <f t="shared" si="98"/>
        <v/>
      </c>
      <c r="CN66" s="166" t="str">
        <f t="shared" si="98"/>
        <v/>
      </c>
      <c r="CO66" s="166" t="str">
        <f t="shared" si="98"/>
        <v/>
      </c>
      <c r="CP66" s="166"/>
      <c r="CQ66" s="166"/>
      <c r="CR66" s="166"/>
      <c r="CS66" s="166"/>
      <c r="CT66" s="166" t="str">
        <f t="shared" si="99"/>
        <v/>
      </c>
      <c r="CU66" s="166" t="str">
        <f t="shared" si="99"/>
        <v/>
      </c>
      <c r="CV66" s="166" t="str">
        <f t="shared" si="99"/>
        <v/>
      </c>
      <c r="CW66" s="166" t="str">
        <f t="shared" si="99"/>
        <v/>
      </c>
      <c r="CX66" s="166" t="str">
        <f t="shared" si="99"/>
        <v/>
      </c>
      <c r="CY66" s="168" t="str">
        <f t="shared" si="99"/>
        <v/>
      </c>
      <c r="DA66" s="107" t="s">
        <v>398</v>
      </c>
      <c r="DB66" s="315"/>
      <c r="DC66" s="315"/>
      <c r="DD66" s="315"/>
      <c r="DE66" s="315"/>
      <c r="DF66" s="315"/>
      <c r="DG66" s="315"/>
      <c r="DH66" s="315"/>
      <c r="DI66" s="315"/>
      <c r="DJ66" s="314">
        <f t="shared" si="97"/>
        <v>0</v>
      </c>
      <c r="DK66" s="314">
        <f>IFERROR(IF(CE66&gt;0,LN(BO66/CE66),0),0)</f>
        <v>0</v>
      </c>
      <c r="DL66" s="314">
        <f>IFERROR(IF(CF66&gt;0,LN(BP66/CF66),0),0)</f>
        <v>0</v>
      </c>
      <c r="DM66" s="314">
        <f>IFERROR(IF(CG66&gt;0,LN(BQ66/CG66),0),0)</f>
        <v>0</v>
      </c>
      <c r="DN66" s="315"/>
      <c r="DO66" s="168"/>
      <c r="DQ66" s="107" t="s">
        <v>398</v>
      </c>
      <c r="DR66" s="315"/>
      <c r="DS66" s="315"/>
      <c r="DT66" s="315"/>
      <c r="DU66" s="315"/>
      <c r="DV66" s="315"/>
      <c r="DW66" s="315"/>
      <c r="DX66" s="315"/>
      <c r="DY66" s="315"/>
      <c r="DZ66" s="314">
        <v>0</v>
      </c>
      <c r="EA66" s="314">
        <v>0</v>
      </c>
      <c r="EB66" s="314">
        <v>0</v>
      </c>
      <c r="EC66" s="314">
        <v>0</v>
      </c>
      <c r="ED66" s="315"/>
      <c r="EE66" s="168"/>
      <c r="EG66" s="107" t="s">
        <v>398</v>
      </c>
      <c r="EH66" s="315"/>
      <c r="EI66" s="315"/>
      <c r="EJ66" s="315"/>
      <c r="EK66" s="315"/>
      <c r="EL66" s="315"/>
      <c r="EM66" s="315"/>
      <c r="EN66" s="315"/>
      <c r="EO66" s="315"/>
      <c r="EP66" s="314">
        <f>DZ66+(DJ66-DJ$63)*$EI$1</f>
        <v>0</v>
      </c>
      <c r="EQ66" s="314">
        <f>EA66+(DK66-DK$64)*$EI$1</f>
        <v>0</v>
      </c>
      <c r="ER66" s="314">
        <f>EB66+(DL66-DL$65)*$EI$1</f>
        <v>0</v>
      </c>
      <c r="ES66" s="314">
        <v>0</v>
      </c>
      <c r="ET66" s="315"/>
      <c r="EU66" s="168"/>
      <c r="EW66" s="164" t="s">
        <v>398</v>
      </c>
      <c r="EX66" s="316">
        <f t="shared" si="90"/>
        <v>0</v>
      </c>
      <c r="EY66" s="316">
        <f t="shared" si="86"/>
        <v>0</v>
      </c>
      <c r="EZ66" s="316">
        <f t="shared" si="86"/>
        <v>0</v>
      </c>
      <c r="FA66" s="316">
        <f t="shared" si="86"/>
        <v>0</v>
      </c>
      <c r="FB66" s="316">
        <f t="shared" si="86"/>
        <v>0</v>
      </c>
      <c r="FC66" s="316">
        <f t="shared" si="86"/>
        <v>0</v>
      </c>
      <c r="FD66" s="316">
        <f t="shared" si="86"/>
        <v>0</v>
      </c>
      <c r="FE66" s="316">
        <f t="shared" si="86"/>
        <v>0</v>
      </c>
      <c r="FF66" s="316"/>
      <c r="FG66" s="316">
        <f t="shared" si="86"/>
        <v>0</v>
      </c>
      <c r="FH66" s="316">
        <f t="shared" si="86"/>
        <v>0</v>
      </c>
      <c r="FI66" s="316">
        <f t="shared" si="86"/>
        <v>0</v>
      </c>
      <c r="FJ66" s="316">
        <f t="shared" si="86"/>
        <v>0</v>
      </c>
      <c r="FK66" s="316">
        <f t="shared" si="86"/>
        <v>0</v>
      </c>
      <c r="FL66" s="168"/>
    </row>
    <row r="67" spans="2:168" x14ac:dyDescent="0.25">
      <c r="B67" s="107" t="s">
        <v>399</v>
      </c>
      <c r="C67" s="294"/>
      <c r="D67" s="294"/>
      <c r="E67" s="294"/>
      <c r="F67" s="294"/>
      <c r="G67" s="294"/>
      <c r="H67" s="294"/>
      <c r="I67" s="294"/>
      <c r="J67" s="294"/>
      <c r="K67" s="294"/>
      <c r="L67" s="294"/>
      <c r="M67" s="294"/>
      <c r="N67" s="294"/>
      <c r="O67" s="160">
        <f>TripMode_inputCBD!O160</f>
        <v>0</v>
      </c>
      <c r="P67" s="162">
        <f t="shared" si="78"/>
        <v>0</v>
      </c>
      <c r="R67">
        <f t="shared" si="87"/>
        <v>0</v>
      </c>
      <c r="S67">
        <f t="shared" si="88"/>
        <v>0</v>
      </c>
      <c r="T67">
        <f t="shared" si="89"/>
        <v>0</v>
      </c>
      <c r="Y67" s="107" t="s">
        <v>399</v>
      </c>
      <c r="Z67" s="294"/>
      <c r="AA67" s="294"/>
      <c r="AB67" s="294"/>
      <c r="AC67" s="294"/>
      <c r="AD67" s="294"/>
      <c r="AE67" s="294"/>
      <c r="AF67" s="294"/>
      <c r="AG67" s="294"/>
      <c r="AH67" s="294"/>
      <c r="AI67" s="294"/>
      <c r="AJ67" s="294"/>
      <c r="AK67" s="294"/>
      <c r="AL67" s="160">
        <f>+O67</f>
        <v>0</v>
      </c>
      <c r="AM67" s="162">
        <f t="shared" si="80"/>
        <v>0</v>
      </c>
      <c r="AO67" s="107" t="s">
        <v>399</v>
      </c>
      <c r="AP67" s="294">
        <f>TripMode_inputCBD!R160*Index!$B$2</f>
        <v>0</v>
      </c>
      <c r="AQ67" s="294">
        <f>TripMode_inputCBD!S160*Index!$B$2</f>
        <v>0</v>
      </c>
      <c r="AR67" s="294">
        <f>TripMode_inputCBD!T160*Index!$B$2</f>
        <v>0</v>
      </c>
      <c r="AS67" s="294">
        <f>TripMode_inputCBD!U160*Index!$B$2</f>
        <v>0</v>
      </c>
      <c r="AT67" s="294">
        <f>TripMode_inputCBD!V160*Index!$B$2</f>
        <v>0</v>
      </c>
      <c r="AU67" s="294">
        <f>TripMode_inputCBD!W160*Index!$B$2</f>
        <v>0</v>
      </c>
      <c r="AV67" s="294">
        <f>TripMode_inputCBD!X160*Index!$B$2</f>
        <v>0</v>
      </c>
      <c r="AW67" s="294">
        <f>TripMode_inputCBD!Y160*Index!$B$2</f>
        <v>0</v>
      </c>
      <c r="AX67" s="294">
        <f>TripMode_inputCBD!Z160*Index!$B$2</f>
        <v>0</v>
      </c>
      <c r="AY67" s="294">
        <f>TripMode_inputCBD!AA160*Index!$B$2</f>
        <v>10</v>
      </c>
      <c r="AZ67" s="294">
        <f>TripMode_inputCBD!AB160*Index!$B$2</f>
        <v>0</v>
      </c>
      <c r="BA67" s="294">
        <f>TripMode_inputCBD!AC160*Index!$B$2</f>
        <v>0</v>
      </c>
      <c r="BB67" s="160">
        <f>TripMode_inputCBD!AD160*Index!$B$2</f>
        <v>0</v>
      </c>
      <c r="BC67" s="162">
        <f t="shared" si="81"/>
        <v>10</v>
      </c>
      <c r="BE67" s="107" t="s">
        <v>399</v>
      </c>
      <c r="BF67" s="166" t="str">
        <f t="shared" si="95"/>
        <v/>
      </c>
      <c r="BG67" s="166" t="str">
        <f t="shared" si="95"/>
        <v/>
      </c>
      <c r="BH67" s="166">
        <f t="shared" si="95"/>
        <v>0</v>
      </c>
      <c r="BI67" s="166" t="str">
        <f t="shared" si="95"/>
        <v/>
      </c>
      <c r="BJ67" s="166">
        <f t="shared" si="95"/>
        <v>0</v>
      </c>
      <c r="BK67" s="166">
        <f t="shared" si="95"/>
        <v>0</v>
      </c>
      <c r="BL67" s="166">
        <f t="shared" si="95"/>
        <v>0</v>
      </c>
      <c r="BM67" s="166">
        <f t="shared" si="95"/>
        <v>0</v>
      </c>
      <c r="BN67" s="166">
        <f t="shared" si="95"/>
        <v>0</v>
      </c>
      <c r="BO67" s="166" t="str">
        <f t="shared" si="95"/>
        <v/>
      </c>
      <c r="BP67" s="166" t="str">
        <f t="shared" si="95"/>
        <v/>
      </c>
      <c r="BQ67" s="166" t="str">
        <f t="shared" si="95"/>
        <v/>
      </c>
      <c r="BR67" s="166" t="str">
        <f t="shared" si="95"/>
        <v/>
      </c>
      <c r="BS67" s="166">
        <f t="shared" si="95"/>
        <v>0</v>
      </c>
      <c r="BU67" s="107" t="s">
        <v>399</v>
      </c>
      <c r="BV67" s="166">
        <f t="shared" si="96"/>
        <v>0</v>
      </c>
      <c r="BW67" s="166">
        <f t="shared" si="96"/>
        <v>0</v>
      </c>
      <c r="BX67" s="166">
        <f t="shared" si="96"/>
        <v>0</v>
      </c>
      <c r="BY67" s="166">
        <f t="shared" si="96"/>
        <v>0</v>
      </c>
      <c r="BZ67" s="166">
        <f t="shared" si="96"/>
        <v>0</v>
      </c>
      <c r="CA67" s="166">
        <f t="shared" si="96"/>
        <v>0</v>
      </c>
      <c r="CB67" s="166">
        <f t="shared" si="96"/>
        <v>0</v>
      </c>
      <c r="CC67" s="166">
        <f t="shared" si="96"/>
        <v>0</v>
      </c>
      <c r="CD67" s="166">
        <f t="shared" si="96"/>
        <v>0</v>
      </c>
      <c r="CE67" s="166">
        <f t="shared" si="96"/>
        <v>1.2345679012345678E-2</v>
      </c>
      <c r="CF67" s="166">
        <f t="shared" si="96"/>
        <v>0</v>
      </c>
      <c r="CG67" s="166">
        <f t="shared" si="96"/>
        <v>0</v>
      </c>
      <c r="CH67" s="166">
        <f t="shared" si="96"/>
        <v>0</v>
      </c>
      <c r="CI67" s="168">
        <f t="shared" si="96"/>
        <v>8.6158618015767032E-5</v>
      </c>
      <c r="CK67" s="107" t="s">
        <v>399</v>
      </c>
      <c r="CL67" s="166" t="str">
        <f t="shared" si="98"/>
        <v/>
      </c>
      <c r="CM67" s="166" t="str">
        <f t="shared" si="98"/>
        <v/>
      </c>
      <c r="CN67" s="166" t="str">
        <f t="shared" si="98"/>
        <v/>
      </c>
      <c r="CO67" s="166" t="str">
        <f t="shared" si="98"/>
        <v/>
      </c>
      <c r="CP67" s="166"/>
      <c r="CQ67" s="166"/>
      <c r="CR67" s="166"/>
      <c r="CS67" s="166"/>
      <c r="CT67" s="166" t="str">
        <f t="shared" si="99"/>
        <v/>
      </c>
      <c r="CU67" s="166" t="str">
        <f t="shared" si="99"/>
        <v/>
      </c>
      <c r="CV67" s="166" t="str">
        <f t="shared" si="99"/>
        <v/>
      </c>
      <c r="CW67" s="166" t="str">
        <f t="shared" si="99"/>
        <v/>
      </c>
      <c r="CX67" s="166" t="str">
        <f t="shared" si="99"/>
        <v/>
      </c>
      <c r="CY67" s="168" t="str">
        <f t="shared" si="99"/>
        <v/>
      </c>
      <c r="DA67" s="107" t="s">
        <v>399</v>
      </c>
      <c r="DB67" s="315"/>
      <c r="DC67" s="315"/>
      <c r="DD67" s="315"/>
      <c r="DE67" s="315"/>
      <c r="DF67" s="315"/>
      <c r="DG67" s="315"/>
      <c r="DH67" s="315"/>
      <c r="DI67" s="315"/>
      <c r="DJ67" s="315"/>
      <c r="DK67" s="315"/>
      <c r="DL67" s="315"/>
      <c r="DM67" s="315"/>
      <c r="DN67" s="314">
        <f>IFERROR(IF(CH67&gt;0,LN(BR67/CH67),0),0)</f>
        <v>0</v>
      </c>
      <c r="DO67" s="168"/>
      <c r="DQ67" s="107" t="s">
        <v>399</v>
      </c>
      <c r="DR67" s="315"/>
      <c r="DS67" s="315"/>
      <c r="DT67" s="315"/>
      <c r="DU67" s="315"/>
      <c r="DV67" s="315"/>
      <c r="DW67" s="315"/>
      <c r="DX67" s="315"/>
      <c r="DY67" s="315"/>
      <c r="DZ67" s="315"/>
      <c r="EA67" s="315"/>
      <c r="EB67" s="315"/>
      <c r="EC67" s="315"/>
      <c r="ED67" s="314">
        <v>0</v>
      </c>
      <c r="EE67" s="168"/>
      <c r="EG67" s="107" t="s">
        <v>399</v>
      </c>
      <c r="EH67" s="315"/>
      <c r="EI67" s="315"/>
      <c r="EJ67" s="315"/>
      <c r="EK67" s="315"/>
      <c r="EL67" s="315"/>
      <c r="EM67" s="315"/>
      <c r="EN67" s="315"/>
      <c r="EO67" s="315"/>
      <c r="EP67" s="315"/>
      <c r="EQ67" s="315"/>
      <c r="ER67" s="315"/>
      <c r="ES67" s="315"/>
      <c r="ET67" s="314">
        <v>0</v>
      </c>
      <c r="EU67" s="168"/>
      <c r="EW67" s="164" t="s">
        <v>399</v>
      </c>
      <c r="EX67" s="316">
        <f t="shared" si="90"/>
        <v>0</v>
      </c>
      <c r="EY67" s="316">
        <f t="shared" si="86"/>
        <v>0</v>
      </c>
      <c r="EZ67" s="316">
        <f t="shared" si="86"/>
        <v>0</v>
      </c>
      <c r="FA67" s="316">
        <f t="shared" si="86"/>
        <v>0</v>
      </c>
      <c r="FB67" s="316">
        <f t="shared" si="86"/>
        <v>0</v>
      </c>
      <c r="FC67" s="316">
        <f t="shared" si="86"/>
        <v>0</v>
      </c>
      <c r="FD67" s="316">
        <f t="shared" si="86"/>
        <v>0</v>
      </c>
      <c r="FE67" s="316">
        <f t="shared" si="86"/>
        <v>0</v>
      </c>
      <c r="FF67" s="316"/>
      <c r="FG67" s="316">
        <f t="shared" si="86"/>
        <v>0</v>
      </c>
      <c r="FH67" s="316">
        <f t="shared" si="86"/>
        <v>0</v>
      </c>
      <c r="FI67" s="316">
        <f t="shared" si="86"/>
        <v>0</v>
      </c>
      <c r="FJ67" s="316">
        <f t="shared" si="86"/>
        <v>0</v>
      </c>
      <c r="FK67" s="316">
        <f t="shared" si="86"/>
        <v>0</v>
      </c>
      <c r="FL67" s="168"/>
    </row>
    <row r="68" spans="2:168" ht="15.75" thickBot="1" x14ac:dyDescent="0.3">
      <c r="B68" s="108" t="s">
        <v>29</v>
      </c>
      <c r="C68" s="109">
        <f t="shared" ref="C68:P68" si="100">SUM(C55:C67)</f>
        <v>0</v>
      </c>
      <c r="D68" s="110">
        <f t="shared" si="100"/>
        <v>0</v>
      </c>
      <c r="E68" s="110">
        <f t="shared" si="100"/>
        <v>53336.018029999999</v>
      </c>
      <c r="F68" s="110">
        <f t="shared" si="100"/>
        <v>0</v>
      </c>
      <c r="G68" s="110">
        <f t="shared" si="100"/>
        <v>40179.466520000002</v>
      </c>
      <c r="H68" s="110">
        <f t="shared" si="100"/>
        <v>477.70992000000001</v>
      </c>
      <c r="I68" s="110">
        <f t="shared" si="100"/>
        <v>11056.181689999999</v>
      </c>
      <c r="J68" s="110">
        <f t="shared" si="100"/>
        <v>493.64591999999999</v>
      </c>
      <c r="K68" s="110">
        <f t="shared" si="100"/>
        <v>8124.6373000000003</v>
      </c>
      <c r="L68" s="110">
        <f t="shared" si="100"/>
        <v>0</v>
      </c>
      <c r="M68" s="110">
        <f t="shared" si="100"/>
        <v>0</v>
      </c>
      <c r="N68" s="110">
        <f t="shared" si="100"/>
        <v>0</v>
      </c>
      <c r="O68" s="110">
        <f t="shared" si="100"/>
        <v>0</v>
      </c>
      <c r="P68" s="112">
        <f t="shared" si="100"/>
        <v>113667.65938</v>
      </c>
      <c r="Y68" s="108" t="s">
        <v>29</v>
      </c>
      <c r="Z68" s="109">
        <f t="shared" ref="Z68:AM68" si="101">SUM(Z55:Z67)</f>
        <v>0</v>
      </c>
      <c r="AA68" s="110">
        <f t="shared" si="101"/>
        <v>0</v>
      </c>
      <c r="AB68" s="110">
        <f t="shared" si="101"/>
        <v>53336.018029999999</v>
      </c>
      <c r="AC68" s="110">
        <f t="shared" si="101"/>
        <v>0</v>
      </c>
      <c r="AD68" s="110">
        <f t="shared" si="101"/>
        <v>40179.466520000002</v>
      </c>
      <c r="AE68" s="110">
        <f t="shared" si="101"/>
        <v>477.70992000000001</v>
      </c>
      <c r="AF68" s="110">
        <f t="shared" si="101"/>
        <v>11056.181689999999</v>
      </c>
      <c r="AG68" s="110">
        <f t="shared" si="101"/>
        <v>493.64591999999999</v>
      </c>
      <c r="AH68" s="110">
        <f t="shared" si="101"/>
        <v>7789.0104528497213</v>
      </c>
      <c r="AI68" s="110">
        <f t="shared" si="101"/>
        <v>0</v>
      </c>
      <c r="AJ68" s="110">
        <f t="shared" si="101"/>
        <v>0</v>
      </c>
      <c r="AK68" s="110">
        <f t="shared" si="101"/>
        <v>0</v>
      </c>
      <c r="AL68" s="110">
        <f t="shared" si="101"/>
        <v>0</v>
      </c>
      <c r="AM68" s="112">
        <f t="shared" si="101"/>
        <v>113332.03253284971</v>
      </c>
      <c r="AO68" s="108" t="s">
        <v>29</v>
      </c>
      <c r="AP68" s="109">
        <f t="shared" ref="AP68:BC68" si="102">SUM(AP55:AP67)</f>
        <v>0</v>
      </c>
      <c r="AQ68" s="110">
        <f t="shared" si="102"/>
        <v>0</v>
      </c>
      <c r="AR68" s="110">
        <f t="shared" si="102"/>
        <v>36995</v>
      </c>
      <c r="AS68" s="110">
        <f t="shared" si="102"/>
        <v>1630</v>
      </c>
      <c r="AT68" s="110">
        <f t="shared" si="102"/>
        <v>23485</v>
      </c>
      <c r="AU68" s="110">
        <f t="shared" si="102"/>
        <v>1410</v>
      </c>
      <c r="AV68" s="110">
        <f t="shared" si="102"/>
        <v>28175</v>
      </c>
      <c r="AW68" s="110">
        <f t="shared" si="102"/>
        <v>1905</v>
      </c>
      <c r="AX68" s="110">
        <f t="shared" si="102"/>
        <v>0</v>
      </c>
      <c r="AY68" s="110">
        <f t="shared" si="102"/>
        <v>3150</v>
      </c>
      <c r="AZ68" s="110">
        <f t="shared" si="102"/>
        <v>0</v>
      </c>
      <c r="BA68" s="110">
        <f t="shared" si="102"/>
        <v>0</v>
      </c>
      <c r="BB68" s="110">
        <f t="shared" si="102"/>
        <v>0</v>
      </c>
      <c r="BC68" s="112">
        <f t="shared" si="102"/>
        <v>96750</v>
      </c>
      <c r="BE68" s="108" t="s">
        <v>29</v>
      </c>
      <c r="BF68" s="120" t="str">
        <f t="shared" si="95"/>
        <v/>
      </c>
      <c r="BG68" s="120" t="str">
        <f t="shared" si="95"/>
        <v/>
      </c>
      <c r="BH68" s="120">
        <f t="shared" si="95"/>
        <v>1</v>
      </c>
      <c r="BI68" s="120" t="str">
        <f t="shared" si="95"/>
        <v/>
      </c>
      <c r="BJ68" s="120">
        <f t="shared" si="95"/>
        <v>1</v>
      </c>
      <c r="BK68" s="120">
        <f t="shared" si="95"/>
        <v>1</v>
      </c>
      <c r="BL68" s="120">
        <f t="shared" si="95"/>
        <v>1</v>
      </c>
      <c r="BM68" s="120">
        <f t="shared" si="95"/>
        <v>1</v>
      </c>
      <c r="BN68" s="120">
        <f t="shared" si="95"/>
        <v>1</v>
      </c>
      <c r="BO68" s="120" t="str">
        <f t="shared" si="95"/>
        <v/>
      </c>
      <c r="BP68" s="120" t="str">
        <f t="shared" si="95"/>
        <v/>
      </c>
      <c r="BQ68" s="120" t="str">
        <f t="shared" si="95"/>
        <v/>
      </c>
      <c r="BR68" s="120" t="str">
        <f t="shared" si="95"/>
        <v/>
      </c>
      <c r="BS68" s="120">
        <f t="shared" si="95"/>
        <v>1</v>
      </c>
      <c r="BU68" s="108" t="s">
        <v>29</v>
      </c>
      <c r="BV68" s="120">
        <f t="shared" si="96"/>
        <v>0</v>
      </c>
      <c r="BW68" s="121">
        <f t="shared" si="96"/>
        <v>0</v>
      </c>
      <c r="BX68" s="121">
        <f t="shared" si="96"/>
        <v>4.553230769230769</v>
      </c>
      <c r="BY68" s="121">
        <f t="shared" si="96"/>
        <v>4.2337662337662341</v>
      </c>
      <c r="BZ68" s="121">
        <f t="shared" si="96"/>
        <v>0.59074330272921649</v>
      </c>
      <c r="CA68" s="121">
        <f t="shared" si="96"/>
        <v>0.23114754098360657</v>
      </c>
      <c r="CB68" s="121">
        <f t="shared" si="96"/>
        <v>1.7306511056511056</v>
      </c>
      <c r="CC68" s="121">
        <f t="shared" si="96"/>
        <v>2.4423076923076925</v>
      </c>
      <c r="CD68" s="121">
        <f t="shared" si="96"/>
        <v>0</v>
      </c>
      <c r="CE68" s="121">
        <f t="shared" si="96"/>
        <v>3.8888888888888888</v>
      </c>
      <c r="CF68" s="121">
        <f t="shared" si="96"/>
        <v>0</v>
      </c>
      <c r="CG68" s="121">
        <f t="shared" si="96"/>
        <v>0</v>
      </c>
      <c r="CH68" s="121">
        <f t="shared" si="96"/>
        <v>0</v>
      </c>
      <c r="CI68" s="123">
        <f t="shared" si="96"/>
        <v>0.83358462930254595</v>
      </c>
      <c r="CK68" s="108" t="s">
        <v>29</v>
      </c>
      <c r="CL68" s="120" t="str">
        <f t="shared" si="98"/>
        <v/>
      </c>
      <c r="CM68" s="121" t="str">
        <f t="shared" si="98"/>
        <v/>
      </c>
      <c r="CN68" s="121">
        <f t="shared" si="98"/>
        <v>3.553230769230769</v>
      </c>
      <c r="CO68" s="121" t="str">
        <f t="shared" si="98"/>
        <v/>
      </c>
      <c r="CP68" s="121"/>
      <c r="CQ68" s="121"/>
      <c r="CR68" s="121"/>
      <c r="CS68" s="121"/>
      <c r="CT68" s="121">
        <f t="shared" si="99"/>
        <v>-1</v>
      </c>
      <c r="CU68" s="121" t="str">
        <f t="shared" si="99"/>
        <v/>
      </c>
      <c r="CV68" s="121" t="str">
        <f t="shared" si="99"/>
        <v/>
      </c>
      <c r="CW68" s="121" t="str">
        <f t="shared" si="99"/>
        <v/>
      </c>
      <c r="CX68" s="121" t="str">
        <f t="shared" si="99"/>
        <v/>
      </c>
      <c r="CY68" s="123">
        <f t="shared" si="99"/>
        <v>-0.16641537069745405</v>
      </c>
      <c r="DA68" s="108" t="s">
        <v>29</v>
      </c>
      <c r="DB68" s="120"/>
      <c r="DC68" s="121"/>
      <c r="DD68" s="121"/>
      <c r="DE68" s="121"/>
      <c r="DF68" s="121"/>
      <c r="DG68" s="121"/>
      <c r="DH68" s="121"/>
      <c r="DI68" s="121"/>
      <c r="DJ68" s="121"/>
      <c r="DK68" s="121"/>
      <c r="DL68" s="121"/>
      <c r="DM68" s="121"/>
      <c r="DN68" s="121"/>
      <c r="DO68" s="123"/>
      <c r="DQ68" s="108" t="s">
        <v>29</v>
      </c>
      <c r="DR68" s="120"/>
      <c r="DS68" s="121"/>
      <c r="DT68" s="121"/>
      <c r="DU68" s="121"/>
      <c r="DV68" s="121"/>
      <c r="DW68" s="121"/>
      <c r="DX68" s="121"/>
      <c r="DY68" s="121"/>
      <c r="DZ68" s="121"/>
      <c r="EA68" s="121"/>
      <c r="EB68" s="121"/>
      <c r="EC68" s="121"/>
      <c r="ED68" s="121"/>
      <c r="EE68" s="123"/>
      <c r="EG68" s="108" t="s">
        <v>29</v>
      </c>
      <c r="EH68" s="120"/>
      <c r="EI68" s="121"/>
      <c r="EJ68" s="121"/>
      <c r="EK68" s="121"/>
      <c r="EL68" s="121"/>
      <c r="EM68" s="121"/>
      <c r="EN68" s="121"/>
      <c r="EO68" s="121"/>
      <c r="EP68" s="121"/>
      <c r="EQ68" s="121"/>
      <c r="ER68" s="121"/>
      <c r="ES68" s="121"/>
      <c r="ET68" s="121"/>
      <c r="EU68" s="123"/>
      <c r="EW68" s="108" t="s">
        <v>29</v>
      </c>
      <c r="EX68" s="120"/>
      <c r="EY68" s="121"/>
      <c r="EZ68" s="121"/>
      <c r="FA68" s="121"/>
      <c r="FB68" s="121"/>
      <c r="FC68" s="121"/>
      <c r="FD68" s="121"/>
      <c r="FE68" s="121"/>
      <c r="FF68" s="121"/>
      <c r="FG68" s="121"/>
      <c r="FH68" s="121"/>
      <c r="FI68" s="121"/>
      <c r="FJ68" s="121"/>
      <c r="FK68" s="121"/>
      <c r="FL68" s="123"/>
    </row>
    <row r="69" spans="2:168" x14ac:dyDescent="0.25">
      <c r="B69" t="s">
        <v>220</v>
      </c>
      <c r="C69" s="383" t="s">
        <v>206</v>
      </c>
      <c r="D69" s="383"/>
      <c r="E69" s="383"/>
      <c r="F69" s="383"/>
      <c r="G69" s="383"/>
      <c r="H69" s="383"/>
      <c r="I69" s="383"/>
      <c r="J69" s="383"/>
      <c r="K69" s="383"/>
      <c r="L69" s="383"/>
      <c r="M69" s="383"/>
      <c r="N69" s="383"/>
      <c r="O69" s="383"/>
      <c r="P69" s="383"/>
      <c r="Y69" t="s">
        <v>220</v>
      </c>
      <c r="Z69" s="383" t="s">
        <v>206</v>
      </c>
      <c r="AA69" s="383"/>
      <c r="AB69" s="383"/>
      <c r="AC69" s="383"/>
      <c r="AD69" s="383"/>
      <c r="AE69" s="383"/>
      <c r="AF69" s="383"/>
      <c r="AG69" s="383"/>
      <c r="AH69" s="383"/>
      <c r="AI69" s="383"/>
      <c r="AJ69" s="383"/>
      <c r="AK69" s="383"/>
      <c r="AL69" s="383"/>
      <c r="AM69" s="383"/>
      <c r="AO69" t="s">
        <v>226</v>
      </c>
      <c r="AP69" s="383" t="s">
        <v>206</v>
      </c>
      <c r="AQ69" s="383"/>
      <c r="AR69" s="383"/>
      <c r="AS69" s="383"/>
      <c r="AT69" s="383"/>
      <c r="AU69" s="383"/>
      <c r="AV69" s="383"/>
      <c r="AW69" s="383"/>
      <c r="AX69" s="383"/>
      <c r="AY69" s="383"/>
      <c r="AZ69" s="383"/>
      <c r="BA69" s="383"/>
      <c r="BB69" s="383"/>
      <c r="BC69" s="383"/>
      <c r="BE69" t="s">
        <v>220</v>
      </c>
      <c r="BF69" s="383" t="s">
        <v>206</v>
      </c>
      <c r="BG69" s="383"/>
      <c r="BH69" s="383"/>
      <c r="BI69" s="383"/>
      <c r="BJ69" s="383"/>
      <c r="BK69" s="383"/>
      <c r="BL69" s="383"/>
      <c r="BM69" s="383"/>
      <c r="BN69" s="383"/>
      <c r="BO69" s="383"/>
      <c r="BP69" s="383"/>
      <c r="BQ69" s="383"/>
      <c r="BR69" s="383"/>
      <c r="BS69" s="383"/>
      <c r="BU69" t="s">
        <v>220</v>
      </c>
      <c r="BV69" s="383" t="s">
        <v>206</v>
      </c>
      <c r="BW69" s="383"/>
      <c r="BX69" s="383"/>
      <c r="BY69" s="383"/>
      <c r="BZ69" s="383"/>
      <c r="CA69" s="383"/>
      <c r="CB69" s="383"/>
      <c r="CC69" s="383"/>
      <c r="CD69" s="383"/>
      <c r="CE69" s="383"/>
      <c r="CF69" s="383"/>
      <c r="CG69" s="383"/>
      <c r="CH69" s="383"/>
      <c r="CI69" s="383"/>
      <c r="CK69" t="s">
        <v>220</v>
      </c>
      <c r="CL69" s="383" t="s">
        <v>206</v>
      </c>
      <c r="CM69" s="383"/>
      <c r="CN69" s="383"/>
      <c r="CO69" s="383"/>
      <c r="CP69" s="383"/>
      <c r="CQ69" s="383"/>
      <c r="CR69" s="383"/>
      <c r="CS69" s="383"/>
      <c r="CT69" s="383"/>
      <c r="CU69" s="383"/>
      <c r="CV69" s="383"/>
      <c r="CW69" s="383"/>
      <c r="CX69" s="383"/>
      <c r="CY69" s="383"/>
      <c r="DA69" t="s">
        <v>580</v>
      </c>
      <c r="DB69" s="383" t="s">
        <v>206</v>
      </c>
      <c r="DC69" s="383"/>
      <c r="DD69" s="383"/>
      <c r="DE69" s="383"/>
      <c r="DF69" s="383"/>
      <c r="DG69" s="383"/>
      <c r="DH69" s="383"/>
      <c r="DI69" s="383"/>
      <c r="DJ69" s="383"/>
      <c r="DK69" s="383"/>
      <c r="DL69" s="383"/>
      <c r="DM69" s="383"/>
      <c r="DN69" s="383"/>
      <c r="DO69" s="383"/>
      <c r="DQ69" t="s">
        <v>580</v>
      </c>
      <c r="DR69" s="383" t="s">
        <v>206</v>
      </c>
      <c r="DS69" s="383"/>
      <c r="DT69" s="383"/>
      <c r="DU69" s="383"/>
      <c r="DV69" s="383"/>
      <c r="DW69" s="383"/>
      <c r="DX69" s="383"/>
      <c r="DY69" s="383"/>
      <c r="DZ69" s="383"/>
      <c r="EA69" s="383"/>
      <c r="EB69" s="383"/>
      <c r="EC69" s="383"/>
      <c r="ED69" s="383"/>
      <c r="EE69" s="383"/>
      <c r="EG69" t="s">
        <v>580</v>
      </c>
      <c r="EH69" s="383" t="s">
        <v>206</v>
      </c>
      <c r="EI69" s="383"/>
      <c r="EJ69" s="383"/>
      <c r="EK69" s="383"/>
      <c r="EL69" s="383"/>
      <c r="EM69" s="383"/>
      <c r="EN69" s="383"/>
      <c r="EO69" s="383"/>
      <c r="EP69" s="383"/>
      <c r="EQ69" s="383"/>
      <c r="ER69" s="383"/>
      <c r="ES69" s="383"/>
      <c r="ET69" s="383"/>
      <c r="EU69" s="383"/>
      <c r="EW69" t="s">
        <v>580</v>
      </c>
      <c r="EX69" s="383" t="s">
        <v>207</v>
      </c>
      <c r="EY69" s="383"/>
      <c r="EZ69" s="383"/>
      <c r="FA69" s="383"/>
      <c r="FB69" s="383"/>
      <c r="FC69" s="383"/>
      <c r="FD69" s="383"/>
      <c r="FE69" s="383"/>
      <c r="FF69" s="383"/>
      <c r="FG69" s="383"/>
      <c r="FH69" s="383"/>
      <c r="FI69" s="383"/>
      <c r="FJ69" s="383"/>
      <c r="FK69" s="383"/>
      <c r="FL69" s="383"/>
    </row>
    <row r="70" spans="2:168" ht="35.450000000000003" customHeight="1" x14ac:dyDescent="0.25">
      <c r="B70" s="163" t="s">
        <v>207</v>
      </c>
      <c r="C70" s="164" t="s">
        <v>386</v>
      </c>
      <c r="D70" s="164" t="s">
        <v>387</v>
      </c>
      <c r="E70" s="164" t="s">
        <v>388</v>
      </c>
      <c r="F70" s="164" t="s">
        <v>389</v>
      </c>
      <c r="G70" s="164" t="s">
        <v>390</v>
      </c>
      <c r="H70" s="164" t="s">
        <v>391</v>
      </c>
      <c r="I70" s="164" t="s">
        <v>392</v>
      </c>
      <c r="J70" s="164" t="s">
        <v>393</v>
      </c>
      <c r="K70" s="164" t="s">
        <v>546</v>
      </c>
      <c r="L70" s="164" t="s">
        <v>396</v>
      </c>
      <c r="M70" s="164" t="s">
        <v>397</v>
      </c>
      <c r="N70" s="164" t="s">
        <v>398</v>
      </c>
      <c r="O70" s="164" t="s">
        <v>399</v>
      </c>
      <c r="P70" s="106" t="s">
        <v>29</v>
      </c>
      <c r="R70" s="164" t="s">
        <v>546</v>
      </c>
      <c r="S70" s="164" t="s">
        <v>396</v>
      </c>
      <c r="T70" s="164" t="s">
        <v>397</v>
      </c>
      <c r="U70" s="164" t="s">
        <v>546</v>
      </c>
      <c r="V70" s="164" t="s">
        <v>396</v>
      </c>
      <c r="W70" s="164" t="s">
        <v>397</v>
      </c>
      <c r="X70" s="296"/>
      <c r="Y70" s="163" t="s">
        <v>207</v>
      </c>
      <c r="Z70" s="164" t="s">
        <v>386</v>
      </c>
      <c r="AA70" s="164" t="s">
        <v>387</v>
      </c>
      <c r="AB70" s="164" t="s">
        <v>388</v>
      </c>
      <c r="AC70" s="164" t="s">
        <v>389</v>
      </c>
      <c r="AD70" s="164" t="s">
        <v>390</v>
      </c>
      <c r="AE70" s="164" t="s">
        <v>391</v>
      </c>
      <c r="AF70" s="164" t="s">
        <v>392</v>
      </c>
      <c r="AG70" s="164" t="s">
        <v>393</v>
      </c>
      <c r="AH70" s="164" t="s">
        <v>546</v>
      </c>
      <c r="AI70" s="164" t="s">
        <v>396</v>
      </c>
      <c r="AJ70" s="164" t="s">
        <v>397</v>
      </c>
      <c r="AK70" s="164" t="s">
        <v>398</v>
      </c>
      <c r="AL70" s="164" t="s">
        <v>399</v>
      </c>
      <c r="AM70" s="106" t="s">
        <v>29</v>
      </c>
      <c r="AN70" s="296"/>
      <c r="AO70" s="163" t="s">
        <v>207</v>
      </c>
      <c r="AP70" s="164" t="s">
        <v>386</v>
      </c>
      <c r="AQ70" s="164" t="s">
        <v>387</v>
      </c>
      <c r="AR70" s="164" t="s">
        <v>388</v>
      </c>
      <c r="AS70" s="164" t="s">
        <v>389</v>
      </c>
      <c r="AT70" s="164" t="s">
        <v>390</v>
      </c>
      <c r="AU70" s="164" t="s">
        <v>391</v>
      </c>
      <c r="AV70" s="164" t="s">
        <v>392</v>
      </c>
      <c r="AW70" s="164" t="s">
        <v>393</v>
      </c>
      <c r="AX70" s="164" t="s">
        <v>546</v>
      </c>
      <c r="AY70" s="164" t="s">
        <v>396</v>
      </c>
      <c r="AZ70" s="164" t="s">
        <v>397</v>
      </c>
      <c r="BA70" s="164" t="s">
        <v>398</v>
      </c>
      <c r="BB70" s="164" t="s">
        <v>399</v>
      </c>
      <c r="BC70" s="106" t="s">
        <v>29</v>
      </c>
      <c r="BE70" s="163" t="s">
        <v>207</v>
      </c>
      <c r="BF70" s="164" t="s">
        <v>538</v>
      </c>
      <c r="BG70" s="164"/>
      <c r="BH70" s="164" t="s">
        <v>576</v>
      </c>
      <c r="BI70" s="164"/>
      <c r="BJ70" s="164" t="s">
        <v>577</v>
      </c>
      <c r="BK70" s="164"/>
      <c r="BL70" s="164" t="s">
        <v>392</v>
      </c>
      <c r="BM70" s="164" t="s">
        <v>393</v>
      </c>
      <c r="BN70" s="164" t="s">
        <v>546</v>
      </c>
      <c r="BO70" s="164" t="s">
        <v>396</v>
      </c>
      <c r="BP70" s="164" t="s">
        <v>397</v>
      </c>
      <c r="BQ70" s="164" t="s">
        <v>398</v>
      </c>
      <c r="BR70" s="164" t="s">
        <v>399</v>
      </c>
      <c r="BS70" s="106" t="s">
        <v>29</v>
      </c>
      <c r="BU70" s="163" t="s">
        <v>207</v>
      </c>
      <c r="BV70" s="164" t="s">
        <v>538</v>
      </c>
      <c r="BW70" s="164"/>
      <c r="BX70" s="164" t="s">
        <v>576</v>
      </c>
      <c r="BY70" s="164"/>
      <c r="BZ70" s="164" t="s">
        <v>577</v>
      </c>
      <c r="CA70" s="164"/>
      <c r="CB70" s="164" t="s">
        <v>392</v>
      </c>
      <c r="CC70" s="164" t="s">
        <v>393</v>
      </c>
      <c r="CD70" s="164" t="s">
        <v>546</v>
      </c>
      <c r="CE70" s="164" t="s">
        <v>396</v>
      </c>
      <c r="CF70" s="164" t="s">
        <v>397</v>
      </c>
      <c r="CG70" s="164" t="s">
        <v>398</v>
      </c>
      <c r="CH70" s="164" t="s">
        <v>399</v>
      </c>
      <c r="CI70" s="106" t="s">
        <v>29</v>
      </c>
      <c r="CK70" s="163" t="s">
        <v>207</v>
      </c>
      <c r="CL70" s="164" t="s">
        <v>386</v>
      </c>
      <c r="CM70" s="164" t="s">
        <v>387</v>
      </c>
      <c r="CN70" s="164" t="s">
        <v>388</v>
      </c>
      <c r="CO70" s="164" t="s">
        <v>389</v>
      </c>
      <c r="CP70" s="164" t="s">
        <v>390</v>
      </c>
      <c r="CQ70" s="164" t="s">
        <v>391</v>
      </c>
      <c r="CR70" s="164" t="s">
        <v>392</v>
      </c>
      <c r="CS70" s="164" t="s">
        <v>393</v>
      </c>
      <c r="CT70" s="164" t="s">
        <v>546</v>
      </c>
      <c r="CU70" s="164" t="s">
        <v>396</v>
      </c>
      <c r="CV70" s="164" t="s">
        <v>397</v>
      </c>
      <c r="CW70" s="164" t="s">
        <v>398</v>
      </c>
      <c r="CX70" s="164" t="s">
        <v>399</v>
      </c>
      <c r="CY70" s="106" t="s">
        <v>29</v>
      </c>
      <c r="DA70" s="163" t="s">
        <v>207</v>
      </c>
      <c r="DB70" s="164" t="s">
        <v>538</v>
      </c>
      <c r="DC70" s="164"/>
      <c r="DD70" s="164" t="s">
        <v>576</v>
      </c>
      <c r="DE70" s="164"/>
      <c r="DF70" s="164" t="s">
        <v>577</v>
      </c>
      <c r="DG70" s="164"/>
      <c r="DH70" s="164" t="s">
        <v>392</v>
      </c>
      <c r="DI70" s="164" t="s">
        <v>393</v>
      </c>
      <c r="DJ70" s="164" t="s">
        <v>546</v>
      </c>
      <c r="DK70" s="164" t="s">
        <v>396</v>
      </c>
      <c r="DL70" s="164" t="s">
        <v>397</v>
      </c>
      <c r="DM70" s="164" t="s">
        <v>398</v>
      </c>
      <c r="DN70" s="164" t="s">
        <v>399</v>
      </c>
      <c r="DO70" s="106" t="s">
        <v>29</v>
      </c>
      <c r="DQ70" s="163" t="s">
        <v>207</v>
      </c>
      <c r="DR70" s="164" t="s">
        <v>538</v>
      </c>
      <c r="DS70" s="164"/>
      <c r="DT70" s="164" t="s">
        <v>576</v>
      </c>
      <c r="DU70" s="164"/>
      <c r="DV70" s="164" t="s">
        <v>577</v>
      </c>
      <c r="DW70" s="164"/>
      <c r="DX70" s="164" t="s">
        <v>392</v>
      </c>
      <c r="DY70" s="164" t="s">
        <v>393</v>
      </c>
      <c r="DZ70" s="164" t="s">
        <v>546</v>
      </c>
      <c r="EA70" s="164" t="s">
        <v>396</v>
      </c>
      <c r="EB70" s="164" t="s">
        <v>397</v>
      </c>
      <c r="EC70" s="164" t="s">
        <v>398</v>
      </c>
      <c r="ED70" s="164" t="s">
        <v>399</v>
      </c>
      <c r="EE70" s="106" t="s">
        <v>29</v>
      </c>
      <c r="EG70" s="163" t="s">
        <v>207</v>
      </c>
      <c r="EH70" s="164" t="s">
        <v>538</v>
      </c>
      <c r="EI70" s="164"/>
      <c r="EJ70" s="164" t="s">
        <v>576</v>
      </c>
      <c r="EK70" s="164"/>
      <c r="EL70" s="164" t="s">
        <v>577</v>
      </c>
      <c r="EM70" s="164"/>
      <c r="EN70" s="164" t="s">
        <v>392</v>
      </c>
      <c r="EO70" s="164" t="s">
        <v>393</v>
      </c>
      <c r="EP70" s="164" t="s">
        <v>546</v>
      </c>
      <c r="EQ70" s="164" t="s">
        <v>396</v>
      </c>
      <c r="ER70" s="164" t="s">
        <v>397</v>
      </c>
      <c r="ES70" s="164" t="s">
        <v>398</v>
      </c>
      <c r="ET70" s="164" t="s">
        <v>399</v>
      </c>
      <c r="EU70" s="106" t="s">
        <v>29</v>
      </c>
      <c r="EW70" s="163" t="s">
        <v>206</v>
      </c>
      <c r="EX70" s="164" t="s">
        <v>386</v>
      </c>
      <c r="EY70" s="164" t="s">
        <v>387</v>
      </c>
      <c r="EZ70" s="164" t="s">
        <v>388</v>
      </c>
      <c r="FA70" s="164" t="s">
        <v>389</v>
      </c>
      <c r="FB70" s="164" t="s">
        <v>390</v>
      </c>
      <c r="FC70" s="164" t="s">
        <v>391</v>
      </c>
      <c r="FD70" s="164" t="s">
        <v>392</v>
      </c>
      <c r="FE70" s="164" t="s">
        <v>393</v>
      </c>
      <c r="FF70" s="164"/>
      <c r="FG70" s="164" t="s">
        <v>546</v>
      </c>
      <c r="FH70" s="164" t="s">
        <v>396</v>
      </c>
      <c r="FI70" s="164" t="s">
        <v>397</v>
      </c>
      <c r="FJ70" s="164" t="s">
        <v>398</v>
      </c>
      <c r="FK70" s="164" t="s">
        <v>399</v>
      </c>
      <c r="FL70" s="106" t="s">
        <v>29</v>
      </c>
    </row>
    <row r="71" spans="2:168" x14ac:dyDescent="0.25">
      <c r="B71" s="107" t="s">
        <v>386</v>
      </c>
      <c r="C71" s="160">
        <f>TripMode_inputCBD!B52</f>
        <v>17991.71701</v>
      </c>
      <c r="D71" s="160">
        <f>TripMode_inputCBD!C52</f>
        <v>687.92624000000001</v>
      </c>
      <c r="E71" s="160">
        <f>TripMode_inputCBD!D52</f>
        <v>12048.10412</v>
      </c>
      <c r="F71" s="160">
        <f>TripMode_inputCBD!E52</f>
        <v>733.08180000000004</v>
      </c>
      <c r="G71" s="160">
        <f>TripMode_inputCBD!F52</f>
        <v>69.329759999999993</v>
      </c>
      <c r="H71" s="160">
        <f>TripMode_inputCBD!G52</f>
        <v>0</v>
      </c>
      <c r="I71" s="294"/>
      <c r="J71" s="294"/>
      <c r="K71" s="294"/>
      <c r="L71" s="294"/>
      <c r="M71" s="294"/>
      <c r="N71" s="294"/>
      <c r="O71" s="294"/>
      <c r="P71" s="161">
        <f t="shared" ref="P71:P83" si="103">SUM(C71:O71)</f>
        <v>31530.158930000001</v>
      </c>
      <c r="R71">
        <f>IF(K$79&gt;0,K71/K$79,0)</f>
        <v>0</v>
      </c>
      <c r="S71">
        <f>IF(L$80&gt;0,L71/L$80,0)</f>
        <v>0</v>
      </c>
      <c r="T71">
        <f>IF(M$81&gt;0,M71/M$81,0)</f>
        <v>0</v>
      </c>
      <c r="Y71" s="107" t="s">
        <v>386</v>
      </c>
      <c r="Z71" s="160">
        <f>+C71</f>
        <v>17991.71701</v>
      </c>
      <c r="AA71" s="160">
        <f t="shared" ref="AA71:AF77" si="104">+D71</f>
        <v>687.92624000000001</v>
      </c>
      <c r="AB71" s="160">
        <f t="shared" si="104"/>
        <v>12048.10412</v>
      </c>
      <c r="AC71" s="160">
        <f t="shared" si="104"/>
        <v>733.08180000000004</v>
      </c>
      <c r="AD71" s="160">
        <f t="shared" si="104"/>
        <v>69.329759999999993</v>
      </c>
      <c r="AE71" s="160">
        <f t="shared" si="104"/>
        <v>0</v>
      </c>
      <c r="AF71" s="294"/>
      <c r="AG71" s="294"/>
      <c r="AH71" s="294"/>
      <c r="AI71" s="294"/>
      <c r="AJ71" s="294"/>
      <c r="AK71" s="294"/>
      <c r="AL71" s="294"/>
      <c r="AM71" s="161">
        <f t="shared" ref="AM71:AM83" si="105">SUM(Z71:AL71)</f>
        <v>31530.158930000001</v>
      </c>
      <c r="AO71" s="107" t="s">
        <v>386</v>
      </c>
      <c r="AP71" s="160">
        <f>TripMode_inputCBD!R52*Index!$B$2</f>
        <v>92680</v>
      </c>
      <c r="AQ71" s="160">
        <f>TripMode_inputCBD!S52*Index!$B$2</f>
        <v>595</v>
      </c>
      <c r="AR71" s="160">
        <f>TripMode_inputCBD!T52*Index!$B$2</f>
        <v>2290</v>
      </c>
      <c r="AS71" s="160">
        <f>TripMode_inputCBD!U52*Index!$B$2</f>
        <v>10</v>
      </c>
      <c r="AT71" s="160">
        <f>TripMode_inputCBD!V52*Index!$B$2</f>
        <v>915</v>
      </c>
      <c r="AU71" s="160">
        <f>TripMode_inputCBD!W52*Index!$B$2</f>
        <v>5</v>
      </c>
      <c r="AV71" s="294">
        <f>TripMode_inputCBD!X52*Index!$B$2</f>
        <v>0</v>
      </c>
      <c r="AW71" s="294">
        <f>TripMode_inputCBD!Y52*Index!$B$2</f>
        <v>0</v>
      </c>
      <c r="AX71" s="294">
        <f>TripMode_inputCBD!AA52*Index!$B$2</f>
        <v>0</v>
      </c>
      <c r="AY71" s="294">
        <f>TripMode_inputCBD!AB52*Index!$B$2</f>
        <v>0</v>
      </c>
      <c r="AZ71" s="160">
        <f>TripMode_inputCBD!AC52*Index!$B$2</f>
        <v>0</v>
      </c>
      <c r="BA71" s="294">
        <f>TripMode_inputCBD!AD52*Index!$B$2</f>
        <v>0</v>
      </c>
      <c r="BB71" s="294">
        <f>TripMode_inputCBD!AE52*Index!$B$2</f>
        <v>0</v>
      </c>
      <c r="BC71" s="161">
        <f t="shared" ref="BC71:BC83" si="106">SUM(AP71:BB71)</f>
        <v>96495</v>
      </c>
      <c r="BE71" s="107" t="s">
        <v>538</v>
      </c>
      <c r="BF71" s="166">
        <f>IF(Z$84+AA$84&gt;0,SUM(Z71:AA72)/(Z$84+AA$84),"")</f>
        <v>1</v>
      </c>
      <c r="BG71" s="166"/>
      <c r="BH71" s="166">
        <f>IF(AB$84+AC$84&gt;0,SUM(AB71:AC72)/(AB$84+AC$84),"")</f>
        <v>0.46668449574384363</v>
      </c>
      <c r="BI71" s="166"/>
      <c r="BJ71" s="166">
        <f>IF(AD$84+AE$84&gt;0,SUM(AD71:AE72)/(AD$84+AE$84),"")</f>
        <v>4.3668206545776585E-2</v>
      </c>
      <c r="BK71" s="166"/>
      <c r="BL71" s="166">
        <f t="shared" ref="BL71:BS71" si="107">IF(AF$84&gt;0,(AF71+AF72)/AF$84,"")</f>
        <v>0</v>
      </c>
      <c r="BM71" s="166">
        <f t="shared" si="107"/>
        <v>0</v>
      </c>
      <c r="BN71" s="166">
        <f t="shared" si="107"/>
        <v>0</v>
      </c>
      <c r="BO71" s="166" t="str">
        <f t="shared" si="107"/>
        <v/>
      </c>
      <c r="BP71" s="166" t="str">
        <f t="shared" si="107"/>
        <v/>
      </c>
      <c r="BQ71" s="166">
        <f t="shared" si="107"/>
        <v>0</v>
      </c>
      <c r="BR71" s="166" t="str">
        <f t="shared" si="107"/>
        <v/>
      </c>
      <c r="BS71" s="166">
        <f t="shared" si="107"/>
        <v>0.19888829343445136</v>
      </c>
      <c r="BU71" s="107" t="s">
        <v>538</v>
      </c>
      <c r="BV71" s="166">
        <f>IF(AP$84+AQ$84&gt;0,SUM(AP71:AQ72)/(AP$84+AQ$84),"")</f>
        <v>1</v>
      </c>
      <c r="BW71" s="166"/>
      <c r="BX71" s="166">
        <f>IF(AR$84+AS$84&gt;0,SUM(AR71:AS72)/(AR$84+AS$84),"")</f>
        <v>0.23196392785571143</v>
      </c>
      <c r="BY71" s="166"/>
      <c r="BZ71" s="166">
        <f>IF(AT$84+AU$84&gt;0,SUM(AT71:AU72)/(AT$84+AU$84),"")</f>
        <v>0.36203522504892366</v>
      </c>
      <c r="CA71" s="166"/>
      <c r="CB71" s="166">
        <f t="shared" ref="CB71:CI71" si="108">IF(AV$84&gt;0,(AV71+AV72)/AV$84,"")</f>
        <v>0</v>
      </c>
      <c r="CC71" s="166">
        <f t="shared" si="108"/>
        <v>0</v>
      </c>
      <c r="CD71" s="166">
        <f t="shared" si="108"/>
        <v>0</v>
      </c>
      <c r="CE71" s="166" t="str">
        <f t="shared" si="108"/>
        <v/>
      </c>
      <c r="CF71" s="166" t="str">
        <f t="shared" si="108"/>
        <v/>
      </c>
      <c r="CG71" s="166">
        <f t="shared" si="108"/>
        <v>0</v>
      </c>
      <c r="CH71" s="166" t="str">
        <f t="shared" si="108"/>
        <v/>
      </c>
      <c r="CI71" s="166">
        <f t="shared" si="108"/>
        <v>0.25793994273919701</v>
      </c>
      <c r="CK71" s="107" t="s">
        <v>386</v>
      </c>
      <c r="CL71" s="166">
        <f t="shared" ref="CL71:CO74" si="109">IF(OR(ISNA(BF71),BF71=0,BF71=""),"",(BV71-BF71)/BF71)</f>
        <v>0</v>
      </c>
      <c r="CM71" s="166" t="str">
        <f t="shared" si="109"/>
        <v/>
      </c>
      <c r="CN71" s="166">
        <f t="shared" si="109"/>
        <v>-0.50295343005559567</v>
      </c>
      <c r="CO71" s="166" t="str">
        <f t="shared" si="109"/>
        <v/>
      </c>
      <c r="CP71" s="166"/>
      <c r="CQ71" s="166"/>
      <c r="CR71" s="166"/>
      <c r="CS71" s="166"/>
      <c r="CT71" s="166" t="str">
        <f t="shared" ref="CT71:CY74" si="110">IF(OR(ISNA(BN71),BN71=0,BN71=""),"",(CD71-BN71)/BN71)</f>
        <v/>
      </c>
      <c r="CU71" s="166" t="str">
        <f t="shared" si="110"/>
        <v/>
      </c>
      <c r="CV71" s="166" t="str">
        <f t="shared" si="110"/>
        <v/>
      </c>
      <c r="CW71" s="166" t="str">
        <f t="shared" si="110"/>
        <v/>
      </c>
      <c r="CX71" s="166" t="str">
        <f t="shared" si="110"/>
        <v/>
      </c>
      <c r="CY71" s="167">
        <f t="shared" si="110"/>
        <v>0.29690862285068381</v>
      </c>
      <c r="DA71" s="107" t="s">
        <v>538</v>
      </c>
      <c r="DB71" s="314">
        <f>IFERROR(IF(BV71&gt;0,LN(BF71/BV71),0),0)</f>
        <v>0</v>
      </c>
      <c r="DC71" s="314"/>
      <c r="DD71" s="314">
        <f>IFERROR(IF(BX71&gt;0,LN(BH71/BX71),0),0)</f>
        <v>0.69907155517385899</v>
      </c>
      <c r="DE71" s="314"/>
      <c r="DF71" s="314">
        <f>IFERROR(IF(BZ71&gt;0,LN(BJ71/BZ71),0),0)</f>
        <v>-2.1151212155383927</v>
      </c>
      <c r="DG71" s="314"/>
      <c r="DH71" s="315"/>
      <c r="DI71" s="315"/>
      <c r="DJ71" s="315"/>
      <c r="DK71" s="315"/>
      <c r="DL71" s="315"/>
      <c r="DM71" s="315"/>
      <c r="DN71" s="315"/>
      <c r="DO71" s="167"/>
      <c r="DQ71" s="107" t="s">
        <v>538</v>
      </c>
      <c r="DR71" s="314">
        <v>0</v>
      </c>
      <c r="DS71" s="314">
        <v>0</v>
      </c>
      <c r="DT71" s="314">
        <v>0</v>
      </c>
      <c r="DU71" s="314">
        <v>0</v>
      </c>
      <c r="DV71" s="314">
        <v>0</v>
      </c>
      <c r="DW71" s="314">
        <v>0</v>
      </c>
      <c r="DX71" s="315"/>
      <c r="DY71" s="315"/>
      <c r="DZ71" s="315"/>
      <c r="EA71" s="315"/>
      <c r="EB71" s="315"/>
      <c r="EC71" s="315"/>
      <c r="ED71" s="315"/>
      <c r="EE71" s="167"/>
      <c r="EG71" s="107" t="s">
        <v>538</v>
      </c>
      <c r="EH71" s="314">
        <v>0</v>
      </c>
      <c r="EI71" s="314">
        <v>0</v>
      </c>
      <c r="EJ71" s="314">
        <v>0</v>
      </c>
      <c r="EK71" s="314">
        <v>0</v>
      </c>
      <c r="EL71" s="314">
        <v>0</v>
      </c>
      <c r="EM71" s="314">
        <v>0</v>
      </c>
      <c r="EN71" s="315"/>
      <c r="EO71" s="315"/>
      <c r="EP71" s="315"/>
      <c r="EQ71" s="315"/>
      <c r="ER71" s="315"/>
      <c r="ES71" s="315"/>
      <c r="ET71" s="315"/>
      <c r="EU71" s="167"/>
      <c r="EW71" s="164" t="s">
        <v>386</v>
      </c>
      <c r="EX71" s="316">
        <f>INDEX($EH$71:$ET$83,EX$4,MATCH($EW71,$EW$7:$EW$19,0))</f>
        <v>0</v>
      </c>
      <c r="EY71" s="316">
        <f t="shared" ref="EY71:FK83" si="111">INDEX($EH$71:$ET$83,EY$4,MATCH($EW71,$EW$7:$EW$19,0))</f>
        <v>0</v>
      </c>
      <c r="EZ71" s="316">
        <f t="shared" si="111"/>
        <v>0</v>
      </c>
      <c r="FA71" s="316">
        <f t="shared" si="111"/>
        <v>0</v>
      </c>
      <c r="FB71" s="316">
        <f t="shared" si="111"/>
        <v>0</v>
      </c>
      <c r="FC71" s="316">
        <f t="shared" si="111"/>
        <v>0</v>
      </c>
      <c r="FD71" s="316">
        <f t="shared" si="111"/>
        <v>0</v>
      </c>
      <c r="FE71" s="316">
        <f t="shared" si="111"/>
        <v>0</v>
      </c>
      <c r="FF71" s="316"/>
      <c r="FG71" s="316">
        <f t="shared" si="111"/>
        <v>0</v>
      </c>
      <c r="FH71" s="316">
        <f t="shared" si="111"/>
        <v>0</v>
      </c>
      <c r="FI71" s="316">
        <f t="shared" si="111"/>
        <v>0</v>
      </c>
      <c r="FJ71" s="316">
        <f t="shared" si="111"/>
        <v>0</v>
      </c>
      <c r="FK71" s="316">
        <f t="shared" si="111"/>
        <v>0</v>
      </c>
      <c r="FL71" s="167"/>
    </row>
    <row r="72" spans="2:168" x14ac:dyDescent="0.25">
      <c r="B72" s="107" t="s">
        <v>387</v>
      </c>
      <c r="C72" s="160">
        <f>TripMode_inputCBD!B53</f>
        <v>0</v>
      </c>
      <c r="D72" s="160">
        <f>TripMode_inputCBD!C53</f>
        <v>0</v>
      </c>
      <c r="E72" s="160">
        <f>TripMode_inputCBD!D53</f>
        <v>0</v>
      </c>
      <c r="F72" s="160">
        <f>TripMode_inputCBD!E53</f>
        <v>0</v>
      </c>
      <c r="G72" s="160">
        <f>TripMode_inputCBD!F53</f>
        <v>0</v>
      </c>
      <c r="H72" s="160">
        <f>TripMode_inputCBD!G53</f>
        <v>0</v>
      </c>
      <c r="I72" s="294"/>
      <c r="J72" s="294"/>
      <c r="K72" s="294"/>
      <c r="L72" s="294"/>
      <c r="M72" s="294"/>
      <c r="N72" s="294"/>
      <c r="O72" s="294"/>
      <c r="P72" s="162">
        <f t="shared" si="103"/>
        <v>0</v>
      </c>
      <c r="R72">
        <f t="shared" ref="R72:R83" si="112">IF(K$79&gt;0,K72/K$79,0)</f>
        <v>0</v>
      </c>
      <c r="S72">
        <f t="shared" ref="S72:S83" si="113">IF(L$80&gt;0,L72/L$80,0)</f>
        <v>0</v>
      </c>
      <c r="T72">
        <f t="shared" ref="T72:T83" si="114">IF(M$81&gt;0,M72/M$81,0)</f>
        <v>0</v>
      </c>
      <c r="Y72" s="107" t="s">
        <v>387</v>
      </c>
      <c r="Z72" s="160">
        <f>+C72</f>
        <v>0</v>
      </c>
      <c r="AA72" s="160">
        <f t="shared" si="104"/>
        <v>0</v>
      </c>
      <c r="AB72" s="160">
        <f t="shared" si="104"/>
        <v>0</v>
      </c>
      <c r="AC72" s="160">
        <f t="shared" si="104"/>
        <v>0</v>
      </c>
      <c r="AD72" s="160">
        <f t="shared" si="104"/>
        <v>0</v>
      </c>
      <c r="AE72" s="160">
        <f t="shared" si="104"/>
        <v>0</v>
      </c>
      <c r="AF72" s="294"/>
      <c r="AG72" s="294"/>
      <c r="AH72" s="294"/>
      <c r="AI72" s="294"/>
      <c r="AJ72" s="294"/>
      <c r="AK72" s="294"/>
      <c r="AL72" s="294"/>
      <c r="AM72" s="162">
        <f t="shared" si="105"/>
        <v>0</v>
      </c>
      <c r="AO72" s="107" t="s">
        <v>387</v>
      </c>
      <c r="AP72" s="160">
        <f>TripMode_inputCBD!R53*Index!$B$2</f>
        <v>35</v>
      </c>
      <c r="AQ72" s="160">
        <f>TripMode_inputCBD!S53*Index!$B$2</f>
        <v>300</v>
      </c>
      <c r="AR72" s="160">
        <f>TripMode_inputCBD!T53*Index!$B$2</f>
        <v>0</v>
      </c>
      <c r="AS72" s="160">
        <f>TripMode_inputCBD!U53*Index!$B$2</f>
        <v>15</v>
      </c>
      <c r="AT72" s="160">
        <f>TripMode_inputCBD!V53*Index!$B$2</f>
        <v>0</v>
      </c>
      <c r="AU72" s="160">
        <f>TripMode_inputCBD!W53*Index!$B$2</f>
        <v>5</v>
      </c>
      <c r="AV72" s="294">
        <f>TripMode_inputCBD!X53*Index!$B$2</f>
        <v>0</v>
      </c>
      <c r="AW72" s="294">
        <f>TripMode_inputCBD!Y53*Index!$B$2</f>
        <v>0</v>
      </c>
      <c r="AX72" s="294">
        <f>TripMode_inputCBD!AA53*Index!$B$2</f>
        <v>0</v>
      </c>
      <c r="AY72" s="294">
        <f>TripMode_inputCBD!AB53*Index!$B$2</f>
        <v>0</v>
      </c>
      <c r="AZ72" s="160">
        <f>TripMode_inputCBD!AC53*Index!$B$2</f>
        <v>0</v>
      </c>
      <c r="BA72" s="294">
        <f>TripMode_inputCBD!AD53*Index!$B$2</f>
        <v>0</v>
      </c>
      <c r="BB72" s="294">
        <f>TripMode_inputCBD!AE53*Index!$B$2</f>
        <v>0</v>
      </c>
      <c r="BC72" s="162">
        <f t="shared" si="106"/>
        <v>355</v>
      </c>
      <c r="BE72" s="107"/>
      <c r="BF72" s="166"/>
      <c r="BG72" s="166"/>
      <c r="BH72" s="166"/>
      <c r="BI72" s="166"/>
      <c r="BJ72" s="166"/>
      <c r="BK72" s="166"/>
      <c r="BL72" s="166"/>
      <c r="BM72" s="166"/>
      <c r="BN72" s="166"/>
      <c r="BO72" s="166"/>
      <c r="BP72" s="166"/>
      <c r="BQ72" s="166"/>
      <c r="BR72" s="166"/>
      <c r="BS72" s="166"/>
      <c r="BU72" s="107"/>
      <c r="BV72" s="166"/>
      <c r="BW72" s="166"/>
      <c r="BX72" s="166"/>
      <c r="BY72" s="166"/>
      <c r="BZ72" s="166"/>
      <c r="CA72" s="166"/>
      <c r="CB72" s="166"/>
      <c r="CC72" s="166"/>
      <c r="CD72" s="166"/>
      <c r="CE72" s="166"/>
      <c r="CF72" s="166"/>
      <c r="CG72" s="166"/>
      <c r="CH72" s="166"/>
      <c r="CI72" s="166"/>
      <c r="CK72" s="107" t="s">
        <v>387</v>
      </c>
      <c r="CL72" s="166" t="str">
        <f t="shared" si="109"/>
        <v/>
      </c>
      <c r="CM72" s="166" t="str">
        <f t="shared" si="109"/>
        <v/>
      </c>
      <c r="CN72" s="166" t="str">
        <f t="shared" si="109"/>
        <v/>
      </c>
      <c r="CO72" s="166" t="str">
        <f t="shared" si="109"/>
        <v/>
      </c>
      <c r="CP72" s="166"/>
      <c r="CQ72" s="166"/>
      <c r="CR72" s="166"/>
      <c r="CS72" s="166"/>
      <c r="CT72" s="166" t="str">
        <f t="shared" si="110"/>
        <v/>
      </c>
      <c r="CU72" s="166" t="str">
        <f t="shared" si="110"/>
        <v/>
      </c>
      <c r="CV72" s="166" t="str">
        <f t="shared" si="110"/>
        <v/>
      </c>
      <c r="CW72" s="166" t="str">
        <f t="shared" si="110"/>
        <v/>
      </c>
      <c r="CX72" s="166" t="str">
        <f t="shared" si="110"/>
        <v/>
      </c>
      <c r="CY72" s="168" t="str">
        <f t="shared" si="110"/>
        <v/>
      </c>
      <c r="DA72" s="107"/>
      <c r="DB72" s="314"/>
      <c r="DC72" s="314"/>
      <c r="DD72" s="314"/>
      <c r="DE72" s="314"/>
      <c r="DF72" s="314"/>
      <c r="DG72" s="314"/>
      <c r="DH72" s="315"/>
      <c r="DI72" s="315"/>
      <c r="DJ72" s="315"/>
      <c r="DK72" s="315"/>
      <c r="DL72" s="315"/>
      <c r="DM72" s="315"/>
      <c r="DN72" s="315"/>
      <c r="DO72" s="168"/>
      <c r="DQ72" s="107"/>
      <c r="DR72" s="314">
        <v>0</v>
      </c>
      <c r="DS72" s="314">
        <v>0</v>
      </c>
      <c r="DT72" s="314">
        <v>0</v>
      </c>
      <c r="DU72" s="314">
        <v>0</v>
      </c>
      <c r="DV72" s="314">
        <v>0</v>
      </c>
      <c r="DW72" s="314">
        <v>0</v>
      </c>
      <c r="DX72" s="315"/>
      <c r="DY72" s="315"/>
      <c r="DZ72" s="315"/>
      <c r="EA72" s="315"/>
      <c r="EB72" s="315"/>
      <c r="EC72" s="315"/>
      <c r="ED72" s="315"/>
      <c r="EE72" s="168"/>
      <c r="EG72" s="107"/>
      <c r="EH72" s="314">
        <v>0</v>
      </c>
      <c r="EI72" s="314">
        <v>0</v>
      </c>
      <c r="EJ72" s="314">
        <v>0</v>
      </c>
      <c r="EK72" s="314">
        <v>0</v>
      </c>
      <c r="EL72" s="314">
        <v>0</v>
      </c>
      <c r="EM72" s="314">
        <v>0</v>
      </c>
      <c r="EN72" s="315"/>
      <c r="EO72" s="315"/>
      <c r="EP72" s="315"/>
      <c r="EQ72" s="315"/>
      <c r="ER72" s="315"/>
      <c r="ES72" s="315"/>
      <c r="ET72" s="315"/>
      <c r="EU72" s="168"/>
      <c r="EW72" s="164" t="s">
        <v>387</v>
      </c>
      <c r="EX72" s="316">
        <f t="shared" ref="EX72:EX83" si="115">INDEX($EH$71:$ET$83,EX$4,MATCH($EW72,$EW$7:$EW$19,0))</f>
        <v>0</v>
      </c>
      <c r="EY72" s="316">
        <f t="shared" si="111"/>
        <v>0</v>
      </c>
      <c r="EZ72" s="316">
        <f t="shared" si="111"/>
        <v>0</v>
      </c>
      <c r="FA72" s="316">
        <f t="shared" si="111"/>
        <v>0</v>
      </c>
      <c r="FB72" s="316">
        <f t="shared" si="111"/>
        <v>0</v>
      </c>
      <c r="FC72" s="316">
        <f t="shared" si="111"/>
        <v>0</v>
      </c>
      <c r="FD72" s="316">
        <f t="shared" si="111"/>
        <v>0</v>
      </c>
      <c r="FE72" s="316">
        <f t="shared" si="111"/>
        <v>0</v>
      </c>
      <c r="FF72" s="316"/>
      <c r="FG72" s="316">
        <f t="shared" si="111"/>
        <v>0</v>
      </c>
      <c r="FH72" s="316">
        <f t="shared" si="111"/>
        <v>0</v>
      </c>
      <c r="FI72" s="316">
        <f t="shared" si="111"/>
        <v>0</v>
      </c>
      <c r="FJ72" s="316">
        <f t="shared" si="111"/>
        <v>0</v>
      </c>
      <c r="FK72" s="316">
        <f t="shared" si="111"/>
        <v>0</v>
      </c>
      <c r="FL72" s="168"/>
    </row>
    <row r="73" spans="2:168" x14ac:dyDescent="0.25">
      <c r="B73" s="107" t="s">
        <v>388</v>
      </c>
      <c r="C73" s="294"/>
      <c r="D73" s="294"/>
      <c r="E73" s="160">
        <f>TripMode_inputCBD!D54</f>
        <v>2298.8112299999998</v>
      </c>
      <c r="F73" s="160">
        <f>TripMode_inputCBD!E54</f>
        <v>0</v>
      </c>
      <c r="G73" s="160">
        <f>TripMode_inputCBD!F54</f>
        <v>0</v>
      </c>
      <c r="H73" s="160">
        <f>TripMode_inputCBD!G54</f>
        <v>0</v>
      </c>
      <c r="I73" s="294"/>
      <c r="J73" s="294"/>
      <c r="K73" s="160">
        <f>TripMode_inputCBD!J54+TripMode_inputCBD!K54</f>
        <v>993.14083000000005</v>
      </c>
      <c r="L73" s="294"/>
      <c r="M73" s="294"/>
      <c r="N73" s="160">
        <f>TripMode_inputCBD!N54</f>
        <v>0</v>
      </c>
      <c r="O73" s="294"/>
      <c r="P73" s="162">
        <f t="shared" si="103"/>
        <v>3291.9520599999996</v>
      </c>
      <c r="R73">
        <f t="shared" si="112"/>
        <v>0.76841745318347421</v>
      </c>
      <c r="S73">
        <f t="shared" si="113"/>
        <v>0</v>
      </c>
      <c r="T73">
        <f t="shared" si="114"/>
        <v>0</v>
      </c>
      <c r="Y73" s="107" t="s">
        <v>388</v>
      </c>
      <c r="Z73" s="294"/>
      <c r="AA73" s="294"/>
      <c r="AB73" s="160">
        <f t="shared" si="104"/>
        <v>2298.8112299999998</v>
      </c>
      <c r="AC73" s="160">
        <f t="shared" si="104"/>
        <v>0</v>
      </c>
      <c r="AD73" s="160">
        <f t="shared" si="104"/>
        <v>0</v>
      </c>
      <c r="AE73" s="160">
        <f t="shared" si="104"/>
        <v>0</v>
      </c>
      <c r="AF73" s="294"/>
      <c r="AG73" s="294"/>
      <c r="AH73" s="160">
        <f>AH79*R73</f>
        <v>952.11441697487828</v>
      </c>
      <c r="AI73" s="294"/>
      <c r="AJ73" s="294"/>
      <c r="AK73" s="160">
        <f>+N73</f>
        <v>0</v>
      </c>
      <c r="AL73" s="294"/>
      <c r="AM73" s="162">
        <f t="shared" si="105"/>
        <v>3250.925646974878</v>
      </c>
      <c r="AO73" s="107" t="s">
        <v>388</v>
      </c>
      <c r="AP73" s="294">
        <f>TripMode_inputCBD!R54*Index!$B$2</f>
        <v>0</v>
      </c>
      <c r="AQ73" s="294">
        <f>TripMode_inputCBD!S54*Index!$B$2</f>
        <v>0</v>
      </c>
      <c r="AR73" s="160">
        <f>TripMode_inputCBD!T54*Index!$B$2</f>
        <v>700</v>
      </c>
      <c r="AS73" s="160">
        <f>TripMode_inputCBD!U54*Index!$B$2</f>
        <v>20</v>
      </c>
      <c r="AT73" s="160">
        <f>TripMode_inputCBD!V54*Index!$B$2</f>
        <v>170</v>
      </c>
      <c r="AU73" s="160">
        <f>TripMode_inputCBD!W54*Index!$B$2</f>
        <v>0</v>
      </c>
      <c r="AV73" s="294">
        <f>TripMode_inputCBD!X54*Index!$B$2</f>
        <v>0</v>
      </c>
      <c r="AW73" s="294">
        <f>TripMode_inputCBD!Y54*Index!$B$2</f>
        <v>0</v>
      </c>
      <c r="AX73" s="160">
        <f>TripMode_inputCBD!AA54*Index!$B$2</f>
        <v>0</v>
      </c>
      <c r="AY73" s="160">
        <f>TripMode_inputCBD!AB54*Index!$B$2</f>
        <v>0</v>
      </c>
      <c r="AZ73" s="160">
        <f>TripMode_inputCBD!AC54*Index!$B$2</f>
        <v>0</v>
      </c>
      <c r="BA73" s="160">
        <f>TripMode_inputCBD!AD54*Index!$B$2</f>
        <v>0</v>
      </c>
      <c r="BB73" s="294">
        <f>TripMode_inputCBD!AE54*Index!$B$2</f>
        <v>0</v>
      </c>
      <c r="BC73" s="162">
        <f t="shared" si="106"/>
        <v>890</v>
      </c>
      <c r="BE73" s="107" t="s">
        <v>576</v>
      </c>
      <c r="BF73" s="166">
        <f>IF(Z$84+AA$84&gt;0,SUM(Z73:AA74)/(Z$84+AA$84),"")</f>
        <v>0</v>
      </c>
      <c r="BG73" s="166"/>
      <c r="BH73" s="166">
        <f>IF(AB$84+AC$84&gt;0,SUM(AB73:AC74)/(AB$84+AC$84),"")</f>
        <v>8.3937403492745283E-2</v>
      </c>
      <c r="BI73" s="166"/>
      <c r="BJ73" s="166">
        <f>IF(AD$84+AE$84&gt;0,SUM(AD73:AE74)/(AD$84+AE$84),"")</f>
        <v>0</v>
      </c>
      <c r="BK73" s="166"/>
      <c r="BL73" s="166">
        <f t="shared" ref="BL73:BS73" si="116">IF(AF$84&gt;0,(AF73+AF74)/AF$84,"")</f>
        <v>0</v>
      </c>
      <c r="BM73" s="166">
        <f t="shared" si="116"/>
        <v>0</v>
      </c>
      <c r="BN73" s="166">
        <f t="shared" si="116"/>
        <v>9.2103840903968656E-3</v>
      </c>
      <c r="BO73" s="166" t="str">
        <f t="shared" si="116"/>
        <v/>
      </c>
      <c r="BP73" s="166" t="str">
        <f t="shared" si="116"/>
        <v/>
      </c>
      <c r="BQ73" s="166">
        <f t="shared" si="116"/>
        <v>0</v>
      </c>
      <c r="BR73" s="166" t="str">
        <f t="shared" si="116"/>
        <v/>
      </c>
      <c r="BS73" s="166">
        <f t="shared" si="116"/>
        <v>2.0506431808497171E-2</v>
      </c>
      <c r="BU73" s="107" t="s">
        <v>576</v>
      </c>
      <c r="BV73" s="166">
        <f>IF(AP$84+AQ$84&gt;0,SUM(AP73:AQ74)/(AP$84+AQ$84),"")</f>
        <v>0</v>
      </c>
      <c r="BW73" s="166"/>
      <c r="BX73" s="166">
        <f>IF(AR$84+AS$84&gt;0,SUM(AR73:AS74)/(AR$84+AS$84),"")</f>
        <v>7.3146292585170344E-2</v>
      </c>
      <c r="BY73" s="166"/>
      <c r="BZ73" s="166">
        <f>IF(AT$84+AU$84&gt;0,SUM(AT73:AU74)/(AT$84+AU$84),"")</f>
        <v>6.6536203522504889E-2</v>
      </c>
      <c r="CA73" s="166"/>
      <c r="CB73" s="166">
        <f t="shared" ref="CB73:CI73" si="117">IF(AV$84&gt;0,(AV73+AV74)/AV$84,"")</f>
        <v>0</v>
      </c>
      <c r="CC73" s="166">
        <f t="shared" si="117"/>
        <v>0</v>
      </c>
      <c r="CD73" s="166">
        <f t="shared" si="117"/>
        <v>0</v>
      </c>
      <c r="CE73" s="166" t="str">
        <f t="shared" si="117"/>
        <v/>
      </c>
      <c r="CF73" s="166" t="str">
        <f t="shared" si="117"/>
        <v/>
      </c>
      <c r="CG73" s="166">
        <f t="shared" si="117"/>
        <v>0</v>
      </c>
      <c r="CH73" s="166" t="str">
        <f t="shared" si="117"/>
        <v/>
      </c>
      <c r="CI73" s="166">
        <f t="shared" si="117"/>
        <v>2.3969638457953259E-3</v>
      </c>
      <c r="CK73" s="107" t="s">
        <v>388</v>
      </c>
      <c r="CL73" s="166" t="str">
        <f t="shared" si="109"/>
        <v/>
      </c>
      <c r="CM73" s="166" t="str">
        <f t="shared" si="109"/>
        <v/>
      </c>
      <c r="CN73" s="166">
        <f t="shared" si="109"/>
        <v>-0.128561409556916</v>
      </c>
      <c r="CO73" s="166" t="str">
        <f t="shared" si="109"/>
        <v/>
      </c>
      <c r="CP73" s="166"/>
      <c r="CQ73" s="166"/>
      <c r="CR73" s="166"/>
      <c r="CS73" s="166"/>
      <c r="CT73" s="166">
        <f t="shared" si="110"/>
        <v>-1</v>
      </c>
      <c r="CU73" s="166" t="str">
        <f t="shared" si="110"/>
        <v/>
      </c>
      <c r="CV73" s="166" t="str">
        <f t="shared" si="110"/>
        <v/>
      </c>
      <c r="CW73" s="166" t="str">
        <f t="shared" si="110"/>
        <v/>
      </c>
      <c r="CX73" s="166" t="str">
        <f t="shared" si="110"/>
        <v/>
      </c>
      <c r="CY73" s="168">
        <f t="shared" si="110"/>
        <v>-0.88311160770533936</v>
      </c>
      <c r="DA73" s="107" t="s">
        <v>576</v>
      </c>
      <c r="DB73" s="315"/>
      <c r="DC73" s="315"/>
      <c r="DD73" s="314">
        <f>IFERROR(IF(BX73&gt;0,LN(BH73/BX73),0),0)</f>
        <v>0.13760988071237193</v>
      </c>
      <c r="DE73" s="314"/>
      <c r="DF73" s="314">
        <f>IFERROR(IF(BZ73&gt;0,LN(BJ73/BZ73),0),0)</f>
        <v>0</v>
      </c>
      <c r="DG73" s="314"/>
      <c r="DH73" s="315"/>
      <c r="DI73" s="315"/>
      <c r="DJ73" s="314">
        <f>IFERROR(IF(CD73&gt;0,LN(BN73/CD73),0),0)</f>
        <v>0</v>
      </c>
      <c r="DK73" s="315"/>
      <c r="DL73" s="315"/>
      <c r="DM73" s="314">
        <f>IFERROR(IF(CG73&gt;0,LN(BQ73/CG73),0),0)</f>
        <v>0</v>
      </c>
      <c r="DN73" s="315"/>
      <c r="DO73" s="168"/>
      <c r="DQ73" s="107" t="s">
        <v>576</v>
      </c>
      <c r="DR73" s="315"/>
      <c r="DS73" s="315"/>
      <c r="DT73" s="314">
        <v>-0.65663049413914543</v>
      </c>
      <c r="DU73" s="314">
        <v>-0.65663049413914543</v>
      </c>
      <c r="DV73" s="314">
        <v>-2.6181777767913004</v>
      </c>
      <c r="DW73" s="314">
        <v>-2.6181777767913004</v>
      </c>
      <c r="DX73" s="315"/>
      <c r="DY73" s="315"/>
      <c r="DZ73" s="314">
        <v>2.5908677068039485</v>
      </c>
      <c r="EA73" s="315"/>
      <c r="EB73" s="315"/>
      <c r="EC73" s="314">
        <v>0</v>
      </c>
      <c r="ED73" s="315"/>
      <c r="EE73" s="168"/>
      <c r="EG73" s="107" t="s">
        <v>576</v>
      </c>
      <c r="EH73" s="315"/>
      <c r="EI73" s="315"/>
      <c r="EJ73" s="314">
        <f>DT73+(DD73-DD$71)*$EI$1</f>
        <v>-1.2180921686006325</v>
      </c>
      <c r="EK73" s="314">
        <f>DT73+(DD73-DD$71)*$EI$1</f>
        <v>-1.2180921686006325</v>
      </c>
      <c r="EL73" s="314">
        <f>DV73+(DF73-DF$71)*$EI$1</f>
        <v>-0.50305656125290765</v>
      </c>
      <c r="EM73" s="314">
        <f>DV73+(DF73-DF$71)*$EI$1</f>
        <v>-0.50305656125290765</v>
      </c>
      <c r="EN73" s="315"/>
      <c r="EO73" s="315"/>
      <c r="EP73" s="314">
        <f>DZ73+(DJ73-DJ$79)*$EI$1</f>
        <v>2.7904716076155833</v>
      </c>
      <c r="EQ73" s="315"/>
      <c r="ER73" s="315"/>
      <c r="ES73" s="314">
        <f>EC73+(DM73-DM$82)*$EI$1</f>
        <v>0</v>
      </c>
      <c r="ET73" s="315"/>
      <c r="EU73" s="168"/>
      <c r="EW73" s="164" t="s">
        <v>388</v>
      </c>
      <c r="EX73" s="316">
        <f t="shared" si="115"/>
        <v>0</v>
      </c>
      <c r="EY73" s="316">
        <f t="shared" si="111"/>
        <v>0</v>
      </c>
      <c r="EZ73" s="316">
        <f t="shared" si="111"/>
        <v>-1.2180921686006325</v>
      </c>
      <c r="FA73" s="316">
        <f t="shared" si="111"/>
        <v>-1.2180921686006325</v>
      </c>
      <c r="FB73" s="316">
        <f t="shared" si="111"/>
        <v>0</v>
      </c>
      <c r="FC73" s="316">
        <f t="shared" si="111"/>
        <v>0</v>
      </c>
      <c r="FD73" s="316">
        <f t="shared" si="111"/>
        <v>1.6304467704808172</v>
      </c>
      <c r="FE73" s="316">
        <f t="shared" si="111"/>
        <v>0</v>
      </c>
      <c r="FF73" s="316"/>
      <c r="FG73" s="316">
        <f t="shared" si="111"/>
        <v>0</v>
      </c>
      <c r="FH73" s="316">
        <f t="shared" si="111"/>
        <v>0</v>
      </c>
      <c r="FI73" s="316">
        <f t="shared" si="111"/>
        <v>0</v>
      </c>
      <c r="FJ73" s="316">
        <f t="shared" si="111"/>
        <v>0</v>
      </c>
      <c r="FK73" s="316">
        <f t="shared" si="111"/>
        <v>0</v>
      </c>
      <c r="FL73" s="168"/>
    </row>
    <row r="74" spans="2:168" x14ac:dyDescent="0.25">
      <c r="B74" s="107" t="s">
        <v>389</v>
      </c>
      <c r="C74" s="294"/>
      <c r="D74" s="294"/>
      <c r="E74" s="160">
        <f>TripMode_inputCBD!D55</f>
        <v>0</v>
      </c>
      <c r="F74" s="160">
        <f>TripMode_inputCBD!E55</f>
        <v>0</v>
      </c>
      <c r="G74" s="160">
        <f>TripMode_inputCBD!F55</f>
        <v>0</v>
      </c>
      <c r="H74" s="160">
        <f>TripMode_inputCBD!G55</f>
        <v>0</v>
      </c>
      <c r="I74" s="294"/>
      <c r="J74" s="294"/>
      <c r="K74" s="160">
        <f>TripMode_inputCBD!J55+TripMode_inputCBD!K55</f>
        <v>0</v>
      </c>
      <c r="L74" s="294"/>
      <c r="M74" s="294"/>
      <c r="N74" s="160">
        <f>TripMode_inputCBD!N55</f>
        <v>0</v>
      </c>
      <c r="O74" s="294"/>
      <c r="P74" s="162">
        <f t="shared" si="103"/>
        <v>0</v>
      </c>
      <c r="R74">
        <f t="shared" si="112"/>
        <v>0</v>
      </c>
      <c r="S74">
        <f t="shared" si="113"/>
        <v>0</v>
      </c>
      <c r="T74">
        <f t="shared" si="114"/>
        <v>0</v>
      </c>
      <c r="Y74" s="107" t="s">
        <v>389</v>
      </c>
      <c r="Z74" s="294"/>
      <c r="AA74" s="294"/>
      <c r="AB74" s="160">
        <f t="shared" si="104"/>
        <v>0</v>
      </c>
      <c r="AC74" s="160">
        <f t="shared" si="104"/>
        <v>0</v>
      </c>
      <c r="AD74" s="160">
        <f t="shared" si="104"/>
        <v>0</v>
      </c>
      <c r="AE74" s="160">
        <f t="shared" si="104"/>
        <v>0</v>
      </c>
      <c r="AF74" s="294"/>
      <c r="AG74" s="294"/>
      <c r="AH74" s="160">
        <f>AH79*R74</f>
        <v>0</v>
      </c>
      <c r="AI74" s="294"/>
      <c r="AJ74" s="294"/>
      <c r="AK74" s="160">
        <f>+N74</f>
        <v>0</v>
      </c>
      <c r="AL74" s="294"/>
      <c r="AM74" s="162">
        <f t="shared" si="105"/>
        <v>0</v>
      </c>
      <c r="AO74" s="107" t="s">
        <v>389</v>
      </c>
      <c r="AP74" s="294">
        <f>TripMode_inputCBD!R55*Index!$B$2</f>
        <v>0</v>
      </c>
      <c r="AQ74" s="294">
        <f>TripMode_inputCBD!S55*Index!$B$2</f>
        <v>0</v>
      </c>
      <c r="AR74" s="160">
        <f>TripMode_inputCBD!T55*Index!$B$2</f>
        <v>0</v>
      </c>
      <c r="AS74" s="160">
        <f>TripMode_inputCBD!U55*Index!$B$2</f>
        <v>10</v>
      </c>
      <c r="AT74" s="160">
        <f>TripMode_inputCBD!V55*Index!$B$2</f>
        <v>0</v>
      </c>
      <c r="AU74" s="160">
        <f>TripMode_inputCBD!W55*Index!$B$2</f>
        <v>0</v>
      </c>
      <c r="AV74" s="294">
        <f>TripMode_inputCBD!X55*Index!$B$2</f>
        <v>0</v>
      </c>
      <c r="AW74" s="294">
        <f>TripMode_inputCBD!Y55*Index!$B$2</f>
        <v>0</v>
      </c>
      <c r="AX74" s="160">
        <f>TripMode_inputCBD!AA55*Index!$B$2</f>
        <v>0</v>
      </c>
      <c r="AY74" s="160">
        <f>TripMode_inputCBD!AB55*Index!$B$2</f>
        <v>0</v>
      </c>
      <c r="AZ74" s="160">
        <f>TripMode_inputCBD!AC55*Index!$B$2</f>
        <v>0</v>
      </c>
      <c r="BA74" s="160">
        <f>TripMode_inputCBD!AD55*Index!$B$2</f>
        <v>0</v>
      </c>
      <c r="BB74" s="294">
        <f>TripMode_inputCBD!AE55*Index!$B$2</f>
        <v>0</v>
      </c>
      <c r="BC74" s="162">
        <f t="shared" si="106"/>
        <v>10</v>
      </c>
      <c r="BE74" s="107"/>
      <c r="BF74" s="166"/>
      <c r="BG74" s="166"/>
      <c r="BH74" s="166"/>
      <c r="BI74" s="166"/>
      <c r="BJ74" s="166"/>
      <c r="BK74" s="166"/>
      <c r="BL74" s="166"/>
      <c r="BM74" s="166"/>
      <c r="BN74" s="166"/>
      <c r="BO74" s="166"/>
      <c r="BP74" s="166"/>
      <c r="BQ74" s="166"/>
      <c r="BR74" s="166"/>
      <c r="BS74" s="166"/>
      <c r="BU74" s="107"/>
      <c r="BV74" s="166"/>
      <c r="BW74" s="166"/>
      <c r="BX74" s="166"/>
      <c r="BY74" s="166"/>
      <c r="BZ74" s="166"/>
      <c r="CA74" s="166"/>
      <c r="CB74" s="166"/>
      <c r="CC74" s="166"/>
      <c r="CD74" s="166"/>
      <c r="CE74" s="166"/>
      <c r="CF74" s="166"/>
      <c r="CG74" s="166"/>
      <c r="CH74" s="166"/>
      <c r="CI74" s="166"/>
      <c r="CK74" s="107" t="s">
        <v>389</v>
      </c>
      <c r="CL74" s="166" t="str">
        <f t="shared" si="109"/>
        <v/>
      </c>
      <c r="CM74" s="166" t="str">
        <f t="shared" si="109"/>
        <v/>
      </c>
      <c r="CN74" s="166" t="str">
        <f t="shared" si="109"/>
        <v/>
      </c>
      <c r="CO74" s="166" t="str">
        <f t="shared" si="109"/>
        <v/>
      </c>
      <c r="CP74" s="166"/>
      <c r="CQ74" s="166"/>
      <c r="CR74" s="166"/>
      <c r="CS74" s="166"/>
      <c r="CT74" s="166" t="str">
        <f t="shared" si="110"/>
        <v/>
      </c>
      <c r="CU74" s="166" t="str">
        <f t="shared" si="110"/>
        <v/>
      </c>
      <c r="CV74" s="166" t="str">
        <f t="shared" si="110"/>
        <v/>
      </c>
      <c r="CW74" s="166" t="str">
        <f t="shared" si="110"/>
        <v/>
      </c>
      <c r="CX74" s="166" t="str">
        <f t="shared" si="110"/>
        <v/>
      </c>
      <c r="CY74" s="168" t="str">
        <f t="shared" si="110"/>
        <v/>
      </c>
      <c r="DA74" s="107"/>
      <c r="DB74" s="315"/>
      <c r="DC74" s="315"/>
      <c r="DD74" s="314"/>
      <c r="DE74" s="314"/>
      <c r="DF74" s="314"/>
      <c r="DG74" s="314"/>
      <c r="DH74" s="315"/>
      <c r="DI74" s="315"/>
      <c r="DJ74" s="314"/>
      <c r="DK74" s="315"/>
      <c r="DL74" s="315"/>
      <c r="DM74" s="314"/>
      <c r="DN74" s="315"/>
      <c r="DO74" s="168"/>
      <c r="DQ74" s="107"/>
      <c r="DR74" s="315"/>
      <c r="DS74" s="315"/>
      <c r="DT74" s="314">
        <v>-0.65663049413914543</v>
      </c>
      <c r="DU74" s="314">
        <v>-0.65663049413914543</v>
      </c>
      <c r="DV74" s="314">
        <v>-2.6181777767913004</v>
      </c>
      <c r="DW74" s="314">
        <v>-2.6181777767913004</v>
      </c>
      <c r="DX74" s="315"/>
      <c r="DY74" s="315"/>
      <c r="DZ74" s="314">
        <v>2.5908677068039485</v>
      </c>
      <c r="EA74" s="315"/>
      <c r="EB74" s="315"/>
      <c r="EC74" s="314">
        <v>0</v>
      </c>
      <c r="ED74" s="315"/>
      <c r="EE74" s="168"/>
      <c r="EG74" s="107"/>
      <c r="EH74" s="315"/>
      <c r="EI74" s="315"/>
      <c r="EJ74" s="314">
        <f>DT73+(DD73-DD$71)*$EI$1</f>
        <v>-1.2180921686006325</v>
      </c>
      <c r="EK74" s="314">
        <f>DT73+(DD73-DD$71)*$EI$1</f>
        <v>-1.2180921686006325</v>
      </c>
      <c r="EL74" s="314">
        <f>DV73+(DF73-DF$71)*$EI$1</f>
        <v>-0.50305656125290765</v>
      </c>
      <c r="EM74" s="314">
        <f>DV73+(DF73-DF$71)*$EI$1</f>
        <v>-0.50305656125290765</v>
      </c>
      <c r="EN74" s="315"/>
      <c r="EO74" s="315"/>
      <c r="EP74" s="314">
        <f>DZ73+(DJ73-DJ$79)*$EI$1</f>
        <v>2.7904716076155833</v>
      </c>
      <c r="EQ74" s="315"/>
      <c r="ER74" s="315"/>
      <c r="ES74" s="314">
        <f>EC73+(DM73-DM$82)*$EI$1</f>
        <v>0</v>
      </c>
      <c r="ET74" s="315"/>
      <c r="EU74" s="168"/>
      <c r="EW74" s="164" t="s">
        <v>389</v>
      </c>
      <c r="EX74" s="316">
        <f t="shared" si="115"/>
        <v>0</v>
      </c>
      <c r="EY74" s="316">
        <f t="shared" si="111"/>
        <v>0</v>
      </c>
      <c r="EZ74" s="316">
        <f t="shared" si="111"/>
        <v>-1.2180921686006325</v>
      </c>
      <c r="FA74" s="316">
        <f t="shared" si="111"/>
        <v>-1.2180921686006325</v>
      </c>
      <c r="FB74" s="316">
        <f t="shared" si="111"/>
        <v>0</v>
      </c>
      <c r="FC74" s="316">
        <f t="shared" si="111"/>
        <v>0</v>
      </c>
      <c r="FD74" s="316">
        <f t="shared" si="111"/>
        <v>1.6304467704808172</v>
      </c>
      <c r="FE74" s="316">
        <f t="shared" si="111"/>
        <v>0</v>
      </c>
      <c r="FF74" s="316"/>
      <c r="FG74" s="316">
        <f t="shared" si="111"/>
        <v>0</v>
      </c>
      <c r="FH74" s="316">
        <f t="shared" si="111"/>
        <v>0</v>
      </c>
      <c r="FI74" s="316">
        <f t="shared" si="111"/>
        <v>0</v>
      </c>
      <c r="FJ74" s="316">
        <f t="shared" si="111"/>
        <v>0</v>
      </c>
      <c r="FK74" s="316">
        <f t="shared" si="111"/>
        <v>0</v>
      </c>
      <c r="FL74" s="168"/>
    </row>
    <row r="75" spans="2:168" x14ac:dyDescent="0.25">
      <c r="B75" s="107" t="s">
        <v>390</v>
      </c>
      <c r="C75" s="294"/>
      <c r="D75" s="294"/>
      <c r="E75" s="294"/>
      <c r="F75" s="294"/>
      <c r="G75" s="160">
        <f>TripMode_inputCBD!F56</f>
        <v>0</v>
      </c>
      <c r="H75" s="160">
        <f>TripMode_inputCBD!G56</f>
        <v>0</v>
      </c>
      <c r="I75" s="294"/>
      <c r="J75" s="294"/>
      <c r="K75" s="160">
        <f>TripMode_inputCBD!J56+TripMode_inputCBD!K56</f>
        <v>497.00704999999999</v>
      </c>
      <c r="L75" s="294"/>
      <c r="M75" s="294"/>
      <c r="N75" s="160">
        <f>TripMode_inputCBD!N56</f>
        <v>0</v>
      </c>
      <c r="O75" s="294"/>
      <c r="P75" s="162">
        <f t="shared" si="103"/>
        <v>497.00704999999999</v>
      </c>
      <c r="R75">
        <f t="shared" si="112"/>
        <v>0.38454656181564056</v>
      </c>
      <c r="S75">
        <f t="shared" si="113"/>
        <v>0</v>
      </c>
      <c r="T75">
        <f t="shared" si="114"/>
        <v>0</v>
      </c>
      <c r="Y75" s="107" t="s">
        <v>390</v>
      </c>
      <c r="Z75" s="294"/>
      <c r="AA75" s="294"/>
      <c r="AB75" s="294"/>
      <c r="AC75" s="294"/>
      <c r="AD75" s="160">
        <f t="shared" si="104"/>
        <v>0</v>
      </c>
      <c r="AE75" s="160">
        <f t="shared" si="104"/>
        <v>0</v>
      </c>
      <c r="AF75" s="294"/>
      <c r="AG75" s="294"/>
      <c r="AH75" s="160">
        <f>AH79*R75</f>
        <v>476.47580619875845</v>
      </c>
      <c r="AI75" s="294"/>
      <c r="AJ75" s="294"/>
      <c r="AK75" s="160">
        <f>+N75</f>
        <v>0</v>
      </c>
      <c r="AL75" s="294"/>
      <c r="AM75" s="162">
        <f t="shared" si="105"/>
        <v>476.47580619875845</v>
      </c>
      <c r="AO75" s="107" t="s">
        <v>390</v>
      </c>
      <c r="AP75" s="294">
        <f>TripMode_inputCBD!R56*Index!$B$2</f>
        <v>0</v>
      </c>
      <c r="AQ75" s="294">
        <f>TripMode_inputCBD!S56*Index!$B$2</f>
        <v>0</v>
      </c>
      <c r="AR75" s="294">
        <f>TripMode_inputCBD!T56*Index!$B$2</f>
        <v>0</v>
      </c>
      <c r="AS75" s="294">
        <f>TripMode_inputCBD!U56*Index!$B$2</f>
        <v>0</v>
      </c>
      <c r="AT75" s="160">
        <f>TripMode_inputCBD!V56*Index!$B$2</f>
        <v>475</v>
      </c>
      <c r="AU75" s="160">
        <f>TripMode_inputCBD!W56*Index!$B$2</f>
        <v>0</v>
      </c>
      <c r="AV75" s="294">
        <f>TripMode_inputCBD!X56*Index!$B$2</f>
        <v>0</v>
      </c>
      <c r="AW75" s="294">
        <f>TripMode_inputCBD!Y56*Index!$B$2</f>
        <v>0</v>
      </c>
      <c r="AX75" s="160">
        <f>TripMode_inputCBD!AA56*Index!$B$2</f>
        <v>0</v>
      </c>
      <c r="AY75" s="160">
        <f>TripMode_inputCBD!AB56*Index!$B$2</f>
        <v>0</v>
      </c>
      <c r="AZ75" s="160">
        <f>TripMode_inputCBD!AC56*Index!$B$2</f>
        <v>0</v>
      </c>
      <c r="BA75" s="160">
        <f>TripMode_inputCBD!AD56*Index!$B$2</f>
        <v>0</v>
      </c>
      <c r="BB75" s="294">
        <f>TripMode_inputCBD!AE56*Index!$B$2</f>
        <v>0</v>
      </c>
      <c r="BC75" s="162">
        <f t="shared" si="106"/>
        <v>475</v>
      </c>
      <c r="BE75" s="107" t="s">
        <v>577</v>
      </c>
      <c r="BF75" s="166">
        <f>IF(Z$84+AA$84&gt;0,SUM(Z75:AA76)/(Z$84+AA$84),"")</f>
        <v>0</v>
      </c>
      <c r="BG75" s="166"/>
      <c r="BH75" s="166">
        <f>IF(AB$84+AC$84&gt;0,SUM(AB75:AC76)/(AB$84+AC$84),"")</f>
        <v>0</v>
      </c>
      <c r="BI75" s="166"/>
      <c r="BJ75" s="166">
        <f>IF(AD$84+AE$84&gt;0,SUM(AD75:AE76)/(AD$84+AE$84),"")</f>
        <v>0</v>
      </c>
      <c r="BK75" s="166"/>
      <c r="BL75" s="166">
        <f t="shared" ref="BL75:BS75" si="118">IF(AF$84&gt;0,(AF75+AF76)/AF$84,"")</f>
        <v>0</v>
      </c>
      <c r="BM75" s="166">
        <f t="shared" si="118"/>
        <v>0</v>
      </c>
      <c r="BN75" s="166">
        <f t="shared" si="118"/>
        <v>4.6092413964443279E-3</v>
      </c>
      <c r="BO75" s="166" t="str">
        <f t="shared" si="118"/>
        <v/>
      </c>
      <c r="BP75" s="166" t="str">
        <f t="shared" si="118"/>
        <v/>
      </c>
      <c r="BQ75" s="166">
        <f t="shared" si="118"/>
        <v>0</v>
      </c>
      <c r="BR75" s="166" t="str">
        <f t="shared" si="118"/>
        <v/>
      </c>
      <c r="BS75" s="166">
        <f t="shared" si="118"/>
        <v>3.0055497077596063E-3</v>
      </c>
      <c r="BU75" s="107" t="s">
        <v>577</v>
      </c>
      <c r="BV75" s="166">
        <f>IF(AP$84+AQ$84&gt;0,SUM(AP75:AQ76)/(AP$84+AQ$84),"")</f>
        <v>0</v>
      </c>
      <c r="BW75" s="166"/>
      <c r="BX75" s="166">
        <f>IF(AR$84+AS$84&gt;0,SUM(AR75:AS76)/(AR$84+AS$84),"")</f>
        <v>0</v>
      </c>
      <c r="BY75" s="166"/>
      <c r="BZ75" s="166">
        <f>IF(AT$84+AU$84&gt;0,SUM(AT75:AU76)/(AT$84+AU$84),"")</f>
        <v>0.19178082191780821</v>
      </c>
      <c r="CA75" s="166"/>
      <c r="CB75" s="166">
        <f t="shared" ref="CB75:CI75" si="119">IF(AV$84&gt;0,(AV75+AV76)/AV$84,"")</f>
        <v>0</v>
      </c>
      <c r="CC75" s="166">
        <f t="shared" si="119"/>
        <v>0</v>
      </c>
      <c r="CD75" s="166">
        <f t="shared" si="119"/>
        <v>0</v>
      </c>
      <c r="CE75" s="166" t="str">
        <f t="shared" si="119"/>
        <v/>
      </c>
      <c r="CF75" s="166" t="str">
        <f t="shared" si="119"/>
        <v/>
      </c>
      <c r="CG75" s="166">
        <f t="shared" si="119"/>
        <v>0</v>
      </c>
      <c r="CH75" s="166" t="str">
        <f t="shared" si="119"/>
        <v/>
      </c>
      <c r="CI75" s="166">
        <f t="shared" si="119"/>
        <v>1.3050136493774553E-3</v>
      </c>
      <c r="CK75" s="107" t="s">
        <v>390</v>
      </c>
      <c r="CL75" s="166"/>
      <c r="CM75" s="166"/>
      <c r="CN75" s="166"/>
      <c r="CO75" s="166"/>
      <c r="CP75" s="166"/>
      <c r="CQ75" s="166"/>
      <c r="CR75" s="166"/>
      <c r="CS75" s="166"/>
      <c r="CT75" s="166"/>
      <c r="CU75" s="166"/>
      <c r="CV75" s="166"/>
      <c r="CW75" s="166"/>
      <c r="CX75" s="166"/>
      <c r="CY75" s="168"/>
      <c r="DA75" s="107" t="s">
        <v>577</v>
      </c>
      <c r="DB75" s="315"/>
      <c r="DC75" s="315"/>
      <c r="DD75" s="315"/>
      <c r="DE75" s="315"/>
      <c r="DF75" s="314">
        <f>IFERROR(IF(BZ75&gt;0,LN(BJ75/BZ75),0),0)</f>
        <v>0</v>
      </c>
      <c r="DG75" s="314"/>
      <c r="DH75" s="315"/>
      <c r="DI75" s="315"/>
      <c r="DJ75" s="314">
        <f>IFERROR(IF(CD75&gt;0,LN(BN75/CD75),0),0)</f>
        <v>0</v>
      </c>
      <c r="DK75" s="315"/>
      <c r="DL75" s="315"/>
      <c r="DM75" s="314">
        <f>IFERROR(IF(CG75&gt;0,LN(BQ75/CG75),0),0)</f>
        <v>0</v>
      </c>
      <c r="DN75" s="315"/>
      <c r="DO75" s="168"/>
      <c r="DQ75" s="107" t="s">
        <v>577</v>
      </c>
      <c r="DR75" s="315"/>
      <c r="DS75" s="315"/>
      <c r="DT75" s="315"/>
      <c r="DU75" s="315"/>
      <c r="DV75" s="314">
        <v>-2.4866878056652766</v>
      </c>
      <c r="DW75" s="314">
        <v>-2.4866878056652766</v>
      </c>
      <c r="DX75" s="315"/>
      <c r="DY75" s="315"/>
      <c r="DZ75" s="314">
        <v>0.99104744982616344</v>
      </c>
      <c r="EA75" s="315"/>
      <c r="EB75" s="315"/>
      <c r="EC75" s="314">
        <v>0</v>
      </c>
      <c r="ED75" s="315"/>
      <c r="EE75" s="168"/>
      <c r="EG75" s="107" t="s">
        <v>577</v>
      </c>
      <c r="EH75" s="315"/>
      <c r="EI75" s="315"/>
      <c r="EJ75" s="315"/>
      <c r="EK75" s="315"/>
      <c r="EL75" s="314">
        <f>DV75+(DF75-DF$71)*$EI$1</f>
        <v>-0.37156659012688387</v>
      </c>
      <c r="EM75" s="314">
        <f>DV75+(DF75-DF$71)*$EI$1</f>
        <v>-0.37156659012688387</v>
      </c>
      <c r="EN75" s="315"/>
      <c r="EO75" s="315"/>
      <c r="EP75" s="314">
        <f>DZ75+(DJ75-DJ$79)*$EI$1</f>
        <v>1.1906513506377983</v>
      </c>
      <c r="EQ75" s="315"/>
      <c r="ER75" s="315"/>
      <c r="ES75" s="314">
        <f>EC75+(DM75-DM$82)*$EI$1</f>
        <v>0</v>
      </c>
      <c r="ET75" s="315"/>
      <c r="EU75" s="168"/>
      <c r="EW75" s="164" t="s">
        <v>390</v>
      </c>
      <c r="EX75" s="316">
        <f t="shared" si="115"/>
        <v>0</v>
      </c>
      <c r="EY75" s="316">
        <f t="shared" si="111"/>
        <v>0</v>
      </c>
      <c r="EZ75" s="316">
        <f t="shared" si="111"/>
        <v>-0.50305656125290765</v>
      </c>
      <c r="FA75" s="316">
        <f t="shared" si="111"/>
        <v>-0.50305656125290765</v>
      </c>
      <c r="FB75" s="316">
        <f t="shared" si="111"/>
        <v>-0.37156659012688387</v>
      </c>
      <c r="FC75" s="316">
        <f t="shared" si="111"/>
        <v>-0.37156659012688387</v>
      </c>
      <c r="FD75" s="316">
        <f t="shared" si="111"/>
        <v>4.1214034270509554</v>
      </c>
      <c r="FE75" s="316">
        <f t="shared" si="111"/>
        <v>0</v>
      </c>
      <c r="FF75" s="316"/>
      <c r="FG75" s="316">
        <f t="shared" si="111"/>
        <v>0</v>
      </c>
      <c r="FH75" s="316">
        <f t="shared" si="111"/>
        <v>0</v>
      </c>
      <c r="FI75" s="316">
        <f t="shared" si="111"/>
        <v>0</v>
      </c>
      <c r="FJ75" s="316">
        <f t="shared" si="111"/>
        <v>0</v>
      </c>
      <c r="FK75" s="316">
        <f t="shared" si="111"/>
        <v>0</v>
      </c>
      <c r="FL75" s="168"/>
    </row>
    <row r="76" spans="2:168" x14ac:dyDescent="0.25">
      <c r="B76" s="107" t="s">
        <v>391</v>
      </c>
      <c r="C76" s="294"/>
      <c r="D76" s="294"/>
      <c r="E76" s="294"/>
      <c r="F76" s="294"/>
      <c r="G76" s="160">
        <f>TripMode_inputCBD!F57</f>
        <v>0</v>
      </c>
      <c r="H76" s="160">
        <f>TripMode_inputCBD!G57</f>
        <v>0</v>
      </c>
      <c r="I76" s="294"/>
      <c r="J76" s="294"/>
      <c r="K76" s="160">
        <f>TripMode_inputCBD!J57+TripMode_inputCBD!K57</f>
        <v>0</v>
      </c>
      <c r="L76" s="294"/>
      <c r="M76" s="294"/>
      <c r="N76" s="160">
        <f>TripMode_inputCBD!N57</f>
        <v>0</v>
      </c>
      <c r="O76" s="294"/>
      <c r="P76" s="162">
        <f t="shared" si="103"/>
        <v>0</v>
      </c>
      <c r="R76">
        <f t="shared" si="112"/>
        <v>0</v>
      </c>
      <c r="S76">
        <f t="shared" si="113"/>
        <v>0</v>
      </c>
      <c r="T76">
        <f t="shared" si="114"/>
        <v>0</v>
      </c>
      <c r="Y76" s="107" t="s">
        <v>391</v>
      </c>
      <c r="Z76" s="294"/>
      <c r="AA76" s="294"/>
      <c r="AB76" s="294"/>
      <c r="AC76" s="294"/>
      <c r="AD76" s="160">
        <f t="shared" si="104"/>
        <v>0</v>
      </c>
      <c r="AE76" s="160">
        <f t="shared" si="104"/>
        <v>0</v>
      </c>
      <c r="AF76" s="294"/>
      <c r="AG76" s="294"/>
      <c r="AH76" s="160">
        <f>AH79*R76</f>
        <v>0</v>
      </c>
      <c r="AI76" s="294"/>
      <c r="AJ76" s="294"/>
      <c r="AK76" s="160">
        <f>+N76</f>
        <v>0</v>
      </c>
      <c r="AL76" s="294"/>
      <c r="AM76" s="162">
        <f t="shared" si="105"/>
        <v>0</v>
      </c>
      <c r="AO76" s="107" t="s">
        <v>391</v>
      </c>
      <c r="AP76" s="294">
        <f>TripMode_inputCBD!R57*Index!$B$2</f>
        <v>0</v>
      </c>
      <c r="AQ76" s="294">
        <f>TripMode_inputCBD!S57*Index!$B$2</f>
        <v>0</v>
      </c>
      <c r="AR76" s="294">
        <f>TripMode_inputCBD!T57*Index!$B$2</f>
        <v>0</v>
      </c>
      <c r="AS76" s="294">
        <f>TripMode_inputCBD!U57*Index!$B$2</f>
        <v>0</v>
      </c>
      <c r="AT76" s="160">
        <f>TripMode_inputCBD!V57*Index!$B$2</f>
        <v>15</v>
      </c>
      <c r="AU76" s="160">
        <f>TripMode_inputCBD!W57*Index!$B$2</f>
        <v>0</v>
      </c>
      <c r="AV76" s="294">
        <f>TripMode_inputCBD!X57*Index!$B$2</f>
        <v>0</v>
      </c>
      <c r="AW76" s="294">
        <f>TripMode_inputCBD!Y57*Index!$B$2</f>
        <v>0</v>
      </c>
      <c r="AX76" s="160">
        <f>TripMode_inputCBD!AA57*Index!$B$2</f>
        <v>0</v>
      </c>
      <c r="AY76" s="160">
        <f>TripMode_inputCBD!AB57*Index!$B$2</f>
        <v>0</v>
      </c>
      <c r="AZ76" s="160">
        <f>TripMode_inputCBD!AC57*Index!$B$2</f>
        <v>0</v>
      </c>
      <c r="BA76" s="160">
        <f>TripMode_inputCBD!AD57*Index!$B$2</f>
        <v>0</v>
      </c>
      <c r="BB76" s="294">
        <f>TripMode_inputCBD!AE57*Index!$B$2</f>
        <v>0</v>
      </c>
      <c r="BC76" s="162">
        <f t="shared" si="106"/>
        <v>15</v>
      </c>
      <c r="BE76" s="107"/>
      <c r="BF76" s="166"/>
      <c r="BG76" s="166"/>
      <c r="BH76" s="166"/>
      <c r="BI76" s="166"/>
      <c r="BJ76" s="166"/>
      <c r="BK76" s="166"/>
      <c r="BL76" s="166"/>
      <c r="BM76" s="166"/>
      <c r="BN76" s="166"/>
      <c r="BO76" s="166"/>
      <c r="BP76" s="166"/>
      <c r="BQ76" s="166"/>
      <c r="BR76" s="166"/>
      <c r="BS76" s="166"/>
      <c r="BU76" s="107"/>
      <c r="BV76" s="166"/>
      <c r="BW76" s="166"/>
      <c r="BX76" s="166"/>
      <c r="BY76" s="166"/>
      <c r="BZ76" s="166"/>
      <c r="CA76" s="166"/>
      <c r="CB76" s="166"/>
      <c r="CC76" s="166"/>
      <c r="CD76" s="166"/>
      <c r="CE76" s="166"/>
      <c r="CF76" s="166"/>
      <c r="CG76" s="166"/>
      <c r="CH76" s="166"/>
      <c r="CI76" s="166"/>
      <c r="CK76" s="107" t="s">
        <v>391</v>
      </c>
      <c r="CL76" s="166"/>
      <c r="CM76" s="166"/>
      <c r="CN76" s="166"/>
      <c r="CO76" s="166"/>
      <c r="CP76" s="166"/>
      <c r="CQ76" s="166"/>
      <c r="CR76" s="166"/>
      <c r="CS76" s="166"/>
      <c r="CT76" s="166"/>
      <c r="CU76" s="166"/>
      <c r="CV76" s="166"/>
      <c r="CW76" s="166"/>
      <c r="CX76" s="166"/>
      <c r="CY76" s="168"/>
      <c r="DA76" s="107"/>
      <c r="DB76" s="315"/>
      <c r="DC76" s="315"/>
      <c r="DD76" s="315"/>
      <c r="DE76" s="315"/>
      <c r="DF76" s="314"/>
      <c r="DG76" s="314"/>
      <c r="DH76" s="315"/>
      <c r="DI76" s="315"/>
      <c r="DJ76" s="314"/>
      <c r="DK76" s="315"/>
      <c r="DL76" s="315"/>
      <c r="DM76" s="314"/>
      <c r="DN76" s="315"/>
      <c r="DO76" s="168"/>
      <c r="DQ76" s="107"/>
      <c r="DR76" s="315"/>
      <c r="DS76" s="315"/>
      <c r="DT76" s="315"/>
      <c r="DU76" s="315"/>
      <c r="DV76" s="314">
        <v>-2.4866878056652766</v>
      </c>
      <c r="DW76" s="314">
        <v>-2.4866878056652766</v>
      </c>
      <c r="DX76" s="315"/>
      <c r="DY76" s="315"/>
      <c r="DZ76" s="314">
        <v>0.99104744982616344</v>
      </c>
      <c r="EA76" s="315"/>
      <c r="EB76" s="315"/>
      <c r="EC76" s="314">
        <v>0</v>
      </c>
      <c r="ED76" s="315"/>
      <c r="EE76" s="168"/>
      <c r="EG76" s="107"/>
      <c r="EH76" s="315"/>
      <c r="EI76" s="315"/>
      <c r="EJ76" s="315"/>
      <c r="EK76" s="315"/>
      <c r="EL76" s="314">
        <f>DV75+(DF75-DF$71)*$EI$1</f>
        <v>-0.37156659012688387</v>
      </c>
      <c r="EM76" s="314">
        <f>DV75+(DF75-DF$71)*$EI$1</f>
        <v>-0.37156659012688387</v>
      </c>
      <c r="EN76" s="315"/>
      <c r="EO76" s="315"/>
      <c r="EP76" s="314">
        <f>DZ75+(DJ75-DJ$79)*$EI$1</f>
        <v>1.1906513506377983</v>
      </c>
      <c r="EQ76" s="315"/>
      <c r="ER76" s="315"/>
      <c r="ES76" s="314">
        <f>EC75+(DM75-DM$82)*$EI$1</f>
        <v>0</v>
      </c>
      <c r="ET76" s="315"/>
      <c r="EU76" s="168"/>
      <c r="EW76" s="164" t="s">
        <v>391</v>
      </c>
      <c r="EX76" s="316">
        <f t="shared" si="115"/>
        <v>0</v>
      </c>
      <c r="EY76" s="316">
        <f t="shared" si="111"/>
        <v>0</v>
      </c>
      <c r="EZ76" s="316">
        <f t="shared" si="111"/>
        <v>-0.50305656125290765</v>
      </c>
      <c r="FA76" s="316">
        <f t="shared" si="111"/>
        <v>-0.50305656125290765</v>
      </c>
      <c r="FB76" s="316">
        <f t="shared" si="111"/>
        <v>-0.37156659012688387</v>
      </c>
      <c r="FC76" s="316">
        <f t="shared" si="111"/>
        <v>-0.37156659012688387</v>
      </c>
      <c r="FD76" s="316">
        <f t="shared" si="111"/>
        <v>4.1214034270509554</v>
      </c>
      <c r="FE76" s="316">
        <f t="shared" si="111"/>
        <v>0</v>
      </c>
      <c r="FF76" s="316"/>
      <c r="FG76" s="316">
        <f t="shared" si="111"/>
        <v>0</v>
      </c>
      <c r="FH76" s="316">
        <f t="shared" si="111"/>
        <v>0</v>
      </c>
      <c r="FI76" s="316">
        <f t="shared" si="111"/>
        <v>0</v>
      </c>
      <c r="FJ76" s="316">
        <f t="shared" si="111"/>
        <v>0</v>
      </c>
      <c r="FK76" s="316">
        <f t="shared" si="111"/>
        <v>0</v>
      </c>
      <c r="FL76" s="168"/>
    </row>
    <row r="77" spans="2:168" x14ac:dyDescent="0.25">
      <c r="B77" s="107" t="s">
        <v>392</v>
      </c>
      <c r="C77" s="294"/>
      <c r="D77" s="294"/>
      <c r="E77" s="160">
        <f>TripMode_inputCBD!D58</f>
        <v>12307.21206</v>
      </c>
      <c r="F77" s="160">
        <f>TripMode_inputCBD!E58</f>
        <v>0</v>
      </c>
      <c r="G77" s="160">
        <f>TripMode_inputCBD!F58</f>
        <v>1333.19514</v>
      </c>
      <c r="H77" s="160">
        <f>TripMode_inputCBD!G58</f>
        <v>185.12353999999999</v>
      </c>
      <c r="I77" s="160">
        <f>TripMode_inputCBD!H58</f>
        <v>5410.2527200000004</v>
      </c>
      <c r="J77" s="294"/>
      <c r="K77" s="160">
        <f>TripMode_inputCBD!J58+TripMode_inputCBD!K58</f>
        <v>101296.97386999999</v>
      </c>
      <c r="L77" s="294"/>
      <c r="M77" s="294"/>
      <c r="N77" s="160">
        <f>TripMode_inputCBD!N58</f>
        <v>1682.05898</v>
      </c>
      <c r="O77" s="294"/>
      <c r="P77" s="162">
        <f t="shared" si="103"/>
        <v>122214.81630999999</v>
      </c>
      <c r="R77">
        <f t="shared" si="112"/>
        <v>78.375956687208514</v>
      </c>
      <c r="S77">
        <f t="shared" si="113"/>
        <v>0</v>
      </c>
      <c r="T77">
        <f t="shared" si="114"/>
        <v>0</v>
      </c>
      <c r="Y77" s="107" t="s">
        <v>392</v>
      </c>
      <c r="Z77" s="294"/>
      <c r="AA77" s="294"/>
      <c r="AB77" s="160">
        <f>+E77</f>
        <v>12307.21206</v>
      </c>
      <c r="AC77" s="160">
        <f>+F77</f>
        <v>0</v>
      </c>
      <c r="AD77" s="160">
        <f t="shared" si="104"/>
        <v>1333.19514</v>
      </c>
      <c r="AE77" s="160">
        <f t="shared" si="104"/>
        <v>185.12353999999999</v>
      </c>
      <c r="AF77" s="160">
        <f t="shared" si="104"/>
        <v>5410.2527200000004</v>
      </c>
      <c r="AG77" s="294"/>
      <c r="AH77" s="160">
        <f>AH79*R77</f>
        <v>97112.41981417127</v>
      </c>
      <c r="AI77" s="294"/>
      <c r="AJ77" s="294"/>
      <c r="AK77" s="160">
        <f>+N77</f>
        <v>1682.05898</v>
      </c>
      <c r="AL77" s="294"/>
      <c r="AM77" s="162">
        <f t="shared" si="105"/>
        <v>118030.26225417128</v>
      </c>
      <c r="AO77" s="107" t="s">
        <v>392</v>
      </c>
      <c r="AP77" s="294">
        <f>TripMode_inputCBD!R58*Index!$B$2</f>
        <v>0</v>
      </c>
      <c r="AQ77" s="294">
        <f>TripMode_inputCBD!S58*Index!$B$2</f>
        <v>0</v>
      </c>
      <c r="AR77" s="160">
        <f>TripMode_inputCBD!T58*Index!$B$2</f>
        <v>6910</v>
      </c>
      <c r="AS77" s="160">
        <f>TripMode_inputCBD!U58*Index!$B$2</f>
        <v>25</v>
      </c>
      <c r="AT77" s="160">
        <f>TripMode_inputCBD!V58*Index!$B$2</f>
        <v>965</v>
      </c>
      <c r="AU77" s="160">
        <f>TripMode_inputCBD!W58*Index!$B$2</f>
        <v>5</v>
      </c>
      <c r="AV77" s="160">
        <f>TripMode_inputCBD!X58*Index!$B$2</f>
        <v>263430</v>
      </c>
      <c r="AW77" s="294">
        <f>TripMode_inputCBD!Y58*Index!$B$2</f>
        <v>0</v>
      </c>
      <c r="AX77" s="160">
        <f>TripMode_inputCBD!AA58*Index!$B$2</f>
        <v>1610</v>
      </c>
      <c r="AY77" s="160">
        <f>TripMode_inputCBD!AB58*Index!$B$2</f>
        <v>0</v>
      </c>
      <c r="AZ77" s="160">
        <f>TripMode_inputCBD!AC58*Index!$B$2</f>
        <v>0</v>
      </c>
      <c r="BA77" s="160">
        <f>TripMode_inputCBD!AD58*Index!$B$2</f>
        <v>585</v>
      </c>
      <c r="BB77" s="294">
        <f>TripMode_inputCBD!AE58*Index!$B$2</f>
        <v>0</v>
      </c>
      <c r="BC77" s="162">
        <f t="shared" si="106"/>
        <v>273530</v>
      </c>
      <c r="BE77" s="107" t="s">
        <v>392</v>
      </c>
      <c r="BF77" s="166">
        <f t="shared" ref="BF77:BS84" si="120">IF(Z$84&gt;0,Z77/Z$84,"")</f>
        <v>0</v>
      </c>
      <c r="BG77" s="166">
        <f t="shared" si="120"/>
        <v>0</v>
      </c>
      <c r="BH77" s="166">
        <f t="shared" si="120"/>
        <v>0.46173757147204991</v>
      </c>
      <c r="BI77" s="166">
        <f t="shared" si="120"/>
        <v>0</v>
      </c>
      <c r="BJ77" s="166">
        <f t="shared" si="120"/>
        <v>0.95056789366092531</v>
      </c>
      <c r="BK77" s="166">
        <f t="shared" si="120"/>
        <v>1</v>
      </c>
      <c r="BL77" s="166">
        <f t="shared" si="120"/>
        <v>1</v>
      </c>
      <c r="BM77" s="166">
        <f t="shared" si="120"/>
        <v>0</v>
      </c>
      <c r="BN77" s="166">
        <f t="shared" si="120"/>
        <v>0.93942773104756427</v>
      </c>
      <c r="BO77" s="166" t="str">
        <f t="shared" si="120"/>
        <v/>
      </c>
      <c r="BP77" s="166" t="str">
        <f t="shared" si="120"/>
        <v/>
      </c>
      <c r="BQ77" s="166">
        <f t="shared" si="120"/>
        <v>1</v>
      </c>
      <c r="BR77" s="166" t="str">
        <f t="shared" si="120"/>
        <v/>
      </c>
      <c r="BS77" s="166">
        <f t="shared" si="120"/>
        <v>0.74452011122015815</v>
      </c>
      <c r="BU77" s="107" t="s">
        <v>392</v>
      </c>
      <c r="BV77" s="166">
        <f t="shared" ref="BV77:CI84" si="121">IF(AP$84&gt;0,AP77/AP$84,"")</f>
        <v>0</v>
      </c>
      <c r="BW77" s="166">
        <f t="shared" si="121"/>
        <v>0</v>
      </c>
      <c r="BX77" s="166">
        <f t="shared" si="121"/>
        <v>0.69797979797979803</v>
      </c>
      <c r="BY77" s="166">
        <f t="shared" si="121"/>
        <v>0.3125</v>
      </c>
      <c r="BZ77" s="166">
        <f t="shared" si="121"/>
        <v>0.37992125984251968</v>
      </c>
      <c r="CA77" s="166">
        <f t="shared" si="121"/>
        <v>0.33333333333333331</v>
      </c>
      <c r="CB77" s="166">
        <f t="shared" si="121"/>
        <v>1</v>
      </c>
      <c r="CC77" s="166">
        <f t="shared" si="121"/>
        <v>0</v>
      </c>
      <c r="CD77" s="166">
        <f t="shared" si="121"/>
        <v>0.78536585365853662</v>
      </c>
      <c r="CE77" s="166" t="str">
        <f t="shared" si="121"/>
        <v/>
      </c>
      <c r="CF77" s="166" t="str">
        <f t="shared" si="121"/>
        <v/>
      </c>
      <c r="CG77" s="166">
        <f t="shared" si="121"/>
        <v>0.42857142857142855</v>
      </c>
      <c r="CH77" s="166" t="str">
        <f t="shared" si="121"/>
        <v/>
      </c>
      <c r="CI77" s="168">
        <f t="shared" si="121"/>
        <v>0.72849057860043942</v>
      </c>
      <c r="CK77" s="107" t="s">
        <v>392</v>
      </c>
      <c r="CL77" s="166"/>
      <c r="CM77" s="166"/>
      <c r="CN77" s="166"/>
      <c r="CO77" s="166"/>
      <c r="CP77" s="166"/>
      <c r="CQ77" s="166"/>
      <c r="CR77" s="166"/>
      <c r="CS77" s="166"/>
      <c r="CT77" s="166"/>
      <c r="CU77" s="166"/>
      <c r="CV77" s="166"/>
      <c r="CW77" s="166"/>
      <c r="CX77" s="166"/>
      <c r="CY77" s="168"/>
      <c r="DA77" s="107" t="s">
        <v>392</v>
      </c>
      <c r="DB77" s="315"/>
      <c r="DC77" s="315"/>
      <c r="DD77" s="314">
        <f>IFERROR(IF(BX77&gt;0,LN(BH77/BX77),0),0)</f>
        <v>-0.4131934570447286</v>
      </c>
      <c r="DE77" s="314">
        <f>IFERROR(IF(BY77&gt;0,LN(BI77/BY77),0),0)</f>
        <v>0</v>
      </c>
      <c r="DF77" s="314">
        <f>IFERROR(IF(BZ77&gt;0,LN(BJ77/BZ77),0),0)</f>
        <v>0.91709556848605411</v>
      </c>
      <c r="DG77" s="314">
        <f>IFERROR(IF(CA77&gt;0,LN(BK77/CA77),0),0)</f>
        <v>1.0986122886681098</v>
      </c>
      <c r="DH77" s="314">
        <f>IFERROR(IF(CB77&gt;0,LN(BL77/CB77),0),0)</f>
        <v>0</v>
      </c>
      <c r="DI77" s="315"/>
      <c r="DJ77" s="314">
        <f t="shared" ref="DJ77:DJ82" si="122">IFERROR(IF(CD77&gt;0,LN(BN77/CD77),0),0)</f>
        <v>0.17912122828595328</v>
      </c>
      <c r="DK77" s="315"/>
      <c r="DL77" s="315"/>
      <c r="DM77" s="314">
        <f>IFERROR(IF(CG77&gt;0,LN(BQ77/CG77),0),0)</f>
        <v>0.84729786038720367</v>
      </c>
      <c r="DN77" s="315"/>
      <c r="DO77" s="168"/>
      <c r="DQ77" s="107" t="s">
        <v>392</v>
      </c>
      <c r="DR77" s="315"/>
      <c r="DS77" s="315"/>
      <c r="DT77" s="314">
        <v>2.7427117826994047</v>
      </c>
      <c r="DU77" s="314">
        <v>2.7427117826994047</v>
      </c>
      <c r="DV77" s="314">
        <v>1.0891866430265091</v>
      </c>
      <c r="DW77" s="314">
        <v>1.0891866430265091</v>
      </c>
      <c r="DX77" s="314">
        <v>0</v>
      </c>
      <c r="DY77" s="315"/>
      <c r="DZ77" s="314">
        <v>11.405762686468261</v>
      </c>
      <c r="EA77" s="315"/>
      <c r="EB77" s="315"/>
      <c r="EC77" s="314">
        <v>8.2094739307661477</v>
      </c>
      <c r="ED77" s="315"/>
      <c r="EE77" s="168"/>
      <c r="EG77" s="107" t="s">
        <v>392</v>
      </c>
      <c r="EH77" s="315"/>
      <c r="EI77" s="315"/>
      <c r="EJ77" s="314">
        <f>DT77+(DD77-DD$71)*$EI$1</f>
        <v>1.6304467704808172</v>
      </c>
      <c r="EK77" s="314">
        <f>DT77+(DD77-DD$71)*$EI$1</f>
        <v>1.6304467704808172</v>
      </c>
      <c r="EL77" s="314">
        <f>DV77+(DF77-DF$71)*$EI$1</f>
        <v>4.1214034270509554</v>
      </c>
      <c r="EM77" s="314">
        <f>DV77+(DF77-DF$71)*$EI$1</f>
        <v>4.1214034270509554</v>
      </c>
      <c r="EN77" s="314">
        <v>0</v>
      </c>
      <c r="EO77" s="315"/>
      <c r="EP77" s="314">
        <f>DZ77+(DJ77-DJ$79)*$EI$1</f>
        <v>11.78448781556585</v>
      </c>
      <c r="EQ77" s="315"/>
      <c r="ER77" s="315"/>
      <c r="ES77" s="314">
        <f>EC77+(DM77-DM$82)*$EI$1</f>
        <v>9.0567717911533521</v>
      </c>
      <c r="ET77" s="315"/>
      <c r="EU77" s="168"/>
      <c r="EW77" s="164" t="s">
        <v>392</v>
      </c>
      <c r="EX77" s="316">
        <f t="shared" si="115"/>
        <v>0</v>
      </c>
      <c r="EY77" s="316">
        <f t="shared" si="111"/>
        <v>0</v>
      </c>
      <c r="EZ77" s="316">
        <f t="shared" si="111"/>
        <v>0</v>
      </c>
      <c r="FA77" s="316">
        <f t="shared" si="111"/>
        <v>0</v>
      </c>
      <c r="FB77" s="316">
        <f t="shared" si="111"/>
        <v>0</v>
      </c>
      <c r="FC77" s="316">
        <f t="shared" si="111"/>
        <v>0</v>
      </c>
      <c r="FD77" s="316">
        <f t="shared" si="111"/>
        <v>0</v>
      </c>
      <c r="FE77" s="316">
        <f t="shared" si="111"/>
        <v>0</v>
      </c>
      <c r="FF77" s="316"/>
      <c r="FG77" s="316">
        <f t="shared" si="111"/>
        <v>0</v>
      </c>
      <c r="FH77" s="316">
        <f t="shared" si="111"/>
        <v>0</v>
      </c>
      <c r="FI77" s="316">
        <f t="shared" si="111"/>
        <v>0</v>
      </c>
      <c r="FJ77" s="316">
        <f t="shared" si="111"/>
        <v>0</v>
      </c>
      <c r="FK77" s="316">
        <f t="shared" si="111"/>
        <v>0</v>
      </c>
      <c r="FL77" s="168"/>
    </row>
    <row r="78" spans="2:168" x14ac:dyDescent="0.25">
      <c r="B78" s="107" t="s">
        <v>393</v>
      </c>
      <c r="C78" s="294"/>
      <c r="D78" s="294"/>
      <c r="E78" s="294"/>
      <c r="F78" s="294"/>
      <c r="G78" s="294"/>
      <c r="H78" s="294"/>
      <c r="I78" s="294"/>
      <c r="J78" s="160">
        <f>TripMode_inputCBD!I59</f>
        <v>411.1687</v>
      </c>
      <c r="K78" s="294"/>
      <c r="L78" s="294"/>
      <c r="M78" s="294"/>
      <c r="N78" s="294"/>
      <c r="O78" s="294"/>
      <c r="P78" s="162">
        <f t="shared" si="103"/>
        <v>411.1687</v>
      </c>
      <c r="R78">
        <f t="shared" si="112"/>
        <v>0</v>
      </c>
      <c r="S78">
        <f t="shared" si="113"/>
        <v>0</v>
      </c>
      <c r="T78">
        <f t="shared" si="114"/>
        <v>0</v>
      </c>
      <c r="Y78" s="107" t="s">
        <v>393</v>
      </c>
      <c r="Z78" s="294"/>
      <c r="AA78" s="294"/>
      <c r="AB78" s="294"/>
      <c r="AC78" s="294"/>
      <c r="AD78" s="294"/>
      <c r="AE78" s="294"/>
      <c r="AF78" s="294"/>
      <c r="AG78" s="160">
        <f>+J78</f>
        <v>411.1687</v>
      </c>
      <c r="AH78" s="294"/>
      <c r="AI78" s="294"/>
      <c r="AJ78" s="294"/>
      <c r="AK78" s="294"/>
      <c r="AL78" s="294"/>
      <c r="AM78" s="162">
        <f t="shared" si="105"/>
        <v>411.1687</v>
      </c>
      <c r="AO78" s="107" t="s">
        <v>393</v>
      </c>
      <c r="AP78" s="294">
        <f>TripMode_inputCBD!R59*Index!$B$2</f>
        <v>0</v>
      </c>
      <c r="AQ78" s="294">
        <f>TripMode_inputCBD!S59*Index!$B$2</f>
        <v>0</v>
      </c>
      <c r="AR78" s="294">
        <f>TripMode_inputCBD!T59*Index!$B$2</f>
        <v>0</v>
      </c>
      <c r="AS78" s="294">
        <f>TripMode_inputCBD!U59*Index!$B$2</f>
        <v>0</v>
      </c>
      <c r="AT78" s="294">
        <f>TripMode_inputCBD!V59*Index!$B$2</f>
        <v>0</v>
      </c>
      <c r="AU78" s="294">
        <f>TripMode_inputCBD!W59*Index!$B$2</f>
        <v>0</v>
      </c>
      <c r="AV78" s="294">
        <f>TripMode_inputCBD!X59*Index!$B$2</f>
        <v>0</v>
      </c>
      <c r="AW78" s="160">
        <f>TripMode_inputCBD!Y59*Index!$B$2</f>
        <v>2485</v>
      </c>
      <c r="AX78" s="294">
        <f>TripMode_inputCBD!AA59*Index!$B$2</f>
        <v>0</v>
      </c>
      <c r="AY78" s="294">
        <f>TripMode_inputCBD!AB59*Index!$B$2</f>
        <v>0</v>
      </c>
      <c r="AZ78" s="294">
        <f>TripMode_inputCBD!AC59*Index!$B$2</f>
        <v>0</v>
      </c>
      <c r="BA78" s="294">
        <f>TripMode_inputCBD!AD59*Index!$B$2</f>
        <v>0</v>
      </c>
      <c r="BB78" s="294">
        <f>TripMode_inputCBD!AE59*Index!$B$2</f>
        <v>0</v>
      </c>
      <c r="BC78" s="162">
        <f t="shared" si="106"/>
        <v>2485</v>
      </c>
      <c r="BE78" s="107" t="s">
        <v>393</v>
      </c>
      <c r="BF78" s="166">
        <f t="shared" si="120"/>
        <v>0</v>
      </c>
      <c r="BG78" s="166">
        <f t="shared" si="120"/>
        <v>0</v>
      </c>
      <c r="BH78" s="166">
        <f t="shared" si="120"/>
        <v>0</v>
      </c>
      <c r="BI78" s="166">
        <f t="shared" si="120"/>
        <v>0</v>
      </c>
      <c r="BJ78" s="166">
        <f t="shared" si="120"/>
        <v>0</v>
      </c>
      <c r="BK78" s="166">
        <f t="shared" si="120"/>
        <v>0</v>
      </c>
      <c r="BL78" s="166">
        <f t="shared" si="120"/>
        <v>0</v>
      </c>
      <c r="BM78" s="166">
        <f t="shared" si="120"/>
        <v>1</v>
      </c>
      <c r="BN78" s="166">
        <f t="shared" si="120"/>
        <v>0</v>
      </c>
      <c r="BO78" s="166" t="str">
        <f t="shared" si="120"/>
        <v/>
      </c>
      <c r="BP78" s="166" t="str">
        <f t="shared" si="120"/>
        <v/>
      </c>
      <c r="BQ78" s="166">
        <f t="shared" si="120"/>
        <v>0</v>
      </c>
      <c r="BR78" s="166" t="str">
        <f t="shared" si="120"/>
        <v/>
      </c>
      <c r="BS78" s="166">
        <f t="shared" si="120"/>
        <v>2.5936006614560346E-3</v>
      </c>
      <c r="BU78" s="107" t="s">
        <v>393</v>
      </c>
      <c r="BV78" s="166">
        <f t="shared" si="121"/>
        <v>0</v>
      </c>
      <c r="BW78" s="166">
        <f t="shared" si="121"/>
        <v>0</v>
      </c>
      <c r="BX78" s="166">
        <f t="shared" si="121"/>
        <v>0</v>
      </c>
      <c r="BY78" s="166">
        <f t="shared" si="121"/>
        <v>0</v>
      </c>
      <c r="BZ78" s="166">
        <f t="shared" si="121"/>
        <v>0</v>
      </c>
      <c r="CA78" s="166">
        <f t="shared" si="121"/>
        <v>0</v>
      </c>
      <c r="CB78" s="166">
        <f t="shared" si="121"/>
        <v>0</v>
      </c>
      <c r="CC78" s="166">
        <f t="shared" si="121"/>
        <v>1</v>
      </c>
      <c r="CD78" s="166">
        <f t="shared" si="121"/>
        <v>0</v>
      </c>
      <c r="CE78" s="166" t="str">
        <f t="shared" si="121"/>
        <v/>
      </c>
      <c r="CF78" s="166" t="str">
        <f t="shared" si="121"/>
        <v/>
      </c>
      <c r="CG78" s="166">
        <f t="shared" si="121"/>
        <v>0</v>
      </c>
      <c r="CH78" s="166" t="str">
        <f t="shared" si="121"/>
        <v/>
      </c>
      <c r="CI78" s="168">
        <f t="shared" si="121"/>
        <v>6.6182835075570944E-3</v>
      </c>
      <c r="CK78" s="107" t="s">
        <v>393</v>
      </c>
      <c r="CL78" s="166"/>
      <c r="CM78" s="166"/>
      <c r="CN78" s="166"/>
      <c r="CO78" s="166"/>
      <c r="CP78" s="166"/>
      <c r="CQ78" s="166"/>
      <c r="CR78" s="166"/>
      <c r="CS78" s="166"/>
      <c r="CT78" s="166"/>
      <c r="CU78" s="166"/>
      <c r="CV78" s="166"/>
      <c r="CW78" s="166"/>
      <c r="CX78" s="166"/>
      <c r="CY78" s="168"/>
      <c r="DA78" s="107" t="s">
        <v>393</v>
      </c>
      <c r="DB78" s="315"/>
      <c r="DC78" s="315"/>
      <c r="DD78" s="315"/>
      <c r="DE78" s="315"/>
      <c r="DF78" s="315"/>
      <c r="DG78" s="315"/>
      <c r="DH78" s="315"/>
      <c r="DI78" s="314">
        <f>IFERROR(IF(CC78&gt;0,LN(BM78/CC78),0),0)</f>
        <v>0</v>
      </c>
      <c r="DJ78" s="315"/>
      <c r="DK78" s="315"/>
      <c r="DL78" s="315"/>
      <c r="DM78" s="315"/>
      <c r="DN78" s="315"/>
      <c r="DO78" s="168"/>
      <c r="DQ78" s="107" t="s">
        <v>393</v>
      </c>
      <c r="DR78" s="315"/>
      <c r="DS78" s="315"/>
      <c r="DT78" s="315"/>
      <c r="DU78" s="315"/>
      <c r="DV78" s="315"/>
      <c r="DW78" s="315"/>
      <c r="DX78" s="315"/>
      <c r="DY78" s="314">
        <v>0</v>
      </c>
      <c r="DZ78" s="315"/>
      <c r="EA78" s="315"/>
      <c r="EB78" s="315"/>
      <c r="EC78" s="315"/>
      <c r="ED78" s="315"/>
      <c r="EE78" s="168"/>
      <c r="EG78" s="107" t="s">
        <v>393</v>
      </c>
      <c r="EH78" s="315"/>
      <c r="EI78" s="315"/>
      <c r="EJ78" s="315"/>
      <c r="EK78" s="315"/>
      <c r="EL78" s="315"/>
      <c r="EM78" s="315"/>
      <c r="EN78" s="315"/>
      <c r="EO78" s="314">
        <v>0</v>
      </c>
      <c r="EP78" s="315"/>
      <c r="EQ78" s="315"/>
      <c r="ER78" s="315"/>
      <c r="ES78" s="315"/>
      <c r="ET78" s="315"/>
      <c r="EU78" s="168"/>
      <c r="EW78" s="164" t="s">
        <v>393</v>
      </c>
      <c r="EX78" s="316">
        <f t="shared" si="115"/>
        <v>0</v>
      </c>
      <c r="EY78" s="316">
        <f t="shared" si="111"/>
        <v>0</v>
      </c>
      <c r="EZ78" s="316">
        <f t="shared" si="111"/>
        <v>0</v>
      </c>
      <c r="FA78" s="316">
        <f t="shared" si="111"/>
        <v>0</v>
      </c>
      <c r="FB78" s="316">
        <f t="shared" si="111"/>
        <v>0</v>
      </c>
      <c r="FC78" s="316">
        <f t="shared" si="111"/>
        <v>0</v>
      </c>
      <c r="FD78" s="316">
        <f t="shared" si="111"/>
        <v>0</v>
      </c>
      <c r="FE78" s="316">
        <f t="shared" si="111"/>
        <v>0</v>
      </c>
      <c r="FF78" s="316"/>
      <c r="FG78" s="316">
        <f t="shared" si="111"/>
        <v>0</v>
      </c>
      <c r="FH78" s="316">
        <f t="shared" si="111"/>
        <v>0</v>
      </c>
      <c r="FI78" s="316">
        <f t="shared" si="111"/>
        <v>0</v>
      </c>
      <c r="FJ78" s="316">
        <f t="shared" si="111"/>
        <v>0</v>
      </c>
      <c r="FK78" s="316">
        <f t="shared" si="111"/>
        <v>0</v>
      </c>
      <c r="FL78" s="168"/>
    </row>
    <row r="79" spans="2:168" x14ac:dyDescent="0.25">
      <c r="B79" s="107" t="s">
        <v>546</v>
      </c>
      <c r="C79" s="294"/>
      <c r="D79" s="294"/>
      <c r="E79" s="294"/>
      <c r="F79" s="294"/>
      <c r="G79" s="294"/>
      <c r="H79" s="294"/>
      <c r="I79" s="294"/>
      <c r="J79" s="294"/>
      <c r="K79" s="160">
        <f>TripMode_inputCBD!J61+TripMode_inputCBD!K61+TripMode_inputCBD!J60+TripMode_inputCBD!K60</f>
        <v>1292.4496000000001</v>
      </c>
      <c r="L79" s="294"/>
      <c r="M79" s="294"/>
      <c r="N79" s="294"/>
      <c r="O79" s="294"/>
      <c r="P79" s="162">
        <f t="shared" si="103"/>
        <v>1292.4496000000001</v>
      </c>
      <c r="R79">
        <f t="shared" si="112"/>
        <v>1</v>
      </c>
      <c r="S79">
        <f t="shared" si="113"/>
        <v>0</v>
      </c>
      <c r="T79">
        <f t="shared" si="114"/>
        <v>0</v>
      </c>
      <c r="U79" s="127">
        <f>+K79/K$159</f>
        <v>2.132524625000905E-3</v>
      </c>
      <c r="V79" s="127"/>
      <c r="W79" s="127"/>
      <c r="X79" s="127"/>
      <c r="Y79" s="107" t="s">
        <v>546</v>
      </c>
      <c r="Z79" s="294"/>
      <c r="AA79" s="294"/>
      <c r="AB79" s="294"/>
      <c r="AC79" s="294"/>
      <c r="AD79" s="294"/>
      <c r="AE79" s="294"/>
      <c r="AF79" s="294"/>
      <c r="AG79" s="294"/>
      <c r="AH79" s="160">
        <f>U79*U$159</f>
        <v>1239.0588124077174</v>
      </c>
      <c r="AI79" s="294"/>
      <c r="AJ79" s="294"/>
      <c r="AK79" s="294"/>
      <c r="AL79" s="294"/>
      <c r="AM79" s="162">
        <f t="shared" si="105"/>
        <v>1239.0588124077174</v>
      </c>
      <c r="AN79" s="127"/>
      <c r="AO79" s="107" t="s">
        <v>395</v>
      </c>
      <c r="AP79" s="294">
        <f>TripMode_inputCBD!R61*Index!$B$2</f>
        <v>0</v>
      </c>
      <c r="AQ79" s="294">
        <f>TripMode_inputCBD!S61*Index!$B$2</f>
        <v>0</v>
      </c>
      <c r="AR79" s="294">
        <f>TripMode_inputCBD!T61*Index!$B$2</f>
        <v>0</v>
      </c>
      <c r="AS79" s="294">
        <f>TripMode_inputCBD!U61*Index!$B$2</f>
        <v>0</v>
      </c>
      <c r="AT79" s="294">
        <f>TripMode_inputCBD!V61*Index!$B$2</f>
        <v>0</v>
      </c>
      <c r="AU79" s="294">
        <f>TripMode_inputCBD!W61*Index!$B$2</f>
        <v>0</v>
      </c>
      <c r="AV79" s="294">
        <f>TripMode_inputCBD!X61*Index!$B$2</f>
        <v>0</v>
      </c>
      <c r="AW79" s="294">
        <f>TripMode_inputCBD!Y61*Index!$B$2</f>
        <v>0</v>
      </c>
      <c r="AX79" s="160">
        <f>TripMode_inputCBD!AA61*Index!$B$2</f>
        <v>30</v>
      </c>
      <c r="AY79" s="160">
        <f>TripMode_inputCBD!AB61*Index!$B$2</f>
        <v>0</v>
      </c>
      <c r="AZ79" s="160">
        <f>TripMode_inputCBD!AC61*Index!$B$2</f>
        <v>0</v>
      </c>
      <c r="BA79" s="294">
        <f>TripMode_inputCBD!AD61*Index!$B$2</f>
        <v>0</v>
      </c>
      <c r="BB79" s="294">
        <f>TripMode_inputCBD!AE61*Index!$B$2</f>
        <v>0</v>
      </c>
      <c r="BC79" s="162">
        <f t="shared" si="106"/>
        <v>30</v>
      </c>
      <c r="BE79" s="107" t="s">
        <v>395</v>
      </c>
      <c r="BF79" s="166">
        <f t="shared" si="120"/>
        <v>0</v>
      </c>
      <c r="BG79" s="166">
        <f t="shared" si="120"/>
        <v>0</v>
      </c>
      <c r="BH79" s="166">
        <f t="shared" si="120"/>
        <v>0</v>
      </c>
      <c r="BI79" s="166">
        <f t="shared" si="120"/>
        <v>0</v>
      </c>
      <c r="BJ79" s="166">
        <f t="shared" si="120"/>
        <v>0</v>
      </c>
      <c r="BK79" s="166">
        <f t="shared" si="120"/>
        <v>0</v>
      </c>
      <c r="BL79" s="166">
        <f t="shared" si="120"/>
        <v>0</v>
      </c>
      <c r="BM79" s="166">
        <f t="shared" si="120"/>
        <v>0</v>
      </c>
      <c r="BN79" s="166">
        <f t="shared" si="120"/>
        <v>1.1986172427811465E-2</v>
      </c>
      <c r="BO79" s="166" t="str">
        <f t="shared" si="120"/>
        <v/>
      </c>
      <c r="BP79" s="166" t="str">
        <f t="shared" si="120"/>
        <v/>
      </c>
      <c r="BQ79" s="166">
        <f t="shared" si="120"/>
        <v>0</v>
      </c>
      <c r="BR79" s="166" t="str">
        <f t="shared" si="120"/>
        <v/>
      </c>
      <c r="BS79" s="166">
        <f t="shared" si="120"/>
        <v>7.815827798768691E-3</v>
      </c>
      <c r="BU79" s="107" t="s">
        <v>395</v>
      </c>
      <c r="BV79" s="166">
        <f t="shared" si="121"/>
        <v>0</v>
      </c>
      <c r="BW79" s="166">
        <f t="shared" si="121"/>
        <v>0</v>
      </c>
      <c r="BX79" s="166">
        <f t="shared" si="121"/>
        <v>0</v>
      </c>
      <c r="BY79" s="166">
        <f t="shared" si="121"/>
        <v>0</v>
      </c>
      <c r="BZ79" s="166">
        <f t="shared" si="121"/>
        <v>0</v>
      </c>
      <c r="CA79" s="166">
        <f t="shared" si="121"/>
        <v>0</v>
      </c>
      <c r="CB79" s="166">
        <f t="shared" si="121"/>
        <v>0</v>
      </c>
      <c r="CC79" s="166">
        <f t="shared" si="121"/>
        <v>0</v>
      </c>
      <c r="CD79" s="166">
        <f t="shared" si="121"/>
        <v>1.4634146341463415E-2</v>
      </c>
      <c r="CE79" s="166" t="str">
        <f t="shared" si="121"/>
        <v/>
      </c>
      <c r="CF79" s="166" t="str">
        <f t="shared" si="121"/>
        <v/>
      </c>
      <c r="CG79" s="166">
        <f t="shared" si="121"/>
        <v>0</v>
      </c>
      <c r="CH79" s="166" t="str">
        <f t="shared" si="121"/>
        <v/>
      </c>
      <c r="CI79" s="168">
        <f t="shared" si="121"/>
        <v>7.9898794859844204E-5</v>
      </c>
      <c r="CK79" s="107" t="s">
        <v>395</v>
      </c>
      <c r="CL79" s="166" t="str">
        <f t="shared" ref="CL79:CO84" si="123">IF(OR(ISNA(BF79),BF79=0,BF79=""),"",(BV79-BF79)/BF79)</f>
        <v/>
      </c>
      <c r="CM79" s="166" t="str">
        <f t="shared" si="123"/>
        <v/>
      </c>
      <c r="CN79" s="166" t="str">
        <f t="shared" si="123"/>
        <v/>
      </c>
      <c r="CO79" s="166" t="str">
        <f t="shared" si="123"/>
        <v/>
      </c>
      <c r="CP79" s="166"/>
      <c r="CQ79" s="166"/>
      <c r="CR79" s="166"/>
      <c r="CS79" s="166"/>
      <c r="CT79" s="166">
        <f t="shared" ref="CT79:CY84" si="124">IF(OR(ISNA(BN79),BN79=0,BN79=""),"",(CD79-BN79)/BN79)</f>
        <v>0.22091905732207456</v>
      </c>
      <c r="CU79" s="166" t="str">
        <f t="shared" si="124"/>
        <v/>
      </c>
      <c r="CV79" s="166" t="str">
        <f t="shared" si="124"/>
        <v/>
      </c>
      <c r="CW79" s="166" t="str">
        <f t="shared" si="124"/>
        <v/>
      </c>
      <c r="CX79" s="166" t="str">
        <f t="shared" si="124"/>
        <v/>
      </c>
      <c r="CY79" s="168">
        <f t="shared" si="124"/>
        <v>-0.98977730869755964</v>
      </c>
      <c r="DA79" s="107" t="s">
        <v>395</v>
      </c>
      <c r="DB79" s="315"/>
      <c r="DC79" s="315"/>
      <c r="DD79" s="315"/>
      <c r="DE79" s="315"/>
      <c r="DF79" s="315"/>
      <c r="DG79" s="315"/>
      <c r="DH79" s="315"/>
      <c r="DI79" s="315"/>
      <c r="DJ79" s="314">
        <f t="shared" si="122"/>
        <v>-0.19960390081163484</v>
      </c>
      <c r="DK79" s="315"/>
      <c r="DL79" s="315"/>
      <c r="DM79" s="315"/>
      <c r="DN79" s="315"/>
      <c r="DO79" s="168"/>
      <c r="DQ79" s="107" t="s">
        <v>395</v>
      </c>
      <c r="DR79" s="315"/>
      <c r="DS79" s="315"/>
      <c r="DT79" s="315"/>
      <c r="DU79" s="315"/>
      <c r="DV79" s="315"/>
      <c r="DW79" s="315"/>
      <c r="DX79" s="315"/>
      <c r="DY79" s="315"/>
      <c r="DZ79" s="314">
        <v>0</v>
      </c>
      <c r="EA79" s="315"/>
      <c r="EB79" s="315"/>
      <c r="EC79" s="315"/>
      <c r="ED79" s="315"/>
      <c r="EE79" s="168"/>
      <c r="EG79" s="107" t="s">
        <v>395</v>
      </c>
      <c r="EH79" s="315"/>
      <c r="EI79" s="315"/>
      <c r="EJ79" s="315"/>
      <c r="EK79" s="315"/>
      <c r="EL79" s="315"/>
      <c r="EM79" s="315"/>
      <c r="EN79" s="315"/>
      <c r="EO79" s="315"/>
      <c r="EP79" s="314">
        <v>0</v>
      </c>
      <c r="EQ79" s="315"/>
      <c r="ER79" s="315"/>
      <c r="ES79" s="315"/>
      <c r="ET79" s="315"/>
      <c r="EU79" s="168"/>
      <c r="EW79" s="164" t="s">
        <v>546</v>
      </c>
      <c r="EX79" s="316">
        <f t="shared" si="115"/>
        <v>0</v>
      </c>
      <c r="EY79" s="316">
        <f t="shared" si="111"/>
        <v>0</v>
      </c>
      <c r="EZ79" s="316">
        <f t="shared" si="111"/>
        <v>2.7904716076155833</v>
      </c>
      <c r="FA79" s="316">
        <f t="shared" si="111"/>
        <v>2.7904716076155833</v>
      </c>
      <c r="FB79" s="316">
        <f t="shared" si="111"/>
        <v>1.1906513506377983</v>
      </c>
      <c r="FC79" s="316">
        <f t="shared" si="111"/>
        <v>1.1906513506377983</v>
      </c>
      <c r="FD79" s="316">
        <f t="shared" si="111"/>
        <v>11.78448781556585</v>
      </c>
      <c r="FE79" s="316">
        <f t="shared" si="111"/>
        <v>0</v>
      </c>
      <c r="FF79" s="316"/>
      <c r="FG79" s="316">
        <f t="shared" si="111"/>
        <v>0</v>
      </c>
      <c r="FH79" s="316">
        <f t="shared" si="111"/>
        <v>0</v>
      </c>
      <c r="FI79" s="316">
        <f t="shared" si="111"/>
        <v>0</v>
      </c>
      <c r="FJ79" s="316">
        <f t="shared" si="111"/>
        <v>8.2149541697426738</v>
      </c>
      <c r="FK79" s="316">
        <f t="shared" si="111"/>
        <v>0</v>
      </c>
      <c r="FL79" s="168"/>
    </row>
    <row r="80" spans="2:168" x14ac:dyDescent="0.25">
      <c r="B80" s="107" t="s">
        <v>396</v>
      </c>
      <c r="C80" s="294"/>
      <c r="D80" s="294"/>
      <c r="E80" s="294"/>
      <c r="F80" s="294"/>
      <c r="G80" s="294"/>
      <c r="H80" s="294"/>
      <c r="I80" s="294"/>
      <c r="J80" s="294"/>
      <c r="K80" s="294"/>
      <c r="L80" s="160">
        <f>TripMode_inputCBD!L62</f>
        <v>0</v>
      </c>
      <c r="M80" s="294"/>
      <c r="N80" s="294"/>
      <c r="O80" s="294"/>
      <c r="P80" s="162">
        <f t="shared" si="103"/>
        <v>0</v>
      </c>
      <c r="R80">
        <f t="shared" si="112"/>
        <v>0</v>
      </c>
      <c r="S80">
        <f t="shared" si="113"/>
        <v>0</v>
      </c>
      <c r="T80">
        <f t="shared" si="114"/>
        <v>0</v>
      </c>
      <c r="V80" s="127">
        <f>+L80/L$160</f>
        <v>0</v>
      </c>
      <c r="W80" s="127"/>
      <c r="X80" s="127"/>
      <c r="Y80" s="107" t="s">
        <v>396</v>
      </c>
      <c r="Z80" s="294"/>
      <c r="AA80" s="294"/>
      <c r="AB80" s="294"/>
      <c r="AC80" s="294"/>
      <c r="AD80" s="294"/>
      <c r="AE80" s="294"/>
      <c r="AF80" s="294"/>
      <c r="AG80" s="294"/>
      <c r="AH80" s="294"/>
      <c r="AI80" s="160">
        <f>V80*V$160</f>
        <v>0</v>
      </c>
      <c r="AJ80" s="294"/>
      <c r="AK80" s="294"/>
      <c r="AL80" s="294"/>
      <c r="AM80" s="162">
        <f t="shared" si="105"/>
        <v>0</v>
      </c>
      <c r="AN80" s="127"/>
      <c r="AO80" s="107" t="s">
        <v>396</v>
      </c>
      <c r="AP80" s="294">
        <f>TripMode_inputCBD!R62*Index!$B$2</f>
        <v>0</v>
      </c>
      <c r="AQ80" s="294">
        <f>TripMode_inputCBD!S62*Index!$B$2</f>
        <v>0</v>
      </c>
      <c r="AR80" s="294">
        <f>TripMode_inputCBD!T62*Index!$B$2</f>
        <v>0</v>
      </c>
      <c r="AS80" s="294">
        <f>TripMode_inputCBD!U62*Index!$B$2</f>
        <v>0</v>
      </c>
      <c r="AT80" s="294">
        <f>TripMode_inputCBD!V62*Index!$B$2</f>
        <v>0</v>
      </c>
      <c r="AU80" s="294">
        <f>TripMode_inputCBD!W62*Index!$B$2</f>
        <v>0</v>
      </c>
      <c r="AV80" s="294">
        <f>TripMode_inputCBD!X62*Index!$B$2</f>
        <v>0</v>
      </c>
      <c r="AW80" s="294">
        <f>TripMode_inputCBD!Y62*Index!$B$2</f>
        <v>0</v>
      </c>
      <c r="AX80" s="294">
        <f>TripMode_inputCBD!AA62*Index!$B$2</f>
        <v>0</v>
      </c>
      <c r="AY80" s="160">
        <f>TripMode_inputCBD!AB62*Index!$B$2</f>
        <v>0</v>
      </c>
      <c r="AZ80" s="294">
        <f>TripMode_inputCBD!AC62*Index!$B$2</f>
        <v>0</v>
      </c>
      <c r="BA80" s="294">
        <f>TripMode_inputCBD!AD62*Index!$B$2</f>
        <v>0</v>
      </c>
      <c r="BB80" s="294">
        <f>TripMode_inputCBD!AE62*Index!$B$2</f>
        <v>0</v>
      </c>
      <c r="BC80" s="162">
        <f t="shared" si="106"/>
        <v>0</v>
      </c>
      <c r="BE80" s="107" t="s">
        <v>396</v>
      </c>
      <c r="BF80" s="166">
        <f t="shared" si="120"/>
        <v>0</v>
      </c>
      <c r="BG80" s="166">
        <f t="shared" si="120"/>
        <v>0</v>
      </c>
      <c r="BH80" s="166">
        <f t="shared" si="120"/>
        <v>0</v>
      </c>
      <c r="BI80" s="166">
        <f t="shared" si="120"/>
        <v>0</v>
      </c>
      <c r="BJ80" s="166">
        <f t="shared" si="120"/>
        <v>0</v>
      </c>
      <c r="BK80" s="166">
        <f t="shared" si="120"/>
        <v>0</v>
      </c>
      <c r="BL80" s="166">
        <f t="shared" si="120"/>
        <v>0</v>
      </c>
      <c r="BM80" s="166">
        <f t="shared" si="120"/>
        <v>0</v>
      </c>
      <c r="BN80" s="166">
        <f t="shared" si="120"/>
        <v>0</v>
      </c>
      <c r="BO80" s="166" t="str">
        <f t="shared" si="120"/>
        <v/>
      </c>
      <c r="BP80" s="166" t="str">
        <f t="shared" si="120"/>
        <v/>
      </c>
      <c r="BQ80" s="166">
        <f t="shared" si="120"/>
        <v>0</v>
      </c>
      <c r="BR80" s="166" t="str">
        <f t="shared" si="120"/>
        <v/>
      </c>
      <c r="BS80" s="166">
        <f t="shared" si="120"/>
        <v>0</v>
      </c>
      <c r="BU80" s="107" t="s">
        <v>396</v>
      </c>
      <c r="BV80" s="166">
        <f t="shared" si="121"/>
        <v>0</v>
      </c>
      <c r="BW80" s="166">
        <f t="shared" si="121"/>
        <v>0</v>
      </c>
      <c r="BX80" s="166">
        <f t="shared" si="121"/>
        <v>0</v>
      </c>
      <c r="BY80" s="166">
        <f t="shared" si="121"/>
        <v>0</v>
      </c>
      <c r="BZ80" s="166">
        <f t="shared" si="121"/>
        <v>0</v>
      </c>
      <c r="CA80" s="166">
        <f t="shared" si="121"/>
        <v>0</v>
      </c>
      <c r="CB80" s="166">
        <f t="shared" si="121"/>
        <v>0</v>
      </c>
      <c r="CC80" s="166">
        <f t="shared" si="121"/>
        <v>0</v>
      </c>
      <c r="CD80" s="166">
        <f t="shared" si="121"/>
        <v>0</v>
      </c>
      <c r="CE80" s="166" t="str">
        <f t="shared" si="121"/>
        <v/>
      </c>
      <c r="CF80" s="166" t="str">
        <f t="shared" si="121"/>
        <v/>
      </c>
      <c r="CG80" s="166">
        <f t="shared" si="121"/>
        <v>0</v>
      </c>
      <c r="CH80" s="166" t="str">
        <f t="shared" si="121"/>
        <v/>
      </c>
      <c r="CI80" s="168">
        <f t="shared" si="121"/>
        <v>0</v>
      </c>
      <c r="CK80" s="107" t="s">
        <v>396</v>
      </c>
      <c r="CL80" s="166" t="str">
        <f t="shared" si="123"/>
        <v/>
      </c>
      <c r="CM80" s="166" t="str">
        <f t="shared" si="123"/>
        <v/>
      </c>
      <c r="CN80" s="166" t="str">
        <f t="shared" si="123"/>
        <v/>
      </c>
      <c r="CO80" s="166" t="str">
        <f t="shared" si="123"/>
        <v/>
      </c>
      <c r="CP80" s="166"/>
      <c r="CQ80" s="166"/>
      <c r="CR80" s="166"/>
      <c r="CS80" s="166"/>
      <c r="CT80" s="166" t="str">
        <f t="shared" si="124"/>
        <v/>
      </c>
      <c r="CU80" s="166" t="str">
        <f t="shared" si="124"/>
        <v/>
      </c>
      <c r="CV80" s="166" t="str">
        <f t="shared" si="124"/>
        <v/>
      </c>
      <c r="CW80" s="166" t="str">
        <f t="shared" si="124"/>
        <v/>
      </c>
      <c r="CX80" s="166" t="str">
        <f t="shared" si="124"/>
        <v/>
      </c>
      <c r="CY80" s="168" t="str">
        <f t="shared" si="124"/>
        <v/>
      </c>
      <c r="DA80" s="107" t="s">
        <v>396</v>
      </c>
      <c r="DB80" s="315"/>
      <c r="DC80" s="315"/>
      <c r="DD80" s="315"/>
      <c r="DE80" s="315"/>
      <c r="DF80" s="315"/>
      <c r="DG80" s="315"/>
      <c r="DH80" s="315"/>
      <c r="DI80" s="315"/>
      <c r="DJ80" s="315"/>
      <c r="DK80" s="314">
        <f>IFERROR(IF(CE80&gt;0,LN(BO80/CE80),0),0)</f>
        <v>0</v>
      </c>
      <c r="DL80" s="315"/>
      <c r="DM80" s="315"/>
      <c r="DN80" s="315"/>
      <c r="DO80" s="168"/>
      <c r="DQ80" s="107" t="s">
        <v>396</v>
      </c>
      <c r="DR80" s="315"/>
      <c r="DS80" s="315"/>
      <c r="DT80" s="315"/>
      <c r="DU80" s="315"/>
      <c r="DV80" s="315"/>
      <c r="DW80" s="315"/>
      <c r="DX80" s="315"/>
      <c r="DY80" s="315"/>
      <c r="DZ80" s="315"/>
      <c r="EA80" s="314">
        <v>0</v>
      </c>
      <c r="EB80" s="315"/>
      <c r="EC80" s="315"/>
      <c r="ED80" s="315"/>
      <c r="EE80" s="168"/>
      <c r="EG80" s="107" t="s">
        <v>396</v>
      </c>
      <c r="EH80" s="315"/>
      <c r="EI80" s="315"/>
      <c r="EJ80" s="315"/>
      <c r="EK80" s="315"/>
      <c r="EL80" s="315"/>
      <c r="EM80" s="315"/>
      <c r="EN80" s="315"/>
      <c r="EO80" s="315"/>
      <c r="EP80" s="315"/>
      <c r="EQ80" s="314">
        <v>0</v>
      </c>
      <c r="ER80" s="315"/>
      <c r="ES80" s="315"/>
      <c r="ET80" s="315"/>
      <c r="EU80" s="168"/>
      <c r="EW80" s="164" t="s">
        <v>396</v>
      </c>
      <c r="EX80" s="316">
        <f t="shared" si="115"/>
        <v>0</v>
      </c>
      <c r="EY80" s="316">
        <f t="shared" si="111"/>
        <v>0</v>
      </c>
      <c r="EZ80" s="316">
        <f t="shared" si="111"/>
        <v>0</v>
      </c>
      <c r="FA80" s="316">
        <f t="shared" si="111"/>
        <v>0</v>
      </c>
      <c r="FB80" s="316">
        <f t="shared" si="111"/>
        <v>0</v>
      </c>
      <c r="FC80" s="316">
        <f t="shared" si="111"/>
        <v>0</v>
      </c>
      <c r="FD80" s="316">
        <f t="shared" si="111"/>
        <v>0</v>
      </c>
      <c r="FE80" s="316">
        <f t="shared" si="111"/>
        <v>0</v>
      </c>
      <c r="FF80" s="316"/>
      <c r="FG80" s="316">
        <f t="shared" si="111"/>
        <v>0</v>
      </c>
      <c r="FH80" s="316">
        <f t="shared" si="111"/>
        <v>0</v>
      </c>
      <c r="FI80" s="316">
        <f t="shared" si="111"/>
        <v>0</v>
      </c>
      <c r="FJ80" s="316">
        <f t="shared" si="111"/>
        <v>0</v>
      </c>
      <c r="FK80" s="316">
        <f t="shared" si="111"/>
        <v>0</v>
      </c>
      <c r="FL80" s="168"/>
    </row>
    <row r="81" spans="2:168" x14ac:dyDescent="0.25">
      <c r="B81" s="107" t="s">
        <v>397</v>
      </c>
      <c r="C81" s="294"/>
      <c r="D81" s="294"/>
      <c r="E81" s="294"/>
      <c r="F81" s="294"/>
      <c r="G81" s="294"/>
      <c r="H81" s="294"/>
      <c r="I81" s="294"/>
      <c r="J81" s="294"/>
      <c r="K81" s="294"/>
      <c r="L81" s="294"/>
      <c r="M81" s="160">
        <f>TripMode_inputCBD!M63</f>
        <v>0</v>
      </c>
      <c r="N81" s="294"/>
      <c r="O81" s="294"/>
      <c r="P81" s="162">
        <f t="shared" si="103"/>
        <v>0</v>
      </c>
      <c r="R81">
        <f t="shared" si="112"/>
        <v>0</v>
      </c>
      <c r="S81">
        <f t="shared" si="113"/>
        <v>0</v>
      </c>
      <c r="T81">
        <f t="shared" si="114"/>
        <v>0</v>
      </c>
      <c r="W81" s="127">
        <f>+M81/M$161</f>
        <v>0</v>
      </c>
      <c r="X81" s="127"/>
      <c r="Y81" s="107" t="s">
        <v>397</v>
      </c>
      <c r="Z81" s="294"/>
      <c r="AA81" s="294"/>
      <c r="AB81" s="294"/>
      <c r="AC81" s="294"/>
      <c r="AD81" s="294"/>
      <c r="AE81" s="294"/>
      <c r="AF81" s="294"/>
      <c r="AG81" s="294"/>
      <c r="AH81" s="294"/>
      <c r="AI81" s="294"/>
      <c r="AJ81" s="160">
        <f>W81*W$161</f>
        <v>0</v>
      </c>
      <c r="AK81" s="294"/>
      <c r="AL81" s="294"/>
      <c r="AM81" s="162">
        <f t="shared" si="105"/>
        <v>0</v>
      </c>
      <c r="AN81" s="127"/>
      <c r="AO81" s="107" t="s">
        <v>397</v>
      </c>
      <c r="AP81" s="294">
        <f>TripMode_inputCBD!R63*Index!$B$2</f>
        <v>0</v>
      </c>
      <c r="AQ81" s="294">
        <f>TripMode_inputCBD!S63*Index!$B$2</f>
        <v>0</v>
      </c>
      <c r="AR81" s="294">
        <f>TripMode_inputCBD!T63*Index!$B$2</f>
        <v>0</v>
      </c>
      <c r="AS81" s="294">
        <f>TripMode_inputCBD!U63*Index!$B$2</f>
        <v>0</v>
      </c>
      <c r="AT81" s="294">
        <f>TripMode_inputCBD!V63*Index!$B$2</f>
        <v>0</v>
      </c>
      <c r="AU81" s="294">
        <f>TripMode_inputCBD!W63*Index!$B$2</f>
        <v>0</v>
      </c>
      <c r="AV81" s="294">
        <f>TripMode_inputCBD!X63*Index!$B$2</f>
        <v>0</v>
      </c>
      <c r="AW81" s="294">
        <f>TripMode_inputCBD!Y63*Index!$B$2</f>
        <v>0</v>
      </c>
      <c r="AX81" s="294">
        <f>TripMode_inputCBD!AA63*Index!$B$2</f>
        <v>0</v>
      </c>
      <c r="AY81" s="294">
        <f>TripMode_inputCBD!AB63*Index!$B$2</f>
        <v>0</v>
      </c>
      <c r="AZ81" s="160">
        <f>TripMode_inputCBD!AC63*Index!$B$2</f>
        <v>0</v>
      </c>
      <c r="BA81" s="294">
        <f>TripMode_inputCBD!AD63*Index!$B$2</f>
        <v>0</v>
      </c>
      <c r="BB81" s="294">
        <f>TripMode_inputCBD!AE63*Index!$B$2</f>
        <v>0</v>
      </c>
      <c r="BC81" s="162">
        <f t="shared" si="106"/>
        <v>0</v>
      </c>
      <c r="BE81" s="107" t="s">
        <v>397</v>
      </c>
      <c r="BF81" s="166">
        <f t="shared" si="120"/>
        <v>0</v>
      </c>
      <c r="BG81" s="166">
        <f t="shared" si="120"/>
        <v>0</v>
      </c>
      <c r="BH81" s="166">
        <f t="shared" si="120"/>
        <v>0</v>
      </c>
      <c r="BI81" s="166">
        <f t="shared" si="120"/>
        <v>0</v>
      </c>
      <c r="BJ81" s="166">
        <f t="shared" si="120"/>
        <v>0</v>
      </c>
      <c r="BK81" s="166">
        <f t="shared" si="120"/>
        <v>0</v>
      </c>
      <c r="BL81" s="166">
        <f t="shared" si="120"/>
        <v>0</v>
      </c>
      <c r="BM81" s="166">
        <f t="shared" si="120"/>
        <v>0</v>
      </c>
      <c r="BN81" s="166">
        <f t="shared" si="120"/>
        <v>0</v>
      </c>
      <c r="BO81" s="166" t="str">
        <f t="shared" si="120"/>
        <v/>
      </c>
      <c r="BP81" s="166" t="str">
        <f t="shared" si="120"/>
        <v/>
      </c>
      <c r="BQ81" s="166">
        <f t="shared" si="120"/>
        <v>0</v>
      </c>
      <c r="BR81" s="166" t="str">
        <f t="shared" si="120"/>
        <v/>
      </c>
      <c r="BS81" s="166">
        <f t="shared" si="120"/>
        <v>0</v>
      </c>
      <c r="BU81" s="107" t="s">
        <v>397</v>
      </c>
      <c r="BV81" s="166">
        <f t="shared" si="121"/>
        <v>0</v>
      </c>
      <c r="BW81" s="166">
        <f t="shared" si="121"/>
        <v>0</v>
      </c>
      <c r="BX81" s="166">
        <f t="shared" si="121"/>
        <v>0</v>
      </c>
      <c r="BY81" s="166">
        <f t="shared" si="121"/>
        <v>0</v>
      </c>
      <c r="BZ81" s="166">
        <f t="shared" si="121"/>
        <v>0</v>
      </c>
      <c r="CA81" s="166">
        <f t="shared" si="121"/>
        <v>0</v>
      </c>
      <c r="CB81" s="166">
        <f t="shared" si="121"/>
        <v>0</v>
      </c>
      <c r="CC81" s="166">
        <f t="shared" si="121"/>
        <v>0</v>
      </c>
      <c r="CD81" s="166">
        <f t="shared" si="121"/>
        <v>0</v>
      </c>
      <c r="CE81" s="166" t="str">
        <f t="shared" si="121"/>
        <v/>
      </c>
      <c r="CF81" s="166" t="str">
        <f t="shared" si="121"/>
        <v/>
      </c>
      <c r="CG81" s="166">
        <f t="shared" si="121"/>
        <v>0</v>
      </c>
      <c r="CH81" s="166" t="str">
        <f t="shared" si="121"/>
        <v/>
      </c>
      <c r="CI81" s="168">
        <f t="shared" si="121"/>
        <v>0</v>
      </c>
      <c r="CK81" s="107" t="s">
        <v>397</v>
      </c>
      <c r="CL81" s="166" t="str">
        <f t="shared" si="123"/>
        <v/>
      </c>
      <c r="CM81" s="166" t="str">
        <f t="shared" si="123"/>
        <v/>
      </c>
      <c r="CN81" s="166" t="str">
        <f t="shared" si="123"/>
        <v/>
      </c>
      <c r="CO81" s="166" t="str">
        <f t="shared" si="123"/>
        <v/>
      </c>
      <c r="CP81" s="166"/>
      <c r="CQ81" s="166"/>
      <c r="CR81" s="166"/>
      <c r="CS81" s="166"/>
      <c r="CT81" s="166" t="str">
        <f t="shared" si="124"/>
        <v/>
      </c>
      <c r="CU81" s="166" t="str">
        <f t="shared" si="124"/>
        <v/>
      </c>
      <c r="CV81" s="166" t="str">
        <f t="shared" si="124"/>
        <v/>
      </c>
      <c r="CW81" s="166" t="str">
        <f t="shared" si="124"/>
        <v/>
      </c>
      <c r="CX81" s="166" t="str">
        <f t="shared" si="124"/>
        <v/>
      </c>
      <c r="CY81" s="168" t="str">
        <f t="shared" si="124"/>
        <v/>
      </c>
      <c r="DA81" s="107" t="s">
        <v>397</v>
      </c>
      <c r="DB81" s="315"/>
      <c r="DC81" s="315"/>
      <c r="DD81" s="315"/>
      <c r="DE81" s="315"/>
      <c r="DF81" s="315"/>
      <c r="DG81" s="315"/>
      <c r="DH81" s="315"/>
      <c r="DI81" s="315"/>
      <c r="DJ81" s="315"/>
      <c r="DK81" s="315"/>
      <c r="DL81" s="314">
        <f>IFERROR(IF(CF81&gt;0,LN(BP81/CF81),0),0)</f>
        <v>0</v>
      </c>
      <c r="DM81" s="315"/>
      <c r="DN81" s="315"/>
      <c r="DO81" s="168"/>
      <c r="DQ81" s="107" t="s">
        <v>397</v>
      </c>
      <c r="DR81" s="315"/>
      <c r="DS81" s="315"/>
      <c r="DT81" s="315"/>
      <c r="DU81" s="315"/>
      <c r="DV81" s="315"/>
      <c r="DW81" s="315"/>
      <c r="DX81" s="315"/>
      <c r="DY81" s="315"/>
      <c r="DZ81" s="315"/>
      <c r="EA81" s="315"/>
      <c r="EB81" s="314">
        <v>0</v>
      </c>
      <c r="EC81" s="315"/>
      <c r="ED81" s="315"/>
      <c r="EE81" s="168"/>
      <c r="EG81" s="107" t="s">
        <v>397</v>
      </c>
      <c r="EH81" s="315"/>
      <c r="EI81" s="315"/>
      <c r="EJ81" s="315"/>
      <c r="EK81" s="315"/>
      <c r="EL81" s="315"/>
      <c r="EM81" s="315"/>
      <c r="EN81" s="315"/>
      <c r="EO81" s="315"/>
      <c r="EP81" s="315"/>
      <c r="EQ81" s="315"/>
      <c r="ER81" s="314">
        <v>0</v>
      </c>
      <c r="ES81" s="315"/>
      <c r="ET81" s="315"/>
      <c r="EU81" s="168"/>
      <c r="EW81" s="164" t="s">
        <v>397</v>
      </c>
      <c r="EX81" s="316">
        <f t="shared" si="115"/>
        <v>0</v>
      </c>
      <c r="EY81" s="316">
        <f t="shared" si="111"/>
        <v>0</v>
      </c>
      <c r="EZ81" s="316">
        <f t="shared" si="111"/>
        <v>0</v>
      </c>
      <c r="FA81" s="316">
        <f t="shared" si="111"/>
        <v>0</v>
      </c>
      <c r="FB81" s="316">
        <f t="shared" si="111"/>
        <v>0</v>
      </c>
      <c r="FC81" s="316">
        <f t="shared" si="111"/>
        <v>0</v>
      </c>
      <c r="FD81" s="316">
        <f t="shared" si="111"/>
        <v>0</v>
      </c>
      <c r="FE81" s="316">
        <f t="shared" si="111"/>
        <v>0</v>
      </c>
      <c r="FF81" s="316"/>
      <c r="FG81" s="316">
        <f t="shared" si="111"/>
        <v>0</v>
      </c>
      <c r="FH81" s="316">
        <f t="shared" si="111"/>
        <v>0</v>
      </c>
      <c r="FI81" s="316">
        <f t="shared" si="111"/>
        <v>0</v>
      </c>
      <c r="FJ81" s="316">
        <f t="shared" si="111"/>
        <v>0</v>
      </c>
      <c r="FK81" s="316">
        <f t="shared" si="111"/>
        <v>0</v>
      </c>
      <c r="FL81" s="168"/>
    </row>
    <row r="82" spans="2:168" x14ac:dyDescent="0.25">
      <c r="B82" s="107" t="s">
        <v>398</v>
      </c>
      <c r="C82" s="294"/>
      <c r="D82" s="294"/>
      <c r="E82" s="294"/>
      <c r="F82" s="294"/>
      <c r="G82" s="294"/>
      <c r="H82" s="294"/>
      <c r="I82" s="294"/>
      <c r="J82" s="294"/>
      <c r="K82" s="160">
        <f>TripMode_inputCBD!J64+TripMode_inputCBD!K64</f>
        <v>3748.8123800000003</v>
      </c>
      <c r="L82" s="294"/>
      <c r="M82" s="294"/>
      <c r="N82" s="160">
        <f>TripMode_inputCBD!N64</f>
        <v>0</v>
      </c>
      <c r="O82" s="294"/>
      <c r="P82" s="162">
        <f t="shared" si="103"/>
        <v>3748.8123800000003</v>
      </c>
      <c r="R82">
        <f t="shared" si="112"/>
        <v>2.9005482148007937</v>
      </c>
      <c r="S82">
        <f t="shared" si="113"/>
        <v>0</v>
      </c>
      <c r="T82">
        <f t="shared" si="114"/>
        <v>0</v>
      </c>
      <c r="Y82" s="107" t="s">
        <v>398</v>
      </c>
      <c r="Z82" s="294"/>
      <c r="AA82" s="294"/>
      <c r="AB82" s="294"/>
      <c r="AC82" s="294"/>
      <c r="AD82" s="294"/>
      <c r="AE82" s="294"/>
      <c r="AF82" s="294"/>
      <c r="AG82" s="294"/>
      <c r="AH82" s="160">
        <f>AH79*R82</f>
        <v>3593.9498263623964</v>
      </c>
      <c r="AI82" s="160">
        <f>AI80*S82</f>
        <v>0</v>
      </c>
      <c r="AJ82" s="160">
        <f>AJ81*T82</f>
        <v>0</v>
      </c>
      <c r="AK82" s="160">
        <f>N82</f>
        <v>0</v>
      </c>
      <c r="AL82" s="294"/>
      <c r="AM82" s="162">
        <f t="shared" si="105"/>
        <v>3593.9498263623964</v>
      </c>
      <c r="AO82" s="107" t="s">
        <v>398</v>
      </c>
      <c r="AP82" s="294">
        <f>TripMode_inputCBD!R64*Index!$B$2</f>
        <v>0</v>
      </c>
      <c r="AQ82" s="294">
        <f>TripMode_inputCBD!S64*Index!$B$2</f>
        <v>0</v>
      </c>
      <c r="AR82" s="294">
        <f>TripMode_inputCBD!T64*Index!$B$2</f>
        <v>0</v>
      </c>
      <c r="AS82" s="294">
        <f>TripMode_inputCBD!U64*Index!$B$2</f>
        <v>0</v>
      </c>
      <c r="AT82" s="294">
        <f>TripMode_inputCBD!V64*Index!$B$2</f>
        <v>0</v>
      </c>
      <c r="AU82" s="294">
        <f>TripMode_inputCBD!W64*Index!$B$2</f>
        <v>0</v>
      </c>
      <c r="AV82" s="294">
        <f>TripMode_inputCBD!X64*Index!$B$2</f>
        <v>0</v>
      </c>
      <c r="AW82" s="294">
        <f>TripMode_inputCBD!Y64*Index!$B$2</f>
        <v>0</v>
      </c>
      <c r="AX82" s="160">
        <f>TripMode_inputCBD!AA64*Index!$B$2</f>
        <v>410</v>
      </c>
      <c r="AY82" s="160">
        <f>TripMode_inputCBD!AB64*Index!$B$2</f>
        <v>0</v>
      </c>
      <c r="AZ82" s="160">
        <f>TripMode_inputCBD!AC64*Index!$B$2</f>
        <v>0</v>
      </c>
      <c r="BA82" s="160">
        <f>TripMode_inputCBD!AD64*Index!$B$2</f>
        <v>780</v>
      </c>
      <c r="BB82" s="294">
        <f>TripMode_inputCBD!AE64*Index!$B$2</f>
        <v>0</v>
      </c>
      <c r="BC82" s="162">
        <f t="shared" si="106"/>
        <v>1190</v>
      </c>
      <c r="BE82" s="107" t="s">
        <v>398</v>
      </c>
      <c r="BF82" s="166">
        <f t="shared" si="120"/>
        <v>0</v>
      </c>
      <c r="BG82" s="166">
        <f t="shared" si="120"/>
        <v>0</v>
      </c>
      <c r="BH82" s="166">
        <f t="shared" si="120"/>
        <v>0</v>
      </c>
      <c r="BI82" s="166">
        <f t="shared" si="120"/>
        <v>0</v>
      </c>
      <c r="BJ82" s="166">
        <f t="shared" si="120"/>
        <v>0</v>
      </c>
      <c r="BK82" s="166">
        <f t="shared" si="120"/>
        <v>0</v>
      </c>
      <c r="BL82" s="166">
        <f t="shared" si="120"/>
        <v>0</v>
      </c>
      <c r="BM82" s="166">
        <f t="shared" si="120"/>
        <v>0</v>
      </c>
      <c r="BN82" s="166">
        <f t="shared" si="120"/>
        <v>3.4766471037783041E-2</v>
      </c>
      <c r="BO82" s="166" t="str">
        <f t="shared" si="120"/>
        <v/>
      </c>
      <c r="BP82" s="166" t="str">
        <f t="shared" si="120"/>
        <v/>
      </c>
      <c r="BQ82" s="166">
        <f t="shared" si="120"/>
        <v>0</v>
      </c>
      <c r="BR82" s="166" t="str">
        <f t="shared" si="120"/>
        <v/>
      </c>
      <c r="BS82" s="166">
        <f t="shared" si="120"/>
        <v>2.2670185368908944E-2</v>
      </c>
      <c r="BU82" s="107" t="s">
        <v>398</v>
      </c>
      <c r="BV82" s="166">
        <f t="shared" si="121"/>
        <v>0</v>
      </c>
      <c r="BW82" s="166">
        <f t="shared" si="121"/>
        <v>0</v>
      </c>
      <c r="BX82" s="166">
        <f t="shared" si="121"/>
        <v>0</v>
      </c>
      <c r="BY82" s="166">
        <f t="shared" si="121"/>
        <v>0</v>
      </c>
      <c r="BZ82" s="166">
        <f t="shared" si="121"/>
        <v>0</v>
      </c>
      <c r="CA82" s="166">
        <f t="shared" si="121"/>
        <v>0</v>
      </c>
      <c r="CB82" s="166">
        <f t="shared" si="121"/>
        <v>0</v>
      </c>
      <c r="CC82" s="166">
        <f t="shared" si="121"/>
        <v>0</v>
      </c>
      <c r="CD82" s="166">
        <f t="shared" si="121"/>
        <v>0.2</v>
      </c>
      <c r="CE82" s="166" t="str">
        <f t="shared" si="121"/>
        <v/>
      </c>
      <c r="CF82" s="166" t="str">
        <f t="shared" si="121"/>
        <v/>
      </c>
      <c r="CG82" s="166">
        <f t="shared" si="121"/>
        <v>0.5714285714285714</v>
      </c>
      <c r="CH82" s="166" t="str">
        <f t="shared" si="121"/>
        <v/>
      </c>
      <c r="CI82" s="168">
        <f t="shared" si="121"/>
        <v>3.1693188627738198E-3</v>
      </c>
      <c r="CK82" s="107" t="s">
        <v>398</v>
      </c>
      <c r="CL82" s="166" t="str">
        <f t="shared" si="123"/>
        <v/>
      </c>
      <c r="CM82" s="166" t="str">
        <f t="shared" si="123"/>
        <v/>
      </c>
      <c r="CN82" s="166" t="str">
        <f t="shared" si="123"/>
        <v/>
      </c>
      <c r="CO82" s="166" t="str">
        <f t="shared" si="123"/>
        <v/>
      </c>
      <c r="CP82" s="166"/>
      <c r="CQ82" s="166"/>
      <c r="CR82" s="166"/>
      <c r="CS82" s="166"/>
      <c r="CT82" s="166">
        <f t="shared" si="124"/>
        <v>4.7526689948671139</v>
      </c>
      <c r="CU82" s="166" t="str">
        <f t="shared" si="124"/>
        <v/>
      </c>
      <c r="CV82" s="166" t="str">
        <f t="shared" si="124"/>
        <v/>
      </c>
      <c r="CW82" s="166" t="str">
        <f t="shared" si="124"/>
        <v/>
      </c>
      <c r="CX82" s="166" t="str">
        <f t="shared" si="124"/>
        <v/>
      </c>
      <c r="CY82" s="168">
        <f t="shared" si="124"/>
        <v>-0.8601988112933393</v>
      </c>
      <c r="DA82" s="107" t="s">
        <v>398</v>
      </c>
      <c r="DB82" s="315"/>
      <c r="DC82" s="315"/>
      <c r="DD82" s="315"/>
      <c r="DE82" s="315"/>
      <c r="DF82" s="315"/>
      <c r="DG82" s="315"/>
      <c r="DH82" s="315"/>
      <c r="DI82" s="315"/>
      <c r="DJ82" s="314">
        <f t="shared" si="122"/>
        <v>-1.7496639201346553</v>
      </c>
      <c r="DK82" s="314">
        <f>IFERROR(IF(CE82&gt;0,LN(BO82/CE82),0),0)</f>
        <v>0</v>
      </c>
      <c r="DL82" s="314">
        <f>IFERROR(IF(CF82&gt;0,LN(BP82/CF82),0),0)</f>
        <v>0</v>
      </c>
      <c r="DM82" s="314">
        <f>IFERROR(IF(CG82&gt;0,LN(BQ82/CG82),0),0)</f>
        <v>0</v>
      </c>
      <c r="DN82" s="315"/>
      <c r="DO82" s="168"/>
      <c r="DQ82" s="107" t="s">
        <v>398</v>
      </c>
      <c r="DR82" s="315"/>
      <c r="DS82" s="315"/>
      <c r="DT82" s="315"/>
      <c r="DU82" s="315"/>
      <c r="DV82" s="315"/>
      <c r="DW82" s="315"/>
      <c r="DX82" s="315"/>
      <c r="DY82" s="315"/>
      <c r="DZ82" s="314">
        <v>9.7650141890656936</v>
      </c>
      <c r="EA82" s="314">
        <v>0</v>
      </c>
      <c r="EB82" s="314">
        <v>0</v>
      </c>
      <c r="EC82" s="314">
        <v>0</v>
      </c>
      <c r="ED82" s="315"/>
      <c r="EE82" s="168"/>
      <c r="EG82" s="107" t="s">
        <v>398</v>
      </c>
      <c r="EH82" s="315"/>
      <c r="EI82" s="315"/>
      <c r="EJ82" s="315"/>
      <c r="EK82" s="315"/>
      <c r="EL82" s="315"/>
      <c r="EM82" s="315"/>
      <c r="EN82" s="315"/>
      <c r="EO82" s="315"/>
      <c r="EP82" s="314">
        <f>DZ82+(DJ82-DJ$79)*$EI$1</f>
        <v>8.2149541697426738</v>
      </c>
      <c r="EQ82" s="314">
        <f>EA82+(DK82-DK$80)*$EI$1</f>
        <v>0</v>
      </c>
      <c r="ER82" s="314">
        <f>EB82+(DL82-DL$81)*$EI$1</f>
        <v>0</v>
      </c>
      <c r="ES82" s="314">
        <v>0</v>
      </c>
      <c r="ET82" s="315"/>
      <c r="EU82" s="168"/>
      <c r="EW82" s="164" t="s">
        <v>398</v>
      </c>
      <c r="EX82" s="316">
        <f t="shared" si="115"/>
        <v>0</v>
      </c>
      <c r="EY82" s="316">
        <f t="shared" si="111"/>
        <v>0</v>
      </c>
      <c r="EZ82" s="316">
        <f t="shared" si="111"/>
        <v>0</v>
      </c>
      <c r="FA82" s="316">
        <f t="shared" si="111"/>
        <v>0</v>
      </c>
      <c r="FB82" s="316">
        <f t="shared" si="111"/>
        <v>0</v>
      </c>
      <c r="FC82" s="316">
        <f t="shared" si="111"/>
        <v>0</v>
      </c>
      <c r="FD82" s="316">
        <f t="shared" si="111"/>
        <v>9.0567717911533521</v>
      </c>
      <c r="FE82" s="316">
        <f t="shared" si="111"/>
        <v>0</v>
      </c>
      <c r="FF82" s="316"/>
      <c r="FG82" s="316">
        <f t="shared" si="111"/>
        <v>0</v>
      </c>
      <c r="FH82" s="316">
        <f t="shared" si="111"/>
        <v>0</v>
      </c>
      <c r="FI82" s="316">
        <f t="shared" si="111"/>
        <v>0</v>
      </c>
      <c r="FJ82" s="316">
        <f t="shared" si="111"/>
        <v>0</v>
      </c>
      <c r="FK82" s="316">
        <f t="shared" si="111"/>
        <v>0</v>
      </c>
      <c r="FL82" s="168"/>
    </row>
    <row r="83" spans="2:168" x14ac:dyDescent="0.25">
      <c r="B83" s="107" t="s">
        <v>399</v>
      </c>
      <c r="C83" s="294"/>
      <c r="D83" s="294"/>
      <c r="E83" s="294"/>
      <c r="F83" s="294"/>
      <c r="G83" s="294"/>
      <c r="H83" s="294"/>
      <c r="I83" s="294"/>
      <c r="J83" s="294"/>
      <c r="K83" s="294"/>
      <c r="L83" s="294"/>
      <c r="M83" s="294"/>
      <c r="N83" s="294"/>
      <c r="O83" s="160">
        <f>TripMode_inputCBD!O65</f>
        <v>0</v>
      </c>
      <c r="P83" s="162">
        <f t="shared" si="103"/>
        <v>0</v>
      </c>
      <c r="R83">
        <f t="shared" si="112"/>
        <v>0</v>
      </c>
      <c r="S83">
        <f t="shared" si="113"/>
        <v>0</v>
      </c>
      <c r="T83">
        <f t="shared" si="114"/>
        <v>0</v>
      </c>
      <c r="Y83" s="107" t="s">
        <v>399</v>
      </c>
      <c r="Z83" s="294"/>
      <c r="AA83" s="294"/>
      <c r="AB83" s="294"/>
      <c r="AC83" s="294"/>
      <c r="AD83" s="294"/>
      <c r="AE83" s="294"/>
      <c r="AF83" s="294"/>
      <c r="AG83" s="294"/>
      <c r="AH83" s="294"/>
      <c r="AI83" s="294"/>
      <c r="AJ83" s="294"/>
      <c r="AK83" s="294"/>
      <c r="AL83" s="160">
        <f>+O83</f>
        <v>0</v>
      </c>
      <c r="AM83" s="162">
        <f t="shared" si="105"/>
        <v>0</v>
      </c>
      <c r="AO83" s="107" t="s">
        <v>399</v>
      </c>
      <c r="AP83" s="294">
        <f>TripMode_inputCBD!R65*Index!$B$2</f>
        <v>0</v>
      </c>
      <c r="AQ83" s="294">
        <f>TripMode_inputCBD!S65*Index!$B$2</f>
        <v>0</v>
      </c>
      <c r="AR83" s="294">
        <f>TripMode_inputCBD!T65*Index!$B$2</f>
        <v>0</v>
      </c>
      <c r="AS83" s="294">
        <f>TripMode_inputCBD!U65*Index!$B$2</f>
        <v>0</v>
      </c>
      <c r="AT83" s="294">
        <f>TripMode_inputCBD!V65*Index!$B$2</f>
        <v>0</v>
      </c>
      <c r="AU83" s="294">
        <f>TripMode_inputCBD!W65*Index!$B$2</f>
        <v>0</v>
      </c>
      <c r="AV83" s="294">
        <f>TripMode_inputCBD!X65*Index!$B$2</f>
        <v>0</v>
      </c>
      <c r="AW83" s="294">
        <f>TripMode_inputCBD!Y65*Index!$B$2</f>
        <v>0</v>
      </c>
      <c r="AX83" s="294">
        <f>TripMode_inputCBD!AA65*Index!$B$2</f>
        <v>0</v>
      </c>
      <c r="AY83" s="294">
        <f>TripMode_inputCBD!AB65*Index!$B$2</f>
        <v>0</v>
      </c>
      <c r="AZ83" s="294">
        <f>TripMode_inputCBD!AC65*Index!$B$2</f>
        <v>0</v>
      </c>
      <c r="BA83" s="294">
        <f>TripMode_inputCBD!AD65*Index!$B$2</f>
        <v>0</v>
      </c>
      <c r="BB83" s="160">
        <f>TripMode_inputCBD!AE65*Index!$B$2</f>
        <v>0</v>
      </c>
      <c r="BC83" s="162">
        <f t="shared" si="106"/>
        <v>0</v>
      </c>
      <c r="BE83" s="107" t="s">
        <v>399</v>
      </c>
      <c r="BF83" s="166">
        <f t="shared" si="120"/>
        <v>0</v>
      </c>
      <c r="BG83" s="166">
        <f t="shared" si="120"/>
        <v>0</v>
      </c>
      <c r="BH83" s="166">
        <f t="shared" si="120"/>
        <v>0</v>
      </c>
      <c r="BI83" s="166">
        <f t="shared" si="120"/>
        <v>0</v>
      </c>
      <c r="BJ83" s="166">
        <f t="shared" si="120"/>
        <v>0</v>
      </c>
      <c r="BK83" s="166">
        <f t="shared" si="120"/>
        <v>0</v>
      </c>
      <c r="BL83" s="166">
        <f t="shared" si="120"/>
        <v>0</v>
      </c>
      <c r="BM83" s="166">
        <f t="shared" si="120"/>
        <v>0</v>
      </c>
      <c r="BN83" s="166">
        <f t="shared" si="120"/>
        <v>0</v>
      </c>
      <c r="BO83" s="166" t="str">
        <f t="shared" si="120"/>
        <v/>
      </c>
      <c r="BP83" s="166" t="str">
        <f t="shared" si="120"/>
        <v/>
      </c>
      <c r="BQ83" s="166">
        <f t="shared" si="120"/>
        <v>0</v>
      </c>
      <c r="BR83" s="166" t="str">
        <f t="shared" si="120"/>
        <v/>
      </c>
      <c r="BS83" s="166">
        <f t="shared" si="120"/>
        <v>0</v>
      </c>
      <c r="BU83" s="107" t="s">
        <v>399</v>
      </c>
      <c r="BV83" s="166">
        <f t="shared" si="121"/>
        <v>0</v>
      </c>
      <c r="BW83" s="166">
        <f t="shared" si="121"/>
        <v>0</v>
      </c>
      <c r="BX83" s="166">
        <f t="shared" si="121"/>
        <v>0</v>
      </c>
      <c r="BY83" s="166">
        <f t="shared" si="121"/>
        <v>0</v>
      </c>
      <c r="BZ83" s="166">
        <f t="shared" si="121"/>
        <v>0</v>
      </c>
      <c r="CA83" s="166">
        <f t="shared" si="121"/>
        <v>0</v>
      </c>
      <c r="CB83" s="166">
        <f t="shared" si="121"/>
        <v>0</v>
      </c>
      <c r="CC83" s="166">
        <f t="shared" si="121"/>
        <v>0</v>
      </c>
      <c r="CD83" s="166">
        <f t="shared" si="121"/>
        <v>0</v>
      </c>
      <c r="CE83" s="166" t="str">
        <f t="shared" si="121"/>
        <v/>
      </c>
      <c r="CF83" s="166" t="str">
        <f t="shared" si="121"/>
        <v/>
      </c>
      <c r="CG83" s="166">
        <f t="shared" si="121"/>
        <v>0</v>
      </c>
      <c r="CH83" s="166" t="str">
        <f t="shared" si="121"/>
        <v/>
      </c>
      <c r="CI83" s="168">
        <f t="shared" si="121"/>
        <v>0</v>
      </c>
      <c r="CK83" s="107" t="s">
        <v>399</v>
      </c>
      <c r="CL83" s="166" t="str">
        <f t="shared" si="123"/>
        <v/>
      </c>
      <c r="CM83" s="166" t="str">
        <f t="shared" si="123"/>
        <v/>
      </c>
      <c r="CN83" s="166" t="str">
        <f t="shared" si="123"/>
        <v/>
      </c>
      <c r="CO83" s="166" t="str">
        <f t="shared" si="123"/>
        <v/>
      </c>
      <c r="CP83" s="166"/>
      <c r="CQ83" s="166"/>
      <c r="CR83" s="166"/>
      <c r="CS83" s="166"/>
      <c r="CT83" s="166" t="str">
        <f t="shared" si="124"/>
        <v/>
      </c>
      <c r="CU83" s="166" t="str">
        <f t="shared" si="124"/>
        <v/>
      </c>
      <c r="CV83" s="166" t="str">
        <f t="shared" si="124"/>
        <v/>
      </c>
      <c r="CW83" s="166" t="str">
        <f t="shared" si="124"/>
        <v/>
      </c>
      <c r="CX83" s="166" t="str">
        <f t="shared" si="124"/>
        <v/>
      </c>
      <c r="CY83" s="168" t="str">
        <f t="shared" si="124"/>
        <v/>
      </c>
      <c r="DA83" s="107" t="s">
        <v>399</v>
      </c>
      <c r="DB83" s="315"/>
      <c r="DC83" s="315"/>
      <c r="DD83" s="315"/>
      <c r="DE83" s="315"/>
      <c r="DF83" s="315"/>
      <c r="DG83" s="315"/>
      <c r="DH83" s="315"/>
      <c r="DI83" s="315"/>
      <c r="DJ83" s="315"/>
      <c r="DK83" s="315"/>
      <c r="DL83" s="315"/>
      <c r="DM83" s="315"/>
      <c r="DN83" s="314">
        <f>IFERROR(IF(CH83&gt;0,LN(BR83/CH83),0),0)</f>
        <v>0</v>
      </c>
      <c r="DO83" s="168"/>
      <c r="DQ83" s="107" t="s">
        <v>399</v>
      </c>
      <c r="DR83" s="315"/>
      <c r="DS83" s="315"/>
      <c r="DT83" s="315"/>
      <c r="DU83" s="315"/>
      <c r="DV83" s="315"/>
      <c r="DW83" s="315"/>
      <c r="DX83" s="315"/>
      <c r="DY83" s="315"/>
      <c r="DZ83" s="315"/>
      <c r="EA83" s="315"/>
      <c r="EB83" s="315"/>
      <c r="EC83" s="315"/>
      <c r="ED83" s="314">
        <v>0</v>
      </c>
      <c r="EE83" s="168"/>
      <c r="EG83" s="107" t="s">
        <v>399</v>
      </c>
      <c r="EH83" s="315"/>
      <c r="EI83" s="315"/>
      <c r="EJ83" s="315"/>
      <c r="EK83" s="315"/>
      <c r="EL83" s="315"/>
      <c r="EM83" s="315"/>
      <c r="EN83" s="315"/>
      <c r="EO83" s="315"/>
      <c r="EP83" s="315"/>
      <c r="EQ83" s="315"/>
      <c r="ER83" s="315"/>
      <c r="ES83" s="315"/>
      <c r="ET83" s="314">
        <v>0</v>
      </c>
      <c r="EU83" s="168"/>
      <c r="EW83" s="164" t="s">
        <v>399</v>
      </c>
      <c r="EX83" s="316">
        <f t="shared" si="115"/>
        <v>0</v>
      </c>
      <c r="EY83" s="316">
        <f t="shared" si="111"/>
        <v>0</v>
      </c>
      <c r="EZ83" s="316">
        <f t="shared" si="111"/>
        <v>0</v>
      </c>
      <c r="FA83" s="316">
        <f t="shared" si="111"/>
        <v>0</v>
      </c>
      <c r="FB83" s="316">
        <f t="shared" si="111"/>
        <v>0</v>
      </c>
      <c r="FC83" s="316">
        <f t="shared" si="111"/>
        <v>0</v>
      </c>
      <c r="FD83" s="316">
        <f t="shared" si="111"/>
        <v>0</v>
      </c>
      <c r="FE83" s="316">
        <f t="shared" si="111"/>
        <v>0</v>
      </c>
      <c r="FF83" s="316"/>
      <c r="FG83" s="316">
        <f t="shared" si="111"/>
        <v>0</v>
      </c>
      <c r="FH83" s="316">
        <f t="shared" si="111"/>
        <v>0</v>
      </c>
      <c r="FI83" s="316">
        <f t="shared" si="111"/>
        <v>0</v>
      </c>
      <c r="FJ83" s="316">
        <f t="shared" si="111"/>
        <v>0</v>
      </c>
      <c r="FK83" s="316">
        <f t="shared" si="111"/>
        <v>0</v>
      </c>
      <c r="FL83" s="168"/>
    </row>
    <row r="84" spans="2:168" ht="15.75" thickBot="1" x14ac:dyDescent="0.3">
      <c r="B84" s="108" t="s">
        <v>29</v>
      </c>
      <c r="C84" s="109">
        <f t="shared" ref="C84:P84" si="125">SUM(C71:C83)</f>
        <v>17991.71701</v>
      </c>
      <c r="D84" s="110">
        <f t="shared" si="125"/>
        <v>687.92624000000001</v>
      </c>
      <c r="E84" s="110">
        <f t="shared" si="125"/>
        <v>26654.127410000001</v>
      </c>
      <c r="F84" s="110">
        <f t="shared" si="125"/>
        <v>733.08180000000004</v>
      </c>
      <c r="G84" s="110">
        <f t="shared" si="125"/>
        <v>1402.5249000000001</v>
      </c>
      <c r="H84" s="110">
        <f t="shared" si="125"/>
        <v>185.12353999999999</v>
      </c>
      <c r="I84" s="110">
        <f t="shared" si="125"/>
        <v>5410.2527200000004</v>
      </c>
      <c r="J84" s="110">
        <f t="shared" si="125"/>
        <v>411.1687</v>
      </c>
      <c r="K84" s="110">
        <f t="shared" si="125"/>
        <v>107828.38373</v>
      </c>
      <c r="L84" s="110">
        <f t="shared" si="125"/>
        <v>0</v>
      </c>
      <c r="M84" s="110">
        <f t="shared" si="125"/>
        <v>0</v>
      </c>
      <c r="N84" s="110">
        <f t="shared" si="125"/>
        <v>1682.05898</v>
      </c>
      <c r="O84" s="110">
        <f t="shared" si="125"/>
        <v>0</v>
      </c>
      <c r="P84" s="112">
        <f t="shared" si="125"/>
        <v>162986.36502999999</v>
      </c>
      <c r="Y84" s="108" t="s">
        <v>29</v>
      </c>
      <c r="Z84" s="109">
        <f t="shared" ref="Z84:AM84" si="126">SUM(Z71:Z83)</f>
        <v>17991.71701</v>
      </c>
      <c r="AA84" s="110">
        <f t="shared" si="126"/>
        <v>687.92624000000001</v>
      </c>
      <c r="AB84" s="110">
        <f t="shared" si="126"/>
        <v>26654.127410000001</v>
      </c>
      <c r="AC84" s="110">
        <f t="shared" si="126"/>
        <v>733.08180000000004</v>
      </c>
      <c r="AD84" s="110">
        <f t="shared" si="126"/>
        <v>1402.5249000000001</v>
      </c>
      <c r="AE84" s="110">
        <f t="shared" si="126"/>
        <v>185.12353999999999</v>
      </c>
      <c r="AF84" s="110">
        <f t="shared" si="126"/>
        <v>5410.2527200000004</v>
      </c>
      <c r="AG84" s="110">
        <f t="shared" si="126"/>
        <v>411.1687</v>
      </c>
      <c r="AH84" s="110">
        <f t="shared" si="126"/>
        <v>103374.01867611503</v>
      </c>
      <c r="AI84" s="110">
        <f t="shared" si="126"/>
        <v>0</v>
      </c>
      <c r="AJ84" s="110">
        <f t="shared" si="126"/>
        <v>0</v>
      </c>
      <c r="AK84" s="110">
        <f t="shared" si="126"/>
        <v>1682.05898</v>
      </c>
      <c r="AL84" s="110">
        <f t="shared" si="126"/>
        <v>0</v>
      </c>
      <c r="AM84" s="112">
        <f t="shared" si="126"/>
        <v>158531.99997611504</v>
      </c>
      <c r="AO84" s="108" t="s">
        <v>29</v>
      </c>
      <c r="AP84" s="109">
        <f t="shared" ref="AP84:BC84" si="127">SUM(AP71:AP83)</f>
        <v>92715</v>
      </c>
      <c r="AQ84" s="110">
        <f t="shared" si="127"/>
        <v>895</v>
      </c>
      <c r="AR84" s="110">
        <f t="shared" si="127"/>
        <v>9900</v>
      </c>
      <c r="AS84" s="110">
        <f t="shared" si="127"/>
        <v>80</v>
      </c>
      <c r="AT84" s="110">
        <f t="shared" si="127"/>
        <v>2540</v>
      </c>
      <c r="AU84" s="110">
        <f t="shared" si="127"/>
        <v>15</v>
      </c>
      <c r="AV84" s="110">
        <f t="shared" si="127"/>
        <v>263430</v>
      </c>
      <c r="AW84" s="110">
        <f t="shared" si="127"/>
        <v>2485</v>
      </c>
      <c r="AX84" s="110">
        <f t="shared" si="127"/>
        <v>2050</v>
      </c>
      <c r="AY84" s="110">
        <f t="shared" si="127"/>
        <v>0</v>
      </c>
      <c r="AZ84" s="110">
        <f t="shared" si="127"/>
        <v>0</v>
      </c>
      <c r="BA84" s="110">
        <f t="shared" si="127"/>
        <v>1365</v>
      </c>
      <c r="BB84" s="110">
        <f t="shared" si="127"/>
        <v>0</v>
      </c>
      <c r="BC84" s="112">
        <f t="shared" si="127"/>
        <v>375475</v>
      </c>
      <c r="BE84" s="108" t="s">
        <v>29</v>
      </c>
      <c r="BF84" s="120">
        <f t="shared" si="120"/>
        <v>1</v>
      </c>
      <c r="BG84" s="120">
        <f t="shared" si="120"/>
        <v>1</v>
      </c>
      <c r="BH84" s="120">
        <f t="shared" si="120"/>
        <v>1</v>
      </c>
      <c r="BI84" s="120">
        <f t="shared" si="120"/>
        <v>1</v>
      </c>
      <c r="BJ84" s="120">
        <f t="shared" si="120"/>
        <v>1</v>
      </c>
      <c r="BK84" s="120">
        <f t="shared" si="120"/>
        <v>1</v>
      </c>
      <c r="BL84" s="120">
        <f t="shared" si="120"/>
        <v>1</v>
      </c>
      <c r="BM84" s="120">
        <f t="shared" si="120"/>
        <v>1</v>
      </c>
      <c r="BN84" s="120">
        <f t="shared" si="120"/>
        <v>1</v>
      </c>
      <c r="BO84" s="120" t="str">
        <f t="shared" si="120"/>
        <v/>
      </c>
      <c r="BP84" s="120" t="str">
        <f t="shared" si="120"/>
        <v/>
      </c>
      <c r="BQ84" s="120">
        <f t="shared" si="120"/>
        <v>1</v>
      </c>
      <c r="BR84" s="120" t="str">
        <f t="shared" si="120"/>
        <v/>
      </c>
      <c r="BS84" s="120">
        <f t="shared" si="120"/>
        <v>1</v>
      </c>
      <c r="BU84" s="108" t="s">
        <v>29</v>
      </c>
      <c r="BV84" s="120">
        <f t="shared" si="121"/>
        <v>1</v>
      </c>
      <c r="BW84" s="121">
        <f t="shared" si="121"/>
        <v>1</v>
      </c>
      <c r="BX84" s="121">
        <f t="shared" si="121"/>
        <v>1</v>
      </c>
      <c r="BY84" s="121">
        <f t="shared" si="121"/>
        <v>1</v>
      </c>
      <c r="BZ84" s="121">
        <f t="shared" si="121"/>
        <v>1</v>
      </c>
      <c r="CA84" s="121">
        <f t="shared" si="121"/>
        <v>1</v>
      </c>
      <c r="CB84" s="121">
        <f t="shared" si="121"/>
        <v>1</v>
      </c>
      <c r="CC84" s="121">
        <f t="shared" si="121"/>
        <v>1</v>
      </c>
      <c r="CD84" s="121">
        <f t="shared" si="121"/>
        <v>1</v>
      </c>
      <c r="CE84" s="121" t="str">
        <f t="shared" si="121"/>
        <v/>
      </c>
      <c r="CF84" s="121" t="str">
        <f t="shared" si="121"/>
        <v/>
      </c>
      <c r="CG84" s="121">
        <f t="shared" si="121"/>
        <v>1</v>
      </c>
      <c r="CH84" s="121" t="str">
        <f t="shared" si="121"/>
        <v/>
      </c>
      <c r="CI84" s="123">
        <f t="shared" si="121"/>
        <v>1</v>
      </c>
      <c r="CK84" s="108" t="s">
        <v>29</v>
      </c>
      <c r="CL84" s="120">
        <f t="shared" si="123"/>
        <v>0</v>
      </c>
      <c r="CM84" s="121">
        <f t="shared" si="123"/>
        <v>0</v>
      </c>
      <c r="CN84" s="121">
        <f t="shared" si="123"/>
        <v>0</v>
      </c>
      <c r="CO84" s="121">
        <f t="shared" si="123"/>
        <v>0</v>
      </c>
      <c r="CP84" s="121"/>
      <c r="CQ84" s="121"/>
      <c r="CR84" s="121"/>
      <c r="CS84" s="121"/>
      <c r="CT84" s="121">
        <f t="shared" si="124"/>
        <v>0</v>
      </c>
      <c r="CU84" s="121" t="str">
        <f t="shared" si="124"/>
        <v/>
      </c>
      <c r="CV84" s="121" t="str">
        <f t="shared" si="124"/>
        <v/>
      </c>
      <c r="CW84" s="121">
        <f t="shared" si="124"/>
        <v>0</v>
      </c>
      <c r="CX84" s="121" t="str">
        <f t="shared" si="124"/>
        <v/>
      </c>
      <c r="CY84" s="123">
        <f t="shared" si="124"/>
        <v>0</v>
      </c>
      <c r="DA84" s="108" t="s">
        <v>29</v>
      </c>
      <c r="DB84" s="120"/>
      <c r="DC84" s="121"/>
      <c r="DD84" s="121"/>
      <c r="DE84" s="121"/>
      <c r="DF84" s="121"/>
      <c r="DG84" s="121"/>
      <c r="DH84" s="121"/>
      <c r="DI84" s="121"/>
      <c r="DJ84" s="121"/>
      <c r="DK84" s="121"/>
      <c r="DL84" s="121"/>
      <c r="DM84" s="121"/>
      <c r="DN84" s="121"/>
      <c r="DO84" s="123"/>
      <c r="DQ84" s="108" t="s">
        <v>29</v>
      </c>
      <c r="DR84" s="120"/>
      <c r="DS84" s="121"/>
      <c r="DT84" s="121"/>
      <c r="DU84" s="121"/>
      <c r="DV84" s="121"/>
      <c r="DW84" s="121"/>
      <c r="DX84" s="121"/>
      <c r="DY84" s="121"/>
      <c r="DZ84" s="121"/>
      <c r="EA84" s="121"/>
      <c r="EB84" s="121"/>
      <c r="EC84" s="121"/>
      <c r="ED84" s="121"/>
      <c r="EE84" s="123"/>
      <c r="EG84" s="108" t="s">
        <v>29</v>
      </c>
      <c r="EH84" s="120"/>
      <c r="EI84" s="121"/>
      <c r="EJ84" s="121"/>
      <c r="EK84" s="121"/>
      <c r="EL84" s="121"/>
      <c r="EM84" s="121"/>
      <c r="EN84" s="121"/>
      <c r="EO84" s="121"/>
      <c r="EP84" s="121"/>
      <c r="EQ84" s="121"/>
      <c r="ER84" s="121"/>
      <c r="ES84" s="121"/>
      <c r="ET84" s="121"/>
      <c r="EU84" s="123"/>
      <c r="EW84" s="108" t="s">
        <v>29</v>
      </c>
      <c r="EX84" s="120"/>
      <c r="EY84" s="121"/>
      <c r="EZ84" s="121"/>
      <c r="FA84" s="121"/>
      <c r="FB84" s="121"/>
      <c r="FC84" s="121"/>
      <c r="FD84" s="121"/>
      <c r="FE84" s="121"/>
      <c r="FF84" s="121"/>
      <c r="FG84" s="121"/>
      <c r="FH84" s="121"/>
      <c r="FI84" s="121"/>
      <c r="FJ84" s="121"/>
      <c r="FK84" s="121"/>
      <c r="FL84" s="123"/>
    </row>
    <row r="85" spans="2:168" x14ac:dyDescent="0.25">
      <c r="B85" t="s">
        <v>221</v>
      </c>
      <c r="C85" s="383" t="s">
        <v>206</v>
      </c>
      <c r="D85" s="383"/>
      <c r="E85" s="383"/>
      <c r="F85" s="383"/>
      <c r="G85" s="383"/>
      <c r="H85" s="383"/>
      <c r="I85" s="383"/>
      <c r="J85" s="383"/>
      <c r="K85" s="383"/>
      <c r="L85" s="383"/>
      <c r="M85" s="383"/>
      <c r="N85" s="383"/>
      <c r="O85" s="383"/>
      <c r="P85" s="383"/>
      <c r="Y85" t="s">
        <v>221</v>
      </c>
      <c r="Z85" s="383" t="s">
        <v>206</v>
      </c>
      <c r="AA85" s="383"/>
      <c r="AB85" s="383"/>
      <c r="AC85" s="383"/>
      <c r="AD85" s="383"/>
      <c r="AE85" s="383"/>
      <c r="AF85" s="383"/>
      <c r="AG85" s="383"/>
      <c r="AH85" s="383"/>
      <c r="AI85" s="383"/>
      <c r="AJ85" s="383"/>
      <c r="AK85" s="383"/>
      <c r="AL85" s="383"/>
      <c r="AM85" s="383"/>
      <c r="AO85" t="s">
        <v>221</v>
      </c>
      <c r="AP85" s="383" t="s">
        <v>206</v>
      </c>
      <c r="AQ85" s="383"/>
      <c r="AR85" s="383"/>
      <c r="AS85" s="383"/>
      <c r="AT85" s="383"/>
      <c r="AU85" s="383"/>
      <c r="AV85" s="383"/>
      <c r="AW85" s="383"/>
      <c r="AX85" s="383"/>
      <c r="AY85" s="383"/>
      <c r="AZ85" s="383"/>
      <c r="BA85" s="383"/>
      <c r="BB85" s="383"/>
      <c r="BC85" s="383"/>
      <c r="BE85" t="s">
        <v>221</v>
      </c>
      <c r="BF85" s="383" t="s">
        <v>206</v>
      </c>
      <c r="BG85" s="383"/>
      <c r="BH85" s="383"/>
      <c r="BI85" s="383"/>
      <c r="BJ85" s="383"/>
      <c r="BK85" s="383"/>
      <c r="BL85" s="383"/>
      <c r="BM85" s="383"/>
      <c r="BN85" s="383"/>
      <c r="BO85" s="383"/>
      <c r="BP85" s="383"/>
      <c r="BQ85" s="383"/>
      <c r="BR85" s="383"/>
      <c r="BS85" s="383"/>
      <c r="BU85" t="s">
        <v>221</v>
      </c>
      <c r="BV85" s="383" t="s">
        <v>206</v>
      </c>
      <c r="BW85" s="383"/>
      <c r="BX85" s="383"/>
      <c r="BY85" s="383"/>
      <c r="BZ85" s="383"/>
      <c r="CA85" s="383"/>
      <c r="CB85" s="383"/>
      <c r="CC85" s="383"/>
      <c r="CD85" s="383"/>
      <c r="CE85" s="383"/>
      <c r="CF85" s="383"/>
      <c r="CG85" s="383"/>
      <c r="CH85" s="383"/>
      <c r="CI85" s="383"/>
      <c r="CK85" t="s">
        <v>221</v>
      </c>
      <c r="CL85" s="383" t="s">
        <v>206</v>
      </c>
      <c r="CM85" s="383"/>
      <c r="CN85" s="383"/>
      <c r="CO85" s="383"/>
      <c r="CP85" s="383"/>
      <c r="CQ85" s="383"/>
      <c r="CR85" s="383"/>
      <c r="CS85" s="383"/>
      <c r="CT85" s="383"/>
      <c r="CU85" s="383"/>
      <c r="CV85" s="383"/>
      <c r="CW85" s="383"/>
      <c r="CX85" s="383"/>
      <c r="CY85" s="383"/>
      <c r="DA85" t="s">
        <v>194</v>
      </c>
      <c r="DB85" s="383" t="s">
        <v>206</v>
      </c>
      <c r="DC85" s="383"/>
      <c r="DD85" s="383"/>
      <c r="DE85" s="383"/>
      <c r="DF85" s="383"/>
      <c r="DG85" s="383"/>
      <c r="DH85" s="383"/>
      <c r="DI85" s="383"/>
      <c r="DJ85" s="383"/>
      <c r="DK85" s="383"/>
      <c r="DL85" s="383"/>
      <c r="DM85" s="383"/>
      <c r="DN85" s="383"/>
      <c r="DO85" s="383"/>
      <c r="DQ85" t="s">
        <v>194</v>
      </c>
      <c r="DR85" s="383" t="s">
        <v>206</v>
      </c>
      <c r="DS85" s="383"/>
      <c r="DT85" s="383"/>
      <c r="DU85" s="383"/>
      <c r="DV85" s="383"/>
      <c r="DW85" s="383"/>
      <c r="DX85" s="383"/>
      <c r="DY85" s="383"/>
      <c r="DZ85" s="383"/>
      <c r="EA85" s="383"/>
      <c r="EB85" s="383"/>
      <c r="EC85" s="383"/>
      <c r="ED85" s="383"/>
      <c r="EE85" s="383"/>
      <c r="EG85" t="s">
        <v>194</v>
      </c>
      <c r="EH85" s="383" t="s">
        <v>206</v>
      </c>
      <c r="EI85" s="383"/>
      <c r="EJ85" s="383"/>
      <c r="EK85" s="383"/>
      <c r="EL85" s="383"/>
      <c r="EM85" s="383"/>
      <c r="EN85" s="383"/>
      <c r="EO85" s="383"/>
      <c r="EP85" s="383"/>
      <c r="EQ85" s="383"/>
      <c r="ER85" s="383"/>
      <c r="ES85" s="383"/>
      <c r="ET85" s="383"/>
      <c r="EU85" s="383"/>
      <c r="EW85" t="s">
        <v>194</v>
      </c>
      <c r="EX85" s="383" t="s">
        <v>207</v>
      </c>
      <c r="EY85" s="383"/>
      <c r="EZ85" s="383"/>
      <c r="FA85" s="383"/>
      <c r="FB85" s="383"/>
      <c r="FC85" s="383"/>
      <c r="FD85" s="383"/>
      <c r="FE85" s="383"/>
      <c r="FF85" s="383"/>
      <c r="FG85" s="383"/>
      <c r="FH85" s="383"/>
      <c r="FI85" s="383"/>
      <c r="FJ85" s="383"/>
      <c r="FK85" s="383"/>
      <c r="FL85" s="383"/>
    </row>
    <row r="86" spans="2:168" ht="35.450000000000003" customHeight="1" x14ac:dyDescent="0.25">
      <c r="B86" s="163" t="s">
        <v>207</v>
      </c>
      <c r="C86" s="164" t="s">
        <v>386</v>
      </c>
      <c r="D86" s="164" t="s">
        <v>387</v>
      </c>
      <c r="E86" s="164" t="s">
        <v>388</v>
      </c>
      <c r="F86" s="164" t="s">
        <v>389</v>
      </c>
      <c r="G86" s="164" t="s">
        <v>390</v>
      </c>
      <c r="H86" s="164" t="s">
        <v>391</v>
      </c>
      <c r="I86" s="164" t="s">
        <v>392</v>
      </c>
      <c r="J86" s="164" t="s">
        <v>393</v>
      </c>
      <c r="K86" s="164" t="s">
        <v>546</v>
      </c>
      <c r="L86" s="164" t="s">
        <v>396</v>
      </c>
      <c r="M86" s="164" t="s">
        <v>397</v>
      </c>
      <c r="N86" s="164" t="s">
        <v>398</v>
      </c>
      <c r="O86" s="164" t="s">
        <v>399</v>
      </c>
      <c r="P86" s="106" t="s">
        <v>29</v>
      </c>
      <c r="R86" s="164" t="s">
        <v>546</v>
      </c>
      <c r="S86" s="164" t="s">
        <v>396</v>
      </c>
      <c r="T86" s="164" t="s">
        <v>397</v>
      </c>
      <c r="U86" s="164" t="s">
        <v>546</v>
      </c>
      <c r="V86" s="164" t="s">
        <v>396</v>
      </c>
      <c r="W86" s="164" t="s">
        <v>397</v>
      </c>
      <c r="X86" s="296"/>
      <c r="Y86" s="163" t="s">
        <v>207</v>
      </c>
      <c r="Z86" s="164" t="s">
        <v>386</v>
      </c>
      <c r="AA86" s="164" t="s">
        <v>387</v>
      </c>
      <c r="AB86" s="164" t="s">
        <v>388</v>
      </c>
      <c r="AC86" s="164" t="s">
        <v>389</v>
      </c>
      <c r="AD86" s="164" t="s">
        <v>390</v>
      </c>
      <c r="AE86" s="164" t="s">
        <v>391</v>
      </c>
      <c r="AF86" s="164" t="s">
        <v>392</v>
      </c>
      <c r="AG86" s="164" t="s">
        <v>393</v>
      </c>
      <c r="AH86" s="164" t="s">
        <v>546</v>
      </c>
      <c r="AI86" s="164" t="s">
        <v>396</v>
      </c>
      <c r="AJ86" s="164" t="s">
        <v>397</v>
      </c>
      <c r="AK86" s="164" t="s">
        <v>398</v>
      </c>
      <c r="AL86" s="164" t="s">
        <v>399</v>
      </c>
      <c r="AM86" s="106" t="s">
        <v>29</v>
      </c>
      <c r="AN86" s="296"/>
      <c r="AO86" s="163" t="s">
        <v>207</v>
      </c>
      <c r="AP86" s="164" t="s">
        <v>386</v>
      </c>
      <c r="AQ86" s="164" t="s">
        <v>387</v>
      </c>
      <c r="AR86" s="164" t="s">
        <v>388</v>
      </c>
      <c r="AS86" s="164" t="s">
        <v>389</v>
      </c>
      <c r="AT86" s="164" t="s">
        <v>390</v>
      </c>
      <c r="AU86" s="164" t="s">
        <v>391</v>
      </c>
      <c r="AV86" s="164" t="s">
        <v>392</v>
      </c>
      <c r="AW86" s="164" t="s">
        <v>393</v>
      </c>
      <c r="AX86" s="164" t="s">
        <v>546</v>
      </c>
      <c r="AY86" s="164" t="s">
        <v>396</v>
      </c>
      <c r="AZ86" s="164" t="s">
        <v>397</v>
      </c>
      <c r="BA86" s="164" t="s">
        <v>398</v>
      </c>
      <c r="BB86" s="164" t="s">
        <v>399</v>
      </c>
      <c r="BC86" s="106" t="s">
        <v>29</v>
      </c>
      <c r="BE86" s="163" t="s">
        <v>207</v>
      </c>
      <c r="BF86" s="164" t="s">
        <v>538</v>
      </c>
      <c r="BG86" s="164"/>
      <c r="BH86" s="164" t="s">
        <v>576</v>
      </c>
      <c r="BI86" s="164"/>
      <c r="BJ86" s="164" t="s">
        <v>577</v>
      </c>
      <c r="BK86" s="164"/>
      <c r="BL86" s="164" t="s">
        <v>392</v>
      </c>
      <c r="BM86" s="164" t="s">
        <v>393</v>
      </c>
      <c r="BN86" s="164" t="s">
        <v>546</v>
      </c>
      <c r="BO86" s="164" t="s">
        <v>396</v>
      </c>
      <c r="BP86" s="164" t="s">
        <v>397</v>
      </c>
      <c r="BQ86" s="164" t="s">
        <v>398</v>
      </c>
      <c r="BR86" s="164" t="s">
        <v>399</v>
      </c>
      <c r="BS86" s="106" t="s">
        <v>29</v>
      </c>
      <c r="BU86" s="163" t="s">
        <v>207</v>
      </c>
      <c r="BV86" s="164" t="s">
        <v>538</v>
      </c>
      <c r="BW86" s="164"/>
      <c r="BX86" s="164" t="s">
        <v>576</v>
      </c>
      <c r="BY86" s="164"/>
      <c r="BZ86" s="164" t="s">
        <v>577</v>
      </c>
      <c r="CA86" s="164"/>
      <c r="CB86" s="164" t="s">
        <v>392</v>
      </c>
      <c r="CC86" s="164" t="s">
        <v>393</v>
      </c>
      <c r="CD86" s="164" t="s">
        <v>546</v>
      </c>
      <c r="CE86" s="164" t="s">
        <v>396</v>
      </c>
      <c r="CF86" s="164" t="s">
        <v>397</v>
      </c>
      <c r="CG86" s="164" t="s">
        <v>398</v>
      </c>
      <c r="CH86" s="164" t="s">
        <v>399</v>
      </c>
      <c r="CI86" s="106" t="s">
        <v>29</v>
      </c>
      <c r="CK86" s="163" t="s">
        <v>207</v>
      </c>
      <c r="CL86" s="164" t="s">
        <v>386</v>
      </c>
      <c r="CM86" s="164" t="s">
        <v>387</v>
      </c>
      <c r="CN86" s="164" t="s">
        <v>388</v>
      </c>
      <c r="CO86" s="164" t="s">
        <v>389</v>
      </c>
      <c r="CP86" s="164" t="s">
        <v>390</v>
      </c>
      <c r="CQ86" s="164" t="s">
        <v>391</v>
      </c>
      <c r="CR86" s="164" t="s">
        <v>392</v>
      </c>
      <c r="CS86" s="164" t="s">
        <v>393</v>
      </c>
      <c r="CT86" s="164" t="s">
        <v>546</v>
      </c>
      <c r="CU86" s="164" t="s">
        <v>396</v>
      </c>
      <c r="CV86" s="164" t="s">
        <v>397</v>
      </c>
      <c r="CW86" s="164" t="s">
        <v>398</v>
      </c>
      <c r="CX86" s="164" t="s">
        <v>399</v>
      </c>
      <c r="CY86" s="106" t="s">
        <v>29</v>
      </c>
      <c r="DA86" s="163" t="s">
        <v>207</v>
      </c>
      <c r="DB86" s="164" t="s">
        <v>538</v>
      </c>
      <c r="DC86" s="164"/>
      <c r="DD86" s="164" t="s">
        <v>576</v>
      </c>
      <c r="DE86" s="164"/>
      <c r="DF86" s="164" t="s">
        <v>577</v>
      </c>
      <c r="DG86" s="164"/>
      <c r="DH86" s="164" t="s">
        <v>392</v>
      </c>
      <c r="DI86" s="164" t="s">
        <v>393</v>
      </c>
      <c r="DJ86" s="164" t="s">
        <v>546</v>
      </c>
      <c r="DK86" s="164" t="s">
        <v>396</v>
      </c>
      <c r="DL86" s="164" t="s">
        <v>397</v>
      </c>
      <c r="DM86" s="164" t="s">
        <v>398</v>
      </c>
      <c r="DN86" s="164" t="s">
        <v>399</v>
      </c>
      <c r="DO86" s="106" t="s">
        <v>29</v>
      </c>
      <c r="DQ86" s="163" t="s">
        <v>207</v>
      </c>
      <c r="DR86" s="164" t="s">
        <v>538</v>
      </c>
      <c r="DS86" s="164"/>
      <c r="DT86" s="164" t="s">
        <v>576</v>
      </c>
      <c r="DU86" s="164"/>
      <c r="DV86" s="164" t="s">
        <v>577</v>
      </c>
      <c r="DW86" s="164"/>
      <c r="DX86" s="164" t="s">
        <v>392</v>
      </c>
      <c r="DY86" s="164" t="s">
        <v>393</v>
      </c>
      <c r="DZ86" s="164" t="s">
        <v>546</v>
      </c>
      <c r="EA86" s="164" t="s">
        <v>396</v>
      </c>
      <c r="EB86" s="164" t="s">
        <v>397</v>
      </c>
      <c r="EC86" s="164" t="s">
        <v>398</v>
      </c>
      <c r="ED86" s="164" t="s">
        <v>399</v>
      </c>
      <c r="EE86" s="106" t="s">
        <v>29</v>
      </c>
      <c r="EG86" s="163" t="s">
        <v>207</v>
      </c>
      <c r="EH86" s="164" t="s">
        <v>538</v>
      </c>
      <c r="EI86" s="164"/>
      <c r="EJ86" s="164" t="s">
        <v>576</v>
      </c>
      <c r="EK86" s="164"/>
      <c r="EL86" s="164" t="s">
        <v>577</v>
      </c>
      <c r="EM86" s="164"/>
      <c r="EN86" s="164" t="s">
        <v>392</v>
      </c>
      <c r="EO86" s="164" t="s">
        <v>393</v>
      </c>
      <c r="EP86" s="164" t="s">
        <v>546</v>
      </c>
      <c r="EQ86" s="164" t="s">
        <v>396</v>
      </c>
      <c r="ER86" s="164" t="s">
        <v>397</v>
      </c>
      <c r="ES86" s="164" t="s">
        <v>398</v>
      </c>
      <c r="ET86" s="164" t="s">
        <v>399</v>
      </c>
      <c r="EU86" s="106" t="s">
        <v>29</v>
      </c>
      <c r="EW86" s="163" t="s">
        <v>206</v>
      </c>
      <c r="EX86" s="164" t="s">
        <v>386</v>
      </c>
      <c r="EY86" s="164" t="s">
        <v>387</v>
      </c>
      <c r="EZ86" s="164" t="s">
        <v>388</v>
      </c>
      <c r="FA86" s="164" t="s">
        <v>389</v>
      </c>
      <c r="FB86" s="164" t="s">
        <v>390</v>
      </c>
      <c r="FC86" s="164" t="s">
        <v>391</v>
      </c>
      <c r="FD86" s="164" t="s">
        <v>392</v>
      </c>
      <c r="FE86" s="164" t="s">
        <v>393</v>
      </c>
      <c r="FF86" s="164"/>
      <c r="FG86" s="164" t="s">
        <v>546</v>
      </c>
      <c r="FH86" s="164" t="s">
        <v>396</v>
      </c>
      <c r="FI86" s="164" t="s">
        <v>397</v>
      </c>
      <c r="FJ86" s="164" t="s">
        <v>398</v>
      </c>
      <c r="FK86" s="164" t="s">
        <v>399</v>
      </c>
      <c r="FL86" s="106" t="s">
        <v>29</v>
      </c>
    </row>
    <row r="87" spans="2:168" x14ac:dyDescent="0.25">
      <c r="B87" s="107" t="s">
        <v>386</v>
      </c>
      <c r="C87" s="160">
        <f>TripMode_inputCBD!B68</f>
        <v>90368.509300000005</v>
      </c>
      <c r="D87" s="160">
        <f>TripMode_inputCBD!C68</f>
        <v>618.09925999999996</v>
      </c>
      <c r="E87" s="160">
        <f>TripMode_inputCBD!D68</f>
        <v>7472.5432600000004</v>
      </c>
      <c r="F87" s="160">
        <f>TripMode_inputCBD!E68</f>
        <v>0</v>
      </c>
      <c r="G87" s="160">
        <f>TripMode_inputCBD!F68</f>
        <v>6103.5802700000004</v>
      </c>
      <c r="H87" s="160">
        <f>TripMode_inputCBD!G68</f>
        <v>0</v>
      </c>
      <c r="I87" s="294"/>
      <c r="J87" s="294"/>
      <c r="K87" s="294"/>
      <c r="L87" s="294"/>
      <c r="M87" s="294"/>
      <c r="N87" s="294"/>
      <c r="O87" s="294"/>
      <c r="P87" s="161">
        <f t="shared" ref="P87:P99" si="128">SUM(C87:O87)</f>
        <v>104562.73209000002</v>
      </c>
      <c r="R87">
        <f>IF(K$95&gt;0,K87/K$95,0)</f>
        <v>0</v>
      </c>
      <c r="S87">
        <f>IF(L$96&gt;0,L87/L$96,0)</f>
        <v>0</v>
      </c>
      <c r="T87">
        <f>IF(M$97&gt;0,M87/M$97,0)</f>
        <v>0</v>
      </c>
      <c r="Y87" s="107" t="s">
        <v>386</v>
      </c>
      <c r="Z87" s="160">
        <f>+C87</f>
        <v>90368.509300000005</v>
      </c>
      <c r="AA87" s="160">
        <f t="shared" ref="AA87:AF93" si="129">+D87</f>
        <v>618.09925999999996</v>
      </c>
      <c r="AB87" s="160">
        <f t="shared" si="129"/>
        <v>7472.5432600000004</v>
      </c>
      <c r="AC87" s="160">
        <f t="shared" si="129"/>
        <v>0</v>
      </c>
      <c r="AD87" s="160">
        <f t="shared" si="129"/>
        <v>6103.5802700000004</v>
      </c>
      <c r="AE87" s="160">
        <f t="shared" si="129"/>
        <v>0</v>
      </c>
      <c r="AF87" s="294"/>
      <c r="AG87" s="294"/>
      <c r="AH87" s="294"/>
      <c r="AI87" s="294"/>
      <c r="AJ87" s="294"/>
      <c r="AK87" s="294"/>
      <c r="AL87" s="294"/>
      <c r="AM87" s="161">
        <f t="shared" ref="AM87:AM99" si="130">SUM(Z87:AL87)</f>
        <v>104562.73209000002</v>
      </c>
      <c r="AO87" s="107" t="s">
        <v>386</v>
      </c>
      <c r="AP87" s="160">
        <f>TripMode_inputCBD!R68*Index!$B$2</f>
        <v>110390</v>
      </c>
      <c r="AQ87" s="160">
        <f>TripMode_inputCBD!S68*Index!$B$2</f>
        <v>1685</v>
      </c>
      <c r="AR87" s="160">
        <f>TripMode_inputCBD!T68*Index!$B$2</f>
        <v>6240</v>
      </c>
      <c r="AS87" s="160">
        <f>TripMode_inputCBD!U68*Index!$B$2</f>
        <v>150</v>
      </c>
      <c r="AT87" s="160">
        <f>TripMode_inputCBD!V68*Index!$B$2</f>
        <v>1830</v>
      </c>
      <c r="AU87" s="160">
        <f>TripMode_inputCBD!W68*Index!$B$2</f>
        <v>40</v>
      </c>
      <c r="AV87" s="294">
        <f>TripMode_inputCBD!X68*Index!$B$2</f>
        <v>0</v>
      </c>
      <c r="AW87" s="294">
        <f>TripMode_inputCBD!Y68*Index!$B$2</f>
        <v>0</v>
      </c>
      <c r="AX87" s="294">
        <f>TripMode_inputCBD!AA68*Index!$B$2</f>
        <v>0</v>
      </c>
      <c r="AY87" s="294">
        <f>TripMode_inputCBD!AB68*Index!$B$2</f>
        <v>0</v>
      </c>
      <c r="AZ87" s="160">
        <f>TripMode_inputCBD!AC68*Index!$B$2</f>
        <v>0</v>
      </c>
      <c r="BA87" s="294">
        <f>TripMode_inputCBD!AD68*Index!$B$2</f>
        <v>0</v>
      </c>
      <c r="BB87" s="294">
        <f>TripMode_inputCBD!AE68*Index!$B$2</f>
        <v>0</v>
      </c>
      <c r="BC87" s="161">
        <f t="shared" ref="BC87:BC99" si="131">SUM(AP87:BB87)</f>
        <v>120335</v>
      </c>
      <c r="BE87" s="107" t="s">
        <v>538</v>
      </c>
      <c r="BF87" s="166">
        <f>IF(Z$100+AA$100&gt;0,SUM(Z87:AA88)/(Z$100+AA$100),"")</f>
        <v>1</v>
      </c>
      <c r="BG87" s="166"/>
      <c r="BH87" s="166">
        <f>IF(AB$100+AC$100&gt;0,SUM(AB87:AC88)/(AB$100+AC$100),"")</f>
        <v>0.14968870489463906</v>
      </c>
      <c r="BI87" s="166"/>
      <c r="BJ87" s="166">
        <f>IF(AD$100+AE$100&gt;0,SUM(AD87:AE88)/(AD$100+AE$100),"")</f>
        <v>0.18083742141215972</v>
      </c>
      <c r="BK87" s="166"/>
      <c r="BL87" s="166">
        <f t="shared" ref="BL87:BS87" si="132">IF(AF$100&gt;0,(AF87+AF88)/AF$100,"")</f>
        <v>0</v>
      </c>
      <c r="BM87" s="166">
        <f t="shared" si="132"/>
        <v>0</v>
      </c>
      <c r="BN87" s="166">
        <f t="shared" si="132"/>
        <v>0</v>
      </c>
      <c r="BO87" s="166">
        <f t="shared" si="132"/>
        <v>0</v>
      </c>
      <c r="BP87" s="166">
        <f t="shared" si="132"/>
        <v>0</v>
      </c>
      <c r="BQ87" s="166">
        <f t="shared" si="132"/>
        <v>0</v>
      </c>
      <c r="BR87" s="166">
        <f t="shared" si="132"/>
        <v>0</v>
      </c>
      <c r="BS87" s="166">
        <f t="shared" si="132"/>
        <v>0.30914190617207232</v>
      </c>
      <c r="BU87" s="107" t="s">
        <v>538</v>
      </c>
      <c r="BV87" s="166">
        <f>IF(AP$100+AQ$100&gt;0,SUM(AP87:AQ88)/(AP$100+AQ$100),"")</f>
        <v>1</v>
      </c>
      <c r="BW87" s="166"/>
      <c r="BX87" s="166">
        <f>IF(AR$100+AS$100&gt;0,SUM(AR87:AS88)/(AR$100+AS$100),"")</f>
        <v>0.22594726733019033</v>
      </c>
      <c r="BY87" s="166"/>
      <c r="BZ87" s="166">
        <f>IF(AT$100+AU$100&gt;0,SUM(AT87:AU88)/(AT$100+AU$100),"")</f>
        <v>0.13159722222222223</v>
      </c>
      <c r="CA87" s="166"/>
      <c r="CB87" s="166">
        <f t="shared" ref="CB87:CI87" si="133">IF(AV$100&gt;0,(AV87+AV88)/AV$100,"")</f>
        <v>0</v>
      </c>
      <c r="CC87" s="166">
        <f t="shared" si="133"/>
        <v>0</v>
      </c>
      <c r="CD87" s="166">
        <f t="shared" si="133"/>
        <v>0</v>
      </c>
      <c r="CE87" s="166">
        <f t="shared" si="133"/>
        <v>0</v>
      </c>
      <c r="CF87" s="166">
        <f t="shared" si="133"/>
        <v>0</v>
      </c>
      <c r="CG87" s="166">
        <f t="shared" si="133"/>
        <v>0</v>
      </c>
      <c r="CH87" s="166" t="str">
        <f t="shared" si="133"/>
        <v/>
      </c>
      <c r="CI87" s="166">
        <f t="shared" si="133"/>
        <v>0.4030735418990693</v>
      </c>
      <c r="CK87" s="107" t="s">
        <v>386</v>
      </c>
      <c r="CL87" s="166">
        <f t="shared" ref="CL87:CO90" si="134">IF(OR(ISNA(BF87),BF87=0,BF87=""),"",(BV87-BF87)/BF87)</f>
        <v>0</v>
      </c>
      <c r="CM87" s="166" t="str">
        <f t="shared" si="134"/>
        <v/>
      </c>
      <c r="CN87" s="166">
        <f t="shared" si="134"/>
        <v>0.50944767335135377</v>
      </c>
      <c r="CO87" s="166" t="str">
        <f t="shared" si="134"/>
        <v/>
      </c>
      <c r="CP87" s="166"/>
      <c r="CQ87" s="166"/>
      <c r="CR87" s="166"/>
      <c r="CS87" s="166"/>
      <c r="CT87" s="166" t="str">
        <f t="shared" ref="CT87:CY90" si="135">IF(OR(ISNA(BN87),BN87=0,BN87=""),"",(CD87-BN87)/BN87)</f>
        <v/>
      </c>
      <c r="CU87" s="166" t="str">
        <f t="shared" si="135"/>
        <v/>
      </c>
      <c r="CV87" s="166" t="str">
        <f t="shared" si="135"/>
        <v/>
      </c>
      <c r="CW87" s="166" t="str">
        <f t="shared" si="135"/>
        <v/>
      </c>
      <c r="CX87" s="166" t="str">
        <f t="shared" si="135"/>
        <v/>
      </c>
      <c r="CY87" s="167">
        <f t="shared" si="135"/>
        <v>0.30384633675226624</v>
      </c>
      <c r="DA87" s="107" t="s">
        <v>538</v>
      </c>
      <c r="DB87" s="314">
        <f>IFERROR(IF(BV87&gt;0,LN(BF87/BV87),0),0)</f>
        <v>0</v>
      </c>
      <c r="DC87" s="314"/>
      <c r="DD87" s="314">
        <f>IFERROR(IF(BX87&gt;0,LN(BH87/BX87),0),0)</f>
        <v>-0.41174380467577609</v>
      </c>
      <c r="DE87" s="314"/>
      <c r="DF87" s="314">
        <f>IFERROR(IF(BZ87&gt;0,LN(BJ87/BZ87),0),0)</f>
        <v>0.3178524924439205</v>
      </c>
      <c r="DG87" s="314"/>
      <c r="DH87" s="315"/>
      <c r="DI87" s="315"/>
      <c r="DJ87" s="315"/>
      <c r="DK87" s="315"/>
      <c r="DL87" s="315"/>
      <c r="DM87" s="315"/>
      <c r="DN87" s="315"/>
      <c r="DO87" s="167"/>
      <c r="DQ87" s="107" t="s">
        <v>538</v>
      </c>
      <c r="DR87" s="314">
        <v>0</v>
      </c>
      <c r="DS87" s="314">
        <v>0</v>
      </c>
      <c r="DT87" s="314">
        <v>0</v>
      </c>
      <c r="DU87" s="314">
        <v>0</v>
      </c>
      <c r="DV87" s="314">
        <v>0</v>
      </c>
      <c r="DW87" s="314">
        <v>0</v>
      </c>
      <c r="DX87" s="315"/>
      <c r="DY87" s="315"/>
      <c r="DZ87" s="315"/>
      <c r="EA87" s="315"/>
      <c r="EB87" s="315"/>
      <c r="EC87" s="315"/>
      <c r="ED87" s="315"/>
      <c r="EE87" s="167"/>
      <c r="EG87" s="107" t="s">
        <v>538</v>
      </c>
      <c r="EH87" s="314">
        <v>0</v>
      </c>
      <c r="EI87" s="314">
        <v>0</v>
      </c>
      <c r="EJ87" s="314">
        <v>0</v>
      </c>
      <c r="EK87" s="314">
        <v>0</v>
      </c>
      <c r="EL87" s="314">
        <v>0</v>
      </c>
      <c r="EM87" s="314">
        <v>0</v>
      </c>
      <c r="EN87" s="315"/>
      <c r="EO87" s="315"/>
      <c r="EP87" s="315"/>
      <c r="EQ87" s="315"/>
      <c r="ER87" s="315"/>
      <c r="ES87" s="315"/>
      <c r="ET87" s="315"/>
      <c r="EU87" s="167"/>
      <c r="EW87" s="164" t="s">
        <v>386</v>
      </c>
      <c r="EX87" s="316">
        <f>INDEX($EH$87:$ET$99,EX$4,MATCH($EW87,$EW$7:$EW$19,0))</f>
        <v>0</v>
      </c>
      <c r="EY87" s="316">
        <f t="shared" ref="EY87:FK99" si="136">INDEX($EH$87:$ET$99,EY$4,MATCH($EW87,$EW$7:$EW$19,0))</f>
        <v>0</v>
      </c>
      <c r="EZ87" s="316">
        <f t="shared" si="136"/>
        <v>0</v>
      </c>
      <c r="FA87" s="316">
        <f t="shared" si="136"/>
        <v>0</v>
      </c>
      <c r="FB87" s="316">
        <f t="shared" si="136"/>
        <v>0</v>
      </c>
      <c r="FC87" s="316">
        <f t="shared" si="136"/>
        <v>0</v>
      </c>
      <c r="FD87" s="316">
        <f t="shared" si="136"/>
        <v>0</v>
      </c>
      <c r="FE87" s="316">
        <f t="shared" si="136"/>
        <v>0</v>
      </c>
      <c r="FF87" s="316"/>
      <c r="FG87" s="316">
        <f t="shared" si="136"/>
        <v>0</v>
      </c>
      <c r="FH87" s="316">
        <f t="shared" si="136"/>
        <v>0</v>
      </c>
      <c r="FI87" s="316">
        <f t="shared" si="136"/>
        <v>0</v>
      </c>
      <c r="FJ87" s="316">
        <f t="shared" si="136"/>
        <v>0</v>
      </c>
      <c r="FK87" s="316">
        <f t="shared" si="136"/>
        <v>0</v>
      </c>
      <c r="FL87" s="167"/>
    </row>
    <row r="88" spans="2:168" x14ac:dyDescent="0.25">
      <c r="B88" s="107" t="s">
        <v>387</v>
      </c>
      <c r="C88" s="160">
        <f>TripMode_inputCBD!B69</f>
        <v>0</v>
      </c>
      <c r="D88" s="160">
        <f>TripMode_inputCBD!C69</f>
        <v>2213.9782500000001</v>
      </c>
      <c r="E88" s="160">
        <f>TripMode_inputCBD!D69</f>
        <v>0</v>
      </c>
      <c r="F88" s="160">
        <f>TripMode_inputCBD!E69</f>
        <v>0</v>
      </c>
      <c r="G88" s="160">
        <f>TripMode_inputCBD!F69</f>
        <v>0</v>
      </c>
      <c r="H88" s="160">
        <f>TripMode_inputCBD!G69</f>
        <v>0</v>
      </c>
      <c r="I88" s="294"/>
      <c r="J88" s="294"/>
      <c r="K88" s="294"/>
      <c r="L88" s="294"/>
      <c r="M88" s="294"/>
      <c r="N88" s="294"/>
      <c r="O88" s="294"/>
      <c r="P88" s="162">
        <f t="shared" si="128"/>
        <v>2213.9782500000001</v>
      </c>
      <c r="R88">
        <f t="shared" ref="R88:R99" si="137">IF(K$95&gt;0,K88/K$95,0)</f>
        <v>0</v>
      </c>
      <c r="S88">
        <f t="shared" ref="S88:S99" si="138">IF(L$96&gt;0,L88/L$96,0)</f>
        <v>0</v>
      </c>
      <c r="T88">
        <f t="shared" ref="T88:T99" si="139">IF(M$97&gt;0,M88/M$97,0)</f>
        <v>0</v>
      </c>
      <c r="Y88" s="107" t="s">
        <v>387</v>
      </c>
      <c r="Z88" s="160">
        <f>+C88</f>
        <v>0</v>
      </c>
      <c r="AA88" s="160">
        <f t="shared" si="129"/>
        <v>2213.9782500000001</v>
      </c>
      <c r="AB88" s="160">
        <f t="shared" si="129"/>
        <v>0</v>
      </c>
      <c r="AC88" s="160">
        <f t="shared" si="129"/>
        <v>0</v>
      </c>
      <c r="AD88" s="160">
        <f t="shared" si="129"/>
        <v>0</v>
      </c>
      <c r="AE88" s="160">
        <f t="shared" si="129"/>
        <v>0</v>
      </c>
      <c r="AF88" s="294"/>
      <c r="AG88" s="294"/>
      <c r="AH88" s="294"/>
      <c r="AI88" s="294"/>
      <c r="AJ88" s="294"/>
      <c r="AK88" s="294"/>
      <c r="AL88" s="294"/>
      <c r="AM88" s="162">
        <f t="shared" si="130"/>
        <v>2213.9782500000001</v>
      </c>
      <c r="AO88" s="107" t="s">
        <v>387</v>
      </c>
      <c r="AP88" s="160">
        <f>TripMode_inputCBD!R69*Index!$B$2</f>
        <v>275</v>
      </c>
      <c r="AQ88" s="160">
        <f>TripMode_inputCBD!S69*Index!$B$2</f>
        <v>330</v>
      </c>
      <c r="AR88" s="160">
        <f>TripMode_inputCBD!T69*Index!$B$2</f>
        <v>30</v>
      </c>
      <c r="AS88" s="160">
        <f>TripMode_inputCBD!U69*Index!$B$2</f>
        <v>50</v>
      </c>
      <c r="AT88" s="160">
        <f>TripMode_inputCBD!V69*Index!$B$2</f>
        <v>5</v>
      </c>
      <c r="AU88" s="160">
        <f>TripMode_inputCBD!W69*Index!$B$2</f>
        <v>20</v>
      </c>
      <c r="AV88" s="294">
        <f>TripMode_inputCBD!X69*Index!$B$2</f>
        <v>0</v>
      </c>
      <c r="AW88" s="294">
        <f>TripMode_inputCBD!Y69*Index!$B$2</f>
        <v>0</v>
      </c>
      <c r="AX88" s="294">
        <f>TripMode_inputCBD!AA69*Index!$B$2</f>
        <v>0</v>
      </c>
      <c r="AY88" s="294">
        <f>TripMode_inputCBD!AB69*Index!$B$2</f>
        <v>0</v>
      </c>
      <c r="AZ88" s="160">
        <f>TripMode_inputCBD!AC69*Index!$B$2</f>
        <v>0</v>
      </c>
      <c r="BA88" s="294">
        <f>TripMode_inputCBD!AD69*Index!$B$2</f>
        <v>0</v>
      </c>
      <c r="BB88" s="294">
        <f>TripMode_inputCBD!AE69*Index!$B$2</f>
        <v>0</v>
      </c>
      <c r="BC88" s="162">
        <f t="shared" si="131"/>
        <v>710</v>
      </c>
      <c r="BE88" s="107"/>
      <c r="BF88" s="166"/>
      <c r="BG88" s="166"/>
      <c r="BH88" s="166"/>
      <c r="BI88" s="166"/>
      <c r="BJ88" s="166"/>
      <c r="BK88" s="166"/>
      <c r="BL88" s="166"/>
      <c r="BM88" s="166"/>
      <c r="BN88" s="166"/>
      <c r="BO88" s="166"/>
      <c r="BP88" s="166"/>
      <c r="BQ88" s="166"/>
      <c r="BR88" s="166"/>
      <c r="BS88" s="166"/>
      <c r="BU88" s="107"/>
      <c r="BV88" s="166"/>
      <c r="BW88" s="166"/>
      <c r="BX88" s="166"/>
      <c r="BY88" s="166"/>
      <c r="BZ88" s="166"/>
      <c r="CA88" s="166"/>
      <c r="CB88" s="166"/>
      <c r="CC88" s="166"/>
      <c r="CD88" s="166"/>
      <c r="CE88" s="166"/>
      <c r="CF88" s="166"/>
      <c r="CG88" s="166"/>
      <c r="CH88" s="166"/>
      <c r="CI88" s="166"/>
      <c r="CK88" s="107" t="s">
        <v>387</v>
      </c>
      <c r="CL88" s="166" t="str">
        <f t="shared" si="134"/>
        <v/>
      </c>
      <c r="CM88" s="166" t="str">
        <f t="shared" si="134"/>
        <v/>
      </c>
      <c r="CN88" s="166" t="str">
        <f t="shared" si="134"/>
        <v/>
      </c>
      <c r="CO88" s="166" t="str">
        <f t="shared" si="134"/>
        <v/>
      </c>
      <c r="CP88" s="166"/>
      <c r="CQ88" s="166"/>
      <c r="CR88" s="166"/>
      <c r="CS88" s="166"/>
      <c r="CT88" s="166" t="str">
        <f t="shared" si="135"/>
        <v/>
      </c>
      <c r="CU88" s="166" t="str">
        <f t="shared" si="135"/>
        <v/>
      </c>
      <c r="CV88" s="166" t="str">
        <f t="shared" si="135"/>
        <v/>
      </c>
      <c r="CW88" s="166" t="str">
        <f t="shared" si="135"/>
        <v/>
      </c>
      <c r="CX88" s="166" t="str">
        <f t="shared" si="135"/>
        <v/>
      </c>
      <c r="CY88" s="168" t="str">
        <f t="shared" si="135"/>
        <v/>
      </c>
      <c r="DA88" s="107"/>
      <c r="DB88" s="314"/>
      <c r="DC88" s="314"/>
      <c r="DD88" s="314"/>
      <c r="DE88" s="314"/>
      <c r="DF88" s="314"/>
      <c r="DG88" s="314"/>
      <c r="DH88" s="315"/>
      <c r="DI88" s="315"/>
      <c r="DJ88" s="315"/>
      <c r="DK88" s="315"/>
      <c r="DL88" s="315"/>
      <c r="DM88" s="315"/>
      <c r="DN88" s="315"/>
      <c r="DO88" s="168"/>
      <c r="DQ88" s="107"/>
      <c r="DR88" s="314">
        <v>0</v>
      </c>
      <c r="DS88" s="314">
        <v>0</v>
      </c>
      <c r="DT88" s="314">
        <v>0</v>
      </c>
      <c r="DU88" s="314">
        <v>0</v>
      </c>
      <c r="DV88" s="314">
        <v>0</v>
      </c>
      <c r="DW88" s="314">
        <v>0</v>
      </c>
      <c r="DX88" s="315"/>
      <c r="DY88" s="315"/>
      <c r="DZ88" s="315"/>
      <c r="EA88" s="315"/>
      <c r="EB88" s="315"/>
      <c r="EC88" s="315"/>
      <c r="ED88" s="315"/>
      <c r="EE88" s="168"/>
      <c r="EG88" s="107"/>
      <c r="EH88" s="314">
        <v>0</v>
      </c>
      <c r="EI88" s="314">
        <v>0</v>
      </c>
      <c r="EJ88" s="314">
        <v>0</v>
      </c>
      <c r="EK88" s="314">
        <v>0</v>
      </c>
      <c r="EL88" s="314">
        <v>0</v>
      </c>
      <c r="EM88" s="314">
        <v>0</v>
      </c>
      <c r="EN88" s="315"/>
      <c r="EO88" s="315"/>
      <c r="EP88" s="315"/>
      <c r="EQ88" s="315"/>
      <c r="ER88" s="315"/>
      <c r="ES88" s="315"/>
      <c r="ET88" s="315"/>
      <c r="EU88" s="168"/>
      <c r="EW88" s="164" t="s">
        <v>387</v>
      </c>
      <c r="EX88" s="316">
        <f t="shared" ref="EX88:EX99" si="140">INDEX($EH$87:$ET$99,EX$4,MATCH($EW88,$EW$7:$EW$19,0))</f>
        <v>0</v>
      </c>
      <c r="EY88" s="316">
        <f t="shared" si="136"/>
        <v>0</v>
      </c>
      <c r="EZ88" s="316">
        <f t="shared" si="136"/>
        <v>0</v>
      </c>
      <c r="FA88" s="316">
        <f t="shared" si="136"/>
        <v>0</v>
      </c>
      <c r="FB88" s="316">
        <f t="shared" si="136"/>
        <v>0</v>
      </c>
      <c r="FC88" s="316">
        <f t="shared" si="136"/>
        <v>0</v>
      </c>
      <c r="FD88" s="316">
        <f t="shared" si="136"/>
        <v>0</v>
      </c>
      <c r="FE88" s="316">
        <f t="shared" si="136"/>
        <v>0</v>
      </c>
      <c r="FF88" s="316"/>
      <c r="FG88" s="316">
        <f t="shared" si="136"/>
        <v>0</v>
      </c>
      <c r="FH88" s="316">
        <f t="shared" si="136"/>
        <v>0</v>
      </c>
      <c r="FI88" s="316">
        <f t="shared" si="136"/>
        <v>0</v>
      </c>
      <c r="FJ88" s="316">
        <f t="shared" si="136"/>
        <v>0</v>
      </c>
      <c r="FK88" s="316">
        <f t="shared" si="136"/>
        <v>0</v>
      </c>
      <c r="FL88" s="168"/>
    </row>
    <row r="89" spans="2:168" x14ac:dyDescent="0.25">
      <c r="B89" s="107" t="s">
        <v>388</v>
      </c>
      <c r="C89" s="294"/>
      <c r="D89" s="294"/>
      <c r="E89" s="160">
        <f>TripMode_inputCBD!D70</f>
        <v>37996.044739999998</v>
      </c>
      <c r="F89" s="160">
        <f>TripMode_inputCBD!E70</f>
        <v>0</v>
      </c>
      <c r="G89" s="160">
        <f>TripMode_inputCBD!F70</f>
        <v>12062.037189999999</v>
      </c>
      <c r="H89" s="160">
        <f>TripMode_inputCBD!G70</f>
        <v>0</v>
      </c>
      <c r="I89" s="294"/>
      <c r="J89" s="294"/>
      <c r="K89" s="160">
        <f>TripMode_inputCBD!J70+TripMode_inputCBD!K70</f>
        <v>917.38092000000006</v>
      </c>
      <c r="L89" s="294"/>
      <c r="M89" s="294"/>
      <c r="N89" s="160">
        <f>TripMode_inputCBD!N70</f>
        <v>43.532029999999999</v>
      </c>
      <c r="O89" s="294"/>
      <c r="P89" s="162">
        <f t="shared" si="128"/>
        <v>51018.994880000006</v>
      </c>
      <c r="R89">
        <f t="shared" si="137"/>
        <v>1.557776624742503E-2</v>
      </c>
      <c r="S89">
        <f t="shared" si="138"/>
        <v>0</v>
      </c>
      <c r="T89">
        <f t="shared" si="139"/>
        <v>0</v>
      </c>
      <c r="Y89" s="107" t="s">
        <v>388</v>
      </c>
      <c r="Z89" s="294"/>
      <c r="AA89" s="294"/>
      <c r="AB89" s="160">
        <f t="shared" si="129"/>
        <v>37996.044739999998</v>
      </c>
      <c r="AC89" s="160">
        <f t="shared" si="129"/>
        <v>0</v>
      </c>
      <c r="AD89" s="160">
        <f t="shared" si="129"/>
        <v>12062.037189999999</v>
      </c>
      <c r="AE89" s="160">
        <f t="shared" si="129"/>
        <v>0</v>
      </c>
      <c r="AF89" s="294"/>
      <c r="AG89" s="294"/>
      <c r="AH89" s="160">
        <f>AH95*R89</f>
        <v>879.48413095620833</v>
      </c>
      <c r="AI89" s="294"/>
      <c r="AJ89" s="294"/>
      <c r="AK89" s="160">
        <f>+N89</f>
        <v>43.532029999999999</v>
      </c>
      <c r="AL89" s="294"/>
      <c r="AM89" s="162">
        <f t="shared" si="130"/>
        <v>50981.098090956213</v>
      </c>
      <c r="AO89" s="107" t="s">
        <v>388</v>
      </c>
      <c r="AP89" s="294">
        <f>TripMode_inputCBD!R70*Index!$B$2</f>
        <v>0</v>
      </c>
      <c r="AQ89" s="294">
        <f>TripMode_inputCBD!S70*Index!$B$2</f>
        <v>0</v>
      </c>
      <c r="AR89" s="160">
        <f>TripMode_inputCBD!T70*Index!$B$2</f>
        <v>17830</v>
      </c>
      <c r="AS89" s="160">
        <f>TripMode_inputCBD!U70*Index!$B$2</f>
        <v>455</v>
      </c>
      <c r="AT89" s="160">
        <f>TripMode_inputCBD!V70*Index!$B$2</f>
        <v>2590</v>
      </c>
      <c r="AU89" s="160">
        <f>TripMode_inputCBD!W70*Index!$B$2</f>
        <v>85</v>
      </c>
      <c r="AV89" s="294">
        <f>TripMode_inputCBD!X70*Index!$B$2</f>
        <v>0</v>
      </c>
      <c r="AW89" s="294">
        <f>TripMode_inputCBD!Y70*Index!$B$2</f>
        <v>0</v>
      </c>
      <c r="AX89" s="160">
        <f>TripMode_inputCBD!AA70*Index!$B$2</f>
        <v>1390</v>
      </c>
      <c r="AY89" s="160">
        <f>TripMode_inputCBD!AB70*Index!$B$2</f>
        <v>0</v>
      </c>
      <c r="AZ89" s="160">
        <f>TripMode_inputCBD!AC70*Index!$B$2</f>
        <v>0</v>
      </c>
      <c r="BA89" s="160">
        <f>TripMode_inputCBD!AD70*Index!$B$2</f>
        <v>75</v>
      </c>
      <c r="BB89" s="294">
        <f>TripMode_inputCBD!AE70*Index!$B$2</f>
        <v>0</v>
      </c>
      <c r="BC89" s="162">
        <f t="shared" si="131"/>
        <v>22425</v>
      </c>
      <c r="BE89" s="107" t="s">
        <v>576</v>
      </c>
      <c r="BF89" s="166">
        <f>IF(Z$100+AA$100&gt;0,SUM(Z89:AA90)/(Z$100+AA$100),"")</f>
        <v>0</v>
      </c>
      <c r="BG89" s="166"/>
      <c r="BH89" s="166">
        <f>IF(AB$100+AC$100&gt;0,SUM(AB89:AC90)/(AB$100+AC$100),"")</f>
        <v>0.76113025115486077</v>
      </c>
      <c r="BI89" s="166"/>
      <c r="BJ89" s="166">
        <f>IF(AD$100+AE$100&gt;0,SUM(AD89:AE90)/(AD$100+AE$100),"")</f>
        <v>0.35737511524808252</v>
      </c>
      <c r="BK89" s="166"/>
      <c r="BL89" s="166">
        <f t="shared" ref="BL89:BS89" si="141">IF(AF$100&gt;0,(AF89+AF90)/AF$100,"")</f>
        <v>0</v>
      </c>
      <c r="BM89" s="166">
        <f t="shared" si="141"/>
        <v>0</v>
      </c>
      <c r="BN89" s="166">
        <f t="shared" si="141"/>
        <v>1.1460895210524132E-2</v>
      </c>
      <c r="BO89" s="166">
        <f t="shared" si="141"/>
        <v>0</v>
      </c>
      <c r="BP89" s="166">
        <f t="shared" si="141"/>
        <v>0</v>
      </c>
      <c r="BQ89" s="166">
        <f t="shared" si="141"/>
        <v>1.5449838185841586E-2</v>
      </c>
      <c r="BR89" s="166">
        <f t="shared" si="141"/>
        <v>0</v>
      </c>
      <c r="BS89" s="166">
        <f t="shared" si="141"/>
        <v>0.14760141787847852</v>
      </c>
      <c r="BU89" s="107" t="s">
        <v>576</v>
      </c>
      <c r="BV89" s="166">
        <f>IF(AP$100+AQ$100&gt;0,SUM(AP89:AQ90)/(AP$100+AQ$100),"")</f>
        <v>0</v>
      </c>
      <c r="BW89" s="166"/>
      <c r="BX89" s="166">
        <f>IF(AR$100+AS$100&gt;0,SUM(AR89:AS90)/(AR$100+AS$100),"")</f>
        <v>0.64291950410336995</v>
      </c>
      <c r="BY89" s="166"/>
      <c r="BZ89" s="166">
        <f>IF(AT$100+AU$100&gt;0,SUM(AT89:AU90)/(AT$100+AU$100),"")</f>
        <v>0.18888888888888888</v>
      </c>
      <c r="CA89" s="166"/>
      <c r="CB89" s="166">
        <f t="shared" ref="CB89:CI89" si="142">IF(AV$100&gt;0,(AV89+AV90)/AV$100,"")</f>
        <v>0</v>
      </c>
      <c r="CC89" s="166">
        <f t="shared" si="142"/>
        <v>0</v>
      </c>
      <c r="CD89" s="166">
        <f t="shared" si="142"/>
        <v>1.8911407849251001E-2</v>
      </c>
      <c r="CE89" s="166">
        <f t="shared" si="142"/>
        <v>0</v>
      </c>
      <c r="CF89" s="166">
        <f t="shared" si="142"/>
        <v>0</v>
      </c>
      <c r="CG89" s="166">
        <f t="shared" si="142"/>
        <v>2.6685393258426966E-2</v>
      </c>
      <c r="CH89" s="166" t="str">
        <f t="shared" si="142"/>
        <v/>
      </c>
      <c r="CI89" s="166">
        <f t="shared" si="142"/>
        <v>7.5323421188458403E-2</v>
      </c>
      <c r="CK89" s="107" t="s">
        <v>388</v>
      </c>
      <c r="CL89" s="166" t="str">
        <f t="shared" si="134"/>
        <v/>
      </c>
      <c r="CM89" s="166" t="str">
        <f t="shared" si="134"/>
        <v/>
      </c>
      <c r="CN89" s="166">
        <f t="shared" si="134"/>
        <v>-0.15530948464094022</v>
      </c>
      <c r="CO89" s="166" t="str">
        <f t="shared" si="134"/>
        <v/>
      </c>
      <c r="CP89" s="166"/>
      <c r="CQ89" s="166"/>
      <c r="CR89" s="166"/>
      <c r="CS89" s="166"/>
      <c r="CT89" s="166">
        <f t="shared" si="135"/>
        <v>0.65008121109818096</v>
      </c>
      <c r="CU89" s="166" t="str">
        <f t="shared" si="135"/>
        <v/>
      </c>
      <c r="CV89" s="166" t="str">
        <f t="shared" si="135"/>
        <v/>
      </c>
      <c r="CW89" s="166">
        <f t="shared" si="135"/>
        <v>0.72722800960347767</v>
      </c>
      <c r="CX89" s="166" t="str">
        <f t="shared" si="135"/>
        <v/>
      </c>
      <c r="CY89" s="168">
        <f t="shared" si="135"/>
        <v>-0.4896836204481938</v>
      </c>
      <c r="DA89" s="107" t="s">
        <v>576</v>
      </c>
      <c r="DB89" s="315"/>
      <c r="DC89" s="315"/>
      <c r="DD89" s="314">
        <f>IFERROR(IF(BX89&gt;0,LN(BH89/BX89),0),0)</f>
        <v>0.16878497272529247</v>
      </c>
      <c r="DE89" s="314"/>
      <c r="DF89" s="314">
        <f>IFERROR(IF(BZ89&gt;0,LN(BJ89/BZ89),0),0)</f>
        <v>0.6376270204193516</v>
      </c>
      <c r="DG89" s="314"/>
      <c r="DH89" s="315"/>
      <c r="DI89" s="315"/>
      <c r="DJ89" s="314">
        <f>IFERROR(IF(CD89&gt;0,LN(BN89/CD89),0),0)</f>
        <v>-0.50082450554866398</v>
      </c>
      <c r="DK89" s="315"/>
      <c r="DL89" s="315"/>
      <c r="DM89" s="314">
        <f>IFERROR(IF(CG89&gt;0,LN(BQ89/CG89),0),0)</f>
        <v>-0.54651781685600542</v>
      </c>
      <c r="DN89" s="315"/>
      <c r="DO89" s="168"/>
      <c r="DQ89" s="107" t="s">
        <v>576</v>
      </c>
      <c r="DR89" s="315"/>
      <c r="DS89" s="315"/>
      <c r="DT89" s="314">
        <v>-1.8032539997671402</v>
      </c>
      <c r="DU89" s="314">
        <v>-1.8032539997671402</v>
      </c>
      <c r="DV89" s="314">
        <v>-1.6164376561342471</v>
      </c>
      <c r="DW89" s="314">
        <v>-1.6164376561342471</v>
      </c>
      <c r="DX89" s="315"/>
      <c r="DY89" s="315"/>
      <c r="DZ89" s="314">
        <v>-6.1090580956721823</v>
      </c>
      <c r="EA89" s="315"/>
      <c r="EB89" s="315"/>
      <c r="EC89" s="314">
        <v>-6.7096161187892696</v>
      </c>
      <c r="ED89" s="315"/>
      <c r="EE89" s="168"/>
      <c r="EG89" s="107" t="s">
        <v>576</v>
      </c>
      <c r="EH89" s="315"/>
      <c r="EI89" s="315"/>
      <c r="EJ89" s="314">
        <f>DT89+(DD89-DD$87)*$EI$1</f>
        <v>-1.2227252223660716</v>
      </c>
      <c r="EK89" s="314">
        <f>DT89+(DD89-DD$87)*$EI$1</f>
        <v>-1.2227252223660716</v>
      </c>
      <c r="EL89" s="314">
        <f>DV896+(DF89-DF$87)*$EI$1</f>
        <v>0.3197745279754311</v>
      </c>
      <c r="EM89" s="314">
        <f>DV896+(DF89-DF$87)*$EI$1</f>
        <v>0.3197745279754311</v>
      </c>
      <c r="EN89" s="315"/>
      <c r="EO89" s="315"/>
      <c r="EP89" s="314">
        <f>DZ89+(DJ89-DJ$95)*$EI$1</f>
        <v>-6.7056348384372582</v>
      </c>
      <c r="EQ89" s="315"/>
      <c r="ER89" s="315"/>
      <c r="ES89" s="314">
        <f>EC89+(DM89-DM$98)*$EI$1</f>
        <v>-7.5494700521365612</v>
      </c>
      <c r="ET89" s="315"/>
      <c r="EU89" s="168"/>
      <c r="EW89" s="164" t="s">
        <v>388</v>
      </c>
      <c r="EX89" s="316">
        <f t="shared" si="140"/>
        <v>0</v>
      </c>
      <c r="EY89" s="316">
        <f t="shared" si="136"/>
        <v>0</v>
      </c>
      <c r="EZ89" s="316">
        <f t="shared" si="136"/>
        <v>-1.2227252223660716</v>
      </c>
      <c r="FA89" s="316">
        <f t="shared" si="136"/>
        <v>-1.2227252223660716</v>
      </c>
      <c r="FB89" s="316">
        <f t="shared" si="136"/>
        <v>0</v>
      </c>
      <c r="FC89" s="316">
        <f t="shared" si="136"/>
        <v>0</v>
      </c>
      <c r="FD89" s="316">
        <f t="shared" si="136"/>
        <v>0.64179309296953835</v>
      </c>
      <c r="FE89" s="316">
        <f t="shared" si="136"/>
        <v>0</v>
      </c>
      <c r="FF89" s="316"/>
      <c r="FG89" s="316">
        <f t="shared" si="136"/>
        <v>0</v>
      </c>
      <c r="FH89" s="316">
        <f t="shared" si="136"/>
        <v>0</v>
      </c>
      <c r="FI89" s="316">
        <f t="shared" si="136"/>
        <v>0</v>
      </c>
      <c r="FJ89" s="316">
        <f t="shared" si="136"/>
        <v>0</v>
      </c>
      <c r="FK89" s="316">
        <f t="shared" si="136"/>
        <v>0</v>
      </c>
      <c r="FL89" s="168"/>
    </row>
    <row r="90" spans="2:168" x14ac:dyDescent="0.25">
      <c r="B90" s="107" t="s">
        <v>389</v>
      </c>
      <c r="C90" s="294"/>
      <c r="D90" s="294"/>
      <c r="E90" s="160">
        <f>TripMode_inputCBD!D71</f>
        <v>0</v>
      </c>
      <c r="F90" s="160">
        <f>TripMode_inputCBD!E71</f>
        <v>0</v>
      </c>
      <c r="G90" s="160">
        <f>TripMode_inputCBD!F71</f>
        <v>0</v>
      </c>
      <c r="H90" s="160">
        <f>TripMode_inputCBD!G71</f>
        <v>0</v>
      </c>
      <c r="I90" s="294"/>
      <c r="J90" s="294"/>
      <c r="K90" s="160">
        <f>TripMode_inputCBD!J71+TripMode_inputCBD!K71</f>
        <v>0</v>
      </c>
      <c r="L90" s="294"/>
      <c r="M90" s="294"/>
      <c r="N90" s="160">
        <f>TripMode_inputCBD!N71</f>
        <v>0</v>
      </c>
      <c r="O90" s="294"/>
      <c r="P90" s="162">
        <f t="shared" si="128"/>
        <v>0</v>
      </c>
      <c r="R90">
        <f t="shared" si="137"/>
        <v>0</v>
      </c>
      <c r="S90">
        <f t="shared" si="138"/>
        <v>0</v>
      </c>
      <c r="T90">
        <f t="shared" si="139"/>
        <v>0</v>
      </c>
      <c r="Y90" s="107" t="s">
        <v>389</v>
      </c>
      <c r="Z90" s="294"/>
      <c r="AA90" s="294"/>
      <c r="AB90" s="160">
        <f t="shared" si="129"/>
        <v>0</v>
      </c>
      <c r="AC90" s="160">
        <f t="shared" si="129"/>
        <v>0</v>
      </c>
      <c r="AD90" s="160">
        <f t="shared" si="129"/>
        <v>0</v>
      </c>
      <c r="AE90" s="160">
        <f t="shared" si="129"/>
        <v>0</v>
      </c>
      <c r="AF90" s="294"/>
      <c r="AG90" s="294"/>
      <c r="AH90" s="160">
        <f>AH95*R90</f>
        <v>0</v>
      </c>
      <c r="AI90" s="294"/>
      <c r="AJ90" s="294"/>
      <c r="AK90" s="160">
        <f>+N90</f>
        <v>0</v>
      </c>
      <c r="AL90" s="294"/>
      <c r="AM90" s="162">
        <f t="shared" si="130"/>
        <v>0</v>
      </c>
      <c r="AO90" s="107" t="s">
        <v>389</v>
      </c>
      <c r="AP90" s="294">
        <f>TripMode_inputCBD!R71*Index!$B$2</f>
        <v>0</v>
      </c>
      <c r="AQ90" s="294">
        <f>TripMode_inputCBD!S71*Index!$B$2</f>
        <v>0</v>
      </c>
      <c r="AR90" s="160">
        <f>TripMode_inputCBD!T71*Index!$B$2</f>
        <v>50</v>
      </c>
      <c r="AS90" s="160">
        <f>TripMode_inputCBD!U71*Index!$B$2</f>
        <v>75</v>
      </c>
      <c r="AT90" s="160">
        <f>TripMode_inputCBD!V71*Index!$B$2</f>
        <v>10</v>
      </c>
      <c r="AU90" s="160">
        <f>TripMode_inputCBD!W71*Index!$B$2</f>
        <v>35</v>
      </c>
      <c r="AV90" s="294">
        <f>TripMode_inputCBD!X71*Index!$B$2</f>
        <v>0</v>
      </c>
      <c r="AW90" s="294">
        <f>TripMode_inputCBD!Y71*Index!$B$2</f>
        <v>0</v>
      </c>
      <c r="AX90" s="160">
        <f>TripMode_inputCBD!AA71*Index!$B$2</f>
        <v>5</v>
      </c>
      <c r="AY90" s="160">
        <f>TripMode_inputCBD!AB71*Index!$B$2</f>
        <v>0</v>
      </c>
      <c r="AZ90" s="160">
        <f>TripMode_inputCBD!AC71*Index!$B$2</f>
        <v>0</v>
      </c>
      <c r="BA90" s="160">
        <f>TripMode_inputCBD!AD71*Index!$B$2</f>
        <v>20</v>
      </c>
      <c r="BB90" s="294">
        <f>TripMode_inputCBD!AE71*Index!$B$2</f>
        <v>0</v>
      </c>
      <c r="BC90" s="162">
        <f t="shared" si="131"/>
        <v>195</v>
      </c>
      <c r="BE90" s="107"/>
      <c r="BF90" s="166"/>
      <c r="BG90" s="166"/>
      <c r="BH90" s="166"/>
      <c r="BI90" s="166"/>
      <c r="BJ90" s="166"/>
      <c r="BK90" s="166"/>
      <c r="BL90" s="166"/>
      <c r="BM90" s="166"/>
      <c r="BN90" s="166"/>
      <c r="BO90" s="166"/>
      <c r="BP90" s="166"/>
      <c r="BQ90" s="166"/>
      <c r="BR90" s="166"/>
      <c r="BS90" s="166"/>
      <c r="BU90" s="107"/>
      <c r="BV90" s="166"/>
      <c r="BW90" s="166"/>
      <c r="BX90" s="166"/>
      <c r="BY90" s="166"/>
      <c r="BZ90" s="166"/>
      <c r="CA90" s="166"/>
      <c r="CB90" s="166"/>
      <c r="CC90" s="166"/>
      <c r="CD90" s="166"/>
      <c r="CE90" s="166"/>
      <c r="CF90" s="166"/>
      <c r="CG90" s="166"/>
      <c r="CH90" s="166"/>
      <c r="CI90" s="166"/>
      <c r="CK90" s="107" t="s">
        <v>389</v>
      </c>
      <c r="CL90" s="166" t="str">
        <f t="shared" si="134"/>
        <v/>
      </c>
      <c r="CM90" s="166" t="str">
        <f t="shared" si="134"/>
        <v/>
      </c>
      <c r="CN90" s="166" t="str">
        <f t="shared" si="134"/>
        <v/>
      </c>
      <c r="CO90" s="166" t="str">
        <f t="shared" si="134"/>
        <v/>
      </c>
      <c r="CP90" s="166"/>
      <c r="CQ90" s="166"/>
      <c r="CR90" s="166"/>
      <c r="CS90" s="166"/>
      <c r="CT90" s="166" t="str">
        <f t="shared" si="135"/>
        <v/>
      </c>
      <c r="CU90" s="166" t="str">
        <f t="shared" si="135"/>
        <v/>
      </c>
      <c r="CV90" s="166" t="str">
        <f t="shared" si="135"/>
        <v/>
      </c>
      <c r="CW90" s="166" t="str">
        <f t="shared" si="135"/>
        <v/>
      </c>
      <c r="CX90" s="166" t="str">
        <f t="shared" si="135"/>
        <v/>
      </c>
      <c r="CY90" s="168" t="str">
        <f t="shared" si="135"/>
        <v/>
      </c>
      <c r="DA90" s="107"/>
      <c r="DB90" s="315"/>
      <c r="DC90" s="315"/>
      <c r="DD90" s="314"/>
      <c r="DE90" s="314"/>
      <c r="DF90" s="314"/>
      <c r="DG90" s="314"/>
      <c r="DH90" s="315"/>
      <c r="DI90" s="315"/>
      <c r="DJ90" s="314"/>
      <c r="DK90" s="315"/>
      <c r="DL90" s="315"/>
      <c r="DM90" s="314"/>
      <c r="DN90" s="315"/>
      <c r="DO90" s="168"/>
      <c r="DQ90" s="107"/>
      <c r="DR90" s="315"/>
      <c r="DS90" s="315"/>
      <c r="DT90" s="314">
        <v>-1.8032539997671402</v>
      </c>
      <c r="DU90" s="314">
        <v>-1.8032539997671402</v>
      </c>
      <c r="DV90" s="314">
        <v>-1.6164376561342471</v>
      </c>
      <c r="DW90" s="314">
        <v>-1.6164376561342471</v>
      </c>
      <c r="DX90" s="315"/>
      <c r="DY90" s="315"/>
      <c r="DZ90" s="314">
        <v>-6.1090580956721823</v>
      </c>
      <c r="EA90" s="315"/>
      <c r="EB90" s="315"/>
      <c r="EC90" s="314">
        <v>-6.7096161187892696</v>
      </c>
      <c r="ED90" s="315"/>
      <c r="EE90" s="168"/>
      <c r="EG90" s="107"/>
      <c r="EH90" s="315"/>
      <c r="EI90" s="315"/>
      <c r="EJ90" s="314">
        <f>DT89+(DD89-DD$87)*$EI$1</f>
        <v>-1.2227252223660716</v>
      </c>
      <c r="EK90" s="314">
        <f>DT89+(DD89-DD$87)*$EI$1</f>
        <v>-1.2227252223660716</v>
      </c>
      <c r="EL90" s="314">
        <f>DV896+(DF89-DF$87)*$EI$1</f>
        <v>0.3197745279754311</v>
      </c>
      <c r="EM90" s="314">
        <f>DV896+(DF89-DF$87)*$EI$1</f>
        <v>0.3197745279754311</v>
      </c>
      <c r="EN90" s="315"/>
      <c r="EO90" s="315"/>
      <c r="EP90" s="314">
        <f>DZ89+(DJ89-DJ$95)*$EI$1</f>
        <v>-6.7056348384372582</v>
      </c>
      <c r="EQ90" s="315"/>
      <c r="ER90" s="315"/>
      <c r="ES90" s="314">
        <f>EC89+(DM89-DM$98)*$EI$1</f>
        <v>-7.5494700521365612</v>
      </c>
      <c r="ET90" s="315"/>
      <c r="EU90" s="168"/>
      <c r="EW90" s="164" t="s">
        <v>389</v>
      </c>
      <c r="EX90" s="316">
        <f t="shared" si="140"/>
        <v>0</v>
      </c>
      <c r="EY90" s="316">
        <f t="shared" si="136"/>
        <v>0</v>
      </c>
      <c r="EZ90" s="316">
        <f t="shared" si="136"/>
        <v>-1.2227252223660716</v>
      </c>
      <c r="FA90" s="316">
        <f t="shared" si="136"/>
        <v>-1.2227252223660716</v>
      </c>
      <c r="FB90" s="316">
        <f t="shared" si="136"/>
        <v>0</v>
      </c>
      <c r="FC90" s="316">
        <f t="shared" si="136"/>
        <v>0</v>
      </c>
      <c r="FD90" s="316">
        <f t="shared" si="136"/>
        <v>0.64179309296953835</v>
      </c>
      <c r="FE90" s="316">
        <f t="shared" si="136"/>
        <v>0</v>
      </c>
      <c r="FF90" s="316"/>
      <c r="FG90" s="316">
        <f t="shared" si="136"/>
        <v>0</v>
      </c>
      <c r="FH90" s="316">
        <f t="shared" si="136"/>
        <v>0</v>
      </c>
      <c r="FI90" s="316">
        <f t="shared" si="136"/>
        <v>0</v>
      </c>
      <c r="FJ90" s="316">
        <f t="shared" si="136"/>
        <v>0</v>
      </c>
      <c r="FK90" s="316">
        <f t="shared" si="136"/>
        <v>0</v>
      </c>
      <c r="FL90" s="168"/>
    </row>
    <row r="91" spans="2:168" x14ac:dyDescent="0.25">
      <c r="B91" s="107" t="s">
        <v>390</v>
      </c>
      <c r="C91" s="294"/>
      <c r="D91" s="294"/>
      <c r="E91" s="294"/>
      <c r="F91" s="294"/>
      <c r="G91" s="160">
        <f>TripMode_inputCBD!F72</f>
        <v>15154.12797</v>
      </c>
      <c r="H91" s="160">
        <f>TripMode_inputCBD!G72</f>
        <v>0</v>
      </c>
      <c r="I91" s="294"/>
      <c r="J91" s="294"/>
      <c r="K91" s="160">
        <f>TripMode_inputCBD!J72+TripMode_inputCBD!K72</f>
        <v>0</v>
      </c>
      <c r="L91" s="294"/>
      <c r="M91" s="294"/>
      <c r="N91" s="160">
        <f>TripMode_inputCBD!N72</f>
        <v>0</v>
      </c>
      <c r="O91" s="294"/>
      <c r="P91" s="162">
        <f t="shared" si="128"/>
        <v>15154.12797</v>
      </c>
      <c r="R91">
        <f t="shared" si="137"/>
        <v>0</v>
      </c>
      <c r="S91">
        <f t="shared" si="138"/>
        <v>0</v>
      </c>
      <c r="T91">
        <f t="shared" si="139"/>
        <v>0</v>
      </c>
      <c r="Y91" s="107" t="s">
        <v>390</v>
      </c>
      <c r="Z91" s="294"/>
      <c r="AA91" s="294"/>
      <c r="AB91" s="294"/>
      <c r="AC91" s="294"/>
      <c r="AD91" s="160">
        <f t="shared" si="129"/>
        <v>15154.12797</v>
      </c>
      <c r="AE91" s="160">
        <f t="shared" si="129"/>
        <v>0</v>
      </c>
      <c r="AF91" s="294"/>
      <c r="AG91" s="294"/>
      <c r="AH91" s="160">
        <f>AH95*R91</f>
        <v>0</v>
      </c>
      <c r="AI91" s="294"/>
      <c r="AJ91" s="294"/>
      <c r="AK91" s="160">
        <f>+N91</f>
        <v>0</v>
      </c>
      <c r="AL91" s="294"/>
      <c r="AM91" s="162">
        <f t="shared" si="130"/>
        <v>15154.12797</v>
      </c>
      <c r="AO91" s="107" t="s">
        <v>390</v>
      </c>
      <c r="AP91" s="294">
        <f>TripMode_inputCBD!R72*Index!$B$2</f>
        <v>0</v>
      </c>
      <c r="AQ91" s="294">
        <f>TripMode_inputCBD!S72*Index!$B$2</f>
        <v>0</v>
      </c>
      <c r="AR91" s="294">
        <f>TripMode_inputCBD!T72*Index!$B$2</f>
        <v>0</v>
      </c>
      <c r="AS91" s="294">
        <f>TripMode_inputCBD!U72*Index!$B$2</f>
        <v>0</v>
      </c>
      <c r="AT91" s="160">
        <f>TripMode_inputCBD!V72*Index!$B$2</f>
        <v>8025</v>
      </c>
      <c r="AU91" s="160">
        <f>TripMode_inputCBD!W72*Index!$B$2</f>
        <v>275</v>
      </c>
      <c r="AV91" s="294">
        <f>TripMode_inputCBD!X72*Index!$B$2</f>
        <v>0</v>
      </c>
      <c r="AW91" s="294">
        <f>TripMode_inputCBD!Y72*Index!$B$2</f>
        <v>0</v>
      </c>
      <c r="AX91" s="160">
        <f>TripMode_inputCBD!AA72*Index!$B$2</f>
        <v>445</v>
      </c>
      <c r="AY91" s="160">
        <f>TripMode_inputCBD!AB72*Index!$B$2</f>
        <v>0</v>
      </c>
      <c r="AZ91" s="160">
        <f>TripMode_inputCBD!AC72*Index!$B$2</f>
        <v>0</v>
      </c>
      <c r="BA91" s="160">
        <f>TripMode_inputCBD!AD72*Index!$B$2</f>
        <v>15</v>
      </c>
      <c r="BB91" s="294">
        <f>TripMode_inputCBD!AE72*Index!$B$2</f>
        <v>0</v>
      </c>
      <c r="BC91" s="162">
        <f t="shared" si="131"/>
        <v>8760</v>
      </c>
      <c r="BE91" s="107" t="s">
        <v>577</v>
      </c>
      <c r="BF91" s="166">
        <f>IF(Z$100+AA$100&gt;0,SUM(Z91:AA92)/(Z$100+AA$100),"")</f>
        <v>0</v>
      </c>
      <c r="BG91" s="166"/>
      <c r="BH91" s="166">
        <f>IF(AB$100+AC$100&gt;0,SUM(AB91:AC92)/(AB$100+AC$100),"")</f>
        <v>0</v>
      </c>
      <c r="BI91" s="166"/>
      <c r="BJ91" s="166">
        <f>IF(AD$100+AE$100&gt;0,SUM(AD91:AE92)/(AD$100+AE$100),"")</f>
        <v>0.44898785706388133</v>
      </c>
      <c r="BK91" s="166"/>
      <c r="BL91" s="166">
        <f t="shared" ref="BL91:BS91" si="143">IF(AF$100&gt;0,(AF91+AF92)/AF$100,"")</f>
        <v>0</v>
      </c>
      <c r="BM91" s="166">
        <f t="shared" si="143"/>
        <v>0</v>
      </c>
      <c r="BN91" s="166">
        <f t="shared" si="143"/>
        <v>4.4228025999288939E-3</v>
      </c>
      <c r="BO91" s="166">
        <f t="shared" si="143"/>
        <v>0</v>
      </c>
      <c r="BP91" s="166">
        <f t="shared" si="143"/>
        <v>0</v>
      </c>
      <c r="BQ91" s="166">
        <f t="shared" si="143"/>
        <v>0</v>
      </c>
      <c r="BR91" s="166">
        <f t="shared" si="143"/>
        <v>0</v>
      </c>
      <c r="BS91" s="166">
        <f t="shared" si="143"/>
        <v>4.4857137771512005E-2</v>
      </c>
      <c r="BU91" s="107" t="s">
        <v>577</v>
      </c>
      <c r="BV91" s="166">
        <f>IF(AP$100+AQ$100&gt;0,SUM(AP91:AQ92)/(AP$100+AQ$100),"")</f>
        <v>0</v>
      </c>
      <c r="BW91" s="166"/>
      <c r="BX91" s="166">
        <f>IF(AR$100+AS$100&gt;0,SUM(AR91:AS92)/(AR$100+AS$100),"")</f>
        <v>0</v>
      </c>
      <c r="BY91" s="166"/>
      <c r="BZ91" s="166">
        <f>IF(AT$100+AU$100&gt;0,SUM(AT91:AU92)/(AT$100+AU$100),"")</f>
        <v>0.58368055555555554</v>
      </c>
      <c r="CA91" s="166"/>
      <c r="CB91" s="166">
        <f t="shared" ref="CB91:CI91" si="144">IF(AV$100&gt;0,(AV91+AV92)/AV$100,"")</f>
        <v>0</v>
      </c>
      <c r="CC91" s="166">
        <f t="shared" si="144"/>
        <v>0</v>
      </c>
      <c r="CD91" s="166">
        <f t="shared" si="144"/>
        <v>6.0326713210872365E-3</v>
      </c>
      <c r="CE91" s="166">
        <f t="shared" si="144"/>
        <v>0</v>
      </c>
      <c r="CF91" s="166">
        <f t="shared" si="144"/>
        <v>0</v>
      </c>
      <c r="CG91" s="166">
        <f t="shared" si="144"/>
        <v>4.2134831460674156E-3</v>
      </c>
      <c r="CH91" s="166" t="str">
        <f t="shared" si="144"/>
        <v/>
      </c>
      <c r="CI91" s="166">
        <f t="shared" si="144"/>
        <v>2.9519988012187609E-2</v>
      </c>
      <c r="CK91" s="107" t="s">
        <v>390</v>
      </c>
      <c r="CL91" s="166"/>
      <c r="CM91" s="166"/>
      <c r="CN91" s="166"/>
      <c r="CO91" s="166"/>
      <c r="CP91" s="166"/>
      <c r="CQ91" s="166"/>
      <c r="CR91" s="166"/>
      <c r="CS91" s="166"/>
      <c r="CT91" s="166"/>
      <c r="CU91" s="166"/>
      <c r="CV91" s="166"/>
      <c r="CW91" s="166"/>
      <c r="CX91" s="166"/>
      <c r="CY91" s="168"/>
      <c r="DA91" s="107" t="s">
        <v>577</v>
      </c>
      <c r="DB91" s="315"/>
      <c r="DC91" s="315"/>
      <c r="DD91" s="315"/>
      <c r="DE91" s="315"/>
      <c r="DF91" s="314">
        <f>IFERROR(IF(BZ91&gt;0,LN(BJ91/BZ91),0),0)</f>
        <v>-0.26235799628536827</v>
      </c>
      <c r="DG91" s="314"/>
      <c r="DH91" s="315"/>
      <c r="DI91" s="315"/>
      <c r="DJ91" s="314">
        <f>IFERROR(IF(CD91&gt;0,LN(BN91/CD91),0),0)</f>
        <v>-0.31041635026395803</v>
      </c>
      <c r="DK91" s="315"/>
      <c r="DL91" s="315"/>
      <c r="DM91" s="314">
        <f>IFERROR(IF(CG91&gt;0,LN(BQ91/CG91),0),0)</f>
        <v>0</v>
      </c>
      <c r="DN91" s="315"/>
      <c r="DO91" s="168"/>
      <c r="DQ91" s="107" t="s">
        <v>577</v>
      </c>
      <c r="DR91" s="315"/>
      <c r="DS91" s="315"/>
      <c r="DT91" s="315"/>
      <c r="DU91" s="315"/>
      <c r="DV91" s="314">
        <v>-1.97608466371811</v>
      </c>
      <c r="DW91" s="314">
        <v>-1.97608466371811</v>
      </c>
      <c r="DX91" s="315"/>
      <c r="DY91" s="315"/>
      <c r="DZ91" s="314">
        <v>-9.2512004447667273</v>
      </c>
      <c r="EA91" s="315"/>
      <c r="EB91" s="315"/>
      <c r="EC91" s="314">
        <v>-4.361334206120115</v>
      </c>
      <c r="ED91" s="315"/>
      <c r="EE91" s="168"/>
      <c r="EG91" s="107" t="s">
        <v>577</v>
      </c>
      <c r="EH91" s="315"/>
      <c r="EI91" s="315"/>
      <c r="EJ91" s="315"/>
      <c r="EK91" s="315"/>
      <c r="EL91" s="314">
        <f>DV898+(DF91-DF$87)*$EI$1</f>
        <v>-0.58021048872928871</v>
      </c>
      <c r="EM91" s="314">
        <f>DV898+(DF91-DF$87)*$EI$1</f>
        <v>-0.58021048872928871</v>
      </c>
      <c r="EN91" s="315"/>
      <c r="EO91" s="315"/>
      <c r="EP91" s="314">
        <f>DZ91+(DJ91-DJ$95)*$EI$1</f>
        <v>-9.6573690322470966</v>
      </c>
      <c r="EQ91" s="315"/>
      <c r="ER91" s="315"/>
      <c r="ES91" s="314">
        <f>EC91+(DM91-DM$98)*$EI$1</f>
        <v>-4.654670322611401</v>
      </c>
      <c r="ET91" s="315"/>
      <c r="EU91" s="168"/>
      <c r="EW91" s="164" t="s">
        <v>390</v>
      </c>
      <c r="EX91" s="316">
        <f t="shared" si="140"/>
        <v>0</v>
      </c>
      <c r="EY91" s="316">
        <f t="shared" si="136"/>
        <v>0</v>
      </c>
      <c r="EZ91" s="316">
        <f t="shared" si="136"/>
        <v>0.3197745279754311</v>
      </c>
      <c r="FA91" s="316">
        <f t="shared" si="136"/>
        <v>0.3197745279754311</v>
      </c>
      <c r="FB91" s="316">
        <f t="shared" si="136"/>
        <v>-0.58021048872928871</v>
      </c>
      <c r="FC91" s="316">
        <f t="shared" si="136"/>
        <v>-0.58021048872928871</v>
      </c>
      <c r="FD91" s="316">
        <f t="shared" si="136"/>
        <v>-2.3450244235350111</v>
      </c>
      <c r="FE91" s="316">
        <f t="shared" si="136"/>
        <v>0</v>
      </c>
      <c r="FF91" s="316"/>
      <c r="FG91" s="316">
        <f t="shared" si="136"/>
        <v>0</v>
      </c>
      <c r="FH91" s="316">
        <f t="shared" si="136"/>
        <v>0</v>
      </c>
      <c r="FI91" s="316">
        <f t="shared" si="136"/>
        <v>0</v>
      </c>
      <c r="FJ91" s="316">
        <f t="shared" si="136"/>
        <v>0</v>
      </c>
      <c r="FK91" s="316">
        <f t="shared" si="136"/>
        <v>0</v>
      </c>
      <c r="FL91" s="168"/>
    </row>
    <row r="92" spans="2:168" x14ac:dyDescent="0.25">
      <c r="B92" s="107" t="s">
        <v>391</v>
      </c>
      <c r="C92" s="294"/>
      <c r="D92" s="294"/>
      <c r="E92" s="294"/>
      <c r="F92" s="294"/>
      <c r="G92" s="160">
        <f>TripMode_inputCBD!F73</f>
        <v>0</v>
      </c>
      <c r="H92" s="160">
        <f>TripMode_inputCBD!G73</f>
        <v>0</v>
      </c>
      <c r="I92" s="294"/>
      <c r="J92" s="294"/>
      <c r="K92" s="160">
        <f>TripMode_inputCBD!J73+TripMode_inputCBD!K73</f>
        <v>354.02075000000002</v>
      </c>
      <c r="L92" s="294"/>
      <c r="M92" s="294"/>
      <c r="N92" s="160">
        <f>TripMode_inputCBD!N73</f>
        <v>0</v>
      </c>
      <c r="O92" s="294"/>
      <c r="P92" s="162">
        <f t="shared" si="128"/>
        <v>354.02075000000002</v>
      </c>
      <c r="R92">
        <f t="shared" si="137"/>
        <v>6.011518628748126E-3</v>
      </c>
      <c r="S92">
        <f t="shared" si="138"/>
        <v>0</v>
      </c>
      <c r="T92">
        <f t="shared" si="139"/>
        <v>0</v>
      </c>
      <c r="Y92" s="107" t="s">
        <v>391</v>
      </c>
      <c r="Z92" s="294"/>
      <c r="AA92" s="294"/>
      <c r="AB92" s="294"/>
      <c r="AC92" s="294"/>
      <c r="AD92" s="160">
        <f t="shared" si="129"/>
        <v>0</v>
      </c>
      <c r="AE92" s="160">
        <f t="shared" si="129"/>
        <v>0</v>
      </c>
      <c r="AF92" s="294"/>
      <c r="AG92" s="294"/>
      <c r="AH92" s="160">
        <f>AH95*R92</f>
        <v>339.39623646654331</v>
      </c>
      <c r="AI92" s="294"/>
      <c r="AJ92" s="294"/>
      <c r="AK92" s="160">
        <f>+N92</f>
        <v>0</v>
      </c>
      <c r="AL92" s="294"/>
      <c r="AM92" s="162">
        <f t="shared" si="130"/>
        <v>339.39623646654331</v>
      </c>
      <c r="AO92" s="107" t="s">
        <v>391</v>
      </c>
      <c r="AP92" s="294">
        <f>TripMode_inputCBD!R73*Index!$B$2</f>
        <v>0</v>
      </c>
      <c r="AQ92" s="294">
        <f>TripMode_inputCBD!S73*Index!$B$2</f>
        <v>0</v>
      </c>
      <c r="AR92" s="294">
        <f>TripMode_inputCBD!T73*Index!$B$2</f>
        <v>0</v>
      </c>
      <c r="AS92" s="294">
        <f>TripMode_inputCBD!U73*Index!$B$2</f>
        <v>0</v>
      </c>
      <c r="AT92" s="160">
        <f>TripMode_inputCBD!V73*Index!$B$2</f>
        <v>35</v>
      </c>
      <c r="AU92" s="160">
        <f>TripMode_inputCBD!W73*Index!$B$2</f>
        <v>70</v>
      </c>
      <c r="AV92" s="294">
        <f>TripMode_inputCBD!X73*Index!$B$2</f>
        <v>0</v>
      </c>
      <c r="AW92" s="294">
        <f>TripMode_inputCBD!Y73*Index!$B$2</f>
        <v>0</v>
      </c>
      <c r="AX92" s="160">
        <f>TripMode_inputCBD!AA73*Index!$B$2</f>
        <v>0</v>
      </c>
      <c r="AY92" s="160">
        <f>TripMode_inputCBD!AB73*Index!$B$2</f>
        <v>0</v>
      </c>
      <c r="AZ92" s="160">
        <f>TripMode_inputCBD!AC73*Index!$B$2</f>
        <v>0</v>
      </c>
      <c r="BA92" s="160">
        <f>TripMode_inputCBD!AD73*Index!$B$2</f>
        <v>0</v>
      </c>
      <c r="BB92" s="294">
        <f>TripMode_inputCBD!AE73*Index!$B$2</f>
        <v>0</v>
      </c>
      <c r="BC92" s="162">
        <f t="shared" si="131"/>
        <v>105</v>
      </c>
      <c r="BE92" s="107"/>
      <c r="BF92" s="166"/>
      <c r="BG92" s="166"/>
      <c r="BH92" s="166"/>
      <c r="BI92" s="166"/>
      <c r="BJ92" s="166"/>
      <c r="BK92" s="166"/>
      <c r="BL92" s="166"/>
      <c r="BM92" s="166"/>
      <c r="BN92" s="166"/>
      <c r="BO92" s="166"/>
      <c r="BP92" s="166"/>
      <c r="BQ92" s="166"/>
      <c r="BR92" s="166"/>
      <c r="BS92" s="166"/>
      <c r="BU92" s="107"/>
      <c r="BV92" s="166"/>
      <c r="BW92" s="166"/>
      <c r="BX92" s="166"/>
      <c r="BY92" s="166"/>
      <c r="BZ92" s="166"/>
      <c r="CA92" s="166"/>
      <c r="CB92" s="166"/>
      <c r="CC92" s="166"/>
      <c r="CD92" s="166"/>
      <c r="CE92" s="166"/>
      <c r="CF92" s="166"/>
      <c r="CG92" s="166"/>
      <c r="CH92" s="166"/>
      <c r="CI92" s="166"/>
      <c r="CK92" s="107" t="s">
        <v>391</v>
      </c>
      <c r="CL92" s="166"/>
      <c r="CM92" s="166"/>
      <c r="CN92" s="166"/>
      <c r="CO92" s="166"/>
      <c r="CP92" s="166"/>
      <c r="CQ92" s="166"/>
      <c r="CR92" s="166"/>
      <c r="CS92" s="166"/>
      <c r="CT92" s="166"/>
      <c r="CU92" s="166"/>
      <c r="CV92" s="166"/>
      <c r="CW92" s="166"/>
      <c r="CX92" s="166"/>
      <c r="CY92" s="168"/>
      <c r="DA92" s="107"/>
      <c r="DB92" s="315"/>
      <c r="DC92" s="315"/>
      <c r="DD92" s="315"/>
      <c r="DE92" s="315"/>
      <c r="DF92" s="314"/>
      <c r="DG92" s="314"/>
      <c r="DH92" s="315"/>
      <c r="DI92" s="315"/>
      <c r="DJ92" s="314"/>
      <c r="DK92" s="315"/>
      <c r="DL92" s="315"/>
      <c r="DM92" s="314"/>
      <c r="DN92" s="315"/>
      <c r="DO92" s="168"/>
      <c r="DQ92" s="107"/>
      <c r="DR92" s="315"/>
      <c r="DS92" s="315"/>
      <c r="DT92" s="315"/>
      <c r="DU92" s="315"/>
      <c r="DV92" s="314">
        <v>-1.97608466371811</v>
      </c>
      <c r="DW92" s="314">
        <v>-1.97608466371811</v>
      </c>
      <c r="DX92" s="315"/>
      <c r="DY92" s="315"/>
      <c r="DZ92" s="314">
        <v>-9.2512004447667273</v>
      </c>
      <c r="EA92" s="315"/>
      <c r="EB92" s="315"/>
      <c r="EC92" s="314">
        <v>-4.361334206120115</v>
      </c>
      <c r="ED92" s="315"/>
      <c r="EE92" s="168"/>
      <c r="EG92" s="107"/>
      <c r="EH92" s="315"/>
      <c r="EI92" s="315"/>
      <c r="EJ92" s="315"/>
      <c r="EK92" s="315"/>
      <c r="EL92" s="314">
        <f>DV898+(DF91-DF$87)*$EI$1</f>
        <v>-0.58021048872928871</v>
      </c>
      <c r="EM92" s="314">
        <f>DV898+(DF91-DF$87)*$EI$1</f>
        <v>-0.58021048872928871</v>
      </c>
      <c r="EN92" s="315"/>
      <c r="EO92" s="315"/>
      <c r="EP92" s="314">
        <f>DZ91+(DJ91-DJ$95)*$EI$1</f>
        <v>-9.6573690322470966</v>
      </c>
      <c r="EQ92" s="315"/>
      <c r="ER92" s="315"/>
      <c r="ES92" s="314">
        <f>EC91+(DM91-DM$98)*$EI$1</f>
        <v>-4.654670322611401</v>
      </c>
      <c r="ET92" s="315"/>
      <c r="EU92" s="168"/>
      <c r="EW92" s="164" t="s">
        <v>391</v>
      </c>
      <c r="EX92" s="316">
        <f t="shared" si="140"/>
        <v>0</v>
      </c>
      <c r="EY92" s="316">
        <f t="shared" si="136"/>
        <v>0</v>
      </c>
      <c r="EZ92" s="316">
        <f t="shared" si="136"/>
        <v>0.3197745279754311</v>
      </c>
      <c r="FA92" s="316">
        <f t="shared" si="136"/>
        <v>0.3197745279754311</v>
      </c>
      <c r="FB92" s="316">
        <f t="shared" si="136"/>
        <v>-0.58021048872928871</v>
      </c>
      <c r="FC92" s="316">
        <f t="shared" si="136"/>
        <v>-0.58021048872928871</v>
      </c>
      <c r="FD92" s="316">
        <f t="shared" si="136"/>
        <v>-2.3450244235350111</v>
      </c>
      <c r="FE92" s="316">
        <f t="shared" si="136"/>
        <v>0</v>
      </c>
      <c r="FF92" s="316"/>
      <c r="FG92" s="316">
        <f t="shared" si="136"/>
        <v>0</v>
      </c>
      <c r="FH92" s="316">
        <f t="shared" si="136"/>
        <v>0</v>
      </c>
      <c r="FI92" s="316">
        <f t="shared" si="136"/>
        <v>0</v>
      </c>
      <c r="FJ92" s="316">
        <f t="shared" si="136"/>
        <v>0</v>
      </c>
      <c r="FK92" s="316">
        <f t="shared" si="136"/>
        <v>0</v>
      </c>
      <c r="FL92" s="168"/>
    </row>
    <row r="93" spans="2:168" x14ac:dyDescent="0.25">
      <c r="B93" s="107" t="s">
        <v>392</v>
      </c>
      <c r="C93" s="294"/>
      <c r="D93" s="294"/>
      <c r="E93" s="160">
        <f>TripMode_inputCBD!D74</f>
        <v>4451.9672300000002</v>
      </c>
      <c r="F93" s="160">
        <f>TripMode_inputCBD!E74</f>
        <v>0</v>
      </c>
      <c r="G93" s="160">
        <f>TripMode_inputCBD!F74</f>
        <v>432.00916999999998</v>
      </c>
      <c r="H93" s="160">
        <f>TripMode_inputCBD!G74</f>
        <v>0</v>
      </c>
      <c r="I93" s="160">
        <f>TripMode_inputCBD!H74</f>
        <v>72503.937699999995</v>
      </c>
      <c r="J93" s="294"/>
      <c r="K93" s="160">
        <f>TripMode_inputCBD!J74+TripMode_inputCBD!K74</f>
        <v>19288.775730000001</v>
      </c>
      <c r="L93" s="294"/>
      <c r="M93" s="294"/>
      <c r="N93" s="160">
        <f>TripMode_inputCBD!N74</f>
        <v>280.10082999999997</v>
      </c>
      <c r="O93" s="294"/>
      <c r="P93" s="162">
        <f t="shared" si="128"/>
        <v>96956.790659999984</v>
      </c>
      <c r="R93">
        <f t="shared" si="137"/>
        <v>0.32753683117907562</v>
      </c>
      <c r="S93">
        <f t="shared" si="138"/>
        <v>0</v>
      </c>
      <c r="T93">
        <f t="shared" si="139"/>
        <v>0</v>
      </c>
      <c r="Y93" s="107" t="s">
        <v>392</v>
      </c>
      <c r="Z93" s="294"/>
      <c r="AA93" s="294"/>
      <c r="AB93" s="160">
        <f>+E93</f>
        <v>4451.9672300000002</v>
      </c>
      <c r="AC93" s="160">
        <f>+F93</f>
        <v>0</v>
      </c>
      <c r="AD93" s="160">
        <f t="shared" si="129"/>
        <v>432.00916999999998</v>
      </c>
      <c r="AE93" s="160">
        <f t="shared" si="129"/>
        <v>0</v>
      </c>
      <c r="AF93" s="160">
        <f t="shared" si="129"/>
        <v>72503.937699999995</v>
      </c>
      <c r="AG93" s="294"/>
      <c r="AH93" s="160">
        <f>AH95*R93</f>
        <v>18491.960962201232</v>
      </c>
      <c r="AI93" s="294"/>
      <c r="AJ93" s="294"/>
      <c r="AK93" s="160">
        <f>+N93</f>
        <v>280.10082999999997</v>
      </c>
      <c r="AL93" s="294"/>
      <c r="AM93" s="162">
        <f t="shared" si="130"/>
        <v>96159.975892201226</v>
      </c>
      <c r="AO93" s="107" t="s">
        <v>392</v>
      </c>
      <c r="AP93" s="294">
        <f>TripMode_inputCBD!R74*Index!$B$2</f>
        <v>0</v>
      </c>
      <c r="AQ93" s="294">
        <f>TripMode_inputCBD!S74*Index!$B$2</f>
        <v>0</v>
      </c>
      <c r="AR93" s="160">
        <f>TripMode_inputCBD!T74*Index!$B$2</f>
        <v>3665</v>
      </c>
      <c r="AS93" s="160">
        <f>TripMode_inputCBD!U74*Index!$B$2</f>
        <v>90</v>
      </c>
      <c r="AT93" s="160">
        <f>TripMode_inputCBD!V74*Index!$B$2</f>
        <v>1345</v>
      </c>
      <c r="AU93" s="160">
        <f>TripMode_inputCBD!W74*Index!$B$2</f>
        <v>35</v>
      </c>
      <c r="AV93" s="160">
        <f>TripMode_inputCBD!X74*Index!$B$2</f>
        <v>56475</v>
      </c>
      <c r="AW93" s="294">
        <f>TripMode_inputCBD!Y74*Index!$B$2</f>
        <v>0</v>
      </c>
      <c r="AX93" s="160">
        <f>TripMode_inputCBD!AA74*Index!$B$2</f>
        <v>21915</v>
      </c>
      <c r="AY93" s="160">
        <f>TripMode_inputCBD!AB74*Index!$B$2</f>
        <v>0</v>
      </c>
      <c r="AZ93" s="160">
        <f>TripMode_inputCBD!AC74*Index!$B$2</f>
        <v>0</v>
      </c>
      <c r="BA93" s="160">
        <f>TripMode_inputCBD!AD74*Index!$B$2</f>
        <v>1100</v>
      </c>
      <c r="BB93" s="294">
        <f>TripMode_inputCBD!AE74*Index!$B$2</f>
        <v>0</v>
      </c>
      <c r="BC93" s="162">
        <f t="shared" si="131"/>
        <v>84625</v>
      </c>
      <c r="BE93" s="107" t="s">
        <v>392</v>
      </c>
      <c r="BF93" s="166">
        <f t="shared" ref="BF93:BS100" si="145">IF(Z$100&gt;0,Z93/Z$100,"")</f>
        <v>0</v>
      </c>
      <c r="BG93" s="166">
        <f t="shared" si="145"/>
        <v>0</v>
      </c>
      <c r="BH93" s="166">
        <f t="shared" si="145"/>
        <v>8.9181043950500152E-2</v>
      </c>
      <c r="BI93" s="166" t="str">
        <f t="shared" si="145"/>
        <v/>
      </c>
      <c r="BJ93" s="166">
        <f t="shared" si="145"/>
        <v>1.2799606275876394E-2</v>
      </c>
      <c r="BK93" s="166" t="str">
        <f t="shared" si="145"/>
        <v/>
      </c>
      <c r="BL93" s="166">
        <f t="shared" si="145"/>
        <v>1</v>
      </c>
      <c r="BM93" s="166">
        <f t="shared" si="145"/>
        <v>0</v>
      </c>
      <c r="BN93" s="166">
        <f t="shared" si="145"/>
        <v>0.24097583954638066</v>
      </c>
      <c r="BO93" s="166">
        <f t="shared" si="145"/>
        <v>0</v>
      </c>
      <c r="BP93" s="166">
        <f t="shared" si="145"/>
        <v>0</v>
      </c>
      <c r="BQ93" s="166">
        <f t="shared" si="145"/>
        <v>9.9409848316743377E-2</v>
      </c>
      <c r="BR93" s="166">
        <f t="shared" si="145"/>
        <v>0</v>
      </c>
      <c r="BS93" s="166">
        <f t="shared" si="145"/>
        <v>0.27840414028600613</v>
      </c>
      <c r="BU93" s="107" t="s">
        <v>392</v>
      </c>
      <c r="BV93" s="166">
        <f t="shared" ref="BV93:CI100" si="146">IF(AP$100&gt;0,AP93/AP$100,"")</f>
        <v>0</v>
      </c>
      <c r="BW93" s="166">
        <f t="shared" si="146"/>
        <v>0</v>
      </c>
      <c r="BX93" s="166">
        <f t="shared" si="146"/>
        <v>0.13176343699442747</v>
      </c>
      <c r="BY93" s="166">
        <f t="shared" si="146"/>
        <v>0.10975609756097561</v>
      </c>
      <c r="BZ93" s="166">
        <f t="shared" si="146"/>
        <v>9.7182080924855488E-2</v>
      </c>
      <c r="CA93" s="166">
        <f t="shared" si="146"/>
        <v>6.25E-2</v>
      </c>
      <c r="CB93" s="166">
        <f t="shared" si="146"/>
        <v>1</v>
      </c>
      <c r="CC93" s="166">
        <f t="shared" si="146"/>
        <v>0</v>
      </c>
      <c r="CD93" s="166">
        <f t="shared" si="146"/>
        <v>0.2970921168575883</v>
      </c>
      <c r="CE93" s="166">
        <f t="shared" si="146"/>
        <v>0</v>
      </c>
      <c r="CF93" s="166">
        <f t="shared" si="146"/>
        <v>0</v>
      </c>
      <c r="CG93" s="166">
        <f t="shared" si="146"/>
        <v>0.3089887640449438</v>
      </c>
      <c r="CH93" s="166" t="str">
        <f t="shared" si="146"/>
        <v/>
      </c>
      <c r="CI93" s="168">
        <f t="shared" si="146"/>
        <v>0.28179683987945586</v>
      </c>
      <c r="CK93" s="107" t="s">
        <v>392</v>
      </c>
      <c r="CL93" s="166"/>
      <c r="CM93" s="166"/>
      <c r="CN93" s="166"/>
      <c r="CO93" s="166"/>
      <c r="CP93" s="166"/>
      <c r="CQ93" s="166"/>
      <c r="CR93" s="166"/>
      <c r="CS93" s="166"/>
      <c r="CT93" s="166"/>
      <c r="CU93" s="166"/>
      <c r="CV93" s="166"/>
      <c r="CW93" s="166"/>
      <c r="CX93" s="166"/>
      <c r="CY93" s="168"/>
      <c r="DA93" s="107" t="s">
        <v>392</v>
      </c>
      <c r="DB93" s="315"/>
      <c r="DC93" s="315"/>
      <c r="DD93" s="314">
        <f>IFERROR(IF(BX93&gt;0,LN(BH93/BX93),0),0)</f>
        <v>-0.39033966555704996</v>
      </c>
      <c r="DE93" s="314">
        <f>IFERROR(IF(BY93&gt;0,LN(BI93/BY93),0),0)</f>
        <v>0</v>
      </c>
      <c r="DF93" s="314">
        <f>IFERROR(IF(BZ93&gt;0,LN(BJ93/BZ93),0),0)</f>
        <v>-2.0271719310910905</v>
      </c>
      <c r="DG93" s="314">
        <f>IFERROR(IF(CA93&gt;0,LN(BK93/CA93),0),0)</f>
        <v>0</v>
      </c>
      <c r="DH93" s="314"/>
      <c r="DI93" s="315"/>
      <c r="DJ93" s="314">
        <f t="shared" ref="DJ93:DJ98" si="147">IFERROR(IF(CD93&gt;0,LN(BN93/CD93),0),0)</f>
        <v>-0.20934557086306971</v>
      </c>
      <c r="DK93" s="315"/>
      <c r="DL93" s="315"/>
      <c r="DM93" s="314">
        <f>IFERROR(IF(CG93&gt;0,LN(BQ93/CG93),0),0)</f>
        <v>-1.1340537275346256</v>
      </c>
      <c r="DN93" s="315"/>
      <c r="DO93" s="168"/>
      <c r="DQ93" s="107" t="s">
        <v>392</v>
      </c>
      <c r="DR93" s="315"/>
      <c r="DS93" s="315"/>
      <c r="DT93" s="314">
        <v>0.62038895385081216</v>
      </c>
      <c r="DU93" s="314">
        <v>0.62038895385081216</v>
      </c>
      <c r="DV93" s="314">
        <v>-2.2146769801063115E-2</v>
      </c>
      <c r="DW93" s="314">
        <v>-2.2146769801063115E-2</v>
      </c>
      <c r="DX93" s="314">
        <v>0</v>
      </c>
      <c r="DY93" s="315"/>
      <c r="DZ93" s="314">
        <v>-2.1896264479106815</v>
      </c>
      <c r="EA93" s="315"/>
      <c r="EB93" s="315"/>
      <c r="EC93" s="314">
        <v>0.13913339262652702</v>
      </c>
      <c r="ED93" s="315"/>
      <c r="EE93" s="168"/>
      <c r="EG93" s="107" t="s">
        <v>392</v>
      </c>
      <c r="EH93" s="315"/>
      <c r="EI93" s="315"/>
      <c r="EJ93" s="314">
        <f>DT93+(DD93-DD$87)*$EI$1</f>
        <v>0.64179309296953835</v>
      </c>
      <c r="EK93" s="314">
        <f>DT93+(DD93-DD$87)*$EI$1</f>
        <v>0.64179309296953835</v>
      </c>
      <c r="EL93" s="314">
        <f>DV900+(DF93-DF$87)*$EI$1</f>
        <v>-2.3450244235350111</v>
      </c>
      <c r="EM93" s="314">
        <f>DV900+(DF93-DF$87)*$EI$1</f>
        <v>-2.3450244235350111</v>
      </c>
      <c r="EN93" s="314">
        <v>0</v>
      </c>
      <c r="EO93" s="315"/>
      <c r="EP93" s="314">
        <f>DZ93+(DJ93-DJ$95)*$EI$1</f>
        <v>-2.494724255990163</v>
      </c>
      <c r="EQ93" s="315"/>
      <c r="ER93" s="315"/>
      <c r="ES93" s="314">
        <f>EC93+(DM93-DM$98)*$EI$1</f>
        <v>-1.288256451399385</v>
      </c>
      <c r="ET93" s="315"/>
      <c r="EU93" s="168"/>
      <c r="EW93" s="164" t="s">
        <v>392</v>
      </c>
      <c r="EX93" s="316">
        <f t="shared" si="140"/>
        <v>0</v>
      </c>
      <c r="EY93" s="316">
        <f t="shared" si="136"/>
        <v>0</v>
      </c>
      <c r="EZ93" s="316">
        <f t="shared" si="136"/>
        <v>0</v>
      </c>
      <c r="FA93" s="316">
        <f t="shared" si="136"/>
        <v>0</v>
      </c>
      <c r="FB93" s="316">
        <f t="shared" si="136"/>
        <v>0</v>
      </c>
      <c r="FC93" s="316">
        <f t="shared" si="136"/>
        <v>0</v>
      </c>
      <c r="FD93" s="316">
        <f t="shared" si="136"/>
        <v>0</v>
      </c>
      <c r="FE93" s="316">
        <f t="shared" si="136"/>
        <v>0</v>
      </c>
      <c r="FF93" s="316"/>
      <c r="FG93" s="316">
        <f t="shared" si="136"/>
        <v>0</v>
      </c>
      <c r="FH93" s="316">
        <f t="shared" si="136"/>
        <v>0</v>
      </c>
      <c r="FI93" s="316">
        <f t="shared" si="136"/>
        <v>0</v>
      </c>
      <c r="FJ93" s="316">
        <f t="shared" si="136"/>
        <v>0</v>
      </c>
      <c r="FK93" s="316">
        <f t="shared" si="136"/>
        <v>0</v>
      </c>
      <c r="FL93" s="168"/>
    </row>
    <row r="94" spans="2:168" x14ac:dyDescent="0.25">
      <c r="B94" s="107" t="s">
        <v>393</v>
      </c>
      <c r="C94" s="294"/>
      <c r="D94" s="294"/>
      <c r="E94" s="294"/>
      <c r="F94" s="294"/>
      <c r="G94" s="294"/>
      <c r="H94" s="294"/>
      <c r="I94" s="294"/>
      <c r="J94" s="160">
        <f>TripMode_inputCBD!I75</f>
        <v>12595.35606</v>
      </c>
      <c r="K94" s="294"/>
      <c r="L94" s="294"/>
      <c r="M94" s="294"/>
      <c r="N94" s="294"/>
      <c r="O94" s="294"/>
      <c r="P94" s="162">
        <f t="shared" si="128"/>
        <v>12595.35606</v>
      </c>
      <c r="R94">
        <f t="shared" si="137"/>
        <v>0</v>
      </c>
      <c r="S94">
        <f t="shared" si="138"/>
        <v>0</v>
      </c>
      <c r="T94">
        <f t="shared" si="139"/>
        <v>0</v>
      </c>
      <c r="Y94" s="107" t="s">
        <v>393</v>
      </c>
      <c r="Z94" s="294"/>
      <c r="AA94" s="294"/>
      <c r="AB94" s="294"/>
      <c r="AC94" s="294"/>
      <c r="AD94" s="294"/>
      <c r="AE94" s="294"/>
      <c r="AF94" s="294"/>
      <c r="AG94" s="160">
        <f>+J94</f>
        <v>12595.35606</v>
      </c>
      <c r="AH94" s="294"/>
      <c r="AI94" s="294"/>
      <c r="AJ94" s="294"/>
      <c r="AK94" s="294"/>
      <c r="AL94" s="294"/>
      <c r="AM94" s="162">
        <f t="shared" si="130"/>
        <v>12595.35606</v>
      </c>
      <c r="AO94" s="107" t="s">
        <v>393</v>
      </c>
      <c r="AP94" s="294">
        <f>TripMode_inputCBD!R75*Index!$B$2</f>
        <v>0</v>
      </c>
      <c r="AQ94" s="294">
        <f>TripMode_inputCBD!S75*Index!$B$2</f>
        <v>0</v>
      </c>
      <c r="AR94" s="294">
        <f>TripMode_inputCBD!T75*Index!$B$2</f>
        <v>0</v>
      </c>
      <c r="AS94" s="294">
        <f>TripMode_inputCBD!U75*Index!$B$2</f>
        <v>0</v>
      </c>
      <c r="AT94" s="294">
        <f>TripMode_inputCBD!V75*Index!$B$2</f>
        <v>0</v>
      </c>
      <c r="AU94" s="294">
        <f>TripMode_inputCBD!W75*Index!$B$2</f>
        <v>0</v>
      </c>
      <c r="AV94" s="294">
        <f>TripMode_inputCBD!X75*Index!$B$2</f>
        <v>0</v>
      </c>
      <c r="AW94" s="160">
        <f>TripMode_inputCBD!Y75*Index!$B$2</f>
        <v>9210</v>
      </c>
      <c r="AX94" s="294">
        <f>TripMode_inputCBD!AA75*Index!$B$2</f>
        <v>0</v>
      </c>
      <c r="AY94" s="294">
        <f>TripMode_inputCBD!AB75*Index!$B$2</f>
        <v>0</v>
      </c>
      <c r="AZ94" s="294">
        <f>TripMode_inputCBD!AC75*Index!$B$2</f>
        <v>0</v>
      </c>
      <c r="BA94" s="294">
        <f>TripMode_inputCBD!AD75*Index!$B$2</f>
        <v>0</v>
      </c>
      <c r="BB94" s="294">
        <f>TripMode_inputCBD!AE75*Index!$B$2</f>
        <v>0</v>
      </c>
      <c r="BC94" s="162">
        <f t="shared" si="131"/>
        <v>9210</v>
      </c>
      <c r="BE94" s="107" t="s">
        <v>393</v>
      </c>
      <c r="BF94" s="166">
        <f t="shared" si="145"/>
        <v>0</v>
      </c>
      <c r="BG94" s="166">
        <f t="shared" si="145"/>
        <v>0</v>
      </c>
      <c r="BH94" s="166">
        <f t="shared" si="145"/>
        <v>0</v>
      </c>
      <c r="BI94" s="166" t="str">
        <f t="shared" si="145"/>
        <v/>
      </c>
      <c r="BJ94" s="166">
        <f t="shared" si="145"/>
        <v>0</v>
      </c>
      <c r="BK94" s="166" t="str">
        <f t="shared" si="145"/>
        <v/>
      </c>
      <c r="BL94" s="166">
        <f t="shared" si="145"/>
        <v>0</v>
      </c>
      <c r="BM94" s="166">
        <f t="shared" si="145"/>
        <v>1</v>
      </c>
      <c r="BN94" s="166">
        <f t="shared" si="145"/>
        <v>0</v>
      </c>
      <c r="BO94" s="166">
        <f t="shared" si="145"/>
        <v>0</v>
      </c>
      <c r="BP94" s="166">
        <f t="shared" si="145"/>
        <v>0</v>
      </c>
      <c r="BQ94" s="166">
        <f t="shared" si="145"/>
        <v>0</v>
      </c>
      <c r="BR94" s="166">
        <f t="shared" si="145"/>
        <v>0</v>
      </c>
      <c r="BS94" s="166">
        <f t="shared" si="145"/>
        <v>3.6466307764172701E-2</v>
      </c>
      <c r="BU94" s="107" t="s">
        <v>393</v>
      </c>
      <c r="BV94" s="166">
        <f t="shared" si="146"/>
        <v>0</v>
      </c>
      <c r="BW94" s="166">
        <f t="shared" si="146"/>
        <v>0</v>
      </c>
      <c r="BX94" s="166">
        <f t="shared" si="146"/>
        <v>0</v>
      </c>
      <c r="BY94" s="166">
        <f t="shared" si="146"/>
        <v>0</v>
      </c>
      <c r="BZ94" s="166">
        <f t="shared" si="146"/>
        <v>0</v>
      </c>
      <c r="CA94" s="166">
        <f t="shared" si="146"/>
        <v>0</v>
      </c>
      <c r="CB94" s="166">
        <f t="shared" si="146"/>
        <v>0</v>
      </c>
      <c r="CC94" s="166">
        <f t="shared" si="146"/>
        <v>1</v>
      </c>
      <c r="CD94" s="166">
        <f t="shared" si="146"/>
        <v>0</v>
      </c>
      <c r="CE94" s="166">
        <f t="shared" si="146"/>
        <v>0</v>
      </c>
      <c r="CF94" s="166">
        <f t="shared" si="146"/>
        <v>0</v>
      </c>
      <c r="CG94" s="166">
        <f t="shared" si="146"/>
        <v>0</v>
      </c>
      <c r="CH94" s="166" t="str">
        <f t="shared" si="146"/>
        <v/>
      </c>
      <c r="CI94" s="168">
        <f t="shared" si="146"/>
        <v>3.0668820032966483E-2</v>
      </c>
      <c r="CK94" s="107" t="s">
        <v>393</v>
      </c>
      <c r="CL94" s="166"/>
      <c r="CM94" s="166"/>
      <c r="CN94" s="166"/>
      <c r="CO94" s="166"/>
      <c r="CP94" s="166"/>
      <c r="CQ94" s="166"/>
      <c r="CR94" s="166"/>
      <c r="CS94" s="166"/>
      <c r="CT94" s="166"/>
      <c r="CU94" s="166"/>
      <c r="CV94" s="166"/>
      <c r="CW94" s="166"/>
      <c r="CX94" s="166"/>
      <c r="CY94" s="168"/>
      <c r="DA94" s="107" t="s">
        <v>393</v>
      </c>
      <c r="DB94" s="315"/>
      <c r="DC94" s="315"/>
      <c r="DD94" s="315"/>
      <c r="DE94" s="315"/>
      <c r="DF94" s="315"/>
      <c r="DG94" s="315"/>
      <c r="DH94" s="315"/>
      <c r="DI94" s="314">
        <f>IFERROR(IF(CC94&gt;0,LN(BM94/CC94),0),0)</f>
        <v>0</v>
      </c>
      <c r="DJ94" s="315"/>
      <c r="DK94" s="315"/>
      <c r="DL94" s="315"/>
      <c r="DM94" s="315"/>
      <c r="DN94" s="315"/>
      <c r="DO94" s="168"/>
      <c r="DQ94" s="107" t="s">
        <v>393</v>
      </c>
      <c r="DR94" s="315"/>
      <c r="DS94" s="315"/>
      <c r="DT94" s="315"/>
      <c r="DU94" s="315"/>
      <c r="DV94" s="315"/>
      <c r="DW94" s="315"/>
      <c r="DX94" s="315"/>
      <c r="DY94" s="314">
        <v>0</v>
      </c>
      <c r="DZ94" s="315"/>
      <c r="EA94" s="315"/>
      <c r="EB94" s="315"/>
      <c r="EC94" s="315"/>
      <c r="ED94" s="315"/>
      <c r="EE94" s="168"/>
      <c r="EG94" s="107" t="s">
        <v>393</v>
      </c>
      <c r="EH94" s="315"/>
      <c r="EI94" s="315"/>
      <c r="EJ94" s="315"/>
      <c r="EK94" s="315"/>
      <c r="EL94" s="315"/>
      <c r="EM94" s="315"/>
      <c r="EN94" s="315"/>
      <c r="EO94" s="314">
        <v>0</v>
      </c>
      <c r="EP94" s="315"/>
      <c r="EQ94" s="315"/>
      <c r="ER94" s="315"/>
      <c r="ES94" s="315"/>
      <c r="ET94" s="315"/>
      <c r="EU94" s="168"/>
      <c r="EW94" s="164" t="s">
        <v>393</v>
      </c>
      <c r="EX94" s="316">
        <f t="shared" si="140"/>
        <v>0</v>
      </c>
      <c r="EY94" s="316">
        <f t="shared" si="136"/>
        <v>0</v>
      </c>
      <c r="EZ94" s="316">
        <f t="shared" si="136"/>
        <v>0</v>
      </c>
      <c r="FA94" s="316">
        <f t="shared" si="136"/>
        <v>0</v>
      </c>
      <c r="FB94" s="316">
        <f t="shared" si="136"/>
        <v>0</v>
      </c>
      <c r="FC94" s="316">
        <f t="shared" si="136"/>
        <v>0</v>
      </c>
      <c r="FD94" s="316">
        <f t="shared" si="136"/>
        <v>0</v>
      </c>
      <c r="FE94" s="316">
        <f t="shared" si="136"/>
        <v>0</v>
      </c>
      <c r="FF94" s="316"/>
      <c r="FG94" s="316">
        <f t="shared" si="136"/>
        <v>0</v>
      </c>
      <c r="FH94" s="316">
        <f t="shared" si="136"/>
        <v>0</v>
      </c>
      <c r="FI94" s="316">
        <f t="shared" si="136"/>
        <v>0</v>
      </c>
      <c r="FJ94" s="316">
        <f t="shared" si="136"/>
        <v>0</v>
      </c>
      <c r="FK94" s="316">
        <f t="shared" si="136"/>
        <v>0</v>
      </c>
      <c r="FL94" s="168"/>
    </row>
    <row r="95" spans="2:168" x14ac:dyDescent="0.25">
      <c r="B95" s="107" t="s">
        <v>546</v>
      </c>
      <c r="C95" s="294"/>
      <c r="D95" s="294"/>
      <c r="E95" s="294"/>
      <c r="F95" s="294"/>
      <c r="G95" s="294"/>
      <c r="H95" s="294"/>
      <c r="I95" s="294"/>
      <c r="J95" s="294"/>
      <c r="K95" s="160">
        <f>TripMode_inputCBD!J77+TripMode_inputCBD!K77+TripMode_inputCBD!J76+TripMode_inputCBD!K76</f>
        <v>58890.402220000004</v>
      </c>
      <c r="L95" s="294"/>
      <c r="M95" s="294"/>
      <c r="N95" s="294"/>
      <c r="O95" s="294"/>
      <c r="P95" s="162">
        <f t="shared" si="128"/>
        <v>58890.402220000004</v>
      </c>
      <c r="R95">
        <f t="shared" si="137"/>
        <v>1</v>
      </c>
      <c r="S95">
        <f t="shared" si="138"/>
        <v>0</v>
      </c>
      <c r="T95">
        <f t="shared" si="139"/>
        <v>0</v>
      </c>
      <c r="U95" s="127">
        <f>+K95/K$159</f>
        <v>9.7168379262416074E-2</v>
      </c>
      <c r="V95" s="127"/>
      <c r="W95" s="127"/>
      <c r="X95" s="127"/>
      <c r="Y95" s="107" t="s">
        <v>546</v>
      </c>
      <c r="Z95" s="294"/>
      <c r="AA95" s="294"/>
      <c r="AB95" s="294"/>
      <c r="AC95" s="294"/>
      <c r="AD95" s="294"/>
      <c r="AE95" s="294"/>
      <c r="AF95" s="294"/>
      <c r="AG95" s="294"/>
      <c r="AH95" s="160">
        <f>U95*U$159</f>
        <v>56457.653619085795</v>
      </c>
      <c r="AI95" s="294"/>
      <c r="AJ95" s="294"/>
      <c r="AK95" s="294"/>
      <c r="AL95" s="294"/>
      <c r="AM95" s="162">
        <f t="shared" si="130"/>
        <v>56457.653619085795</v>
      </c>
      <c r="AN95" s="127"/>
      <c r="AO95" s="107" t="s">
        <v>395</v>
      </c>
      <c r="AP95" s="294">
        <f>TripMode_inputCBD!R77*Index!$B$2</f>
        <v>0</v>
      </c>
      <c r="AQ95" s="294">
        <f>TripMode_inputCBD!S77*Index!$B$2</f>
        <v>0</v>
      </c>
      <c r="AR95" s="294">
        <f>TripMode_inputCBD!T77*Index!$B$2</f>
        <v>0</v>
      </c>
      <c r="AS95" s="294">
        <f>TripMode_inputCBD!U77*Index!$B$2</f>
        <v>0</v>
      </c>
      <c r="AT95" s="294">
        <f>TripMode_inputCBD!V77*Index!$B$2</f>
        <v>0</v>
      </c>
      <c r="AU95" s="294">
        <f>TripMode_inputCBD!W77*Index!$B$2</f>
        <v>0</v>
      </c>
      <c r="AV95" s="294">
        <f>TripMode_inputCBD!X77*Index!$B$2</f>
        <v>0</v>
      </c>
      <c r="AW95" s="294">
        <f>TripMode_inputCBD!Y77*Index!$B$2</f>
        <v>0</v>
      </c>
      <c r="AX95" s="160">
        <f>TripMode_inputCBD!AA77*Index!$B$2</f>
        <v>49315</v>
      </c>
      <c r="AY95" s="160">
        <f>TripMode_inputCBD!AB77*Index!$B$2</f>
        <v>0</v>
      </c>
      <c r="AZ95" s="160">
        <f>TripMode_inputCBD!AC77*Index!$B$2</f>
        <v>0</v>
      </c>
      <c r="BA95" s="294">
        <f>TripMode_inputCBD!AD77*Index!$B$2</f>
        <v>0</v>
      </c>
      <c r="BB95" s="294">
        <f>TripMode_inputCBD!AE77*Index!$B$2</f>
        <v>0</v>
      </c>
      <c r="BC95" s="162">
        <f t="shared" si="131"/>
        <v>49315</v>
      </c>
      <c r="BE95" s="107" t="s">
        <v>395</v>
      </c>
      <c r="BF95" s="166">
        <f t="shared" si="145"/>
        <v>0</v>
      </c>
      <c r="BG95" s="166">
        <f t="shared" si="145"/>
        <v>0</v>
      </c>
      <c r="BH95" s="166">
        <f t="shared" si="145"/>
        <v>0</v>
      </c>
      <c r="BI95" s="166" t="str">
        <f t="shared" si="145"/>
        <v/>
      </c>
      <c r="BJ95" s="166">
        <f t="shared" si="145"/>
        <v>0</v>
      </c>
      <c r="BK95" s="166" t="str">
        <f t="shared" si="145"/>
        <v/>
      </c>
      <c r="BL95" s="166">
        <f t="shared" si="145"/>
        <v>0</v>
      </c>
      <c r="BM95" s="166">
        <f t="shared" si="145"/>
        <v>0</v>
      </c>
      <c r="BN95" s="166">
        <f t="shared" si="145"/>
        <v>0.73572134980640058</v>
      </c>
      <c r="BO95" s="166">
        <f t="shared" si="145"/>
        <v>0</v>
      </c>
      <c r="BP95" s="166">
        <f t="shared" si="145"/>
        <v>0</v>
      </c>
      <c r="BQ95" s="166">
        <f t="shared" si="145"/>
        <v>0</v>
      </c>
      <c r="BR95" s="166">
        <f t="shared" si="145"/>
        <v>0</v>
      </c>
      <c r="BS95" s="166">
        <f t="shared" si="145"/>
        <v>0.16345724270986917</v>
      </c>
      <c r="BU95" s="107" t="s">
        <v>395</v>
      </c>
      <c r="BV95" s="166">
        <f t="shared" si="146"/>
        <v>0</v>
      </c>
      <c r="BW95" s="166">
        <f t="shared" si="146"/>
        <v>0</v>
      </c>
      <c r="BX95" s="166">
        <f t="shared" si="146"/>
        <v>0</v>
      </c>
      <c r="BY95" s="166">
        <f t="shared" si="146"/>
        <v>0</v>
      </c>
      <c r="BZ95" s="166">
        <f t="shared" si="146"/>
        <v>0</v>
      </c>
      <c r="CA95" s="166">
        <f t="shared" si="146"/>
        <v>0</v>
      </c>
      <c r="CB95" s="166">
        <f t="shared" si="146"/>
        <v>0</v>
      </c>
      <c r="CC95" s="166">
        <f t="shared" si="146"/>
        <v>0</v>
      </c>
      <c r="CD95" s="166">
        <f t="shared" si="146"/>
        <v>0.66854199145936422</v>
      </c>
      <c r="CE95" s="166">
        <f t="shared" si="146"/>
        <v>0</v>
      </c>
      <c r="CF95" s="166">
        <f t="shared" si="146"/>
        <v>0</v>
      </c>
      <c r="CG95" s="166">
        <f t="shared" si="146"/>
        <v>0</v>
      </c>
      <c r="CH95" s="166" t="str">
        <f t="shared" si="146"/>
        <v/>
      </c>
      <c r="CI95" s="168">
        <f t="shared" si="146"/>
        <v>0.1642163800136528</v>
      </c>
      <c r="CK95" s="107" t="s">
        <v>395</v>
      </c>
      <c r="CL95" s="166" t="str">
        <f t="shared" ref="CL95:CO100" si="148">IF(OR(ISNA(BF95),BF95=0,BF95=""),"",(BV95-BF95)/BF95)</f>
        <v/>
      </c>
      <c r="CM95" s="166" t="str">
        <f t="shared" si="148"/>
        <v/>
      </c>
      <c r="CN95" s="166" t="str">
        <f t="shared" si="148"/>
        <v/>
      </c>
      <c r="CO95" s="166" t="str">
        <f t="shared" si="148"/>
        <v/>
      </c>
      <c r="CP95" s="166"/>
      <c r="CQ95" s="166"/>
      <c r="CR95" s="166"/>
      <c r="CS95" s="166"/>
      <c r="CT95" s="166">
        <f t="shared" ref="CT95:CY100" si="149">IF(OR(ISNA(BN95),BN95=0,BN95=""),"",(CD95-BN95)/BN95)</f>
        <v>-9.1310872471913579E-2</v>
      </c>
      <c r="CU95" s="166" t="str">
        <f t="shared" si="149"/>
        <v/>
      </c>
      <c r="CV95" s="166" t="str">
        <f t="shared" si="149"/>
        <v/>
      </c>
      <c r="CW95" s="166" t="str">
        <f t="shared" si="149"/>
        <v/>
      </c>
      <c r="CX95" s="166" t="str">
        <f t="shared" si="149"/>
        <v/>
      </c>
      <c r="CY95" s="168">
        <f t="shared" si="149"/>
        <v>4.6442561442876663E-3</v>
      </c>
      <c r="DA95" s="107" t="s">
        <v>395</v>
      </c>
      <c r="DB95" s="315"/>
      <c r="DC95" s="315"/>
      <c r="DD95" s="315"/>
      <c r="DE95" s="315"/>
      <c r="DF95" s="315"/>
      <c r="DG95" s="315"/>
      <c r="DH95" s="315"/>
      <c r="DI95" s="315"/>
      <c r="DJ95" s="314">
        <f t="shared" si="147"/>
        <v>9.5752237216411767E-2</v>
      </c>
      <c r="DK95" s="315"/>
      <c r="DL95" s="315"/>
      <c r="DM95" s="315"/>
      <c r="DN95" s="315"/>
      <c r="DO95" s="168"/>
      <c r="DQ95" s="107" t="s">
        <v>395</v>
      </c>
      <c r="DR95" s="315"/>
      <c r="DS95" s="315"/>
      <c r="DT95" s="315"/>
      <c r="DU95" s="315"/>
      <c r="DV95" s="315"/>
      <c r="DW95" s="315"/>
      <c r="DX95" s="315"/>
      <c r="DY95" s="315"/>
      <c r="DZ95" s="314">
        <v>0</v>
      </c>
      <c r="EA95" s="315"/>
      <c r="EB95" s="315"/>
      <c r="EC95" s="315"/>
      <c r="ED95" s="315"/>
      <c r="EE95" s="168"/>
      <c r="EG95" s="107" t="s">
        <v>395</v>
      </c>
      <c r="EH95" s="315"/>
      <c r="EI95" s="315"/>
      <c r="EJ95" s="315"/>
      <c r="EK95" s="315"/>
      <c r="EL95" s="315"/>
      <c r="EM95" s="315"/>
      <c r="EN95" s="315"/>
      <c r="EO95" s="315"/>
      <c r="EP95" s="314">
        <v>0</v>
      </c>
      <c r="EQ95" s="315"/>
      <c r="ER95" s="315"/>
      <c r="ES95" s="315"/>
      <c r="ET95" s="315"/>
      <c r="EU95" s="168"/>
      <c r="EW95" s="164" t="s">
        <v>546</v>
      </c>
      <c r="EX95" s="316">
        <f t="shared" si="140"/>
        <v>0</v>
      </c>
      <c r="EY95" s="316">
        <f t="shared" si="136"/>
        <v>0</v>
      </c>
      <c r="EZ95" s="316">
        <f t="shared" si="136"/>
        <v>-6.7056348384372582</v>
      </c>
      <c r="FA95" s="316">
        <f t="shared" si="136"/>
        <v>-6.7056348384372582</v>
      </c>
      <c r="FB95" s="316">
        <f t="shared" si="136"/>
        <v>-9.6573690322470966</v>
      </c>
      <c r="FC95" s="316">
        <f t="shared" si="136"/>
        <v>-9.6573690322470966</v>
      </c>
      <c r="FD95" s="316">
        <f t="shared" si="136"/>
        <v>-2.494724255990163</v>
      </c>
      <c r="FE95" s="316">
        <f t="shared" si="136"/>
        <v>0</v>
      </c>
      <c r="FF95" s="316"/>
      <c r="FG95" s="316">
        <f t="shared" si="136"/>
        <v>0</v>
      </c>
      <c r="FH95" s="316">
        <f t="shared" si="136"/>
        <v>0</v>
      </c>
      <c r="FI95" s="316">
        <f t="shared" si="136"/>
        <v>0</v>
      </c>
      <c r="FJ95" s="316">
        <f t="shared" si="136"/>
        <v>-1.4417201369337513</v>
      </c>
      <c r="FK95" s="316">
        <f t="shared" si="136"/>
        <v>0</v>
      </c>
      <c r="FL95" s="168"/>
    </row>
    <row r="96" spans="2:168" x14ac:dyDescent="0.25">
      <c r="B96" s="107" t="s">
        <v>396</v>
      </c>
      <c r="C96" s="294"/>
      <c r="D96" s="294"/>
      <c r="E96" s="294"/>
      <c r="F96" s="294"/>
      <c r="G96" s="294"/>
      <c r="H96" s="294"/>
      <c r="I96" s="294"/>
      <c r="J96" s="294"/>
      <c r="K96" s="294"/>
      <c r="L96" s="160">
        <f>TripMode_inputCBD!L78</f>
        <v>2802.58779</v>
      </c>
      <c r="M96" s="294"/>
      <c r="N96" s="294"/>
      <c r="O96" s="294"/>
      <c r="P96" s="162">
        <f t="shared" si="128"/>
        <v>2802.58779</v>
      </c>
      <c r="R96">
        <f t="shared" si="137"/>
        <v>0</v>
      </c>
      <c r="S96">
        <f t="shared" si="138"/>
        <v>1</v>
      </c>
      <c r="T96">
        <f t="shared" si="139"/>
        <v>0</v>
      </c>
      <c r="V96" s="127">
        <f>+L96/L$160</f>
        <v>4.7359321247779543E-2</v>
      </c>
      <c r="W96" s="127"/>
      <c r="X96" s="127"/>
      <c r="Y96" s="107" t="s">
        <v>396</v>
      </c>
      <c r="Z96" s="294"/>
      <c r="AA96" s="294"/>
      <c r="AB96" s="294"/>
      <c r="AC96" s="294"/>
      <c r="AD96" s="294"/>
      <c r="AE96" s="294"/>
      <c r="AF96" s="294"/>
      <c r="AG96" s="294"/>
      <c r="AH96" s="294"/>
      <c r="AI96" s="160">
        <f>V96*V$160</f>
        <v>1481.683042735114</v>
      </c>
      <c r="AJ96" s="294"/>
      <c r="AK96" s="294"/>
      <c r="AL96" s="294"/>
      <c r="AM96" s="162">
        <f t="shared" si="130"/>
        <v>1481.683042735114</v>
      </c>
      <c r="AN96" s="127"/>
      <c r="AO96" s="107" t="s">
        <v>396</v>
      </c>
      <c r="AP96" s="294">
        <f>TripMode_inputCBD!R78*Index!$B$2</f>
        <v>0</v>
      </c>
      <c r="AQ96" s="294">
        <f>TripMode_inputCBD!S78*Index!$B$2</f>
        <v>0</v>
      </c>
      <c r="AR96" s="294">
        <f>TripMode_inputCBD!T78*Index!$B$2</f>
        <v>0</v>
      </c>
      <c r="AS96" s="294">
        <f>TripMode_inputCBD!U78*Index!$B$2</f>
        <v>0</v>
      </c>
      <c r="AT96" s="294">
        <f>TripMode_inputCBD!V78*Index!$B$2</f>
        <v>0</v>
      </c>
      <c r="AU96" s="294">
        <f>TripMode_inputCBD!W78*Index!$B$2</f>
        <v>0</v>
      </c>
      <c r="AV96" s="294">
        <f>TripMode_inputCBD!X78*Index!$B$2</f>
        <v>0</v>
      </c>
      <c r="AW96" s="294">
        <f>TripMode_inputCBD!Y78*Index!$B$2</f>
        <v>0</v>
      </c>
      <c r="AX96" s="294">
        <f>TripMode_inputCBD!AA78*Index!$B$2</f>
        <v>0</v>
      </c>
      <c r="AY96" s="160">
        <f>TripMode_inputCBD!AB78*Index!$B$2</f>
        <v>1415</v>
      </c>
      <c r="AZ96" s="294">
        <f>TripMode_inputCBD!AC78*Index!$B$2</f>
        <v>0</v>
      </c>
      <c r="BA96" s="294">
        <f>TripMode_inputCBD!AD78*Index!$B$2</f>
        <v>0</v>
      </c>
      <c r="BB96" s="294">
        <f>TripMode_inputCBD!AE78*Index!$B$2</f>
        <v>0</v>
      </c>
      <c r="BC96" s="162">
        <f t="shared" si="131"/>
        <v>1415</v>
      </c>
      <c r="BE96" s="107" t="s">
        <v>396</v>
      </c>
      <c r="BF96" s="166">
        <f t="shared" si="145"/>
        <v>0</v>
      </c>
      <c r="BG96" s="166">
        <f t="shared" si="145"/>
        <v>0</v>
      </c>
      <c r="BH96" s="166">
        <f t="shared" si="145"/>
        <v>0</v>
      </c>
      <c r="BI96" s="166" t="str">
        <f t="shared" si="145"/>
        <v/>
      </c>
      <c r="BJ96" s="166">
        <f t="shared" si="145"/>
        <v>0</v>
      </c>
      <c r="BK96" s="166" t="str">
        <f t="shared" si="145"/>
        <v/>
      </c>
      <c r="BL96" s="166">
        <f t="shared" si="145"/>
        <v>0</v>
      </c>
      <c r="BM96" s="166">
        <f t="shared" si="145"/>
        <v>0</v>
      </c>
      <c r="BN96" s="166">
        <f t="shared" si="145"/>
        <v>0</v>
      </c>
      <c r="BO96" s="166">
        <f t="shared" si="145"/>
        <v>1</v>
      </c>
      <c r="BP96" s="166">
        <f t="shared" si="145"/>
        <v>0</v>
      </c>
      <c r="BQ96" s="166">
        <f t="shared" si="145"/>
        <v>0</v>
      </c>
      <c r="BR96" s="166">
        <f t="shared" si="145"/>
        <v>0</v>
      </c>
      <c r="BS96" s="166">
        <f t="shared" si="145"/>
        <v>4.2897961429551297E-3</v>
      </c>
      <c r="BU96" s="107" t="s">
        <v>396</v>
      </c>
      <c r="BV96" s="166">
        <f t="shared" si="146"/>
        <v>0</v>
      </c>
      <c r="BW96" s="166">
        <f t="shared" si="146"/>
        <v>0</v>
      </c>
      <c r="BX96" s="166">
        <f t="shared" si="146"/>
        <v>0</v>
      </c>
      <c r="BY96" s="166">
        <f t="shared" si="146"/>
        <v>0</v>
      </c>
      <c r="BZ96" s="166">
        <f t="shared" si="146"/>
        <v>0</v>
      </c>
      <c r="CA96" s="166">
        <f t="shared" si="146"/>
        <v>0</v>
      </c>
      <c r="CB96" s="166">
        <f t="shared" si="146"/>
        <v>0</v>
      </c>
      <c r="CC96" s="166">
        <f t="shared" si="146"/>
        <v>0</v>
      </c>
      <c r="CD96" s="166">
        <f t="shared" si="146"/>
        <v>0</v>
      </c>
      <c r="CE96" s="166">
        <f t="shared" si="146"/>
        <v>1</v>
      </c>
      <c r="CF96" s="166">
        <f t="shared" si="146"/>
        <v>0</v>
      </c>
      <c r="CG96" s="166">
        <f t="shared" si="146"/>
        <v>0</v>
      </c>
      <c r="CH96" s="166" t="str">
        <f t="shared" si="146"/>
        <v/>
      </c>
      <c r="CI96" s="168">
        <f t="shared" si="146"/>
        <v>4.7118762591365449E-3</v>
      </c>
      <c r="CK96" s="107" t="s">
        <v>396</v>
      </c>
      <c r="CL96" s="166" t="str">
        <f t="shared" si="148"/>
        <v/>
      </c>
      <c r="CM96" s="166" t="str">
        <f t="shared" si="148"/>
        <v/>
      </c>
      <c r="CN96" s="166" t="str">
        <f t="shared" si="148"/>
        <v/>
      </c>
      <c r="CO96" s="166" t="str">
        <f t="shared" si="148"/>
        <v/>
      </c>
      <c r="CP96" s="166"/>
      <c r="CQ96" s="166"/>
      <c r="CR96" s="166"/>
      <c r="CS96" s="166"/>
      <c r="CT96" s="166" t="str">
        <f t="shared" si="149"/>
        <v/>
      </c>
      <c r="CU96" s="166">
        <f t="shared" si="149"/>
        <v>0</v>
      </c>
      <c r="CV96" s="166" t="str">
        <f t="shared" si="149"/>
        <v/>
      </c>
      <c r="CW96" s="166" t="str">
        <f t="shared" si="149"/>
        <v/>
      </c>
      <c r="CX96" s="166" t="str">
        <f t="shared" si="149"/>
        <v/>
      </c>
      <c r="CY96" s="168">
        <f t="shared" si="149"/>
        <v>9.8391648953895308E-2</v>
      </c>
      <c r="DA96" s="107" t="s">
        <v>396</v>
      </c>
      <c r="DB96" s="315"/>
      <c r="DC96" s="315"/>
      <c r="DD96" s="315"/>
      <c r="DE96" s="315"/>
      <c r="DF96" s="315"/>
      <c r="DG96" s="315"/>
      <c r="DH96" s="315"/>
      <c r="DI96" s="315"/>
      <c r="DJ96" s="315"/>
      <c r="DK96" s="314">
        <f>IFERROR(IF(CE96&gt;0,LN(BO96/CE96),0),0)</f>
        <v>0</v>
      </c>
      <c r="DL96" s="315"/>
      <c r="DM96" s="315"/>
      <c r="DN96" s="315"/>
      <c r="DO96" s="168"/>
      <c r="DQ96" s="107" t="s">
        <v>396</v>
      </c>
      <c r="DR96" s="315"/>
      <c r="DS96" s="315"/>
      <c r="DT96" s="315"/>
      <c r="DU96" s="315"/>
      <c r="DV96" s="315"/>
      <c r="DW96" s="315"/>
      <c r="DX96" s="315"/>
      <c r="DY96" s="315"/>
      <c r="DZ96" s="315"/>
      <c r="EA96" s="314">
        <v>0</v>
      </c>
      <c r="EB96" s="315"/>
      <c r="EC96" s="315"/>
      <c r="ED96" s="315"/>
      <c r="EE96" s="168"/>
      <c r="EG96" s="107" t="s">
        <v>396</v>
      </c>
      <c r="EH96" s="315"/>
      <c r="EI96" s="315"/>
      <c r="EJ96" s="315"/>
      <c r="EK96" s="315"/>
      <c r="EL96" s="315"/>
      <c r="EM96" s="315"/>
      <c r="EN96" s="315"/>
      <c r="EO96" s="315"/>
      <c r="EP96" s="315"/>
      <c r="EQ96" s="314">
        <v>0</v>
      </c>
      <c r="ER96" s="315"/>
      <c r="ES96" s="315"/>
      <c r="ET96" s="315"/>
      <c r="EU96" s="168"/>
      <c r="EW96" s="164" t="s">
        <v>396</v>
      </c>
      <c r="EX96" s="316">
        <f t="shared" si="140"/>
        <v>0</v>
      </c>
      <c r="EY96" s="316">
        <f t="shared" si="136"/>
        <v>0</v>
      </c>
      <c r="EZ96" s="316">
        <f t="shared" si="136"/>
        <v>0</v>
      </c>
      <c r="FA96" s="316">
        <f t="shared" si="136"/>
        <v>0</v>
      </c>
      <c r="FB96" s="316">
        <f t="shared" si="136"/>
        <v>0</v>
      </c>
      <c r="FC96" s="316">
        <f t="shared" si="136"/>
        <v>0</v>
      </c>
      <c r="FD96" s="316">
        <f t="shared" si="136"/>
        <v>0</v>
      </c>
      <c r="FE96" s="316">
        <f t="shared" si="136"/>
        <v>0</v>
      </c>
      <c r="FF96" s="316"/>
      <c r="FG96" s="316">
        <f t="shared" si="136"/>
        <v>0</v>
      </c>
      <c r="FH96" s="316">
        <f t="shared" si="136"/>
        <v>0</v>
      </c>
      <c r="FI96" s="316">
        <f t="shared" si="136"/>
        <v>0</v>
      </c>
      <c r="FJ96" s="316">
        <f t="shared" si="136"/>
        <v>0</v>
      </c>
      <c r="FK96" s="316">
        <f t="shared" si="136"/>
        <v>0</v>
      </c>
      <c r="FL96" s="168"/>
    </row>
    <row r="97" spans="2:168" x14ac:dyDescent="0.25">
      <c r="B97" s="107" t="s">
        <v>397</v>
      </c>
      <c r="C97" s="294"/>
      <c r="D97" s="294"/>
      <c r="E97" s="294"/>
      <c r="F97" s="294"/>
      <c r="G97" s="294"/>
      <c r="H97" s="294"/>
      <c r="I97" s="294"/>
      <c r="J97" s="294"/>
      <c r="K97" s="294"/>
      <c r="L97" s="294"/>
      <c r="M97" s="160">
        <f>TripMode_inputCBD!M79</f>
        <v>5826.9007499999998</v>
      </c>
      <c r="N97" s="294"/>
      <c r="O97" s="294"/>
      <c r="P97" s="162">
        <f t="shared" si="128"/>
        <v>5826.9007499999998</v>
      </c>
      <c r="R97">
        <f t="shared" si="137"/>
        <v>0</v>
      </c>
      <c r="S97">
        <f t="shared" si="138"/>
        <v>0</v>
      </c>
      <c r="T97">
        <f t="shared" si="139"/>
        <v>1</v>
      </c>
      <c r="W97" s="127">
        <f>+M97/M$161</f>
        <v>2.4075552097727337E-2</v>
      </c>
      <c r="X97" s="127"/>
      <c r="Y97" s="107" t="s">
        <v>397</v>
      </c>
      <c r="Z97" s="294"/>
      <c r="AA97" s="294"/>
      <c r="AB97" s="294"/>
      <c r="AC97" s="294"/>
      <c r="AD97" s="294"/>
      <c r="AE97" s="294"/>
      <c r="AF97" s="294"/>
      <c r="AG97" s="294"/>
      <c r="AH97" s="294"/>
      <c r="AI97" s="294"/>
      <c r="AJ97" s="160">
        <f>W97*W$161</f>
        <v>2219.5405108767418</v>
      </c>
      <c r="AK97" s="294"/>
      <c r="AL97" s="294"/>
      <c r="AM97" s="162">
        <f t="shared" si="130"/>
        <v>2219.5405108767418</v>
      </c>
      <c r="AN97" s="127"/>
      <c r="AO97" s="107" t="s">
        <v>397</v>
      </c>
      <c r="AP97" s="294">
        <f>TripMode_inputCBD!R79*Index!$B$2</f>
        <v>0</v>
      </c>
      <c r="AQ97" s="294">
        <f>TripMode_inputCBD!S79*Index!$B$2</f>
        <v>0</v>
      </c>
      <c r="AR97" s="294">
        <f>TripMode_inputCBD!T79*Index!$B$2</f>
        <v>0</v>
      </c>
      <c r="AS97" s="294">
        <f>TripMode_inputCBD!U79*Index!$B$2</f>
        <v>0</v>
      </c>
      <c r="AT97" s="294">
        <f>TripMode_inputCBD!V79*Index!$B$2</f>
        <v>0</v>
      </c>
      <c r="AU97" s="294">
        <f>TripMode_inputCBD!W79*Index!$B$2</f>
        <v>0</v>
      </c>
      <c r="AV97" s="294">
        <f>TripMode_inputCBD!X79*Index!$B$2</f>
        <v>0</v>
      </c>
      <c r="AW97" s="294">
        <f>TripMode_inputCBD!Y79*Index!$B$2</f>
        <v>0</v>
      </c>
      <c r="AX97" s="294">
        <f>TripMode_inputCBD!AA79*Index!$B$2</f>
        <v>0</v>
      </c>
      <c r="AY97" s="294">
        <f>TripMode_inputCBD!AB79*Index!$B$2</f>
        <v>0</v>
      </c>
      <c r="AZ97" s="160">
        <f>TripMode_inputCBD!AC79*Index!$B$2</f>
        <v>165</v>
      </c>
      <c r="BA97" s="294">
        <f>TripMode_inputCBD!AD79*Index!$B$2</f>
        <v>0</v>
      </c>
      <c r="BB97" s="294">
        <f>TripMode_inputCBD!AE79*Index!$B$2</f>
        <v>0</v>
      </c>
      <c r="BC97" s="162">
        <f t="shared" si="131"/>
        <v>165</v>
      </c>
      <c r="BE97" s="107" t="s">
        <v>397</v>
      </c>
      <c r="BF97" s="166">
        <f t="shared" si="145"/>
        <v>0</v>
      </c>
      <c r="BG97" s="166">
        <f t="shared" si="145"/>
        <v>0</v>
      </c>
      <c r="BH97" s="166">
        <f t="shared" si="145"/>
        <v>0</v>
      </c>
      <c r="BI97" s="166" t="str">
        <f t="shared" si="145"/>
        <v/>
      </c>
      <c r="BJ97" s="166">
        <f t="shared" si="145"/>
        <v>0</v>
      </c>
      <c r="BK97" s="166" t="str">
        <f t="shared" si="145"/>
        <v/>
      </c>
      <c r="BL97" s="166">
        <f t="shared" si="145"/>
        <v>0</v>
      </c>
      <c r="BM97" s="166">
        <f t="shared" si="145"/>
        <v>0</v>
      </c>
      <c r="BN97" s="166">
        <f t="shared" si="145"/>
        <v>0</v>
      </c>
      <c r="BO97" s="166">
        <f t="shared" si="145"/>
        <v>0</v>
      </c>
      <c r="BP97" s="166">
        <f t="shared" si="145"/>
        <v>1</v>
      </c>
      <c r="BQ97" s="166">
        <f t="shared" si="145"/>
        <v>0</v>
      </c>
      <c r="BR97" s="166">
        <f t="shared" si="145"/>
        <v>0</v>
      </c>
      <c r="BS97" s="166">
        <f t="shared" si="145"/>
        <v>6.4260547283552048E-3</v>
      </c>
      <c r="BU97" s="107" t="s">
        <v>397</v>
      </c>
      <c r="BV97" s="166">
        <f t="shared" si="146"/>
        <v>0</v>
      </c>
      <c r="BW97" s="166">
        <f t="shared" si="146"/>
        <v>0</v>
      </c>
      <c r="BX97" s="166">
        <f t="shared" si="146"/>
        <v>0</v>
      </c>
      <c r="BY97" s="166">
        <f t="shared" si="146"/>
        <v>0</v>
      </c>
      <c r="BZ97" s="166">
        <f t="shared" si="146"/>
        <v>0</v>
      </c>
      <c r="CA97" s="166">
        <f t="shared" si="146"/>
        <v>0</v>
      </c>
      <c r="CB97" s="166">
        <f t="shared" si="146"/>
        <v>0</v>
      </c>
      <c r="CC97" s="166">
        <f t="shared" si="146"/>
        <v>0</v>
      </c>
      <c r="CD97" s="166">
        <f t="shared" si="146"/>
        <v>0</v>
      </c>
      <c r="CE97" s="166">
        <f t="shared" si="146"/>
        <v>0</v>
      </c>
      <c r="CF97" s="166">
        <f t="shared" si="146"/>
        <v>1</v>
      </c>
      <c r="CG97" s="166">
        <f t="shared" si="146"/>
        <v>0</v>
      </c>
      <c r="CH97" s="166" t="str">
        <f t="shared" si="146"/>
        <v/>
      </c>
      <c r="CI97" s="168">
        <f t="shared" si="146"/>
        <v>5.4944140124207062E-4</v>
      </c>
      <c r="CK97" s="107" t="s">
        <v>397</v>
      </c>
      <c r="CL97" s="166" t="str">
        <f t="shared" si="148"/>
        <v/>
      </c>
      <c r="CM97" s="166" t="str">
        <f t="shared" si="148"/>
        <v/>
      </c>
      <c r="CN97" s="166" t="str">
        <f t="shared" si="148"/>
        <v/>
      </c>
      <c r="CO97" s="166" t="str">
        <f t="shared" si="148"/>
        <v/>
      </c>
      <c r="CP97" s="166"/>
      <c r="CQ97" s="166"/>
      <c r="CR97" s="166"/>
      <c r="CS97" s="166"/>
      <c r="CT97" s="166" t="str">
        <f t="shared" si="149"/>
        <v/>
      </c>
      <c r="CU97" s="166" t="str">
        <f t="shared" si="149"/>
        <v/>
      </c>
      <c r="CV97" s="166">
        <f t="shared" si="149"/>
        <v>0</v>
      </c>
      <c r="CW97" s="166" t="str">
        <f t="shared" si="149"/>
        <v/>
      </c>
      <c r="CX97" s="166" t="str">
        <f t="shared" si="149"/>
        <v/>
      </c>
      <c r="CY97" s="168">
        <f t="shared" si="149"/>
        <v>-0.91449786463572436</v>
      </c>
      <c r="DA97" s="107" t="s">
        <v>397</v>
      </c>
      <c r="DB97" s="315"/>
      <c r="DC97" s="315"/>
      <c r="DD97" s="315"/>
      <c r="DE97" s="315"/>
      <c r="DF97" s="315"/>
      <c r="DG97" s="315"/>
      <c r="DH97" s="315"/>
      <c r="DI97" s="315"/>
      <c r="DJ97" s="315"/>
      <c r="DK97" s="315"/>
      <c r="DL97" s="314">
        <f>IFERROR(IF(CF97&gt;0,LN(BP97/CF97),0),0)</f>
        <v>0</v>
      </c>
      <c r="DM97" s="315"/>
      <c r="DN97" s="315"/>
      <c r="DO97" s="168"/>
      <c r="DQ97" s="107" t="s">
        <v>397</v>
      </c>
      <c r="DR97" s="315"/>
      <c r="DS97" s="315"/>
      <c r="DT97" s="315"/>
      <c r="DU97" s="315"/>
      <c r="DV97" s="315"/>
      <c r="DW97" s="315"/>
      <c r="DX97" s="315"/>
      <c r="DY97" s="315"/>
      <c r="DZ97" s="315"/>
      <c r="EA97" s="315"/>
      <c r="EB97" s="314">
        <v>0</v>
      </c>
      <c r="EC97" s="315"/>
      <c r="ED97" s="315"/>
      <c r="EE97" s="168"/>
      <c r="EG97" s="107" t="s">
        <v>397</v>
      </c>
      <c r="EH97" s="315"/>
      <c r="EI97" s="315"/>
      <c r="EJ97" s="315"/>
      <c r="EK97" s="315"/>
      <c r="EL97" s="315"/>
      <c r="EM97" s="315"/>
      <c r="EN97" s="315"/>
      <c r="EO97" s="315"/>
      <c r="EP97" s="315"/>
      <c r="EQ97" s="315"/>
      <c r="ER97" s="314">
        <v>0</v>
      </c>
      <c r="ES97" s="315"/>
      <c r="ET97" s="315"/>
      <c r="EU97" s="168"/>
      <c r="EW97" s="164" t="s">
        <v>397</v>
      </c>
      <c r="EX97" s="316">
        <f t="shared" si="140"/>
        <v>0</v>
      </c>
      <c r="EY97" s="316">
        <f t="shared" si="136"/>
        <v>0</v>
      </c>
      <c r="EZ97" s="316">
        <f t="shared" si="136"/>
        <v>0</v>
      </c>
      <c r="FA97" s="316">
        <f t="shared" si="136"/>
        <v>0</v>
      </c>
      <c r="FB97" s="316">
        <f t="shared" si="136"/>
        <v>0</v>
      </c>
      <c r="FC97" s="316">
        <f t="shared" si="136"/>
        <v>0</v>
      </c>
      <c r="FD97" s="316">
        <f t="shared" si="136"/>
        <v>0</v>
      </c>
      <c r="FE97" s="316">
        <f t="shared" si="136"/>
        <v>0</v>
      </c>
      <c r="FF97" s="316"/>
      <c r="FG97" s="316">
        <f t="shared" si="136"/>
        <v>0</v>
      </c>
      <c r="FH97" s="316">
        <f t="shared" si="136"/>
        <v>0</v>
      </c>
      <c r="FI97" s="316">
        <f t="shared" si="136"/>
        <v>0</v>
      </c>
      <c r="FJ97" s="316">
        <f t="shared" si="136"/>
        <v>0</v>
      </c>
      <c r="FK97" s="316">
        <f t="shared" si="136"/>
        <v>0</v>
      </c>
      <c r="FL97" s="168"/>
    </row>
    <row r="98" spans="2:168" x14ac:dyDescent="0.25">
      <c r="B98" s="107" t="s">
        <v>398</v>
      </c>
      <c r="C98" s="294"/>
      <c r="D98" s="294"/>
      <c r="E98" s="294"/>
      <c r="F98" s="294"/>
      <c r="G98" s="294"/>
      <c r="H98" s="294"/>
      <c r="I98" s="294"/>
      <c r="J98" s="294"/>
      <c r="K98" s="160">
        <f>TripMode_inputCBD!J80+TripMode_inputCBD!K80</f>
        <v>593.85871999999995</v>
      </c>
      <c r="L98" s="294"/>
      <c r="M98" s="294"/>
      <c r="N98" s="160">
        <f>TripMode_inputCBD!N80</f>
        <v>2494.0037699999998</v>
      </c>
      <c r="O98" s="294"/>
      <c r="P98" s="162">
        <f t="shared" si="128"/>
        <v>3087.8624899999995</v>
      </c>
      <c r="R98">
        <f t="shared" si="137"/>
        <v>1.0084134215648424E-2</v>
      </c>
      <c r="S98">
        <f t="shared" si="138"/>
        <v>0</v>
      </c>
      <c r="T98">
        <f t="shared" si="139"/>
        <v>0</v>
      </c>
      <c r="Y98" s="107" t="s">
        <v>398</v>
      </c>
      <c r="Z98" s="294"/>
      <c r="AA98" s="294"/>
      <c r="AB98" s="294"/>
      <c r="AC98" s="294"/>
      <c r="AD98" s="294"/>
      <c r="AE98" s="294"/>
      <c r="AF98" s="294"/>
      <c r="AG98" s="294"/>
      <c r="AH98" s="160">
        <f>AH95*R98</f>
        <v>569.32655659545014</v>
      </c>
      <c r="AI98" s="160">
        <f>AI96*S98</f>
        <v>0</v>
      </c>
      <c r="AJ98" s="160">
        <f>AJ97*T98</f>
        <v>0</v>
      </c>
      <c r="AK98" s="160">
        <f>N98</f>
        <v>2494.0037699999998</v>
      </c>
      <c r="AL98" s="294"/>
      <c r="AM98" s="162">
        <f t="shared" si="130"/>
        <v>3063.3303265954501</v>
      </c>
      <c r="AO98" s="107" t="s">
        <v>398</v>
      </c>
      <c r="AP98" s="294">
        <f>TripMode_inputCBD!R80*Index!$B$2</f>
        <v>0</v>
      </c>
      <c r="AQ98" s="294">
        <f>TripMode_inputCBD!S80*Index!$B$2</f>
        <v>0</v>
      </c>
      <c r="AR98" s="294">
        <f>TripMode_inputCBD!T80*Index!$B$2</f>
        <v>0</v>
      </c>
      <c r="AS98" s="294">
        <f>TripMode_inputCBD!U80*Index!$B$2</f>
        <v>0</v>
      </c>
      <c r="AT98" s="294">
        <f>TripMode_inputCBD!V80*Index!$B$2</f>
        <v>0</v>
      </c>
      <c r="AU98" s="294">
        <f>TripMode_inputCBD!W80*Index!$B$2</f>
        <v>0</v>
      </c>
      <c r="AV98" s="294">
        <f>TripMode_inputCBD!X80*Index!$B$2</f>
        <v>0</v>
      </c>
      <c r="AW98" s="294">
        <f>TripMode_inputCBD!Y80*Index!$B$2</f>
        <v>0</v>
      </c>
      <c r="AX98" s="160">
        <f>TripMode_inputCBD!AA80*Index!$B$2</f>
        <v>695</v>
      </c>
      <c r="AY98" s="160">
        <f>TripMode_inputCBD!AB80*Index!$B$2</f>
        <v>0</v>
      </c>
      <c r="AZ98" s="160">
        <f>TripMode_inputCBD!AC80*Index!$B$2</f>
        <v>0</v>
      </c>
      <c r="BA98" s="160">
        <f>TripMode_inputCBD!AD80*Index!$B$2</f>
        <v>2350</v>
      </c>
      <c r="BB98" s="294">
        <f>TripMode_inputCBD!AE80*Index!$B$2</f>
        <v>0</v>
      </c>
      <c r="BC98" s="162">
        <f t="shared" si="131"/>
        <v>3045</v>
      </c>
      <c r="BE98" s="107" t="s">
        <v>398</v>
      </c>
      <c r="BF98" s="166">
        <f t="shared" si="145"/>
        <v>0</v>
      </c>
      <c r="BG98" s="166">
        <f t="shared" si="145"/>
        <v>0</v>
      </c>
      <c r="BH98" s="166">
        <f t="shared" si="145"/>
        <v>0</v>
      </c>
      <c r="BI98" s="166" t="str">
        <f t="shared" si="145"/>
        <v/>
      </c>
      <c r="BJ98" s="166">
        <f t="shared" si="145"/>
        <v>0</v>
      </c>
      <c r="BK98" s="166" t="str">
        <f t="shared" si="145"/>
        <v/>
      </c>
      <c r="BL98" s="166">
        <f t="shared" si="145"/>
        <v>0</v>
      </c>
      <c r="BM98" s="166">
        <f t="shared" si="145"/>
        <v>0</v>
      </c>
      <c r="BN98" s="166">
        <f t="shared" si="145"/>
        <v>7.4191128367657672E-3</v>
      </c>
      <c r="BO98" s="166">
        <f t="shared" si="145"/>
        <v>0</v>
      </c>
      <c r="BP98" s="166">
        <f t="shared" si="145"/>
        <v>0</v>
      </c>
      <c r="BQ98" s="166">
        <f t="shared" si="145"/>
        <v>0.88514031349741495</v>
      </c>
      <c r="BR98" s="166">
        <f t="shared" si="145"/>
        <v>0</v>
      </c>
      <c r="BS98" s="166">
        <f t="shared" si="145"/>
        <v>8.8690106052431335E-3</v>
      </c>
      <c r="BU98" s="107" t="s">
        <v>398</v>
      </c>
      <c r="BV98" s="166">
        <f t="shared" si="146"/>
        <v>0</v>
      </c>
      <c r="BW98" s="166">
        <f t="shared" si="146"/>
        <v>0</v>
      </c>
      <c r="BX98" s="166">
        <f t="shared" si="146"/>
        <v>0</v>
      </c>
      <c r="BY98" s="166">
        <f t="shared" si="146"/>
        <v>0</v>
      </c>
      <c r="BZ98" s="166">
        <f t="shared" si="146"/>
        <v>0</v>
      </c>
      <c r="CA98" s="166">
        <f t="shared" si="146"/>
        <v>0</v>
      </c>
      <c r="CB98" s="166">
        <f t="shared" si="146"/>
        <v>0</v>
      </c>
      <c r="CC98" s="166">
        <f t="shared" si="146"/>
        <v>0</v>
      </c>
      <c r="CD98" s="166">
        <f t="shared" si="146"/>
        <v>9.4218125127092794E-3</v>
      </c>
      <c r="CE98" s="166">
        <f t="shared" si="146"/>
        <v>0</v>
      </c>
      <c r="CF98" s="166">
        <f t="shared" si="146"/>
        <v>0</v>
      </c>
      <c r="CG98" s="166">
        <f t="shared" si="146"/>
        <v>0.6601123595505618</v>
      </c>
      <c r="CH98" s="166" t="str">
        <f t="shared" si="146"/>
        <v/>
      </c>
      <c r="CI98" s="168">
        <f t="shared" si="146"/>
        <v>1.0139691313830938E-2</v>
      </c>
      <c r="CK98" s="107" t="s">
        <v>398</v>
      </c>
      <c r="CL98" s="166" t="str">
        <f t="shared" si="148"/>
        <v/>
      </c>
      <c r="CM98" s="166" t="str">
        <f t="shared" si="148"/>
        <v/>
      </c>
      <c r="CN98" s="166" t="str">
        <f t="shared" si="148"/>
        <v/>
      </c>
      <c r="CO98" s="166" t="str">
        <f t="shared" si="148"/>
        <v/>
      </c>
      <c r="CP98" s="166"/>
      <c r="CQ98" s="166"/>
      <c r="CR98" s="166"/>
      <c r="CS98" s="166"/>
      <c r="CT98" s="166">
        <f t="shared" si="149"/>
        <v>0.26993789149816383</v>
      </c>
      <c r="CU98" s="166" t="str">
        <f t="shared" si="149"/>
        <v/>
      </c>
      <c r="CV98" s="166" t="str">
        <f t="shared" si="149"/>
        <v/>
      </c>
      <c r="CW98" s="166">
        <f t="shared" si="149"/>
        <v>-0.25422856751118966</v>
      </c>
      <c r="CX98" s="166" t="str">
        <f t="shared" si="149"/>
        <v/>
      </c>
      <c r="CY98" s="168">
        <f t="shared" si="149"/>
        <v>0.14327197983466278</v>
      </c>
      <c r="DA98" s="107" t="s">
        <v>398</v>
      </c>
      <c r="DB98" s="315"/>
      <c r="DC98" s="315"/>
      <c r="DD98" s="315"/>
      <c r="DE98" s="315"/>
      <c r="DF98" s="315"/>
      <c r="DG98" s="315"/>
      <c r="DH98" s="315"/>
      <c r="DI98" s="315"/>
      <c r="DJ98" s="314">
        <f t="shared" si="147"/>
        <v>-0.23896799494248958</v>
      </c>
      <c r="DK98" s="314">
        <f>IFERROR(IF(CE98&gt;0,LN(BO98/CE98),0),0)</f>
        <v>0</v>
      </c>
      <c r="DL98" s="314">
        <f>IFERROR(IF(CF98&gt;0,LN(BP98/CF98),0),0)</f>
        <v>0</v>
      </c>
      <c r="DM98" s="314">
        <f>IFERROR(IF(CG98&gt;0,LN(BQ98/CG98),0),0)</f>
        <v>0.29333611649128633</v>
      </c>
      <c r="DN98" s="315"/>
      <c r="DO98" s="168"/>
      <c r="DQ98" s="107" t="s">
        <v>398</v>
      </c>
      <c r="DR98" s="315"/>
      <c r="DS98" s="315"/>
      <c r="DT98" s="315"/>
      <c r="DU98" s="315"/>
      <c r="DV98" s="315"/>
      <c r="DW98" s="315"/>
      <c r="DX98" s="315"/>
      <c r="DY98" s="315"/>
      <c r="DZ98" s="314">
        <v>-1.10699990477485</v>
      </c>
      <c r="EA98" s="314">
        <v>0</v>
      </c>
      <c r="EB98" s="314">
        <v>0</v>
      </c>
      <c r="EC98" s="314">
        <v>0</v>
      </c>
      <c r="ED98" s="315"/>
      <c r="EE98" s="168"/>
      <c r="EG98" s="107" t="s">
        <v>398</v>
      </c>
      <c r="EH98" s="315"/>
      <c r="EI98" s="315"/>
      <c r="EJ98" s="315"/>
      <c r="EK98" s="315"/>
      <c r="EL98" s="315"/>
      <c r="EM98" s="315"/>
      <c r="EN98" s="315"/>
      <c r="EO98" s="315"/>
      <c r="EP98" s="314">
        <f>DZ98+(DJ98-DJ$95)*$EI$1</f>
        <v>-1.4417201369337513</v>
      </c>
      <c r="EQ98" s="314">
        <f>EA98+(DK98-DK$96)*$EI$1</f>
        <v>0</v>
      </c>
      <c r="ER98" s="314">
        <f>EB98+(DL98-DL$97)*$EI$1</f>
        <v>0</v>
      </c>
      <c r="ES98" s="314">
        <v>0</v>
      </c>
      <c r="ET98" s="315"/>
      <c r="EU98" s="168"/>
      <c r="EW98" s="164" t="s">
        <v>398</v>
      </c>
      <c r="EX98" s="316">
        <f t="shared" si="140"/>
        <v>0</v>
      </c>
      <c r="EY98" s="316">
        <f t="shared" si="136"/>
        <v>0</v>
      </c>
      <c r="EZ98" s="316">
        <f t="shared" si="136"/>
        <v>-7.5494700521365612</v>
      </c>
      <c r="FA98" s="316">
        <f t="shared" si="136"/>
        <v>-7.5494700521365612</v>
      </c>
      <c r="FB98" s="316">
        <f t="shared" si="136"/>
        <v>-4.654670322611401</v>
      </c>
      <c r="FC98" s="316">
        <f t="shared" si="136"/>
        <v>-4.654670322611401</v>
      </c>
      <c r="FD98" s="316">
        <f t="shared" si="136"/>
        <v>-1.288256451399385</v>
      </c>
      <c r="FE98" s="316">
        <f t="shared" si="136"/>
        <v>0</v>
      </c>
      <c r="FF98" s="316"/>
      <c r="FG98" s="316">
        <f t="shared" si="136"/>
        <v>0</v>
      </c>
      <c r="FH98" s="316">
        <f t="shared" si="136"/>
        <v>0</v>
      </c>
      <c r="FI98" s="316">
        <f t="shared" si="136"/>
        <v>0</v>
      </c>
      <c r="FJ98" s="316">
        <f t="shared" si="136"/>
        <v>0</v>
      </c>
      <c r="FK98" s="316">
        <f t="shared" si="136"/>
        <v>0</v>
      </c>
      <c r="FL98" s="168"/>
    </row>
    <row r="99" spans="2:168" x14ac:dyDescent="0.25">
      <c r="B99" s="107" t="s">
        <v>399</v>
      </c>
      <c r="C99" s="294"/>
      <c r="D99" s="294"/>
      <c r="E99" s="294"/>
      <c r="F99" s="294"/>
      <c r="G99" s="294"/>
      <c r="H99" s="294"/>
      <c r="I99" s="294"/>
      <c r="J99" s="294"/>
      <c r="K99" s="294"/>
      <c r="L99" s="294"/>
      <c r="M99" s="294"/>
      <c r="N99" s="294"/>
      <c r="O99" s="160">
        <f>TripMode_inputCBD!O81</f>
        <v>168.20352</v>
      </c>
      <c r="P99" s="162">
        <f t="shared" si="128"/>
        <v>168.20352</v>
      </c>
      <c r="R99">
        <f t="shared" si="137"/>
        <v>0</v>
      </c>
      <c r="S99">
        <f t="shared" si="138"/>
        <v>0</v>
      </c>
      <c r="T99">
        <f t="shared" si="139"/>
        <v>0</v>
      </c>
      <c r="Y99" s="107" t="s">
        <v>399</v>
      </c>
      <c r="Z99" s="294"/>
      <c r="AA99" s="294"/>
      <c r="AB99" s="294"/>
      <c r="AC99" s="294"/>
      <c r="AD99" s="294"/>
      <c r="AE99" s="294"/>
      <c r="AF99" s="294"/>
      <c r="AG99" s="294"/>
      <c r="AH99" s="294"/>
      <c r="AI99" s="294"/>
      <c r="AJ99" s="294"/>
      <c r="AK99" s="294"/>
      <c r="AL99" s="160">
        <f>+O99</f>
        <v>168.20352</v>
      </c>
      <c r="AM99" s="162">
        <f t="shared" si="130"/>
        <v>168.20352</v>
      </c>
      <c r="AO99" s="107" t="s">
        <v>399</v>
      </c>
      <c r="AP99" s="294">
        <f>TripMode_inputCBD!R81*Index!$B$2</f>
        <v>0</v>
      </c>
      <c r="AQ99" s="294">
        <f>TripMode_inputCBD!S81*Index!$B$2</f>
        <v>0</v>
      </c>
      <c r="AR99" s="294">
        <f>TripMode_inputCBD!T81*Index!$B$2</f>
        <v>0</v>
      </c>
      <c r="AS99" s="294">
        <f>TripMode_inputCBD!U81*Index!$B$2</f>
        <v>0</v>
      </c>
      <c r="AT99" s="294">
        <f>TripMode_inputCBD!V81*Index!$B$2</f>
        <v>0</v>
      </c>
      <c r="AU99" s="294">
        <f>TripMode_inputCBD!W81*Index!$B$2</f>
        <v>0</v>
      </c>
      <c r="AV99" s="294">
        <f>TripMode_inputCBD!X81*Index!$B$2</f>
        <v>0</v>
      </c>
      <c r="AW99" s="294">
        <f>TripMode_inputCBD!Y81*Index!$B$2</f>
        <v>0</v>
      </c>
      <c r="AX99" s="294">
        <f>TripMode_inputCBD!AA81*Index!$B$2</f>
        <v>0</v>
      </c>
      <c r="AY99" s="294">
        <f>TripMode_inputCBD!AB81*Index!$B$2</f>
        <v>0</v>
      </c>
      <c r="AZ99" s="294">
        <f>TripMode_inputCBD!AC81*Index!$B$2</f>
        <v>0</v>
      </c>
      <c r="BA99" s="294">
        <f>TripMode_inputCBD!AD81*Index!$B$2</f>
        <v>0</v>
      </c>
      <c r="BB99" s="160">
        <f>TripMode_inputCBD!AE81*Index!$B$2</f>
        <v>0</v>
      </c>
      <c r="BC99" s="162">
        <f t="shared" si="131"/>
        <v>0</v>
      </c>
      <c r="BE99" s="107" t="s">
        <v>399</v>
      </c>
      <c r="BF99" s="166">
        <f t="shared" si="145"/>
        <v>0</v>
      </c>
      <c r="BG99" s="166">
        <f t="shared" si="145"/>
        <v>0</v>
      </c>
      <c r="BH99" s="166">
        <f t="shared" si="145"/>
        <v>0</v>
      </c>
      <c r="BI99" s="166" t="str">
        <f t="shared" si="145"/>
        <v/>
      </c>
      <c r="BJ99" s="166">
        <f t="shared" si="145"/>
        <v>0</v>
      </c>
      <c r="BK99" s="166" t="str">
        <f t="shared" si="145"/>
        <v/>
      </c>
      <c r="BL99" s="166">
        <f t="shared" si="145"/>
        <v>0</v>
      </c>
      <c r="BM99" s="166">
        <f t="shared" si="145"/>
        <v>0</v>
      </c>
      <c r="BN99" s="166">
        <f t="shared" si="145"/>
        <v>0</v>
      </c>
      <c r="BO99" s="166">
        <f t="shared" si="145"/>
        <v>0</v>
      </c>
      <c r="BP99" s="166">
        <f t="shared" si="145"/>
        <v>0</v>
      </c>
      <c r="BQ99" s="166">
        <f t="shared" si="145"/>
        <v>0</v>
      </c>
      <c r="BR99" s="166">
        <f t="shared" si="145"/>
        <v>1</v>
      </c>
      <c r="BS99" s="166">
        <f t="shared" si="145"/>
        <v>4.8698594133568133E-4</v>
      </c>
      <c r="BU99" s="107" t="s">
        <v>399</v>
      </c>
      <c r="BV99" s="166">
        <f t="shared" si="146"/>
        <v>0</v>
      </c>
      <c r="BW99" s="166">
        <f t="shared" si="146"/>
        <v>0</v>
      </c>
      <c r="BX99" s="166">
        <f t="shared" si="146"/>
        <v>0</v>
      </c>
      <c r="BY99" s="166">
        <f t="shared" si="146"/>
        <v>0</v>
      </c>
      <c r="BZ99" s="166">
        <f t="shared" si="146"/>
        <v>0</v>
      </c>
      <c r="CA99" s="166">
        <f t="shared" si="146"/>
        <v>0</v>
      </c>
      <c r="CB99" s="166">
        <f t="shared" si="146"/>
        <v>0</v>
      </c>
      <c r="CC99" s="166">
        <f t="shared" si="146"/>
        <v>0</v>
      </c>
      <c r="CD99" s="166">
        <f t="shared" si="146"/>
        <v>0</v>
      </c>
      <c r="CE99" s="166">
        <f t="shared" si="146"/>
        <v>0</v>
      </c>
      <c r="CF99" s="166">
        <f t="shared" si="146"/>
        <v>0</v>
      </c>
      <c r="CG99" s="166">
        <f t="shared" si="146"/>
        <v>0</v>
      </c>
      <c r="CH99" s="166" t="str">
        <f t="shared" si="146"/>
        <v/>
      </c>
      <c r="CI99" s="168">
        <f t="shared" si="146"/>
        <v>0</v>
      </c>
      <c r="CK99" s="107" t="s">
        <v>399</v>
      </c>
      <c r="CL99" s="166" t="str">
        <f t="shared" si="148"/>
        <v/>
      </c>
      <c r="CM99" s="166" t="str">
        <f t="shared" si="148"/>
        <v/>
      </c>
      <c r="CN99" s="166" t="str">
        <f t="shared" si="148"/>
        <v/>
      </c>
      <c r="CO99" s="166" t="str">
        <f t="shared" si="148"/>
        <v/>
      </c>
      <c r="CP99" s="166"/>
      <c r="CQ99" s="166"/>
      <c r="CR99" s="166"/>
      <c r="CS99" s="166"/>
      <c r="CT99" s="166" t="str">
        <f t="shared" si="149"/>
        <v/>
      </c>
      <c r="CU99" s="166" t="str">
        <f t="shared" si="149"/>
        <v/>
      </c>
      <c r="CV99" s="166" t="str">
        <f t="shared" si="149"/>
        <v/>
      </c>
      <c r="CW99" s="166" t="str">
        <f t="shared" si="149"/>
        <v/>
      </c>
      <c r="CX99" s="166" t="e">
        <f t="shared" si="149"/>
        <v>#VALUE!</v>
      </c>
      <c r="CY99" s="168">
        <f t="shared" si="149"/>
        <v>-1</v>
      </c>
      <c r="DA99" s="107" t="s">
        <v>399</v>
      </c>
      <c r="DB99" s="315"/>
      <c r="DC99" s="315"/>
      <c r="DD99" s="315"/>
      <c r="DE99" s="315"/>
      <c r="DF99" s="315"/>
      <c r="DG99" s="315"/>
      <c r="DH99" s="315"/>
      <c r="DI99" s="315"/>
      <c r="DJ99" s="315"/>
      <c r="DK99" s="315"/>
      <c r="DL99" s="315"/>
      <c r="DM99" s="315"/>
      <c r="DN99" s="314">
        <f>IFERROR(IF(CH99&gt;0,LN(BR99/CH99),0),0)</f>
        <v>0</v>
      </c>
      <c r="DO99" s="168"/>
      <c r="DQ99" s="107" t="s">
        <v>399</v>
      </c>
      <c r="DR99" s="315"/>
      <c r="DS99" s="315"/>
      <c r="DT99" s="315"/>
      <c r="DU99" s="315"/>
      <c r="DV99" s="315"/>
      <c r="DW99" s="315"/>
      <c r="DX99" s="315"/>
      <c r="DY99" s="315"/>
      <c r="DZ99" s="315"/>
      <c r="EA99" s="315"/>
      <c r="EB99" s="315"/>
      <c r="EC99" s="315"/>
      <c r="ED99" s="314">
        <v>0</v>
      </c>
      <c r="EE99" s="168"/>
      <c r="EG99" s="107" t="s">
        <v>399</v>
      </c>
      <c r="EH99" s="315"/>
      <c r="EI99" s="315"/>
      <c r="EJ99" s="315"/>
      <c r="EK99" s="315"/>
      <c r="EL99" s="315"/>
      <c r="EM99" s="315"/>
      <c r="EN99" s="315"/>
      <c r="EO99" s="315"/>
      <c r="EP99" s="315"/>
      <c r="EQ99" s="315"/>
      <c r="ER99" s="315"/>
      <c r="ES99" s="315"/>
      <c r="ET99" s="314">
        <v>0</v>
      </c>
      <c r="EU99" s="168"/>
      <c r="EW99" s="164" t="s">
        <v>399</v>
      </c>
      <c r="EX99" s="316">
        <f t="shared" si="140"/>
        <v>0</v>
      </c>
      <c r="EY99" s="316">
        <f t="shared" si="136"/>
        <v>0</v>
      </c>
      <c r="EZ99" s="316">
        <f t="shared" si="136"/>
        <v>0</v>
      </c>
      <c r="FA99" s="316">
        <f t="shared" si="136"/>
        <v>0</v>
      </c>
      <c r="FB99" s="316">
        <f t="shared" si="136"/>
        <v>0</v>
      </c>
      <c r="FC99" s="316">
        <f t="shared" si="136"/>
        <v>0</v>
      </c>
      <c r="FD99" s="316">
        <f t="shared" si="136"/>
        <v>0</v>
      </c>
      <c r="FE99" s="316">
        <f t="shared" si="136"/>
        <v>0</v>
      </c>
      <c r="FF99" s="316"/>
      <c r="FG99" s="316">
        <f t="shared" si="136"/>
        <v>0</v>
      </c>
      <c r="FH99" s="316">
        <f t="shared" si="136"/>
        <v>0</v>
      </c>
      <c r="FI99" s="316">
        <f t="shared" si="136"/>
        <v>0</v>
      </c>
      <c r="FJ99" s="316">
        <f t="shared" si="136"/>
        <v>0</v>
      </c>
      <c r="FK99" s="316">
        <f t="shared" si="136"/>
        <v>0</v>
      </c>
      <c r="FL99" s="168"/>
    </row>
    <row r="100" spans="2:168" ht="15.75" thickBot="1" x14ac:dyDescent="0.3">
      <c r="B100" s="108" t="s">
        <v>29</v>
      </c>
      <c r="C100" s="109">
        <f t="shared" ref="C100:P100" si="150">SUM(C87:C99)</f>
        <v>90368.509300000005</v>
      </c>
      <c r="D100" s="110">
        <f t="shared" si="150"/>
        <v>2832.0775100000001</v>
      </c>
      <c r="E100" s="110">
        <f t="shared" si="150"/>
        <v>49920.555229999998</v>
      </c>
      <c r="F100" s="110">
        <f t="shared" si="150"/>
        <v>0</v>
      </c>
      <c r="G100" s="110">
        <f t="shared" si="150"/>
        <v>33751.7546</v>
      </c>
      <c r="H100" s="110">
        <f t="shared" si="150"/>
        <v>0</v>
      </c>
      <c r="I100" s="110">
        <f t="shared" si="150"/>
        <v>72503.937699999995</v>
      </c>
      <c r="J100" s="110">
        <f t="shared" si="150"/>
        <v>12595.35606</v>
      </c>
      <c r="K100" s="110">
        <f t="shared" si="150"/>
        <v>80044.438340000008</v>
      </c>
      <c r="L100" s="110">
        <f t="shared" si="150"/>
        <v>2802.58779</v>
      </c>
      <c r="M100" s="110">
        <f t="shared" si="150"/>
        <v>5826.9007499999998</v>
      </c>
      <c r="N100" s="110">
        <f t="shared" si="150"/>
        <v>2817.63663</v>
      </c>
      <c r="O100" s="110">
        <f t="shared" si="150"/>
        <v>168.20352</v>
      </c>
      <c r="P100" s="112">
        <f t="shared" si="150"/>
        <v>353631.95742999995</v>
      </c>
      <c r="Y100" s="108" t="s">
        <v>29</v>
      </c>
      <c r="Z100" s="109">
        <f t="shared" ref="Z100:AM100" si="151">SUM(Z87:Z99)</f>
        <v>90368.509300000005</v>
      </c>
      <c r="AA100" s="110">
        <f t="shared" si="151"/>
        <v>2832.0775100000001</v>
      </c>
      <c r="AB100" s="110">
        <f t="shared" si="151"/>
        <v>49920.555229999998</v>
      </c>
      <c r="AC100" s="110">
        <f t="shared" si="151"/>
        <v>0</v>
      </c>
      <c r="AD100" s="110">
        <f t="shared" si="151"/>
        <v>33751.7546</v>
      </c>
      <c r="AE100" s="110">
        <f t="shared" si="151"/>
        <v>0</v>
      </c>
      <c r="AF100" s="110">
        <f t="shared" si="151"/>
        <v>72503.937699999995</v>
      </c>
      <c r="AG100" s="110">
        <f t="shared" si="151"/>
        <v>12595.35606</v>
      </c>
      <c r="AH100" s="110">
        <f t="shared" si="151"/>
        <v>76737.821505305226</v>
      </c>
      <c r="AI100" s="110">
        <f t="shared" si="151"/>
        <v>1481.683042735114</v>
      </c>
      <c r="AJ100" s="110">
        <f t="shared" si="151"/>
        <v>2219.5405108767418</v>
      </c>
      <c r="AK100" s="110">
        <f t="shared" si="151"/>
        <v>2817.63663</v>
      </c>
      <c r="AL100" s="110">
        <f t="shared" si="151"/>
        <v>168.20352</v>
      </c>
      <c r="AM100" s="112">
        <f t="shared" si="151"/>
        <v>345397.0756089171</v>
      </c>
      <c r="AO100" s="108" t="s">
        <v>29</v>
      </c>
      <c r="AP100" s="109">
        <f t="shared" ref="AP100:BC100" si="152">SUM(AP87:AP99)</f>
        <v>110665</v>
      </c>
      <c r="AQ100" s="110">
        <f t="shared" si="152"/>
        <v>2015</v>
      </c>
      <c r="AR100" s="110">
        <f t="shared" si="152"/>
        <v>27815</v>
      </c>
      <c r="AS100" s="110">
        <f t="shared" si="152"/>
        <v>820</v>
      </c>
      <c r="AT100" s="110">
        <f t="shared" si="152"/>
        <v>13840</v>
      </c>
      <c r="AU100" s="110">
        <f t="shared" si="152"/>
        <v>560</v>
      </c>
      <c r="AV100" s="110">
        <f t="shared" si="152"/>
        <v>56475</v>
      </c>
      <c r="AW100" s="110">
        <f t="shared" si="152"/>
        <v>9210</v>
      </c>
      <c r="AX100" s="110">
        <f t="shared" si="152"/>
        <v>73765</v>
      </c>
      <c r="AY100" s="110">
        <f t="shared" si="152"/>
        <v>1415</v>
      </c>
      <c r="AZ100" s="110">
        <f t="shared" si="152"/>
        <v>165</v>
      </c>
      <c r="BA100" s="110">
        <f t="shared" si="152"/>
        <v>3560</v>
      </c>
      <c r="BB100" s="110">
        <f t="shared" si="152"/>
        <v>0</v>
      </c>
      <c r="BC100" s="112">
        <f t="shared" si="152"/>
        <v>300305</v>
      </c>
      <c r="BE100" s="108" t="s">
        <v>29</v>
      </c>
      <c r="BF100" s="120">
        <f t="shared" si="145"/>
        <v>1</v>
      </c>
      <c r="BG100" s="120">
        <f t="shared" si="145"/>
        <v>1</v>
      </c>
      <c r="BH100" s="120">
        <f t="shared" si="145"/>
        <v>1</v>
      </c>
      <c r="BI100" s="120" t="str">
        <f t="shared" si="145"/>
        <v/>
      </c>
      <c r="BJ100" s="120">
        <f t="shared" si="145"/>
        <v>1</v>
      </c>
      <c r="BK100" s="120" t="str">
        <f t="shared" si="145"/>
        <v/>
      </c>
      <c r="BL100" s="120">
        <f t="shared" si="145"/>
        <v>1</v>
      </c>
      <c r="BM100" s="120">
        <f t="shared" si="145"/>
        <v>1</v>
      </c>
      <c r="BN100" s="120">
        <f t="shared" si="145"/>
        <v>1</v>
      </c>
      <c r="BO100" s="120">
        <f t="shared" si="145"/>
        <v>1</v>
      </c>
      <c r="BP100" s="120">
        <f t="shared" si="145"/>
        <v>1</v>
      </c>
      <c r="BQ100" s="120">
        <f t="shared" si="145"/>
        <v>1</v>
      </c>
      <c r="BR100" s="120">
        <f t="shared" si="145"/>
        <v>1</v>
      </c>
      <c r="BS100" s="120">
        <f t="shared" si="145"/>
        <v>1</v>
      </c>
      <c r="BU100" s="108" t="s">
        <v>29</v>
      </c>
      <c r="BV100" s="120">
        <f t="shared" si="146"/>
        <v>1</v>
      </c>
      <c r="BW100" s="121">
        <f t="shared" si="146"/>
        <v>1</v>
      </c>
      <c r="BX100" s="121">
        <f t="shared" si="146"/>
        <v>1</v>
      </c>
      <c r="BY100" s="121">
        <f t="shared" si="146"/>
        <v>1</v>
      </c>
      <c r="BZ100" s="121">
        <f t="shared" si="146"/>
        <v>1</v>
      </c>
      <c r="CA100" s="121">
        <f t="shared" si="146"/>
        <v>1</v>
      </c>
      <c r="CB100" s="121">
        <f t="shared" si="146"/>
        <v>1</v>
      </c>
      <c r="CC100" s="121">
        <f t="shared" si="146"/>
        <v>1</v>
      </c>
      <c r="CD100" s="121">
        <f t="shared" si="146"/>
        <v>1</v>
      </c>
      <c r="CE100" s="121">
        <f t="shared" si="146"/>
        <v>1</v>
      </c>
      <c r="CF100" s="121">
        <f t="shared" si="146"/>
        <v>1</v>
      </c>
      <c r="CG100" s="121">
        <f t="shared" si="146"/>
        <v>1</v>
      </c>
      <c r="CH100" s="121" t="str">
        <f t="shared" si="146"/>
        <v/>
      </c>
      <c r="CI100" s="123">
        <f t="shared" si="146"/>
        <v>1</v>
      </c>
      <c r="CK100" s="108" t="s">
        <v>29</v>
      </c>
      <c r="CL100" s="120">
        <f t="shared" si="148"/>
        <v>0</v>
      </c>
      <c r="CM100" s="121">
        <f t="shared" si="148"/>
        <v>0</v>
      </c>
      <c r="CN100" s="121">
        <f t="shared" si="148"/>
        <v>0</v>
      </c>
      <c r="CO100" s="121" t="str">
        <f t="shared" si="148"/>
        <v/>
      </c>
      <c r="CP100" s="121"/>
      <c r="CQ100" s="121"/>
      <c r="CR100" s="121"/>
      <c r="CS100" s="121"/>
      <c r="CT100" s="121">
        <f t="shared" si="149"/>
        <v>0</v>
      </c>
      <c r="CU100" s="121">
        <f t="shared" si="149"/>
        <v>0</v>
      </c>
      <c r="CV100" s="121">
        <f t="shared" si="149"/>
        <v>0</v>
      </c>
      <c r="CW100" s="121">
        <f t="shared" si="149"/>
        <v>0</v>
      </c>
      <c r="CX100" s="121" t="e">
        <f t="shared" si="149"/>
        <v>#VALUE!</v>
      </c>
      <c r="CY100" s="123">
        <f t="shared" si="149"/>
        <v>0</v>
      </c>
      <c r="DA100" s="108" t="s">
        <v>29</v>
      </c>
      <c r="DB100" s="120"/>
      <c r="DC100" s="121"/>
      <c r="DD100" s="121"/>
      <c r="DE100" s="121"/>
      <c r="DF100" s="121"/>
      <c r="DG100" s="121"/>
      <c r="DH100" s="121"/>
      <c r="DI100" s="121"/>
      <c r="DJ100" s="121"/>
      <c r="DK100" s="121"/>
      <c r="DL100" s="121"/>
      <c r="DM100" s="121"/>
      <c r="DN100" s="121"/>
      <c r="DO100" s="123"/>
      <c r="DQ100" s="108" t="s">
        <v>29</v>
      </c>
      <c r="DR100" s="120"/>
      <c r="DS100" s="121"/>
      <c r="DT100" s="121"/>
      <c r="DU100" s="121"/>
      <c r="DV100" s="121"/>
      <c r="DW100" s="121"/>
      <c r="DX100" s="121"/>
      <c r="DY100" s="121"/>
      <c r="DZ100" s="121"/>
      <c r="EA100" s="121"/>
      <c r="EB100" s="121"/>
      <c r="EC100" s="121"/>
      <c r="ED100" s="121"/>
      <c r="EE100" s="123"/>
      <c r="EG100" s="108" t="s">
        <v>29</v>
      </c>
      <c r="EH100" s="120"/>
      <c r="EI100" s="121"/>
      <c r="EJ100" s="121"/>
      <c r="EK100" s="121"/>
      <c r="EL100" s="121"/>
      <c r="EM100" s="121"/>
      <c r="EN100" s="121"/>
      <c r="EO100" s="121"/>
      <c r="EP100" s="121"/>
      <c r="EQ100" s="121"/>
      <c r="ER100" s="121"/>
      <c r="ES100" s="121"/>
      <c r="ET100" s="121"/>
      <c r="EU100" s="123"/>
      <c r="EW100" s="108" t="s">
        <v>29</v>
      </c>
      <c r="EX100" s="120"/>
      <c r="EY100" s="121"/>
      <c r="EZ100" s="121"/>
      <c r="FA100" s="121"/>
      <c r="FB100" s="121"/>
      <c r="FC100" s="121"/>
      <c r="FD100" s="121"/>
      <c r="FE100" s="121"/>
      <c r="FF100" s="121"/>
      <c r="FG100" s="121"/>
      <c r="FH100" s="121"/>
      <c r="FI100" s="121"/>
      <c r="FJ100" s="121"/>
      <c r="FK100" s="121"/>
      <c r="FL100" s="123"/>
    </row>
    <row r="101" spans="2:168" x14ac:dyDescent="0.25">
      <c r="B101" t="s">
        <v>222</v>
      </c>
      <c r="C101" s="383" t="s">
        <v>206</v>
      </c>
      <c r="D101" s="383"/>
      <c r="E101" s="383"/>
      <c r="F101" s="383"/>
      <c r="G101" s="383"/>
      <c r="H101" s="383"/>
      <c r="I101" s="383"/>
      <c r="J101" s="383"/>
      <c r="K101" s="383"/>
      <c r="L101" s="383"/>
      <c r="M101" s="383"/>
      <c r="N101" s="383"/>
      <c r="O101" s="383"/>
      <c r="P101" s="383"/>
      <c r="Y101" t="s">
        <v>222</v>
      </c>
      <c r="Z101" s="383" t="s">
        <v>206</v>
      </c>
      <c r="AA101" s="383"/>
      <c r="AB101" s="383"/>
      <c r="AC101" s="383"/>
      <c r="AD101" s="383"/>
      <c r="AE101" s="383"/>
      <c r="AF101" s="383"/>
      <c r="AG101" s="383"/>
      <c r="AH101" s="383"/>
      <c r="AI101" s="383"/>
      <c r="AJ101" s="383"/>
      <c r="AK101" s="383"/>
      <c r="AL101" s="383"/>
      <c r="AM101" s="383"/>
      <c r="AO101" t="s">
        <v>222</v>
      </c>
      <c r="AP101" s="383" t="s">
        <v>206</v>
      </c>
      <c r="AQ101" s="383"/>
      <c r="AR101" s="383"/>
      <c r="AS101" s="383"/>
      <c r="AT101" s="383"/>
      <c r="AU101" s="383"/>
      <c r="AV101" s="383"/>
      <c r="AW101" s="383"/>
      <c r="AX101" s="383"/>
      <c r="AY101" s="383"/>
      <c r="AZ101" s="383"/>
      <c r="BA101" s="383"/>
      <c r="BB101" s="383"/>
      <c r="BC101" s="383"/>
      <c r="BE101" t="s">
        <v>222</v>
      </c>
      <c r="BF101" s="383" t="s">
        <v>206</v>
      </c>
      <c r="BG101" s="383"/>
      <c r="BH101" s="383"/>
      <c r="BI101" s="383"/>
      <c r="BJ101" s="383"/>
      <c r="BK101" s="383"/>
      <c r="BL101" s="383"/>
      <c r="BM101" s="383"/>
      <c r="BN101" s="383"/>
      <c r="BO101" s="383"/>
      <c r="BP101" s="383"/>
      <c r="BQ101" s="383"/>
      <c r="BR101" s="383"/>
      <c r="BS101" s="383"/>
      <c r="BU101" t="s">
        <v>222</v>
      </c>
      <c r="BV101" s="383" t="s">
        <v>206</v>
      </c>
      <c r="BW101" s="383"/>
      <c r="BX101" s="383"/>
      <c r="BY101" s="383"/>
      <c r="BZ101" s="383"/>
      <c r="CA101" s="383"/>
      <c r="CB101" s="383"/>
      <c r="CC101" s="383"/>
      <c r="CD101" s="383"/>
      <c r="CE101" s="383"/>
      <c r="CF101" s="383"/>
      <c r="CG101" s="383"/>
      <c r="CH101" s="383"/>
      <c r="CI101" s="383"/>
      <c r="CK101" t="s">
        <v>222</v>
      </c>
      <c r="CL101" s="383" t="s">
        <v>206</v>
      </c>
      <c r="CM101" s="383"/>
      <c r="CN101" s="383"/>
      <c r="CO101" s="383"/>
      <c r="CP101" s="383"/>
      <c r="CQ101" s="383"/>
      <c r="CR101" s="383"/>
      <c r="CS101" s="383"/>
      <c r="CT101" s="383"/>
      <c r="CU101" s="383"/>
      <c r="CV101" s="383"/>
      <c r="CW101" s="383"/>
      <c r="CX101" s="383"/>
      <c r="CY101" s="383"/>
      <c r="DA101" t="s">
        <v>195</v>
      </c>
      <c r="DB101" s="383" t="s">
        <v>206</v>
      </c>
      <c r="DC101" s="383"/>
      <c r="DD101" s="383"/>
      <c r="DE101" s="383"/>
      <c r="DF101" s="383"/>
      <c r="DG101" s="383"/>
      <c r="DH101" s="383"/>
      <c r="DI101" s="383"/>
      <c r="DJ101" s="383"/>
      <c r="DK101" s="383"/>
      <c r="DL101" s="383"/>
      <c r="DM101" s="383"/>
      <c r="DN101" s="383"/>
      <c r="DO101" s="383"/>
      <c r="DQ101" t="s">
        <v>195</v>
      </c>
      <c r="DR101" s="383" t="s">
        <v>206</v>
      </c>
      <c r="DS101" s="383"/>
      <c r="DT101" s="383"/>
      <c r="DU101" s="383"/>
      <c r="DV101" s="383"/>
      <c r="DW101" s="383"/>
      <c r="DX101" s="383"/>
      <c r="DY101" s="383"/>
      <c r="DZ101" s="383"/>
      <c r="EA101" s="383"/>
      <c r="EB101" s="383"/>
      <c r="EC101" s="383"/>
      <c r="ED101" s="383"/>
      <c r="EE101" s="383"/>
      <c r="EG101" t="s">
        <v>195</v>
      </c>
      <c r="EH101" s="383" t="s">
        <v>206</v>
      </c>
      <c r="EI101" s="383"/>
      <c r="EJ101" s="383"/>
      <c r="EK101" s="383"/>
      <c r="EL101" s="383"/>
      <c r="EM101" s="383"/>
      <c r="EN101" s="383"/>
      <c r="EO101" s="383"/>
      <c r="EP101" s="383"/>
      <c r="EQ101" s="383"/>
      <c r="ER101" s="383"/>
      <c r="ES101" s="383"/>
      <c r="ET101" s="383"/>
      <c r="EU101" s="383"/>
      <c r="EW101" t="s">
        <v>195</v>
      </c>
      <c r="EX101" s="383" t="s">
        <v>207</v>
      </c>
      <c r="EY101" s="383"/>
      <c r="EZ101" s="383"/>
      <c r="FA101" s="383"/>
      <c r="FB101" s="383"/>
      <c r="FC101" s="383"/>
      <c r="FD101" s="383"/>
      <c r="FE101" s="383"/>
      <c r="FF101" s="383"/>
      <c r="FG101" s="383"/>
      <c r="FH101" s="383"/>
      <c r="FI101" s="383"/>
      <c r="FJ101" s="383"/>
      <c r="FK101" s="383"/>
      <c r="FL101" s="383"/>
    </row>
    <row r="102" spans="2:168" ht="35.450000000000003" customHeight="1" x14ac:dyDescent="0.25">
      <c r="B102" s="163" t="s">
        <v>207</v>
      </c>
      <c r="C102" s="164" t="s">
        <v>386</v>
      </c>
      <c r="D102" s="164" t="s">
        <v>387</v>
      </c>
      <c r="E102" s="164" t="s">
        <v>388</v>
      </c>
      <c r="F102" s="164" t="s">
        <v>389</v>
      </c>
      <c r="G102" s="164" t="s">
        <v>390</v>
      </c>
      <c r="H102" s="164" t="s">
        <v>391</v>
      </c>
      <c r="I102" s="164" t="s">
        <v>392</v>
      </c>
      <c r="J102" s="164" t="s">
        <v>393</v>
      </c>
      <c r="K102" s="164" t="s">
        <v>546</v>
      </c>
      <c r="L102" s="164" t="s">
        <v>396</v>
      </c>
      <c r="M102" s="164" t="s">
        <v>397</v>
      </c>
      <c r="N102" s="164" t="s">
        <v>398</v>
      </c>
      <c r="O102" s="164" t="s">
        <v>399</v>
      </c>
      <c r="P102" s="106" t="s">
        <v>29</v>
      </c>
      <c r="R102" s="164" t="s">
        <v>546</v>
      </c>
      <c r="S102" s="164" t="s">
        <v>396</v>
      </c>
      <c r="T102" s="164" t="s">
        <v>397</v>
      </c>
      <c r="U102" s="164" t="s">
        <v>546</v>
      </c>
      <c r="V102" s="164" t="s">
        <v>396</v>
      </c>
      <c r="W102" s="164" t="s">
        <v>397</v>
      </c>
      <c r="X102" s="296"/>
      <c r="Y102" s="163" t="s">
        <v>207</v>
      </c>
      <c r="Z102" s="164" t="s">
        <v>386</v>
      </c>
      <c r="AA102" s="164" t="s">
        <v>387</v>
      </c>
      <c r="AB102" s="164" t="s">
        <v>388</v>
      </c>
      <c r="AC102" s="164" t="s">
        <v>389</v>
      </c>
      <c r="AD102" s="164" t="s">
        <v>390</v>
      </c>
      <c r="AE102" s="164" t="s">
        <v>391</v>
      </c>
      <c r="AF102" s="164" t="s">
        <v>392</v>
      </c>
      <c r="AG102" s="164" t="s">
        <v>393</v>
      </c>
      <c r="AH102" s="164" t="s">
        <v>546</v>
      </c>
      <c r="AI102" s="164" t="s">
        <v>396</v>
      </c>
      <c r="AJ102" s="164" t="s">
        <v>397</v>
      </c>
      <c r="AK102" s="164" t="s">
        <v>398</v>
      </c>
      <c r="AL102" s="164" t="s">
        <v>399</v>
      </c>
      <c r="AM102" s="106" t="s">
        <v>29</v>
      </c>
      <c r="AN102" s="296"/>
      <c r="AO102" s="163" t="s">
        <v>207</v>
      </c>
      <c r="AP102" s="164" t="s">
        <v>386</v>
      </c>
      <c r="AQ102" s="164" t="s">
        <v>387</v>
      </c>
      <c r="AR102" s="164" t="s">
        <v>388</v>
      </c>
      <c r="AS102" s="164" t="s">
        <v>389</v>
      </c>
      <c r="AT102" s="164" t="s">
        <v>390</v>
      </c>
      <c r="AU102" s="164" t="s">
        <v>391</v>
      </c>
      <c r="AV102" s="164" t="s">
        <v>392</v>
      </c>
      <c r="AW102" s="164" t="s">
        <v>393</v>
      </c>
      <c r="AX102" s="164" t="s">
        <v>546</v>
      </c>
      <c r="AY102" s="164" t="s">
        <v>396</v>
      </c>
      <c r="AZ102" s="164" t="s">
        <v>397</v>
      </c>
      <c r="BA102" s="164" t="s">
        <v>398</v>
      </c>
      <c r="BB102" s="164" t="s">
        <v>399</v>
      </c>
      <c r="BC102" s="106" t="s">
        <v>29</v>
      </c>
      <c r="BE102" s="163" t="s">
        <v>207</v>
      </c>
      <c r="BF102" s="164" t="s">
        <v>538</v>
      </c>
      <c r="BG102" s="164"/>
      <c r="BH102" s="164" t="s">
        <v>576</v>
      </c>
      <c r="BI102" s="164"/>
      <c r="BJ102" s="164" t="s">
        <v>577</v>
      </c>
      <c r="BK102" s="164"/>
      <c r="BL102" s="164" t="s">
        <v>392</v>
      </c>
      <c r="BM102" s="164" t="s">
        <v>393</v>
      </c>
      <c r="BN102" s="164" t="s">
        <v>546</v>
      </c>
      <c r="BO102" s="164" t="s">
        <v>396</v>
      </c>
      <c r="BP102" s="164" t="s">
        <v>397</v>
      </c>
      <c r="BQ102" s="164" t="s">
        <v>398</v>
      </c>
      <c r="BR102" s="164" t="s">
        <v>399</v>
      </c>
      <c r="BS102" s="106" t="s">
        <v>29</v>
      </c>
      <c r="BU102" s="163" t="s">
        <v>207</v>
      </c>
      <c r="BV102" s="164" t="s">
        <v>538</v>
      </c>
      <c r="BW102" s="164"/>
      <c r="BX102" s="164" t="s">
        <v>576</v>
      </c>
      <c r="BY102" s="164"/>
      <c r="BZ102" s="164" t="s">
        <v>577</v>
      </c>
      <c r="CA102" s="164"/>
      <c r="CB102" s="164" t="s">
        <v>392</v>
      </c>
      <c r="CC102" s="164" t="s">
        <v>393</v>
      </c>
      <c r="CD102" s="164" t="s">
        <v>546</v>
      </c>
      <c r="CE102" s="164" t="s">
        <v>396</v>
      </c>
      <c r="CF102" s="164" t="s">
        <v>397</v>
      </c>
      <c r="CG102" s="164" t="s">
        <v>398</v>
      </c>
      <c r="CH102" s="164" t="s">
        <v>399</v>
      </c>
      <c r="CI102" s="106" t="s">
        <v>29</v>
      </c>
      <c r="CK102" s="163" t="s">
        <v>207</v>
      </c>
      <c r="CL102" s="164" t="s">
        <v>386</v>
      </c>
      <c r="CM102" s="164" t="s">
        <v>387</v>
      </c>
      <c r="CN102" s="164" t="s">
        <v>388</v>
      </c>
      <c r="CO102" s="164" t="s">
        <v>389</v>
      </c>
      <c r="CP102" s="164" t="s">
        <v>390</v>
      </c>
      <c r="CQ102" s="164" t="s">
        <v>391</v>
      </c>
      <c r="CR102" s="164" t="s">
        <v>392</v>
      </c>
      <c r="CS102" s="164" t="s">
        <v>393</v>
      </c>
      <c r="CT102" s="164" t="s">
        <v>546</v>
      </c>
      <c r="CU102" s="164" t="s">
        <v>396</v>
      </c>
      <c r="CV102" s="164" t="s">
        <v>397</v>
      </c>
      <c r="CW102" s="164" t="s">
        <v>398</v>
      </c>
      <c r="CX102" s="164" t="s">
        <v>399</v>
      </c>
      <c r="CY102" s="106" t="s">
        <v>29</v>
      </c>
      <c r="DA102" s="163" t="s">
        <v>207</v>
      </c>
      <c r="DB102" s="164" t="s">
        <v>538</v>
      </c>
      <c r="DC102" s="164"/>
      <c r="DD102" s="164" t="s">
        <v>576</v>
      </c>
      <c r="DE102" s="164"/>
      <c r="DF102" s="164" t="s">
        <v>577</v>
      </c>
      <c r="DG102" s="164"/>
      <c r="DH102" s="164" t="s">
        <v>392</v>
      </c>
      <c r="DI102" s="164" t="s">
        <v>393</v>
      </c>
      <c r="DJ102" s="164" t="s">
        <v>546</v>
      </c>
      <c r="DK102" s="164" t="s">
        <v>396</v>
      </c>
      <c r="DL102" s="164" t="s">
        <v>397</v>
      </c>
      <c r="DM102" s="164" t="s">
        <v>398</v>
      </c>
      <c r="DN102" s="164" t="s">
        <v>399</v>
      </c>
      <c r="DO102" s="106" t="s">
        <v>29</v>
      </c>
      <c r="DQ102" s="163" t="s">
        <v>207</v>
      </c>
      <c r="DR102" s="164" t="s">
        <v>538</v>
      </c>
      <c r="DS102" s="164"/>
      <c r="DT102" s="164" t="s">
        <v>576</v>
      </c>
      <c r="DU102" s="164"/>
      <c r="DV102" s="164" t="s">
        <v>577</v>
      </c>
      <c r="DW102" s="164"/>
      <c r="DX102" s="164" t="s">
        <v>392</v>
      </c>
      <c r="DY102" s="164" t="s">
        <v>393</v>
      </c>
      <c r="DZ102" s="164" t="s">
        <v>546</v>
      </c>
      <c r="EA102" s="164" t="s">
        <v>396</v>
      </c>
      <c r="EB102" s="164" t="s">
        <v>397</v>
      </c>
      <c r="EC102" s="164" t="s">
        <v>398</v>
      </c>
      <c r="ED102" s="164" t="s">
        <v>399</v>
      </c>
      <c r="EE102" s="106" t="s">
        <v>29</v>
      </c>
      <c r="EG102" s="163" t="s">
        <v>207</v>
      </c>
      <c r="EH102" s="164" t="s">
        <v>538</v>
      </c>
      <c r="EI102" s="164"/>
      <c r="EJ102" s="164" t="s">
        <v>576</v>
      </c>
      <c r="EK102" s="164"/>
      <c r="EL102" s="164" t="s">
        <v>577</v>
      </c>
      <c r="EM102" s="164"/>
      <c r="EN102" s="164" t="s">
        <v>392</v>
      </c>
      <c r="EO102" s="164" t="s">
        <v>393</v>
      </c>
      <c r="EP102" s="164" t="s">
        <v>546</v>
      </c>
      <c r="EQ102" s="164" t="s">
        <v>396</v>
      </c>
      <c r="ER102" s="164" t="s">
        <v>397</v>
      </c>
      <c r="ES102" s="164" t="s">
        <v>398</v>
      </c>
      <c r="ET102" s="164" t="s">
        <v>399</v>
      </c>
      <c r="EU102" s="106" t="s">
        <v>29</v>
      </c>
      <c r="EW102" s="163" t="s">
        <v>206</v>
      </c>
      <c r="EX102" s="164" t="s">
        <v>386</v>
      </c>
      <c r="EY102" s="164" t="s">
        <v>387</v>
      </c>
      <c r="EZ102" s="164" t="s">
        <v>388</v>
      </c>
      <c r="FA102" s="164" t="s">
        <v>389</v>
      </c>
      <c r="FB102" s="164" t="s">
        <v>390</v>
      </c>
      <c r="FC102" s="164" t="s">
        <v>391</v>
      </c>
      <c r="FD102" s="164" t="s">
        <v>392</v>
      </c>
      <c r="FE102" s="164" t="s">
        <v>393</v>
      </c>
      <c r="FF102" s="164"/>
      <c r="FG102" s="164" t="s">
        <v>546</v>
      </c>
      <c r="FH102" s="164" t="s">
        <v>396</v>
      </c>
      <c r="FI102" s="164" t="s">
        <v>397</v>
      </c>
      <c r="FJ102" s="164" t="s">
        <v>398</v>
      </c>
      <c r="FK102" s="164" t="s">
        <v>399</v>
      </c>
      <c r="FL102" s="106" t="s">
        <v>29</v>
      </c>
    </row>
    <row r="103" spans="2:168" x14ac:dyDescent="0.25">
      <c r="B103" s="107" t="s">
        <v>386</v>
      </c>
      <c r="C103" s="160">
        <f>TripMode_inputCBD!B84</f>
        <v>56499.303540000001</v>
      </c>
      <c r="D103" s="160">
        <f>TripMode_inputCBD!C84</f>
        <v>0</v>
      </c>
      <c r="E103" s="160">
        <f>TripMode_inputCBD!D84</f>
        <v>4933.9530599999998</v>
      </c>
      <c r="F103" s="160">
        <f>TripMode_inputCBD!E84</f>
        <v>113.27288</v>
      </c>
      <c r="G103" s="160">
        <f>TripMode_inputCBD!F84</f>
        <v>5067.9365799999996</v>
      </c>
      <c r="H103" s="160">
        <f>TripMode_inputCBD!G84</f>
        <v>0</v>
      </c>
      <c r="I103" s="294"/>
      <c r="J103" s="294"/>
      <c r="K103" s="294"/>
      <c r="L103" s="294"/>
      <c r="M103" s="294"/>
      <c r="N103" s="294"/>
      <c r="O103" s="294"/>
      <c r="P103" s="161">
        <f t="shared" ref="P103:P115" si="153">SUM(C103:O103)</f>
        <v>66614.466059999992</v>
      </c>
      <c r="R103">
        <f>IF(K$111&gt;0,K103/K$111,0)</f>
        <v>0</v>
      </c>
      <c r="S103">
        <f>IF(L$112&gt;0,L103/L$112,0)</f>
        <v>0</v>
      </c>
      <c r="T103">
        <f>IF(M$113&gt;0,M103/M$113,0)</f>
        <v>0</v>
      </c>
      <c r="Y103" s="107" t="s">
        <v>386</v>
      </c>
      <c r="Z103" s="160">
        <f>+C103</f>
        <v>56499.303540000001</v>
      </c>
      <c r="AA103" s="160">
        <f t="shared" ref="AA103:AF109" si="154">+D103</f>
        <v>0</v>
      </c>
      <c r="AB103" s="160">
        <f t="shared" si="154"/>
        <v>4933.9530599999998</v>
      </c>
      <c r="AC103" s="160">
        <f t="shared" si="154"/>
        <v>113.27288</v>
      </c>
      <c r="AD103" s="160">
        <f t="shared" si="154"/>
        <v>5067.9365799999996</v>
      </c>
      <c r="AE103" s="160">
        <f t="shared" si="154"/>
        <v>0</v>
      </c>
      <c r="AF103" s="294"/>
      <c r="AG103" s="294"/>
      <c r="AH103" s="294"/>
      <c r="AI103" s="294"/>
      <c r="AJ103" s="294"/>
      <c r="AK103" s="294"/>
      <c r="AL103" s="294"/>
      <c r="AM103" s="161">
        <f t="shared" ref="AM103:AM115" si="155">SUM(Z103:AL103)</f>
        <v>66614.466059999992</v>
      </c>
      <c r="AO103" s="107" t="s">
        <v>386</v>
      </c>
      <c r="AP103" s="160">
        <f>TripMode_inputCBD!R84*Index!$B$2</f>
        <v>71355</v>
      </c>
      <c r="AQ103" s="160">
        <f>TripMode_inputCBD!S84*Index!$B$2</f>
        <v>2805</v>
      </c>
      <c r="AR103" s="160">
        <f>TripMode_inputCBD!T84*Index!$B$2</f>
        <v>7280</v>
      </c>
      <c r="AS103" s="160">
        <f>TripMode_inputCBD!U84*Index!$B$2</f>
        <v>270</v>
      </c>
      <c r="AT103" s="160">
        <f>TripMode_inputCBD!V84*Index!$B$2</f>
        <v>630</v>
      </c>
      <c r="AU103" s="160">
        <f>TripMode_inputCBD!W84*Index!$B$2</f>
        <v>25</v>
      </c>
      <c r="AV103" s="294">
        <f>TripMode_inputCBD!X84*Index!$B$2</f>
        <v>0</v>
      </c>
      <c r="AW103" s="294">
        <f>TripMode_inputCBD!Y84*Index!$B$2</f>
        <v>0</v>
      </c>
      <c r="AX103" s="294">
        <f>TripMode_inputCBD!AA84*Index!$B$2</f>
        <v>0</v>
      </c>
      <c r="AY103" s="294">
        <f>TripMode_inputCBD!AB84*Index!$B$2</f>
        <v>0</v>
      </c>
      <c r="AZ103" s="160">
        <f>TripMode_inputCBD!AC84*Index!$B$2</f>
        <v>0</v>
      </c>
      <c r="BA103" s="294">
        <f>TripMode_inputCBD!AD84*Index!$B$2</f>
        <v>0</v>
      </c>
      <c r="BB103" s="294">
        <f>TripMode_inputCBD!AE84*Index!$B$2</f>
        <v>0</v>
      </c>
      <c r="BC103" s="161">
        <f t="shared" ref="BC103:BC115" si="156">SUM(AP103:BB103)</f>
        <v>82365</v>
      </c>
      <c r="BE103" s="107" t="s">
        <v>538</v>
      </c>
      <c r="BF103" s="166">
        <f>IF(Z$116+AA$116&gt;0,SUM(Z103:AA104)/(Z$116+AA$116),"")</f>
        <v>1</v>
      </c>
      <c r="BG103" s="166"/>
      <c r="BH103" s="166">
        <f>IF(AB$116+AC$116&gt;0,SUM(AB103:AC104)/(AB$116+AC$116),"")</f>
        <v>0.13164073289918024</v>
      </c>
      <c r="BI103" s="166"/>
      <c r="BJ103" s="166">
        <f>IF(AD$116+AE$116&gt;0,SUM(AD103:AE104)/(AD$116+AE$116),"")</f>
        <v>0.17752413502255768</v>
      </c>
      <c r="BK103" s="166"/>
      <c r="BL103" s="166">
        <f t="shared" ref="BL103:BS103" si="157">IF(AF$116&gt;0,(AF103+AF104)/AF$116,"")</f>
        <v>0</v>
      </c>
      <c r="BM103" s="166">
        <f t="shared" si="157"/>
        <v>0</v>
      </c>
      <c r="BN103" s="166">
        <f t="shared" si="157"/>
        <v>0</v>
      </c>
      <c r="BO103" s="166">
        <f t="shared" si="157"/>
        <v>0</v>
      </c>
      <c r="BP103" s="166">
        <f t="shared" si="157"/>
        <v>0</v>
      </c>
      <c r="BQ103" s="166">
        <f t="shared" si="157"/>
        <v>0</v>
      </c>
      <c r="BR103" s="166">
        <f t="shared" si="157"/>
        <v>0</v>
      </c>
      <c r="BS103" s="166">
        <f t="shared" si="157"/>
        <v>0.26462039995735021</v>
      </c>
      <c r="BU103" s="107" t="s">
        <v>538</v>
      </c>
      <c r="BV103" s="166">
        <f>IF(AP$116+AQ$116&gt;0,SUM(AP103:AQ104)/(AP$116+AQ$116),"")</f>
        <v>1</v>
      </c>
      <c r="BW103" s="166"/>
      <c r="BX103" s="166">
        <f>IF(AR$116+AS$116&gt;0,SUM(AR103:AS104)/(AR$116+AS$116),"")</f>
        <v>0.22036775106082038</v>
      </c>
      <c r="BY103" s="166"/>
      <c r="BZ103" s="166">
        <f>IF(AT$116+AU$116&gt;0,SUM(AT103:AU104)/(AT$116+AU$116),"")</f>
        <v>8.1310679611650491E-2</v>
      </c>
      <c r="CA103" s="166"/>
      <c r="CB103" s="166">
        <f t="shared" ref="CB103:CI103" si="158">IF(AV$116&gt;0,(AV103+AV104)/AV$116,"")</f>
        <v>0</v>
      </c>
      <c r="CC103" s="166">
        <f t="shared" si="158"/>
        <v>0</v>
      </c>
      <c r="CD103" s="166">
        <f t="shared" si="158"/>
        <v>0</v>
      </c>
      <c r="CE103" s="166">
        <f t="shared" si="158"/>
        <v>0</v>
      </c>
      <c r="CF103" s="166">
        <f t="shared" si="158"/>
        <v>0</v>
      </c>
      <c r="CG103" s="166">
        <f t="shared" si="158"/>
        <v>0</v>
      </c>
      <c r="CH103" s="166" t="str">
        <f t="shared" si="158"/>
        <v/>
      </c>
      <c r="CI103" s="166">
        <f t="shared" si="158"/>
        <v>0.32759154003789198</v>
      </c>
      <c r="CK103" s="107" t="s">
        <v>386</v>
      </c>
      <c r="CL103" s="166">
        <f t="shared" ref="CL103:CO106" si="159">IF(OR(ISNA(BF103),BF103=0,BF103=""),"",(BV103-BF103)/BF103)</f>
        <v>0</v>
      </c>
      <c r="CM103" s="166" t="str">
        <f t="shared" si="159"/>
        <v/>
      </c>
      <c r="CN103" s="166">
        <f t="shared" si="159"/>
        <v>0.67400884367298031</v>
      </c>
      <c r="CO103" s="166" t="str">
        <f t="shared" si="159"/>
        <v/>
      </c>
      <c r="CP103" s="166"/>
      <c r="CQ103" s="166"/>
      <c r="CR103" s="166"/>
      <c r="CS103" s="166"/>
      <c r="CT103" s="166" t="str">
        <f t="shared" ref="CT103:CY106" si="160">IF(OR(ISNA(BN103),BN103=0,BN103=""),"",(CD103-BN103)/BN103)</f>
        <v/>
      </c>
      <c r="CU103" s="166" t="str">
        <f t="shared" si="160"/>
        <v/>
      </c>
      <c r="CV103" s="166" t="str">
        <f t="shared" si="160"/>
        <v/>
      </c>
      <c r="CW103" s="166" t="str">
        <f t="shared" si="160"/>
        <v/>
      </c>
      <c r="CX103" s="166" t="str">
        <f t="shared" si="160"/>
        <v/>
      </c>
      <c r="CY103" s="167">
        <f t="shared" si="160"/>
        <v>0.23796782141774048</v>
      </c>
      <c r="DA103" s="107" t="s">
        <v>538</v>
      </c>
      <c r="DB103" s="314">
        <f>IFERROR(IF(BV103&gt;0,LN(BF103/BV103),0),0)</f>
        <v>0</v>
      </c>
      <c r="DC103" s="314"/>
      <c r="DD103" s="314">
        <f>IFERROR(IF(BX103&gt;0,LN(BH103/BX103),0),0)</f>
        <v>-0.51522125501209837</v>
      </c>
      <c r="DE103" s="314"/>
      <c r="DF103" s="314">
        <f>IFERROR(IF(BZ103&gt;0,LN(BJ103/BZ103),0),0)</f>
        <v>0.78082920316656157</v>
      </c>
      <c r="DG103" s="314"/>
      <c r="DH103" s="315"/>
      <c r="DI103" s="315"/>
      <c r="DJ103" s="315"/>
      <c r="DK103" s="315"/>
      <c r="DL103" s="315"/>
      <c r="DM103" s="315"/>
      <c r="DN103" s="315"/>
      <c r="DO103" s="167"/>
      <c r="DQ103" s="107" t="s">
        <v>538</v>
      </c>
      <c r="DR103" s="314">
        <v>0</v>
      </c>
      <c r="DS103" s="314">
        <v>0</v>
      </c>
      <c r="DT103" s="314">
        <v>0</v>
      </c>
      <c r="DU103" s="314">
        <v>0</v>
      </c>
      <c r="DV103" s="314">
        <v>0</v>
      </c>
      <c r="DW103" s="314">
        <v>0</v>
      </c>
      <c r="DX103" s="315"/>
      <c r="DY103" s="315"/>
      <c r="DZ103" s="315"/>
      <c r="EA103" s="315"/>
      <c r="EB103" s="315"/>
      <c r="EC103" s="315"/>
      <c r="ED103" s="315"/>
      <c r="EE103" s="167"/>
      <c r="EG103" s="107" t="s">
        <v>538</v>
      </c>
      <c r="EH103" s="314">
        <v>0</v>
      </c>
      <c r="EI103" s="314">
        <v>0</v>
      </c>
      <c r="EJ103" s="314">
        <v>0</v>
      </c>
      <c r="EK103" s="314">
        <v>0</v>
      </c>
      <c r="EL103" s="314">
        <v>0</v>
      </c>
      <c r="EM103" s="314">
        <v>0</v>
      </c>
      <c r="EN103" s="315"/>
      <c r="EO103" s="315"/>
      <c r="EP103" s="315"/>
      <c r="EQ103" s="315"/>
      <c r="ER103" s="315"/>
      <c r="ES103" s="315"/>
      <c r="ET103" s="315"/>
      <c r="EU103" s="167"/>
      <c r="EW103" s="164" t="s">
        <v>386</v>
      </c>
      <c r="EX103" s="316">
        <f>INDEX($EH$103:$ET$115,EX$4,MATCH($EW103,$EW$7:$EW$19,0))</f>
        <v>0</v>
      </c>
      <c r="EY103" s="316">
        <f t="shared" ref="EY103:FK115" si="161">INDEX($EH$103:$ET$115,EY$4,MATCH($EW103,$EW$7:$EW$19,0))</f>
        <v>0</v>
      </c>
      <c r="EZ103" s="316">
        <f t="shared" si="161"/>
        <v>0</v>
      </c>
      <c r="FA103" s="316">
        <f t="shared" si="161"/>
        <v>0</v>
      </c>
      <c r="FB103" s="316">
        <f t="shared" si="161"/>
        <v>0</v>
      </c>
      <c r="FC103" s="316">
        <f t="shared" si="161"/>
        <v>0</v>
      </c>
      <c r="FD103" s="316">
        <f t="shared" si="161"/>
        <v>0</v>
      </c>
      <c r="FE103" s="316">
        <f t="shared" si="161"/>
        <v>0</v>
      </c>
      <c r="FF103" s="316"/>
      <c r="FG103" s="316">
        <f t="shared" si="161"/>
        <v>0</v>
      </c>
      <c r="FH103" s="316">
        <f t="shared" si="161"/>
        <v>0</v>
      </c>
      <c r="FI103" s="316">
        <f t="shared" si="161"/>
        <v>0</v>
      </c>
      <c r="FJ103" s="316">
        <f t="shared" si="161"/>
        <v>0</v>
      </c>
      <c r="FK103" s="316">
        <f t="shared" si="161"/>
        <v>0</v>
      </c>
      <c r="FL103" s="167"/>
    </row>
    <row r="104" spans="2:168" x14ac:dyDescent="0.25">
      <c r="B104" s="107" t="s">
        <v>387</v>
      </c>
      <c r="C104" s="160">
        <f>TripMode_inputCBD!B85</f>
        <v>0</v>
      </c>
      <c r="D104" s="160">
        <f>TripMode_inputCBD!C85</f>
        <v>128.68156999999999</v>
      </c>
      <c r="E104" s="160">
        <f>TripMode_inputCBD!D85</f>
        <v>0</v>
      </c>
      <c r="F104" s="160">
        <f>TripMode_inputCBD!E85</f>
        <v>0</v>
      </c>
      <c r="G104" s="160">
        <f>TripMode_inputCBD!F85</f>
        <v>0</v>
      </c>
      <c r="H104" s="160">
        <f>TripMode_inputCBD!G85</f>
        <v>0</v>
      </c>
      <c r="I104" s="294"/>
      <c r="J104" s="294"/>
      <c r="K104" s="294"/>
      <c r="L104" s="294"/>
      <c r="M104" s="294"/>
      <c r="N104" s="294"/>
      <c r="O104" s="294"/>
      <c r="P104" s="162">
        <f t="shared" si="153"/>
        <v>128.68156999999999</v>
      </c>
      <c r="R104">
        <f t="shared" ref="R104:R115" si="162">IF(K$111&gt;0,K104/K$111,0)</f>
        <v>0</v>
      </c>
      <c r="S104">
        <f t="shared" ref="S104:S115" si="163">IF(L$112&gt;0,L104/L$112,0)</f>
        <v>0</v>
      </c>
      <c r="T104">
        <f t="shared" ref="T104:T115" si="164">IF(M$113&gt;0,M104/M$113,0)</f>
        <v>0</v>
      </c>
      <c r="Y104" s="107" t="s">
        <v>387</v>
      </c>
      <c r="Z104" s="160">
        <f>+C104</f>
        <v>0</v>
      </c>
      <c r="AA104" s="160">
        <f t="shared" si="154"/>
        <v>128.68156999999999</v>
      </c>
      <c r="AB104" s="160">
        <f t="shared" si="154"/>
        <v>0</v>
      </c>
      <c r="AC104" s="160">
        <f t="shared" si="154"/>
        <v>0</v>
      </c>
      <c r="AD104" s="160">
        <f t="shared" si="154"/>
        <v>0</v>
      </c>
      <c r="AE104" s="160">
        <f t="shared" si="154"/>
        <v>0</v>
      </c>
      <c r="AF104" s="294"/>
      <c r="AG104" s="294"/>
      <c r="AH104" s="294"/>
      <c r="AI104" s="294"/>
      <c r="AJ104" s="294"/>
      <c r="AK104" s="294"/>
      <c r="AL104" s="294"/>
      <c r="AM104" s="162">
        <f t="shared" si="155"/>
        <v>128.68156999999999</v>
      </c>
      <c r="AO104" s="107" t="s">
        <v>387</v>
      </c>
      <c r="AP104" s="160">
        <f>TripMode_inputCBD!R85*Index!$B$2</f>
        <v>1285</v>
      </c>
      <c r="AQ104" s="160">
        <f>TripMode_inputCBD!S85*Index!$B$2</f>
        <v>820</v>
      </c>
      <c r="AR104" s="160">
        <f>TripMode_inputCBD!T85*Index!$B$2</f>
        <v>155</v>
      </c>
      <c r="AS104" s="160">
        <f>TripMode_inputCBD!U85*Index!$B$2</f>
        <v>85</v>
      </c>
      <c r="AT104" s="160">
        <f>TripMode_inputCBD!V85*Index!$B$2</f>
        <v>10</v>
      </c>
      <c r="AU104" s="160">
        <f>TripMode_inputCBD!W85*Index!$B$2</f>
        <v>5</v>
      </c>
      <c r="AV104" s="294">
        <f>TripMode_inputCBD!X85*Index!$B$2</f>
        <v>0</v>
      </c>
      <c r="AW104" s="294">
        <f>TripMode_inputCBD!Y85*Index!$B$2</f>
        <v>0</v>
      </c>
      <c r="AX104" s="294">
        <f>TripMode_inputCBD!AA85*Index!$B$2</f>
        <v>0</v>
      </c>
      <c r="AY104" s="294">
        <f>TripMode_inputCBD!AB85*Index!$B$2</f>
        <v>0</v>
      </c>
      <c r="AZ104" s="160">
        <f>TripMode_inputCBD!AC85*Index!$B$2</f>
        <v>0</v>
      </c>
      <c r="BA104" s="294">
        <f>TripMode_inputCBD!AD85*Index!$B$2</f>
        <v>0</v>
      </c>
      <c r="BB104" s="294">
        <f>TripMode_inputCBD!AE85*Index!$B$2</f>
        <v>0</v>
      </c>
      <c r="BC104" s="162">
        <f t="shared" si="156"/>
        <v>2360</v>
      </c>
      <c r="BE104" s="107"/>
      <c r="BF104" s="166"/>
      <c r="BG104" s="166"/>
      <c r="BH104" s="166"/>
      <c r="BI104" s="166"/>
      <c r="BJ104" s="166"/>
      <c r="BK104" s="166"/>
      <c r="BL104" s="166"/>
      <c r="BM104" s="166"/>
      <c r="BN104" s="166"/>
      <c r="BO104" s="166"/>
      <c r="BP104" s="166"/>
      <c r="BQ104" s="166"/>
      <c r="BR104" s="166"/>
      <c r="BS104" s="166"/>
      <c r="BU104" s="107"/>
      <c r="BV104" s="166"/>
      <c r="BW104" s="166"/>
      <c r="BX104" s="166"/>
      <c r="BY104" s="166"/>
      <c r="BZ104" s="166"/>
      <c r="CA104" s="166"/>
      <c r="CB104" s="166"/>
      <c r="CC104" s="166"/>
      <c r="CD104" s="166"/>
      <c r="CE104" s="166"/>
      <c r="CF104" s="166"/>
      <c r="CG104" s="166"/>
      <c r="CH104" s="166"/>
      <c r="CI104" s="166"/>
      <c r="CK104" s="107" t="s">
        <v>387</v>
      </c>
      <c r="CL104" s="166" t="str">
        <f t="shared" si="159"/>
        <v/>
      </c>
      <c r="CM104" s="166" t="str">
        <f t="shared" si="159"/>
        <v/>
      </c>
      <c r="CN104" s="166" t="str">
        <f t="shared" si="159"/>
        <v/>
      </c>
      <c r="CO104" s="166" t="str">
        <f t="shared" si="159"/>
        <v/>
      </c>
      <c r="CP104" s="166"/>
      <c r="CQ104" s="166"/>
      <c r="CR104" s="166"/>
      <c r="CS104" s="166"/>
      <c r="CT104" s="166" t="str">
        <f t="shared" si="160"/>
        <v/>
      </c>
      <c r="CU104" s="166" t="str">
        <f t="shared" si="160"/>
        <v/>
      </c>
      <c r="CV104" s="166" t="str">
        <f t="shared" si="160"/>
        <v/>
      </c>
      <c r="CW104" s="166" t="str">
        <f t="shared" si="160"/>
        <v/>
      </c>
      <c r="CX104" s="166" t="str">
        <f t="shared" si="160"/>
        <v/>
      </c>
      <c r="CY104" s="168" t="str">
        <f t="shared" si="160"/>
        <v/>
      </c>
      <c r="DA104" s="107"/>
      <c r="DB104" s="314"/>
      <c r="DC104" s="314"/>
      <c r="DD104" s="314"/>
      <c r="DE104" s="314"/>
      <c r="DF104" s="314"/>
      <c r="DG104" s="314"/>
      <c r="DH104" s="315"/>
      <c r="DI104" s="315"/>
      <c r="DJ104" s="315"/>
      <c r="DK104" s="315"/>
      <c r="DL104" s="315"/>
      <c r="DM104" s="315"/>
      <c r="DN104" s="315"/>
      <c r="DO104" s="168"/>
      <c r="DQ104" s="107"/>
      <c r="DR104" s="314">
        <v>0</v>
      </c>
      <c r="DS104" s="314">
        <v>0</v>
      </c>
      <c r="DT104" s="314">
        <v>0</v>
      </c>
      <c r="DU104" s="314">
        <v>0</v>
      </c>
      <c r="DV104" s="314">
        <v>0</v>
      </c>
      <c r="DW104" s="314">
        <v>0</v>
      </c>
      <c r="DX104" s="315"/>
      <c r="DY104" s="315"/>
      <c r="DZ104" s="315"/>
      <c r="EA104" s="315"/>
      <c r="EB104" s="315"/>
      <c r="EC104" s="315"/>
      <c r="ED104" s="315"/>
      <c r="EE104" s="168"/>
      <c r="EG104" s="107"/>
      <c r="EH104" s="314">
        <v>0</v>
      </c>
      <c r="EI104" s="314">
        <v>0</v>
      </c>
      <c r="EJ104" s="314">
        <v>0</v>
      </c>
      <c r="EK104" s="314">
        <v>0</v>
      </c>
      <c r="EL104" s="314">
        <v>0</v>
      </c>
      <c r="EM104" s="314">
        <v>0</v>
      </c>
      <c r="EN104" s="315"/>
      <c r="EO104" s="315"/>
      <c r="EP104" s="315"/>
      <c r="EQ104" s="315"/>
      <c r="ER104" s="315"/>
      <c r="ES104" s="315"/>
      <c r="ET104" s="315"/>
      <c r="EU104" s="168"/>
      <c r="EW104" s="164" t="s">
        <v>387</v>
      </c>
      <c r="EX104" s="316">
        <f t="shared" ref="EX104:EX115" si="165">INDEX($EH$103:$ET$115,EX$4,MATCH($EW104,$EW$7:$EW$19,0))</f>
        <v>0</v>
      </c>
      <c r="EY104" s="316">
        <f t="shared" si="161"/>
        <v>0</v>
      </c>
      <c r="EZ104" s="316">
        <f t="shared" si="161"/>
        <v>0</v>
      </c>
      <c r="FA104" s="316">
        <f t="shared" si="161"/>
        <v>0</v>
      </c>
      <c r="FB104" s="316">
        <f t="shared" si="161"/>
        <v>0</v>
      </c>
      <c r="FC104" s="316">
        <f t="shared" si="161"/>
        <v>0</v>
      </c>
      <c r="FD104" s="316">
        <f t="shared" si="161"/>
        <v>0</v>
      </c>
      <c r="FE104" s="316">
        <f t="shared" si="161"/>
        <v>0</v>
      </c>
      <c r="FF104" s="316"/>
      <c r="FG104" s="316">
        <f t="shared" si="161"/>
        <v>0</v>
      </c>
      <c r="FH104" s="316">
        <f t="shared" si="161"/>
        <v>0</v>
      </c>
      <c r="FI104" s="316">
        <f t="shared" si="161"/>
        <v>0</v>
      </c>
      <c r="FJ104" s="316">
        <f t="shared" si="161"/>
        <v>0</v>
      </c>
      <c r="FK104" s="316">
        <f t="shared" si="161"/>
        <v>0</v>
      </c>
      <c r="FL104" s="168"/>
    </row>
    <row r="105" spans="2:168" x14ac:dyDescent="0.25">
      <c r="B105" s="107" t="s">
        <v>388</v>
      </c>
      <c r="C105" s="294"/>
      <c r="D105" s="294"/>
      <c r="E105" s="160">
        <f>TripMode_inputCBD!D86</f>
        <v>30505.730029999999</v>
      </c>
      <c r="F105" s="160">
        <f>TripMode_inputCBD!E86</f>
        <v>113.27288</v>
      </c>
      <c r="G105" s="160">
        <f>TripMode_inputCBD!F86</f>
        <v>4977.51872</v>
      </c>
      <c r="H105" s="160">
        <f>TripMode_inputCBD!G86</f>
        <v>0</v>
      </c>
      <c r="I105" s="294"/>
      <c r="J105" s="294"/>
      <c r="K105" s="160">
        <f>TripMode_inputCBD!J86+TripMode_inputCBD!K86</f>
        <v>9236.9662799999987</v>
      </c>
      <c r="L105" s="294"/>
      <c r="M105" s="294"/>
      <c r="N105" s="160">
        <f>TripMode_inputCBD!N86</f>
        <v>155.46614</v>
      </c>
      <c r="O105" s="294"/>
      <c r="P105" s="162">
        <f t="shared" si="153"/>
        <v>44988.95405</v>
      </c>
      <c r="R105">
        <f t="shared" si="162"/>
        <v>0.29121839490427348</v>
      </c>
      <c r="S105">
        <f t="shared" si="163"/>
        <v>0</v>
      </c>
      <c r="T105">
        <f t="shared" si="164"/>
        <v>0</v>
      </c>
      <c r="Y105" s="107" t="s">
        <v>388</v>
      </c>
      <c r="Z105" s="294"/>
      <c r="AA105" s="294"/>
      <c r="AB105" s="160">
        <f t="shared" si="154"/>
        <v>30505.730029999999</v>
      </c>
      <c r="AC105" s="160">
        <f t="shared" si="154"/>
        <v>113.27288</v>
      </c>
      <c r="AD105" s="160">
        <f t="shared" si="154"/>
        <v>4977.51872</v>
      </c>
      <c r="AE105" s="160">
        <f t="shared" si="154"/>
        <v>0</v>
      </c>
      <c r="AF105" s="294"/>
      <c r="AG105" s="294"/>
      <c r="AH105" s="160">
        <f>AH111*R105</f>
        <v>8855.3893855102178</v>
      </c>
      <c r="AI105" s="294"/>
      <c r="AJ105" s="294"/>
      <c r="AK105" s="160">
        <f>+N105</f>
        <v>155.46614</v>
      </c>
      <c r="AL105" s="294"/>
      <c r="AM105" s="162">
        <f t="shared" si="155"/>
        <v>44607.377155510221</v>
      </c>
      <c r="AO105" s="107" t="s">
        <v>388</v>
      </c>
      <c r="AP105" s="294">
        <f>TripMode_inputCBD!R86*Index!$B$2</f>
        <v>0</v>
      </c>
      <c r="AQ105" s="294">
        <f>TripMode_inputCBD!S86*Index!$B$2</f>
        <v>0</v>
      </c>
      <c r="AR105" s="160">
        <f>TripMode_inputCBD!T86*Index!$B$2</f>
        <v>22825</v>
      </c>
      <c r="AS105" s="160">
        <f>TripMode_inputCBD!U86*Index!$B$2</f>
        <v>860</v>
      </c>
      <c r="AT105" s="160">
        <f>TripMode_inputCBD!V86*Index!$B$2</f>
        <v>1555</v>
      </c>
      <c r="AU105" s="160">
        <f>TripMode_inputCBD!W86*Index!$B$2</f>
        <v>50</v>
      </c>
      <c r="AV105" s="294">
        <f>TripMode_inputCBD!X86*Index!$B$2</f>
        <v>0</v>
      </c>
      <c r="AW105" s="294">
        <f>TripMode_inputCBD!Y86*Index!$B$2</f>
        <v>0</v>
      </c>
      <c r="AX105" s="160">
        <f>TripMode_inputCBD!AA86*Index!$B$2</f>
        <v>550</v>
      </c>
      <c r="AY105" s="160">
        <f>TripMode_inputCBD!AB86*Index!$B$2</f>
        <v>0</v>
      </c>
      <c r="AZ105" s="160">
        <f>TripMode_inputCBD!AC86*Index!$B$2</f>
        <v>0</v>
      </c>
      <c r="BA105" s="160">
        <f>TripMode_inputCBD!AD86*Index!$B$2</f>
        <v>90</v>
      </c>
      <c r="BB105" s="294">
        <f>TripMode_inputCBD!AE86*Index!$B$2</f>
        <v>0</v>
      </c>
      <c r="BC105" s="162">
        <f t="shared" si="156"/>
        <v>25930</v>
      </c>
      <c r="BE105" s="107" t="s">
        <v>576</v>
      </c>
      <c r="BF105" s="166">
        <f>IF(Z$116+AA$116&gt;0,SUM(Z105:AA106)/(Z$116+AA$116),"")</f>
        <v>0</v>
      </c>
      <c r="BG105" s="166"/>
      <c r="BH105" s="166">
        <f>IF(AB$116+AC$116&gt;0,SUM(AB105:AC106)/(AB$116+AC$116),"")</f>
        <v>0.80155304255218918</v>
      </c>
      <c r="BI105" s="166"/>
      <c r="BJ105" s="166">
        <f>IF(AD$116+AE$116&gt;0,SUM(AD105:AE106)/(AD$116+AE$116),"")</f>
        <v>0.17839453680054063</v>
      </c>
      <c r="BK105" s="166"/>
      <c r="BL105" s="166">
        <f t="shared" ref="BL105:BS105" si="166">IF(AF$116&gt;0,(AF105+AF106)/AF$116,"")</f>
        <v>0</v>
      </c>
      <c r="BM105" s="166">
        <f t="shared" si="166"/>
        <v>0</v>
      </c>
      <c r="BN105" s="166">
        <f t="shared" si="166"/>
        <v>0.18099812001619967</v>
      </c>
      <c r="BO105" s="166">
        <f t="shared" si="166"/>
        <v>0</v>
      </c>
      <c r="BP105" s="166">
        <f t="shared" si="166"/>
        <v>0</v>
      </c>
      <c r="BQ105" s="166">
        <f t="shared" si="166"/>
        <v>3.7275364408341852E-2</v>
      </c>
      <c r="BR105" s="166">
        <f t="shared" si="166"/>
        <v>0</v>
      </c>
      <c r="BS105" s="166">
        <f t="shared" si="166"/>
        <v>0.1777635375282417</v>
      </c>
      <c r="BU105" s="107" t="s">
        <v>576</v>
      </c>
      <c r="BV105" s="166">
        <f>IF(AP$116+AQ$116&gt;0,SUM(AP105:AQ106)/(AP$116+AQ$116),"")</f>
        <v>0</v>
      </c>
      <c r="BW105" s="166"/>
      <c r="BX105" s="166">
        <f>IF(AR$116+AS$116&gt;0,SUM(AR105:AS106)/(AR$116+AS$116),"")</f>
        <v>0.69490806223479495</v>
      </c>
      <c r="BY105" s="166"/>
      <c r="BZ105" s="166">
        <f>IF(AT$116+AU$116&gt;0,SUM(AT105:AU106)/(AT$116+AU$116),"")</f>
        <v>0.20084951456310679</v>
      </c>
      <c r="CA105" s="166"/>
      <c r="CB105" s="166">
        <f t="shared" ref="CB105:CI105" si="167">IF(AV$116&gt;0,(AV105+AV106)/AV$116,"")</f>
        <v>0</v>
      </c>
      <c r="CC105" s="166">
        <f t="shared" si="167"/>
        <v>0</v>
      </c>
      <c r="CD105" s="166">
        <f t="shared" si="167"/>
        <v>1.7361649356688887E-2</v>
      </c>
      <c r="CE105" s="166">
        <f t="shared" si="167"/>
        <v>0</v>
      </c>
      <c r="CF105" s="166">
        <f t="shared" si="167"/>
        <v>0</v>
      </c>
      <c r="CG105" s="166">
        <f t="shared" si="167"/>
        <v>6.13107822410148E-2</v>
      </c>
      <c r="CH105" s="166" t="str">
        <f t="shared" si="167"/>
        <v/>
      </c>
      <c r="CI105" s="166">
        <f t="shared" si="167"/>
        <v>0.1041062521749217</v>
      </c>
      <c r="CK105" s="107" t="s">
        <v>388</v>
      </c>
      <c r="CL105" s="166" t="str">
        <f t="shared" si="159"/>
        <v/>
      </c>
      <c r="CM105" s="166" t="str">
        <f t="shared" si="159"/>
        <v/>
      </c>
      <c r="CN105" s="166">
        <f t="shared" si="159"/>
        <v>-0.13304793900829159</v>
      </c>
      <c r="CO105" s="166" t="str">
        <f t="shared" si="159"/>
        <v/>
      </c>
      <c r="CP105" s="166"/>
      <c r="CQ105" s="166"/>
      <c r="CR105" s="166"/>
      <c r="CS105" s="166"/>
      <c r="CT105" s="166">
        <f t="shared" si="160"/>
        <v>-0.90407828901684184</v>
      </c>
      <c r="CU105" s="166" t="str">
        <f t="shared" si="160"/>
        <v/>
      </c>
      <c r="CV105" s="166" t="str">
        <f t="shared" si="160"/>
        <v/>
      </c>
      <c r="CW105" s="166">
        <f t="shared" si="160"/>
        <v>0.64480705190085452</v>
      </c>
      <c r="CX105" s="166" t="str">
        <f t="shared" si="160"/>
        <v/>
      </c>
      <c r="CY105" s="168">
        <f t="shared" si="160"/>
        <v>-0.41435542056321817</v>
      </c>
      <c r="DA105" s="107" t="s">
        <v>576</v>
      </c>
      <c r="DB105" s="315"/>
      <c r="DC105" s="315"/>
      <c r="DD105" s="314">
        <f>IFERROR(IF(BX105&gt;0,LN(BH105/BX105),0),0)</f>
        <v>0.1427715967041161</v>
      </c>
      <c r="DE105" s="314"/>
      <c r="DF105" s="314">
        <f>IFERROR(IF(BZ105&gt;0,LN(BJ105/BZ105),0),0)</f>
        <v>-0.11855834752813239</v>
      </c>
      <c r="DG105" s="314"/>
      <c r="DH105" s="315"/>
      <c r="DI105" s="315"/>
      <c r="DJ105" s="314">
        <f>IFERROR(IF(CD105&gt;0,LN(BN105/CD105),0),0)</f>
        <v>2.3442229308160636</v>
      </c>
      <c r="DK105" s="315"/>
      <c r="DL105" s="315"/>
      <c r="DM105" s="314">
        <f>IFERROR(IF(CG105&gt;0,LN(BQ105/CG105),0),0)</f>
        <v>-0.49762308366060182</v>
      </c>
      <c r="DN105" s="315"/>
      <c r="DO105" s="168"/>
      <c r="DQ105" s="107" t="s">
        <v>576</v>
      </c>
      <c r="DR105" s="315"/>
      <c r="DS105" s="315"/>
      <c r="DT105" s="314">
        <v>-5.3018839512370519E-2</v>
      </c>
      <c r="DU105" s="314">
        <v>-5.3018839512370519E-2</v>
      </c>
      <c r="DV105" s="314">
        <v>-2.6723371518279317</v>
      </c>
      <c r="DW105" s="314">
        <v>-2.6723371518279317</v>
      </c>
      <c r="DX105" s="315"/>
      <c r="DY105" s="315"/>
      <c r="DZ105" s="314">
        <v>3.9634611850030259</v>
      </c>
      <c r="EA105" s="315"/>
      <c r="EB105" s="315"/>
      <c r="EC105" s="314">
        <v>-3.5518987655230636</v>
      </c>
      <c r="ED105" s="315"/>
      <c r="EE105" s="168"/>
      <c r="EG105" s="107" t="s">
        <v>576</v>
      </c>
      <c r="EH105" s="315"/>
      <c r="EI105" s="315"/>
      <c r="EJ105" s="314">
        <f>DT105+(DD105-DD$103)*$EI$1</f>
        <v>0.60497401220384395</v>
      </c>
      <c r="EK105" s="314">
        <f>DT105+(DD105-DD$103)*$EI$1</f>
        <v>0.60497401220384395</v>
      </c>
      <c r="EL105" s="314">
        <f>DV105+(DF105-DF$103)*$EI$1</f>
        <v>-3.5717247025226255</v>
      </c>
      <c r="EM105" s="314">
        <f>DV105+(DF105-DF$103)*$EI$1</f>
        <v>-3.5717247025226255</v>
      </c>
      <c r="EN105" s="315"/>
      <c r="EO105" s="315"/>
      <c r="EP105" s="314">
        <f>DZ105+(DJ105-DJ$111)*$EI$1</f>
        <v>6.4279901712052689</v>
      </c>
      <c r="EQ105" s="315"/>
      <c r="ER105" s="315"/>
      <c r="ES105" s="314">
        <f>EC105+(DM105-DM$114)*$EI$1</f>
        <v>-3.9305691215154042</v>
      </c>
      <c r="ET105" s="315"/>
      <c r="EU105" s="168"/>
      <c r="EW105" s="164" t="s">
        <v>388</v>
      </c>
      <c r="EX105" s="316">
        <f t="shared" si="165"/>
        <v>0</v>
      </c>
      <c r="EY105" s="316">
        <f t="shared" si="161"/>
        <v>0</v>
      </c>
      <c r="EZ105" s="316">
        <f t="shared" si="161"/>
        <v>0.60497401220384395</v>
      </c>
      <c r="FA105" s="316">
        <f t="shared" si="161"/>
        <v>0.60497401220384395</v>
      </c>
      <c r="FB105" s="316">
        <f t="shared" si="161"/>
        <v>0</v>
      </c>
      <c r="FC105" s="316">
        <f t="shared" si="161"/>
        <v>0</v>
      </c>
      <c r="FD105" s="316">
        <f t="shared" si="161"/>
        <v>4.6623092116304967</v>
      </c>
      <c r="FE105" s="316">
        <f t="shared" si="161"/>
        <v>0</v>
      </c>
      <c r="FF105" s="316"/>
      <c r="FG105" s="316">
        <f t="shared" si="161"/>
        <v>0</v>
      </c>
      <c r="FH105" s="316">
        <f t="shared" si="161"/>
        <v>0</v>
      </c>
      <c r="FI105" s="316">
        <f t="shared" si="161"/>
        <v>0</v>
      </c>
      <c r="FJ105" s="316">
        <f t="shared" si="161"/>
        <v>0</v>
      </c>
      <c r="FK105" s="316">
        <f t="shared" si="161"/>
        <v>0</v>
      </c>
      <c r="FL105" s="168"/>
    </row>
    <row r="106" spans="2:168" x14ac:dyDescent="0.25">
      <c r="B106" s="107" t="s">
        <v>389</v>
      </c>
      <c r="C106" s="294"/>
      <c r="D106" s="294"/>
      <c r="E106" s="160">
        <f>TripMode_inputCBD!D87</f>
        <v>0</v>
      </c>
      <c r="F106" s="160">
        <f>TripMode_inputCBD!E87</f>
        <v>113.27288</v>
      </c>
      <c r="G106" s="160">
        <f>TripMode_inputCBD!F87</f>
        <v>0</v>
      </c>
      <c r="H106" s="160">
        <f>TripMode_inputCBD!G87</f>
        <v>115.26598</v>
      </c>
      <c r="I106" s="294"/>
      <c r="J106" s="294"/>
      <c r="K106" s="160">
        <f>TripMode_inputCBD!J87+TripMode_inputCBD!K87</f>
        <v>0</v>
      </c>
      <c r="L106" s="294"/>
      <c r="M106" s="294"/>
      <c r="N106" s="160">
        <f>TripMode_inputCBD!N87</f>
        <v>0</v>
      </c>
      <c r="O106" s="294"/>
      <c r="P106" s="162">
        <f t="shared" si="153"/>
        <v>228.53886</v>
      </c>
      <c r="R106">
        <f t="shared" si="162"/>
        <v>0</v>
      </c>
      <c r="S106">
        <f t="shared" si="163"/>
        <v>0</v>
      </c>
      <c r="T106">
        <f t="shared" si="164"/>
        <v>0</v>
      </c>
      <c r="Y106" s="107" t="s">
        <v>389</v>
      </c>
      <c r="Z106" s="294"/>
      <c r="AA106" s="294"/>
      <c r="AB106" s="160">
        <f t="shared" si="154"/>
        <v>0</v>
      </c>
      <c r="AC106" s="160">
        <f t="shared" si="154"/>
        <v>113.27288</v>
      </c>
      <c r="AD106" s="160">
        <f t="shared" si="154"/>
        <v>0</v>
      </c>
      <c r="AE106" s="160">
        <f t="shared" si="154"/>
        <v>115.26598</v>
      </c>
      <c r="AF106" s="294"/>
      <c r="AG106" s="294"/>
      <c r="AH106" s="160">
        <f>AH111*R106</f>
        <v>0</v>
      </c>
      <c r="AI106" s="294"/>
      <c r="AJ106" s="294"/>
      <c r="AK106" s="160">
        <f>+N106</f>
        <v>0</v>
      </c>
      <c r="AL106" s="294"/>
      <c r="AM106" s="162">
        <f t="shared" si="155"/>
        <v>228.53886</v>
      </c>
      <c r="AO106" s="107" t="s">
        <v>389</v>
      </c>
      <c r="AP106" s="294">
        <f>TripMode_inputCBD!R87*Index!$B$2</f>
        <v>0</v>
      </c>
      <c r="AQ106" s="294">
        <f>TripMode_inputCBD!S87*Index!$B$2</f>
        <v>0</v>
      </c>
      <c r="AR106" s="160">
        <f>TripMode_inputCBD!T87*Index!$B$2</f>
        <v>605</v>
      </c>
      <c r="AS106" s="160">
        <f>TripMode_inputCBD!U87*Index!$B$2</f>
        <v>275</v>
      </c>
      <c r="AT106" s="160">
        <f>TripMode_inputCBD!V87*Index!$B$2</f>
        <v>20</v>
      </c>
      <c r="AU106" s="160">
        <f>TripMode_inputCBD!W87*Index!$B$2</f>
        <v>30</v>
      </c>
      <c r="AV106" s="294">
        <f>TripMode_inputCBD!X87*Index!$B$2</f>
        <v>0</v>
      </c>
      <c r="AW106" s="294">
        <f>TripMode_inputCBD!Y87*Index!$B$2</f>
        <v>0</v>
      </c>
      <c r="AX106" s="160">
        <f>TripMode_inputCBD!AA87*Index!$B$2</f>
        <v>10</v>
      </c>
      <c r="AY106" s="160">
        <f>TripMode_inputCBD!AB87*Index!$B$2</f>
        <v>0</v>
      </c>
      <c r="AZ106" s="160">
        <f>TripMode_inputCBD!AC87*Index!$B$2</f>
        <v>0</v>
      </c>
      <c r="BA106" s="160">
        <f>TripMode_inputCBD!AD87*Index!$B$2</f>
        <v>55</v>
      </c>
      <c r="BB106" s="294">
        <f>TripMode_inputCBD!AE87*Index!$B$2</f>
        <v>0</v>
      </c>
      <c r="BC106" s="162">
        <f t="shared" si="156"/>
        <v>995</v>
      </c>
      <c r="BE106" s="107"/>
      <c r="BF106" s="166"/>
      <c r="BG106" s="166"/>
      <c r="BH106" s="166"/>
      <c r="BI106" s="166"/>
      <c r="BJ106" s="166"/>
      <c r="BK106" s="166"/>
      <c r="BL106" s="166"/>
      <c r="BM106" s="166"/>
      <c r="BN106" s="166"/>
      <c r="BO106" s="166"/>
      <c r="BP106" s="166"/>
      <c r="BQ106" s="166"/>
      <c r="BR106" s="166"/>
      <c r="BS106" s="166"/>
      <c r="BU106" s="107"/>
      <c r="BV106" s="166"/>
      <c r="BW106" s="166"/>
      <c r="BX106" s="166"/>
      <c r="BY106" s="166"/>
      <c r="BZ106" s="166"/>
      <c r="CA106" s="166"/>
      <c r="CB106" s="166"/>
      <c r="CC106" s="166"/>
      <c r="CD106" s="166"/>
      <c r="CE106" s="166"/>
      <c r="CF106" s="166"/>
      <c r="CG106" s="166"/>
      <c r="CH106" s="166"/>
      <c r="CI106" s="166"/>
      <c r="CK106" s="107" t="s">
        <v>389</v>
      </c>
      <c r="CL106" s="166" t="str">
        <f t="shared" si="159"/>
        <v/>
      </c>
      <c r="CM106" s="166" t="str">
        <f t="shared" si="159"/>
        <v/>
      </c>
      <c r="CN106" s="166" t="str">
        <f t="shared" si="159"/>
        <v/>
      </c>
      <c r="CO106" s="166" t="str">
        <f t="shared" si="159"/>
        <v/>
      </c>
      <c r="CP106" s="166"/>
      <c r="CQ106" s="166"/>
      <c r="CR106" s="166"/>
      <c r="CS106" s="166"/>
      <c r="CT106" s="166" t="str">
        <f t="shared" si="160"/>
        <v/>
      </c>
      <c r="CU106" s="166" t="str">
        <f t="shared" si="160"/>
        <v/>
      </c>
      <c r="CV106" s="166" t="str">
        <f t="shared" si="160"/>
        <v/>
      </c>
      <c r="CW106" s="166" t="str">
        <f t="shared" si="160"/>
        <v/>
      </c>
      <c r="CX106" s="166" t="str">
        <f t="shared" si="160"/>
        <v/>
      </c>
      <c r="CY106" s="168" t="str">
        <f t="shared" si="160"/>
        <v/>
      </c>
      <c r="DA106" s="107"/>
      <c r="DB106" s="315"/>
      <c r="DC106" s="315"/>
      <c r="DD106" s="314"/>
      <c r="DE106" s="314"/>
      <c r="DF106" s="314"/>
      <c r="DG106" s="314"/>
      <c r="DH106" s="315"/>
      <c r="DI106" s="315"/>
      <c r="DJ106" s="314"/>
      <c r="DK106" s="315"/>
      <c r="DL106" s="315"/>
      <c r="DM106" s="314"/>
      <c r="DN106" s="315"/>
      <c r="DO106" s="168"/>
      <c r="DQ106" s="107"/>
      <c r="DR106" s="315"/>
      <c r="DS106" s="315"/>
      <c r="DT106" s="314">
        <v>-5.3018839512370519E-2</v>
      </c>
      <c r="DU106" s="314">
        <v>-5.3018839512370519E-2</v>
      </c>
      <c r="DV106" s="314">
        <v>-2.6723371518279317</v>
      </c>
      <c r="DW106" s="314">
        <v>-2.6723371518279317</v>
      </c>
      <c r="DX106" s="315"/>
      <c r="DY106" s="315"/>
      <c r="DZ106" s="314">
        <v>3.9634611850030259</v>
      </c>
      <c r="EA106" s="315"/>
      <c r="EB106" s="315"/>
      <c r="EC106" s="314">
        <v>-3.5518987655230636</v>
      </c>
      <c r="ED106" s="315"/>
      <c r="EE106" s="168"/>
      <c r="EG106" s="107"/>
      <c r="EH106" s="315"/>
      <c r="EI106" s="315"/>
      <c r="EJ106" s="314">
        <f>DT105+(DD105-DD$103)*$EI$1</f>
        <v>0.60497401220384395</v>
      </c>
      <c r="EK106" s="314">
        <f>DT105+(DD105-DD$103)*$EI$1</f>
        <v>0.60497401220384395</v>
      </c>
      <c r="EL106" s="314">
        <f>DV105+(DF105-DF$103)*$EI$1</f>
        <v>-3.5717247025226255</v>
      </c>
      <c r="EM106" s="314">
        <f>DV105+(DF105-DF$103)*$EI$1</f>
        <v>-3.5717247025226255</v>
      </c>
      <c r="EN106" s="315"/>
      <c r="EO106" s="315"/>
      <c r="EP106" s="314">
        <f>DZ105+(DJ105-DJ$111)*$EI$1</f>
        <v>6.4279901712052689</v>
      </c>
      <c r="EQ106" s="315"/>
      <c r="ER106" s="315"/>
      <c r="ES106" s="314">
        <f>EC105+(DM105-DM$114)*$EI$1</f>
        <v>-3.9305691215154042</v>
      </c>
      <c r="ET106" s="315"/>
      <c r="EU106" s="168"/>
      <c r="EW106" s="164" t="s">
        <v>389</v>
      </c>
      <c r="EX106" s="316">
        <f t="shared" si="165"/>
        <v>0</v>
      </c>
      <c r="EY106" s="316">
        <f t="shared" si="161"/>
        <v>0</v>
      </c>
      <c r="EZ106" s="316">
        <f t="shared" si="161"/>
        <v>0.60497401220384395</v>
      </c>
      <c r="FA106" s="316">
        <f t="shared" si="161"/>
        <v>0.60497401220384395</v>
      </c>
      <c r="FB106" s="316">
        <f t="shared" si="161"/>
        <v>0</v>
      </c>
      <c r="FC106" s="316">
        <f t="shared" si="161"/>
        <v>0</v>
      </c>
      <c r="FD106" s="316">
        <f t="shared" si="161"/>
        <v>4.6623092116304967</v>
      </c>
      <c r="FE106" s="316">
        <f t="shared" si="161"/>
        <v>0</v>
      </c>
      <c r="FF106" s="316"/>
      <c r="FG106" s="316">
        <f t="shared" si="161"/>
        <v>0</v>
      </c>
      <c r="FH106" s="316">
        <f t="shared" si="161"/>
        <v>0</v>
      </c>
      <c r="FI106" s="316">
        <f t="shared" si="161"/>
        <v>0</v>
      </c>
      <c r="FJ106" s="316">
        <f t="shared" si="161"/>
        <v>0</v>
      </c>
      <c r="FK106" s="316">
        <f t="shared" si="161"/>
        <v>0</v>
      </c>
      <c r="FL106" s="168"/>
    </row>
    <row r="107" spans="2:168" x14ac:dyDescent="0.25">
      <c r="B107" s="107" t="s">
        <v>390</v>
      </c>
      <c r="C107" s="294"/>
      <c r="D107" s="294"/>
      <c r="E107" s="294"/>
      <c r="F107" s="294"/>
      <c r="G107" s="160">
        <f>TripMode_inputCBD!F88</f>
        <v>16047.56417</v>
      </c>
      <c r="H107" s="160">
        <f>TripMode_inputCBD!G88</f>
        <v>400.74590000000001</v>
      </c>
      <c r="I107" s="294"/>
      <c r="J107" s="294"/>
      <c r="K107" s="160">
        <f>TripMode_inputCBD!J88+TripMode_inputCBD!K88</f>
        <v>2154.82692</v>
      </c>
      <c r="L107" s="294"/>
      <c r="M107" s="294"/>
      <c r="N107" s="160">
        <f>TripMode_inputCBD!N88</f>
        <v>0</v>
      </c>
      <c r="O107" s="294"/>
      <c r="P107" s="162">
        <f t="shared" si="153"/>
        <v>18603.136989999999</v>
      </c>
      <c r="R107">
        <f t="shared" si="162"/>
        <v>6.7936291842663241E-2</v>
      </c>
      <c r="S107">
        <f t="shared" si="163"/>
        <v>0</v>
      </c>
      <c r="T107">
        <f t="shared" si="164"/>
        <v>0</v>
      </c>
      <c r="Y107" s="107" t="s">
        <v>390</v>
      </c>
      <c r="Z107" s="294"/>
      <c r="AA107" s="294"/>
      <c r="AB107" s="294"/>
      <c r="AC107" s="294"/>
      <c r="AD107" s="160">
        <f t="shared" si="154"/>
        <v>16047.56417</v>
      </c>
      <c r="AE107" s="160">
        <f t="shared" si="154"/>
        <v>400.74590000000001</v>
      </c>
      <c r="AF107" s="294"/>
      <c r="AG107" s="294"/>
      <c r="AH107" s="160">
        <f>AH111*R107</f>
        <v>2065.8115290835162</v>
      </c>
      <c r="AI107" s="294"/>
      <c r="AJ107" s="294"/>
      <c r="AK107" s="160">
        <f>+N107</f>
        <v>0</v>
      </c>
      <c r="AL107" s="294"/>
      <c r="AM107" s="162">
        <f t="shared" si="155"/>
        <v>18514.121599083515</v>
      </c>
      <c r="AO107" s="107" t="s">
        <v>390</v>
      </c>
      <c r="AP107" s="294">
        <f>TripMode_inputCBD!R88*Index!$B$2</f>
        <v>0</v>
      </c>
      <c r="AQ107" s="294">
        <f>TripMode_inputCBD!S88*Index!$B$2</f>
        <v>0</v>
      </c>
      <c r="AR107" s="294">
        <f>TripMode_inputCBD!T88*Index!$B$2</f>
        <v>0</v>
      </c>
      <c r="AS107" s="294">
        <f>TripMode_inputCBD!U88*Index!$B$2</f>
        <v>0</v>
      </c>
      <c r="AT107" s="160">
        <f>TripMode_inputCBD!V88*Index!$B$2</f>
        <v>4815</v>
      </c>
      <c r="AU107" s="160">
        <f>TripMode_inputCBD!W88*Index!$B$2</f>
        <v>115</v>
      </c>
      <c r="AV107" s="294">
        <f>TripMode_inputCBD!X88*Index!$B$2</f>
        <v>0</v>
      </c>
      <c r="AW107" s="294">
        <f>TripMode_inputCBD!Y88*Index!$B$2</f>
        <v>0</v>
      </c>
      <c r="AX107" s="160">
        <f>TripMode_inputCBD!AA88*Index!$B$2</f>
        <v>180</v>
      </c>
      <c r="AY107" s="160">
        <f>TripMode_inputCBD!AB88*Index!$B$2</f>
        <v>0</v>
      </c>
      <c r="AZ107" s="160">
        <f>TripMode_inputCBD!AC88*Index!$B$2</f>
        <v>0</v>
      </c>
      <c r="BA107" s="160">
        <f>TripMode_inputCBD!AD88*Index!$B$2</f>
        <v>15</v>
      </c>
      <c r="BB107" s="294">
        <f>TripMode_inputCBD!AE88*Index!$B$2</f>
        <v>0</v>
      </c>
      <c r="BC107" s="162">
        <f t="shared" si="156"/>
        <v>5125</v>
      </c>
      <c r="BE107" s="107" t="s">
        <v>577</v>
      </c>
      <c r="BF107" s="166">
        <f>IF(Z$116+AA$116&gt;0,SUM(Z107:AA108)/(Z$116+AA$116),"")</f>
        <v>0</v>
      </c>
      <c r="BG107" s="166"/>
      <c r="BH107" s="166">
        <f>IF(AB$116+AC$116&gt;0,SUM(AB107:AC108)/(AB$116+AC$116),"")</f>
        <v>0</v>
      </c>
      <c r="BI107" s="166"/>
      <c r="BJ107" s="166">
        <f>IF(AD$116+AE$116&gt;0,SUM(AD107:AE108)/(AD$116+AE$116),"")</f>
        <v>0.59212830088161161</v>
      </c>
      <c r="BK107" s="166"/>
      <c r="BL107" s="166">
        <f t="shared" ref="BL107:BS107" si="168">IF(AF$116&gt;0,(AF107+AF108)/AF$116,"")</f>
        <v>0</v>
      </c>
      <c r="BM107" s="166">
        <f t="shared" si="168"/>
        <v>0</v>
      </c>
      <c r="BN107" s="166">
        <f t="shared" si="168"/>
        <v>4.2223778853103917E-2</v>
      </c>
      <c r="BO107" s="166">
        <f t="shared" si="168"/>
        <v>0</v>
      </c>
      <c r="BP107" s="166">
        <f t="shared" si="168"/>
        <v>0</v>
      </c>
      <c r="BQ107" s="166">
        <f t="shared" si="168"/>
        <v>0</v>
      </c>
      <c r="BR107" s="166">
        <f t="shared" si="168"/>
        <v>0</v>
      </c>
      <c r="BS107" s="166">
        <f t="shared" si="168"/>
        <v>7.5210719484309782E-2</v>
      </c>
      <c r="BU107" s="107" t="s">
        <v>577</v>
      </c>
      <c r="BV107" s="166">
        <f>IF(AP$116+AQ$116&gt;0,SUM(AP107:AQ108)/(AP$116+AQ$116),"")</f>
        <v>0</v>
      </c>
      <c r="BW107" s="166"/>
      <c r="BX107" s="166">
        <f>IF(AR$116+AS$116&gt;0,SUM(AR107:AS108)/(AR$116+AS$116),"")</f>
        <v>0</v>
      </c>
      <c r="BY107" s="166"/>
      <c r="BZ107" s="166">
        <f>IF(AT$116+AU$116&gt;0,SUM(AT107:AU108)/(AT$116+AU$116),"")</f>
        <v>0.61832524271844658</v>
      </c>
      <c r="CA107" s="166"/>
      <c r="CB107" s="166">
        <f t="shared" ref="CB107:CI107" si="169">IF(AV$116&gt;0,(AV107+AV108)/AV$116,"")</f>
        <v>0</v>
      </c>
      <c r="CC107" s="166">
        <f t="shared" si="169"/>
        <v>0</v>
      </c>
      <c r="CD107" s="166">
        <f t="shared" si="169"/>
        <v>5.5805301503642846E-3</v>
      </c>
      <c r="CE107" s="166">
        <f t="shared" si="169"/>
        <v>0</v>
      </c>
      <c r="CF107" s="166">
        <f t="shared" si="169"/>
        <v>0</v>
      </c>
      <c r="CG107" s="166">
        <f t="shared" si="169"/>
        <v>6.3424947145877377E-3</v>
      </c>
      <c r="CH107" s="166" t="str">
        <f t="shared" si="169"/>
        <v/>
      </c>
      <c r="CI107" s="166">
        <f t="shared" si="169"/>
        <v>2.0453930325174962E-2</v>
      </c>
      <c r="CK107" s="107" t="s">
        <v>390</v>
      </c>
      <c r="CL107" s="166"/>
      <c r="CM107" s="166"/>
      <c r="CN107" s="166"/>
      <c r="CO107" s="166"/>
      <c r="CP107" s="166"/>
      <c r="CQ107" s="166"/>
      <c r="CR107" s="166"/>
      <c r="CS107" s="166"/>
      <c r="CT107" s="166"/>
      <c r="CU107" s="166"/>
      <c r="CV107" s="166"/>
      <c r="CW107" s="166"/>
      <c r="CX107" s="166"/>
      <c r="CY107" s="168"/>
      <c r="DA107" s="107" t="s">
        <v>577</v>
      </c>
      <c r="DB107" s="315"/>
      <c r="DC107" s="315"/>
      <c r="DD107" s="315"/>
      <c r="DE107" s="315"/>
      <c r="DF107" s="314">
        <f>IFERROR(IF(BZ107&gt;0,LN(BJ107/BZ107),0),0)</f>
        <v>-4.3291265870610982E-2</v>
      </c>
      <c r="DG107" s="314"/>
      <c r="DH107" s="315"/>
      <c r="DI107" s="315"/>
      <c r="DJ107" s="314">
        <f>IFERROR(IF(CD107&gt;0,LN(BN107/CD107),0),0)</f>
        <v>2.0236997613721281</v>
      </c>
      <c r="DK107" s="315"/>
      <c r="DL107" s="315"/>
      <c r="DM107" s="314">
        <f>IFERROR(IF(CG107&gt;0,LN(BQ107/CG107),0),0)</f>
        <v>0</v>
      </c>
      <c r="DN107" s="315"/>
      <c r="DO107" s="168"/>
      <c r="DQ107" s="107" t="s">
        <v>577</v>
      </c>
      <c r="DR107" s="315"/>
      <c r="DS107" s="315"/>
      <c r="DT107" s="315"/>
      <c r="DU107" s="315"/>
      <c r="DV107" s="314">
        <v>-2.5144036677942347</v>
      </c>
      <c r="DW107" s="314">
        <v>-2.5144036677942347</v>
      </c>
      <c r="DX107" s="315"/>
      <c r="DY107" s="315"/>
      <c r="DZ107" s="314">
        <v>2.4638381680198789</v>
      </c>
      <c r="EA107" s="315"/>
      <c r="EB107" s="315"/>
      <c r="EC107" s="314">
        <v>-0.14926546593980478</v>
      </c>
      <c r="ED107" s="315"/>
      <c r="EE107" s="168"/>
      <c r="EG107" s="107" t="s">
        <v>577</v>
      </c>
      <c r="EH107" s="315"/>
      <c r="EI107" s="315"/>
      <c r="EJ107" s="315"/>
      <c r="EK107" s="315"/>
      <c r="EL107" s="314">
        <f>DV107+(DF107-DF$103)*$EI$1</f>
        <v>-3.3385241368314071</v>
      </c>
      <c r="EM107" s="314">
        <f>DV107+(DF107-DF$103)*$EI$1</f>
        <v>-3.3385241368314071</v>
      </c>
      <c r="EN107" s="315"/>
      <c r="EO107" s="315"/>
      <c r="EP107" s="314">
        <f>DZ107+(DJ107-DJ$111)*$EI$1</f>
        <v>4.6078439847781869</v>
      </c>
      <c r="EQ107" s="315"/>
      <c r="ER107" s="315"/>
      <c r="ES107" s="314">
        <f>EC107+(DM107-DM$114)*$EI$1</f>
        <v>-3.0312738271543738E-2</v>
      </c>
      <c r="ET107" s="315"/>
      <c r="EU107" s="168"/>
      <c r="EW107" s="164" t="s">
        <v>390</v>
      </c>
      <c r="EX107" s="316">
        <f t="shared" si="165"/>
        <v>0</v>
      </c>
      <c r="EY107" s="316">
        <f t="shared" si="161"/>
        <v>0</v>
      </c>
      <c r="EZ107" s="316">
        <f t="shared" si="161"/>
        <v>-3.5717247025226255</v>
      </c>
      <c r="FA107" s="316">
        <f t="shared" si="161"/>
        <v>-3.5717247025226255</v>
      </c>
      <c r="FB107" s="316">
        <f t="shared" si="161"/>
        <v>-3.3385241368314071</v>
      </c>
      <c r="FC107" s="316">
        <f t="shared" si="161"/>
        <v>-3.3385241368314071</v>
      </c>
      <c r="FD107" s="316">
        <f t="shared" si="161"/>
        <v>-0.72780505838782528</v>
      </c>
      <c r="FE107" s="316">
        <f t="shared" si="161"/>
        <v>0</v>
      </c>
      <c r="FF107" s="316"/>
      <c r="FG107" s="316">
        <f t="shared" si="161"/>
        <v>0</v>
      </c>
      <c r="FH107" s="316">
        <f t="shared" si="161"/>
        <v>0</v>
      </c>
      <c r="FI107" s="316">
        <f t="shared" si="161"/>
        <v>0</v>
      </c>
      <c r="FJ107" s="316">
        <f t="shared" si="161"/>
        <v>0</v>
      </c>
      <c r="FK107" s="316">
        <f t="shared" si="161"/>
        <v>0</v>
      </c>
      <c r="FL107" s="168"/>
    </row>
    <row r="108" spans="2:168" x14ac:dyDescent="0.25">
      <c r="B108" s="107" t="s">
        <v>391</v>
      </c>
      <c r="C108" s="294"/>
      <c r="D108" s="294"/>
      <c r="E108" s="294"/>
      <c r="F108" s="294"/>
      <c r="G108" s="160">
        <f>TripMode_inputCBD!F89</f>
        <v>0</v>
      </c>
      <c r="H108" s="160">
        <f>TripMode_inputCBD!G89</f>
        <v>455.69385999999997</v>
      </c>
      <c r="I108" s="294"/>
      <c r="J108" s="294"/>
      <c r="K108" s="160">
        <f>TripMode_inputCBD!J89+TripMode_inputCBD!K89</f>
        <v>0</v>
      </c>
      <c r="L108" s="294"/>
      <c r="M108" s="294"/>
      <c r="N108" s="160">
        <f>TripMode_inputCBD!N89</f>
        <v>0</v>
      </c>
      <c r="O108" s="294"/>
      <c r="P108" s="162">
        <f t="shared" si="153"/>
        <v>455.69385999999997</v>
      </c>
      <c r="R108">
        <f t="shared" si="162"/>
        <v>0</v>
      </c>
      <c r="S108">
        <f t="shared" si="163"/>
        <v>0</v>
      </c>
      <c r="T108">
        <f t="shared" si="164"/>
        <v>0</v>
      </c>
      <c r="Y108" s="107" t="s">
        <v>391</v>
      </c>
      <c r="Z108" s="294"/>
      <c r="AA108" s="294"/>
      <c r="AB108" s="294"/>
      <c r="AC108" s="294"/>
      <c r="AD108" s="160">
        <f t="shared" si="154"/>
        <v>0</v>
      </c>
      <c r="AE108" s="160">
        <f t="shared" si="154"/>
        <v>455.69385999999997</v>
      </c>
      <c r="AF108" s="294"/>
      <c r="AG108" s="294"/>
      <c r="AH108" s="160">
        <f>AH111*R108</f>
        <v>0</v>
      </c>
      <c r="AI108" s="294"/>
      <c r="AJ108" s="294"/>
      <c r="AK108" s="160">
        <f>+N108</f>
        <v>0</v>
      </c>
      <c r="AL108" s="294"/>
      <c r="AM108" s="162">
        <f t="shared" si="155"/>
        <v>455.69385999999997</v>
      </c>
      <c r="AO108" s="107" t="s">
        <v>391</v>
      </c>
      <c r="AP108" s="294">
        <f>TripMode_inputCBD!R89*Index!$B$2</f>
        <v>0</v>
      </c>
      <c r="AQ108" s="294">
        <f>TripMode_inputCBD!S89*Index!$B$2</f>
        <v>0</v>
      </c>
      <c r="AR108" s="294">
        <f>TripMode_inputCBD!T89*Index!$B$2</f>
        <v>0</v>
      </c>
      <c r="AS108" s="294">
        <f>TripMode_inputCBD!U89*Index!$B$2</f>
        <v>0</v>
      </c>
      <c r="AT108" s="160">
        <f>TripMode_inputCBD!V89*Index!$B$2</f>
        <v>90</v>
      </c>
      <c r="AU108" s="160">
        <f>TripMode_inputCBD!W89*Index!$B$2</f>
        <v>75</v>
      </c>
      <c r="AV108" s="294">
        <f>TripMode_inputCBD!X89*Index!$B$2</f>
        <v>0</v>
      </c>
      <c r="AW108" s="294">
        <f>TripMode_inputCBD!Y89*Index!$B$2</f>
        <v>0</v>
      </c>
      <c r="AX108" s="160">
        <f>TripMode_inputCBD!AA89*Index!$B$2</f>
        <v>0</v>
      </c>
      <c r="AY108" s="160">
        <f>TripMode_inputCBD!AB89*Index!$B$2</f>
        <v>0</v>
      </c>
      <c r="AZ108" s="160">
        <f>TripMode_inputCBD!AC89*Index!$B$2</f>
        <v>0</v>
      </c>
      <c r="BA108" s="160">
        <f>TripMode_inputCBD!AD89*Index!$B$2</f>
        <v>0</v>
      </c>
      <c r="BB108" s="294">
        <f>TripMode_inputCBD!AE89*Index!$B$2</f>
        <v>0</v>
      </c>
      <c r="BC108" s="162">
        <f t="shared" si="156"/>
        <v>165</v>
      </c>
      <c r="BE108" s="107"/>
      <c r="BF108" s="166"/>
      <c r="BG108" s="166"/>
      <c r="BH108" s="166"/>
      <c r="BI108" s="166"/>
      <c r="BJ108" s="166"/>
      <c r="BK108" s="166"/>
      <c r="BL108" s="166"/>
      <c r="BM108" s="166"/>
      <c r="BN108" s="166"/>
      <c r="BO108" s="166"/>
      <c r="BP108" s="166"/>
      <c r="BQ108" s="166"/>
      <c r="BR108" s="166"/>
      <c r="BS108" s="166"/>
      <c r="BU108" s="107"/>
      <c r="BV108" s="166"/>
      <c r="BW108" s="166"/>
      <c r="BX108" s="166"/>
      <c r="BY108" s="166"/>
      <c r="BZ108" s="166"/>
      <c r="CA108" s="166"/>
      <c r="CB108" s="166"/>
      <c r="CC108" s="166"/>
      <c r="CD108" s="166"/>
      <c r="CE108" s="166"/>
      <c r="CF108" s="166"/>
      <c r="CG108" s="166"/>
      <c r="CH108" s="166"/>
      <c r="CI108" s="166"/>
      <c r="CK108" s="107" t="s">
        <v>391</v>
      </c>
      <c r="CL108" s="166"/>
      <c r="CM108" s="166"/>
      <c r="CN108" s="166"/>
      <c r="CO108" s="166"/>
      <c r="CP108" s="166"/>
      <c r="CQ108" s="166"/>
      <c r="CR108" s="166"/>
      <c r="CS108" s="166"/>
      <c r="CT108" s="166"/>
      <c r="CU108" s="166"/>
      <c r="CV108" s="166"/>
      <c r="CW108" s="166"/>
      <c r="CX108" s="166"/>
      <c r="CY108" s="168"/>
      <c r="DA108" s="107"/>
      <c r="DB108" s="315"/>
      <c r="DC108" s="315"/>
      <c r="DD108" s="315"/>
      <c r="DE108" s="315"/>
      <c r="DF108" s="314"/>
      <c r="DG108" s="314"/>
      <c r="DH108" s="315"/>
      <c r="DI108" s="315"/>
      <c r="DJ108" s="314"/>
      <c r="DK108" s="315"/>
      <c r="DL108" s="315"/>
      <c r="DM108" s="314"/>
      <c r="DN108" s="315"/>
      <c r="DO108" s="168"/>
      <c r="DQ108" s="107"/>
      <c r="DR108" s="315"/>
      <c r="DS108" s="315"/>
      <c r="DT108" s="315"/>
      <c r="DU108" s="315"/>
      <c r="DV108" s="314">
        <v>-2.5144036677942347</v>
      </c>
      <c r="DW108" s="314">
        <v>-2.5144036677942347</v>
      </c>
      <c r="DX108" s="315"/>
      <c r="DY108" s="315"/>
      <c r="DZ108" s="314">
        <v>2.4638381680198789</v>
      </c>
      <c r="EA108" s="315"/>
      <c r="EB108" s="315"/>
      <c r="EC108" s="314">
        <v>-0.14926546593980478</v>
      </c>
      <c r="ED108" s="315"/>
      <c r="EE108" s="168"/>
      <c r="EG108" s="107"/>
      <c r="EH108" s="315"/>
      <c r="EI108" s="315"/>
      <c r="EJ108" s="315"/>
      <c r="EK108" s="315"/>
      <c r="EL108" s="314">
        <f>DV107+(DF107-DF$103)*$EI$1</f>
        <v>-3.3385241368314071</v>
      </c>
      <c r="EM108" s="314">
        <f>DV107+(DF107-DF$103)*$EI$1</f>
        <v>-3.3385241368314071</v>
      </c>
      <c r="EN108" s="315"/>
      <c r="EO108" s="315"/>
      <c r="EP108" s="314">
        <f>DZ107+(DJ107-DJ$111)*$EI$1</f>
        <v>4.6078439847781869</v>
      </c>
      <c r="EQ108" s="315"/>
      <c r="ER108" s="315"/>
      <c r="ES108" s="314">
        <f>EC107+(DM107-DM$114)*$EI$1</f>
        <v>-3.0312738271543738E-2</v>
      </c>
      <c r="ET108" s="315"/>
      <c r="EU108" s="168"/>
      <c r="EW108" s="164" t="s">
        <v>391</v>
      </c>
      <c r="EX108" s="316">
        <f t="shared" si="165"/>
        <v>0</v>
      </c>
      <c r="EY108" s="316">
        <f t="shared" si="161"/>
        <v>0</v>
      </c>
      <c r="EZ108" s="316">
        <f t="shared" si="161"/>
        <v>-3.5717247025226255</v>
      </c>
      <c r="FA108" s="316">
        <f t="shared" si="161"/>
        <v>-3.5717247025226255</v>
      </c>
      <c r="FB108" s="316">
        <f t="shared" si="161"/>
        <v>-3.3385241368314071</v>
      </c>
      <c r="FC108" s="316">
        <f t="shared" si="161"/>
        <v>-3.3385241368314071</v>
      </c>
      <c r="FD108" s="316">
        <f t="shared" si="161"/>
        <v>-0.72780505838782528</v>
      </c>
      <c r="FE108" s="316">
        <f t="shared" si="161"/>
        <v>0</v>
      </c>
      <c r="FF108" s="316"/>
      <c r="FG108" s="316">
        <f t="shared" si="161"/>
        <v>0</v>
      </c>
      <c r="FH108" s="316">
        <f t="shared" si="161"/>
        <v>0</v>
      </c>
      <c r="FI108" s="316">
        <f t="shared" si="161"/>
        <v>0</v>
      </c>
      <c r="FJ108" s="316">
        <f t="shared" si="161"/>
        <v>0</v>
      </c>
      <c r="FK108" s="316">
        <f t="shared" si="161"/>
        <v>0</v>
      </c>
      <c r="FL108" s="168"/>
    </row>
    <row r="109" spans="2:168" x14ac:dyDescent="0.25">
      <c r="B109" s="107" t="s">
        <v>392</v>
      </c>
      <c r="C109" s="294"/>
      <c r="D109" s="294"/>
      <c r="E109" s="160">
        <f>TripMode_inputCBD!D90</f>
        <v>2561.41167</v>
      </c>
      <c r="F109" s="160">
        <f>TripMode_inputCBD!E90</f>
        <v>0</v>
      </c>
      <c r="G109" s="160">
        <f>TripMode_inputCBD!F90</f>
        <v>1483.1484599999999</v>
      </c>
      <c r="H109" s="160">
        <f>TripMode_inputCBD!G90</f>
        <v>0</v>
      </c>
      <c r="I109" s="160">
        <f>TripMode_inputCBD!H90</f>
        <v>57341.931470000003</v>
      </c>
      <c r="J109" s="294"/>
      <c r="K109" s="160">
        <f>TripMode_inputCBD!J90+TripMode_inputCBD!K90</f>
        <v>6803.4579700000004</v>
      </c>
      <c r="L109" s="294"/>
      <c r="M109" s="294"/>
      <c r="N109" s="160">
        <f>TripMode_inputCBD!N90</f>
        <v>1259.5625700000001</v>
      </c>
      <c r="O109" s="294"/>
      <c r="P109" s="162">
        <f t="shared" si="153"/>
        <v>69449.512139999992</v>
      </c>
      <c r="R109">
        <f t="shared" si="162"/>
        <v>0.21449597733316475</v>
      </c>
      <c r="S109">
        <f t="shared" si="163"/>
        <v>0</v>
      </c>
      <c r="T109">
        <f t="shared" si="164"/>
        <v>0</v>
      </c>
      <c r="Y109" s="107" t="s">
        <v>392</v>
      </c>
      <c r="Z109" s="294"/>
      <c r="AA109" s="294"/>
      <c r="AB109" s="160">
        <f>+E109</f>
        <v>2561.41167</v>
      </c>
      <c r="AC109" s="160">
        <f>+F109</f>
        <v>0</v>
      </c>
      <c r="AD109" s="160">
        <f t="shared" si="154"/>
        <v>1483.1484599999999</v>
      </c>
      <c r="AE109" s="160">
        <f t="shared" si="154"/>
        <v>0</v>
      </c>
      <c r="AF109" s="160">
        <f t="shared" si="154"/>
        <v>57341.931470000003</v>
      </c>
      <c r="AG109" s="294"/>
      <c r="AH109" s="160">
        <f>AH111*R109</f>
        <v>6522.408728799961</v>
      </c>
      <c r="AI109" s="294"/>
      <c r="AJ109" s="294"/>
      <c r="AK109" s="160">
        <f>+N109</f>
        <v>1259.5625700000001</v>
      </c>
      <c r="AL109" s="294"/>
      <c r="AM109" s="162">
        <f t="shared" si="155"/>
        <v>69168.46289879996</v>
      </c>
      <c r="AO109" s="107" t="s">
        <v>392</v>
      </c>
      <c r="AP109" s="294">
        <f>TripMode_inputCBD!R90*Index!$B$2</f>
        <v>0</v>
      </c>
      <c r="AQ109" s="294">
        <f>TripMode_inputCBD!S90*Index!$B$2</f>
        <v>0</v>
      </c>
      <c r="AR109" s="160">
        <f>TripMode_inputCBD!T90*Index!$B$2</f>
        <v>2970</v>
      </c>
      <c r="AS109" s="160">
        <f>TripMode_inputCBD!U90*Index!$B$2</f>
        <v>25</v>
      </c>
      <c r="AT109" s="160">
        <f>TripMode_inputCBD!V90*Index!$B$2</f>
        <v>820</v>
      </c>
      <c r="AU109" s="160">
        <f>TripMode_inputCBD!W90*Index!$B$2</f>
        <v>0</v>
      </c>
      <c r="AV109" s="160">
        <f>TripMode_inputCBD!X90*Index!$B$2</f>
        <v>85140</v>
      </c>
      <c r="AW109" s="294">
        <f>TripMode_inputCBD!Y90*Index!$B$2</f>
        <v>0</v>
      </c>
      <c r="AX109" s="160">
        <f>TripMode_inputCBD!AA90*Index!$B$2</f>
        <v>8555</v>
      </c>
      <c r="AY109" s="160">
        <f>TripMode_inputCBD!AB90*Index!$B$2</f>
        <v>0</v>
      </c>
      <c r="AZ109" s="160">
        <f>TripMode_inputCBD!AC90*Index!$B$2</f>
        <v>0</v>
      </c>
      <c r="BA109" s="160">
        <f>TripMode_inputCBD!AD90*Index!$B$2</f>
        <v>445</v>
      </c>
      <c r="BB109" s="294">
        <f>TripMode_inputCBD!AE90*Index!$B$2</f>
        <v>0</v>
      </c>
      <c r="BC109" s="162">
        <f t="shared" si="156"/>
        <v>97955</v>
      </c>
      <c r="BE109" s="107" t="s">
        <v>392</v>
      </c>
      <c r="BF109" s="166">
        <f t="shared" ref="BF109:BS116" si="170">IF(Z$116&gt;0,Z109/Z$116,"")</f>
        <v>0</v>
      </c>
      <c r="BG109" s="166">
        <f t="shared" si="170"/>
        <v>0</v>
      </c>
      <c r="BH109" s="166">
        <f t="shared" si="170"/>
        <v>6.740362840009928E-2</v>
      </c>
      <c r="BI109" s="166">
        <f t="shared" si="170"/>
        <v>0</v>
      </c>
      <c r="BJ109" s="166">
        <f t="shared" si="170"/>
        <v>5.3783704239285864E-2</v>
      </c>
      <c r="BK109" s="166">
        <f t="shared" si="170"/>
        <v>0</v>
      </c>
      <c r="BL109" s="166">
        <f t="shared" si="170"/>
        <v>1</v>
      </c>
      <c r="BM109" s="166">
        <f t="shared" si="170"/>
        <v>0</v>
      </c>
      <c r="BN109" s="166">
        <f t="shared" si="170"/>
        <v>0.13331358639313234</v>
      </c>
      <c r="BO109" s="166">
        <f t="shared" si="170"/>
        <v>0</v>
      </c>
      <c r="BP109" s="166">
        <f t="shared" si="170"/>
        <v>0</v>
      </c>
      <c r="BQ109" s="166">
        <f t="shared" si="170"/>
        <v>0.30199922498788223</v>
      </c>
      <c r="BR109" s="166">
        <f t="shared" si="170"/>
        <v>0</v>
      </c>
      <c r="BS109" s="166">
        <f t="shared" si="170"/>
        <v>0.27423618703425523</v>
      </c>
      <c r="BU109" s="107" t="s">
        <v>392</v>
      </c>
      <c r="BV109" s="166">
        <f t="shared" ref="BV109:CI116" si="171">IF(AP$116&gt;0,AP109/AP$116,"")</f>
        <v>0</v>
      </c>
      <c r="BW109" s="166">
        <f t="shared" si="171"/>
        <v>0</v>
      </c>
      <c r="BX109" s="166">
        <f t="shared" si="171"/>
        <v>8.7778927146445987E-2</v>
      </c>
      <c r="BY109" s="166">
        <f t="shared" si="171"/>
        <v>1.65016501650165E-2</v>
      </c>
      <c r="BZ109" s="166">
        <f t="shared" si="171"/>
        <v>0.10327455919395466</v>
      </c>
      <c r="CA109" s="166">
        <f t="shared" si="171"/>
        <v>0</v>
      </c>
      <c r="CB109" s="166">
        <f t="shared" si="171"/>
        <v>1</v>
      </c>
      <c r="CC109" s="166">
        <f t="shared" si="171"/>
        <v>0</v>
      </c>
      <c r="CD109" s="166">
        <f t="shared" si="171"/>
        <v>0.26523019686870253</v>
      </c>
      <c r="CE109" s="166">
        <f t="shared" si="171"/>
        <v>0</v>
      </c>
      <c r="CF109" s="166">
        <f t="shared" si="171"/>
        <v>0</v>
      </c>
      <c r="CG109" s="166">
        <f t="shared" si="171"/>
        <v>0.18816067653276955</v>
      </c>
      <c r="CH109" s="166" t="str">
        <f t="shared" si="171"/>
        <v/>
      </c>
      <c r="CI109" s="168">
        <f t="shared" si="171"/>
        <v>0.37874569848818773</v>
      </c>
      <c r="CK109" s="107" t="s">
        <v>392</v>
      </c>
      <c r="CL109" s="166"/>
      <c r="CM109" s="166"/>
      <c r="CN109" s="166"/>
      <c r="CO109" s="166"/>
      <c r="CP109" s="166"/>
      <c r="CQ109" s="166"/>
      <c r="CR109" s="166"/>
      <c r="CS109" s="166"/>
      <c r="CT109" s="166"/>
      <c r="CU109" s="166"/>
      <c r="CV109" s="166"/>
      <c r="CW109" s="166"/>
      <c r="CX109" s="166"/>
      <c r="CY109" s="168"/>
      <c r="DA109" s="107" t="s">
        <v>392</v>
      </c>
      <c r="DB109" s="315"/>
      <c r="DC109" s="315"/>
      <c r="DD109" s="314">
        <f>IFERROR(IF(BX109&gt;0,LN(BH109/BX109),0),0)</f>
        <v>-0.2641226118139175</v>
      </c>
      <c r="DE109" s="314">
        <f>IFERROR(IF(BY109&gt;0,LN(BI109/BY109),0),0)</f>
        <v>0</v>
      </c>
      <c r="DF109" s="314">
        <f>IFERROR(IF(BZ109&gt;0,LN(BJ109/BZ109),0),0)</f>
        <v>-0.65242053889408624</v>
      </c>
      <c r="DG109" s="314">
        <f>IFERROR(IF(CA109&gt;0,LN(BK109/CA109),0),0)</f>
        <v>0</v>
      </c>
      <c r="DH109" s="314">
        <f>IFERROR(IF(CB109&gt;0,LN(BL109/CB109),0),0)</f>
        <v>0</v>
      </c>
      <c r="DI109" s="315"/>
      <c r="DJ109" s="314">
        <f t="shared" ref="DJ109:DJ114" si="172">IFERROR(IF(CD109&gt;0,LN(BN109/CD109),0),0)</f>
        <v>-0.68789397092191584</v>
      </c>
      <c r="DK109" s="315"/>
      <c r="DL109" s="315"/>
      <c r="DM109" s="314">
        <f>IFERROR(IF(CG109&gt;0,LN(BQ109/CG109),0),0)</f>
        <v>0.47312819088394226</v>
      </c>
      <c r="DN109" s="315"/>
      <c r="DO109" s="168"/>
      <c r="DQ109" s="107" t="s">
        <v>392</v>
      </c>
      <c r="DR109" s="315"/>
      <c r="DS109" s="315"/>
      <c r="DT109" s="314">
        <v>4.411210568432316</v>
      </c>
      <c r="DU109" s="314">
        <v>4.411210568432316</v>
      </c>
      <c r="DV109" s="314">
        <v>0.70544468367282254</v>
      </c>
      <c r="DW109" s="314">
        <v>0.70544468367282254</v>
      </c>
      <c r="DX109" s="314">
        <v>0</v>
      </c>
      <c r="DY109" s="315"/>
      <c r="DZ109" s="314">
        <v>-1.8033352668858986</v>
      </c>
      <c r="EA109" s="315"/>
      <c r="EB109" s="315"/>
      <c r="EC109" s="314">
        <v>5.4543488961154862</v>
      </c>
      <c r="ED109" s="315"/>
      <c r="EE109" s="168"/>
      <c r="EG109" s="107" t="s">
        <v>392</v>
      </c>
      <c r="EH109" s="315"/>
      <c r="EI109" s="315"/>
      <c r="EJ109" s="314">
        <f>DT109+(DD109-DD$103)*$EI$1</f>
        <v>4.6623092116304967</v>
      </c>
      <c r="EK109" s="314">
        <f>DT109+(DD109-DD$103)*$EI$1</f>
        <v>4.6623092116304967</v>
      </c>
      <c r="EL109" s="314">
        <f>DV109+(DF109-DF$103)*$EI$1</f>
        <v>-0.72780505838782528</v>
      </c>
      <c r="EM109" s="314">
        <f>DV109+(DF109-DF$103)*$EI$1</f>
        <v>-0.72780505838782528</v>
      </c>
      <c r="EN109" s="314">
        <v>0</v>
      </c>
      <c r="EO109" s="315"/>
      <c r="EP109" s="314">
        <f>DZ109+(DJ109-DJ$111)*$EI$1</f>
        <v>-2.3709231824216346</v>
      </c>
      <c r="EQ109" s="315"/>
      <c r="ER109" s="315"/>
      <c r="ES109" s="314">
        <f>EC109+(DM109-DM$114)*$EI$1</f>
        <v>6.0464298146676896</v>
      </c>
      <c r="ET109" s="315"/>
      <c r="EU109" s="168"/>
      <c r="EW109" s="164" t="s">
        <v>392</v>
      </c>
      <c r="EX109" s="316">
        <f t="shared" si="165"/>
        <v>0</v>
      </c>
      <c r="EY109" s="316">
        <f t="shared" si="161"/>
        <v>0</v>
      </c>
      <c r="EZ109" s="316">
        <f t="shared" si="161"/>
        <v>0</v>
      </c>
      <c r="FA109" s="316">
        <f t="shared" si="161"/>
        <v>0</v>
      </c>
      <c r="FB109" s="316">
        <f t="shared" si="161"/>
        <v>0</v>
      </c>
      <c r="FC109" s="316">
        <f t="shared" si="161"/>
        <v>0</v>
      </c>
      <c r="FD109" s="316">
        <f t="shared" si="161"/>
        <v>0</v>
      </c>
      <c r="FE109" s="316">
        <f t="shared" si="161"/>
        <v>0</v>
      </c>
      <c r="FF109" s="316"/>
      <c r="FG109" s="316">
        <f t="shared" si="161"/>
        <v>0</v>
      </c>
      <c r="FH109" s="316">
        <f t="shared" si="161"/>
        <v>0</v>
      </c>
      <c r="FI109" s="316">
        <f t="shared" si="161"/>
        <v>0</v>
      </c>
      <c r="FJ109" s="316">
        <f t="shared" si="161"/>
        <v>0</v>
      </c>
      <c r="FK109" s="316">
        <f t="shared" si="161"/>
        <v>0</v>
      </c>
      <c r="FL109" s="168"/>
    </row>
    <row r="110" spans="2:168" x14ac:dyDescent="0.25">
      <c r="B110" s="107" t="s">
        <v>393</v>
      </c>
      <c r="C110" s="294"/>
      <c r="D110" s="294"/>
      <c r="E110" s="294"/>
      <c r="F110" s="294"/>
      <c r="G110" s="294"/>
      <c r="H110" s="294"/>
      <c r="I110" s="294"/>
      <c r="J110" s="160">
        <f>TripMode_inputCBD!I91</f>
        <v>14569.525600000001</v>
      </c>
      <c r="K110" s="294"/>
      <c r="L110" s="294"/>
      <c r="M110" s="294"/>
      <c r="N110" s="294"/>
      <c r="O110" s="294"/>
      <c r="P110" s="162">
        <f t="shared" si="153"/>
        <v>14569.525600000001</v>
      </c>
      <c r="R110">
        <f t="shared" si="162"/>
        <v>0</v>
      </c>
      <c r="S110">
        <f t="shared" si="163"/>
        <v>0</v>
      </c>
      <c r="T110">
        <f t="shared" si="164"/>
        <v>0</v>
      </c>
      <c r="Y110" s="107" t="s">
        <v>393</v>
      </c>
      <c r="Z110" s="294"/>
      <c r="AA110" s="294"/>
      <c r="AB110" s="294"/>
      <c r="AC110" s="294"/>
      <c r="AD110" s="294"/>
      <c r="AE110" s="294"/>
      <c r="AF110" s="294"/>
      <c r="AG110" s="160">
        <f>+J110</f>
        <v>14569.525600000001</v>
      </c>
      <c r="AH110" s="294"/>
      <c r="AI110" s="294"/>
      <c r="AJ110" s="294"/>
      <c r="AK110" s="294"/>
      <c r="AL110" s="294"/>
      <c r="AM110" s="162">
        <f t="shared" si="155"/>
        <v>14569.525600000001</v>
      </c>
      <c r="AO110" s="107" t="s">
        <v>393</v>
      </c>
      <c r="AP110" s="294">
        <f>TripMode_inputCBD!R91*Index!$B$2</f>
        <v>0</v>
      </c>
      <c r="AQ110" s="294">
        <f>TripMode_inputCBD!S91*Index!$B$2</f>
        <v>0</v>
      </c>
      <c r="AR110" s="294">
        <f>TripMode_inputCBD!T91*Index!$B$2</f>
        <v>0</v>
      </c>
      <c r="AS110" s="294">
        <f>TripMode_inputCBD!U91*Index!$B$2</f>
        <v>0</v>
      </c>
      <c r="AT110" s="294">
        <f>TripMode_inputCBD!V91*Index!$B$2</f>
        <v>0</v>
      </c>
      <c r="AU110" s="294">
        <f>TripMode_inputCBD!W91*Index!$B$2</f>
        <v>0</v>
      </c>
      <c r="AV110" s="294">
        <f>TripMode_inputCBD!X91*Index!$B$2</f>
        <v>0</v>
      </c>
      <c r="AW110" s="160">
        <f>TripMode_inputCBD!Y91*Index!$B$2</f>
        <v>18665</v>
      </c>
      <c r="AX110" s="294">
        <f>TripMode_inputCBD!AA91*Index!$B$2</f>
        <v>0</v>
      </c>
      <c r="AY110" s="294">
        <f>TripMode_inputCBD!AB91*Index!$B$2</f>
        <v>0</v>
      </c>
      <c r="AZ110" s="294">
        <f>TripMode_inputCBD!AC91*Index!$B$2</f>
        <v>0</v>
      </c>
      <c r="BA110" s="294">
        <f>TripMode_inputCBD!AD91*Index!$B$2</f>
        <v>0</v>
      </c>
      <c r="BB110" s="294">
        <f>TripMode_inputCBD!AE91*Index!$B$2</f>
        <v>0</v>
      </c>
      <c r="BC110" s="162">
        <f t="shared" si="156"/>
        <v>18665</v>
      </c>
      <c r="BE110" s="107" t="s">
        <v>393</v>
      </c>
      <c r="BF110" s="166">
        <f t="shared" si="170"/>
        <v>0</v>
      </c>
      <c r="BG110" s="166">
        <f t="shared" si="170"/>
        <v>0</v>
      </c>
      <c r="BH110" s="166">
        <f t="shared" si="170"/>
        <v>0</v>
      </c>
      <c r="BI110" s="166">
        <f t="shared" si="170"/>
        <v>0</v>
      </c>
      <c r="BJ110" s="166">
        <f t="shared" si="170"/>
        <v>0</v>
      </c>
      <c r="BK110" s="166">
        <f t="shared" si="170"/>
        <v>0</v>
      </c>
      <c r="BL110" s="166">
        <f t="shared" si="170"/>
        <v>0</v>
      </c>
      <c r="BM110" s="166">
        <f t="shared" si="170"/>
        <v>1</v>
      </c>
      <c r="BN110" s="166">
        <f t="shared" si="170"/>
        <v>0</v>
      </c>
      <c r="BO110" s="166">
        <f t="shared" si="170"/>
        <v>0</v>
      </c>
      <c r="BP110" s="166">
        <f t="shared" si="170"/>
        <v>0</v>
      </c>
      <c r="BQ110" s="166">
        <f t="shared" si="170"/>
        <v>0</v>
      </c>
      <c r="BR110" s="166">
        <f t="shared" si="170"/>
        <v>0</v>
      </c>
      <c r="BS110" s="166">
        <f t="shared" si="170"/>
        <v>5.7764636945709685E-2</v>
      </c>
      <c r="BU110" s="107" t="s">
        <v>393</v>
      </c>
      <c r="BV110" s="166">
        <f t="shared" si="171"/>
        <v>0</v>
      </c>
      <c r="BW110" s="166">
        <f t="shared" si="171"/>
        <v>0</v>
      </c>
      <c r="BX110" s="166">
        <f t="shared" si="171"/>
        <v>0</v>
      </c>
      <c r="BY110" s="166">
        <f t="shared" si="171"/>
        <v>0</v>
      </c>
      <c r="BZ110" s="166">
        <f t="shared" si="171"/>
        <v>0</v>
      </c>
      <c r="CA110" s="166">
        <f t="shared" si="171"/>
        <v>0</v>
      </c>
      <c r="CB110" s="166">
        <f t="shared" si="171"/>
        <v>0</v>
      </c>
      <c r="CC110" s="166">
        <f t="shared" si="171"/>
        <v>1</v>
      </c>
      <c r="CD110" s="166">
        <f t="shared" si="171"/>
        <v>0</v>
      </c>
      <c r="CE110" s="166">
        <f t="shared" si="171"/>
        <v>0</v>
      </c>
      <c r="CF110" s="166">
        <f t="shared" si="171"/>
        <v>0</v>
      </c>
      <c r="CG110" s="166">
        <f t="shared" si="171"/>
        <v>0</v>
      </c>
      <c r="CH110" s="166" t="str">
        <f t="shared" si="171"/>
        <v/>
      </c>
      <c r="CI110" s="168">
        <f t="shared" si="171"/>
        <v>7.2168735258864011E-2</v>
      </c>
      <c r="CK110" s="107" t="s">
        <v>393</v>
      </c>
      <c r="CL110" s="166"/>
      <c r="CM110" s="166"/>
      <c r="CN110" s="166"/>
      <c r="CO110" s="166"/>
      <c r="CP110" s="166"/>
      <c r="CQ110" s="166"/>
      <c r="CR110" s="166"/>
      <c r="CS110" s="166"/>
      <c r="CT110" s="166"/>
      <c r="CU110" s="166"/>
      <c r="CV110" s="166"/>
      <c r="CW110" s="166"/>
      <c r="CX110" s="166"/>
      <c r="CY110" s="168"/>
      <c r="DA110" s="107" t="s">
        <v>393</v>
      </c>
      <c r="DB110" s="315"/>
      <c r="DC110" s="315"/>
      <c r="DD110" s="315"/>
      <c r="DE110" s="315"/>
      <c r="DF110" s="315"/>
      <c r="DG110" s="315"/>
      <c r="DH110" s="315"/>
      <c r="DI110" s="314">
        <f>IFERROR(IF(CC110&gt;0,LN(BM110/CC110),0),0)</f>
        <v>0</v>
      </c>
      <c r="DJ110" s="315"/>
      <c r="DK110" s="315"/>
      <c r="DL110" s="315"/>
      <c r="DM110" s="315"/>
      <c r="DN110" s="315"/>
      <c r="DO110" s="168"/>
      <c r="DQ110" s="107" t="s">
        <v>393</v>
      </c>
      <c r="DR110" s="315"/>
      <c r="DS110" s="315"/>
      <c r="DT110" s="315"/>
      <c r="DU110" s="315"/>
      <c r="DV110" s="315"/>
      <c r="DW110" s="315"/>
      <c r="DX110" s="315"/>
      <c r="DY110" s="314">
        <v>0</v>
      </c>
      <c r="DZ110" s="315"/>
      <c r="EA110" s="315"/>
      <c r="EB110" s="315"/>
      <c r="EC110" s="315"/>
      <c r="ED110" s="315"/>
      <c r="EE110" s="168"/>
      <c r="EG110" s="107" t="s">
        <v>393</v>
      </c>
      <c r="EH110" s="315"/>
      <c r="EI110" s="315"/>
      <c r="EJ110" s="315"/>
      <c r="EK110" s="315"/>
      <c r="EL110" s="315"/>
      <c r="EM110" s="315"/>
      <c r="EN110" s="315"/>
      <c r="EO110" s="314">
        <v>0</v>
      </c>
      <c r="EP110" s="315"/>
      <c r="EQ110" s="315"/>
      <c r="ER110" s="315"/>
      <c r="ES110" s="315"/>
      <c r="ET110" s="315"/>
      <c r="EU110" s="168"/>
      <c r="EW110" s="164" t="s">
        <v>393</v>
      </c>
      <c r="EX110" s="316">
        <f t="shared" si="165"/>
        <v>0</v>
      </c>
      <c r="EY110" s="316">
        <f t="shared" si="161"/>
        <v>0</v>
      </c>
      <c r="EZ110" s="316">
        <f t="shared" si="161"/>
        <v>0</v>
      </c>
      <c r="FA110" s="316">
        <f t="shared" si="161"/>
        <v>0</v>
      </c>
      <c r="FB110" s="316">
        <f t="shared" si="161"/>
        <v>0</v>
      </c>
      <c r="FC110" s="316">
        <f t="shared" si="161"/>
        <v>0</v>
      </c>
      <c r="FD110" s="316">
        <f t="shared" si="161"/>
        <v>0</v>
      </c>
      <c r="FE110" s="316">
        <f t="shared" si="161"/>
        <v>0</v>
      </c>
      <c r="FF110" s="316"/>
      <c r="FG110" s="316">
        <f t="shared" si="161"/>
        <v>0</v>
      </c>
      <c r="FH110" s="316">
        <f t="shared" si="161"/>
        <v>0</v>
      </c>
      <c r="FI110" s="316">
        <f t="shared" si="161"/>
        <v>0</v>
      </c>
      <c r="FJ110" s="316">
        <f t="shared" si="161"/>
        <v>0</v>
      </c>
      <c r="FK110" s="316">
        <f t="shared" si="161"/>
        <v>0</v>
      </c>
      <c r="FL110" s="168"/>
    </row>
    <row r="111" spans="2:168" x14ac:dyDescent="0.25">
      <c r="B111" s="107" t="s">
        <v>546</v>
      </c>
      <c r="C111" s="294"/>
      <c r="D111" s="294"/>
      <c r="E111" s="294"/>
      <c r="F111" s="294"/>
      <c r="G111" s="294"/>
      <c r="H111" s="294"/>
      <c r="I111" s="294"/>
      <c r="J111" s="294"/>
      <c r="K111" s="160">
        <f>TripMode_inputCBD!J93+TripMode_inputCBD!K93+TripMode_inputCBD!J92+TripMode_inputCBD!K92</f>
        <v>31718.347610000001</v>
      </c>
      <c r="L111" s="294"/>
      <c r="M111" s="294"/>
      <c r="N111" s="294"/>
      <c r="O111" s="294"/>
      <c r="P111" s="162">
        <f t="shared" si="153"/>
        <v>31718.347610000001</v>
      </c>
      <c r="R111">
        <f t="shared" si="162"/>
        <v>1</v>
      </c>
      <c r="S111">
        <f t="shared" si="163"/>
        <v>0</v>
      </c>
      <c r="T111">
        <f t="shared" si="164"/>
        <v>0</v>
      </c>
      <c r="U111" s="127">
        <f>+K111/K$159</f>
        <v>5.2334851078652191E-2</v>
      </c>
      <c r="V111" s="127"/>
      <c r="W111" s="127"/>
      <c r="X111" s="127"/>
      <c r="Y111" s="107" t="s">
        <v>546</v>
      </c>
      <c r="Z111" s="294"/>
      <c r="AA111" s="294"/>
      <c r="AB111" s="294"/>
      <c r="AC111" s="294"/>
      <c r="AD111" s="294"/>
      <c r="AE111" s="294"/>
      <c r="AF111" s="294"/>
      <c r="AG111" s="294"/>
      <c r="AH111" s="160">
        <f>U111*U$159</f>
        <v>30408.070164733504</v>
      </c>
      <c r="AI111" s="294"/>
      <c r="AJ111" s="294"/>
      <c r="AK111" s="294"/>
      <c r="AL111" s="294"/>
      <c r="AM111" s="162">
        <f t="shared" si="155"/>
        <v>30408.070164733504</v>
      </c>
      <c r="AN111" s="127"/>
      <c r="AO111" s="107" t="s">
        <v>395</v>
      </c>
      <c r="AP111" s="294">
        <f>TripMode_inputCBD!R93*Index!$B$2</f>
        <v>0</v>
      </c>
      <c r="AQ111" s="294">
        <f>TripMode_inputCBD!S93*Index!$B$2</f>
        <v>0</v>
      </c>
      <c r="AR111" s="294">
        <f>TripMode_inputCBD!T93*Index!$B$2</f>
        <v>0</v>
      </c>
      <c r="AS111" s="294">
        <f>TripMode_inputCBD!U93*Index!$B$2</f>
        <v>0</v>
      </c>
      <c r="AT111" s="294">
        <f>TripMode_inputCBD!V93*Index!$B$2</f>
        <v>0</v>
      </c>
      <c r="AU111" s="294">
        <f>TripMode_inputCBD!W93*Index!$B$2</f>
        <v>0</v>
      </c>
      <c r="AV111" s="294">
        <f>TripMode_inputCBD!X93*Index!$B$2</f>
        <v>0</v>
      </c>
      <c r="AW111" s="294">
        <f>TripMode_inputCBD!Y93*Index!$B$2</f>
        <v>0</v>
      </c>
      <c r="AX111" s="160">
        <f>TripMode_inputCBD!AA93*Index!$B$2</f>
        <v>22610</v>
      </c>
      <c r="AY111" s="160">
        <f>TripMode_inputCBD!AB93*Index!$B$2</f>
        <v>0</v>
      </c>
      <c r="AZ111" s="160">
        <f>TripMode_inputCBD!AC93*Index!$B$2</f>
        <v>0</v>
      </c>
      <c r="BA111" s="294">
        <f>TripMode_inputCBD!AD93*Index!$B$2</f>
        <v>0</v>
      </c>
      <c r="BB111" s="294">
        <f>TripMode_inputCBD!AE93*Index!$B$2</f>
        <v>0</v>
      </c>
      <c r="BC111" s="162">
        <f t="shared" si="156"/>
        <v>22610</v>
      </c>
      <c r="BE111" s="107" t="s">
        <v>395</v>
      </c>
      <c r="BF111" s="166">
        <f t="shared" si="170"/>
        <v>0</v>
      </c>
      <c r="BG111" s="166">
        <f t="shared" si="170"/>
        <v>0</v>
      </c>
      <c r="BH111" s="166">
        <f t="shared" si="170"/>
        <v>0</v>
      </c>
      <c r="BI111" s="166">
        <f t="shared" si="170"/>
        <v>0</v>
      </c>
      <c r="BJ111" s="166">
        <f t="shared" si="170"/>
        <v>0</v>
      </c>
      <c r="BK111" s="166">
        <f t="shared" si="170"/>
        <v>0</v>
      </c>
      <c r="BL111" s="166">
        <f t="shared" si="170"/>
        <v>0</v>
      </c>
      <c r="BM111" s="166">
        <f t="shared" si="170"/>
        <v>0</v>
      </c>
      <c r="BN111" s="166">
        <f t="shared" si="170"/>
        <v>0.62152021707178096</v>
      </c>
      <c r="BO111" s="166">
        <f t="shared" si="170"/>
        <v>0</v>
      </c>
      <c r="BP111" s="166">
        <f t="shared" si="170"/>
        <v>0</v>
      </c>
      <c r="BQ111" s="166">
        <f t="shared" si="170"/>
        <v>0</v>
      </c>
      <c r="BR111" s="166">
        <f t="shared" si="170"/>
        <v>0</v>
      </c>
      <c r="BS111" s="166">
        <f t="shared" si="170"/>
        <v>0.12056062644108997</v>
      </c>
      <c r="BU111" s="107" t="s">
        <v>395</v>
      </c>
      <c r="BV111" s="166">
        <f t="shared" si="171"/>
        <v>0</v>
      </c>
      <c r="BW111" s="166">
        <f t="shared" si="171"/>
        <v>0</v>
      </c>
      <c r="BX111" s="166">
        <f t="shared" si="171"/>
        <v>0</v>
      </c>
      <c r="BY111" s="166">
        <f t="shared" si="171"/>
        <v>0</v>
      </c>
      <c r="BZ111" s="166">
        <f t="shared" si="171"/>
        <v>0</v>
      </c>
      <c r="CA111" s="166">
        <f t="shared" si="171"/>
        <v>0</v>
      </c>
      <c r="CB111" s="166">
        <f t="shared" si="171"/>
        <v>0</v>
      </c>
      <c r="CC111" s="166">
        <f t="shared" si="171"/>
        <v>0</v>
      </c>
      <c r="CD111" s="166">
        <f t="shared" si="171"/>
        <v>0.70097659277631374</v>
      </c>
      <c r="CE111" s="166">
        <f t="shared" si="171"/>
        <v>0</v>
      </c>
      <c r="CF111" s="166">
        <f t="shared" si="171"/>
        <v>0</v>
      </c>
      <c r="CG111" s="166">
        <f t="shared" si="171"/>
        <v>0</v>
      </c>
      <c r="CH111" s="166" t="str">
        <f t="shared" si="171"/>
        <v/>
      </c>
      <c r="CI111" s="168">
        <f t="shared" si="171"/>
        <v>8.7422186134632485E-2</v>
      </c>
      <c r="CK111" s="107" t="s">
        <v>395</v>
      </c>
      <c r="CL111" s="166" t="str">
        <f t="shared" ref="CL111:CO116" si="173">IF(OR(ISNA(BF111),BF111=0,BF111=""),"",(BV111-BF111)/BF111)</f>
        <v/>
      </c>
      <c r="CM111" s="166" t="str">
        <f t="shared" si="173"/>
        <v/>
      </c>
      <c r="CN111" s="166" t="str">
        <f t="shared" si="173"/>
        <v/>
      </c>
      <c r="CO111" s="166" t="str">
        <f t="shared" si="173"/>
        <v/>
      </c>
      <c r="CP111" s="166"/>
      <c r="CQ111" s="166"/>
      <c r="CR111" s="166"/>
      <c r="CS111" s="166"/>
      <c r="CT111" s="166">
        <f t="shared" ref="CT111:CY116" si="174">IF(OR(ISNA(BN111),BN111=0,BN111=""),"",(CD111-BN111)/BN111)</f>
        <v>0.12784198087534804</v>
      </c>
      <c r="CU111" s="166" t="str">
        <f t="shared" si="174"/>
        <v/>
      </c>
      <c r="CV111" s="166" t="str">
        <f t="shared" si="174"/>
        <v/>
      </c>
      <c r="CW111" s="166" t="str">
        <f t="shared" si="174"/>
        <v/>
      </c>
      <c r="CX111" s="166" t="str">
        <f t="shared" si="174"/>
        <v/>
      </c>
      <c r="CY111" s="168">
        <f t="shared" si="174"/>
        <v>-0.27486950992785408</v>
      </c>
      <c r="DA111" s="107" t="s">
        <v>395</v>
      </c>
      <c r="DB111" s="315"/>
      <c r="DC111" s="315"/>
      <c r="DD111" s="315"/>
      <c r="DE111" s="315"/>
      <c r="DF111" s="315"/>
      <c r="DG111" s="315"/>
      <c r="DH111" s="315"/>
      <c r="DI111" s="315"/>
      <c r="DJ111" s="314">
        <f t="shared" si="172"/>
        <v>-0.12030605538617965</v>
      </c>
      <c r="DK111" s="315"/>
      <c r="DL111" s="315"/>
      <c r="DM111" s="315"/>
      <c r="DN111" s="315"/>
      <c r="DO111" s="168"/>
      <c r="DQ111" s="107" t="s">
        <v>395</v>
      </c>
      <c r="DR111" s="315"/>
      <c r="DS111" s="315"/>
      <c r="DT111" s="315"/>
      <c r="DU111" s="315"/>
      <c r="DV111" s="315"/>
      <c r="DW111" s="315"/>
      <c r="DX111" s="315"/>
      <c r="DY111" s="315"/>
      <c r="DZ111" s="314">
        <v>0</v>
      </c>
      <c r="EA111" s="315"/>
      <c r="EB111" s="315"/>
      <c r="EC111" s="315"/>
      <c r="ED111" s="315"/>
      <c r="EE111" s="168"/>
      <c r="EG111" s="107" t="s">
        <v>395</v>
      </c>
      <c r="EH111" s="315"/>
      <c r="EI111" s="315"/>
      <c r="EJ111" s="315"/>
      <c r="EK111" s="315"/>
      <c r="EL111" s="315"/>
      <c r="EM111" s="315"/>
      <c r="EN111" s="315"/>
      <c r="EO111" s="315"/>
      <c r="EP111" s="314">
        <v>0</v>
      </c>
      <c r="EQ111" s="315"/>
      <c r="ER111" s="315"/>
      <c r="ES111" s="315"/>
      <c r="ET111" s="315"/>
      <c r="EU111" s="168"/>
      <c r="EW111" s="164" t="s">
        <v>546</v>
      </c>
      <c r="EX111" s="316">
        <f t="shared" si="165"/>
        <v>0</v>
      </c>
      <c r="EY111" s="316">
        <f t="shared" si="161"/>
        <v>0</v>
      </c>
      <c r="EZ111" s="316">
        <f t="shared" si="161"/>
        <v>6.4279901712052689</v>
      </c>
      <c r="FA111" s="316">
        <f t="shared" si="161"/>
        <v>6.4279901712052689</v>
      </c>
      <c r="FB111" s="316">
        <f t="shared" si="161"/>
        <v>4.6078439847781869</v>
      </c>
      <c r="FC111" s="316">
        <f t="shared" si="161"/>
        <v>4.6078439847781869</v>
      </c>
      <c r="FD111" s="316">
        <f t="shared" si="161"/>
        <v>-2.3709231824216346</v>
      </c>
      <c r="FE111" s="316">
        <f t="shared" si="161"/>
        <v>0</v>
      </c>
      <c r="FF111" s="316"/>
      <c r="FG111" s="316">
        <f t="shared" si="161"/>
        <v>0</v>
      </c>
      <c r="FH111" s="316">
        <f t="shared" si="161"/>
        <v>0</v>
      </c>
      <c r="FI111" s="316">
        <f t="shared" si="161"/>
        <v>0</v>
      </c>
      <c r="FJ111" s="316">
        <f t="shared" si="161"/>
        <v>0.52222529914043392</v>
      </c>
      <c r="FK111" s="316">
        <f t="shared" si="161"/>
        <v>0</v>
      </c>
      <c r="FL111" s="168"/>
    </row>
    <row r="112" spans="2:168" x14ac:dyDescent="0.25">
      <c r="B112" s="107" t="s">
        <v>396</v>
      </c>
      <c r="C112" s="294"/>
      <c r="D112" s="294"/>
      <c r="E112" s="294"/>
      <c r="F112" s="294"/>
      <c r="G112" s="294"/>
      <c r="H112" s="294"/>
      <c r="I112" s="294"/>
      <c r="J112" s="294"/>
      <c r="K112" s="294"/>
      <c r="L112" s="160">
        <f>TripMode_inputCBD!L94</f>
        <v>1312.4291000000001</v>
      </c>
      <c r="M112" s="294"/>
      <c r="N112" s="294"/>
      <c r="O112" s="294"/>
      <c r="P112" s="162">
        <f t="shared" si="153"/>
        <v>1312.4291000000001</v>
      </c>
      <c r="R112">
        <f t="shared" si="162"/>
        <v>0</v>
      </c>
      <c r="S112">
        <f t="shared" si="163"/>
        <v>1</v>
      </c>
      <c r="T112">
        <f t="shared" si="164"/>
        <v>0</v>
      </c>
      <c r="V112" s="127">
        <f>+L112/L$160</f>
        <v>2.2177985497408514E-2</v>
      </c>
      <c r="W112" s="127"/>
      <c r="X112" s="127"/>
      <c r="Y112" s="107" t="s">
        <v>396</v>
      </c>
      <c r="Z112" s="294"/>
      <c r="AA112" s="294"/>
      <c r="AB112" s="294"/>
      <c r="AC112" s="294"/>
      <c r="AD112" s="294"/>
      <c r="AE112" s="294"/>
      <c r="AF112" s="294"/>
      <c r="AG112" s="294"/>
      <c r="AH112" s="294"/>
      <c r="AI112" s="160">
        <f>V112*V$160</f>
        <v>693.86013497978854</v>
      </c>
      <c r="AJ112" s="294"/>
      <c r="AK112" s="294"/>
      <c r="AL112" s="294"/>
      <c r="AM112" s="162">
        <f t="shared" si="155"/>
        <v>693.86013497978854</v>
      </c>
      <c r="AN112" s="127"/>
      <c r="AO112" s="107" t="s">
        <v>396</v>
      </c>
      <c r="AP112" s="294">
        <f>TripMode_inputCBD!R94*Index!$B$2</f>
        <v>0</v>
      </c>
      <c r="AQ112" s="294">
        <f>TripMode_inputCBD!S94*Index!$B$2</f>
        <v>0</v>
      </c>
      <c r="AR112" s="294">
        <f>TripMode_inputCBD!T94*Index!$B$2</f>
        <v>0</v>
      </c>
      <c r="AS112" s="294">
        <f>TripMode_inputCBD!U94*Index!$B$2</f>
        <v>0</v>
      </c>
      <c r="AT112" s="294">
        <f>TripMode_inputCBD!V94*Index!$B$2</f>
        <v>0</v>
      </c>
      <c r="AU112" s="294">
        <f>TripMode_inputCBD!W94*Index!$B$2</f>
        <v>0</v>
      </c>
      <c r="AV112" s="294">
        <f>TripMode_inputCBD!X94*Index!$B$2</f>
        <v>0</v>
      </c>
      <c r="AW112" s="294">
        <f>TripMode_inputCBD!Y94*Index!$B$2</f>
        <v>0</v>
      </c>
      <c r="AX112" s="294">
        <f>TripMode_inputCBD!AA94*Index!$B$2</f>
        <v>0</v>
      </c>
      <c r="AY112" s="160">
        <f>TripMode_inputCBD!AB94*Index!$B$2</f>
        <v>335</v>
      </c>
      <c r="AZ112" s="294">
        <f>TripMode_inputCBD!AC94*Index!$B$2</f>
        <v>0</v>
      </c>
      <c r="BA112" s="294">
        <f>TripMode_inputCBD!AD94*Index!$B$2</f>
        <v>0</v>
      </c>
      <c r="BB112" s="294">
        <f>TripMode_inputCBD!AE94*Index!$B$2</f>
        <v>0</v>
      </c>
      <c r="BC112" s="162">
        <f t="shared" si="156"/>
        <v>335</v>
      </c>
      <c r="BE112" s="107" t="s">
        <v>396</v>
      </c>
      <c r="BF112" s="166">
        <f t="shared" si="170"/>
        <v>0</v>
      </c>
      <c r="BG112" s="166">
        <f t="shared" si="170"/>
        <v>0</v>
      </c>
      <c r="BH112" s="166">
        <f t="shared" si="170"/>
        <v>0</v>
      </c>
      <c r="BI112" s="166">
        <f t="shared" si="170"/>
        <v>0</v>
      </c>
      <c r="BJ112" s="166">
        <f t="shared" si="170"/>
        <v>0</v>
      </c>
      <c r="BK112" s="166">
        <f t="shared" si="170"/>
        <v>0</v>
      </c>
      <c r="BL112" s="166">
        <f t="shared" si="170"/>
        <v>0</v>
      </c>
      <c r="BM112" s="166">
        <f t="shared" si="170"/>
        <v>0</v>
      </c>
      <c r="BN112" s="166">
        <f t="shared" si="170"/>
        <v>0</v>
      </c>
      <c r="BO112" s="166">
        <f t="shared" si="170"/>
        <v>1</v>
      </c>
      <c r="BP112" s="166">
        <f t="shared" si="170"/>
        <v>0</v>
      </c>
      <c r="BQ112" s="166">
        <f t="shared" si="170"/>
        <v>0</v>
      </c>
      <c r="BR112" s="166">
        <f t="shared" si="170"/>
        <v>0</v>
      </c>
      <c r="BS112" s="166">
        <f t="shared" si="170"/>
        <v>2.7509872241968263E-3</v>
      </c>
      <c r="BU112" s="107" t="s">
        <v>396</v>
      </c>
      <c r="BV112" s="166">
        <f t="shared" si="171"/>
        <v>0</v>
      </c>
      <c r="BW112" s="166">
        <f t="shared" si="171"/>
        <v>0</v>
      </c>
      <c r="BX112" s="166">
        <f t="shared" si="171"/>
        <v>0</v>
      </c>
      <c r="BY112" s="166">
        <f t="shared" si="171"/>
        <v>0</v>
      </c>
      <c r="BZ112" s="166">
        <f t="shared" si="171"/>
        <v>0</v>
      </c>
      <c r="CA112" s="166">
        <f t="shared" si="171"/>
        <v>0</v>
      </c>
      <c r="CB112" s="166">
        <f t="shared" si="171"/>
        <v>0</v>
      </c>
      <c r="CC112" s="166">
        <f t="shared" si="171"/>
        <v>0</v>
      </c>
      <c r="CD112" s="166">
        <f t="shared" si="171"/>
        <v>0</v>
      </c>
      <c r="CE112" s="166">
        <f t="shared" si="171"/>
        <v>1</v>
      </c>
      <c r="CF112" s="166">
        <f t="shared" si="171"/>
        <v>0</v>
      </c>
      <c r="CG112" s="166">
        <f t="shared" si="171"/>
        <v>0</v>
      </c>
      <c r="CH112" s="166" t="str">
        <f t="shared" si="171"/>
        <v/>
      </c>
      <c r="CI112" s="168">
        <f t="shared" si="171"/>
        <v>1.295286703012025E-3</v>
      </c>
      <c r="CK112" s="107" t="s">
        <v>396</v>
      </c>
      <c r="CL112" s="166" t="str">
        <f t="shared" si="173"/>
        <v/>
      </c>
      <c r="CM112" s="166" t="str">
        <f t="shared" si="173"/>
        <v/>
      </c>
      <c r="CN112" s="166" t="str">
        <f t="shared" si="173"/>
        <v/>
      </c>
      <c r="CO112" s="166" t="str">
        <f t="shared" si="173"/>
        <v/>
      </c>
      <c r="CP112" s="166"/>
      <c r="CQ112" s="166"/>
      <c r="CR112" s="166"/>
      <c r="CS112" s="166"/>
      <c r="CT112" s="166" t="str">
        <f t="shared" si="174"/>
        <v/>
      </c>
      <c r="CU112" s="166">
        <f t="shared" si="174"/>
        <v>0</v>
      </c>
      <c r="CV112" s="166" t="str">
        <f t="shared" si="174"/>
        <v/>
      </c>
      <c r="CW112" s="166" t="str">
        <f t="shared" si="174"/>
        <v/>
      </c>
      <c r="CX112" s="166" t="str">
        <f t="shared" si="174"/>
        <v/>
      </c>
      <c r="CY112" s="168">
        <f t="shared" si="174"/>
        <v>-0.52915568214236441</v>
      </c>
      <c r="DA112" s="107" t="s">
        <v>396</v>
      </c>
      <c r="DB112" s="315"/>
      <c r="DC112" s="315"/>
      <c r="DD112" s="315"/>
      <c r="DE112" s="315"/>
      <c r="DF112" s="315"/>
      <c r="DG112" s="315"/>
      <c r="DH112" s="315"/>
      <c r="DI112" s="315"/>
      <c r="DJ112" s="315"/>
      <c r="DK112" s="314">
        <f>IFERROR(IF(CE112&gt;0,LN(BO112/CE112),0),0)</f>
        <v>0</v>
      </c>
      <c r="DL112" s="315"/>
      <c r="DM112" s="315"/>
      <c r="DN112" s="315"/>
      <c r="DO112" s="168"/>
      <c r="DQ112" s="107" t="s">
        <v>396</v>
      </c>
      <c r="DR112" s="315"/>
      <c r="DS112" s="315"/>
      <c r="DT112" s="315"/>
      <c r="DU112" s="315"/>
      <c r="DV112" s="315"/>
      <c r="DW112" s="315"/>
      <c r="DX112" s="315"/>
      <c r="DY112" s="315"/>
      <c r="DZ112" s="315"/>
      <c r="EA112" s="314">
        <v>0</v>
      </c>
      <c r="EB112" s="315"/>
      <c r="EC112" s="315"/>
      <c r="ED112" s="315"/>
      <c r="EE112" s="168"/>
      <c r="EG112" s="107" t="s">
        <v>396</v>
      </c>
      <c r="EH112" s="315"/>
      <c r="EI112" s="315"/>
      <c r="EJ112" s="315"/>
      <c r="EK112" s="315"/>
      <c r="EL112" s="315"/>
      <c r="EM112" s="315"/>
      <c r="EN112" s="315"/>
      <c r="EO112" s="315"/>
      <c r="EP112" s="315"/>
      <c r="EQ112" s="314">
        <v>0</v>
      </c>
      <c r="ER112" s="315"/>
      <c r="ES112" s="315"/>
      <c r="ET112" s="315"/>
      <c r="EU112" s="168"/>
      <c r="EW112" s="164" t="s">
        <v>396</v>
      </c>
      <c r="EX112" s="316">
        <f t="shared" si="165"/>
        <v>0</v>
      </c>
      <c r="EY112" s="316">
        <f t="shared" si="161"/>
        <v>0</v>
      </c>
      <c r="EZ112" s="316">
        <f t="shared" si="161"/>
        <v>0</v>
      </c>
      <c r="FA112" s="316">
        <f t="shared" si="161"/>
        <v>0</v>
      </c>
      <c r="FB112" s="316">
        <f t="shared" si="161"/>
        <v>0</v>
      </c>
      <c r="FC112" s="316">
        <f t="shared" si="161"/>
        <v>0</v>
      </c>
      <c r="FD112" s="316">
        <f t="shared" si="161"/>
        <v>0</v>
      </c>
      <c r="FE112" s="316">
        <f t="shared" si="161"/>
        <v>0</v>
      </c>
      <c r="FF112" s="316"/>
      <c r="FG112" s="316">
        <f t="shared" si="161"/>
        <v>0</v>
      </c>
      <c r="FH112" s="316">
        <f t="shared" si="161"/>
        <v>0</v>
      </c>
      <c r="FI112" s="316">
        <f t="shared" si="161"/>
        <v>0</v>
      </c>
      <c r="FJ112" s="316">
        <f t="shared" si="161"/>
        <v>0</v>
      </c>
      <c r="FK112" s="316">
        <f t="shared" si="161"/>
        <v>0</v>
      </c>
      <c r="FL112" s="168"/>
    </row>
    <row r="113" spans="2:168" x14ac:dyDescent="0.25">
      <c r="B113" s="107" t="s">
        <v>397</v>
      </c>
      <c r="C113" s="294"/>
      <c r="D113" s="294"/>
      <c r="E113" s="294"/>
      <c r="F113" s="294"/>
      <c r="G113" s="294"/>
      <c r="H113" s="294"/>
      <c r="I113" s="294"/>
      <c r="J113" s="294"/>
      <c r="K113" s="294"/>
      <c r="L113" s="294"/>
      <c r="M113" s="160">
        <f>TripMode_inputCBD!M95</f>
        <v>3011.0465600000002</v>
      </c>
      <c r="N113" s="294"/>
      <c r="O113" s="294"/>
      <c r="P113" s="162">
        <f t="shared" si="153"/>
        <v>3011.0465600000002</v>
      </c>
      <c r="R113">
        <f t="shared" si="162"/>
        <v>0</v>
      </c>
      <c r="S113">
        <f t="shared" si="163"/>
        <v>0</v>
      </c>
      <c r="T113">
        <f t="shared" si="164"/>
        <v>1</v>
      </c>
      <c r="W113" s="127">
        <f>+M113/M$161</f>
        <v>1.2441023356020382E-2</v>
      </c>
      <c r="X113" s="127"/>
      <c r="Y113" s="107" t="s">
        <v>397</v>
      </c>
      <c r="Z113" s="294"/>
      <c r="AA113" s="294"/>
      <c r="AB113" s="294"/>
      <c r="AC113" s="294"/>
      <c r="AD113" s="294"/>
      <c r="AE113" s="294"/>
      <c r="AF113" s="294"/>
      <c r="AG113" s="294"/>
      <c r="AH113" s="294"/>
      <c r="AI113" s="294"/>
      <c r="AJ113" s="160">
        <f>W113*W$161</f>
        <v>1146.9458820035775</v>
      </c>
      <c r="AK113" s="294"/>
      <c r="AL113" s="294"/>
      <c r="AM113" s="162">
        <f t="shared" si="155"/>
        <v>1146.9458820035775</v>
      </c>
      <c r="AN113" s="127"/>
      <c r="AO113" s="107" t="s">
        <v>397</v>
      </c>
      <c r="AP113" s="294">
        <f>TripMode_inputCBD!R95*Index!$B$2</f>
        <v>0</v>
      </c>
      <c r="AQ113" s="294">
        <f>TripMode_inputCBD!S95*Index!$B$2</f>
        <v>0</v>
      </c>
      <c r="AR113" s="294">
        <f>TripMode_inputCBD!T95*Index!$B$2</f>
        <v>0</v>
      </c>
      <c r="AS113" s="294">
        <f>TripMode_inputCBD!U95*Index!$B$2</f>
        <v>0</v>
      </c>
      <c r="AT113" s="294">
        <f>TripMode_inputCBD!V95*Index!$B$2</f>
        <v>0</v>
      </c>
      <c r="AU113" s="294">
        <f>TripMode_inputCBD!W95*Index!$B$2</f>
        <v>0</v>
      </c>
      <c r="AV113" s="294">
        <f>TripMode_inputCBD!X95*Index!$B$2</f>
        <v>0</v>
      </c>
      <c r="AW113" s="294">
        <f>TripMode_inputCBD!Y95*Index!$B$2</f>
        <v>0</v>
      </c>
      <c r="AX113" s="294">
        <f>TripMode_inputCBD!AA95*Index!$B$2</f>
        <v>0</v>
      </c>
      <c r="AY113" s="294">
        <f>TripMode_inputCBD!AB95*Index!$B$2</f>
        <v>0</v>
      </c>
      <c r="AZ113" s="160">
        <f>TripMode_inputCBD!AC95*Index!$B$2</f>
        <v>15</v>
      </c>
      <c r="BA113" s="294">
        <f>TripMode_inputCBD!AD95*Index!$B$2</f>
        <v>0</v>
      </c>
      <c r="BB113" s="294">
        <f>TripMode_inputCBD!AE95*Index!$B$2</f>
        <v>0</v>
      </c>
      <c r="BC113" s="162">
        <f t="shared" si="156"/>
        <v>15</v>
      </c>
      <c r="BE113" s="107" t="s">
        <v>397</v>
      </c>
      <c r="BF113" s="166">
        <f t="shared" si="170"/>
        <v>0</v>
      </c>
      <c r="BG113" s="166">
        <f t="shared" si="170"/>
        <v>0</v>
      </c>
      <c r="BH113" s="166">
        <f t="shared" si="170"/>
        <v>0</v>
      </c>
      <c r="BI113" s="166">
        <f t="shared" si="170"/>
        <v>0</v>
      </c>
      <c r="BJ113" s="166">
        <f t="shared" si="170"/>
        <v>0</v>
      </c>
      <c r="BK113" s="166">
        <f t="shared" si="170"/>
        <v>0</v>
      </c>
      <c r="BL113" s="166">
        <f t="shared" si="170"/>
        <v>0</v>
      </c>
      <c r="BM113" s="166">
        <f t="shared" si="170"/>
        <v>0</v>
      </c>
      <c r="BN113" s="166">
        <f t="shared" si="170"/>
        <v>0</v>
      </c>
      <c r="BO113" s="166">
        <f t="shared" si="170"/>
        <v>0</v>
      </c>
      <c r="BP113" s="166">
        <f t="shared" si="170"/>
        <v>1</v>
      </c>
      <c r="BQ113" s="166">
        <f t="shared" si="170"/>
        <v>0</v>
      </c>
      <c r="BR113" s="166">
        <f t="shared" si="170"/>
        <v>0</v>
      </c>
      <c r="BS113" s="166">
        <f t="shared" si="170"/>
        <v>4.5473623705574477E-3</v>
      </c>
      <c r="BU113" s="107" t="s">
        <v>397</v>
      </c>
      <c r="BV113" s="166">
        <f t="shared" si="171"/>
        <v>0</v>
      </c>
      <c r="BW113" s="166">
        <f t="shared" si="171"/>
        <v>0</v>
      </c>
      <c r="BX113" s="166">
        <f t="shared" si="171"/>
        <v>0</v>
      </c>
      <c r="BY113" s="166">
        <f t="shared" si="171"/>
        <v>0</v>
      </c>
      <c r="BZ113" s="166">
        <f t="shared" si="171"/>
        <v>0</v>
      </c>
      <c r="CA113" s="166">
        <f t="shared" si="171"/>
        <v>0</v>
      </c>
      <c r="CB113" s="166">
        <f t="shared" si="171"/>
        <v>0</v>
      </c>
      <c r="CC113" s="166">
        <f t="shared" si="171"/>
        <v>0</v>
      </c>
      <c r="CD113" s="166">
        <f t="shared" si="171"/>
        <v>0</v>
      </c>
      <c r="CE113" s="166">
        <f t="shared" si="171"/>
        <v>0</v>
      </c>
      <c r="CF113" s="166">
        <f t="shared" si="171"/>
        <v>1</v>
      </c>
      <c r="CG113" s="166">
        <f t="shared" si="171"/>
        <v>0</v>
      </c>
      <c r="CH113" s="166" t="str">
        <f t="shared" si="171"/>
        <v/>
      </c>
      <c r="CI113" s="168">
        <f t="shared" si="171"/>
        <v>5.7997912075165292E-5</v>
      </c>
      <c r="CK113" s="107" t="s">
        <v>397</v>
      </c>
      <c r="CL113" s="166" t="str">
        <f t="shared" si="173"/>
        <v/>
      </c>
      <c r="CM113" s="166" t="str">
        <f t="shared" si="173"/>
        <v/>
      </c>
      <c r="CN113" s="166" t="str">
        <f t="shared" si="173"/>
        <v/>
      </c>
      <c r="CO113" s="166" t="str">
        <f t="shared" si="173"/>
        <v/>
      </c>
      <c r="CP113" s="166"/>
      <c r="CQ113" s="166"/>
      <c r="CR113" s="166"/>
      <c r="CS113" s="166"/>
      <c r="CT113" s="166" t="str">
        <f t="shared" si="174"/>
        <v/>
      </c>
      <c r="CU113" s="166" t="str">
        <f t="shared" si="174"/>
        <v/>
      </c>
      <c r="CV113" s="166">
        <f t="shared" si="174"/>
        <v>0</v>
      </c>
      <c r="CW113" s="166" t="str">
        <f t="shared" si="174"/>
        <v/>
      </c>
      <c r="CX113" s="166" t="str">
        <f t="shared" si="174"/>
        <v/>
      </c>
      <c r="CY113" s="168">
        <f t="shared" si="174"/>
        <v>-0.98724581255043997</v>
      </c>
      <c r="DA113" s="107" t="s">
        <v>397</v>
      </c>
      <c r="DB113" s="315"/>
      <c r="DC113" s="315"/>
      <c r="DD113" s="315"/>
      <c r="DE113" s="315"/>
      <c r="DF113" s="315"/>
      <c r="DG113" s="315"/>
      <c r="DH113" s="315"/>
      <c r="DI113" s="315"/>
      <c r="DJ113" s="315"/>
      <c r="DK113" s="315"/>
      <c r="DL113" s="314">
        <f>IFERROR(IF(CF113&gt;0,LN(BP113/CF113),0),0)</f>
        <v>0</v>
      </c>
      <c r="DM113" s="315"/>
      <c r="DN113" s="315"/>
      <c r="DO113" s="168"/>
      <c r="DQ113" s="107" t="s">
        <v>397</v>
      </c>
      <c r="DR113" s="315"/>
      <c r="DS113" s="315"/>
      <c r="DT113" s="315"/>
      <c r="DU113" s="315"/>
      <c r="DV113" s="315"/>
      <c r="DW113" s="315"/>
      <c r="DX113" s="315"/>
      <c r="DY113" s="315"/>
      <c r="DZ113" s="315"/>
      <c r="EA113" s="315"/>
      <c r="EB113" s="314">
        <v>0</v>
      </c>
      <c r="EC113" s="315"/>
      <c r="ED113" s="315"/>
      <c r="EE113" s="168"/>
      <c r="EG113" s="107" t="s">
        <v>397</v>
      </c>
      <c r="EH113" s="315"/>
      <c r="EI113" s="315"/>
      <c r="EJ113" s="315"/>
      <c r="EK113" s="315"/>
      <c r="EL113" s="315"/>
      <c r="EM113" s="315"/>
      <c r="EN113" s="315"/>
      <c r="EO113" s="315"/>
      <c r="EP113" s="315"/>
      <c r="EQ113" s="315"/>
      <c r="ER113" s="314">
        <v>0</v>
      </c>
      <c r="ES113" s="315"/>
      <c r="ET113" s="315"/>
      <c r="EU113" s="168"/>
      <c r="EW113" s="164" t="s">
        <v>397</v>
      </c>
      <c r="EX113" s="316">
        <f t="shared" si="165"/>
        <v>0</v>
      </c>
      <c r="EY113" s="316">
        <f t="shared" si="161"/>
        <v>0</v>
      </c>
      <c r="EZ113" s="316">
        <f t="shared" si="161"/>
        <v>0</v>
      </c>
      <c r="FA113" s="316">
        <f t="shared" si="161"/>
        <v>0</v>
      </c>
      <c r="FB113" s="316">
        <f t="shared" si="161"/>
        <v>0</v>
      </c>
      <c r="FC113" s="316">
        <f t="shared" si="161"/>
        <v>0</v>
      </c>
      <c r="FD113" s="316">
        <f t="shared" si="161"/>
        <v>0</v>
      </c>
      <c r="FE113" s="316">
        <f t="shared" si="161"/>
        <v>0</v>
      </c>
      <c r="FF113" s="316"/>
      <c r="FG113" s="316">
        <f t="shared" si="161"/>
        <v>0</v>
      </c>
      <c r="FH113" s="316">
        <f t="shared" si="161"/>
        <v>0</v>
      </c>
      <c r="FI113" s="316">
        <f t="shared" si="161"/>
        <v>0</v>
      </c>
      <c r="FJ113" s="316">
        <f t="shared" si="161"/>
        <v>0</v>
      </c>
      <c r="FK113" s="316">
        <f t="shared" si="161"/>
        <v>0</v>
      </c>
      <c r="FL113" s="168"/>
    </row>
    <row r="114" spans="2:168" x14ac:dyDescent="0.25">
      <c r="B114" s="107" t="s">
        <v>398</v>
      </c>
      <c r="C114" s="294"/>
      <c r="D114" s="294"/>
      <c r="E114" s="294"/>
      <c r="F114" s="294"/>
      <c r="G114" s="294"/>
      <c r="H114" s="294"/>
      <c r="I114" s="294"/>
      <c r="J114" s="294"/>
      <c r="K114" s="160">
        <f>TripMode_inputCBD!J96+TripMode_inputCBD!K96</f>
        <v>1119.8941600000001</v>
      </c>
      <c r="L114" s="294"/>
      <c r="M114" s="294"/>
      <c r="N114" s="160">
        <f>TripMode_inputCBD!N96</f>
        <v>2755.7189800000001</v>
      </c>
      <c r="O114" s="294"/>
      <c r="P114" s="162">
        <f t="shared" si="153"/>
        <v>3875.6131400000004</v>
      </c>
      <c r="R114">
        <f t="shared" si="162"/>
        <v>3.5307455916995044E-2</v>
      </c>
      <c r="S114">
        <f t="shared" si="163"/>
        <v>0</v>
      </c>
      <c r="T114">
        <f t="shared" si="164"/>
        <v>0</v>
      </c>
      <c r="Y114" s="107" t="s">
        <v>398</v>
      </c>
      <c r="Z114" s="294"/>
      <c r="AA114" s="294"/>
      <c r="AB114" s="294"/>
      <c r="AC114" s="294"/>
      <c r="AD114" s="294"/>
      <c r="AE114" s="294"/>
      <c r="AF114" s="294"/>
      <c r="AG114" s="294"/>
      <c r="AH114" s="160">
        <f>AH111*R114</f>
        <v>1073.6315968622205</v>
      </c>
      <c r="AI114" s="160">
        <f>AI112*S114</f>
        <v>0</v>
      </c>
      <c r="AJ114" s="160">
        <f>AJ113*T114</f>
        <v>0</v>
      </c>
      <c r="AK114" s="160">
        <f>N114</f>
        <v>2755.7189800000001</v>
      </c>
      <c r="AL114" s="294"/>
      <c r="AM114" s="162">
        <f t="shared" si="155"/>
        <v>3829.3505768622208</v>
      </c>
      <c r="AO114" s="107" t="s">
        <v>398</v>
      </c>
      <c r="AP114" s="294">
        <f>TripMode_inputCBD!R96*Index!$B$2</f>
        <v>0</v>
      </c>
      <c r="AQ114" s="294">
        <f>TripMode_inputCBD!S96*Index!$B$2</f>
        <v>0</v>
      </c>
      <c r="AR114" s="294">
        <f>TripMode_inputCBD!T96*Index!$B$2</f>
        <v>0</v>
      </c>
      <c r="AS114" s="294">
        <f>TripMode_inputCBD!U96*Index!$B$2</f>
        <v>0</v>
      </c>
      <c r="AT114" s="294">
        <f>TripMode_inputCBD!V96*Index!$B$2</f>
        <v>0</v>
      </c>
      <c r="AU114" s="294">
        <f>TripMode_inputCBD!W96*Index!$B$2</f>
        <v>0</v>
      </c>
      <c r="AV114" s="294">
        <f>TripMode_inputCBD!X96*Index!$B$2</f>
        <v>0</v>
      </c>
      <c r="AW114" s="294">
        <f>TripMode_inputCBD!Y96*Index!$B$2</f>
        <v>0</v>
      </c>
      <c r="AX114" s="160">
        <f>TripMode_inputCBD!AA96*Index!$B$2</f>
        <v>350</v>
      </c>
      <c r="AY114" s="160">
        <f>TripMode_inputCBD!AB96*Index!$B$2</f>
        <v>0</v>
      </c>
      <c r="AZ114" s="160">
        <f>TripMode_inputCBD!AC96*Index!$B$2</f>
        <v>0</v>
      </c>
      <c r="BA114" s="160">
        <f>TripMode_inputCBD!AD96*Index!$B$2</f>
        <v>1760</v>
      </c>
      <c r="BB114" s="294">
        <f>TripMode_inputCBD!AE96*Index!$B$2</f>
        <v>0</v>
      </c>
      <c r="BC114" s="162">
        <f t="shared" si="156"/>
        <v>2110</v>
      </c>
      <c r="BE114" s="107" t="s">
        <v>398</v>
      </c>
      <c r="BF114" s="166">
        <f t="shared" si="170"/>
        <v>0</v>
      </c>
      <c r="BG114" s="166">
        <f t="shared" si="170"/>
        <v>0</v>
      </c>
      <c r="BH114" s="166">
        <f t="shared" si="170"/>
        <v>0</v>
      </c>
      <c r="BI114" s="166">
        <f t="shared" si="170"/>
        <v>0</v>
      </c>
      <c r="BJ114" s="166">
        <f t="shared" si="170"/>
        <v>0</v>
      </c>
      <c r="BK114" s="166">
        <f t="shared" si="170"/>
        <v>0</v>
      </c>
      <c r="BL114" s="166">
        <f t="shared" si="170"/>
        <v>0</v>
      </c>
      <c r="BM114" s="166">
        <f t="shared" si="170"/>
        <v>0</v>
      </c>
      <c r="BN114" s="166">
        <f t="shared" si="170"/>
        <v>2.1944297665783097E-2</v>
      </c>
      <c r="BO114" s="166">
        <f t="shared" si="170"/>
        <v>0</v>
      </c>
      <c r="BP114" s="166">
        <f t="shared" si="170"/>
        <v>0</v>
      </c>
      <c r="BQ114" s="166">
        <f t="shared" si="170"/>
        <v>0.66072541060377599</v>
      </c>
      <c r="BR114" s="166">
        <f t="shared" si="170"/>
        <v>0</v>
      </c>
      <c r="BS114" s="166">
        <f t="shared" si="170"/>
        <v>1.5182446696156676E-2</v>
      </c>
      <c r="BU114" s="107" t="s">
        <v>398</v>
      </c>
      <c r="BV114" s="166">
        <f t="shared" si="171"/>
        <v>0</v>
      </c>
      <c r="BW114" s="166">
        <f t="shared" si="171"/>
        <v>0</v>
      </c>
      <c r="BX114" s="166">
        <f t="shared" si="171"/>
        <v>0</v>
      </c>
      <c r="BY114" s="166">
        <f t="shared" si="171"/>
        <v>0</v>
      </c>
      <c r="BZ114" s="166">
        <f t="shared" si="171"/>
        <v>0</v>
      </c>
      <c r="CA114" s="166">
        <f t="shared" si="171"/>
        <v>0</v>
      </c>
      <c r="CB114" s="166">
        <f t="shared" si="171"/>
        <v>0</v>
      </c>
      <c r="CC114" s="166">
        <f t="shared" si="171"/>
        <v>0</v>
      </c>
      <c r="CD114" s="166">
        <f t="shared" si="171"/>
        <v>1.0851030847930553E-2</v>
      </c>
      <c r="CE114" s="166">
        <f t="shared" si="171"/>
        <v>0</v>
      </c>
      <c r="CF114" s="166">
        <f t="shared" si="171"/>
        <v>0</v>
      </c>
      <c r="CG114" s="166">
        <f t="shared" si="171"/>
        <v>0.7441860465116279</v>
      </c>
      <c r="CH114" s="166" t="str">
        <f t="shared" si="171"/>
        <v/>
      </c>
      <c r="CI114" s="168">
        <f t="shared" si="171"/>
        <v>8.158372965239918E-3</v>
      </c>
      <c r="CK114" s="107" t="s">
        <v>398</v>
      </c>
      <c r="CL114" s="166" t="str">
        <f t="shared" si="173"/>
        <v/>
      </c>
      <c r="CM114" s="166" t="str">
        <f t="shared" si="173"/>
        <v/>
      </c>
      <c r="CN114" s="166" t="str">
        <f t="shared" si="173"/>
        <v/>
      </c>
      <c r="CO114" s="166" t="str">
        <f t="shared" si="173"/>
        <v/>
      </c>
      <c r="CP114" s="166"/>
      <c r="CQ114" s="166"/>
      <c r="CR114" s="166"/>
      <c r="CS114" s="166"/>
      <c r="CT114" s="166">
        <f t="shared" si="174"/>
        <v>-0.50551933749740596</v>
      </c>
      <c r="CU114" s="166" t="str">
        <f t="shared" si="174"/>
        <v/>
      </c>
      <c r="CV114" s="166" t="str">
        <f t="shared" si="174"/>
        <v/>
      </c>
      <c r="CW114" s="166">
        <f t="shared" si="174"/>
        <v>0.12631667341442934</v>
      </c>
      <c r="CX114" s="166" t="str">
        <f t="shared" si="174"/>
        <v/>
      </c>
      <c r="CY114" s="168">
        <f t="shared" si="174"/>
        <v>-0.46264438607875041</v>
      </c>
      <c r="DA114" s="107" t="s">
        <v>398</v>
      </c>
      <c r="DB114" s="315"/>
      <c r="DC114" s="315"/>
      <c r="DD114" s="315"/>
      <c r="DE114" s="315"/>
      <c r="DF114" s="315"/>
      <c r="DG114" s="315"/>
      <c r="DH114" s="315"/>
      <c r="DI114" s="315"/>
      <c r="DJ114" s="314">
        <f t="shared" si="172"/>
        <v>0.70424723383547494</v>
      </c>
      <c r="DK114" s="314">
        <f>IFERROR(IF(CE114&gt;0,LN(BO114/CE114),0),0)</f>
        <v>0</v>
      </c>
      <c r="DL114" s="314">
        <f>IFERROR(IF(CF114&gt;0,LN(BP114/CF114),0),0)</f>
        <v>0</v>
      </c>
      <c r="DM114" s="314">
        <f>IFERROR(IF(CG114&gt;0,LN(BQ114/CG114),0),0)</f>
        <v>-0.11895272766826104</v>
      </c>
      <c r="DN114" s="315"/>
      <c r="DO114" s="168"/>
      <c r="DQ114" s="107" t="s">
        <v>398</v>
      </c>
      <c r="DR114" s="315"/>
      <c r="DS114" s="315"/>
      <c r="DT114" s="315"/>
      <c r="DU114" s="315"/>
      <c r="DV114" s="315"/>
      <c r="DW114" s="315"/>
      <c r="DX114" s="315"/>
      <c r="DY114" s="315"/>
      <c r="DZ114" s="314">
        <v>-0.30232799008122074</v>
      </c>
      <c r="EA114" s="314">
        <v>0</v>
      </c>
      <c r="EB114" s="314">
        <v>0</v>
      </c>
      <c r="EC114" s="314">
        <v>0</v>
      </c>
      <c r="ED114" s="315"/>
      <c r="EE114" s="168"/>
      <c r="EG114" s="107" t="s">
        <v>398</v>
      </c>
      <c r="EH114" s="315"/>
      <c r="EI114" s="315"/>
      <c r="EJ114" s="315"/>
      <c r="EK114" s="315"/>
      <c r="EL114" s="315"/>
      <c r="EM114" s="315"/>
      <c r="EN114" s="315"/>
      <c r="EO114" s="315"/>
      <c r="EP114" s="314">
        <f>DZ114+(DJ114-DJ$111)*$EI$1</f>
        <v>0.52222529914043392</v>
      </c>
      <c r="EQ114" s="314">
        <f>EA114+(DK114-DK$112)*$EI$1</f>
        <v>0</v>
      </c>
      <c r="ER114" s="314">
        <f>EB114+(DL114-DL$113)*$EI$1</f>
        <v>0</v>
      </c>
      <c r="ES114" s="314">
        <v>0</v>
      </c>
      <c r="ET114" s="315"/>
      <c r="EU114" s="168"/>
      <c r="EW114" s="164" t="s">
        <v>398</v>
      </c>
      <c r="EX114" s="316">
        <f t="shared" si="165"/>
        <v>0</v>
      </c>
      <c r="EY114" s="316">
        <f t="shared" si="161"/>
        <v>0</v>
      </c>
      <c r="EZ114" s="316">
        <f t="shared" si="161"/>
        <v>-3.9305691215154042</v>
      </c>
      <c r="FA114" s="316">
        <f t="shared" si="161"/>
        <v>-3.9305691215154042</v>
      </c>
      <c r="FB114" s="316">
        <f t="shared" si="161"/>
        <v>-3.0312738271543738E-2</v>
      </c>
      <c r="FC114" s="316">
        <f t="shared" si="161"/>
        <v>-3.0312738271543738E-2</v>
      </c>
      <c r="FD114" s="316">
        <f t="shared" si="161"/>
        <v>6.0464298146676896</v>
      </c>
      <c r="FE114" s="316">
        <f t="shared" si="161"/>
        <v>0</v>
      </c>
      <c r="FF114" s="316"/>
      <c r="FG114" s="316">
        <f t="shared" si="161"/>
        <v>0</v>
      </c>
      <c r="FH114" s="316">
        <f t="shared" si="161"/>
        <v>0</v>
      </c>
      <c r="FI114" s="316">
        <f t="shared" si="161"/>
        <v>0</v>
      </c>
      <c r="FJ114" s="316">
        <f t="shared" si="161"/>
        <v>0</v>
      </c>
      <c r="FK114" s="316">
        <f t="shared" si="161"/>
        <v>0</v>
      </c>
      <c r="FL114" s="168"/>
    </row>
    <row r="115" spans="2:168" x14ac:dyDescent="0.25">
      <c r="B115" s="107" t="s">
        <v>399</v>
      </c>
      <c r="C115" s="294"/>
      <c r="D115" s="294"/>
      <c r="E115" s="294"/>
      <c r="F115" s="294"/>
      <c r="G115" s="294"/>
      <c r="H115" s="294"/>
      <c r="I115" s="294"/>
      <c r="J115" s="294"/>
      <c r="K115" s="294"/>
      <c r="L115" s="294"/>
      <c r="M115" s="294"/>
      <c r="N115" s="294"/>
      <c r="O115" s="160">
        <f>TripMode_inputCBD!O97</f>
        <v>1857.1365800000001</v>
      </c>
      <c r="P115" s="162">
        <f t="shared" si="153"/>
        <v>1857.1365800000001</v>
      </c>
      <c r="R115">
        <f t="shared" si="162"/>
        <v>0</v>
      </c>
      <c r="S115">
        <f t="shared" si="163"/>
        <v>0</v>
      </c>
      <c r="T115">
        <f t="shared" si="164"/>
        <v>0</v>
      </c>
      <c r="Y115" s="107" t="s">
        <v>399</v>
      </c>
      <c r="Z115" s="294"/>
      <c r="AA115" s="294"/>
      <c r="AB115" s="294"/>
      <c r="AC115" s="294"/>
      <c r="AD115" s="294"/>
      <c r="AE115" s="294"/>
      <c r="AF115" s="294"/>
      <c r="AG115" s="294"/>
      <c r="AH115" s="294"/>
      <c r="AI115" s="294"/>
      <c r="AJ115" s="294"/>
      <c r="AK115" s="294"/>
      <c r="AL115" s="160">
        <f>+O115</f>
        <v>1857.1365800000001</v>
      </c>
      <c r="AM115" s="162">
        <f t="shared" si="155"/>
        <v>1857.1365800000001</v>
      </c>
      <c r="AO115" s="107" t="s">
        <v>399</v>
      </c>
      <c r="AP115" s="294">
        <f>TripMode_inputCBD!R97*Index!$B$2</f>
        <v>0</v>
      </c>
      <c r="AQ115" s="294">
        <f>TripMode_inputCBD!S97*Index!$B$2</f>
        <v>0</v>
      </c>
      <c r="AR115" s="294">
        <f>TripMode_inputCBD!T97*Index!$B$2</f>
        <v>0</v>
      </c>
      <c r="AS115" s="294">
        <f>TripMode_inputCBD!U97*Index!$B$2</f>
        <v>0</v>
      </c>
      <c r="AT115" s="294">
        <f>TripMode_inputCBD!V97*Index!$B$2</f>
        <v>0</v>
      </c>
      <c r="AU115" s="294">
        <f>TripMode_inputCBD!W97*Index!$B$2</f>
        <v>0</v>
      </c>
      <c r="AV115" s="294">
        <f>TripMode_inputCBD!X97*Index!$B$2</f>
        <v>0</v>
      </c>
      <c r="AW115" s="294">
        <f>TripMode_inputCBD!Y97*Index!$B$2</f>
        <v>0</v>
      </c>
      <c r="AX115" s="294">
        <f>TripMode_inputCBD!AA97*Index!$B$2</f>
        <v>0</v>
      </c>
      <c r="AY115" s="294">
        <f>TripMode_inputCBD!AB97*Index!$B$2</f>
        <v>0</v>
      </c>
      <c r="AZ115" s="294">
        <f>TripMode_inputCBD!AC97*Index!$B$2</f>
        <v>0</v>
      </c>
      <c r="BA115" s="294">
        <f>TripMode_inputCBD!AD97*Index!$B$2</f>
        <v>0</v>
      </c>
      <c r="BB115" s="160">
        <f>TripMode_inputCBD!AE97*Index!$B$2</f>
        <v>0</v>
      </c>
      <c r="BC115" s="162">
        <f t="shared" si="156"/>
        <v>0</v>
      </c>
      <c r="BE115" s="107" t="s">
        <v>399</v>
      </c>
      <c r="BF115" s="166">
        <f t="shared" si="170"/>
        <v>0</v>
      </c>
      <c r="BG115" s="166">
        <f t="shared" si="170"/>
        <v>0</v>
      </c>
      <c r="BH115" s="166">
        <f t="shared" si="170"/>
        <v>0</v>
      </c>
      <c r="BI115" s="166">
        <f t="shared" si="170"/>
        <v>0</v>
      </c>
      <c r="BJ115" s="166">
        <f t="shared" si="170"/>
        <v>0</v>
      </c>
      <c r="BK115" s="166">
        <f t="shared" si="170"/>
        <v>0</v>
      </c>
      <c r="BL115" s="166">
        <f t="shared" si="170"/>
        <v>0</v>
      </c>
      <c r="BM115" s="166">
        <f t="shared" si="170"/>
        <v>0</v>
      </c>
      <c r="BN115" s="166">
        <f t="shared" si="170"/>
        <v>0</v>
      </c>
      <c r="BO115" s="166">
        <f t="shared" si="170"/>
        <v>0</v>
      </c>
      <c r="BP115" s="166">
        <f t="shared" si="170"/>
        <v>0</v>
      </c>
      <c r="BQ115" s="166">
        <f t="shared" si="170"/>
        <v>0</v>
      </c>
      <c r="BR115" s="166">
        <f t="shared" si="170"/>
        <v>1</v>
      </c>
      <c r="BS115" s="166">
        <f t="shared" si="170"/>
        <v>7.3630963181324808E-3</v>
      </c>
      <c r="BU115" s="107" t="s">
        <v>399</v>
      </c>
      <c r="BV115" s="166">
        <f t="shared" si="171"/>
        <v>0</v>
      </c>
      <c r="BW115" s="166">
        <f t="shared" si="171"/>
        <v>0</v>
      </c>
      <c r="BX115" s="166">
        <f t="shared" si="171"/>
        <v>0</v>
      </c>
      <c r="BY115" s="166">
        <f t="shared" si="171"/>
        <v>0</v>
      </c>
      <c r="BZ115" s="166">
        <f t="shared" si="171"/>
        <v>0</v>
      </c>
      <c r="CA115" s="166">
        <f t="shared" si="171"/>
        <v>0</v>
      </c>
      <c r="CB115" s="166">
        <f t="shared" si="171"/>
        <v>0</v>
      </c>
      <c r="CC115" s="166">
        <f t="shared" si="171"/>
        <v>0</v>
      </c>
      <c r="CD115" s="166">
        <f t="shared" si="171"/>
        <v>0</v>
      </c>
      <c r="CE115" s="166">
        <f t="shared" si="171"/>
        <v>0</v>
      </c>
      <c r="CF115" s="166">
        <f t="shared" si="171"/>
        <v>0</v>
      </c>
      <c r="CG115" s="166">
        <f t="shared" si="171"/>
        <v>0</v>
      </c>
      <c r="CH115" s="166" t="str">
        <f t="shared" si="171"/>
        <v/>
      </c>
      <c r="CI115" s="168">
        <f t="shared" si="171"/>
        <v>0</v>
      </c>
      <c r="CK115" s="107" t="s">
        <v>399</v>
      </c>
      <c r="CL115" s="166" t="str">
        <f t="shared" si="173"/>
        <v/>
      </c>
      <c r="CM115" s="166" t="str">
        <f t="shared" si="173"/>
        <v/>
      </c>
      <c r="CN115" s="166" t="str">
        <f t="shared" si="173"/>
        <v/>
      </c>
      <c r="CO115" s="166" t="str">
        <f t="shared" si="173"/>
        <v/>
      </c>
      <c r="CP115" s="166"/>
      <c r="CQ115" s="166"/>
      <c r="CR115" s="166"/>
      <c r="CS115" s="166"/>
      <c r="CT115" s="166" t="str">
        <f t="shared" si="174"/>
        <v/>
      </c>
      <c r="CU115" s="166" t="str">
        <f t="shared" si="174"/>
        <v/>
      </c>
      <c r="CV115" s="166" t="str">
        <f t="shared" si="174"/>
        <v/>
      </c>
      <c r="CW115" s="166" t="str">
        <f t="shared" si="174"/>
        <v/>
      </c>
      <c r="CX115" s="166" t="e">
        <f t="shared" si="174"/>
        <v>#VALUE!</v>
      </c>
      <c r="CY115" s="168">
        <f t="shared" si="174"/>
        <v>-1</v>
      </c>
      <c r="DA115" s="107" t="s">
        <v>399</v>
      </c>
      <c r="DB115" s="315"/>
      <c r="DC115" s="315"/>
      <c r="DD115" s="315"/>
      <c r="DE115" s="315"/>
      <c r="DF115" s="315"/>
      <c r="DG115" s="315"/>
      <c r="DH115" s="315"/>
      <c r="DI115" s="315"/>
      <c r="DJ115" s="315"/>
      <c r="DK115" s="315"/>
      <c r="DL115" s="315"/>
      <c r="DM115" s="315"/>
      <c r="DN115" s="314">
        <f>IFERROR(IF(CH115&gt;0,LN(BR115/CH115),0),0)</f>
        <v>0</v>
      </c>
      <c r="DO115" s="168"/>
      <c r="DQ115" s="107" t="s">
        <v>399</v>
      </c>
      <c r="DR115" s="315"/>
      <c r="DS115" s="315"/>
      <c r="DT115" s="315"/>
      <c r="DU115" s="315"/>
      <c r="DV115" s="315"/>
      <c r="DW115" s="315"/>
      <c r="DX115" s="315"/>
      <c r="DY115" s="315"/>
      <c r="DZ115" s="315"/>
      <c r="EA115" s="315"/>
      <c r="EB115" s="315"/>
      <c r="EC115" s="315"/>
      <c r="ED115" s="314">
        <v>0</v>
      </c>
      <c r="EE115" s="168"/>
      <c r="EG115" s="107" t="s">
        <v>399</v>
      </c>
      <c r="EH115" s="315"/>
      <c r="EI115" s="315"/>
      <c r="EJ115" s="315"/>
      <c r="EK115" s="315"/>
      <c r="EL115" s="315"/>
      <c r="EM115" s="315"/>
      <c r="EN115" s="315"/>
      <c r="EO115" s="315"/>
      <c r="EP115" s="315"/>
      <c r="EQ115" s="315"/>
      <c r="ER115" s="315"/>
      <c r="ES115" s="315"/>
      <c r="ET115" s="314">
        <v>0</v>
      </c>
      <c r="EU115" s="168"/>
      <c r="EW115" s="164" t="s">
        <v>399</v>
      </c>
      <c r="EX115" s="316">
        <f t="shared" si="165"/>
        <v>0</v>
      </c>
      <c r="EY115" s="316">
        <f t="shared" si="161"/>
        <v>0</v>
      </c>
      <c r="EZ115" s="316">
        <f t="shared" si="161"/>
        <v>0</v>
      </c>
      <c r="FA115" s="316">
        <f t="shared" si="161"/>
        <v>0</v>
      </c>
      <c r="FB115" s="316">
        <f t="shared" si="161"/>
        <v>0</v>
      </c>
      <c r="FC115" s="316">
        <f t="shared" si="161"/>
        <v>0</v>
      </c>
      <c r="FD115" s="316">
        <f t="shared" si="161"/>
        <v>0</v>
      </c>
      <c r="FE115" s="316">
        <f t="shared" si="161"/>
        <v>0</v>
      </c>
      <c r="FF115" s="316"/>
      <c r="FG115" s="316">
        <f t="shared" si="161"/>
        <v>0</v>
      </c>
      <c r="FH115" s="316">
        <f t="shared" si="161"/>
        <v>0</v>
      </c>
      <c r="FI115" s="316">
        <f t="shared" si="161"/>
        <v>0</v>
      </c>
      <c r="FJ115" s="316">
        <f t="shared" si="161"/>
        <v>0</v>
      </c>
      <c r="FK115" s="316">
        <f t="shared" si="161"/>
        <v>0</v>
      </c>
      <c r="FL115" s="168"/>
    </row>
    <row r="116" spans="2:168" ht="15.75" thickBot="1" x14ac:dyDescent="0.3">
      <c r="B116" s="108" t="s">
        <v>29</v>
      </c>
      <c r="C116" s="109">
        <f t="shared" ref="C116:P116" si="175">SUM(C103:C115)</f>
        <v>56499.303540000001</v>
      </c>
      <c r="D116" s="110">
        <f t="shared" si="175"/>
        <v>128.68156999999999</v>
      </c>
      <c r="E116" s="110">
        <f t="shared" si="175"/>
        <v>38001.09476</v>
      </c>
      <c r="F116" s="110">
        <f t="shared" si="175"/>
        <v>339.81864000000002</v>
      </c>
      <c r="G116" s="110">
        <f t="shared" si="175"/>
        <v>27576.16793</v>
      </c>
      <c r="H116" s="110">
        <f t="shared" si="175"/>
        <v>971.70573999999999</v>
      </c>
      <c r="I116" s="110">
        <f t="shared" si="175"/>
        <v>57341.931470000003</v>
      </c>
      <c r="J116" s="110">
        <f t="shared" si="175"/>
        <v>14569.525600000001</v>
      </c>
      <c r="K116" s="110">
        <f t="shared" si="175"/>
        <v>51033.492940000004</v>
      </c>
      <c r="L116" s="110">
        <f t="shared" si="175"/>
        <v>1312.4291000000001</v>
      </c>
      <c r="M116" s="110">
        <f t="shared" si="175"/>
        <v>3011.0465600000002</v>
      </c>
      <c r="N116" s="110">
        <f t="shared" si="175"/>
        <v>4170.7476900000001</v>
      </c>
      <c r="O116" s="110">
        <f t="shared" si="175"/>
        <v>1857.1365800000001</v>
      </c>
      <c r="P116" s="112">
        <f t="shared" si="175"/>
        <v>256813.08211999995</v>
      </c>
      <c r="Y116" s="108" t="s">
        <v>29</v>
      </c>
      <c r="Z116" s="109">
        <f t="shared" ref="Z116:AM116" si="176">SUM(Z103:Z115)</f>
        <v>56499.303540000001</v>
      </c>
      <c r="AA116" s="110">
        <f t="shared" si="176"/>
        <v>128.68156999999999</v>
      </c>
      <c r="AB116" s="110">
        <f t="shared" si="176"/>
        <v>38001.09476</v>
      </c>
      <c r="AC116" s="110">
        <f t="shared" si="176"/>
        <v>339.81864000000002</v>
      </c>
      <c r="AD116" s="110">
        <f t="shared" si="176"/>
        <v>27576.16793</v>
      </c>
      <c r="AE116" s="110">
        <f t="shared" si="176"/>
        <v>971.70573999999999</v>
      </c>
      <c r="AF116" s="110">
        <f t="shared" si="176"/>
        <v>57341.931470000003</v>
      </c>
      <c r="AG116" s="110">
        <f t="shared" si="176"/>
        <v>14569.525600000001</v>
      </c>
      <c r="AH116" s="110">
        <f t="shared" si="176"/>
        <v>48925.311404989421</v>
      </c>
      <c r="AI116" s="110">
        <f t="shared" si="176"/>
        <v>693.86013497978854</v>
      </c>
      <c r="AJ116" s="110">
        <f t="shared" si="176"/>
        <v>1146.9458820035775</v>
      </c>
      <c r="AK116" s="110">
        <f t="shared" si="176"/>
        <v>4170.7476900000001</v>
      </c>
      <c r="AL116" s="110">
        <f t="shared" si="176"/>
        <v>1857.1365800000001</v>
      </c>
      <c r="AM116" s="112">
        <f t="shared" si="176"/>
        <v>252222.23094197278</v>
      </c>
      <c r="AO116" s="108" t="s">
        <v>29</v>
      </c>
      <c r="AP116" s="109">
        <f t="shared" ref="AP116:BC116" si="177">SUM(AP103:AP115)</f>
        <v>72640</v>
      </c>
      <c r="AQ116" s="110">
        <f t="shared" si="177"/>
        <v>3625</v>
      </c>
      <c r="AR116" s="110">
        <f t="shared" si="177"/>
        <v>33835</v>
      </c>
      <c r="AS116" s="110">
        <f t="shared" si="177"/>
        <v>1515</v>
      </c>
      <c r="AT116" s="110">
        <f t="shared" si="177"/>
        <v>7940</v>
      </c>
      <c r="AU116" s="110">
        <f t="shared" si="177"/>
        <v>300</v>
      </c>
      <c r="AV116" s="110">
        <f t="shared" si="177"/>
        <v>85140</v>
      </c>
      <c r="AW116" s="110">
        <f t="shared" si="177"/>
        <v>18665</v>
      </c>
      <c r="AX116" s="110">
        <f t="shared" si="177"/>
        <v>32255</v>
      </c>
      <c r="AY116" s="110">
        <f t="shared" si="177"/>
        <v>335</v>
      </c>
      <c r="AZ116" s="110">
        <f t="shared" si="177"/>
        <v>15</v>
      </c>
      <c r="BA116" s="110">
        <f t="shared" si="177"/>
        <v>2365</v>
      </c>
      <c r="BB116" s="110">
        <f t="shared" si="177"/>
        <v>0</v>
      </c>
      <c r="BC116" s="112">
        <f t="shared" si="177"/>
        <v>258630</v>
      </c>
      <c r="BE116" s="108" t="s">
        <v>29</v>
      </c>
      <c r="BF116" s="120">
        <f t="shared" si="170"/>
        <v>1</v>
      </c>
      <c r="BG116" s="120">
        <f t="shared" si="170"/>
        <v>1</v>
      </c>
      <c r="BH116" s="120">
        <f t="shared" si="170"/>
        <v>1</v>
      </c>
      <c r="BI116" s="120">
        <f t="shared" si="170"/>
        <v>1</v>
      </c>
      <c r="BJ116" s="120">
        <f t="shared" si="170"/>
        <v>1</v>
      </c>
      <c r="BK116" s="120">
        <f t="shared" si="170"/>
        <v>1</v>
      </c>
      <c r="BL116" s="120">
        <f t="shared" si="170"/>
        <v>1</v>
      </c>
      <c r="BM116" s="120">
        <f t="shared" si="170"/>
        <v>1</v>
      </c>
      <c r="BN116" s="120">
        <f t="shared" si="170"/>
        <v>1</v>
      </c>
      <c r="BO116" s="120">
        <f t="shared" si="170"/>
        <v>1</v>
      </c>
      <c r="BP116" s="120">
        <f t="shared" si="170"/>
        <v>1</v>
      </c>
      <c r="BQ116" s="120">
        <f t="shared" si="170"/>
        <v>1</v>
      </c>
      <c r="BR116" s="120">
        <f t="shared" si="170"/>
        <v>1</v>
      </c>
      <c r="BS116" s="120">
        <f t="shared" si="170"/>
        <v>1</v>
      </c>
      <c r="BU116" s="108" t="s">
        <v>29</v>
      </c>
      <c r="BV116" s="120">
        <f t="shared" si="171"/>
        <v>1</v>
      </c>
      <c r="BW116" s="121">
        <f t="shared" si="171"/>
        <v>1</v>
      </c>
      <c r="BX116" s="121">
        <f t="shared" si="171"/>
        <v>1</v>
      </c>
      <c r="BY116" s="121">
        <f t="shared" si="171"/>
        <v>1</v>
      </c>
      <c r="BZ116" s="121">
        <f t="shared" si="171"/>
        <v>1</v>
      </c>
      <c r="CA116" s="121">
        <f t="shared" si="171"/>
        <v>1</v>
      </c>
      <c r="CB116" s="121">
        <f t="shared" si="171"/>
        <v>1</v>
      </c>
      <c r="CC116" s="121">
        <f t="shared" si="171"/>
        <v>1</v>
      </c>
      <c r="CD116" s="121">
        <f t="shared" si="171"/>
        <v>1</v>
      </c>
      <c r="CE116" s="121">
        <f t="shared" si="171"/>
        <v>1</v>
      </c>
      <c r="CF116" s="121">
        <f t="shared" si="171"/>
        <v>1</v>
      </c>
      <c r="CG116" s="121">
        <f t="shared" si="171"/>
        <v>1</v>
      </c>
      <c r="CH116" s="121" t="str">
        <f t="shared" si="171"/>
        <v/>
      </c>
      <c r="CI116" s="123">
        <f t="shared" si="171"/>
        <v>1</v>
      </c>
      <c r="CK116" s="108" t="s">
        <v>29</v>
      </c>
      <c r="CL116" s="120">
        <f t="shared" si="173"/>
        <v>0</v>
      </c>
      <c r="CM116" s="121">
        <f t="shared" si="173"/>
        <v>0</v>
      </c>
      <c r="CN116" s="121">
        <f t="shared" si="173"/>
        <v>0</v>
      </c>
      <c r="CO116" s="121">
        <f t="shared" si="173"/>
        <v>0</v>
      </c>
      <c r="CP116" s="121"/>
      <c r="CQ116" s="121"/>
      <c r="CR116" s="121"/>
      <c r="CS116" s="121"/>
      <c r="CT116" s="121">
        <f t="shared" si="174"/>
        <v>0</v>
      </c>
      <c r="CU116" s="121">
        <f t="shared" si="174"/>
        <v>0</v>
      </c>
      <c r="CV116" s="121">
        <f t="shared" si="174"/>
        <v>0</v>
      </c>
      <c r="CW116" s="121">
        <f t="shared" si="174"/>
        <v>0</v>
      </c>
      <c r="CX116" s="121" t="e">
        <f t="shared" si="174"/>
        <v>#VALUE!</v>
      </c>
      <c r="CY116" s="123">
        <f t="shared" si="174"/>
        <v>0</v>
      </c>
      <c r="DA116" s="108" t="s">
        <v>29</v>
      </c>
      <c r="DB116" s="120"/>
      <c r="DC116" s="121"/>
      <c r="DD116" s="121"/>
      <c r="DE116" s="121"/>
      <c r="DF116" s="121"/>
      <c r="DG116" s="121"/>
      <c r="DH116" s="121"/>
      <c r="DI116" s="121"/>
      <c r="DJ116" s="121"/>
      <c r="DK116" s="121"/>
      <c r="DL116" s="121"/>
      <c r="DM116" s="121"/>
      <c r="DN116" s="121"/>
      <c r="DO116" s="123"/>
      <c r="DQ116" s="108" t="s">
        <v>29</v>
      </c>
      <c r="DR116" s="120"/>
      <c r="DS116" s="121"/>
      <c r="DT116" s="121"/>
      <c r="DU116" s="121"/>
      <c r="DV116" s="121"/>
      <c r="DW116" s="121"/>
      <c r="DX116" s="121"/>
      <c r="DY116" s="121"/>
      <c r="DZ116" s="121"/>
      <c r="EA116" s="121"/>
      <c r="EB116" s="121"/>
      <c r="EC116" s="121"/>
      <c r="ED116" s="121"/>
      <c r="EE116" s="123"/>
      <c r="EG116" s="108" t="s">
        <v>29</v>
      </c>
      <c r="EH116" s="120"/>
      <c r="EI116" s="121"/>
      <c r="EJ116" s="121"/>
      <c r="EK116" s="121"/>
      <c r="EL116" s="121"/>
      <c r="EM116" s="121"/>
      <c r="EN116" s="121"/>
      <c r="EO116" s="121"/>
      <c r="EP116" s="121"/>
      <c r="EQ116" s="121"/>
      <c r="ER116" s="121"/>
      <c r="ES116" s="121"/>
      <c r="ET116" s="121"/>
      <c r="EU116" s="123"/>
      <c r="EW116" s="108" t="s">
        <v>29</v>
      </c>
      <c r="EX116" s="120"/>
      <c r="EY116" s="121"/>
      <c r="EZ116" s="121"/>
      <c r="FA116" s="121"/>
      <c r="FB116" s="121"/>
      <c r="FC116" s="121"/>
      <c r="FD116" s="121"/>
      <c r="FE116" s="121"/>
      <c r="FF116" s="121"/>
      <c r="FG116" s="121"/>
      <c r="FH116" s="121"/>
      <c r="FI116" s="121"/>
      <c r="FJ116" s="121"/>
      <c r="FK116" s="121"/>
      <c r="FL116" s="123"/>
    </row>
    <row r="117" spans="2:168" x14ac:dyDescent="0.25">
      <c r="B117" t="s">
        <v>223</v>
      </c>
      <c r="C117" s="383" t="s">
        <v>206</v>
      </c>
      <c r="D117" s="383"/>
      <c r="E117" s="383"/>
      <c r="F117" s="383"/>
      <c r="G117" s="383"/>
      <c r="H117" s="383"/>
      <c r="I117" s="383"/>
      <c r="J117" s="383"/>
      <c r="K117" s="383"/>
      <c r="L117" s="383"/>
      <c r="M117" s="383"/>
      <c r="N117" s="383"/>
      <c r="O117" s="383"/>
      <c r="P117" s="383"/>
      <c r="Y117" t="s">
        <v>223</v>
      </c>
      <c r="Z117" s="383" t="s">
        <v>206</v>
      </c>
      <c r="AA117" s="383"/>
      <c r="AB117" s="383"/>
      <c r="AC117" s="383"/>
      <c r="AD117" s="383"/>
      <c r="AE117" s="383"/>
      <c r="AF117" s="383"/>
      <c r="AG117" s="383"/>
      <c r="AH117" s="383"/>
      <c r="AI117" s="383"/>
      <c r="AJ117" s="383"/>
      <c r="AK117" s="383"/>
      <c r="AL117" s="383"/>
      <c r="AM117" s="383"/>
      <c r="AO117" t="s">
        <v>223</v>
      </c>
      <c r="AP117" s="383" t="s">
        <v>206</v>
      </c>
      <c r="AQ117" s="383"/>
      <c r="AR117" s="383"/>
      <c r="AS117" s="383"/>
      <c r="AT117" s="383"/>
      <c r="AU117" s="383"/>
      <c r="AV117" s="383"/>
      <c r="AW117" s="383"/>
      <c r="AX117" s="383"/>
      <c r="AY117" s="383"/>
      <c r="AZ117" s="383"/>
      <c r="BA117" s="383"/>
      <c r="BB117" s="383"/>
      <c r="BC117" s="383"/>
      <c r="BE117" t="s">
        <v>223</v>
      </c>
      <c r="BF117" s="383" t="s">
        <v>206</v>
      </c>
      <c r="BG117" s="383"/>
      <c r="BH117" s="383"/>
      <c r="BI117" s="383"/>
      <c r="BJ117" s="383"/>
      <c r="BK117" s="383"/>
      <c r="BL117" s="383"/>
      <c r="BM117" s="383"/>
      <c r="BN117" s="383"/>
      <c r="BO117" s="383"/>
      <c r="BP117" s="383"/>
      <c r="BQ117" s="383"/>
      <c r="BR117" s="383"/>
      <c r="BS117" s="383"/>
      <c r="BU117" t="s">
        <v>223</v>
      </c>
      <c r="BV117" s="383" t="s">
        <v>206</v>
      </c>
      <c r="BW117" s="383"/>
      <c r="BX117" s="383"/>
      <c r="BY117" s="383"/>
      <c r="BZ117" s="383"/>
      <c r="CA117" s="383"/>
      <c r="CB117" s="383"/>
      <c r="CC117" s="383"/>
      <c r="CD117" s="383"/>
      <c r="CE117" s="383"/>
      <c r="CF117" s="383"/>
      <c r="CG117" s="383"/>
      <c r="CH117" s="383"/>
      <c r="CI117" s="383"/>
      <c r="CK117" t="s">
        <v>223</v>
      </c>
      <c r="CL117" s="383" t="s">
        <v>206</v>
      </c>
      <c r="CM117" s="383"/>
      <c r="CN117" s="383"/>
      <c r="CO117" s="383"/>
      <c r="CP117" s="383"/>
      <c r="CQ117" s="383"/>
      <c r="CR117" s="383"/>
      <c r="CS117" s="383"/>
      <c r="CT117" s="383"/>
      <c r="CU117" s="383"/>
      <c r="CV117" s="383"/>
      <c r="CW117" s="383"/>
      <c r="CX117" s="383"/>
      <c r="CY117" s="383"/>
      <c r="DA117" t="s">
        <v>196</v>
      </c>
      <c r="DB117" s="383" t="s">
        <v>206</v>
      </c>
      <c r="DC117" s="383"/>
      <c r="DD117" s="383"/>
      <c r="DE117" s="383"/>
      <c r="DF117" s="383"/>
      <c r="DG117" s="383"/>
      <c r="DH117" s="383"/>
      <c r="DI117" s="383"/>
      <c r="DJ117" s="383"/>
      <c r="DK117" s="383"/>
      <c r="DL117" s="383"/>
      <c r="DM117" s="383"/>
      <c r="DN117" s="383"/>
      <c r="DO117" s="383"/>
      <c r="DQ117" t="s">
        <v>196</v>
      </c>
      <c r="DR117" s="383" t="s">
        <v>206</v>
      </c>
      <c r="DS117" s="383"/>
      <c r="DT117" s="383"/>
      <c r="DU117" s="383"/>
      <c r="DV117" s="383"/>
      <c r="DW117" s="383"/>
      <c r="DX117" s="383"/>
      <c r="DY117" s="383"/>
      <c r="DZ117" s="383"/>
      <c r="EA117" s="383"/>
      <c r="EB117" s="383"/>
      <c r="EC117" s="383"/>
      <c r="ED117" s="383"/>
      <c r="EE117" s="383"/>
      <c r="EG117" t="s">
        <v>196</v>
      </c>
      <c r="EH117" s="383" t="s">
        <v>206</v>
      </c>
      <c r="EI117" s="383"/>
      <c r="EJ117" s="383"/>
      <c r="EK117" s="383"/>
      <c r="EL117" s="383"/>
      <c r="EM117" s="383"/>
      <c r="EN117" s="383"/>
      <c r="EO117" s="383"/>
      <c r="EP117" s="383"/>
      <c r="EQ117" s="383"/>
      <c r="ER117" s="383"/>
      <c r="ES117" s="383"/>
      <c r="ET117" s="383"/>
      <c r="EU117" s="383"/>
      <c r="EW117" t="s">
        <v>196</v>
      </c>
      <c r="EX117" s="383" t="s">
        <v>207</v>
      </c>
      <c r="EY117" s="383"/>
      <c r="EZ117" s="383"/>
      <c r="FA117" s="383"/>
      <c r="FB117" s="383"/>
      <c r="FC117" s="383"/>
      <c r="FD117" s="383"/>
      <c r="FE117" s="383"/>
      <c r="FF117" s="383"/>
      <c r="FG117" s="383"/>
      <c r="FH117" s="383"/>
      <c r="FI117" s="383"/>
      <c r="FJ117" s="383"/>
      <c r="FK117" s="383"/>
      <c r="FL117" s="383"/>
    </row>
    <row r="118" spans="2:168" ht="35.450000000000003" customHeight="1" x14ac:dyDescent="0.25">
      <c r="B118" s="163" t="s">
        <v>207</v>
      </c>
      <c r="C118" s="164" t="s">
        <v>386</v>
      </c>
      <c r="D118" s="164" t="s">
        <v>387</v>
      </c>
      <c r="E118" s="164" t="s">
        <v>388</v>
      </c>
      <c r="F118" s="164" t="s">
        <v>389</v>
      </c>
      <c r="G118" s="164" t="s">
        <v>390</v>
      </c>
      <c r="H118" s="164" t="s">
        <v>391</v>
      </c>
      <c r="I118" s="164" t="s">
        <v>392</v>
      </c>
      <c r="J118" s="164" t="s">
        <v>393</v>
      </c>
      <c r="K118" s="164" t="s">
        <v>546</v>
      </c>
      <c r="L118" s="164" t="s">
        <v>396</v>
      </c>
      <c r="M118" s="164" t="s">
        <v>397</v>
      </c>
      <c r="N118" s="164" t="s">
        <v>398</v>
      </c>
      <c r="O118" s="164" t="s">
        <v>399</v>
      </c>
      <c r="P118" s="106" t="s">
        <v>29</v>
      </c>
      <c r="R118" s="164" t="s">
        <v>546</v>
      </c>
      <c r="S118" s="164" t="s">
        <v>396</v>
      </c>
      <c r="T118" s="164" t="s">
        <v>397</v>
      </c>
      <c r="U118" s="164" t="s">
        <v>546</v>
      </c>
      <c r="V118" s="164" t="s">
        <v>396</v>
      </c>
      <c r="W118" s="164" t="s">
        <v>397</v>
      </c>
      <c r="X118" s="296"/>
      <c r="Y118" s="163" t="s">
        <v>207</v>
      </c>
      <c r="Z118" s="164" t="s">
        <v>386</v>
      </c>
      <c r="AA118" s="164" t="s">
        <v>387</v>
      </c>
      <c r="AB118" s="164" t="s">
        <v>388</v>
      </c>
      <c r="AC118" s="164" t="s">
        <v>389</v>
      </c>
      <c r="AD118" s="164" t="s">
        <v>390</v>
      </c>
      <c r="AE118" s="164" t="s">
        <v>391</v>
      </c>
      <c r="AF118" s="164" t="s">
        <v>392</v>
      </c>
      <c r="AG118" s="164" t="s">
        <v>393</v>
      </c>
      <c r="AH118" s="164" t="s">
        <v>546</v>
      </c>
      <c r="AI118" s="164" t="s">
        <v>396</v>
      </c>
      <c r="AJ118" s="164" t="s">
        <v>397</v>
      </c>
      <c r="AK118" s="164" t="s">
        <v>398</v>
      </c>
      <c r="AL118" s="164" t="s">
        <v>399</v>
      </c>
      <c r="AM118" s="106" t="s">
        <v>29</v>
      </c>
      <c r="AN118" s="296"/>
      <c r="AO118" s="163" t="s">
        <v>207</v>
      </c>
      <c r="AP118" s="164" t="s">
        <v>386</v>
      </c>
      <c r="AQ118" s="164" t="s">
        <v>387</v>
      </c>
      <c r="AR118" s="164" t="s">
        <v>388</v>
      </c>
      <c r="AS118" s="164" t="s">
        <v>389</v>
      </c>
      <c r="AT118" s="164" t="s">
        <v>390</v>
      </c>
      <c r="AU118" s="164" t="s">
        <v>391</v>
      </c>
      <c r="AV118" s="164" t="s">
        <v>392</v>
      </c>
      <c r="AW118" s="164" t="s">
        <v>393</v>
      </c>
      <c r="AX118" s="164" t="s">
        <v>546</v>
      </c>
      <c r="AY118" s="164" t="s">
        <v>396</v>
      </c>
      <c r="AZ118" s="164" t="s">
        <v>397</v>
      </c>
      <c r="BA118" s="164" t="s">
        <v>398</v>
      </c>
      <c r="BB118" s="164" t="s">
        <v>399</v>
      </c>
      <c r="BC118" s="106" t="s">
        <v>29</v>
      </c>
      <c r="BE118" s="163" t="s">
        <v>207</v>
      </c>
      <c r="BF118" s="164" t="s">
        <v>538</v>
      </c>
      <c r="BG118" s="164"/>
      <c r="BH118" s="164" t="s">
        <v>576</v>
      </c>
      <c r="BI118" s="164"/>
      <c r="BJ118" s="164" t="s">
        <v>577</v>
      </c>
      <c r="BK118" s="164"/>
      <c r="BL118" s="164" t="s">
        <v>392</v>
      </c>
      <c r="BM118" s="164" t="s">
        <v>393</v>
      </c>
      <c r="BN118" s="164" t="s">
        <v>546</v>
      </c>
      <c r="BO118" s="164" t="s">
        <v>396</v>
      </c>
      <c r="BP118" s="164" t="s">
        <v>397</v>
      </c>
      <c r="BQ118" s="164" t="s">
        <v>398</v>
      </c>
      <c r="BR118" s="164" t="s">
        <v>399</v>
      </c>
      <c r="BS118" s="106" t="s">
        <v>29</v>
      </c>
      <c r="BU118" s="163" t="s">
        <v>207</v>
      </c>
      <c r="BV118" s="164" t="s">
        <v>538</v>
      </c>
      <c r="BW118" s="164"/>
      <c r="BX118" s="164" t="s">
        <v>576</v>
      </c>
      <c r="BY118" s="164"/>
      <c r="BZ118" s="164" t="s">
        <v>577</v>
      </c>
      <c r="CA118" s="164"/>
      <c r="CB118" s="164" t="s">
        <v>392</v>
      </c>
      <c r="CC118" s="164" t="s">
        <v>393</v>
      </c>
      <c r="CD118" s="164" t="s">
        <v>546</v>
      </c>
      <c r="CE118" s="164" t="s">
        <v>396</v>
      </c>
      <c r="CF118" s="164" t="s">
        <v>397</v>
      </c>
      <c r="CG118" s="164" t="s">
        <v>398</v>
      </c>
      <c r="CH118" s="164" t="s">
        <v>399</v>
      </c>
      <c r="CI118" s="106" t="s">
        <v>29</v>
      </c>
      <c r="CK118" s="163" t="s">
        <v>207</v>
      </c>
      <c r="CL118" s="164" t="s">
        <v>386</v>
      </c>
      <c r="CM118" s="164" t="s">
        <v>387</v>
      </c>
      <c r="CN118" s="164" t="s">
        <v>388</v>
      </c>
      <c r="CO118" s="164" t="s">
        <v>389</v>
      </c>
      <c r="CP118" s="164" t="s">
        <v>390</v>
      </c>
      <c r="CQ118" s="164" t="s">
        <v>391</v>
      </c>
      <c r="CR118" s="164" t="s">
        <v>392</v>
      </c>
      <c r="CS118" s="164" t="s">
        <v>393</v>
      </c>
      <c r="CT118" s="164" t="s">
        <v>546</v>
      </c>
      <c r="CU118" s="164" t="s">
        <v>396</v>
      </c>
      <c r="CV118" s="164" t="s">
        <v>397</v>
      </c>
      <c r="CW118" s="164" t="s">
        <v>398</v>
      </c>
      <c r="CX118" s="164" t="s">
        <v>399</v>
      </c>
      <c r="CY118" s="106" t="s">
        <v>29</v>
      </c>
      <c r="DA118" s="163" t="s">
        <v>207</v>
      </c>
      <c r="DB118" s="164" t="s">
        <v>538</v>
      </c>
      <c r="DC118" s="164"/>
      <c r="DD118" s="164" t="s">
        <v>576</v>
      </c>
      <c r="DE118" s="164"/>
      <c r="DF118" s="164" t="s">
        <v>577</v>
      </c>
      <c r="DG118" s="164"/>
      <c r="DH118" s="164" t="s">
        <v>392</v>
      </c>
      <c r="DI118" s="164" t="s">
        <v>393</v>
      </c>
      <c r="DJ118" s="164" t="s">
        <v>546</v>
      </c>
      <c r="DK118" s="164" t="s">
        <v>396</v>
      </c>
      <c r="DL118" s="164" t="s">
        <v>397</v>
      </c>
      <c r="DM118" s="164" t="s">
        <v>398</v>
      </c>
      <c r="DN118" s="164" t="s">
        <v>399</v>
      </c>
      <c r="DO118" s="106" t="s">
        <v>29</v>
      </c>
      <c r="DQ118" s="163" t="s">
        <v>207</v>
      </c>
      <c r="DR118" s="164" t="s">
        <v>538</v>
      </c>
      <c r="DS118" s="164"/>
      <c r="DT118" s="164" t="s">
        <v>576</v>
      </c>
      <c r="DU118" s="164"/>
      <c r="DV118" s="164" t="s">
        <v>577</v>
      </c>
      <c r="DW118" s="164"/>
      <c r="DX118" s="164" t="s">
        <v>392</v>
      </c>
      <c r="DY118" s="164" t="s">
        <v>393</v>
      </c>
      <c r="DZ118" s="164" t="s">
        <v>546</v>
      </c>
      <c r="EA118" s="164" t="s">
        <v>396</v>
      </c>
      <c r="EB118" s="164" t="s">
        <v>397</v>
      </c>
      <c r="EC118" s="164" t="s">
        <v>398</v>
      </c>
      <c r="ED118" s="164" t="s">
        <v>399</v>
      </c>
      <c r="EE118" s="106" t="s">
        <v>29</v>
      </c>
      <c r="EG118" s="163" t="s">
        <v>207</v>
      </c>
      <c r="EH118" s="164" t="s">
        <v>538</v>
      </c>
      <c r="EI118" s="164"/>
      <c r="EJ118" s="164" t="s">
        <v>576</v>
      </c>
      <c r="EK118" s="164"/>
      <c r="EL118" s="164" t="s">
        <v>577</v>
      </c>
      <c r="EM118" s="164"/>
      <c r="EN118" s="164" t="s">
        <v>392</v>
      </c>
      <c r="EO118" s="164" t="s">
        <v>393</v>
      </c>
      <c r="EP118" s="164" t="s">
        <v>546</v>
      </c>
      <c r="EQ118" s="164" t="s">
        <v>396</v>
      </c>
      <c r="ER118" s="164" t="s">
        <v>397</v>
      </c>
      <c r="ES118" s="164" t="s">
        <v>398</v>
      </c>
      <c r="ET118" s="164" t="s">
        <v>399</v>
      </c>
      <c r="EU118" s="106" t="s">
        <v>29</v>
      </c>
      <c r="EW118" s="163" t="s">
        <v>206</v>
      </c>
      <c r="EX118" s="164" t="s">
        <v>386</v>
      </c>
      <c r="EY118" s="164" t="s">
        <v>387</v>
      </c>
      <c r="EZ118" s="164" t="s">
        <v>388</v>
      </c>
      <c r="FA118" s="164" t="s">
        <v>389</v>
      </c>
      <c r="FB118" s="164" t="s">
        <v>390</v>
      </c>
      <c r="FC118" s="164" t="s">
        <v>391</v>
      </c>
      <c r="FD118" s="164" t="s">
        <v>392</v>
      </c>
      <c r="FE118" s="164" t="s">
        <v>393</v>
      </c>
      <c r="FF118" s="164"/>
      <c r="FG118" s="164" t="s">
        <v>546</v>
      </c>
      <c r="FH118" s="164" t="s">
        <v>396</v>
      </c>
      <c r="FI118" s="164" t="s">
        <v>397</v>
      </c>
      <c r="FJ118" s="164" t="s">
        <v>398</v>
      </c>
      <c r="FK118" s="164" t="s">
        <v>399</v>
      </c>
      <c r="FL118" s="106" t="s">
        <v>29</v>
      </c>
    </row>
    <row r="119" spans="2:168" x14ac:dyDescent="0.25">
      <c r="B119" s="107" t="s">
        <v>386</v>
      </c>
      <c r="C119" s="294"/>
      <c r="D119" s="294"/>
      <c r="E119" s="160">
        <f>TripMode_inputCBD!D100</f>
        <v>170.39957999999999</v>
      </c>
      <c r="F119" s="160">
        <f>TripMode_inputCBD!E100</f>
        <v>0</v>
      </c>
      <c r="G119" s="160">
        <f>TripMode_inputCBD!F100</f>
        <v>447.71102000000002</v>
      </c>
      <c r="H119" s="160">
        <f>TripMode_inputCBD!G100</f>
        <v>0</v>
      </c>
      <c r="I119" s="294"/>
      <c r="J119" s="294"/>
      <c r="K119" s="294"/>
      <c r="L119" s="294"/>
      <c r="M119" s="294"/>
      <c r="N119" s="294"/>
      <c r="O119" s="294"/>
      <c r="P119" s="161">
        <f t="shared" ref="P119:P131" si="178">SUM(C119:O119)</f>
        <v>618.11059999999998</v>
      </c>
      <c r="R119">
        <f>IF(K$127&gt;0,K119/K$127,0)</f>
        <v>0</v>
      </c>
      <c r="S119">
        <f>IF(L$128&gt;0,L119/L$128,0)</f>
        <v>0</v>
      </c>
      <c r="T119">
        <f>IF(M$129&gt;0,M119/M$129,0)</f>
        <v>0</v>
      </c>
      <c r="Y119" s="107" t="s">
        <v>386</v>
      </c>
      <c r="Z119" s="160">
        <f>+C119</f>
        <v>0</v>
      </c>
      <c r="AA119" s="160">
        <f t="shared" ref="AA119:AF125" si="179">+D119</f>
        <v>0</v>
      </c>
      <c r="AB119" s="160">
        <f t="shared" si="179"/>
        <v>170.39957999999999</v>
      </c>
      <c r="AC119" s="160">
        <f t="shared" si="179"/>
        <v>0</v>
      </c>
      <c r="AD119" s="160">
        <f t="shared" si="179"/>
        <v>447.71102000000002</v>
      </c>
      <c r="AE119" s="160">
        <f t="shared" si="179"/>
        <v>0</v>
      </c>
      <c r="AF119" s="294"/>
      <c r="AG119" s="294"/>
      <c r="AH119" s="294"/>
      <c r="AI119" s="294"/>
      <c r="AJ119" s="294"/>
      <c r="AK119" s="294"/>
      <c r="AL119" s="294"/>
      <c r="AM119" s="161">
        <f t="shared" ref="AM119:AM131" si="180">SUM(Z119:AL119)</f>
        <v>618.11059999999998</v>
      </c>
      <c r="AO119" s="107" t="s">
        <v>386</v>
      </c>
      <c r="AP119" s="160">
        <f>TripMode_inputCBD!R100*Index!$B$2</f>
        <v>0</v>
      </c>
      <c r="AQ119" s="160">
        <f>TripMode_inputCBD!S100*Index!$B$2</f>
        <v>0</v>
      </c>
      <c r="AR119" s="160">
        <f>TripMode_inputCBD!T100*Index!$B$2</f>
        <v>0</v>
      </c>
      <c r="AS119" s="160">
        <f>TripMode_inputCBD!U100*Index!$B$2</f>
        <v>0</v>
      </c>
      <c r="AT119" s="160">
        <f>TripMode_inputCBD!V100*Index!$B$2</f>
        <v>0</v>
      </c>
      <c r="AU119" s="160">
        <f>TripMode_inputCBD!W100*Index!$B$2</f>
        <v>0</v>
      </c>
      <c r="AV119" s="294">
        <f>TripMode_inputCBD!X100*Index!$B$2</f>
        <v>0</v>
      </c>
      <c r="AW119" s="294">
        <f>TripMode_inputCBD!Y100*Index!$B$2</f>
        <v>0</v>
      </c>
      <c r="AX119" s="294">
        <f>TripMode_inputCBD!AA100*Index!$B$2</f>
        <v>0</v>
      </c>
      <c r="AY119" s="294">
        <f>TripMode_inputCBD!AB100*Index!$B$2</f>
        <v>0</v>
      </c>
      <c r="AZ119" s="160">
        <f>TripMode_inputCBD!AC100*Index!$B$2</f>
        <v>0</v>
      </c>
      <c r="BA119" s="294">
        <f>TripMode_inputCBD!AD100*Index!$B$2</f>
        <v>0</v>
      </c>
      <c r="BB119" s="294">
        <f>TripMode_inputCBD!AE100*Index!$B$2</f>
        <v>0</v>
      </c>
      <c r="BC119" s="161">
        <f t="shared" ref="BC119:BC131" si="181">SUM(AP119:BB119)</f>
        <v>0</v>
      </c>
      <c r="BE119" s="107" t="s">
        <v>538</v>
      </c>
      <c r="BF119" s="166" t="str">
        <f>IF(Z$132+AA$132&gt;0,SUM(Z119:AA120)/(Z$132+AA$132),"")</f>
        <v/>
      </c>
      <c r="BG119" s="166"/>
      <c r="BH119" s="166">
        <f>IF(AB$132+AC$132&gt;0,SUM(AB119:AC120)/(AB$132+AC$132),"")</f>
        <v>9.7371442972406588E-4</v>
      </c>
      <c r="BI119" s="166"/>
      <c r="BJ119" s="166">
        <f>IF(AD$132+AE$132&gt;0,SUM(AD119:AE120)/(AD$132+AE$132),"")</f>
        <v>2.5354909353098812E-3</v>
      </c>
      <c r="BK119" s="166"/>
      <c r="BL119" s="166">
        <f t="shared" ref="BL119:BS119" si="182">IF(AF$132&gt;0,(AF119+AF120)/AF$132,"")</f>
        <v>0</v>
      </c>
      <c r="BM119" s="166" t="str">
        <f t="shared" si="182"/>
        <v/>
      </c>
      <c r="BN119" s="166">
        <f t="shared" si="182"/>
        <v>0</v>
      </c>
      <c r="BO119" s="166">
        <f t="shared" si="182"/>
        <v>0</v>
      </c>
      <c r="BP119" s="166">
        <f t="shared" si="182"/>
        <v>0</v>
      </c>
      <c r="BQ119" s="166">
        <f t="shared" si="182"/>
        <v>0</v>
      </c>
      <c r="BR119" s="166" t="str">
        <f t="shared" si="182"/>
        <v/>
      </c>
      <c r="BS119" s="166">
        <f t="shared" si="182"/>
        <v>1.6559406203389298E-3</v>
      </c>
      <c r="BU119" s="107" t="s">
        <v>538</v>
      </c>
      <c r="BV119" s="166" t="str">
        <f>IF(AP$132+AQ$132&gt;0,SUM(AP119:AQ120)/(AP$132+AQ$132),"")</f>
        <v/>
      </c>
      <c r="BW119" s="166"/>
      <c r="BX119" s="166">
        <f>IF(AR$132+AS$132&gt;0,SUM(AR119:AS120)/(AR$132+AS$132),"")</f>
        <v>0</v>
      </c>
      <c r="BY119" s="166"/>
      <c r="BZ119" s="166">
        <f>IF(AT$132+AU$132&gt;0,SUM(AT119:AU120)/(AT$132+AU$132),"")</f>
        <v>0</v>
      </c>
      <c r="CA119" s="166"/>
      <c r="CB119" s="166">
        <f t="shared" ref="CB119:CI119" si="183">IF(AV$132&gt;0,(AV119+AV120)/AV$132,"")</f>
        <v>0</v>
      </c>
      <c r="CC119" s="166">
        <f t="shared" si="183"/>
        <v>0</v>
      </c>
      <c r="CD119" s="166">
        <f t="shared" si="183"/>
        <v>0</v>
      </c>
      <c r="CE119" s="166">
        <f t="shared" si="183"/>
        <v>0</v>
      </c>
      <c r="CF119" s="166" t="str">
        <f t="shared" si="183"/>
        <v/>
      </c>
      <c r="CG119" s="166">
        <f t="shared" si="183"/>
        <v>0</v>
      </c>
      <c r="CH119" s="166" t="str">
        <f t="shared" si="183"/>
        <v/>
      </c>
      <c r="CI119" s="166">
        <f t="shared" si="183"/>
        <v>0</v>
      </c>
      <c r="CK119" s="107" t="s">
        <v>386</v>
      </c>
      <c r="CL119" s="166" t="str">
        <f t="shared" ref="CL119:CO122" si="184">IF(OR(ISNA(BF119),BF119=0,BF119=""),"",(BV119-BF119)/BF119)</f>
        <v/>
      </c>
      <c r="CM119" s="166" t="str">
        <f t="shared" si="184"/>
        <v/>
      </c>
      <c r="CN119" s="166">
        <f t="shared" si="184"/>
        <v>-1</v>
      </c>
      <c r="CO119" s="166" t="str">
        <f t="shared" si="184"/>
        <v/>
      </c>
      <c r="CP119" s="166"/>
      <c r="CQ119" s="166"/>
      <c r="CR119" s="166"/>
      <c r="CS119" s="166"/>
      <c r="CT119" s="166" t="str">
        <f t="shared" ref="CT119:CY122" si="185">IF(OR(ISNA(BN119),BN119=0,BN119=""),"",(CD119-BN119)/BN119)</f>
        <v/>
      </c>
      <c r="CU119" s="166" t="str">
        <f t="shared" si="185"/>
        <v/>
      </c>
      <c r="CV119" s="166" t="str">
        <f t="shared" si="185"/>
        <v/>
      </c>
      <c r="CW119" s="166" t="str">
        <f t="shared" si="185"/>
        <v/>
      </c>
      <c r="CX119" s="166" t="str">
        <f t="shared" si="185"/>
        <v/>
      </c>
      <c r="CY119" s="167">
        <f t="shared" si="185"/>
        <v>-1</v>
      </c>
      <c r="DA119" s="107" t="s">
        <v>538</v>
      </c>
      <c r="DB119" s="314">
        <f>IFERROR(IF(BV119&gt;0,LN(BF119/BV119),0),0)</f>
        <v>0</v>
      </c>
      <c r="DC119" s="314"/>
      <c r="DD119" s="314">
        <f>IFERROR(IF(BX119&gt;0,LN(BH119/BX119),0),0)</f>
        <v>0</v>
      </c>
      <c r="DE119" s="314"/>
      <c r="DF119" s="314">
        <f>IFERROR(IF(BZ119&gt;0,LN(BJ119/BZ119),0),0)</f>
        <v>0</v>
      </c>
      <c r="DG119" s="314"/>
      <c r="DH119" s="315"/>
      <c r="DI119" s="315"/>
      <c r="DJ119" s="315"/>
      <c r="DK119" s="315"/>
      <c r="DL119" s="315"/>
      <c r="DM119" s="315"/>
      <c r="DN119" s="315"/>
      <c r="DO119" s="167"/>
      <c r="DQ119" s="107" t="s">
        <v>538</v>
      </c>
      <c r="DR119" s="314">
        <v>0</v>
      </c>
      <c r="DS119" s="314">
        <v>0</v>
      </c>
      <c r="DT119" s="314">
        <v>0</v>
      </c>
      <c r="DU119" s="314">
        <v>0</v>
      </c>
      <c r="DV119" s="314">
        <v>0</v>
      </c>
      <c r="DW119" s="314">
        <v>0</v>
      </c>
      <c r="DX119" s="315"/>
      <c r="DY119" s="315"/>
      <c r="DZ119" s="315"/>
      <c r="EA119" s="315"/>
      <c r="EB119" s="315"/>
      <c r="EC119" s="315"/>
      <c r="ED119" s="315"/>
      <c r="EE119" s="167"/>
      <c r="EG119" s="107" t="s">
        <v>538</v>
      </c>
      <c r="EH119" s="314">
        <v>0</v>
      </c>
      <c r="EI119" s="314">
        <v>0</v>
      </c>
      <c r="EJ119" s="314">
        <v>0</v>
      </c>
      <c r="EK119" s="314">
        <v>0</v>
      </c>
      <c r="EL119" s="314">
        <v>0</v>
      </c>
      <c r="EM119" s="314">
        <v>0</v>
      </c>
      <c r="EN119" s="315"/>
      <c r="EO119" s="315"/>
      <c r="EP119" s="315"/>
      <c r="EQ119" s="315"/>
      <c r="ER119" s="315"/>
      <c r="ES119" s="315"/>
      <c r="ET119" s="315"/>
      <c r="EU119" s="167"/>
      <c r="EW119" s="164" t="s">
        <v>386</v>
      </c>
      <c r="EX119" s="316">
        <f>INDEX($EH$119:$ET$131,EX$4,MATCH($EW119,$EW$7:$EW$19,0))</f>
        <v>0</v>
      </c>
      <c r="EY119" s="316">
        <f t="shared" ref="EY119:FK131" si="186">INDEX($EH$119:$ET$131,EY$4,MATCH($EW119,$EW$7:$EW$19,0))</f>
        <v>0</v>
      </c>
      <c r="EZ119" s="316">
        <f t="shared" si="186"/>
        <v>0</v>
      </c>
      <c r="FA119" s="316">
        <f t="shared" si="186"/>
        <v>0</v>
      </c>
      <c r="FB119" s="316">
        <f t="shared" si="186"/>
        <v>0</v>
      </c>
      <c r="FC119" s="316">
        <f t="shared" si="186"/>
        <v>0</v>
      </c>
      <c r="FD119" s="316">
        <f t="shared" si="186"/>
        <v>0</v>
      </c>
      <c r="FE119" s="316">
        <f t="shared" si="186"/>
        <v>0</v>
      </c>
      <c r="FF119" s="316"/>
      <c r="FG119" s="316">
        <f t="shared" si="186"/>
        <v>0</v>
      </c>
      <c r="FH119" s="316">
        <f t="shared" si="186"/>
        <v>0</v>
      </c>
      <c r="FI119" s="316">
        <f t="shared" si="186"/>
        <v>0</v>
      </c>
      <c r="FJ119" s="316">
        <f t="shared" si="186"/>
        <v>0</v>
      </c>
      <c r="FK119" s="316">
        <f t="shared" si="186"/>
        <v>0</v>
      </c>
      <c r="FL119" s="167"/>
    </row>
    <row r="120" spans="2:168" x14ac:dyDescent="0.25">
      <c r="B120" s="107" t="s">
        <v>387</v>
      </c>
      <c r="C120" s="294"/>
      <c r="D120" s="294"/>
      <c r="E120" s="160">
        <f>TripMode_inputCBD!D101</f>
        <v>0</v>
      </c>
      <c r="F120" s="160">
        <f>TripMode_inputCBD!E101</f>
        <v>0</v>
      </c>
      <c r="G120" s="160">
        <f>TripMode_inputCBD!F101</f>
        <v>0</v>
      </c>
      <c r="H120" s="160">
        <f>TripMode_inputCBD!G101</f>
        <v>0</v>
      </c>
      <c r="I120" s="294"/>
      <c r="J120" s="294"/>
      <c r="K120" s="294"/>
      <c r="L120" s="294"/>
      <c r="M120" s="294"/>
      <c r="N120" s="294"/>
      <c r="O120" s="294"/>
      <c r="P120" s="162">
        <f t="shared" si="178"/>
        <v>0</v>
      </c>
      <c r="R120">
        <f t="shared" ref="R120:R131" si="187">IF(K$127&gt;0,K120/K$127,0)</f>
        <v>0</v>
      </c>
      <c r="S120">
        <f t="shared" ref="S120:S131" si="188">IF(L$128&gt;0,L120/L$128,0)</f>
        <v>0</v>
      </c>
      <c r="T120">
        <f t="shared" ref="T120:T131" si="189">IF(M$129&gt;0,M120/M$129,0)</f>
        <v>0</v>
      </c>
      <c r="Y120" s="107" t="s">
        <v>387</v>
      </c>
      <c r="Z120" s="160">
        <f>+C120</f>
        <v>0</v>
      </c>
      <c r="AA120" s="160">
        <f t="shared" si="179"/>
        <v>0</v>
      </c>
      <c r="AB120" s="160">
        <f t="shared" si="179"/>
        <v>0</v>
      </c>
      <c r="AC120" s="160">
        <f t="shared" si="179"/>
        <v>0</v>
      </c>
      <c r="AD120" s="160">
        <f t="shared" si="179"/>
        <v>0</v>
      </c>
      <c r="AE120" s="160">
        <f t="shared" si="179"/>
        <v>0</v>
      </c>
      <c r="AF120" s="294"/>
      <c r="AG120" s="294"/>
      <c r="AH120" s="294"/>
      <c r="AI120" s="294"/>
      <c r="AJ120" s="294"/>
      <c r="AK120" s="294"/>
      <c r="AL120" s="294"/>
      <c r="AM120" s="162">
        <f t="shared" si="180"/>
        <v>0</v>
      </c>
      <c r="AO120" s="107" t="s">
        <v>387</v>
      </c>
      <c r="AP120" s="160">
        <f>TripMode_inputCBD!R101*Index!$B$2</f>
        <v>0</v>
      </c>
      <c r="AQ120" s="160">
        <f>TripMode_inputCBD!S101*Index!$B$2</f>
        <v>0</v>
      </c>
      <c r="AR120" s="160">
        <f>TripMode_inputCBD!T101*Index!$B$2</f>
        <v>0</v>
      </c>
      <c r="AS120" s="160">
        <f>TripMode_inputCBD!U101*Index!$B$2</f>
        <v>0</v>
      </c>
      <c r="AT120" s="160">
        <f>TripMode_inputCBD!V101*Index!$B$2</f>
        <v>0</v>
      </c>
      <c r="AU120" s="160">
        <f>TripMode_inputCBD!W101*Index!$B$2</f>
        <v>0</v>
      </c>
      <c r="AV120" s="294">
        <f>TripMode_inputCBD!X101*Index!$B$2</f>
        <v>0</v>
      </c>
      <c r="AW120" s="294">
        <f>TripMode_inputCBD!Y101*Index!$B$2</f>
        <v>0</v>
      </c>
      <c r="AX120" s="294">
        <f>TripMode_inputCBD!AA101*Index!$B$2</f>
        <v>0</v>
      </c>
      <c r="AY120" s="294">
        <f>TripMode_inputCBD!AB101*Index!$B$2</f>
        <v>0</v>
      </c>
      <c r="AZ120" s="160">
        <f>TripMode_inputCBD!AC101*Index!$B$2</f>
        <v>0</v>
      </c>
      <c r="BA120" s="294">
        <f>TripMode_inputCBD!AD101*Index!$B$2</f>
        <v>0</v>
      </c>
      <c r="BB120" s="294">
        <f>TripMode_inputCBD!AE101*Index!$B$2</f>
        <v>0</v>
      </c>
      <c r="BC120" s="162">
        <f t="shared" si="181"/>
        <v>0</v>
      </c>
      <c r="BE120" s="107"/>
      <c r="BF120" s="166"/>
      <c r="BG120" s="166"/>
      <c r="BH120" s="166"/>
      <c r="BI120" s="166"/>
      <c r="BJ120" s="166"/>
      <c r="BK120" s="166"/>
      <c r="BL120" s="166"/>
      <c r="BM120" s="166"/>
      <c r="BN120" s="166"/>
      <c r="BO120" s="166"/>
      <c r="BP120" s="166"/>
      <c r="BQ120" s="166"/>
      <c r="BR120" s="166"/>
      <c r="BS120" s="166"/>
      <c r="BU120" s="107"/>
      <c r="BV120" s="166"/>
      <c r="BW120" s="166"/>
      <c r="BX120" s="166"/>
      <c r="BY120" s="166"/>
      <c r="BZ120" s="166"/>
      <c r="CA120" s="166"/>
      <c r="CB120" s="166"/>
      <c r="CC120" s="166"/>
      <c r="CD120" s="166"/>
      <c r="CE120" s="166"/>
      <c r="CF120" s="166"/>
      <c r="CG120" s="166"/>
      <c r="CH120" s="166"/>
      <c r="CI120" s="166"/>
      <c r="CK120" s="107" t="s">
        <v>387</v>
      </c>
      <c r="CL120" s="166" t="str">
        <f t="shared" si="184"/>
        <v/>
      </c>
      <c r="CM120" s="166" t="str">
        <f t="shared" si="184"/>
        <v/>
      </c>
      <c r="CN120" s="166" t="str">
        <f t="shared" si="184"/>
        <v/>
      </c>
      <c r="CO120" s="166" t="str">
        <f t="shared" si="184"/>
        <v/>
      </c>
      <c r="CP120" s="166"/>
      <c r="CQ120" s="166"/>
      <c r="CR120" s="166"/>
      <c r="CS120" s="166"/>
      <c r="CT120" s="166" t="str">
        <f t="shared" si="185"/>
        <v/>
      </c>
      <c r="CU120" s="166" t="str">
        <f t="shared" si="185"/>
        <v/>
      </c>
      <c r="CV120" s="166" t="str">
        <f t="shared" si="185"/>
        <v/>
      </c>
      <c r="CW120" s="166" t="str">
        <f t="shared" si="185"/>
        <v/>
      </c>
      <c r="CX120" s="166" t="str">
        <f t="shared" si="185"/>
        <v/>
      </c>
      <c r="CY120" s="168" t="str">
        <f t="shared" si="185"/>
        <v/>
      </c>
      <c r="DA120" s="107"/>
      <c r="DB120" s="314"/>
      <c r="DC120" s="314"/>
      <c r="DD120" s="314"/>
      <c r="DE120" s="314"/>
      <c r="DF120" s="314"/>
      <c r="DG120" s="314"/>
      <c r="DH120" s="315"/>
      <c r="DI120" s="315"/>
      <c r="DJ120" s="315"/>
      <c r="DK120" s="315"/>
      <c r="DL120" s="315"/>
      <c r="DM120" s="315"/>
      <c r="DN120" s="315"/>
      <c r="DO120" s="168"/>
      <c r="DQ120" s="107"/>
      <c r="DR120" s="314">
        <v>0</v>
      </c>
      <c r="DS120" s="314">
        <v>0</v>
      </c>
      <c r="DT120" s="314">
        <v>0</v>
      </c>
      <c r="DU120" s="314">
        <v>0</v>
      </c>
      <c r="DV120" s="314">
        <v>0</v>
      </c>
      <c r="DW120" s="314">
        <v>0</v>
      </c>
      <c r="DX120" s="315"/>
      <c r="DY120" s="315"/>
      <c r="DZ120" s="315"/>
      <c r="EA120" s="315"/>
      <c r="EB120" s="315"/>
      <c r="EC120" s="315"/>
      <c r="ED120" s="315"/>
      <c r="EE120" s="168"/>
      <c r="EG120" s="107"/>
      <c r="EH120" s="314">
        <v>0</v>
      </c>
      <c r="EI120" s="314">
        <v>0</v>
      </c>
      <c r="EJ120" s="314">
        <v>0</v>
      </c>
      <c r="EK120" s="314">
        <v>0</v>
      </c>
      <c r="EL120" s="314">
        <v>0</v>
      </c>
      <c r="EM120" s="314">
        <v>0</v>
      </c>
      <c r="EN120" s="315"/>
      <c r="EO120" s="315"/>
      <c r="EP120" s="315"/>
      <c r="EQ120" s="315"/>
      <c r="ER120" s="315"/>
      <c r="ES120" s="315"/>
      <c r="ET120" s="315"/>
      <c r="EU120" s="168"/>
      <c r="EW120" s="164" t="s">
        <v>387</v>
      </c>
      <c r="EX120" s="316">
        <f t="shared" ref="EX120:EX131" si="190">INDEX($EH$119:$ET$131,EX$4,MATCH($EW120,$EW$7:$EW$19,0))</f>
        <v>0</v>
      </c>
      <c r="EY120" s="316">
        <f t="shared" si="186"/>
        <v>0</v>
      </c>
      <c r="EZ120" s="316">
        <f t="shared" si="186"/>
        <v>0</v>
      </c>
      <c r="FA120" s="316">
        <f t="shared" si="186"/>
        <v>0</v>
      </c>
      <c r="FB120" s="316">
        <f t="shared" si="186"/>
        <v>0</v>
      </c>
      <c r="FC120" s="316">
        <f t="shared" si="186"/>
        <v>0</v>
      </c>
      <c r="FD120" s="316">
        <f t="shared" si="186"/>
        <v>0</v>
      </c>
      <c r="FE120" s="316">
        <f t="shared" si="186"/>
        <v>0</v>
      </c>
      <c r="FF120" s="316"/>
      <c r="FG120" s="316">
        <f t="shared" si="186"/>
        <v>0</v>
      </c>
      <c r="FH120" s="316">
        <f t="shared" si="186"/>
        <v>0</v>
      </c>
      <c r="FI120" s="316">
        <f t="shared" si="186"/>
        <v>0</v>
      </c>
      <c r="FJ120" s="316">
        <f t="shared" si="186"/>
        <v>0</v>
      </c>
      <c r="FK120" s="316">
        <f t="shared" si="186"/>
        <v>0</v>
      </c>
      <c r="FL120" s="168"/>
    </row>
    <row r="121" spans="2:168" x14ac:dyDescent="0.25">
      <c r="B121" s="107" t="s">
        <v>388</v>
      </c>
      <c r="C121" s="294"/>
      <c r="D121" s="294"/>
      <c r="E121" s="160">
        <f>TripMode_inputCBD!D102</f>
        <v>173862.98947</v>
      </c>
      <c r="F121" s="160">
        <f>TripMode_inputCBD!E102</f>
        <v>69.026229999999998</v>
      </c>
      <c r="G121" s="160">
        <f>TripMode_inputCBD!F102</f>
        <v>12571.013580000001</v>
      </c>
      <c r="H121" s="160">
        <f>TripMode_inputCBD!G102</f>
        <v>119.58606</v>
      </c>
      <c r="I121" s="294"/>
      <c r="J121" s="294"/>
      <c r="K121" s="160">
        <f>TripMode_inputCBD!J102+TripMode_inputCBD!K102</f>
        <v>0</v>
      </c>
      <c r="L121" s="294"/>
      <c r="M121" s="294"/>
      <c r="N121" s="160">
        <f>TripMode_inputCBD!N102</f>
        <v>0</v>
      </c>
      <c r="O121" s="294"/>
      <c r="P121" s="162">
        <f t="shared" si="178"/>
        <v>186622.61533999999</v>
      </c>
      <c r="R121">
        <f t="shared" si="187"/>
        <v>0</v>
      </c>
      <c r="S121">
        <f t="shared" si="188"/>
        <v>0</v>
      </c>
      <c r="T121">
        <f t="shared" si="189"/>
        <v>0</v>
      </c>
      <c r="Y121" s="107" t="s">
        <v>388</v>
      </c>
      <c r="Z121" s="294"/>
      <c r="AA121" s="294"/>
      <c r="AB121" s="160">
        <f t="shared" si="179"/>
        <v>173862.98947</v>
      </c>
      <c r="AC121" s="160">
        <f t="shared" si="179"/>
        <v>69.026229999999998</v>
      </c>
      <c r="AD121" s="160">
        <f t="shared" si="179"/>
        <v>12571.013580000001</v>
      </c>
      <c r="AE121" s="160">
        <f t="shared" si="179"/>
        <v>119.58606</v>
      </c>
      <c r="AF121" s="294"/>
      <c r="AG121" s="294"/>
      <c r="AH121" s="160">
        <f>AH127*R121</f>
        <v>0</v>
      </c>
      <c r="AI121" s="294"/>
      <c r="AJ121" s="294"/>
      <c r="AK121" s="160">
        <f>+N121</f>
        <v>0</v>
      </c>
      <c r="AL121" s="294"/>
      <c r="AM121" s="162">
        <f t="shared" si="180"/>
        <v>186622.61533999999</v>
      </c>
      <c r="AO121" s="107" t="s">
        <v>388</v>
      </c>
      <c r="AP121" s="294">
        <f>TripMode_inputCBD!R102*Index!$B$2</f>
        <v>0</v>
      </c>
      <c r="AQ121" s="294">
        <f>TripMode_inputCBD!S102*Index!$B$2</f>
        <v>0</v>
      </c>
      <c r="AR121" s="160">
        <f>TripMode_inputCBD!T102*Index!$B$2</f>
        <v>12485</v>
      </c>
      <c r="AS121" s="160">
        <f>TripMode_inputCBD!U102*Index!$B$2</f>
        <v>160</v>
      </c>
      <c r="AT121" s="160">
        <f>TripMode_inputCBD!V102*Index!$B$2</f>
        <v>160</v>
      </c>
      <c r="AU121" s="160">
        <f>TripMode_inputCBD!W102*Index!$B$2</f>
        <v>0</v>
      </c>
      <c r="AV121" s="294">
        <f>TripMode_inputCBD!X102*Index!$B$2</f>
        <v>0</v>
      </c>
      <c r="AW121" s="294">
        <f>TripMode_inputCBD!Y102*Index!$B$2</f>
        <v>0</v>
      </c>
      <c r="AX121" s="160">
        <f>TripMode_inputCBD!AA102*Index!$B$2</f>
        <v>240</v>
      </c>
      <c r="AY121" s="160">
        <f>TripMode_inputCBD!AB102*Index!$B$2</f>
        <v>0</v>
      </c>
      <c r="AZ121" s="160">
        <f>TripMode_inputCBD!AC102*Index!$B$2</f>
        <v>0</v>
      </c>
      <c r="BA121" s="160">
        <f>TripMode_inputCBD!AD102*Index!$B$2</f>
        <v>5</v>
      </c>
      <c r="BB121" s="294">
        <f>TripMode_inputCBD!AE102*Index!$B$2</f>
        <v>0</v>
      </c>
      <c r="BC121" s="162">
        <f t="shared" si="181"/>
        <v>13050</v>
      </c>
      <c r="BE121" s="107" t="s">
        <v>576</v>
      </c>
      <c r="BF121" s="166" t="str">
        <f>IF(Z$132+AA$132&gt;0,SUM(Z121:AA122)/(Z$132+AA$132),"")</f>
        <v/>
      </c>
      <c r="BG121" s="166"/>
      <c r="BH121" s="166">
        <f>IF(AB$132+AC$132&gt;0,SUM(AB121:AC122)/(AB$132+AC$132),"")</f>
        <v>0.99526184962070197</v>
      </c>
      <c r="BI121" s="166"/>
      <c r="BJ121" s="166">
        <f>IF(AD$132+AE$132&gt;0,SUM(AD121:AE122)/(AD$132+AE$132),"")</f>
        <v>7.2729307951434452E-2</v>
      </c>
      <c r="BK121" s="166"/>
      <c r="BL121" s="166">
        <f t="shared" ref="BL121:BS121" si="191">IF(AF$132&gt;0,(AF121+AF122)/AF$132,"")</f>
        <v>0</v>
      </c>
      <c r="BM121" s="166" t="str">
        <f t="shared" si="191"/>
        <v/>
      </c>
      <c r="BN121" s="166">
        <f t="shared" si="191"/>
        <v>0</v>
      </c>
      <c r="BO121" s="166">
        <f t="shared" si="191"/>
        <v>0</v>
      </c>
      <c r="BP121" s="166">
        <f t="shared" si="191"/>
        <v>0</v>
      </c>
      <c r="BQ121" s="166">
        <f t="shared" si="191"/>
        <v>0</v>
      </c>
      <c r="BR121" s="166" t="str">
        <f t="shared" si="191"/>
        <v/>
      </c>
      <c r="BS121" s="166">
        <f t="shared" si="191"/>
        <v>0.50101388063651731</v>
      </c>
      <c r="BU121" s="107" t="s">
        <v>576</v>
      </c>
      <c r="BV121" s="166" t="str">
        <f>IF(AP$132+AQ$132&gt;0,SUM(AP121:AQ122)/(AP$132+AQ$132),"")</f>
        <v/>
      </c>
      <c r="BW121" s="166"/>
      <c r="BX121" s="166">
        <f>IF(AR$132+AS$132&gt;0,SUM(AR121:AS122)/(AR$132+AS$132),"")</f>
        <v>0.93487858719646799</v>
      </c>
      <c r="BY121" s="166"/>
      <c r="BZ121" s="166">
        <f>IF(AT$132+AU$132&gt;0,SUM(AT121:AU122)/(AT$132+AU$132),"")</f>
        <v>2.0942408376963352E-2</v>
      </c>
      <c r="CA121" s="166"/>
      <c r="CB121" s="166">
        <f t="shared" ref="CB121:CI121" si="192">IF(AV$132&gt;0,(AV121+AV122)/AV$132,"")</f>
        <v>0</v>
      </c>
      <c r="CC121" s="166">
        <f t="shared" si="192"/>
        <v>0</v>
      </c>
      <c r="CD121" s="166">
        <f t="shared" si="192"/>
        <v>3.2021347565043365E-2</v>
      </c>
      <c r="CE121" s="166">
        <f t="shared" si="192"/>
        <v>0</v>
      </c>
      <c r="CF121" s="166" t="str">
        <f t="shared" si="192"/>
        <v/>
      </c>
      <c r="CG121" s="166">
        <f t="shared" si="192"/>
        <v>1.6666666666666666E-2</v>
      </c>
      <c r="CH121" s="166" t="str">
        <f t="shared" si="192"/>
        <v/>
      </c>
      <c r="CI121" s="166">
        <f t="shared" si="192"/>
        <v>0.37759216589861749</v>
      </c>
      <c r="CK121" s="107" t="s">
        <v>388</v>
      </c>
      <c r="CL121" s="166" t="str">
        <f t="shared" si="184"/>
        <v/>
      </c>
      <c r="CM121" s="166" t="str">
        <f t="shared" si="184"/>
        <v/>
      </c>
      <c r="CN121" s="166">
        <f t="shared" si="184"/>
        <v>-6.0670729464056383E-2</v>
      </c>
      <c r="CO121" s="166" t="str">
        <f t="shared" si="184"/>
        <v/>
      </c>
      <c r="CP121" s="166"/>
      <c r="CQ121" s="166"/>
      <c r="CR121" s="166"/>
      <c r="CS121" s="166"/>
      <c r="CT121" s="166" t="str">
        <f t="shared" si="185"/>
        <v/>
      </c>
      <c r="CU121" s="166" t="str">
        <f t="shared" si="185"/>
        <v/>
      </c>
      <c r="CV121" s="166" t="str">
        <f t="shared" si="185"/>
        <v/>
      </c>
      <c r="CW121" s="166" t="str">
        <f t="shared" si="185"/>
        <v/>
      </c>
      <c r="CX121" s="166" t="str">
        <f t="shared" si="185"/>
        <v/>
      </c>
      <c r="CY121" s="168">
        <f t="shared" si="185"/>
        <v>-0.24634390284975269</v>
      </c>
      <c r="DA121" s="107" t="s">
        <v>576</v>
      </c>
      <c r="DB121" s="315"/>
      <c r="DC121" s="315"/>
      <c r="DD121" s="314">
        <f>IFERROR(IF(BX121&gt;0,LN(BH121/BX121),0),0)</f>
        <v>6.2589200393369959E-2</v>
      </c>
      <c r="DE121" s="314"/>
      <c r="DF121" s="314">
        <f>IFERROR(IF(BZ121&gt;0,LN(BJ121/BZ121),0),0)</f>
        <v>1.2449682267548285</v>
      </c>
      <c r="DG121" s="314"/>
      <c r="DH121" s="315"/>
      <c r="DI121" s="315"/>
      <c r="DJ121" s="314">
        <f>IFERROR(IF(CD121&gt;0,LN(BN121/CD121),0),0)</f>
        <v>0</v>
      </c>
      <c r="DK121" s="315"/>
      <c r="DL121" s="315"/>
      <c r="DM121" s="314">
        <f>IFERROR(IF(CG121&gt;0,LN(BQ121/CG121),0),0)</f>
        <v>0</v>
      </c>
      <c r="DN121" s="315"/>
      <c r="DO121" s="168"/>
      <c r="DQ121" s="107" t="s">
        <v>576</v>
      </c>
      <c r="DR121" s="315"/>
      <c r="DS121" s="315"/>
      <c r="DT121" s="314">
        <v>1.2837516521711331E-2</v>
      </c>
      <c r="DU121" s="314">
        <v>1.2837516521711331E-2</v>
      </c>
      <c r="DV121" s="314">
        <v>11.738590628705715</v>
      </c>
      <c r="DW121" s="314">
        <v>11.738590628705715</v>
      </c>
      <c r="DX121" s="315"/>
      <c r="DY121" s="315"/>
      <c r="DZ121" s="314">
        <v>-1.1450511091658537</v>
      </c>
      <c r="EA121" s="315"/>
      <c r="EB121" s="315"/>
      <c r="EC121" s="314">
        <v>-1.1450511091658537</v>
      </c>
      <c r="ED121" s="315"/>
      <c r="EE121" s="168"/>
      <c r="EG121" s="107" t="s">
        <v>576</v>
      </c>
      <c r="EH121" s="315"/>
      <c r="EI121" s="315"/>
      <c r="EJ121" s="314">
        <f>DT121+(DD121-DD$119)*$EI$1</f>
        <v>7.5426716915081293E-2</v>
      </c>
      <c r="EK121" s="314">
        <f>DT121+(DD121-DD$119)*$EI$1</f>
        <v>7.5426716915081293E-2</v>
      </c>
      <c r="EL121" s="314">
        <f>DV121+(DF121-DF$119)*$EI$1</f>
        <v>12.983558855460544</v>
      </c>
      <c r="EM121" s="314">
        <f>DV121+(DF121-DF$119)*$EI$1</f>
        <v>12.983558855460544</v>
      </c>
      <c r="EN121" s="315"/>
      <c r="EO121" s="315"/>
      <c r="EP121" s="314">
        <f>EC121+(DM121-DM$130)*$EI$1</f>
        <v>-1.1963444035534043</v>
      </c>
      <c r="EQ121" s="315"/>
      <c r="ER121" s="315"/>
      <c r="ES121" s="314">
        <f>EC121+(DM121-DM$130)*$EI$1</f>
        <v>-1.1963444035534043</v>
      </c>
      <c r="ET121" s="315"/>
      <c r="EU121" s="168"/>
      <c r="EW121" s="164" t="s">
        <v>388</v>
      </c>
      <c r="EX121" s="316">
        <f t="shared" si="190"/>
        <v>0</v>
      </c>
      <c r="EY121" s="316">
        <f t="shared" si="186"/>
        <v>0</v>
      </c>
      <c r="EZ121" s="316">
        <f t="shared" si="186"/>
        <v>7.5426716915081293E-2</v>
      </c>
      <c r="FA121" s="316">
        <f t="shared" si="186"/>
        <v>7.5426716915081293E-2</v>
      </c>
      <c r="FB121" s="316">
        <f t="shared" si="186"/>
        <v>0</v>
      </c>
      <c r="FC121" s="316">
        <f t="shared" si="186"/>
        <v>0</v>
      </c>
      <c r="FD121" s="316">
        <f t="shared" si="186"/>
        <v>-4.5168481689597062</v>
      </c>
      <c r="FE121" s="316">
        <f t="shared" si="186"/>
        <v>0</v>
      </c>
      <c r="FF121" s="316"/>
      <c r="FG121" s="316">
        <f t="shared" si="186"/>
        <v>0</v>
      </c>
      <c r="FH121" s="316">
        <f t="shared" si="186"/>
        <v>0</v>
      </c>
      <c r="FI121" s="316">
        <f t="shared" si="186"/>
        <v>0</v>
      </c>
      <c r="FJ121" s="316">
        <f t="shared" si="186"/>
        <v>0</v>
      </c>
      <c r="FK121" s="316">
        <f t="shared" si="186"/>
        <v>0</v>
      </c>
      <c r="FL121" s="168"/>
    </row>
    <row r="122" spans="2:168" x14ac:dyDescent="0.25">
      <c r="B122" s="107" t="s">
        <v>389</v>
      </c>
      <c r="C122" s="294"/>
      <c r="D122" s="294"/>
      <c r="E122" s="160">
        <f>TripMode_inputCBD!D103</f>
        <v>0</v>
      </c>
      <c r="F122" s="160">
        <f>TripMode_inputCBD!E103</f>
        <v>238.35292999999999</v>
      </c>
      <c r="G122" s="160">
        <f>TripMode_inputCBD!F103</f>
        <v>0</v>
      </c>
      <c r="H122" s="160">
        <f>TripMode_inputCBD!G103</f>
        <v>151.77033</v>
      </c>
      <c r="I122" s="294"/>
      <c r="J122" s="294"/>
      <c r="K122" s="160">
        <f>TripMode_inputCBD!J103+TripMode_inputCBD!K103</f>
        <v>0</v>
      </c>
      <c r="L122" s="294"/>
      <c r="M122" s="294"/>
      <c r="N122" s="160">
        <f>TripMode_inputCBD!N103</f>
        <v>0</v>
      </c>
      <c r="O122" s="294"/>
      <c r="P122" s="162">
        <f t="shared" si="178"/>
        <v>390.12325999999996</v>
      </c>
      <c r="R122">
        <f t="shared" si="187"/>
        <v>0</v>
      </c>
      <c r="S122">
        <f t="shared" si="188"/>
        <v>0</v>
      </c>
      <c r="T122">
        <f t="shared" si="189"/>
        <v>0</v>
      </c>
      <c r="Y122" s="107" t="s">
        <v>389</v>
      </c>
      <c r="Z122" s="294"/>
      <c r="AA122" s="294"/>
      <c r="AB122" s="160">
        <f t="shared" si="179"/>
        <v>0</v>
      </c>
      <c r="AC122" s="160">
        <f t="shared" si="179"/>
        <v>238.35292999999999</v>
      </c>
      <c r="AD122" s="160">
        <f t="shared" si="179"/>
        <v>0</v>
      </c>
      <c r="AE122" s="160">
        <f t="shared" si="179"/>
        <v>151.77033</v>
      </c>
      <c r="AF122" s="294"/>
      <c r="AG122" s="294"/>
      <c r="AH122" s="160">
        <f>AH127*R122</f>
        <v>0</v>
      </c>
      <c r="AI122" s="294"/>
      <c r="AJ122" s="294"/>
      <c r="AK122" s="160">
        <f>+N122</f>
        <v>0</v>
      </c>
      <c r="AL122" s="294"/>
      <c r="AM122" s="162">
        <f t="shared" si="180"/>
        <v>390.12325999999996</v>
      </c>
      <c r="AO122" s="107" t="s">
        <v>389</v>
      </c>
      <c r="AP122" s="294">
        <f>TripMode_inputCBD!R103*Index!$B$2</f>
        <v>0</v>
      </c>
      <c r="AQ122" s="294">
        <f>TripMode_inputCBD!S103*Index!$B$2</f>
        <v>0</v>
      </c>
      <c r="AR122" s="160">
        <f>TripMode_inputCBD!T103*Index!$B$2</f>
        <v>0</v>
      </c>
      <c r="AS122" s="160">
        <f>TripMode_inputCBD!U103*Index!$B$2</f>
        <v>60</v>
      </c>
      <c r="AT122" s="160">
        <f>TripMode_inputCBD!V103*Index!$B$2</f>
        <v>0</v>
      </c>
      <c r="AU122" s="160">
        <f>TripMode_inputCBD!W103*Index!$B$2</f>
        <v>0</v>
      </c>
      <c r="AV122" s="294">
        <f>TripMode_inputCBD!X103*Index!$B$2</f>
        <v>0</v>
      </c>
      <c r="AW122" s="294">
        <f>TripMode_inputCBD!Y103*Index!$B$2</f>
        <v>0</v>
      </c>
      <c r="AX122" s="160">
        <f>TripMode_inputCBD!AA103*Index!$B$2</f>
        <v>0</v>
      </c>
      <c r="AY122" s="160">
        <f>TripMode_inputCBD!AB103*Index!$B$2</f>
        <v>0</v>
      </c>
      <c r="AZ122" s="160">
        <f>TripMode_inputCBD!AC103*Index!$B$2</f>
        <v>0</v>
      </c>
      <c r="BA122" s="160">
        <f>TripMode_inputCBD!AD103*Index!$B$2</f>
        <v>0</v>
      </c>
      <c r="BB122" s="294">
        <f>TripMode_inputCBD!AE103*Index!$B$2</f>
        <v>0</v>
      </c>
      <c r="BC122" s="162">
        <f t="shared" si="181"/>
        <v>60</v>
      </c>
      <c r="BE122" s="107"/>
      <c r="BF122" s="166"/>
      <c r="BG122" s="166"/>
      <c r="BH122" s="166"/>
      <c r="BI122" s="166"/>
      <c r="BJ122" s="166"/>
      <c r="BK122" s="166"/>
      <c r="BL122" s="166"/>
      <c r="BM122" s="166"/>
      <c r="BN122" s="166"/>
      <c r="BO122" s="166"/>
      <c r="BP122" s="166"/>
      <c r="BQ122" s="166"/>
      <c r="BR122" s="166"/>
      <c r="BS122" s="166"/>
      <c r="BU122" s="107"/>
      <c r="BV122" s="166"/>
      <c r="BW122" s="166"/>
      <c r="BX122" s="166"/>
      <c r="BY122" s="166"/>
      <c r="BZ122" s="166"/>
      <c r="CA122" s="166"/>
      <c r="CB122" s="166"/>
      <c r="CC122" s="166"/>
      <c r="CD122" s="166"/>
      <c r="CE122" s="166"/>
      <c r="CF122" s="166"/>
      <c r="CG122" s="166"/>
      <c r="CH122" s="166"/>
      <c r="CI122" s="166"/>
      <c r="CK122" s="107" t="s">
        <v>389</v>
      </c>
      <c r="CL122" s="166" t="str">
        <f t="shared" si="184"/>
        <v/>
      </c>
      <c r="CM122" s="166" t="str">
        <f t="shared" si="184"/>
        <v/>
      </c>
      <c r="CN122" s="166" t="str">
        <f t="shared" si="184"/>
        <v/>
      </c>
      <c r="CO122" s="166" t="str">
        <f t="shared" si="184"/>
        <v/>
      </c>
      <c r="CP122" s="166"/>
      <c r="CQ122" s="166"/>
      <c r="CR122" s="166"/>
      <c r="CS122" s="166"/>
      <c r="CT122" s="166" t="str">
        <f t="shared" si="185"/>
        <v/>
      </c>
      <c r="CU122" s="166" t="str">
        <f t="shared" si="185"/>
        <v/>
      </c>
      <c r="CV122" s="166" t="str">
        <f t="shared" si="185"/>
        <v/>
      </c>
      <c r="CW122" s="166" t="str">
        <f t="shared" si="185"/>
        <v/>
      </c>
      <c r="CX122" s="166" t="str">
        <f t="shared" si="185"/>
        <v/>
      </c>
      <c r="CY122" s="168" t="str">
        <f t="shared" si="185"/>
        <v/>
      </c>
      <c r="DA122" s="107"/>
      <c r="DB122" s="315"/>
      <c r="DC122" s="315"/>
      <c r="DD122" s="314"/>
      <c r="DE122" s="314"/>
      <c r="DF122" s="314"/>
      <c r="DG122" s="314"/>
      <c r="DH122" s="315"/>
      <c r="DI122" s="315"/>
      <c r="DJ122" s="314"/>
      <c r="DK122" s="315"/>
      <c r="DL122" s="315"/>
      <c r="DM122" s="314"/>
      <c r="DN122" s="315"/>
      <c r="DO122" s="168"/>
      <c r="DQ122" s="107"/>
      <c r="DR122" s="315"/>
      <c r="DS122" s="315"/>
      <c r="DT122" s="314">
        <v>1.2837516521711331E-2</v>
      </c>
      <c r="DU122" s="314">
        <v>1.2837516521711331E-2</v>
      </c>
      <c r="DV122" s="314">
        <v>11.738590628705715</v>
      </c>
      <c r="DW122" s="314">
        <v>11.738590628705715</v>
      </c>
      <c r="DX122" s="315"/>
      <c r="DY122" s="315"/>
      <c r="DZ122" s="314">
        <v>-1.1450511091658537</v>
      </c>
      <c r="EA122" s="315"/>
      <c r="EB122" s="315"/>
      <c r="EC122" s="314">
        <v>-1.1450511091658537</v>
      </c>
      <c r="ED122" s="315"/>
      <c r="EE122" s="168"/>
      <c r="EG122" s="107"/>
      <c r="EH122" s="315"/>
      <c r="EI122" s="315"/>
      <c r="EJ122" s="314">
        <f>DT121+(DD121-DD$119)*$EI$1</f>
        <v>7.5426716915081293E-2</v>
      </c>
      <c r="EK122" s="314">
        <f>DT121+(DD121-DD$119)*$EI$1</f>
        <v>7.5426716915081293E-2</v>
      </c>
      <c r="EL122" s="314">
        <f>DV121+(DF121-DF$119)*$EI$1</f>
        <v>12.983558855460544</v>
      </c>
      <c r="EM122" s="314">
        <f>DV121+(DF121-DF$119)*$EI$1</f>
        <v>12.983558855460544</v>
      </c>
      <c r="EN122" s="315"/>
      <c r="EO122" s="315"/>
      <c r="EP122" s="314">
        <f>EC121+(DM121-DM$130)*$EI$1</f>
        <v>-1.1963444035534043</v>
      </c>
      <c r="EQ122" s="315"/>
      <c r="ER122" s="315"/>
      <c r="ES122" s="314">
        <f>EC121+(DM121-DM$130)*$EI$1</f>
        <v>-1.1963444035534043</v>
      </c>
      <c r="ET122" s="315"/>
      <c r="EU122" s="168"/>
      <c r="EW122" s="164" t="s">
        <v>389</v>
      </c>
      <c r="EX122" s="316">
        <f t="shared" si="190"/>
        <v>0</v>
      </c>
      <c r="EY122" s="316">
        <f t="shared" si="186"/>
        <v>0</v>
      </c>
      <c r="EZ122" s="316">
        <f t="shared" si="186"/>
        <v>7.5426716915081293E-2</v>
      </c>
      <c r="FA122" s="316">
        <f t="shared" si="186"/>
        <v>7.5426716915081293E-2</v>
      </c>
      <c r="FB122" s="316">
        <f t="shared" si="186"/>
        <v>0</v>
      </c>
      <c r="FC122" s="316">
        <f t="shared" si="186"/>
        <v>0</v>
      </c>
      <c r="FD122" s="316">
        <f t="shared" si="186"/>
        <v>-4.5168481689597062</v>
      </c>
      <c r="FE122" s="316">
        <f t="shared" si="186"/>
        <v>0</v>
      </c>
      <c r="FF122" s="316"/>
      <c r="FG122" s="316">
        <f t="shared" si="186"/>
        <v>0</v>
      </c>
      <c r="FH122" s="316">
        <f t="shared" si="186"/>
        <v>0</v>
      </c>
      <c r="FI122" s="316">
        <f t="shared" si="186"/>
        <v>0</v>
      </c>
      <c r="FJ122" s="316">
        <f t="shared" si="186"/>
        <v>0</v>
      </c>
      <c r="FK122" s="316">
        <f t="shared" si="186"/>
        <v>0</v>
      </c>
      <c r="FL122" s="168"/>
    </row>
    <row r="123" spans="2:168" x14ac:dyDescent="0.25">
      <c r="B123" s="107" t="s">
        <v>390</v>
      </c>
      <c r="C123" s="294"/>
      <c r="D123" s="294"/>
      <c r="E123" s="294"/>
      <c r="F123" s="294"/>
      <c r="G123" s="160">
        <f>TripMode_inputCBD!F104</f>
        <v>161278.14903999999</v>
      </c>
      <c r="H123" s="160">
        <f>TripMode_inputCBD!G104</f>
        <v>203.01643000000001</v>
      </c>
      <c r="I123" s="294"/>
      <c r="J123" s="294"/>
      <c r="K123" s="160">
        <f>TripMode_inputCBD!J104+TripMode_inputCBD!K104</f>
        <v>0</v>
      </c>
      <c r="L123" s="294"/>
      <c r="M123" s="294"/>
      <c r="N123" s="160">
        <f>TripMode_inputCBD!N104</f>
        <v>0</v>
      </c>
      <c r="O123" s="294"/>
      <c r="P123" s="162">
        <f t="shared" si="178"/>
        <v>161481.16546999998</v>
      </c>
      <c r="R123">
        <f t="shared" si="187"/>
        <v>0</v>
      </c>
      <c r="S123">
        <f t="shared" si="188"/>
        <v>0</v>
      </c>
      <c r="T123">
        <f t="shared" si="189"/>
        <v>0</v>
      </c>
      <c r="Y123" s="107" t="s">
        <v>390</v>
      </c>
      <c r="Z123" s="294"/>
      <c r="AA123" s="294"/>
      <c r="AB123" s="294"/>
      <c r="AC123" s="294"/>
      <c r="AD123" s="160">
        <f t="shared" si="179"/>
        <v>161278.14903999999</v>
      </c>
      <c r="AE123" s="160">
        <f t="shared" si="179"/>
        <v>203.01643000000001</v>
      </c>
      <c r="AF123" s="294"/>
      <c r="AG123" s="294"/>
      <c r="AH123" s="160">
        <f>AH127*R123</f>
        <v>0</v>
      </c>
      <c r="AI123" s="294"/>
      <c r="AJ123" s="294"/>
      <c r="AK123" s="160">
        <f>+N123</f>
        <v>0</v>
      </c>
      <c r="AL123" s="294"/>
      <c r="AM123" s="162">
        <f t="shared" si="180"/>
        <v>161481.16546999998</v>
      </c>
      <c r="AO123" s="107" t="s">
        <v>390</v>
      </c>
      <c r="AP123" s="294">
        <f>TripMode_inputCBD!R104*Index!$B$2</f>
        <v>0</v>
      </c>
      <c r="AQ123" s="294">
        <f>TripMode_inputCBD!S104*Index!$B$2</f>
        <v>0</v>
      </c>
      <c r="AR123" s="294">
        <f>TripMode_inputCBD!T104*Index!$B$2</f>
        <v>0</v>
      </c>
      <c r="AS123" s="294">
        <f>TripMode_inputCBD!U104*Index!$B$2</f>
        <v>0</v>
      </c>
      <c r="AT123" s="160">
        <f>TripMode_inputCBD!V104*Index!$B$2</f>
        <v>7070</v>
      </c>
      <c r="AU123" s="160">
        <f>TripMode_inputCBD!W104*Index!$B$2</f>
        <v>180</v>
      </c>
      <c r="AV123" s="294">
        <f>TripMode_inputCBD!X104*Index!$B$2</f>
        <v>0</v>
      </c>
      <c r="AW123" s="294">
        <f>TripMode_inputCBD!Y104*Index!$B$2</f>
        <v>0</v>
      </c>
      <c r="AX123" s="160">
        <f>TripMode_inputCBD!AA104*Index!$B$2</f>
        <v>80</v>
      </c>
      <c r="AY123" s="160">
        <f>TripMode_inputCBD!AB104*Index!$B$2</f>
        <v>0</v>
      </c>
      <c r="AZ123" s="160">
        <f>TripMode_inputCBD!AC104*Index!$B$2</f>
        <v>0</v>
      </c>
      <c r="BA123" s="160">
        <f>TripMode_inputCBD!AD104*Index!$B$2</f>
        <v>0</v>
      </c>
      <c r="BB123" s="294">
        <f>TripMode_inputCBD!AE104*Index!$B$2</f>
        <v>0</v>
      </c>
      <c r="BC123" s="162">
        <f t="shared" si="181"/>
        <v>7330</v>
      </c>
      <c r="BE123" s="107" t="s">
        <v>577</v>
      </c>
      <c r="BF123" s="166" t="str">
        <f>IF(Z$132+AA$132&gt;0,SUM(Z123:AA124)/(Z$132+AA$132),"")</f>
        <v/>
      </c>
      <c r="BG123" s="166"/>
      <c r="BH123" s="166">
        <f>IF(AB$132+AC$132&gt;0,SUM(AB123:AC124)/(AB$132+AC$132),"")</f>
        <v>0</v>
      </c>
      <c r="BI123" s="166"/>
      <c r="BJ123" s="166">
        <f>IF(AD$132+AE$132&gt;0,SUM(AD123:AE124)/(AD$132+AE$132),"")</f>
        <v>0.92161033053365804</v>
      </c>
      <c r="BK123" s="166"/>
      <c r="BL123" s="166">
        <f t="shared" ref="BL123:BS123" si="193">IF(AF$132&gt;0,(AF123+AF124)/AF$132,"")</f>
        <v>0</v>
      </c>
      <c r="BM123" s="166" t="str">
        <f t="shared" si="193"/>
        <v/>
      </c>
      <c r="BN123" s="166">
        <f t="shared" si="193"/>
        <v>0</v>
      </c>
      <c r="BO123" s="166">
        <f t="shared" si="193"/>
        <v>0</v>
      </c>
      <c r="BP123" s="166">
        <f t="shared" si="193"/>
        <v>0</v>
      </c>
      <c r="BQ123" s="166">
        <f t="shared" si="193"/>
        <v>0</v>
      </c>
      <c r="BR123" s="166" t="str">
        <f t="shared" si="193"/>
        <v/>
      </c>
      <c r="BS123" s="166">
        <f t="shared" si="193"/>
        <v>0.43597503821936895</v>
      </c>
      <c r="BU123" s="107" t="s">
        <v>577</v>
      </c>
      <c r="BV123" s="166" t="str">
        <f>IF(AP$132+AQ$132&gt;0,SUM(AP123:AQ124)/(AP$132+AQ$132),"")</f>
        <v/>
      </c>
      <c r="BW123" s="166"/>
      <c r="BX123" s="166">
        <f>IF(AR$132+AS$132&gt;0,SUM(AR123:AS124)/(AR$132+AS$132),"")</f>
        <v>0</v>
      </c>
      <c r="BY123" s="166"/>
      <c r="BZ123" s="166">
        <f>IF(AT$132+AU$132&gt;0,SUM(AT123:AU124)/(AT$132+AU$132),"")</f>
        <v>0.95811518324607325</v>
      </c>
      <c r="CA123" s="166"/>
      <c r="CB123" s="166">
        <f t="shared" ref="CB123:CI123" si="194">IF(AV$132&gt;0,(AV123+AV124)/AV$132,"")</f>
        <v>0</v>
      </c>
      <c r="CC123" s="166">
        <f t="shared" si="194"/>
        <v>0</v>
      </c>
      <c r="CD123" s="166">
        <f t="shared" si="194"/>
        <v>1.200800533689126E-2</v>
      </c>
      <c r="CE123" s="166">
        <f t="shared" si="194"/>
        <v>0</v>
      </c>
      <c r="CF123" s="166" t="str">
        <f t="shared" si="194"/>
        <v/>
      </c>
      <c r="CG123" s="166">
        <f t="shared" si="194"/>
        <v>0</v>
      </c>
      <c r="CH123" s="166" t="str">
        <f t="shared" si="194"/>
        <v/>
      </c>
      <c r="CI123" s="166">
        <f t="shared" si="194"/>
        <v>0.21342165898617513</v>
      </c>
      <c r="CK123" s="107" t="s">
        <v>390</v>
      </c>
      <c r="CL123" s="166"/>
      <c r="CM123" s="166"/>
      <c r="CN123" s="166"/>
      <c r="CO123" s="166"/>
      <c r="CP123" s="166"/>
      <c r="CQ123" s="166"/>
      <c r="CR123" s="166"/>
      <c r="CS123" s="166"/>
      <c r="CT123" s="166"/>
      <c r="CU123" s="166"/>
      <c r="CV123" s="166"/>
      <c r="CW123" s="166"/>
      <c r="CX123" s="166"/>
      <c r="CY123" s="168"/>
      <c r="DA123" s="107" t="s">
        <v>577</v>
      </c>
      <c r="DB123" s="315"/>
      <c r="DC123" s="315"/>
      <c r="DD123" s="315"/>
      <c r="DE123" s="315"/>
      <c r="DF123" s="314">
        <f>IFERROR(IF(BZ123&gt;0,LN(BJ123/BZ123),0),0)</f>
        <v>-3.8845504551708418E-2</v>
      </c>
      <c r="DG123" s="314"/>
      <c r="DH123" s="315"/>
      <c r="DI123" s="315"/>
      <c r="DJ123" s="314">
        <f>IFERROR(IF(CD123&gt;0,LN(BN123/CD123),0),0)</f>
        <v>0</v>
      </c>
      <c r="DK123" s="315"/>
      <c r="DL123" s="315"/>
      <c r="DM123" s="314">
        <f>IFERROR(IF(CG123&gt;0,LN(BQ123/CG123),0),0)</f>
        <v>0</v>
      </c>
      <c r="DN123" s="315"/>
      <c r="DO123" s="168"/>
      <c r="DQ123" s="107" t="s">
        <v>577</v>
      </c>
      <c r="DR123" s="315"/>
      <c r="DS123" s="315"/>
      <c r="DT123" s="315"/>
      <c r="DU123" s="315"/>
      <c r="DV123" s="314">
        <v>-0.33566351383543291</v>
      </c>
      <c r="DW123" s="314">
        <v>-0.33566351383543291</v>
      </c>
      <c r="DX123" s="315"/>
      <c r="DY123" s="315"/>
      <c r="DZ123" s="314">
        <v>-1.1450511091658537</v>
      </c>
      <c r="EA123" s="315"/>
      <c r="EB123" s="315"/>
      <c r="EC123" s="314">
        <v>-1.1450511091658537</v>
      </c>
      <c r="ED123" s="315"/>
      <c r="EE123" s="168"/>
      <c r="EG123" s="107" t="s">
        <v>577</v>
      </c>
      <c r="EH123" s="315"/>
      <c r="EI123" s="315"/>
      <c r="EJ123" s="315"/>
      <c r="EK123" s="315"/>
      <c r="EL123" s="314">
        <f>DV123+(DF123-DF$119)*$EI$1</f>
        <v>-0.37450901838714135</v>
      </c>
      <c r="EM123" s="314">
        <f>DV123+(DF123-DF$119)*$EI$1</f>
        <v>-0.37450901838714135</v>
      </c>
      <c r="EN123" s="315"/>
      <c r="EO123" s="315"/>
      <c r="EP123" s="314">
        <f>EC123+(DM123-DM$130)*$EI$1</f>
        <v>-1.1963444035534043</v>
      </c>
      <c r="EQ123" s="315"/>
      <c r="ER123" s="315"/>
      <c r="ES123" s="314">
        <f>EC123+(DM123-DM$130)*$EI$1</f>
        <v>-1.1963444035534043</v>
      </c>
      <c r="ET123" s="315"/>
      <c r="EU123" s="168"/>
      <c r="EW123" s="164" t="s">
        <v>390</v>
      </c>
      <c r="EX123" s="316">
        <f t="shared" si="190"/>
        <v>0</v>
      </c>
      <c r="EY123" s="316">
        <f t="shared" si="186"/>
        <v>0</v>
      </c>
      <c r="EZ123" s="316">
        <f t="shared" si="186"/>
        <v>12.983558855460544</v>
      </c>
      <c r="FA123" s="316">
        <f t="shared" si="186"/>
        <v>12.983558855460544</v>
      </c>
      <c r="FB123" s="316">
        <f t="shared" si="186"/>
        <v>-0.37450901838714135</v>
      </c>
      <c r="FC123" s="316">
        <f t="shared" si="186"/>
        <v>-0.37450901838714135</v>
      </c>
      <c r="FD123" s="316">
        <f t="shared" si="186"/>
        <v>-2.8313461699182358</v>
      </c>
      <c r="FE123" s="316">
        <f t="shared" si="186"/>
        <v>0</v>
      </c>
      <c r="FF123" s="316"/>
      <c r="FG123" s="316">
        <f t="shared" si="186"/>
        <v>0</v>
      </c>
      <c r="FH123" s="316">
        <f t="shared" si="186"/>
        <v>0</v>
      </c>
      <c r="FI123" s="316">
        <f t="shared" si="186"/>
        <v>0</v>
      </c>
      <c r="FJ123" s="316">
        <f t="shared" si="186"/>
        <v>0</v>
      </c>
      <c r="FK123" s="316">
        <f t="shared" si="186"/>
        <v>0</v>
      </c>
      <c r="FL123" s="168"/>
    </row>
    <row r="124" spans="2:168" x14ac:dyDescent="0.25">
      <c r="B124" s="107" t="s">
        <v>391</v>
      </c>
      <c r="C124" s="294"/>
      <c r="D124" s="294"/>
      <c r="E124" s="294"/>
      <c r="F124" s="294"/>
      <c r="G124" s="160">
        <f>TripMode_inputCBD!F105</f>
        <v>0</v>
      </c>
      <c r="H124" s="160">
        <f>TripMode_inputCBD!G105</f>
        <v>1254.6169299999999</v>
      </c>
      <c r="I124" s="294"/>
      <c r="J124" s="294"/>
      <c r="K124" s="160">
        <f>TripMode_inputCBD!J105+TripMode_inputCBD!K105</f>
        <v>0</v>
      </c>
      <c r="L124" s="294"/>
      <c r="M124" s="294"/>
      <c r="N124" s="160">
        <f>TripMode_inputCBD!N105</f>
        <v>0</v>
      </c>
      <c r="O124" s="294"/>
      <c r="P124" s="162">
        <f t="shared" si="178"/>
        <v>1254.6169299999999</v>
      </c>
      <c r="R124">
        <f t="shared" si="187"/>
        <v>0</v>
      </c>
      <c r="S124">
        <f t="shared" si="188"/>
        <v>0</v>
      </c>
      <c r="T124">
        <f t="shared" si="189"/>
        <v>0</v>
      </c>
      <c r="Y124" s="107" t="s">
        <v>391</v>
      </c>
      <c r="Z124" s="294"/>
      <c r="AA124" s="294"/>
      <c r="AB124" s="294"/>
      <c r="AC124" s="294"/>
      <c r="AD124" s="160">
        <f t="shared" si="179"/>
        <v>0</v>
      </c>
      <c r="AE124" s="160">
        <f t="shared" si="179"/>
        <v>1254.6169299999999</v>
      </c>
      <c r="AF124" s="294"/>
      <c r="AG124" s="294"/>
      <c r="AH124" s="160">
        <f>AH127*R124</f>
        <v>0</v>
      </c>
      <c r="AI124" s="294"/>
      <c r="AJ124" s="294"/>
      <c r="AK124" s="160">
        <f>+N124</f>
        <v>0</v>
      </c>
      <c r="AL124" s="294"/>
      <c r="AM124" s="162">
        <f t="shared" si="180"/>
        <v>1254.6169299999999</v>
      </c>
      <c r="AO124" s="107" t="s">
        <v>391</v>
      </c>
      <c r="AP124" s="294">
        <f>TripMode_inputCBD!R105*Index!$B$2</f>
        <v>0</v>
      </c>
      <c r="AQ124" s="294">
        <f>TripMode_inputCBD!S105*Index!$B$2</f>
        <v>0</v>
      </c>
      <c r="AR124" s="294">
        <f>TripMode_inputCBD!T105*Index!$B$2</f>
        <v>0</v>
      </c>
      <c r="AS124" s="294">
        <f>TripMode_inputCBD!U105*Index!$B$2</f>
        <v>0</v>
      </c>
      <c r="AT124" s="160">
        <f>TripMode_inputCBD!V105*Index!$B$2</f>
        <v>15</v>
      </c>
      <c r="AU124" s="160">
        <f>TripMode_inputCBD!W105*Index!$B$2</f>
        <v>55</v>
      </c>
      <c r="AV124" s="294">
        <f>TripMode_inputCBD!X105*Index!$B$2</f>
        <v>0</v>
      </c>
      <c r="AW124" s="294">
        <f>TripMode_inputCBD!Y105*Index!$B$2</f>
        <v>0</v>
      </c>
      <c r="AX124" s="160">
        <f>TripMode_inputCBD!AA105*Index!$B$2</f>
        <v>10</v>
      </c>
      <c r="AY124" s="160">
        <f>TripMode_inputCBD!AB105*Index!$B$2</f>
        <v>0</v>
      </c>
      <c r="AZ124" s="160">
        <f>TripMode_inputCBD!AC105*Index!$B$2</f>
        <v>0</v>
      </c>
      <c r="BA124" s="160">
        <f>TripMode_inputCBD!AD105*Index!$B$2</f>
        <v>0</v>
      </c>
      <c r="BB124" s="294">
        <f>TripMode_inputCBD!AE105*Index!$B$2</f>
        <v>0</v>
      </c>
      <c r="BC124" s="162">
        <f t="shared" si="181"/>
        <v>80</v>
      </c>
      <c r="BE124" s="107"/>
      <c r="BF124" s="166"/>
      <c r="BG124" s="166"/>
      <c r="BH124" s="166"/>
      <c r="BI124" s="166"/>
      <c r="BJ124" s="166"/>
      <c r="BK124" s="166"/>
      <c r="BL124" s="166"/>
      <c r="BM124" s="166"/>
      <c r="BN124" s="166"/>
      <c r="BO124" s="166"/>
      <c r="BP124" s="166"/>
      <c r="BQ124" s="166"/>
      <c r="BR124" s="166"/>
      <c r="BS124" s="166"/>
      <c r="BU124" s="107"/>
      <c r="BV124" s="166"/>
      <c r="BW124" s="166"/>
      <c r="BX124" s="166"/>
      <c r="BY124" s="166"/>
      <c r="BZ124" s="166"/>
      <c r="CA124" s="166"/>
      <c r="CB124" s="166"/>
      <c r="CC124" s="166"/>
      <c r="CD124" s="166"/>
      <c r="CE124" s="166"/>
      <c r="CF124" s="166"/>
      <c r="CG124" s="166"/>
      <c r="CH124" s="166"/>
      <c r="CI124" s="166"/>
      <c r="CK124" s="107" t="s">
        <v>391</v>
      </c>
      <c r="CL124" s="166"/>
      <c r="CM124" s="166"/>
      <c r="CN124" s="166"/>
      <c r="CO124" s="166"/>
      <c r="CP124" s="166"/>
      <c r="CQ124" s="166"/>
      <c r="CR124" s="166"/>
      <c r="CS124" s="166"/>
      <c r="CT124" s="166"/>
      <c r="CU124" s="166"/>
      <c r="CV124" s="166"/>
      <c r="CW124" s="166"/>
      <c r="CX124" s="166"/>
      <c r="CY124" s="168"/>
      <c r="DA124" s="107"/>
      <c r="DB124" s="315"/>
      <c r="DC124" s="315"/>
      <c r="DD124" s="315"/>
      <c r="DE124" s="315"/>
      <c r="DF124" s="314"/>
      <c r="DG124" s="314"/>
      <c r="DH124" s="315"/>
      <c r="DI124" s="315"/>
      <c r="DJ124" s="314"/>
      <c r="DK124" s="315"/>
      <c r="DL124" s="315"/>
      <c r="DM124" s="314"/>
      <c r="DN124" s="315"/>
      <c r="DO124" s="168"/>
      <c r="DQ124" s="107"/>
      <c r="DR124" s="315"/>
      <c r="DS124" s="315"/>
      <c r="DT124" s="315"/>
      <c r="DU124" s="315"/>
      <c r="DV124" s="314">
        <v>-0.33566351383543291</v>
      </c>
      <c r="DW124" s="314">
        <v>-0.33566351383543291</v>
      </c>
      <c r="DX124" s="315"/>
      <c r="DY124" s="315"/>
      <c r="DZ124" s="314">
        <v>-1.1450511091658537</v>
      </c>
      <c r="EA124" s="315"/>
      <c r="EB124" s="315"/>
      <c r="EC124" s="314">
        <v>-1.1450511091658537</v>
      </c>
      <c r="ED124" s="315"/>
      <c r="EE124" s="168"/>
      <c r="EG124" s="107"/>
      <c r="EH124" s="315"/>
      <c r="EI124" s="315"/>
      <c r="EJ124" s="315"/>
      <c r="EK124" s="315"/>
      <c r="EL124" s="314">
        <f>DV123+(DF123-DF$119)*$EI$1</f>
        <v>-0.37450901838714135</v>
      </c>
      <c r="EM124" s="314">
        <f>DV123+(DF123-DF$119)*$EI$1</f>
        <v>-0.37450901838714135</v>
      </c>
      <c r="EN124" s="315"/>
      <c r="EO124" s="315"/>
      <c r="EP124" s="314">
        <f>EC123+(DM123-DM$130)*$EI$1</f>
        <v>-1.1963444035534043</v>
      </c>
      <c r="EQ124" s="315"/>
      <c r="ER124" s="315"/>
      <c r="ES124" s="314">
        <f>EC123+(DM123-DM$130)*$EI$1</f>
        <v>-1.1963444035534043</v>
      </c>
      <c r="ET124" s="315"/>
      <c r="EU124" s="168"/>
      <c r="EW124" s="164" t="s">
        <v>391</v>
      </c>
      <c r="EX124" s="316">
        <f t="shared" si="190"/>
        <v>0</v>
      </c>
      <c r="EY124" s="316">
        <f t="shared" si="186"/>
        <v>0</v>
      </c>
      <c r="EZ124" s="316">
        <f t="shared" si="186"/>
        <v>12.983558855460544</v>
      </c>
      <c r="FA124" s="316">
        <f t="shared" si="186"/>
        <v>12.983558855460544</v>
      </c>
      <c r="FB124" s="316">
        <f t="shared" si="186"/>
        <v>-0.37450901838714135</v>
      </c>
      <c r="FC124" s="316">
        <f t="shared" si="186"/>
        <v>-0.37450901838714135</v>
      </c>
      <c r="FD124" s="316">
        <f t="shared" si="186"/>
        <v>-2.8313461699182358</v>
      </c>
      <c r="FE124" s="316">
        <f t="shared" si="186"/>
        <v>0</v>
      </c>
      <c r="FF124" s="316"/>
      <c r="FG124" s="316">
        <f t="shared" si="186"/>
        <v>0</v>
      </c>
      <c r="FH124" s="316">
        <f t="shared" si="186"/>
        <v>0</v>
      </c>
      <c r="FI124" s="316">
        <f t="shared" si="186"/>
        <v>0</v>
      </c>
      <c r="FJ124" s="316">
        <f t="shared" si="186"/>
        <v>0</v>
      </c>
      <c r="FK124" s="316">
        <f t="shared" si="186"/>
        <v>0</v>
      </c>
      <c r="FL124" s="168"/>
    </row>
    <row r="125" spans="2:168" x14ac:dyDescent="0.25">
      <c r="B125" s="107" t="s">
        <v>392</v>
      </c>
      <c r="C125" s="294"/>
      <c r="D125" s="294"/>
      <c r="E125" s="160">
        <f>TripMode_inputCBD!D106</f>
        <v>658.77457000000004</v>
      </c>
      <c r="F125" s="160">
        <f>TripMode_inputCBD!E106</f>
        <v>0</v>
      </c>
      <c r="G125" s="160">
        <f>TripMode_inputCBD!F106</f>
        <v>551.78228999999999</v>
      </c>
      <c r="H125" s="160">
        <f>TripMode_inputCBD!G106</f>
        <v>0</v>
      </c>
      <c r="I125" s="160">
        <f>TripMode_inputCBD!H106</f>
        <v>10754.081550000001</v>
      </c>
      <c r="J125" s="294"/>
      <c r="K125" s="160">
        <f>TripMode_inputCBD!J106+TripMode_inputCBD!K106</f>
        <v>1171.08132</v>
      </c>
      <c r="L125" s="294"/>
      <c r="M125" s="294"/>
      <c r="N125" s="160">
        <f>TripMode_inputCBD!N106</f>
        <v>0</v>
      </c>
      <c r="O125" s="294"/>
      <c r="P125" s="162">
        <f t="shared" si="178"/>
        <v>13135.719730000001</v>
      </c>
      <c r="R125">
        <f t="shared" si="187"/>
        <v>0.12595065423739987</v>
      </c>
      <c r="S125">
        <f t="shared" si="188"/>
        <v>0</v>
      </c>
      <c r="T125">
        <f t="shared" si="189"/>
        <v>0</v>
      </c>
      <c r="Y125" s="107" t="s">
        <v>392</v>
      </c>
      <c r="Z125" s="294"/>
      <c r="AA125" s="294"/>
      <c r="AB125" s="160">
        <f>+E125</f>
        <v>658.77457000000004</v>
      </c>
      <c r="AC125" s="160">
        <f>+F125</f>
        <v>0</v>
      </c>
      <c r="AD125" s="160">
        <f t="shared" si="179"/>
        <v>551.78228999999999</v>
      </c>
      <c r="AE125" s="160">
        <f t="shared" si="179"/>
        <v>0</v>
      </c>
      <c r="AF125" s="160">
        <f t="shared" si="179"/>
        <v>10754.081550000001</v>
      </c>
      <c r="AG125" s="294"/>
      <c r="AH125" s="160">
        <f>AH127*R125</f>
        <v>1122.7042273772699</v>
      </c>
      <c r="AI125" s="294"/>
      <c r="AJ125" s="294"/>
      <c r="AK125" s="160">
        <f>+N125</f>
        <v>0</v>
      </c>
      <c r="AL125" s="294"/>
      <c r="AM125" s="162">
        <f t="shared" si="180"/>
        <v>13087.342637377271</v>
      </c>
      <c r="AO125" s="107" t="s">
        <v>392</v>
      </c>
      <c r="AP125" s="294">
        <f>TripMode_inputCBD!R106*Index!$B$2</f>
        <v>0</v>
      </c>
      <c r="AQ125" s="294">
        <f>TripMode_inputCBD!S106*Index!$B$2</f>
        <v>0</v>
      </c>
      <c r="AR125" s="160">
        <f>TripMode_inputCBD!T106*Index!$B$2</f>
        <v>885</v>
      </c>
      <c r="AS125" s="160">
        <f>TripMode_inputCBD!U106*Index!$B$2</f>
        <v>0</v>
      </c>
      <c r="AT125" s="160">
        <f>TripMode_inputCBD!V106*Index!$B$2</f>
        <v>160</v>
      </c>
      <c r="AU125" s="160">
        <f>TripMode_inputCBD!W106*Index!$B$2</f>
        <v>0</v>
      </c>
      <c r="AV125" s="160">
        <f>TripMode_inputCBD!X106*Index!$B$2</f>
        <v>5425</v>
      </c>
      <c r="AW125" s="294">
        <f>TripMode_inputCBD!Y106*Index!$B$2</f>
        <v>0</v>
      </c>
      <c r="AX125" s="160">
        <f>TripMode_inputCBD!AA106*Index!$B$2</f>
        <v>235</v>
      </c>
      <c r="AY125" s="160">
        <f>TripMode_inputCBD!AB106*Index!$B$2</f>
        <v>0</v>
      </c>
      <c r="AZ125" s="160">
        <f>TripMode_inputCBD!AC106*Index!$B$2</f>
        <v>0</v>
      </c>
      <c r="BA125" s="160">
        <f>TripMode_inputCBD!AD106*Index!$B$2</f>
        <v>10</v>
      </c>
      <c r="BB125" s="294">
        <f>TripMode_inputCBD!AE106*Index!$B$2</f>
        <v>0</v>
      </c>
      <c r="BC125" s="162">
        <f t="shared" si="181"/>
        <v>6715</v>
      </c>
      <c r="BE125" s="107" t="s">
        <v>392</v>
      </c>
      <c r="BF125" s="166" t="str">
        <f t="shared" ref="BF125:BS132" si="195">IF(Z$132&gt;0,Z125/Z$132,"")</f>
        <v/>
      </c>
      <c r="BG125" s="166" t="str">
        <f t="shared" si="195"/>
        <v/>
      </c>
      <c r="BH125" s="166">
        <f t="shared" si="195"/>
        <v>3.771059653442742E-3</v>
      </c>
      <c r="BI125" s="166">
        <f t="shared" si="195"/>
        <v>0</v>
      </c>
      <c r="BJ125" s="166">
        <f t="shared" si="195"/>
        <v>3.1557708411605058E-3</v>
      </c>
      <c r="BK125" s="166">
        <f t="shared" si="195"/>
        <v>0</v>
      </c>
      <c r="BL125" s="166">
        <f t="shared" si="195"/>
        <v>1</v>
      </c>
      <c r="BM125" s="166" t="str">
        <f t="shared" si="195"/>
        <v/>
      </c>
      <c r="BN125" s="166">
        <f t="shared" si="195"/>
        <v>0.11186161113135598</v>
      </c>
      <c r="BO125" s="166">
        <f t="shared" si="195"/>
        <v>0</v>
      </c>
      <c r="BP125" s="166">
        <f t="shared" si="195"/>
        <v>0</v>
      </c>
      <c r="BQ125" s="166">
        <f t="shared" si="195"/>
        <v>0</v>
      </c>
      <c r="BR125" s="166" t="str">
        <f t="shared" si="195"/>
        <v/>
      </c>
      <c r="BS125" s="166">
        <f t="shared" si="195"/>
        <v>3.5061463572258179E-2</v>
      </c>
      <c r="BU125" s="107" t="s">
        <v>392</v>
      </c>
      <c r="BV125" s="166" t="str">
        <f t="shared" ref="BV125:CI132" si="196">IF(AP$132&gt;0,AP125/AP$132,"")</f>
        <v/>
      </c>
      <c r="BW125" s="166" t="str">
        <f t="shared" si="196"/>
        <v/>
      </c>
      <c r="BX125" s="166">
        <f t="shared" si="196"/>
        <v>6.6192969334330595E-2</v>
      </c>
      <c r="BY125" s="166">
        <f t="shared" si="196"/>
        <v>0</v>
      </c>
      <c r="BZ125" s="166">
        <f t="shared" si="196"/>
        <v>2.160702228224173E-2</v>
      </c>
      <c r="CA125" s="166">
        <f t="shared" si="196"/>
        <v>0</v>
      </c>
      <c r="CB125" s="166">
        <f t="shared" si="196"/>
        <v>1</v>
      </c>
      <c r="CC125" s="166">
        <f t="shared" si="196"/>
        <v>0</v>
      </c>
      <c r="CD125" s="166">
        <f t="shared" si="196"/>
        <v>3.1354236157438292E-2</v>
      </c>
      <c r="CE125" s="166">
        <f t="shared" si="196"/>
        <v>0</v>
      </c>
      <c r="CF125" s="166" t="str">
        <f t="shared" si="196"/>
        <v/>
      </c>
      <c r="CG125" s="166">
        <f t="shared" si="196"/>
        <v>3.3333333333333333E-2</v>
      </c>
      <c r="CH125" s="166" t="str">
        <f t="shared" si="196"/>
        <v/>
      </c>
      <c r="CI125" s="168">
        <f t="shared" si="196"/>
        <v>0.19340437788018433</v>
      </c>
      <c r="CK125" s="107" t="s">
        <v>392</v>
      </c>
      <c r="CL125" s="166"/>
      <c r="CM125" s="166"/>
      <c r="CN125" s="166"/>
      <c r="CO125" s="166"/>
      <c r="CP125" s="166"/>
      <c r="CQ125" s="166"/>
      <c r="CR125" s="166"/>
      <c r="CS125" s="166"/>
      <c r="CT125" s="166"/>
      <c r="CU125" s="166"/>
      <c r="CV125" s="166"/>
      <c r="CW125" s="166"/>
      <c r="CX125" s="166"/>
      <c r="CY125" s="168"/>
      <c r="DA125" s="107" t="s">
        <v>392</v>
      </c>
      <c r="DB125" s="315"/>
      <c r="DC125" s="315"/>
      <c r="DD125" s="314">
        <f>IFERROR(IF(BX125&gt;0,LN(BH125/BX125),0),0)</f>
        <v>-2.8652182167446365</v>
      </c>
      <c r="DE125" s="314">
        <f>IFERROR(IF(BY125&gt;0,LN(BI125/BY125),0),0)</f>
        <v>0</v>
      </c>
      <c r="DF125" s="314">
        <f>IFERROR(IF(BZ125&gt;0,LN(BJ125/BZ125),0),0)</f>
        <v>-1.9237855776988686</v>
      </c>
      <c r="DG125" s="314">
        <f>IFERROR(IF(CA125&gt;0,LN(BK125/CA125),0),0)</f>
        <v>0</v>
      </c>
      <c r="DH125" s="314">
        <f>IFERROR(IF(CB125&gt;0,LN(BL125/CB125),0),0)</f>
        <v>0</v>
      </c>
      <c r="DI125" s="315"/>
      <c r="DJ125" s="314">
        <f t="shared" ref="DJ125:DJ130" si="197">IFERROR(IF(CD125&gt;0,LN(BN125/CD125),0),0)</f>
        <v>1.2719131098053944</v>
      </c>
      <c r="DK125" s="315"/>
      <c r="DL125" s="315"/>
      <c r="DM125" s="314">
        <f>IFERROR(IF(CG125&gt;0,LN(BQ125/CG125),0),0)</f>
        <v>0</v>
      </c>
      <c r="DN125" s="315"/>
      <c r="DO125" s="168"/>
      <c r="DQ125" s="107" t="s">
        <v>392</v>
      </c>
      <c r="DR125" s="315"/>
      <c r="DS125" s="315"/>
      <c r="DT125" s="314">
        <v>-1.6516299522150693</v>
      </c>
      <c r="DU125" s="314">
        <v>-1.6516299522150693</v>
      </c>
      <c r="DV125" s="314">
        <v>-0.90756059221936747</v>
      </c>
      <c r="DW125" s="314">
        <v>-0.90756059221936747</v>
      </c>
      <c r="DX125" s="314">
        <v>0</v>
      </c>
      <c r="DY125" s="315"/>
      <c r="DZ125" s="314">
        <v>5.524854492520201</v>
      </c>
      <c r="EA125" s="315"/>
      <c r="EB125" s="315"/>
      <c r="EC125" s="314">
        <v>5.524854492520201</v>
      </c>
      <c r="ED125" s="315"/>
      <c r="EE125" s="168"/>
      <c r="EG125" s="107" t="s">
        <v>392</v>
      </c>
      <c r="EH125" s="315"/>
      <c r="EI125" s="315"/>
      <c r="EJ125" s="314">
        <f>DT125+(DD125-DD$119)*$EI$1</f>
        <v>-4.5168481689597062</v>
      </c>
      <c r="EK125" s="314">
        <f>DT125+(DD125-DD$119)*$EI$1</f>
        <v>-4.5168481689597062</v>
      </c>
      <c r="EL125" s="314">
        <f>DV125+(DF125-DF$119)*$EI$1</f>
        <v>-2.8313461699182358</v>
      </c>
      <c r="EM125" s="314">
        <f>DV125+(DF125-DF$119)*$EI$1</f>
        <v>-2.8313461699182358</v>
      </c>
      <c r="EN125" s="314">
        <v>0</v>
      </c>
      <c r="EO125" s="315"/>
      <c r="EP125" s="314">
        <f>EC125+(DM125-DM$130)*$EI$1</f>
        <v>5.4735611981326509</v>
      </c>
      <c r="EQ125" s="315"/>
      <c r="ER125" s="315"/>
      <c r="ES125" s="314">
        <f>EC125+(DM125-DM$130)*$EI$1</f>
        <v>5.4735611981326509</v>
      </c>
      <c r="ET125" s="315"/>
      <c r="EU125" s="168"/>
      <c r="EW125" s="164" t="s">
        <v>392</v>
      </c>
      <c r="EX125" s="316">
        <f t="shared" si="190"/>
        <v>0</v>
      </c>
      <c r="EY125" s="316">
        <f t="shared" si="186"/>
        <v>0</v>
      </c>
      <c r="EZ125" s="316">
        <f t="shared" si="186"/>
        <v>0</v>
      </c>
      <c r="FA125" s="316">
        <f t="shared" si="186"/>
        <v>0</v>
      </c>
      <c r="FB125" s="316">
        <f t="shared" si="186"/>
        <v>0</v>
      </c>
      <c r="FC125" s="316">
        <f t="shared" si="186"/>
        <v>0</v>
      </c>
      <c r="FD125" s="316">
        <f t="shared" si="186"/>
        <v>0</v>
      </c>
      <c r="FE125" s="316">
        <f t="shared" si="186"/>
        <v>0</v>
      </c>
      <c r="FF125" s="316"/>
      <c r="FG125" s="316">
        <f t="shared" si="186"/>
        <v>0</v>
      </c>
      <c r="FH125" s="316">
        <f t="shared" si="186"/>
        <v>0</v>
      </c>
      <c r="FI125" s="316">
        <f t="shared" si="186"/>
        <v>0</v>
      </c>
      <c r="FJ125" s="316">
        <f t="shared" si="186"/>
        <v>0</v>
      </c>
      <c r="FK125" s="316">
        <f t="shared" si="186"/>
        <v>0</v>
      </c>
      <c r="FL125" s="168"/>
    </row>
    <row r="126" spans="2:168" x14ac:dyDescent="0.25">
      <c r="B126" s="107" t="s">
        <v>393</v>
      </c>
      <c r="C126" s="294"/>
      <c r="D126" s="294"/>
      <c r="E126" s="294"/>
      <c r="F126" s="294"/>
      <c r="G126" s="294"/>
      <c r="H126" s="294"/>
      <c r="I126" s="294"/>
      <c r="J126" s="160">
        <f>TripMode_inputCBD!I107</f>
        <v>0</v>
      </c>
      <c r="K126" s="294"/>
      <c r="L126" s="294"/>
      <c r="M126" s="294"/>
      <c r="N126" s="294"/>
      <c r="O126" s="294"/>
      <c r="P126" s="162">
        <f t="shared" si="178"/>
        <v>0</v>
      </c>
      <c r="R126">
        <f t="shared" si="187"/>
        <v>0</v>
      </c>
      <c r="S126">
        <f t="shared" si="188"/>
        <v>0</v>
      </c>
      <c r="T126">
        <f t="shared" si="189"/>
        <v>0</v>
      </c>
      <c r="Y126" s="107" t="s">
        <v>393</v>
      </c>
      <c r="Z126" s="294"/>
      <c r="AA126" s="294"/>
      <c r="AB126" s="294"/>
      <c r="AC126" s="294"/>
      <c r="AD126" s="294"/>
      <c r="AE126" s="294"/>
      <c r="AF126" s="294"/>
      <c r="AG126" s="160">
        <f>+J126</f>
        <v>0</v>
      </c>
      <c r="AH126" s="294"/>
      <c r="AI126" s="294"/>
      <c r="AJ126" s="294"/>
      <c r="AK126" s="294"/>
      <c r="AL126" s="294"/>
      <c r="AM126" s="162">
        <f t="shared" si="180"/>
        <v>0</v>
      </c>
      <c r="AO126" s="107" t="s">
        <v>393</v>
      </c>
      <c r="AP126" s="294">
        <f>TripMode_inputCBD!R107*Index!$B$2</f>
        <v>0</v>
      </c>
      <c r="AQ126" s="294">
        <f>TripMode_inputCBD!S107*Index!$B$2</f>
        <v>0</v>
      </c>
      <c r="AR126" s="294">
        <f>TripMode_inputCBD!T107*Index!$B$2</f>
        <v>0</v>
      </c>
      <c r="AS126" s="294">
        <f>TripMode_inputCBD!U107*Index!$B$2</f>
        <v>0</v>
      </c>
      <c r="AT126" s="294">
        <f>TripMode_inputCBD!V107*Index!$B$2</f>
        <v>0</v>
      </c>
      <c r="AU126" s="294">
        <f>TripMode_inputCBD!W107*Index!$B$2</f>
        <v>0</v>
      </c>
      <c r="AV126" s="294">
        <f>TripMode_inputCBD!X107*Index!$B$2</f>
        <v>0</v>
      </c>
      <c r="AW126" s="160">
        <f>TripMode_inputCBD!Y107*Index!$B$2</f>
        <v>25</v>
      </c>
      <c r="AX126" s="294">
        <f>TripMode_inputCBD!AA107*Index!$B$2</f>
        <v>0</v>
      </c>
      <c r="AY126" s="294">
        <f>TripMode_inputCBD!AB107*Index!$B$2</f>
        <v>0</v>
      </c>
      <c r="AZ126" s="294">
        <f>TripMode_inputCBD!AC107*Index!$B$2</f>
        <v>0</v>
      </c>
      <c r="BA126" s="294">
        <f>TripMode_inputCBD!AD107*Index!$B$2</f>
        <v>0</v>
      </c>
      <c r="BB126" s="294">
        <f>TripMode_inputCBD!AE107*Index!$B$2</f>
        <v>0</v>
      </c>
      <c r="BC126" s="162">
        <f t="shared" si="181"/>
        <v>25</v>
      </c>
      <c r="BE126" s="107" t="s">
        <v>393</v>
      </c>
      <c r="BF126" s="166" t="str">
        <f t="shared" si="195"/>
        <v/>
      </c>
      <c r="BG126" s="166" t="str">
        <f t="shared" si="195"/>
        <v/>
      </c>
      <c r="BH126" s="166">
        <f t="shared" si="195"/>
        <v>0</v>
      </c>
      <c r="BI126" s="166">
        <f t="shared" si="195"/>
        <v>0</v>
      </c>
      <c r="BJ126" s="166">
        <f t="shared" si="195"/>
        <v>0</v>
      </c>
      <c r="BK126" s="166">
        <f t="shared" si="195"/>
        <v>0</v>
      </c>
      <c r="BL126" s="166">
        <f t="shared" si="195"/>
        <v>0</v>
      </c>
      <c r="BM126" s="166" t="str">
        <f t="shared" si="195"/>
        <v/>
      </c>
      <c r="BN126" s="166">
        <f t="shared" si="195"/>
        <v>0</v>
      </c>
      <c r="BO126" s="166">
        <f t="shared" si="195"/>
        <v>0</v>
      </c>
      <c r="BP126" s="166">
        <f t="shared" si="195"/>
        <v>0</v>
      </c>
      <c r="BQ126" s="166">
        <f t="shared" si="195"/>
        <v>0</v>
      </c>
      <c r="BR126" s="166" t="str">
        <f t="shared" si="195"/>
        <v/>
      </c>
      <c r="BS126" s="166">
        <f t="shared" si="195"/>
        <v>0</v>
      </c>
      <c r="BU126" s="107" t="s">
        <v>393</v>
      </c>
      <c r="BV126" s="166" t="str">
        <f t="shared" si="196"/>
        <v/>
      </c>
      <c r="BW126" s="166" t="str">
        <f t="shared" si="196"/>
        <v/>
      </c>
      <c r="BX126" s="166">
        <f t="shared" si="196"/>
        <v>0</v>
      </c>
      <c r="BY126" s="166">
        <f t="shared" si="196"/>
        <v>0</v>
      </c>
      <c r="BZ126" s="166">
        <f t="shared" si="196"/>
        <v>0</v>
      </c>
      <c r="CA126" s="166">
        <f t="shared" si="196"/>
        <v>0</v>
      </c>
      <c r="CB126" s="166">
        <f t="shared" si="196"/>
        <v>0</v>
      </c>
      <c r="CC126" s="166">
        <f t="shared" si="196"/>
        <v>1</v>
      </c>
      <c r="CD126" s="166">
        <f t="shared" si="196"/>
        <v>0</v>
      </c>
      <c r="CE126" s="166">
        <f t="shared" si="196"/>
        <v>0</v>
      </c>
      <c r="CF126" s="166" t="str">
        <f t="shared" si="196"/>
        <v/>
      </c>
      <c r="CG126" s="166">
        <f t="shared" si="196"/>
        <v>0</v>
      </c>
      <c r="CH126" s="166" t="str">
        <f t="shared" si="196"/>
        <v/>
      </c>
      <c r="CI126" s="168">
        <f t="shared" si="196"/>
        <v>7.2004608294930878E-4</v>
      </c>
      <c r="CK126" s="107" t="s">
        <v>393</v>
      </c>
      <c r="CL126" s="166"/>
      <c r="CM126" s="166"/>
      <c r="CN126" s="166"/>
      <c r="CO126" s="166"/>
      <c r="CP126" s="166"/>
      <c r="CQ126" s="166"/>
      <c r="CR126" s="166"/>
      <c r="CS126" s="166"/>
      <c r="CT126" s="166"/>
      <c r="CU126" s="166"/>
      <c r="CV126" s="166"/>
      <c r="CW126" s="166"/>
      <c r="CX126" s="166"/>
      <c r="CY126" s="168"/>
      <c r="DA126" s="107" t="s">
        <v>393</v>
      </c>
      <c r="DB126" s="315"/>
      <c r="DC126" s="315"/>
      <c r="DD126" s="315"/>
      <c r="DE126" s="315"/>
      <c r="DF126" s="315"/>
      <c r="DG126" s="315"/>
      <c r="DH126" s="315"/>
      <c r="DI126" s="314">
        <f>IFERROR(IF(CC126&gt;0,LN(BM126/CC126),0),0)</f>
        <v>0</v>
      </c>
      <c r="DJ126" s="315"/>
      <c r="DK126" s="315"/>
      <c r="DL126" s="315"/>
      <c r="DM126" s="315"/>
      <c r="DN126" s="315"/>
      <c r="DO126" s="168"/>
      <c r="DQ126" s="107" t="s">
        <v>393</v>
      </c>
      <c r="DR126" s="315"/>
      <c r="DS126" s="315"/>
      <c r="DT126" s="315"/>
      <c r="DU126" s="315"/>
      <c r="DV126" s="315"/>
      <c r="DW126" s="315"/>
      <c r="DX126" s="315"/>
      <c r="DY126" s="314">
        <v>0</v>
      </c>
      <c r="DZ126" s="315"/>
      <c r="EA126" s="315"/>
      <c r="EB126" s="315"/>
      <c r="EC126" s="315"/>
      <c r="ED126" s="315"/>
      <c r="EE126" s="168"/>
      <c r="EG126" s="107" t="s">
        <v>393</v>
      </c>
      <c r="EH126" s="315"/>
      <c r="EI126" s="315"/>
      <c r="EJ126" s="315"/>
      <c r="EK126" s="315"/>
      <c r="EL126" s="315"/>
      <c r="EM126" s="315"/>
      <c r="EN126" s="315"/>
      <c r="EO126" s="314">
        <v>0</v>
      </c>
      <c r="EP126" s="315"/>
      <c r="EQ126" s="315"/>
      <c r="ER126" s="315"/>
      <c r="ES126" s="315"/>
      <c r="ET126" s="315"/>
      <c r="EU126" s="168"/>
      <c r="EW126" s="164" t="s">
        <v>393</v>
      </c>
      <c r="EX126" s="316">
        <f t="shared" si="190"/>
        <v>0</v>
      </c>
      <c r="EY126" s="316">
        <f t="shared" si="186"/>
        <v>0</v>
      </c>
      <c r="EZ126" s="316">
        <f t="shared" si="186"/>
        <v>0</v>
      </c>
      <c r="FA126" s="316">
        <f t="shared" si="186"/>
        <v>0</v>
      </c>
      <c r="FB126" s="316">
        <f t="shared" si="186"/>
        <v>0</v>
      </c>
      <c r="FC126" s="316">
        <f t="shared" si="186"/>
        <v>0</v>
      </c>
      <c r="FD126" s="316">
        <f t="shared" si="186"/>
        <v>0</v>
      </c>
      <c r="FE126" s="316">
        <f t="shared" si="186"/>
        <v>0</v>
      </c>
      <c r="FF126" s="316"/>
      <c r="FG126" s="316">
        <f t="shared" si="186"/>
        <v>0</v>
      </c>
      <c r="FH126" s="316">
        <f t="shared" si="186"/>
        <v>0</v>
      </c>
      <c r="FI126" s="316">
        <f t="shared" si="186"/>
        <v>0</v>
      </c>
      <c r="FJ126" s="316">
        <f t="shared" si="186"/>
        <v>0</v>
      </c>
      <c r="FK126" s="316">
        <f t="shared" si="186"/>
        <v>0</v>
      </c>
      <c r="FL126" s="168"/>
    </row>
    <row r="127" spans="2:168" x14ac:dyDescent="0.25">
      <c r="B127" s="107" t="s">
        <v>546</v>
      </c>
      <c r="C127" s="294"/>
      <c r="D127" s="294"/>
      <c r="E127" s="294"/>
      <c r="F127" s="294"/>
      <c r="G127" s="294"/>
      <c r="H127" s="294"/>
      <c r="I127" s="294"/>
      <c r="J127" s="294"/>
      <c r="K127" s="160">
        <f>TripMode_inputCBD!J109+TripMode_inputCBD!K109+TripMode_inputCBD!J108+TripMode_inputCBD!K108</f>
        <v>9297.9375700000001</v>
      </c>
      <c r="L127" s="294"/>
      <c r="M127" s="294"/>
      <c r="N127" s="294"/>
      <c r="O127" s="294"/>
      <c r="P127" s="162">
        <f t="shared" si="178"/>
        <v>9297.9375700000001</v>
      </c>
      <c r="R127">
        <f t="shared" si="187"/>
        <v>1</v>
      </c>
      <c r="S127">
        <f t="shared" si="188"/>
        <v>0</v>
      </c>
      <c r="T127">
        <f t="shared" si="189"/>
        <v>0</v>
      </c>
      <c r="U127" s="127">
        <f>+K127/K$159</f>
        <v>1.534147314506196E-2</v>
      </c>
      <c r="V127" s="127"/>
      <c r="W127" s="127"/>
      <c r="X127" s="127"/>
      <c r="Y127" s="107" t="s">
        <v>546</v>
      </c>
      <c r="Z127" s="294"/>
      <c r="AA127" s="294"/>
      <c r="AB127" s="294"/>
      <c r="AC127" s="294"/>
      <c r="AD127" s="294"/>
      <c r="AE127" s="294"/>
      <c r="AF127" s="294"/>
      <c r="AG127" s="294"/>
      <c r="AH127" s="160">
        <f>U127*U$159</f>
        <v>8913.8419659267911</v>
      </c>
      <c r="AI127" s="294"/>
      <c r="AJ127" s="294"/>
      <c r="AK127" s="294"/>
      <c r="AL127" s="294"/>
      <c r="AM127" s="162">
        <f t="shared" si="180"/>
        <v>8913.8419659267911</v>
      </c>
      <c r="AN127" s="127"/>
      <c r="AO127" s="107" t="s">
        <v>395</v>
      </c>
      <c r="AP127" s="294">
        <f>TripMode_inputCBD!R109*Index!$B$2</f>
        <v>0</v>
      </c>
      <c r="AQ127" s="294">
        <f>TripMode_inputCBD!S109*Index!$B$2</f>
        <v>0</v>
      </c>
      <c r="AR127" s="294">
        <f>TripMode_inputCBD!T109*Index!$B$2</f>
        <v>0</v>
      </c>
      <c r="AS127" s="294">
        <f>TripMode_inputCBD!U109*Index!$B$2</f>
        <v>0</v>
      </c>
      <c r="AT127" s="294">
        <f>TripMode_inputCBD!V109*Index!$B$2</f>
        <v>0</v>
      </c>
      <c r="AU127" s="294">
        <f>TripMode_inputCBD!W109*Index!$B$2</f>
        <v>0</v>
      </c>
      <c r="AV127" s="294">
        <f>TripMode_inputCBD!X109*Index!$B$2</f>
        <v>0</v>
      </c>
      <c r="AW127" s="294">
        <f>TripMode_inputCBD!Y109*Index!$B$2</f>
        <v>0</v>
      </c>
      <c r="AX127" s="160">
        <f>TripMode_inputCBD!AA109*Index!$B$2</f>
        <v>6795</v>
      </c>
      <c r="AY127" s="160">
        <f>TripMode_inputCBD!AB109*Index!$B$2</f>
        <v>0</v>
      </c>
      <c r="AZ127" s="160">
        <f>TripMode_inputCBD!AC109*Index!$B$2</f>
        <v>0</v>
      </c>
      <c r="BA127" s="294">
        <f>TripMode_inputCBD!AD109*Index!$B$2</f>
        <v>0</v>
      </c>
      <c r="BB127" s="294">
        <f>TripMode_inputCBD!AE109*Index!$B$2</f>
        <v>0</v>
      </c>
      <c r="BC127" s="162">
        <f t="shared" si="181"/>
        <v>6795</v>
      </c>
      <c r="BE127" s="107" t="s">
        <v>395</v>
      </c>
      <c r="BF127" s="166" t="str">
        <f t="shared" si="195"/>
        <v/>
      </c>
      <c r="BG127" s="166" t="str">
        <f t="shared" si="195"/>
        <v/>
      </c>
      <c r="BH127" s="166">
        <f t="shared" si="195"/>
        <v>0</v>
      </c>
      <c r="BI127" s="166">
        <f t="shared" si="195"/>
        <v>0</v>
      </c>
      <c r="BJ127" s="166">
        <f t="shared" si="195"/>
        <v>0</v>
      </c>
      <c r="BK127" s="166">
        <f t="shared" si="195"/>
        <v>0</v>
      </c>
      <c r="BL127" s="166">
        <f t="shared" si="195"/>
        <v>0</v>
      </c>
      <c r="BM127" s="166" t="str">
        <f t="shared" si="195"/>
        <v/>
      </c>
      <c r="BN127" s="166">
        <f t="shared" si="195"/>
        <v>0.88813838886864405</v>
      </c>
      <c r="BO127" s="166">
        <f t="shared" si="195"/>
        <v>0</v>
      </c>
      <c r="BP127" s="166">
        <f t="shared" si="195"/>
        <v>0</v>
      </c>
      <c r="BQ127" s="166">
        <f t="shared" si="195"/>
        <v>0</v>
      </c>
      <c r="BR127" s="166" t="str">
        <f t="shared" si="195"/>
        <v/>
      </c>
      <c r="BS127" s="166">
        <f t="shared" si="195"/>
        <v>2.3880504548312222E-2</v>
      </c>
      <c r="BU127" s="107" t="s">
        <v>395</v>
      </c>
      <c r="BV127" s="166" t="str">
        <f t="shared" si="196"/>
        <v/>
      </c>
      <c r="BW127" s="166" t="str">
        <f t="shared" si="196"/>
        <v/>
      </c>
      <c r="BX127" s="166">
        <f t="shared" si="196"/>
        <v>0</v>
      </c>
      <c r="BY127" s="166">
        <f t="shared" si="196"/>
        <v>0</v>
      </c>
      <c r="BZ127" s="166">
        <f t="shared" si="196"/>
        <v>0</v>
      </c>
      <c r="CA127" s="166">
        <f t="shared" si="196"/>
        <v>0</v>
      </c>
      <c r="CB127" s="166">
        <f t="shared" si="196"/>
        <v>0</v>
      </c>
      <c r="CC127" s="166">
        <f t="shared" si="196"/>
        <v>0</v>
      </c>
      <c r="CD127" s="166">
        <f t="shared" si="196"/>
        <v>0.90660440293529021</v>
      </c>
      <c r="CE127" s="166">
        <f t="shared" si="196"/>
        <v>0</v>
      </c>
      <c r="CF127" s="166" t="str">
        <f t="shared" si="196"/>
        <v/>
      </c>
      <c r="CG127" s="166">
        <f t="shared" si="196"/>
        <v>0</v>
      </c>
      <c r="CH127" s="166" t="str">
        <f t="shared" si="196"/>
        <v/>
      </c>
      <c r="CI127" s="168">
        <f t="shared" si="196"/>
        <v>0.19570852534562211</v>
      </c>
      <c r="CK127" s="107" t="s">
        <v>395</v>
      </c>
      <c r="CL127" s="166" t="str">
        <f t="shared" ref="CL127:CO132" si="198">IF(OR(ISNA(BF127),BF127=0,BF127=""),"",(BV127-BF127)/BF127)</f>
        <v/>
      </c>
      <c r="CM127" s="166" t="str">
        <f t="shared" si="198"/>
        <v/>
      </c>
      <c r="CN127" s="166" t="str">
        <f t="shared" si="198"/>
        <v/>
      </c>
      <c r="CO127" s="166" t="str">
        <f t="shared" si="198"/>
        <v/>
      </c>
      <c r="CP127" s="166"/>
      <c r="CQ127" s="166"/>
      <c r="CR127" s="166"/>
      <c r="CS127" s="166"/>
      <c r="CT127" s="166">
        <f t="shared" ref="CT127:CY132" si="199">IF(OR(ISNA(BN127),BN127=0,BN127=""),"",(CD127-BN127)/BN127)</f>
        <v>2.0791820619497275E-2</v>
      </c>
      <c r="CU127" s="166" t="str">
        <f t="shared" si="199"/>
        <v/>
      </c>
      <c r="CV127" s="166" t="str">
        <f t="shared" si="199"/>
        <v/>
      </c>
      <c r="CW127" s="166" t="str">
        <f t="shared" si="199"/>
        <v/>
      </c>
      <c r="CX127" s="166" t="str">
        <f t="shared" si="199"/>
        <v/>
      </c>
      <c r="CY127" s="168">
        <f t="shared" si="199"/>
        <v>7.1953262314742004</v>
      </c>
      <c r="DA127" s="107" t="s">
        <v>395</v>
      </c>
      <c r="DB127" s="315"/>
      <c r="DC127" s="315"/>
      <c r="DD127" s="315"/>
      <c r="DE127" s="315"/>
      <c r="DF127" s="315"/>
      <c r="DG127" s="315"/>
      <c r="DH127" s="315"/>
      <c r="DI127" s="315"/>
      <c r="DJ127" s="314">
        <f t="shared" si="197"/>
        <v>-2.057862086027664E-2</v>
      </c>
      <c r="DK127" s="315"/>
      <c r="DL127" s="315"/>
      <c r="DM127" s="315"/>
      <c r="DN127" s="315"/>
      <c r="DO127" s="168"/>
      <c r="DQ127" s="107" t="s">
        <v>395</v>
      </c>
      <c r="DR127" s="315"/>
      <c r="DS127" s="315"/>
      <c r="DT127" s="315"/>
      <c r="DU127" s="315"/>
      <c r="DV127" s="315"/>
      <c r="DW127" s="315"/>
      <c r="DX127" s="315"/>
      <c r="DY127" s="315"/>
      <c r="DZ127" s="314">
        <v>0</v>
      </c>
      <c r="EA127" s="315"/>
      <c r="EB127" s="315"/>
      <c r="EC127" s="315"/>
      <c r="ED127" s="315"/>
      <c r="EE127" s="168"/>
      <c r="EG127" s="107" t="s">
        <v>395</v>
      </c>
      <c r="EH127" s="315"/>
      <c r="EI127" s="315"/>
      <c r="EJ127" s="315"/>
      <c r="EK127" s="315"/>
      <c r="EL127" s="315"/>
      <c r="EM127" s="315"/>
      <c r="EN127" s="315"/>
      <c r="EO127" s="315"/>
      <c r="EP127" s="314">
        <v>0</v>
      </c>
      <c r="EQ127" s="315"/>
      <c r="ER127" s="315"/>
      <c r="ES127" s="315"/>
      <c r="ET127" s="315"/>
      <c r="EU127" s="168"/>
      <c r="EW127" s="164" t="s">
        <v>546</v>
      </c>
      <c r="EX127" s="316">
        <f t="shared" si="190"/>
        <v>0</v>
      </c>
      <c r="EY127" s="316">
        <f t="shared" si="186"/>
        <v>0</v>
      </c>
      <c r="EZ127" s="316">
        <f t="shared" si="186"/>
        <v>-1.1963444035534043</v>
      </c>
      <c r="FA127" s="316">
        <f t="shared" si="186"/>
        <v>-1.1963444035534043</v>
      </c>
      <c r="FB127" s="316">
        <f t="shared" si="186"/>
        <v>-1.1963444035534043</v>
      </c>
      <c r="FC127" s="316">
        <f t="shared" si="186"/>
        <v>-1.1963444035534043</v>
      </c>
      <c r="FD127" s="316">
        <f t="shared" si="186"/>
        <v>5.4735611981326509</v>
      </c>
      <c r="FE127" s="316">
        <f t="shared" si="186"/>
        <v>0</v>
      </c>
      <c r="FF127" s="316"/>
      <c r="FG127" s="316">
        <f t="shared" si="186"/>
        <v>0</v>
      </c>
      <c r="FH127" s="316">
        <f t="shared" si="186"/>
        <v>0</v>
      </c>
      <c r="FI127" s="316">
        <f t="shared" si="186"/>
        <v>0</v>
      </c>
      <c r="FJ127" s="316">
        <f t="shared" si="186"/>
        <v>0</v>
      </c>
      <c r="FK127" s="316">
        <f t="shared" si="186"/>
        <v>0</v>
      </c>
      <c r="FL127" s="168"/>
    </row>
    <row r="128" spans="2:168" x14ac:dyDescent="0.25">
      <c r="B128" s="107" t="s">
        <v>396</v>
      </c>
      <c r="C128" s="294"/>
      <c r="D128" s="294"/>
      <c r="E128" s="294"/>
      <c r="F128" s="294"/>
      <c r="G128" s="294"/>
      <c r="H128" s="294"/>
      <c r="I128" s="294"/>
      <c r="J128" s="294"/>
      <c r="K128" s="294"/>
      <c r="L128" s="160">
        <f>TripMode_inputCBD!L110</f>
        <v>1021.57188</v>
      </c>
      <c r="M128" s="294"/>
      <c r="N128" s="294"/>
      <c r="O128" s="294"/>
      <c r="P128" s="162">
        <f t="shared" si="178"/>
        <v>1021.57188</v>
      </c>
      <c r="R128">
        <f t="shared" si="187"/>
        <v>0</v>
      </c>
      <c r="S128">
        <f t="shared" si="188"/>
        <v>1</v>
      </c>
      <c r="T128">
        <f t="shared" si="189"/>
        <v>0</v>
      </c>
      <c r="V128" s="127">
        <f>+L128/L$160</f>
        <v>1.726295640595012E-2</v>
      </c>
      <c r="W128" s="127"/>
      <c r="X128" s="127"/>
      <c r="Y128" s="107" t="s">
        <v>396</v>
      </c>
      <c r="Z128" s="294"/>
      <c r="AA128" s="294"/>
      <c r="AB128" s="294"/>
      <c r="AC128" s="294"/>
      <c r="AD128" s="294"/>
      <c r="AE128" s="294"/>
      <c r="AF128" s="294"/>
      <c r="AG128" s="294"/>
      <c r="AH128" s="294"/>
      <c r="AI128" s="160">
        <f>V128*V$160</f>
        <v>540.08860558513697</v>
      </c>
      <c r="AJ128" s="294"/>
      <c r="AK128" s="294"/>
      <c r="AL128" s="294"/>
      <c r="AM128" s="162">
        <f t="shared" si="180"/>
        <v>540.08860558513697</v>
      </c>
      <c r="AN128" s="127"/>
      <c r="AO128" s="107" t="s">
        <v>396</v>
      </c>
      <c r="AP128" s="294">
        <f>TripMode_inputCBD!R110*Index!$B$2</f>
        <v>0</v>
      </c>
      <c r="AQ128" s="294">
        <f>TripMode_inputCBD!S110*Index!$B$2</f>
        <v>0</v>
      </c>
      <c r="AR128" s="294">
        <f>TripMode_inputCBD!T110*Index!$B$2</f>
        <v>0</v>
      </c>
      <c r="AS128" s="294">
        <f>TripMode_inputCBD!U110*Index!$B$2</f>
        <v>0</v>
      </c>
      <c r="AT128" s="294">
        <f>TripMode_inputCBD!V110*Index!$B$2</f>
        <v>0</v>
      </c>
      <c r="AU128" s="294">
        <f>TripMode_inputCBD!W110*Index!$B$2</f>
        <v>0</v>
      </c>
      <c r="AV128" s="294">
        <f>TripMode_inputCBD!X110*Index!$B$2</f>
        <v>0</v>
      </c>
      <c r="AW128" s="294">
        <f>TripMode_inputCBD!Y110*Index!$B$2</f>
        <v>0</v>
      </c>
      <c r="AX128" s="294">
        <f>TripMode_inputCBD!AA110*Index!$B$2</f>
        <v>0</v>
      </c>
      <c r="AY128" s="160">
        <f>TripMode_inputCBD!AB110*Index!$B$2</f>
        <v>245</v>
      </c>
      <c r="AZ128" s="294">
        <f>TripMode_inputCBD!AC110*Index!$B$2</f>
        <v>0</v>
      </c>
      <c r="BA128" s="294">
        <f>TripMode_inputCBD!AD110*Index!$B$2</f>
        <v>0</v>
      </c>
      <c r="BB128" s="294">
        <f>TripMode_inputCBD!AE110*Index!$B$2</f>
        <v>0</v>
      </c>
      <c r="BC128" s="162">
        <f t="shared" si="181"/>
        <v>245</v>
      </c>
      <c r="BE128" s="107" t="s">
        <v>396</v>
      </c>
      <c r="BF128" s="166" t="str">
        <f t="shared" si="195"/>
        <v/>
      </c>
      <c r="BG128" s="166" t="str">
        <f t="shared" si="195"/>
        <v/>
      </c>
      <c r="BH128" s="166">
        <f t="shared" si="195"/>
        <v>0</v>
      </c>
      <c r="BI128" s="166">
        <f t="shared" si="195"/>
        <v>0</v>
      </c>
      <c r="BJ128" s="166">
        <f t="shared" si="195"/>
        <v>0</v>
      </c>
      <c r="BK128" s="166">
        <f t="shared" si="195"/>
        <v>0</v>
      </c>
      <c r="BL128" s="166">
        <f t="shared" si="195"/>
        <v>0</v>
      </c>
      <c r="BM128" s="166" t="str">
        <f t="shared" si="195"/>
        <v/>
      </c>
      <c r="BN128" s="166">
        <f t="shared" si="195"/>
        <v>0</v>
      </c>
      <c r="BO128" s="166">
        <f t="shared" si="195"/>
        <v>1</v>
      </c>
      <c r="BP128" s="166">
        <f t="shared" si="195"/>
        <v>0</v>
      </c>
      <c r="BQ128" s="166">
        <f t="shared" si="195"/>
        <v>0</v>
      </c>
      <c r="BR128" s="166" t="str">
        <f t="shared" si="195"/>
        <v/>
      </c>
      <c r="BS128" s="166">
        <f t="shared" si="195"/>
        <v>1.4469168795530111E-3</v>
      </c>
      <c r="BU128" s="107" t="s">
        <v>396</v>
      </c>
      <c r="BV128" s="166" t="str">
        <f t="shared" si="196"/>
        <v/>
      </c>
      <c r="BW128" s="166" t="str">
        <f t="shared" si="196"/>
        <v/>
      </c>
      <c r="BX128" s="166">
        <f t="shared" si="196"/>
        <v>0</v>
      </c>
      <c r="BY128" s="166">
        <f t="shared" si="196"/>
        <v>0</v>
      </c>
      <c r="BZ128" s="166">
        <f t="shared" si="196"/>
        <v>0</v>
      </c>
      <c r="CA128" s="166">
        <f t="shared" si="196"/>
        <v>0</v>
      </c>
      <c r="CB128" s="166">
        <f t="shared" si="196"/>
        <v>0</v>
      </c>
      <c r="CC128" s="166">
        <f t="shared" si="196"/>
        <v>0</v>
      </c>
      <c r="CD128" s="166">
        <f t="shared" si="196"/>
        <v>0</v>
      </c>
      <c r="CE128" s="166">
        <f t="shared" si="196"/>
        <v>1</v>
      </c>
      <c r="CF128" s="166" t="str">
        <f t="shared" si="196"/>
        <v/>
      </c>
      <c r="CG128" s="166">
        <f t="shared" si="196"/>
        <v>0</v>
      </c>
      <c r="CH128" s="166" t="str">
        <f t="shared" si="196"/>
        <v/>
      </c>
      <c r="CI128" s="168">
        <f t="shared" si="196"/>
        <v>7.0564516129032256E-3</v>
      </c>
      <c r="CK128" s="107" t="s">
        <v>396</v>
      </c>
      <c r="CL128" s="166" t="str">
        <f t="shared" si="198"/>
        <v/>
      </c>
      <c r="CM128" s="166" t="str">
        <f t="shared" si="198"/>
        <v/>
      </c>
      <c r="CN128" s="166" t="str">
        <f t="shared" si="198"/>
        <v/>
      </c>
      <c r="CO128" s="166" t="str">
        <f t="shared" si="198"/>
        <v/>
      </c>
      <c r="CP128" s="166"/>
      <c r="CQ128" s="166"/>
      <c r="CR128" s="166"/>
      <c r="CS128" s="166"/>
      <c r="CT128" s="166" t="str">
        <f t="shared" si="199"/>
        <v/>
      </c>
      <c r="CU128" s="166">
        <f t="shared" si="199"/>
        <v>0</v>
      </c>
      <c r="CV128" s="166" t="str">
        <f t="shared" si="199"/>
        <v/>
      </c>
      <c r="CW128" s="166" t="str">
        <f t="shared" si="199"/>
        <v/>
      </c>
      <c r="CX128" s="166" t="str">
        <f t="shared" si="199"/>
        <v/>
      </c>
      <c r="CY128" s="168">
        <f t="shared" si="199"/>
        <v>3.8768880318012053</v>
      </c>
      <c r="DA128" s="107" t="s">
        <v>396</v>
      </c>
      <c r="DB128" s="315"/>
      <c r="DC128" s="315"/>
      <c r="DD128" s="315"/>
      <c r="DE128" s="315"/>
      <c r="DF128" s="315"/>
      <c r="DG128" s="315"/>
      <c r="DH128" s="315"/>
      <c r="DI128" s="315"/>
      <c r="DJ128" s="315"/>
      <c r="DK128" s="314">
        <f>IFERROR(IF(CE128&gt;0,LN(BO128/CE128),0),0)</f>
        <v>0</v>
      </c>
      <c r="DL128" s="315"/>
      <c r="DM128" s="315"/>
      <c r="DN128" s="315"/>
      <c r="DO128" s="168"/>
      <c r="DQ128" s="107" t="s">
        <v>396</v>
      </c>
      <c r="DR128" s="315"/>
      <c r="DS128" s="315"/>
      <c r="DT128" s="315"/>
      <c r="DU128" s="315"/>
      <c r="DV128" s="315"/>
      <c r="DW128" s="315"/>
      <c r="DX128" s="315"/>
      <c r="DY128" s="315"/>
      <c r="DZ128" s="315"/>
      <c r="EA128" s="314">
        <v>0</v>
      </c>
      <c r="EB128" s="315"/>
      <c r="EC128" s="315"/>
      <c r="ED128" s="315"/>
      <c r="EE128" s="168"/>
      <c r="EG128" s="107" t="s">
        <v>396</v>
      </c>
      <c r="EH128" s="315"/>
      <c r="EI128" s="315"/>
      <c r="EJ128" s="315"/>
      <c r="EK128" s="315"/>
      <c r="EL128" s="315"/>
      <c r="EM128" s="315"/>
      <c r="EN128" s="315"/>
      <c r="EO128" s="315"/>
      <c r="EP128" s="315"/>
      <c r="EQ128" s="314">
        <v>0</v>
      </c>
      <c r="ER128" s="315"/>
      <c r="ES128" s="315"/>
      <c r="ET128" s="315"/>
      <c r="EU128" s="168"/>
      <c r="EW128" s="164" t="s">
        <v>396</v>
      </c>
      <c r="EX128" s="316">
        <f t="shared" si="190"/>
        <v>0</v>
      </c>
      <c r="EY128" s="316">
        <f t="shared" si="186"/>
        <v>0</v>
      </c>
      <c r="EZ128" s="316">
        <f t="shared" si="186"/>
        <v>0</v>
      </c>
      <c r="FA128" s="316">
        <f t="shared" si="186"/>
        <v>0</v>
      </c>
      <c r="FB128" s="316">
        <f t="shared" si="186"/>
        <v>0</v>
      </c>
      <c r="FC128" s="316">
        <f t="shared" si="186"/>
        <v>0</v>
      </c>
      <c r="FD128" s="316">
        <f t="shared" si="186"/>
        <v>0</v>
      </c>
      <c r="FE128" s="316">
        <f t="shared" si="186"/>
        <v>0</v>
      </c>
      <c r="FF128" s="316"/>
      <c r="FG128" s="316">
        <f t="shared" si="186"/>
        <v>0</v>
      </c>
      <c r="FH128" s="316">
        <f t="shared" si="186"/>
        <v>0</v>
      </c>
      <c r="FI128" s="316">
        <f t="shared" si="186"/>
        <v>0</v>
      </c>
      <c r="FJ128" s="316">
        <f t="shared" si="186"/>
        <v>0</v>
      </c>
      <c r="FK128" s="316">
        <f t="shared" si="186"/>
        <v>0</v>
      </c>
      <c r="FL128" s="168"/>
    </row>
    <row r="129" spans="2:168" x14ac:dyDescent="0.25">
      <c r="B129" s="107" t="s">
        <v>397</v>
      </c>
      <c r="C129" s="294"/>
      <c r="D129" s="294"/>
      <c r="E129" s="294"/>
      <c r="F129" s="294"/>
      <c r="G129" s="294"/>
      <c r="H129" s="294"/>
      <c r="I129" s="294"/>
      <c r="J129" s="294"/>
      <c r="K129" s="294"/>
      <c r="L129" s="294"/>
      <c r="M129" s="160">
        <f>TripMode_inputCBD!M111</f>
        <v>390.57393999999999</v>
      </c>
      <c r="N129" s="294"/>
      <c r="O129" s="294"/>
      <c r="P129" s="162">
        <f t="shared" si="178"/>
        <v>390.57393999999999</v>
      </c>
      <c r="R129">
        <f t="shared" si="187"/>
        <v>0</v>
      </c>
      <c r="S129">
        <f t="shared" si="188"/>
        <v>0</v>
      </c>
      <c r="T129">
        <f t="shared" si="189"/>
        <v>1</v>
      </c>
      <c r="W129" s="127">
        <f>+M129/M$161</f>
        <v>1.6137709640042575E-3</v>
      </c>
      <c r="X129" s="127"/>
      <c r="Y129" s="107" t="s">
        <v>397</v>
      </c>
      <c r="Z129" s="294"/>
      <c r="AA129" s="294"/>
      <c r="AB129" s="294"/>
      <c r="AC129" s="294"/>
      <c r="AD129" s="294"/>
      <c r="AE129" s="294"/>
      <c r="AF129" s="294"/>
      <c r="AG129" s="294"/>
      <c r="AH129" s="294"/>
      <c r="AI129" s="294"/>
      <c r="AJ129" s="160">
        <f>W129*W$161</f>
        <v>148.77457494410592</v>
      </c>
      <c r="AK129" s="294"/>
      <c r="AL129" s="294"/>
      <c r="AM129" s="162">
        <f t="shared" si="180"/>
        <v>148.77457494410592</v>
      </c>
      <c r="AN129" s="127"/>
      <c r="AO129" s="107" t="s">
        <v>397</v>
      </c>
      <c r="AP129" s="294">
        <f>TripMode_inputCBD!R111*Index!$B$2</f>
        <v>0</v>
      </c>
      <c r="AQ129" s="294">
        <f>TripMode_inputCBD!S111*Index!$B$2</f>
        <v>0</v>
      </c>
      <c r="AR129" s="294">
        <f>TripMode_inputCBD!T111*Index!$B$2</f>
        <v>0</v>
      </c>
      <c r="AS129" s="294">
        <f>TripMode_inputCBD!U111*Index!$B$2</f>
        <v>0</v>
      </c>
      <c r="AT129" s="294">
        <f>TripMode_inputCBD!V111*Index!$B$2</f>
        <v>0</v>
      </c>
      <c r="AU129" s="294">
        <f>TripMode_inputCBD!W111*Index!$B$2</f>
        <v>0</v>
      </c>
      <c r="AV129" s="294">
        <f>TripMode_inputCBD!X111*Index!$B$2</f>
        <v>0</v>
      </c>
      <c r="AW129" s="294">
        <f>TripMode_inputCBD!Y111*Index!$B$2</f>
        <v>0</v>
      </c>
      <c r="AX129" s="294">
        <f>TripMode_inputCBD!AA111*Index!$B$2</f>
        <v>0</v>
      </c>
      <c r="AY129" s="294">
        <f>TripMode_inputCBD!AB111*Index!$B$2</f>
        <v>0</v>
      </c>
      <c r="AZ129" s="160">
        <f>TripMode_inputCBD!AC111*Index!$B$2</f>
        <v>0</v>
      </c>
      <c r="BA129" s="294">
        <f>TripMode_inputCBD!AD111*Index!$B$2</f>
        <v>0</v>
      </c>
      <c r="BB129" s="294">
        <f>TripMode_inputCBD!AE111*Index!$B$2</f>
        <v>0</v>
      </c>
      <c r="BC129" s="162">
        <f t="shared" si="181"/>
        <v>0</v>
      </c>
      <c r="BE129" s="107" t="s">
        <v>397</v>
      </c>
      <c r="BF129" s="166" t="str">
        <f t="shared" si="195"/>
        <v/>
      </c>
      <c r="BG129" s="166" t="str">
        <f t="shared" si="195"/>
        <v/>
      </c>
      <c r="BH129" s="166">
        <f t="shared" si="195"/>
        <v>0</v>
      </c>
      <c r="BI129" s="166">
        <f t="shared" si="195"/>
        <v>0</v>
      </c>
      <c r="BJ129" s="166">
        <f t="shared" si="195"/>
        <v>0</v>
      </c>
      <c r="BK129" s="166">
        <f t="shared" si="195"/>
        <v>0</v>
      </c>
      <c r="BL129" s="166">
        <f t="shared" si="195"/>
        <v>0</v>
      </c>
      <c r="BM129" s="166" t="str">
        <f t="shared" si="195"/>
        <v/>
      </c>
      <c r="BN129" s="166">
        <f t="shared" si="195"/>
        <v>0</v>
      </c>
      <c r="BO129" s="166">
        <f t="shared" si="195"/>
        <v>0</v>
      </c>
      <c r="BP129" s="166">
        <f t="shared" si="195"/>
        <v>1</v>
      </c>
      <c r="BQ129" s="166">
        <f t="shared" si="195"/>
        <v>0</v>
      </c>
      <c r="BR129" s="166" t="str">
        <f t="shared" si="195"/>
        <v/>
      </c>
      <c r="BS129" s="166">
        <f t="shared" si="195"/>
        <v>3.9857245923885368E-4</v>
      </c>
      <c r="BU129" s="107" t="s">
        <v>397</v>
      </c>
      <c r="BV129" s="166" t="str">
        <f t="shared" si="196"/>
        <v/>
      </c>
      <c r="BW129" s="166" t="str">
        <f t="shared" si="196"/>
        <v/>
      </c>
      <c r="BX129" s="166">
        <f t="shared" si="196"/>
        <v>0</v>
      </c>
      <c r="BY129" s="166">
        <f t="shared" si="196"/>
        <v>0</v>
      </c>
      <c r="BZ129" s="166">
        <f t="shared" si="196"/>
        <v>0</v>
      </c>
      <c r="CA129" s="166">
        <f t="shared" si="196"/>
        <v>0</v>
      </c>
      <c r="CB129" s="166">
        <f t="shared" si="196"/>
        <v>0</v>
      </c>
      <c r="CC129" s="166">
        <f t="shared" si="196"/>
        <v>0</v>
      </c>
      <c r="CD129" s="166">
        <f t="shared" si="196"/>
        <v>0</v>
      </c>
      <c r="CE129" s="166">
        <f t="shared" si="196"/>
        <v>0</v>
      </c>
      <c r="CF129" s="166" t="str">
        <f t="shared" si="196"/>
        <v/>
      </c>
      <c r="CG129" s="166">
        <f t="shared" si="196"/>
        <v>0</v>
      </c>
      <c r="CH129" s="166" t="str">
        <f t="shared" si="196"/>
        <v/>
      </c>
      <c r="CI129" s="168">
        <f t="shared" si="196"/>
        <v>0</v>
      </c>
      <c r="CK129" s="107" t="s">
        <v>397</v>
      </c>
      <c r="CL129" s="166" t="str">
        <f t="shared" si="198"/>
        <v/>
      </c>
      <c r="CM129" s="166" t="str">
        <f t="shared" si="198"/>
        <v/>
      </c>
      <c r="CN129" s="166" t="str">
        <f t="shared" si="198"/>
        <v/>
      </c>
      <c r="CO129" s="166" t="str">
        <f t="shared" si="198"/>
        <v/>
      </c>
      <c r="CP129" s="166"/>
      <c r="CQ129" s="166"/>
      <c r="CR129" s="166"/>
      <c r="CS129" s="166"/>
      <c r="CT129" s="166" t="str">
        <f t="shared" si="199"/>
        <v/>
      </c>
      <c r="CU129" s="166" t="str">
        <f t="shared" si="199"/>
        <v/>
      </c>
      <c r="CV129" s="166" t="e">
        <f t="shared" si="199"/>
        <v>#VALUE!</v>
      </c>
      <c r="CW129" s="166" t="str">
        <f t="shared" si="199"/>
        <v/>
      </c>
      <c r="CX129" s="166" t="str">
        <f t="shared" si="199"/>
        <v/>
      </c>
      <c r="CY129" s="168">
        <f t="shared" si="199"/>
        <v>-1</v>
      </c>
      <c r="DA129" s="107" t="s">
        <v>397</v>
      </c>
      <c r="DB129" s="315"/>
      <c r="DC129" s="315"/>
      <c r="DD129" s="315"/>
      <c r="DE129" s="315"/>
      <c r="DF129" s="315"/>
      <c r="DG129" s="315"/>
      <c r="DH129" s="315"/>
      <c r="DI129" s="315"/>
      <c r="DJ129" s="315"/>
      <c r="DK129" s="315"/>
      <c r="DL129" s="314">
        <f>IFERROR(IF(CF129&gt;0,LN(BP129/CF129),0),0)</f>
        <v>0</v>
      </c>
      <c r="DM129" s="315"/>
      <c r="DN129" s="315"/>
      <c r="DO129" s="168"/>
      <c r="DQ129" s="107" t="s">
        <v>397</v>
      </c>
      <c r="DR129" s="315"/>
      <c r="DS129" s="315"/>
      <c r="DT129" s="315"/>
      <c r="DU129" s="315"/>
      <c r="DV129" s="315"/>
      <c r="DW129" s="315"/>
      <c r="DX129" s="315"/>
      <c r="DY129" s="315"/>
      <c r="DZ129" s="315"/>
      <c r="EA129" s="315"/>
      <c r="EB129" s="314">
        <v>0</v>
      </c>
      <c r="EC129" s="315"/>
      <c r="ED129" s="315"/>
      <c r="EE129" s="168"/>
      <c r="EG129" s="107" t="s">
        <v>397</v>
      </c>
      <c r="EH129" s="315"/>
      <c r="EI129" s="315"/>
      <c r="EJ129" s="315"/>
      <c r="EK129" s="315"/>
      <c r="EL129" s="315"/>
      <c r="EM129" s="315"/>
      <c r="EN129" s="315"/>
      <c r="EO129" s="315"/>
      <c r="EP129" s="315"/>
      <c r="EQ129" s="315"/>
      <c r="ER129" s="314">
        <v>0</v>
      </c>
      <c r="ES129" s="315"/>
      <c r="ET129" s="315"/>
      <c r="EU129" s="168"/>
      <c r="EW129" s="164" t="s">
        <v>397</v>
      </c>
      <c r="EX129" s="316">
        <f t="shared" si="190"/>
        <v>0</v>
      </c>
      <c r="EY129" s="316">
        <f t="shared" si="186"/>
        <v>0</v>
      </c>
      <c r="EZ129" s="316">
        <f t="shared" si="186"/>
        <v>0</v>
      </c>
      <c r="FA129" s="316">
        <f t="shared" si="186"/>
        <v>0</v>
      </c>
      <c r="FB129" s="316">
        <f t="shared" si="186"/>
        <v>0</v>
      </c>
      <c r="FC129" s="316">
        <f t="shared" si="186"/>
        <v>0</v>
      </c>
      <c r="FD129" s="316">
        <f t="shared" si="186"/>
        <v>0</v>
      </c>
      <c r="FE129" s="316">
        <f t="shared" si="186"/>
        <v>0</v>
      </c>
      <c r="FF129" s="316"/>
      <c r="FG129" s="316">
        <f t="shared" si="186"/>
        <v>0</v>
      </c>
      <c r="FH129" s="316">
        <f t="shared" si="186"/>
        <v>0</v>
      </c>
      <c r="FI129" s="316">
        <f t="shared" si="186"/>
        <v>0</v>
      </c>
      <c r="FJ129" s="316">
        <f t="shared" si="186"/>
        <v>0</v>
      </c>
      <c r="FK129" s="316">
        <f t="shared" si="186"/>
        <v>0</v>
      </c>
      <c r="FL129" s="168"/>
    </row>
    <row r="130" spans="2:168" x14ac:dyDescent="0.25">
      <c r="B130" s="107" t="s">
        <v>398</v>
      </c>
      <c r="C130" s="294"/>
      <c r="D130" s="294"/>
      <c r="E130" s="294"/>
      <c r="F130" s="294"/>
      <c r="G130" s="294"/>
      <c r="H130" s="294"/>
      <c r="I130" s="294"/>
      <c r="J130" s="294"/>
      <c r="K130" s="160">
        <f>TripMode_inputCBD!J112+TripMode_inputCBD!K112</f>
        <v>0</v>
      </c>
      <c r="L130" s="294"/>
      <c r="M130" s="294"/>
      <c r="N130" s="160">
        <f>TripMode_inputCBD!N112</f>
        <v>211.89824999999999</v>
      </c>
      <c r="O130" s="294"/>
      <c r="P130" s="162">
        <f t="shared" si="178"/>
        <v>211.89824999999999</v>
      </c>
      <c r="R130">
        <f t="shared" si="187"/>
        <v>0</v>
      </c>
      <c r="S130">
        <f t="shared" si="188"/>
        <v>0</v>
      </c>
      <c r="T130">
        <f t="shared" si="189"/>
        <v>0</v>
      </c>
      <c r="Y130" s="107" t="s">
        <v>398</v>
      </c>
      <c r="Z130" s="294"/>
      <c r="AA130" s="294"/>
      <c r="AB130" s="294"/>
      <c r="AC130" s="294"/>
      <c r="AD130" s="294"/>
      <c r="AE130" s="294"/>
      <c r="AF130" s="294"/>
      <c r="AG130" s="294"/>
      <c r="AH130" s="160">
        <f>AH127*R130</f>
        <v>0</v>
      </c>
      <c r="AI130" s="160">
        <f>AI128*S130</f>
        <v>0</v>
      </c>
      <c r="AJ130" s="160">
        <f>AJ129*T130</f>
        <v>0</v>
      </c>
      <c r="AK130" s="160">
        <f>N130</f>
        <v>211.89824999999999</v>
      </c>
      <c r="AL130" s="294"/>
      <c r="AM130" s="162">
        <f t="shared" si="180"/>
        <v>211.89824999999999</v>
      </c>
      <c r="AO130" s="107" t="s">
        <v>398</v>
      </c>
      <c r="AP130" s="294">
        <f>TripMode_inputCBD!R112*Index!$B$2</f>
        <v>0</v>
      </c>
      <c r="AQ130" s="294">
        <f>TripMode_inputCBD!S112*Index!$B$2</f>
        <v>0</v>
      </c>
      <c r="AR130" s="294">
        <f>TripMode_inputCBD!T112*Index!$B$2</f>
        <v>0</v>
      </c>
      <c r="AS130" s="294">
        <f>TripMode_inputCBD!U112*Index!$B$2</f>
        <v>0</v>
      </c>
      <c r="AT130" s="294">
        <f>TripMode_inputCBD!V112*Index!$B$2</f>
        <v>0</v>
      </c>
      <c r="AU130" s="294">
        <f>TripMode_inputCBD!W112*Index!$B$2</f>
        <v>0</v>
      </c>
      <c r="AV130" s="294">
        <f>TripMode_inputCBD!X112*Index!$B$2</f>
        <v>0</v>
      </c>
      <c r="AW130" s="294">
        <f>TripMode_inputCBD!Y112*Index!$B$2</f>
        <v>0</v>
      </c>
      <c r="AX130" s="160">
        <f>TripMode_inputCBD!AA112*Index!$B$2</f>
        <v>135</v>
      </c>
      <c r="AY130" s="160">
        <f>TripMode_inputCBD!AB112*Index!$B$2</f>
        <v>0</v>
      </c>
      <c r="AZ130" s="160">
        <f>TripMode_inputCBD!AC112*Index!$B$2</f>
        <v>0</v>
      </c>
      <c r="BA130" s="160">
        <f>TripMode_inputCBD!AD112*Index!$B$2</f>
        <v>285</v>
      </c>
      <c r="BB130" s="294">
        <f>TripMode_inputCBD!AE112*Index!$B$2</f>
        <v>0</v>
      </c>
      <c r="BC130" s="162">
        <f t="shared" si="181"/>
        <v>420</v>
      </c>
      <c r="BE130" s="107" t="s">
        <v>398</v>
      </c>
      <c r="BF130" s="166" t="str">
        <f t="shared" si="195"/>
        <v/>
      </c>
      <c r="BG130" s="166" t="str">
        <f t="shared" si="195"/>
        <v/>
      </c>
      <c r="BH130" s="166">
        <f t="shared" si="195"/>
        <v>0</v>
      </c>
      <c r="BI130" s="166">
        <f t="shared" si="195"/>
        <v>0</v>
      </c>
      <c r="BJ130" s="166">
        <f t="shared" si="195"/>
        <v>0</v>
      </c>
      <c r="BK130" s="166">
        <f t="shared" si="195"/>
        <v>0</v>
      </c>
      <c r="BL130" s="166">
        <f t="shared" si="195"/>
        <v>0</v>
      </c>
      <c r="BM130" s="166" t="str">
        <f t="shared" si="195"/>
        <v/>
      </c>
      <c r="BN130" s="166">
        <f t="shared" si="195"/>
        <v>0</v>
      </c>
      <c r="BO130" s="166">
        <f t="shared" si="195"/>
        <v>0</v>
      </c>
      <c r="BP130" s="166">
        <f t="shared" si="195"/>
        <v>0</v>
      </c>
      <c r="BQ130" s="166">
        <f t="shared" si="195"/>
        <v>1</v>
      </c>
      <c r="BR130" s="166" t="str">
        <f t="shared" si="195"/>
        <v/>
      </c>
      <c r="BS130" s="166">
        <f t="shared" si="195"/>
        <v>5.676830644123133E-4</v>
      </c>
      <c r="BU130" s="107" t="s">
        <v>398</v>
      </c>
      <c r="BV130" s="166" t="str">
        <f t="shared" si="196"/>
        <v/>
      </c>
      <c r="BW130" s="166" t="str">
        <f t="shared" si="196"/>
        <v/>
      </c>
      <c r="BX130" s="166">
        <f t="shared" si="196"/>
        <v>0</v>
      </c>
      <c r="BY130" s="166">
        <f t="shared" si="196"/>
        <v>0</v>
      </c>
      <c r="BZ130" s="166">
        <f t="shared" si="196"/>
        <v>0</v>
      </c>
      <c r="CA130" s="166">
        <f t="shared" si="196"/>
        <v>0</v>
      </c>
      <c r="CB130" s="166">
        <f t="shared" si="196"/>
        <v>0</v>
      </c>
      <c r="CC130" s="166">
        <f t="shared" si="196"/>
        <v>0</v>
      </c>
      <c r="CD130" s="166">
        <f t="shared" si="196"/>
        <v>1.801200800533689E-2</v>
      </c>
      <c r="CE130" s="166">
        <f t="shared" si="196"/>
        <v>0</v>
      </c>
      <c r="CF130" s="166" t="str">
        <f t="shared" si="196"/>
        <v/>
      </c>
      <c r="CG130" s="166">
        <f t="shared" si="196"/>
        <v>0.95</v>
      </c>
      <c r="CH130" s="166" t="str">
        <f t="shared" si="196"/>
        <v/>
      </c>
      <c r="CI130" s="168">
        <f t="shared" si="196"/>
        <v>1.2096774193548387E-2</v>
      </c>
      <c r="CK130" s="107" t="s">
        <v>398</v>
      </c>
      <c r="CL130" s="166" t="str">
        <f t="shared" si="198"/>
        <v/>
      </c>
      <c r="CM130" s="166" t="str">
        <f t="shared" si="198"/>
        <v/>
      </c>
      <c r="CN130" s="166" t="str">
        <f t="shared" si="198"/>
        <v/>
      </c>
      <c r="CO130" s="166" t="str">
        <f t="shared" si="198"/>
        <v/>
      </c>
      <c r="CP130" s="166"/>
      <c r="CQ130" s="166"/>
      <c r="CR130" s="166"/>
      <c r="CS130" s="166"/>
      <c r="CT130" s="166" t="str">
        <f t="shared" si="199"/>
        <v/>
      </c>
      <c r="CU130" s="166" t="str">
        <f t="shared" si="199"/>
        <v/>
      </c>
      <c r="CV130" s="166" t="str">
        <f t="shared" si="199"/>
        <v/>
      </c>
      <c r="CW130" s="166">
        <f t="shared" si="199"/>
        <v>-5.0000000000000044E-2</v>
      </c>
      <c r="CX130" s="166" t="str">
        <f t="shared" si="199"/>
        <v/>
      </c>
      <c r="CY130" s="168">
        <f t="shared" si="199"/>
        <v>20.309027786607338</v>
      </c>
      <c r="DA130" s="107" t="s">
        <v>398</v>
      </c>
      <c r="DB130" s="315"/>
      <c r="DC130" s="315"/>
      <c r="DD130" s="315"/>
      <c r="DE130" s="315"/>
      <c r="DF130" s="315"/>
      <c r="DG130" s="315"/>
      <c r="DH130" s="315"/>
      <c r="DI130" s="315"/>
      <c r="DJ130" s="314">
        <f t="shared" si="197"/>
        <v>0</v>
      </c>
      <c r="DK130" s="314">
        <f>IFERROR(IF(CE130&gt;0,LN(BO130/CE130),0),0)</f>
        <v>0</v>
      </c>
      <c r="DL130" s="314">
        <f>IFERROR(IF(CF130&gt;0,LN(BP130/CF130),0),0)</f>
        <v>0</v>
      </c>
      <c r="DM130" s="314">
        <f>IFERROR(IF(CG130&gt;0,LN(BQ130/CG130),0),0)</f>
        <v>5.1293294387550481E-2</v>
      </c>
      <c r="DN130" s="315"/>
      <c r="DO130" s="168"/>
      <c r="DQ130" s="107" t="s">
        <v>398</v>
      </c>
      <c r="DR130" s="315"/>
      <c r="DS130" s="315"/>
      <c r="DT130" s="315"/>
      <c r="DU130" s="315"/>
      <c r="DV130" s="315"/>
      <c r="DW130" s="315"/>
      <c r="DX130" s="315"/>
      <c r="DY130" s="315"/>
      <c r="DZ130" s="314">
        <v>0</v>
      </c>
      <c r="EA130" s="314">
        <v>0</v>
      </c>
      <c r="EB130" s="314">
        <v>0</v>
      </c>
      <c r="EC130" s="314">
        <v>0</v>
      </c>
      <c r="ED130" s="315"/>
      <c r="EE130" s="168"/>
      <c r="EG130" s="107" t="s">
        <v>398</v>
      </c>
      <c r="EH130" s="315"/>
      <c r="EI130" s="315"/>
      <c r="EJ130" s="315"/>
      <c r="EK130" s="315"/>
      <c r="EL130" s="315"/>
      <c r="EM130" s="315"/>
      <c r="EN130" s="315"/>
      <c r="EO130" s="315"/>
      <c r="EP130" s="314">
        <f>EC130+(DM130-DM$130)*$EI$1</f>
        <v>0</v>
      </c>
      <c r="EQ130" s="314">
        <f>EA130+(DK130-DK$128)*$EI$1</f>
        <v>0</v>
      </c>
      <c r="ER130" s="314">
        <f>EB130+(DL130-DL$129)*$EI$1</f>
        <v>0</v>
      </c>
      <c r="ES130" s="314">
        <v>0</v>
      </c>
      <c r="ET130" s="315"/>
      <c r="EU130" s="168"/>
      <c r="EW130" s="164" t="s">
        <v>398</v>
      </c>
      <c r="EX130" s="316">
        <f t="shared" si="190"/>
        <v>0</v>
      </c>
      <c r="EY130" s="316">
        <f t="shared" si="186"/>
        <v>0</v>
      </c>
      <c r="EZ130" s="316">
        <f t="shared" si="186"/>
        <v>-1.1963444035534043</v>
      </c>
      <c r="FA130" s="316">
        <f t="shared" si="186"/>
        <v>-1.1963444035534043</v>
      </c>
      <c r="FB130" s="316">
        <f t="shared" si="186"/>
        <v>-1.1963444035534043</v>
      </c>
      <c r="FC130" s="316">
        <f t="shared" si="186"/>
        <v>-1.1963444035534043</v>
      </c>
      <c r="FD130" s="316">
        <f t="shared" si="186"/>
        <v>5.4735611981326509</v>
      </c>
      <c r="FE130" s="316">
        <f t="shared" si="186"/>
        <v>0</v>
      </c>
      <c r="FF130" s="316"/>
      <c r="FG130" s="316">
        <f t="shared" si="186"/>
        <v>0</v>
      </c>
      <c r="FH130" s="316">
        <f t="shared" si="186"/>
        <v>0</v>
      </c>
      <c r="FI130" s="316">
        <f t="shared" si="186"/>
        <v>0</v>
      </c>
      <c r="FJ130" s="316">
        <f t="shared" si="186"/>
        <v>0</v>
      </c>
      <c r="FK130" s="316">
        <f t="shared" si="186"/>
        <v>0</v>
      </c>
      <c r="FL130" s="168"/>
    </row>
    <row r="131" spans="2:168" x14ac:dyDescent="0.25">
      <c r="B131" s="107" t="s">
        <v>399</v>
      </c>
      <c r="C131" s="294"/>
      <c r="D131" s="294"/>
      <c r="E131" s="294"/>
      <c r="F131" s="294"/>
      <c r="G131" s="294"/>
      <c r="H131" s="294"/>
      <c r="I131" s="294"/>
      <c r="J131" s="294"/>
      <c r="K131" s="294"/>
      <c r="L131" s="294"/>
      <c r="M131" s="294"/>
      <c r="N131" s="294"/>
      <c r="O131" s="160">
        <f>TripMode_inputCBD!O113</f>
        <v>0</v>
      </c>
      <c r="P131" s="162">
        <f t="shared" si="178"/>
        <v>0</v>
      </c>
      <c r="R131">
        <f t="shared" si="187"/>
        <v>0</v>
      </c>
      <c r="S131">
        <f t="shared" si="188"/>
        <v>0</v>
      </c>
      <c r="T131">
        <f t="shared" si="189"/>
        <v>0</v>
      </c>
      <c r="Y131" s="107" t="s">
        <v>399</v>
      </c>
      <c r="Z131" s="294"/>
      <c r="AA131" s="294"/>
      <c r="AB131" s="294"/>
      <c r="AC131" s="294"/>
      <c r="AD131" s="294"/>
      <c r="AE131" s="294"/>
      <c r="AF131" s="294"/>
      <c r="AG131" s="294"/>
      <c r="AH131" s="294"/>
      <c r="AI131" s="294"/>
      <c r="AJ131" s="294"/>
      <c r="AK131" s="294"/>
      <c r="AL131" s="160">
        <f>+O131</f>
        <v>0</v>
      </c>
      <c r="AM131" s="162">
        <f t="shared" si="180"/>
        <v>0</v>
      </c>
      <c r="AO131" s="107" t="s">
        <v>399</v>
      </c>
      <c r="AP131" s="294">
        <f>TripMode_inputCBD!R113*Index!$B$2</f>
        <v>0</v>
      </c>
      <c r="AQ131" s="294">
        <f>TripMode_inputCBD!S113*Index!$B$2</f>
        <v>0</v>
      </c>
      <c r="AR131" s="294">
        <f>TripMode_inputCBD!T113*Index!$B$2</f>
        <v>0</v>
      </c>
      <c r="AS131" s="294">
        <f>TripMode_inputCBD!U113*Index!$B$2</f>
        <v>0</v>
      </c>
      <c r="AT131" s="294">
        <f>TripMode_inputCBD!V113*Index!$B$2</f>
        <v>0</v>
      </c>
      <c r="AU131" s="294">
        <f>TripMode_inputCBD!W113*Index!$B$2</f>
        <v>0</v>
      </c>
      <c r="AV131" s="294">
        <f>TripMode_inputCBD!X113*Index!$B$2</f>
        <v>0</v>
      </c>
      <c r="AW131" s="294">
        <f>TripMode_inputCBD!Y113*Index!$B$2</f>
        <v>0</v>
      </c>
      <c r="AX131" s="294">
        <f>TripMode_inputCBD!AA113*Index!$B$2</f>
        <v>0</v>
      </c>
      <c r="AY131" s="294">
        <f>TripMode_inputCBD!AB113*Index!$B$2</f>
        <v>0</v>
      </c>
      <c r="AZ131" s="294">
        <f>TripMode_inputCBD!AC113*Index!$B$2</f>
        <v>0</v>
      </c>
      <c r="BA131" s="294">
        <f>TripMode_inputCBD!AD113*Index!$B$2</f>
        <v>0</v>
      </c>
      <c r="BB131" s="160">
        <f>TripMode_inputCBD!AE113*Index!$B$2</f>
        <v>0</v>
      </c>
      <c r="BC131" s="162">
        <f t="shared" si="181"/>
        <v>0</v>
      </c>
      <c r="BE131" s="107" t="s">
        <v>399</v>
      </c>
      <c r="BF131" s="166" t="str">
        <f t="shared" si="195"/>
        <v/>
      </c>
      <c r="BG131" s="166" t="str">
        <f t="shared" si="195"/>
        <v/>
      </c>
      <c r="BH131" s="166">
        <f t="shared" si="195"/>
        <v>0</v>
      </c>
      <c r="BI131" s="166">
        <f t="shared" si="195"/>
        <v>0</v>
      </c>
      <c r="BJ131" s="166">
        <f t="shared" si="195"/>
        <v>0</v>
      </c>
      <c r="BK131" s="166">
        <f t="shared" si="195"/>
        <v>0</v>
      </c>
      <c r="BL131" s="166">
        <f t="shared" si="195"/>
        <v>0</v>
      </c>
      <c r="BM131" s="166" t="str">
        <f t="shared" si="195"/>
        <v/>
      </c>
      <c r="BN131" s="166">
        <f t="shared" si="195"/>
        <v>0</v>
      </c>
      <c r="BO131" s="166">
        <f t="shared" si="195"/>
        <v>0</v>
      </c>
      <c r="BP131" s="166">
        <f t="shared" si="195"/>
        <v>0</v>
      </c>
      <c r="BQ131" s="166">
        <f t="shared" si="195"/>
        <v>0</v>
      </c>
      <c r="BR131" s="166" t="str">
        <f t="shared" si="195"/>
        <v/>
      </c>
      <c r="BS131" s="166">
        <f t="shared" si="195"/>
        <v>0</v>
      </c>
      <c r="BU131" s="107" t="s">
        <v>399</v>
      </c>
      <c r="BV131" s="166" t="str">
        <f t="shared" si="196"/>
        <v/>
      </c>
      <c r="BW131" s="166" t="str">
        <f t="shared" si="196"/>
        <v/>
      </c>
      <c r="BX131" s="166">
        <f t="shared" si="196"/>
        <v>0</v>
      </c>
      <c r="BY131" s="166">
        <f t="shared" si="196"/>
        <v>0</v>
      </c>
      <c r="BZ131" s="166">
        <f t="shared" si="196"/>
        <v>0</v>
      </c>
      <c r="CA131" s="166">
        <f t="shared" si="196"/>
        <v>0</v>
      </c>
      <c r="CB131" s="166">
        <f t="shared" si="196"/>
        <v>0</v>
      </c>
      <c r="CC131" s="166">
        <f t="shared" si="196"/>
        <v>0</v>
      </c>
      <c r="CD131" s="166">
        <f t="shared" si="196"/>
        <v>0</v>
      </c>
      <c r="CE131" s="166">
        <f t="shared" si="196"/>
        <v>0</v>
      </c>
      <c r="CF131" s="166" t="str">
        <f t="shared" si="196"/>
        <v/>
      </c>
      <c r="CG131" s="166">
        <f t="shared" si="196"/>
        <v>0</v>
      </c>
      <c r="CH131" s="166" t="str">
        <f t="shared" si="196"/>
        <v/>
      </c>
      <c r="CI131" s="168">
        <f t="shared" si="196"/>
        <v>0</v>
      </c>
      <c r="CK131" s="107" t="s">
        <v>399</v>
      </c>
      <c r="CL131" s="166" t="str">
        <f t="shared" si="198"/>
        <v/>
      </c>
      <c r="CM131" s="166" t="str">
        <f t="shared" si="198"/>
        <v/>
      </c>
      <c r="CN131" s="166" t="str">
        <f t="shared" si="198"/>
        <v/>
      </c>
      <c r="CO131" s="166" t="str">
        <f t="shared" si="198"/>
        <v/>
      </c>
      <c r="CP131" s="166"/>
      <c r="CQ131" s="166"/>
      <c r="CR131" s="166"/>
      <c r="CS131" s="166"/>
      <c r="CT131" s="166" t="str">
        <f t="shared" si="199"/>
        <v/>
      </c>
      <c r="CU131" s="166" t="str">
        <f t="shared" si="199"/>
        <v/>
      </c>
      <c r="CV131" s="166" t="str">
        <f t="shared" si="199"/>
        <v/>
      </c>
      <c r="CW131" s="166" t="str">
        <f t="shared" si="199"/>
        <v/>
      </c>
      <c r="CX131" s="166" t="str">
        <f t="shared" si="199"/>
        <v/>
      </c>
      <c r="CY131" s="168" t="str">
        <f t="shared" si="199"/>
        <v/>
      </c>
      <c r="DA131" s="107" t="s">
        <v>399</v>
      </c>
      <c r="DB131" s="315"/>
      <c r="DC131" s="315"/>
      <c r="DD131" s="315"/>
      <c r="DE131" s="315"/>
      <c r="DF131" s="315"/>
      <c r="DG131" s="315"/>
      <c r="DH131" s="315"/>
      <c r="DI131" s="315"/>
      <c r="DJ131" s="315"/>
      <c r="DK131" s="315"/>
      <c r="DL131" s="315"/>
      <c r="DM131" s="315"/>
      <c r="DN131" s="314">
        <f>IFERROR(IF(CH131&gt;0,LN(BR131/CH131),0),0)</f>
        <v>0</v>
      </c>
      <c r="DO131" s="168"/>
      <c r="DQ131" s="107" t="s">
        <v>399</v>
      </c>
      <c r="DR131" s="315"/>
      <c r="DS131" s="315"/>
      <c r="DT131" s="315"/>
      <c r="DU131" s="315"/>
      <c r="DV131" s="315"/>
      <c r="DW131" s="315"/>
      <c r="DX131" s="315"/>
      <c r="DY131" s="315"/>
      <c r="DZ131" s="315"/>
      <c r="EA131" s="315"/>
      <c r="EB131" s="315"/>
      <c r="EC131" s="315"/>
      <c r="ED131" s="314">
        <v>0</v>
      </c>
      <c r="EE131" s="168"/>
      <c r="EG131" s="107" t="s">
        <v>399</v>
      </c>
      <c r="EH131" s="315"/>
      <c r="EI131" s="315"/>
      <c r="EJ131" s="315"/>
      <c r="EK131" s="315"/>
      <c r="EL131" s="315"/>
      <c r="EM131" s="315"/>
      <c r="EN131" s="315"/>
      <c r="EO131" s="315"/>
      <c r="EP131" s="315"/>
      <c r="EQ131" s="315"/>
      <c r="ER131" s="315"/>
      <c r="ES131" s="315"/>
      <c r="ET131" s="314">
        <v>0</v>
      </c>
      <c r="EU131" s="168"/>
      <c r="EW131" s="164" t="s">
        <v>399</v>
      </c>
      <c r="EX131" s="316">
        <f t="shared" si="190"/>
        <v>0</v>
      </c>
      <c r="EY131" s="316">
        <f t="shared" si="186"/>
        <v>0</v>
      </c>
      <c r="EZ131" s="316">
        <f t="shared" si="186"/>
        <v>0</v>
      </c>
      <c r="FA131" s="316">
        <f t="shared" si="186"/>
        <v>0</v>
      </c>
      <c r="FB131" s="316">
        <f t="shared" si="186"/>
        <v>0</v>
      </c>
      <c r="FC131" s="316">
        <f t="shared" si="186"/>
        <v>0</v>
      </c>
      <c r="FD131" s="316">
        <f t="shared" si="186"/>
        <v>0</v>
      </c>
      <c r="FE131" s="316">
        <f t="shared" si="186"/>
        <v>0</v>
      </c>
      <c r="FF131" s="316"/>
      <c r="FG131" s="316">
        <f t="shared" si="186"/>
        <v>0</v>
      </c>
      <c r="FH131" s="316">
        <f t="shared" si="186"/>
        <v>0</v>
      </c>
      <c r="FI131" s="316">
        <f t="shared" si="186"/>
        <v>0</v>
      </c>
      <c r="FJ131" s="316">
        <f t="shared" si="186"/>
        <v>0</v>
      </c>
      <c r="FK131" s="316">
        <f t="shared" si="186"/>
        <v>0</v>
      </c>
      <c r="FL131" s="168"/>
    </row>
    <row r="132" spans="2:168" ht="15.75" thickBot="1" x14ac:dyDescent="0.3">
      <c r="B132" s="108" t="s">
        <v>29</v>
      </c>
      <c r="C132" s="109">
        <f t="shared" ref="C132:P132" si="200">SUM(C119:C131)</f>
        <v>0</v>
      </c>
      <c r="D132" s="110">
        <f t="shared" si="200"/>
        <v>0</v>
      </c>
      <c r="E132" s="110">
        <f t="shared" si="200"/>
        <v>174692.16362000001</v>
      </c>
      <c r="F132" s="110">
        <f t="shared" si="200"/>
        <v>307.37915999999996</v>
      </c>
      <c r="G132" s="110">
        <f t="shared" si="200"/>
        <v>174848.65593000001</v>
      </c>
      <c r="H132" s="110">
        <f t="shared" si="200"/>
        <v>1728.98975</v>
      </c>
      <c r="I132" s="110">
        <f t="shared" si="200"/>
        <v>10754.081550000001</v>
      </c>
      <c r="J132" s="110">
        <f t="shared" si="200"/>
        <v>0</v>
      </c>
      <c r="K132" s="110">
        <f t="shared" si="200"/>
        <v>10469.018889999999</v>
      </c>
      <c r="L132" s="110">
        <f t="shared" si="200"/>
        <v>1021.57188</v>
      </c>
      <c r="M132" s="110">
        <f t="shared" si="200"/>
        <v>390.57393999999999</v>
      </c>
      <c r="N132" s="110">
        <f t="shared" si="200"/>
        <v>211.89824999999999</v>
      </c>
      <c r="O132" s="110">
        <f t="shared" si="200"/>
        <v>0</v>
      </c>
      <c r="P132" s="112">
        <f t="shared" si="200"/>
        <v>374424.33296999999</v>
      </c>
      <c r="Y132" s="108" t="s">
        <v>29</v>
      </c>
      <c r="Z132" s="109">
        <f t="shared" ref="Z132:AM132" si="201">SUM(Z119:Z131)</f>
        <v>0</v>
      </c>
      <c r="AA132" s="110">
        <f t="shared" si="201"/>
        <v>0</v>
      </c>
      <c r="AB132" s="110">
        <f t="shared" si="201"/>
        <v>174692.16362000001</v>
      </c>
      <c r="AC132" s="110">
        <f t="shared" si="201"/>
        <v>307.37915999999996</v>
      </c>
      <c r="AD132" s="110">
        <f t="shared" si="201"/>
        <v>174848.65593000001</v>
      </c>
      <c r="AE132" s="110">
        <f t="shared" si="201"/>
        <v>1728.98975</v>
      </c>
      <c r="AF132" s="110">
        <f t="shared" si="201"/>
        <v>10754.081550000001</v>
      </c>
      <c r="AG132" s="110">
        <f t="shared" si="201"/>
        <v>0</v>
      </c>
      <c r="AH132" s="110">
        <f t="shared" si="201"/>
        <v>10036.546193304061</v>
      </c>
      <c r="AI132" s="110">
        <f t="shared" si="201"/>
        <v>540.08860558513697</v>
      </c>
      <c r="AJ132" s="110">
        <f t="shared" si="201"/>
        <v>148.77457494410592</v>
      </c>
      <c r="AK132" s="110">
        <f t="shared" si="201"/>
        <v>211.89824999999999</v>
      </c>
      <c r="AL132" s="110">
        <f t="shared" si="201"/>
        <v>0</v>
      </c>
      <c r="AM132" s="112">
        <f t="shared" si="201"/>
        <v>373268.57763383334</v>
      </c>
      <c r="AO132" s="108" t="s">
        <v>29</v>
      </c>
      <c r="AP132" s="109">
        <f t="shared" ref="AP132:BC132" si="202">SUM(AP119:AP131)</f>
        <v>0</v>
      </c>
      <c r="AQ132" s="110">
        <f t="shared" si="202"/>
        <v>0</v>
      </c>
      <c r="AR132" s="110">
        <f t="shared" si="202"/>
        <v>13370</v>
      </c>
      <c r="AS132" s="110">
        <f t="shared" si="202"/>
        <v>220</v>
      </c>
      <c r="AT132" s="110">
        <f t="shared" si="202"/>
        <v>7405</v>
      </c>
      <c r="AU132" s="110">
        <f t="shared" si="202"/>
        <v>235</v>
      </c>
      <c r="AV132" s="110">
        <f t="shared" si="202"/>
        <v>5425</v>
      </c>
      <c r="AW132" s="110">
        <f t="shared" si="202"/>
        <v>25</v>
      </c>
      <c r="AX132" s="110">
        <f t="shared" si="202"/>
        <v>7495</v>
      </c>
      <c r="AY132" s="110">
        <f t="shared" si="202"/>
        <v>245</v>
      </c>
      <c r="AZ132" s="110">
        <f t="shared" si="202"/>
        <v>0</v>
      </c>
      <c r="BA132" s="110">
        <f t="shared" si="202"/>
        <v>300</v>
      </c>
      <c r="BB132" s="110">
        <f t="shared" si="202"/>
        <v>0</v>
      </c>
      <c r="BC132" s="112">
        <f t="shared" si="202"/>
        <v>34720</v>
      </c>
      <c r="BE132" s="108" t="s">
        <v>29</v>
      </c>
      <c r="BF132" s="120" t="str">
        <f t="shared" si="195"/>
        <v/>
      </c>
      <c r="BG132" s="120" t="str">
        <f t="shared" si="195"/>
        <v/>
      </c>
      <c r="BH132" s="120">
        <f t="shared" si="195"/>
        <v>1</v>
      </c>
      <c r="BI132" s="120">
        <f t="shared" si="195"/>
        <v>1</v>
      </c>
      <c r="BJ132" s="120">
        <f t="shared" si="195"/>
        <v>1</v>
      </c>
      <c r="BK132" s="120">
        <f t="shared" si="195"/>
        <v>1</v>
      </c>
      <c r="BL132" s="120">
        <f t="shared" si="195"/>
        <v>1</v>
      </c>
      <c r="BM132" s="120" t="str">
        <f t="shared" si="195"/>
        <v/>
      </c>
      <c r="BN132" s="120">
        <f t="shared" si="195"/>
        <v>1</v>
      </c>
      <c r="BO132" s="120">
        <f t="shared" si="195"/>
        <v>1</v>
      </c>
      <c r="BP132" s="120">
        <f t="shared" si="195"/>
        <v>1</v>
      </c>
      <c r="BQ132" s="120">
        <f t="shared" si="195"/>
        <v>1</v>
      </c>
      <c r="BR132" s="120" t="str">
        <f t="shared" si="195"/>
        <v/>
      </c>
      <c r="BS132" s="120">
        <f t="shared" si="195"/>
        <v>1</v>
      </c>
      <c r="BU132" s="108" t="s">
        <v>29</v>
      </c>
      <c r="BV132" s="120" t="str">
        <f t="shared" si="196"/>
        <v/>
      </c>
      <c r="BW132" s="121" t="str">
        <f t="shared" si="196"/>
        <v/>
      </c>
      <c r="BX132" s="121">
        <f t="shared" si="196"/>
        <v>1</v>
      </c>
      <c r="BY132" s="121">
        <f t="shared" si="196"/>
        <v>1</v>
      </c>
      <c r="BZ132" s="121">
        <f t="shared" si="196"/>
        <v>1</v>
      </c>
      <c r="CA132" s="121">
        <f t="shared" si="196"/>
        <v>1</v>
      </c>
      <c r="CB132" s="121">
        <f t="shared" si="196"/>
        <v>1</v>
      </c>
      <c r="CC132" s="121">
        <f t="shared" si="196"/>
        <v>1</v>
      </c>
      <c r="CD132" s="121">
        <f t="shared" si="196"/>
        <v>1</v>
      </c>
      <c r="CE132" s="121">
        <f t="shared" si="196"/>
        <v>1</v>
      </c>
      <c r="CF132" s="121" t="str">
        <f t="shared" si="196"/>
        <v/>
      </c>
      <c r="CG132" s="121">
        <f t="shared" si="196"/>
        <v>1</v>
      </c>
      <c r="CH132" s="121" t="str">
        <f t="shared" si="196"/>
        <v/>
      </c>
      <c r="CI132" s="123">
        <f t="shared" si="196"/>
        <v>1</v>
      </c>
      <c r="CK132" s="108" t="s">
        <v>29</v>
      </c>
      <c r="CL132" s="120" t="str">
        <f t="shared" si="198"/>
        <v/>
      </c>
      <c r="CM132" s="121" t="str">
        <f t="shared" si="198"/>
        <v/>
      </c>
      <c r="CN132" s="121">
        <f t="shared" si="198"/>
        <v>0</v>
      </c>
      <c r="CO132" s="121">
        <f t="shared" si="198"/>
        <v>0</v>
      </c>
      <c r="CP132" s="121"/>
      <c r="CQ132" s="121"/>
      <c r="CR132" s="121"/>
      <c r="CS132" s="121"/>
      <c r="CT132" s="121">
        <f t="shared" si="199"/>
        <v>0</v>
      </c>
      <c r="CU132" s="121">
        <f t="shared" si="199"/>
        <v>0</v>
      </c>
      <c r="CV132" s="121" t="e">
        <f t="shared" si="199"/>
        <v>#VALUE!</v>
      </c>
      <c r="CW132" s="121">
        <f t="shared" si="199"/>
        <v>0</v>
      </c>
      <c r="CX132" s="121" t="str">
        <f t="shared" si="199"/>
        <v/>
      </c>
      <c r="CY132" s="123">
        <f t="shared" si="199"/>
        <v>0</v>
      </c>
      <c r="DA132" s="108" t="s">
        <v>29</v>
      </c>
      <c r="DB132" s="120"/>
      <c r="DC132" s="121"/>
      <c r="DD132" s="121"/>
      <c r="DE132" s="121"/>
      <c r="DF132" s="121"/>
      <c r="DG132" s="121"/>
      <c r="DH132" s="121"/>
      <c r="DI132" s="121"/>
      <c r="DJ132" s="121"/>
      <c r="DK132" s="121"/>
      <c r="DL132" s="121"/>
      <c r="DM132" s="121"/>
      <c r="DN132" s="121"/>
      <c r="DO132" s="123"/>
      <c r="DQ132" s="108" t="s">
        <v>29</v>
      </c>
      <c r="DR132" s="120"/>
      <c r="DS132" s="121"/>
      <c r="DT132" s="121"/>
      <c r="DU132" s="121"/>
      <c r="DV132" s="121"/>
      <c r="DW132" s="121"/>
      <c r="DX132" s="121"/>
      <c r="DY132" s="121"/>
      <c r="DZ132" s="121"/>
      <c r="EA132" s="121"/>
      <c r="EB132" s="121"/>
      <c r="EC132" s="121"/>
      <c r="ED132" s="121"/>
      <c r="EE132" s="123"/>
      <c r="EG132" s="108" t="s">
        <v>29</v>
      </c>
      <c r="EH132" s="120"/>
      <c r="EI132" s="121"/>
      <c r="EJ132" s="121"/>
      <c r="EK132" s="121"/>
      <c r="EL132" s="121"/>
      <c r="EM132" s="121"/>
      <c r="EN132" s="121"/>
      <c r="EO132" s="121"/>
      <c r="EP132" s="121"/>
      <c r="EQ132" s="121"/>
      <c r="ER132" s="121"/>
      <c r="ES132" s="121"/>
      <c r="ET132" s="121"/>
      <c r="EU132" s="123"/>
      <c r="EW132" s="108" t="s">
        <v>29</v>
      </c>
      <c r="EX132" s="120"/>
      <c r="EY132" s="121"/>
      <c r="EZ132" s="121"/>
      <c r="FA132" s="121"/>
      <c r="FB132" s="121"/>
      <c r="FC132" s="121"/>
      <c r="FD132" s="121"/>
      <c r="FE132" s="121"/>
      <c r="FF132" s="121"/>
      <c r="FG132" s="121"/>
      <c r="FH132" s="121"/>
      <c r="FI132" s="121"/>
      <c r="FJ132" s="121"/>
      <c r="FK132" s="121"/>
      <c r="FL132" s="123"/>
    </row>
    <row r="133" spans="2:168" x14ac:dyDescent="0.25">
      <c r="B133" t="s">
        <v>224</v>
      </c>
      <c r="C133" s="383" t="s">
        <v>206</v>
      </c>
      <c r="D133" s="383"/>
      <c r="E133" s="383"/>
      <c r="F133" s="383"/>
      <c r="G133" s="383"/>
      <c r="H133" s="383"/>
      <c r="I133" s="383"/>
      <c r="J133" s="383"/>
      <c r="K133" s="383"/>
      <c r="L133" s="383"/>
      <c r="M133" s="383"/>
      <c r="N133" s="383"/>
      <c r="O133" s="383"/>
      <c r="P133" s="383"/>
      <c r="Y133" t="s">
        <v>224</v>
      </c>
      <c r="Z133" s="383" t="s">
        <v>206</v>
      </c>
      <c r="AA133" s="383"/>
      <c r="AB133" s="383"/>
      <c r="AC133" s="383"/>
      <c r="AD133" s="383"/>
      <c r="AE133" s="383"/>
      <c r="AF133" s="383"/>
      <c r="AG133" s="383"/>
      <c r="AH133" s="383"/>
      <c r="AI133" s="383"/>
      <c r="AJ133" s="383"/>
      <c r="AK133" s="383"/>
      <c r="AL133" s="383"/>
      <c r="AM133" s="383"/>
      <c r="AO133" t="s">
        <v>224</v>
      </c>
      <c r="AP133" s="383" t="s">
        <v>206</v>
      </c>
      <c r="AQ133" s="383"/>
      <c r="AR133" s="383"/>
      <c r="AS133" s="383"/>
      <c r="AT133" s="383"/>
      <c r="AU133" s="383"/>
      <c r="AV133" s="383"/>
      <c r="AW133" s="383"/>
      <c r="AX133" s="383"/>
      <c r="AY133" s="383"/>
      <c r="AZ133" s="383"/>
      <c r="BA133" s="383"/>
      <c r="BB133" s="383"/>
      <c r="BC133" s="383"/>
      <c r="BE133" t="s">
        <v>224</v>
      </c>
      <c r="BF133" s="383" t="s">
        <v>206</v>
      </c>
      <c r="BG133" s="383"/>
      <c r="BH133" s="383"/>
      <c r="BI133" s="383"/>
      <c r="BJ133" s="383"/>
      <c r="BK133" s="383"/>
      <c r="BL133" s="383"/>
      <c r="BM133" s="383"/>
      <c r="BN133" s="383"/>
      <c r="BO133" s="383"/>
      <c r="BP133" s="383"/>
      <c r="BQ133" s="383"/>
      <c r="BR133" s="383"/>
      <c r="BS133" s="383"/>
      <c r="BU133" t="s">
        <v>224</v>
      </c>
      <c r="BV133" s="383" t="s">
        <v>206</v>
      </c>
      <c r="BW133" s="383"/>
      <c r="BX133" s="383"/>
      <c r="BY133" s="383"/>
      <c r="BZ133" s="383"/>
      <c r="CA133" s="383"/>
      <c r="CB133" s="383"/>
      <c r="CC133" s="383"/>
      <c r="CD133" s="383"/>
      <c r="CE133" s="383"/>
      <c r="CF133" s="383"/>
      <c r="CG133" s="383"/>
      <c r="CH133" s="383"/>
      <c r="CI133" s="383"/>
      <c r="CK133" t="s">
        <v>224</v>
      </c>
      <c r="CL133" s="383" t="s">
        <v>206</v>
      </c>
      <c r="CM133" s="383"/>
      <c r="CN133" s="383"/>
      <c r="CO133" s="383"/>
      <c r="CP133" s="383"/>
      <c r="CQ133" s="383"/>
      <c r="CR133" s="383"/>
      <c r="CS133" s="383"/>
      <c r="CT133" s="383"/>
      <c r="CU133" s="383"/>
      <c r="CV133" s="383"/>
      <c r="CW133" s="383"/>
      <c r="CX133" s="383"/>
      <c r="CY133" s="383"/>
      <c r="DA133" t="s">
        <v>197</v>
      </c>
      <c r="DB133" s="383" t="s">
        <v>206</v>
      </c>
      <c r="DC133" s="383"/>
      <c r="DD133" s="383"/>
      <c r="DE133" s="383"/>
      <c r="DF133" s="383"/>
      <c r="DG133" s="383"/>
      <c r="DH133" s="383"/>
      <c r="DI133" s="383"/>
      <c r="DJ133" s="383"/>
      <c r="DK133" s="383"/>
      <c r="DL133" s="383"/>
      <c r="DM133" s="383"/>
      <c r="DN133" s="383"/>
      <c r="DO133" s="383"/>
      <c r="DQ133" t="s">
        <v>197</v>
      </c>
      <c r="DR133" s="383" t="s">
        <v>206</v>
      </c>
      <c r="DS133" s="383"/>
      <c r="DT133" s="383"/>
      <c r="DU133" s="383"/>
      <c r="DV133" s="383"/>
      <c r="DW133" s="383"/>
      <c r="DX133" s="383"/>
      <c r="DY133" s="383"/>
      <c r="DZ133" s="383"/>
      <c r="EA133" s="383"/>
      <c r="EB133" s="383"/>
      <c r="EC133" s="383"/>
      <c r="ED133" s="383"/>
      <c r="EE133" s="383"/>
      <c r="EG133" t="s">
        <v>197</v>
      </c>
      <c r="EH133" s="383" t="s">
        <v>206</v>
      </c>
      <c r="EI133" s="383"/>
      <c r="EJ133" s="383"/>
      <c r="EK133" s="383"/>
      <c r="EL133" s="383"/>
      <c r="EM133" s="383"/>
      <c r="EN133" s="383"/>
      <c r="EO133" s="383"/>
      <c r="EP133" s="383"/>
      <c r="EQ133" s="383"/>
      <c r="ER133" s="383"/>
      <c r="ES133" s="383"/>
      <c r="ET133" s="383"/>
      <c r="EU133" s="383"/>
      <c r="EW133" t="s">
        <v>197</v>
      </c>
      <c r="EX133" s="383" t="s">
        <v>207</v>
      </c>
      <c r="EY133" s="383"/>
      <c r="EZ133" s="383"/>
      <c r="FA133" s="383"/>
      <c r="FB133" s="383"/>
      <c r="FC133" s="383"/>
      <c r="FD133" s="383"/>
      <c r="FE133" s="383"/>
      <c r="FF133" s="383"/>
      <c r="FG133" s="383"/>
      <c r="FH133" s="383"/>
      <c r="FI133" s="383"/>
      <c r="FJ133" s="383"/>
      <c r="FK133" s="383"/>
      <c r="FL133" s="383"/>
    </row>
    <row r="134" spans="2:168" ht="35.450000000000003" customHeight="1" x14ac:dyDescent="0.25">
      <c r="B134" s="163" t="s">
        <v>207</v>
      </c>
      <c r="C134" s="164" t="s">
        <v>386</v>
      </c>
      <c r="D134" s="164" t="s">
        <v>387</v>
      </c>
      <c r="E134" s="164" t="s">
        <v>388</v>
      </c>
      <c r="F134" s="164" t="s">
        <v>389</v>
      </c>
      <c r="G134" s="164" t="s">
        <v>390</v>
      </c>
      <c r="H134" s="164" t="s">
        <v>391</v>
      </c>
      <c r="I134" s="164" t="s">
        <v>392</v>
      </c>
      <c r="J134" s="164" t="s">
        <v>393</v>
      </c>
      <c r="K134" s="164" t="s">
        <v>546</v>
      </c>
      <c r="L134" s="164" t="s">
        <v>396</v>
      </c>
      <c r="M134" s="164" t="s">
        <v>397</v>
      </c>
      <c r="N134" s="164" t="s">
        <v>398</v>
      </c>
      <c r="O134" s="164" t="s">
        <v>399</v>
      </c>
      <c r="P134" s="106" t="s">
        <v>29</v>
      </c>
      <c r="R134" s="164" t="s">
        <v>546</v>
      </c>
      <c r="S134" s="164" t="s">
        <v>396</v>
      </c>
      <c r="T134" s="164" t="s">
        <v>397</v>
      </c>
      <c r="U134" s="164" t="s">
        <v>546</v>
      </c>
      <c r="V134" s="164" t="s">
        <v>396</v>
      </c>
      <c r="W134" s="164" t="s">
        <v>397</v>
      </c>
      <c r="X134" s="296"/>
      <c r="Y134" s="163" t="s">
        <v>207</v>
      </c>
      <c r="Z134" s="164" t="s">
        <v>386</v>
      </c>
      <c r="AA134" s="164" t="s">
        <v>387</v>
      </c>
      <c r="AB134" s="164" t="s">
        <v>388</v>
      </c>
      <c r="AC134" s="164" t="s">
        <v>389</v>
      </c>
      <c r="AD134" s="164" t="s">
        <v>390</v>
      </c>
      <c r="AE134" s="164" t="s">
        <v>391</v>
      </c>
      <c r="AF134" s="164" t="s">
        <v>392</v>
      </c>
      <c r="AG134" s="164" t="s">
        <v>393</v>
      </c>
      <c r="AH134" s="164" t="s">
        <v>546</v>
      </c>
      <c r="AI134" s="164" t="s">
        <v>396</v>
      </c>
      <c r="AJ134" s="164" t="s">
        <v>397</v>
      </c>
      <c r="AK134" s="164" t="s">
        <v>398</v>
      </c>
      <c r="AL134" s="164" t="s">
        <v>399</v>
      </c>
      <c r="AM134" s="106" t="s">
        <v>29</v>
      </c>
      <c r="AN134" s="296"/>
      <c r="AO134" s="163" t="s">
        <v>207</v>
      </c>
      <c r="AP134" s="164" t="s">
        <v>386</v>
      </c>
      <c r="AQ134" s="164" t="s">
        <v>387</v>
      </c>
      <c r="AR134" s="164" t="s">
        <v>388</v>
      </c>
      <c r="AS134" s="164" t="s">
        <v>389</v>
      </c>
      <c r="AT134" s="164" t="s">
        <v>390</v>
      </c>
      <c r="AU134" s="164" t="s">
        <v>391</v>
      </c>
      <c r="AV134" s="164" t="s">
        <v>392</v>
      </c>
      <c r="AW134" s="164" t="s">
        <v>393</v>
      </c>
      <c r="AX134" s="164" t="s">
        <v>546</v>
      </c>
      <c r="AY134" s="164" t="s">
        <v>396</v>
      </c>
      <c r="AZ134" s="164" t="s">
        <v>397</v>
      </c>
      <c r="BA134" s="164" t="s">
        <v>398</v>
      </c>
      <c r="BB134" s="164" t="s">
        <v>399</v>
      </c>
      <c r="BC134" s="106" t="s">
        <v>29</v>
      </c>
      <c r="BE134" s="163" t="s">
        <v>207</v>
      </c>
      <c r="BF134" s="164" t="s">
        <v>538</v>
      </c>
      <c r="BG134" s="164"/>
      <c r="BH134" s="164" t="s">
        <v>576</v>
      </c>
      <c r="BI134" s="164"/>
      <c r="BJ134" s="164" t="s">
        <v>577</v>
      </c>
      <c r="BK134" s="164"/>
      <c r="BL134" s="164" t="s">
        <v>392</v>
      </c>
      <c r="BM134" s="164" t="s">
        <v>393</v>
      </c>
      <c r="BN134" s="164" t="s">
        <v>546</v>
      </c>
      <c r="BO134" s="164" t="s">
        <v>396</v>
      </c>
      <c r="BP134" s="164" t="s">
        <v>397</v>
      </c>
      <c r="BQ134" s="164" t="s">
        <v>398</v>
      </c>
      <c r="BR134" s="164" t="s">
        <v>399</v>
      </c>
      <c r="BS134" s="106" t="s">
        <v>29</v>
      </c>
      <c r="BU134" s="163" t="s">
        <v>207</v>
      </c>
      <c r="BV134" s="164" t="s">
        <v>538</v>
      </c>
      <c r="BW134" s="164"/>
      <c r="BX134" s="164" t="s">
        <v>576</v>
      </c>
      <c r="BY134" s="164"/>
      <c r="BZ134" s="164" t="s">
        <v>577</v>
      </c>
      <c r="CA134" s="164"/>
      <c r="CB134" s="164" t="s">
        <v>392</v>
      </c>
      <c r="CC134" s="164" t="s">
        <v>393</v>
      </c>
      <c r="CD134" s="164" t="s">
        <v>546</v>
      </c>
      <c r="CE134" s="164" t="s">
        <v>396</v>
      </c>
      <c r="CF134" s="164" t="s">
        <v>397</v>
      </c>
      <c r="CG134" s="164" t="s">
        <v>398</v>
      </c>
      <c r="CH134" s="164" t="s">
        <v>399</v>
      </c>
      <c r="CI134" s="106" t="s">
        <v>29</v>
      </c>
      <c r="CK134" s="163" t="s">
        <v>207</v>
      </c>
      <c r="CL134" s="164" t="s">
        <v>386</v>
      </c>
      <c r="CM134" s="164" t="s">
        <v>387</v>
      </c>
      <c r="CN134" s="164" t="s">
        <v>388</v>
      </c>
      <c r="CO134" s="164" t="s">
        <v>389</v>
      </c>
      <c r="CP134" s="164" t="s">
        <v>390</v>
      </c>
      <c r="CQ134" s="164" t="s">
        <v>391</v>
      </c>
      <c r="CR134" s="164" t="s">
        <v>392</v>
      </c>
      <c r="CS134" s="164" t="s">
        <v>393</v>
      </c>
      <c r="CT134" s="164" t="s">
        <v>546</v>
      </c>
      <c r="CU134" s="164" t="s">
        <v>396</v>
      </c>
      <c r="CV134" s="164" t="s">
        <v>397</v>
      </c>
      <c r="CW134" s="164" t="s">
        <v>398</v>
      </c>
      <c r="CX134" s="164" t="s">
        <v>399</v>
      </c>
      <c r="CY134" s="106" t="s">
        <v>29</v>
      </c>
      <c r="DA134" s="163" t="s">
        <v>207</v>
      </c>
      <c r="DB134" s="164" t="s">
        <v>538</v>
      </c>
      <c r="DC134" s="164"/>
      <c r="DD134" s="164" t="s">
        <v>576</v>
      </c>
      <c r="DE134" s="164"/>
      <c r="DF134" s="164" t="s">
        <v>577</v>
      </c>
      <c r="DG134" s="164"/>
      <c r="DH134" s="164" t="s">
        <v>392</v>
      </c>
      <c r="DI134" s="164" t="s">
        <v>393</v>
      </c>
      <c r="DJ134" s="164" t="s">
        <v>546</v>
      </c>
      <c r="DK134" s="164" t="s">
        <v>396</v>
      </c>
      <c r="DL134" s="164" t="s">
        <v>397</v>
      </c>
      <c r="DM134" s="164" t="s">
        <v>398</v>
      </c>
      <c r="DN134" s="164" t="s">
        <v>399</v>
      </c>
      <c r="DO134" s="106" t="s">
        <v>29</v>
      </c>
      <c r="DQ134" s="163" t="s">
        <v>207</v>
      </c>
      <c r="DR134" s="164" t="s">
        <v>538</v>
      </c>
      <c r="DS134" s="164"/>
      <c r="DT134" s="164" t="s">
        <v>576</v>
      </c>
      <c r="DU134" s="164"/>
      <c r="DV134" s="164" t="s">
        <v>577</v>
      </c>
      <c r="DW134" s="164"/>
      <c r="DX134" s="164" t="s">
        <v>392</v>
      </c>
      <c r="DY134" s="164" t="s">
        <v>393</v>
      </c>
      <c r="DZ134" s="164" t="s">
        <v>546</v>
      </c>
      <c r="EA134" s="164" t="s">
        <v>396</v>
      </c>
      <c r="EB134" s="164" t="s">
        <v>397</v>
      </c>
      <c r="EC134" s="164" t="s">
        <v>398</v>
      </c>
      <c r="ED134" s="164" t="s">
        <v>399</v>
      </c>
      <c r="EE134" s="106" t="s">
        <v>29</v>
      </c>
      <c r="EG134" s="163" t="s">
        <v>207</v>
      </c>
      <c r="EH134" s="164" t="s">
        <v>538</v>
      </c>
      <c r="EI134" s="164"/>
      <c r="EJ134" s="164" t="s">
        <v>576</v>
      </c>
      <c r="EK134" s="164"/>
      <c r="EL134" s="164" t="s">
        <v>577</v>
      </c>
      <c r="EM134" s="164"/>
      <c r="EN134" s="164" t="s">
        <v>392</v>
      </c>
      <c r="EO134" s="164" t="s">
        <v>393</v>
      </c>
      <c r="EP134" s="164" t="s">
        <v>546</v>
      </c>
      <c r="EQ134" s="164" t="s">
        <v>396</v>
      </c>
      <c r="ER134" s="164" t="s">
        <v>397</v>
      </c>
      <c r="ES134" s="164" t="s">
        <v>398</v>
      </c>
      <c r="ET134" s="164" t="s">
        <v>399</v>
      </c>
      <c r="EU134" s="106" t="s">
        <v>29</v>
      </c>
      <c r="EW134" s="163" t="s">
        <v>206</v>
      </c>
      <c r="EX134" s="164" t="s">
        <v>386</v>
      </c>
      <c r="EY134" s="164" t="s">
        <v>387</v>
      </c>
      <c r="EZ134" s="164" t="s">
        <v>388</v>
      </c>
      <c r="FA134" s="164" t="s">
        <v>389</v>
      </c>
      <c r="FB134" s="164" t="s">
        <v>390</v>
      </c>
      <c r="FC134" s="164" t="s">
        <v>391</v>
      </c>
      <c r="FD134" s="164" t="s">
        <v>392</v>
      </c>
      <c r="FE134" s="164" t="s">
        <v>393</v>
      </c>
      <c r="FF134" s="164"/>
      <c r="FG134" s="164" t="s">
        <v>546</v>
      </c>
      <c r="FH134" s="164" t="s">
        <v>396</v>
      </c>
      <c r="FI134" s="164" t="s">
        <v>397</v>
      </c>
      <c r="FJ134" s="164" t="s">
        <v>398</v>
      </c>
      <c r="FK134" s="164" t="s">
        <v>399</v>
      </c>
      <c r="FL134" s="106" t="s">
        <v>29</v>
      </c>
    </row>
    <row r="135" spans="2:168" x14ac:dyDescent="0.25">
      <c r="B135" s="107" t="s">
        <v>386</v>
      </c>
      <c r="C135" s="294"/>
      <c r="D135" s="294"/>
      <c r="E135" s="160">
        <f>TripMode_inputCBD!D116</f>
        <v>39.599130000000002</v>
      </c>
      <c r="F135" s="160">
        <f>TripMode_inputCBD!E116</f>
        <v>12.729279999999999</v>
      </c>
      <c r="G135" s="160">
        <f>TripMode_inputCBD!F116</f>
        <v>344.31243000000001</v>
      </c>
      <c r="H135" s="160">
        <f>TripMode_inputCBD!G116</f>
        <v>0</v>
      </c>
      <c r="I135" s="294"/>
      <c r="J135" s="294"/>
      <c r="K135" s="294"/>
      <c r="L135" s="294"/>
      <c r="M135" s="294"/>
      <c r="N135" s="294"/>
      <c r="O135" s="294"/>
      <c r="P135" s="161">
        <f t="shared" ref="P135:P147" si="203">SUM(C135:O135)</f>
        <v>396.64084000000003</v>
      </c>
      <c r="R135">
        <f>IF(K$143&gt;0,K135/K$143,0)</f>
        <v>0</v>
      </c>
      <c r="S135">
        <f>IF(L$144&gt;0,L135/L$144,0)</f>
        <v>0</v>
      </c>
      <c r="T135">
        <f>IF(M$145&gt;0,M135/M$145,0)</f>
        <v>0</v>
      </c>
      <c r="Y135" s="107" t="s">
        <v>386</v>
      </c>
      <c r="Z135" s="160">
        <f>+C135</f>
        <v>0</v>
      </c>
      <c r="AA135" s="160">
        <f t="shared" ref="AA135:AF141" si="204">+D135</f>
        <v>0</v>
      </c>
      <c r="AB135" s="160">
        <f t="shared" si="204"/>
        <v>39.599130000000002</v>
      </c>
      <c r="AC135" s="160">
        <f t="shared" si="204"/>
        <v>12.729279999999999</v>
      </c>
      <c r="AD135" s="160">
        <f t="shared" si="204"/>
        <v>344.31243000000001</v>
      </c>
      <c r="AE135" s="160">
        <f t="shared" si="204"/>
        <v>0</v>
      </c>
      <c r="AF135" s="294"/>
      <c r="AG135" s="294"/>
      <c r="AH135" s="294"/>
      <c r="AI135" s="294"/>
      <c r="AJ135" s="294"/>
      <c r="AK135" s="294"/>
      <c r="AL135" s="294"/>
      <c r="AM135" s="161">
        <f t="shared" ref="AM135:AM147" si="205">SUM(Z135:AL135)</f>
        <v>396.64084000000003</v>
      </c>
      <c r="AO135" s="107" t="s">
        <v>386</v>
      </c>
      <c r="AP135" s="160">
        <f>TripMode_inputCBD!R116*Index!$B$2</f>
        <v>0</v>
      </c>
      <c r="AQ135" s="160">
        <f>TripMode_inputCBD!S116*Index!$B$2</f>
        <v>0</v>
      </c>
      <c r="AR135" s="160">
        <f>TripMode_inputCBD!T116*Index!$B$2</f>
        <v>0</v>
      </c>
      <c r="AS135" s="160">
        <f>TripMode_inputCBD!U116*Index!$B$2</f>
        <v>0</v>
      </c>
      <c r="AT135" s="160">
        <f>TripMode_inputCBD!V116*Index!$B$2</f>
        <v>0</v>
      </c>
      <c r="AU135" s="160">
        <f>TripMode_inputCBD!W116*Index!$B$2</f>
        <v>0</v>
      </c>
      <c r="AV135" s="294">
        <f>TripMode_inputCBD!X116*Index!$B$2</f>
        <v>0</v>
      </c>
      <c r="AW135" s="294">
        <f>TripMode_inputCBD!Y116*Index!$B$2</f>
        <v>0</v>
      </c>
      <c r="AX135" s="294">
        <f>TripMode_inputCBD!AA116*Index!$B$2</f>
        <v>0</v>
      </c>
      <c r="AY135" s="294">
        <f>TripMode_inputCBD!AB116*Index!$B$2</f>
        <v>0</v>
      </c>
      <c r="AZ135" s="160">
        <f>TripMode_inputCBD!AC116*Index!$B$2</f>
        <v>0</v>
      </c>
      <c r="BA135" s="294">
        <f>TripMode_inputCBD!AD116*Index!$B$2</f>
        <v>0</v>
      </c>
      <c r="BB135" s="294">
        <f>TripMode_inputCBD!AE116*Index!$B$2</f>
        <v>0</v>
      </c>
      <c r="BC135" s="161">
        <f t="shared" ref="BC135:BC147" si="206">SUM(AP135:BB135)</f>
        <v>0</v>
      </c>
      <c r="BE135" s="107" t="s">
        <v>538</v>
      </c>
      <c r="BF135" s="166" t="str">
        <f>IF(Z$148+AA$148&gt;0,SUM(Z135:AA136)/(Z$148+AA$148),"")</f>
        <v/>
      </c>
      <c r="BG135" s="166"/>
      <c r="BH135" s="166">
        <f>IF(AB$148+AC$148&gt;0,SUM(AB135:AC136)/(AB$148+AC$148),"")</f>
        <v>4.7136200576000924E-4</v>
      </c>
      <c r="BI135" s="166"/>
      <c r="BJ135" s="166">
        <f>IF(AD$148+AE$148&gt;0,SUM(AD135:AE136)/(AD$148+AE$148),"")</f>
        <v>1.8755383016972221E-3</v>
      </c>
      <c r="BK135" s="166"/>
      <c r="BL135" s="166">
        <f t="shared" ref="BL135:BS135" si="207">IF(AF$148&gt;0,(AF135+AF136)/AF$148,"")</f>
        <v>0</v>
      </c>
      <c r="BM135" s="166">
        <f t="shared" si="207"/>
        <v>0</v>
      </c>
      <c r="BN135" s="166">
        <f t="shared" si="207"/>
        <v>0</v>
      </c>
      <c r="BO135" s="166">
        <f t="shared" si="207"/>
        <v>0</v>
      </c>
      <c r="BP135" s="166">
        <f t="shared" si="207"/>
        <v>0</v>
      </c>
      <c r="BQ135" s="166" t="str">
        <f t="shared" si="207"/>
        <v/>
      </c>
      <c r="BR135" s="166" t="str">
        <f t="shared" si="207"/>
        <v/>
      </c>
      <c r="BS135" s="166">
        <f t="shared" si="207"/>
        <v>1.2094327134595444E-3</v>
      </c>
      <c r="BU135" s="107" t="s">
        <v>538</v>
      </c>
      <c r="BV135" s="166" t="str">
        <f>IF(AP$148+AQ$148&gt;0,SUM(AP135:AQ136)/(AP$148+AQ$148),"")</f>
        <v/>
      </c>
      <c r="BW135" s="166"/>
      <c r="BX135" s="166">
        <f>IF(AR$148+AS$148&gt;0,SUM(AR135:AS136)/(AR$148+AS$148),"")</f>
        <v>0</v>
      </c>
      <c r="BY135" s="166"/>
      <c r="BZ135" s="166">
        <f>IF(AT$148+AU$148&gt;0,SUM(AT135:AU136)/(AT$148+AU$148),"")</f>
        <v>0</v>
      </c>
      <c r="CA135" s="166"/>
      <c r="CB135" s="166">
        <f t="shared" ref="CB135:CI135" si="208">IF(AV$148&gt;0,(AV135+AV136)/AV$148,"")</f>
        <v>0</v>
      </c>
      <c r="CC135" s="166">
        <f t="shared" si="208"/>
        <v>0</v>
      </c>
      <c r="CD135" s="166">
        <f t="shared" si="208"/>
        <v>0</v>
      </c>
      <c r="CE135" s="166">
        <f t="shared" si="208"/>
        <v>0</v>
      </c>
      <c r="CF135" s="166">
        <f t="shared" si="208"/>
        <v>0</v>
      </c>
      <c r="CG135" s="166">
        <f t="shared" si="208"/>
        <v>0</v>
      </c>
      <c r="CH135" s="166" t="str">
        <f t="shared" si="208"/>
        <v/>
      </c>
      <c r="CI135" s="166">
        <f t="shared" si="208"/>
        <v>0</v>
      </c>
      <c r="CK135" s="107" t="s">
        <v>386</v>
      </c>
      <c r="CL135" s="166" t="str">
        <f t="shared" ref="CL135:CO138" si="209">IF(OR(ISNA(BF135),BF135=0,BF135=""),"",(BV135-BF135)/BF135)</f>
        <v/>
      </c>
      <c r="CM135" s="166" t="str">
        <f t="shared" si="209"/>
        <v/>
      </c>
      <c r="CN135" s="166">
        <f t="shared" si="209"/>
        <v>-1</v>
      </c>
      <c r="CO135" s="166" t="str">
        <f t="shared" si="209"/>
        <v/>
      </c>
      <c r="CP135" s="166"/>
      <c r="CQ135" s="166"/>
      <c r="CR135" s="166"/>
      <c r="CS135" s="166"/>
      <c r="CT135" s="166" t="str">
        <f t="shared" ref="CT135:CY138" si="210">IF(OR(ISNA(BN135),BN135=0,BN135=""),"",(CD135-BN135)/BN135)</f>
        <v/>
      </c>
      <c r="CU135" s="166" t="str">
        <f t="shared" si="210"/>
        <v/>
      </c>
      <c r="CV135" s="166" t="str">
        <f t="shared" si="210"/>
        <v/>
      </c>
      <c r="CW135" s="166" t="str">
        <f t="shared" si="210"/>
        <v/>
      </c>
      <c r="CX135" s="166" t="str">
        <f t="shared" si="210"/>
        <v/>
      </c>
      <c r="CY135" s="167">
        <f t="shared" si="210"/>
        <v>-1</v>
      </c>
      <c r="DA135" s="107" t="s">
        <v>538</v>
      </c>
      <c r="DB135" s="314">
        <f>IFERROR(IF(BV135&gt;0,LN(BF135/BV135),0),0)</f>
        <v>0</v>
      </c>
      <c r="DC135" s="314"/>
      <c r="DD135" s="314">
        <f>IFERROR(IF(BX135&gt;0,LN(BH135/BX135),0),0)</f>
        <v>0</v>
      </c>
      <c r="DE135" s="314"/>
      <c r="DF135" s="314">
        <f>IFERROR(IF(BZ135&gt;0,LN(BJ135/BZ135),0),0)</f>
        <v>0</v>
      </c>
      <c r="DG135" s="314"/>
      <c r="DH135" s="315">
        <f t="shared" ref="DH135:DN135" si="211">IFERROR(IF(CB135&gt;0,LN(BL135/CB135),0),0)</f>
        <v>0</v>
      </c>
      <c r="DI135" s="315">
        <f t="shared" si="211"/>
        <v>0</v>
      </c>
      <c r="DJ135" s="315">
        <f t="shared" si="211"/>
        <v>0</v>
      </c>
      <c r="DK135" s="315">
        <f t="shared" si="211"/>
        <v>0</v>
      </c>
      <c r="DL135" s="315">
        <f t="shared" si="211"/>
        <v>0</v>
      </c>
      <c r="DM135" s="315">
        <f t="shared" si="211"/>
        <v>0</v>
      </c>
      <c r="DN135" s="315">
        <f t="shared" si="211"/>
        <v>0</v>
      </c>
      <c r="DO135" s="167"/>
      <c r="DQ135" s="107" t="s">
        <v>538</v>
      </c>
      <c r="DR135" s="314">
        <v>0</v>
      </c>
      <c r="DS135" s="314">
        <v>0</v>
      </c>
      <c r="DT135" s="314">
        <v>0</v>
      </c>
      <c r="DU135" s="314">
        <v>0</v>
      </c>
      <c r="DV135" s="314">
        <v>0</v>
      </c>
      <c r="DW135" s="314">
        <v>0</v>
      </c>
      <c r="DX135" s="315"/>
      <c r="DY135" s="315"/>
      <c r="DZ135" s="315"/>
      <c r="EA135" s="315"/>
      <c r="EB135" s="315"/>
      <c r="EC135" s="315"/>
      <c r="ED135" s="315"/>
      <c r="EE135" s="167"/>
      <c r="EG135" s="107" t="s">
        <v>538</v>
      </c>
      <c r="EH135" s="314">
        <v>0</v>
      </c>
      <c r="EI135" s="314">
        <v>0</v>
      </c>
      <c r="EJ135" s="314">
        <v>0</v>
      </c>
      <c r="EK135" s="314">
        <v>0</v>
      </c>
      <c r="EL135" s="314">
        <v>0</v>
      </c>
      <c r="EM135" s="314">
        <v>0</v>
      </c>
      <c r="EN135" s="315"/>
      <c r="EO135" s="315"/>
      <c r="EP135" s="315"/>
      <c r="EQ135" s="315"/>
      <c r="ER135" s="315"/>
      <c r="ES135" s="315"/>
      <c r="ET135" s="315"/>
      <c r="EU135" s="167"/>
      <c r="EW135" s="164" t="s">
        <v>386</v>
      </c>
      <c r="EX135" s="316">
        <f>INDEX($EH$135:$ET$147,EX$4,MATCH($EW135,$EW$7:$EW$19,0))</f>
        <v>0</v>
      </c>
      <c r="EY135" s="316">
        <f t="shared" ref="EY135:FK147" si="212">INDEX($EH$135:$ET$147,EY$4,MATCH($EW135,$EW$7:$EW$19,0))</f>
        <v>0</v>
      </c>
      <c r="EZ135" s="316">
        <f t="shared" si="212"/>
        <v>0</v>
      </c>
      <c r="FA135" s="316">
        <f t="shared" si="212"/>
        <v>0</v>
      </c>
      <c r="FB135" s="316">
        <f t="shared" si="212"/>
        <v>0</v>
      </c>
      <c r="FC135" s="316">
        <f t="shared" si="212"/>
        <v>0</v>
      </c>
      <c r="FD135" s="316">
        <f t="shared" si="212"/>
        <v>0</v>
      </c>
      <c r="FE135" s="316">
        <f t="shared" si="212"/>
        <v>0</v>
      </c>
      <c r="FF135" s="316"/>
      <c r="FG135" s="316">
        <f t="shared" si="212"/>
        <v>0</v>
      </c>
      <c r="FH135" s="316">
        <f t="shared" si="212"/>
        <v>0</v>
      </c>
      <c r="FI135" s="316">
        <f t="shared" si="212"/>
        <v>0</v>
      </c>
      <c r="FJ135" s="316">
        <f t="shared" si="212"/>
        <v>0</v>
      </c>
      <c r="FK135" s="316">
        <f t="shared" si="212"/>
        <v>0</v>
      </c>
      <c r="FL135" s="167"/>
    </row>
    <row r="136" spans="2:168" x14ac:dyDescent="0.25">
      <c r="B136" s="107" t="s">
        <v>387</v>
      </c>
      <c r="C136" s="294"/>
      <c r="D136" s="294"/>
      <c r="E136" s="160">
        <f>TripMode_inputCBD!D117</f>
        <v>0</v>
      </c>
      <c r="F136" s="160">
        <f>TripMode_inputCBD!E117</f>
        <v>0</v>
      </c>
      <c r="G136" s="160">
        <f>TripMode_inputCBD!F117</f>
        <v>0</v>
      </c>
      <c r="H136" s="160">
        <f>TripMode_inputCBD!G117</f>
        <v>0</v>
      </c>
      <c r="I136" s="294"/>
      <c r="J136" s="294"/>
      <c r="K136" s="294"/>
      <c r="L136" s="294"/>
      <c r="M136" s="294"/>
      <c r="N136" s="294"/>
      <c r="O136" s="294"/>
      <c r="P136" s="162">
        <f t="shared" si="203"/>
        <v>0</v>
      </c>
      <c r="R136">
        <f t="shared" ref="R136:R147" si="213">IF(K$143&gt;0,K136/K$143,0)</f>
        <v>0</v>
      </c>
      <c r="S136">
        <f t="shared" ref="S136:S147" si="214">IF(L$144&gt;0,L136/L$144,0)</f>
        <v>0</v>
      </c>
      <c r="T136">
        <f t="shared" ref="T136:T147" si="215">IF(M$145&gt;0,M136/M$145,0)</f>
        <v>0</v>
      </c>
      <c r="Y136" s="107" t="s">
        <v>387</v>
      </c>
      <c r="Z136" s="160">
        <f>+C136</f>
        <v>0</v>
      </c>
      <c r="AA136" s="160">
        <f t="shared" si="204"/>
        <v>0</v>
      </c>
      <c r="AB136" s="160">
        <f t="shared" si="204"/>
        <v>0</v>
      </c>
      <c r="AC136" s="160">
        <f t="shared" si="204"/>
        <v>0</v>
      </c>
      <c r="AD136" s="160">
        <f t="shared" si="204"/>
        <v>0</v>
      </c>
      <c r="AE136" s="160">
        <f t="shared" si="204"/>
        <v>0</v>
      </c>
      <c r="AF136" s="294"/>
      <c r="AG136" s="294"/>
      <c r="AH136" s="294"/>
      <c r="AI136" s="294"/>
      <c r="AJ136" s="294"/>
      <c r="AK136" s="294"/>
      <c r="AL136" s="294"/>
      <c r="AM136" s="162">
        <f t="shared" si="205"/>
        <v>0</v>
      </c>
      <c r="AO136" s="107" t="s">
        <v>387</v>
      </c>
      <c r="AP136" s="160">
        <f>TripMode_inputCBD!R117*Index!$B$2</f>
        <v>0</v>
      </c>
      <c r="AQ136" s="160">
        <f>TripMode_inputCBD!S117*Index!$B$2</f>
        <v>0</v>
      </c>
      <c r="AR136" s="160">
        <f>TripMode_inputCBD!T117*Index!$B$2</f>
        <v>0</v>
      </c>
      <c r="AS136" s="160">
        <f>TripMode_inputCBD!U117*Index!$B$2</f>
        <v>0</v>
      </c>
      <c r="AT136" s="160">
        <f>TripMode_inputCBD!V117*Index!$B$2</f>
        <v>0</v>
      </c>
      <c r="AU136" s="160">
        <f>TripMode_inputCBD!W117*Index!$B$2</f>
        <v>0</v>
      </c>
      <c r="AV136" s="294">
        <f>TripMode_inputCBD!X117*Index!$B$2</f>
        <v>0</v>
      </c>
      <c r="AW136" s="294">
        <f>TripMode_inputCBD!Y117*Index!$B$2</f>
        <v>0</v>
      </c>
      <c r="AX136" s="294">
        <f>TripMode_inputCBD!AA117*Index!$B$2</f>
        <v>0</v>
      </c>
      <c r="AY136" s="294">
        <f>TripMode_inputCBD!AB117*Index!$B$2</f>
        <v>0</v>
      </c>
      <c r="AZ136" s="160">
        <f>TripMode_inputCBD!AC117*Index!$B$2</f>
        <v>0</v>
      </c>
      <c r="BA136" s="294">
        <f>TripMode_inputCBD!AD117*Index!$B$2</f>
        <v>0</v>
      </c>
      <c r="BB136" s="294">
        <f>TripMode_inputCBD!AE117*Index!$B$2</f>
        <v>0</v>
      </c>
      <c r="BC136" s="162">
        <f t="shared" si="206"/>
        <v>0</v>
      </c>
      <c r="BE136" s="107"/>
      <c r="BF136" s="166"/>
      <c r="BG136" s="166"/>
      <c r="BH136" s="166"/>
      <c r="BI136" s="166"/>
      <c r="BJ136" s="166"/>
      <c r="BK136" s="166"/>
      <c r="BL136" s="166"/>
      <c r="BM136" s="166"/>
      <c r="BN136" s="166"/>
      <c r="BO136" s="166"/>
      <c r="BP136" s="166"/>
      <c r="BQ136" s="166"/>
      <c r="BR136" s="166"/>
      <c r="BS136" s="166"/>
      <c r="BU136" s="107"/>
      <c r="BV136" s="166"/>
      <c r="BW136" s="166"/>
      <c r="BX136" s="166"/>
      <c r="BY136" s="166"/>
      <c r="BZ136" s="166"/>
      <c r="CA136" s="166"/>
      <c r="CB136" s="166"/>
      <c r="CC136" s="166"/>
      <c r="CD136" s="166"/>
      <c r="CE136" s="166"/>
      <c r="CF136" s="166"/>
      <c r="CG136" s="166"/>
      <c r="CH136" s="166"/>
      <c r="CI136" s="166"/>
      <c r="CK136" s="107" t="s">
        <v>387</v>
      </c>
      <c r="CL136" s="166" t="str">
        <f t="shared" si="209"/>
        <v/>
      </c>
      <c r="CM136" s="166" t="str">
        <f t="shared" si="209"/>
        <v/>
      </c>
      <c r="CN136" s="166" t="str">
        <f t="shared" si="209"/>
        <v/>
      </c>
      <c r="CO136" s="166" t="str">
        <f t="shared" si="209"/>
        <v/>
      </c>
      <c r="CP136" s="166"/>
      <c r="CQ136" s="166"/>
      <c r="CR136" s="166"/>
      <c r="CS136" s="166"/>
      <c r="CT136" s="166" t="str">
        <f t="shared" si="210"/>
        <v/>
      </c>
      <c r="CU136" s="166" t="str">
        <f t="shared" si="210"/>
        <v/>
      </c>
      <c r="CV136" s="166" t="str">
        <f t="shared" si="210"/>
        <v/>
      </c>
      <c r="CW136" s="166" t="str">
        <f t="shared" si="210"/>
        <v/>
      </c>
      <c r="CX136" s="166" t="str">
        <f t="shared" si="210"/>
        <v/>
      </c>
      <c r="CY136" s="168" t="str">
        <f t="shared" si="210"/>
        <v/>
      </c>
      <c r="DA136" s="107"/>
      <c r="DB136" s="314"/>
      <c r="DC136" s="314"/>
      <c r="DD136" s="314"/>
      <c r="DE136" s="314"/>
      <c r="DF136" s="314"/>
      <c r="DG136" s="314"/>
      <c r="DH136" s="315"/>
      <c r="DI136" s="315"/>
      <c r="DJ136" s="315"/>
      <c r="DK136" s="315"/>
      <c r="DL136" s="315"/>
      <c r="DM136" s="315"/>
      <c r="DN136" s="315"/>
      <c r="DO136" s="168"/>
      <c r="DQ136" s="107"/>
      <c r="DR136" s="314">
        <v>0</v>
      </c>
      <c r="DS136" s="314">
        <v>0</v>
      </c>
      <c r="DT136" s="314">
        <v>0</v>
      </c>
      <c r="DU136" s="314">
        <v>0</v>
      </c>
      <c r="DV136" s="314">
        <v>0</v>
      </c>
      <c r="DW136" s="314">
        <v>0</v>
      </c>
      <c r="DX136" s="315"/>
      <c r="DY136" s="315"/>
      <c r="DZ136" s="315"/>
      <c r="EA136" s="315"/>
      <c r="EB136" s="315"/>
      <c r="EC136" s="315"/>
      <c r="ED136" s="315"/>
      <c r="EE136" s="168"/>
      <c r="EG136" s="107"/>
      <c r="EH136" s="314">
        <v>0</v>
      </c>
      <c r="EI136" s="314">
        <v>0</v>
      </c>
      <c r="EJ136" s="314">
        <v>0</v>
      </c>
      <c r="EK136" s="314">
        <v>0</v>
      </c>
      <c r="EL136" s="314">
        <v>0</v>
      </c>
      <c r="EM136" s="314">
        <v>0</v>
      </c>
      <c r="EN136" s="315"/>
      <c r="EO136" s="315"/>
      <c r="EP136" s="315"/>
      <c r="EQ136" s="315"/>
      <c r="ER136" s="315"/>
      <c r="ES136" s="315"/>
      <c r="ET136" s="315"/>
      <c r="EU136" s="168"/>
      <c r="EW136" s="164" t="s">
        <v>387</v>
      </c>
      <c r="EX136" s="316">
        <f t="shared" ref="EX136:EX147" si="216">INDEX($EH$135:$ET$147,EX$4,MATCH($EW136,$EW$7:$EW$19,0))</f>
        <v>0</v>
      </c>
      <c r="EY136" s="316">
        <f t="shared" si="212"/>
        <v>0</v>
      </c>
      <c r="EZ136" s="316">
        <f t="shared" si="212"/>
        <v>0</v>
      </c>
      <c r="FA136" s="316">
        <f t="shared" si="212"/>
        <v>0</v>
      </c>
      <c r="FB136" s="316">
        <f t="shared" si="212"/>
        <v>0</v>
      </c>
      <c r="FC136" s="316">
        <f t="shared" si="212"/>
        <v>0</v>
      </c>
      <c r="FD136" s="316">
        <f t="shared" si="212"/>
        <v>0</v>
      </c>
      <c r="FE136" s="316">
        <f t="shared" si="212"/>
        <v>0</v>
      </c>
      <c r="FF136" s="316"/>
      <c r="FG136" s="316">
        <f t="shared" si="212"/>
        <v>0</v>
      </c>
      <c r="FH136" s="316">
        <f t="shared" si="212"/>
        <v>0</v>
      </c>
      <c r="FI136" s="316">
        <f t="shared" si="212"/>
        <v>0</v>
      </c>
      <c r="FJ136" s="316">
        <f t="shared" si="212"/>
        <v>0</v>
      </c>
      <c r="FK136" s="316">
        <f t="shared" si="212"/>
        <v>0</v>
      </c>
      <c r="FL136" s="168"/>
    </row>
    <row r="137" spans="2:168" x14ac:dyDescent="0.25">
      <c r="B137" s="107" t="s">
        <v>388</v>
      </c>
      <c r="C137" s="294"/>
      <c r="D137" s="294"/>
      <c r="E137" s="160">
        <f>TripMode_inputCBD!D118</f>
        <v>108953.89004</v>
      </c>
      <c r="F137" s="160">
        <f>TripMode_inputCBD!E118</f>
        <v>0</v>
      </c>
      <c r="G137" s="160">
        <f>TripMode_inputCBD!F118</f>
        <v>15209.7605</v>
      </c>
      <c r="H137" s="160">
        <f>TripMode_inputCBD!G118</f>
        <v>145.88488000000001</v>
      </c>
      <c r="I137" s="294"/>
      <c r="J137" s="294"/>
      <c r="K137" s="160">
        <f>TripMode_inputCBD!J118+TripMode_inputCBD!K118</f>
        <v>0</v>
      </c>
      <c r="L137" s="294"/>
      <c r="M137" s="294"/>
      <c r="N137" s="160">
        <f>TripMode_inputCBD!N118</f>
        <v>0</v>
      </c>
      <c r="O137" s="294"/>
      <c r="P137" s="162">
        <f t="shared" si="203"/>
        <v>124309.53542</v>
      </c>
      <c r="R137">
        <f t="shared" si="213"/>
        <v>0</v>
      </c>
      <c r="S137">
        <f t="shared" si="214"/>
        <v>0</v>
      </c>
      <c r="T137">
        <f t="shared" si="215"/>
        <v>0</v>
      </c>
      <c r="Y137" s="107" t="s">
        <v>388</v>
      </c>
      <c r="Z137" s="294"/>
      <c r="AA137" s="294"/>
      <c r="AB137" s="160">
        <f t="shared" si="204"/>
        <v>108953.89004</v>
      </c>
      <c r="AC137" s="160">
        <f t="shared" si="204"/>
        <v>0</v>
      </c>
      <c r="AD137" s="160">
        <f t="shared" si="204"/>
        <v>15209.7605</v>
      </c>
      <c r="AE137" s="160">
        <f t="shared" si="204"/>
        <v>145.88488000000001</v>
      </c>
      <c r="AF137" s="294"/>
      <c r="AG137" s="294"/>
      <c r="AH137" s="160">
        <f>AH143*R137</f>
        <v>0</v>
      </c>
      <c r="AI137" s="294"/>
      <c r="AJ137" s="294"/>
      <c r="AK137" s="160">
        <f>+N137</f>
        <v>0</v>
      </c>
      <c r="AL137" s="294"/>
      <c r="AM137" s="162">
        <f t="shared" si="205"/>
        <v>124309.53542</v>
      </c>
      <c r="AO137" s="107" t="s">
        <v>388</v>
      </c>
      <c r="AP137" s="294">
        <f>TripMode_inputCBD!R118*Index!$B$2</f>
        <v>0</v>
      </c>
      <c r="AQ137" s="294">
        <f>TripMode_inputCBD!S118*Index!$B$2</f>
        <v>0</v>
      </c>
      <c r="AR137" s="160">
        <f>TripMode_inputCBD!T118*Index!$B$2</f>
        <v>10080</v>
      </c>
      <c r="AS137" s="160">
        <f>TripMode_inputCBD!U118*Index!$B$2</f>
        <v>225</v>
      </c>
      <c r="AT137" s="160">
        <f>TripMode_inputCBD!V118*Index!$B$2</f>
        <v>235</v>
      </c>
      <c r="AU137" s="160">
        <f>TripMode_inputCBD!W118*Index!$B$2</f>
        <v>10</v>
      </c>
      <c r="AV137" s="294">
        <f>TripMode_inputCBD!X118*Index!$B$2</f>
        <v>0</v>
      </c>
      <c r="AW137" s="294">
        <f>TripMode_inputCBD!Y118*Index!$B$2</f>
        <v>0</v>
      </c>
      <c r="AX137" s="160">
        <f>TripMode_inputCBD!AA118*Index!$B$2</f>
        <v>180</v>
      </c>
      <c r="AY137" s="160">
        <f>TripMode_inputCBD!AB118*Index!$B$2</f>
        <v>0</v>
      </c>
      <c r="AZ137" s="160">
        <f>TripMode_inputCBD!AC118*Index!$B$2</f>
        <v>0</v>
      </c>
      <c r="BA137" s="160">
        <f>TripMode_inputCBD!AD118*Index!$B$2</f>
        <v>0</v>
      </c>
      <c r="BB137" s="294">
        <f>TripMode_inputCBD!AE118*Index!$B$2</f>
        <v>0</v>
      </c>
      <c r="BC137" s="162">
        <f t="shared" si="206"/>
        <v>10730</v>
      </c>
      <c r="BE137" s="107" t="s">
        <v>576</v>
      </c>
      <c r="BF137" s="166" t="str">
        <f>IF(Z$148+AA$148&gt;0,SUM(Z137:AA138)/(Z$148+AA$148),"")</f>
        <v/>
      </c>
      <c r="BG137" s="166"/>
      <c r="BH137" s="166">
        <f>IF(AB$148+AC$148&gt;0,SUM(AB137:AC138)/(AB$148+AC$148),"")</f>
        <v>0.99487899549552794</v>
      </c>
      <c r="BI137" s="166"/>
      <c r="BJ137" s="166">
        <f>IF(AD$148+AE$148&gt;0,SUM(AD137:AE138)/(AD$148+AE$148),"")</f>
        <v>8.3718527816155158E-2</v>
      </c>
      <c r="BK137" s="166"/>
      <c r="BL137" s="166">
        <f t="shared" ref="BL137:BS137" si="217">IF(AF$148&gt;0,(AF137+AF138)/AF$148,"")</f>
        <v>0</v>
      </c>
      <c r="BM137" s="166">
        <f t="shared" si="217"/>
        <v>0</v>
      </c>
      <c r="BN137" s="166">
        <f t="shared" si="217"/>
        <v>0</v>
      </c>
      <c r="BO137" s="166">
        <f t="shared" si="217"/>
        <v>0</v>
      </c>
      <c r="BP137" s="166">
        <f t="shared" si="217"/>
        <v>0</v>
      </c>
      <c r="BQ137" s="166" t="str">
        <f t="shared" si="217"/>
        <v/>
      </c>
      <c r="BR137" s="166" t="str">
        <f t="shared" si="217"/>
        <v/>
      </c>
      <c r="BS137" s="166">
        <f t="shared" si="217"/>
        <v>0.383636463646714</v>
      </c>
      <c r="BU137" s="107" t="s">
        <v>576</v>
      </c>
      <c r="BV137" s="166" t="str">
        <f>IF(AP$148+AQ$148&gt;0,SUM(AP137:AQ138)/(AP$148+AQ$148),"")</f>
        <v/>
      </c>
      <c r="BW137" s="166"/>
      <c r="BX137" s="166">
        <f>IF(AR$148+AS$148&gt;0,SUM(AR137:AS138)/(AR$148+AS$148),"")</f>
        <v>0.96883720930232553</v>
      </c>
      <c r="BY137" s="166"/>
      <c r="BZ137" s="166">
        <f>IF(AT$148+AU$148&gt;0,SUM(AT137:AU138)/(AT$148+AU$148),"")</f>
        <v>5.329153605015674E-2</v>
      </c>
      <c r="CA137" s="166"/>
      <c r="CB137" s="166">
        <f t="shared" ref="CB137:CI137" si="218">IF(AV$148&gt;0,(AV137+AV138)/AV$148,"")</f>
        <v>0</v>
      </c>
      <c r="CC137" s="166">
        <f t="shared" si="218"/>
        <v>0</v>
      </c>
      <c r="CD137" s="166">
        <f t="shared" si="218"/>
        <v>5.0209205020920501E-2</v>
      </c>
      <c r="CE137" s="166">
        <f t="shared" si="218"/>
        <v>0</v>
      </c>
      <c r="CF137" s="166">
        <f t="shared" si="218"/>
        <v>0</v>
      </c>
      <c r="CG137" s="166">
        <f t="shared" si="218"/>
        <v>0</v>
      </c>
      <c r="CH137" s="166" t="str">
        <f t="shared" si="218"/>
        <v/>
      </c>
      <c r="CI137" s="166">
        <f t="shared" si="218"/>
        <v>0.39750870122733101</v>
      </c>
      <c r="CK137" s="107" t="s">
        <v>388</v>
      </c>
      <c r="CL137" s="166" t="str">
        <f t="shared" si="209"/>
        <v/>
      </c>
      <c r="CM137" s="166" t="str">
        <f t="shared" si="209"/>
        <v/>
      </c>
      <c r="CN137" s="166">
        <f t="shared" si="209"/>
        <v>-2.6175832750626675E-2</v>
      </c>
      <c r="CO137" s="166" t="str">
        <f t="shared" si="209"/>
        <v/>
      </c>
      <c r="CP137" s="166"/>
      <c r="CQ137" s="166"/>
      <c r="CR137" s="166"/>
      <c r="CS137" s="166"/>
      <c r="CT137" s="166" t="str">
        <f t="shared" si="210"/>
        <v/>
      </c>
      <c r="CU137" s="166" t="str">
        <f t="shared" si="210"/>
        <v/>
      </c>
      <c r="CV137" s="166" t="str">
        <f t="shared" si="210"/>
        <v/>
      </c>
      <c r="CW137" s="166" t="str">
        <f t="shared" si="210"/>
        <v/>
      </c>
      <c r="CX137" s="166" t="str">
        <f t="shared" si="210"/>
        <v/>
      </c>
      <c r="CY137" s="168">
        <f t="shared" si="210"/>
        <v>3.6159851565600337E-2</v>
      </c>
      <c r="DA137" s="107" t="s">
        <v>576</v>
      </c>
      <c r="DB137" s="315">
        <f>IFERROR(IF(BV137&gt;0,LN(BF137/BV137),0),0)</f>
        <v>0</v>
      </c>
      <c r="DC137" s="315"/>
      <c r="DD137" s="314">
        <f>IFERROR(IF(BX137&gt;0,LN(BH137/BX137),0),0)</f>
        <v>2.6524518074475711E-2</v>
      </c>
      <c r="DE137" s="314"/>
      <c r="DF137" s="314">
        <f>IFERROR(IF(BZ137&gt;0,LN(BJ137/BZ137),0),0)</f>
        <v>0.45168279255614791</v>
      </c>
      <c r="DG137" s="314"/>
      <c r="DH137" s="315">
        <f t="shared" ref="DH137:DN137" si="219">IFERROR(IF(CB137&gt;0,LN(BL137/CB137),0),0)</f>
        <v>0</v>
      </c>
      <c r="DI137" s="315">
        <f t="shared" si="219"/>
        <v>0</v>
      </c>
      <c r="DJ137" s="314">
        <f t="shared" si="219"/>
        <v>0</v>
      </c>
      <c r="DK137" s="315">
        <f t="shared" si="219"/>
        <v>0</v>
      </c>
      <c r="DL137" s="315">
        <f t="shared" si="219"/>
        <v>0</v>
      </c>
      <c r="DM137" s="314">
        <f t="shared" si="219"/>
        <v>0</v>
      </c>
      <c r="DN137" s="315">
        <f t="shared" si="219"/>
        <v>0</v>
      </c>
      <c r="DO137" s="168"/>
      <c r="DQ137" s="107" t="s">
        <v>576</v>
      </c>
      <c r="DR137" s="315"/>
      <c r="DS137" s="315"/>
      <c r="DT137" s="314">
        <v>4.6413954774216946E-3</v>
      </c>
      <c r="DU137" s="314">
        <v>4.6413954774216946E-3</v>
      </c>
      <c r="DV137" s="314">
        <v>4.556707998353783</v>
      </c>
      <c r="DW137" s="314">
        <v>4.556707998353783</v>
      </c>
      <c r="DX137" s="315"/>
      <c r="DY137" s="315"/>
      <c r="DZ137" s="314">
        <v>-7.3493058653307557</v>
      </c>
      <c r="EA137" s="315"/>
      <c r="EB137" s="315"/>
      <c r="EC137" s="314">
        <v>1.8755309523453589</v>
      </c>
      <c r="ED137" s="315"/>
      <c r="EE137" s="168"/>
      <c r="EG137" s="107" t="s">
        <v>576</v>
      </c>
      <c r="EH137" s="315"/>
      <c r="EI137" s="315"/>
      <c r="EJ137" s="314">
        <f>DT137+(DD137-DD$135)*$EI$1</f>
        <v>3.1165913551897406E-2</v>
      </c>
      <c r="EK137" s="314">
        <f>DT137+(DD137-DD$135)*$EI$1</f>
        <v>3.1165913551897406E-2</v>
      </c>
      <c r="EL137" s="314">
        <f>DV137+(DF137-DF$135)*$EI$1</f>
        <v>5.0083907909099308</v>
      </c>
      <c r="EM137" s="314">
        <f>DV137+(DF137-DF$135)*$EI$1</f>
        <v>5.0083907909099308</v>
      </c>
      <c r="EN137" s="315"/>
      <c r="EO137" s="315"/>
      <c r="EP137" s="314">
        <f>DZ137+(DJ137-DJ$143)*$EI$1</f>
        <v>-7.4489489892262863</v>
      </c>
      <c r="EQ137" s="315"/>
      <c r="ER137" s="315"/>
      <c r="ES137" s="314">
        <f>EC137+(DM137-DM$146)*$EI$1</f>
        <v>1.8755309523453589</v>
      </c>
      <c r="ET137" s="315"/>
      <c r="EU137" s="168"/>
      <c r="EW137" s="164" t="s">
        <v>388</v>
      </c>
      <c r="EX137" s="316">
        <f t="shared" si="216"/>
        <v>0</v>
      </c>
      <c r="EY137" s="316">
        <f t="shared" si="212"/>
        <v>0</v>
      </c>
      <c r="EZ137" s="316">
        <f t="shared" si="212"/>
        <v>3.1165913551897406E-2</v>
      </c>
      <c r="FA137" s="316">
        <f t="shared" si="212"/>
        <v>3.1165913551897406E-2</v>
      </c>
      <c r="FB137" s="316">
        <f t="shared" si="212"/>
        <v>0</v>
      </c>
      <c r="FC137" s="316">
        <f t="shared" si="212"/>
        <v>0</v>
      </c>
      <c r="FD137" s="316">
        <f t="shared" si="212"/>
        <v>-2.4936390428886535</v>
      </c>
      <c r="FE137" s="316">
        <f t="shared" si="212"/>
        <v>0</v>
      </c>
      <c r="FF137" s="316"/>
      <c r="FG137" s="316">
        <f t="shared" si="212"/>
        <v>0</v>
      </c>
      <c r="FH137" s="316">
        <f t="shared" si="212"/>
        <v>0</v>
      </c>
      <c r="FI137" s="316">
        <f t="shared" si="212"/>
        <v>0</v>
      </c>
      <c r="FJ137" s="316">
        <f t="shared" si="212"/>
        <v>0</v>
      </c>
      <c r="FK137" s="316">
        <f t="shared" si="212"/>
        <v>0</v>
      </c>
      <c r="FL137" s="168"/>
    </row>
    <row r="138" spans="2:168" x14ac:dyDescent="0.25">
      <c r="B138" s="107" t="s">
        <v>389</v>
      </c>
      <c r="C138" s="294"/>
      <c r="D138" s="294"/>
      <c r="E138" s="160">
        <f>TripMode_inputCBD!D119</f>
        <v>0</v>
      </c>
      <c r="F138" s="160">
        <f>TripMode_inputCBD!E119</f>
        <v>1492.9328700000001</v>
      </c>
      <c r="G138" s="160">
        <f>TripMode_inputCBD!F119</f>
        <v>0</v>
      </c>
      <c r="H138" s="160">
        <f>TripMode_inputCBD!G119</f>
        <v>13.45144</v>
      </c>
      <c r="I138" s="294"/>
      <c r="J138" s="294"/>
      <c r="K138" s="160">
        <f>TripMode_inputCBD!J119+TripMode_inputCBD!K119</f>
        <v>0</v>
      </c>
      <c r="L138" s="294"/>
      <c r="M138" s="294"/>
      <c r="N138" s="160">
        <f>TripMode_inputCBD!N119</f>
        <v>0</v>
      </c>
      <c r="O138" s="294"/>
      <c r="P138" s="162">
        <f t="shared" si="203"/>
        <v>1506.3843100000001</v>
      </c>
      <c r="R138">
        <f t="shared" si="213"/>
        <v>0</v>
      </c>
      <c r="S138">
        <f t="shared" si="214"/>
        <v>0</v>
      </c>
      <c r="T138">
        <f t="shared" si="215"/>
        <v>0</v>
      </c>
      <c r="Y138" s="107" t="s">
        <v>389</v>
      </c>
      <c r="Z138" s="294"/>
      <c r="AA138" s="294"/>
      <c r="AB138" s="160">
        <f t="shared" si="204"/>
        <v>0</v>
      </c>
      <c r="AC138" s="160">
        <f t="shared" si="204"/>
        <v>1492.9328700000001</v>
      </c>
      <c r="AD138" s="160">
        <f t="shared" si="204"/>
        <v>0</v>
      </c>
      <c r="AE138" s="160">
        <f t="shared" si="204"/>
        <v>13.45144</v>
      </c>
      <c r="AF138" s="294"/>
      <c r="AG138" s="294"/>
      <c r="AH138" s="160">
        <f>AH143*R138</f>
        <v>0</v>
      </c>
      <c r="AI138" s="294"/>
      <c r="AJ138" s="294"/>
      <c r="AK138" s="160">
        <f>+N138</f>
        <v>0</v>
      </c>
      <c r="AL138" s="294"/>
      <c r="AM138" s="162">
        <f t="shared" si="205"/>
        <v>1506.3843100000001</v>
      </c>
      <c r="AO138" s="107" t="s">
        <v>389</v>
      </c>
      <c r="AP138" s="294">
        <f>TripMode_inputCBD!R119*Index!$B$2</f>
        <v>0</v>
      </c>
      <c r="AQ138" s="294">
        <f>TripMode_inputCBD!S119*Index!$B$2</f>
        <v>0</v>
      </c>
      <c r="AR138" s="160">
        <f>TripMode_inputCBD!T119*Index!$B$2</f>
        <v>0</v>
      </c>
      <c r="AS138" s="160">
        <f>TripMode_inputCBD!U119*Index!$B$2</f>
        <v>110</v>
      </c>
      <c r="AT138" s="160">
        <f>TripMode_inputCBD!V119*Index!$B$2</f>
        <v>0</v>
      </c>
      <c r="AU138" s="160">
        <f>TripMode_inputCBD!W119*Index!$B$2</f>
        <v>10</v>
      </c>
      <c r="AV138" s="294">
        <f>TripMode_inputCBD!X119*Index!$B$2</f>
        <v>0</v>
      </c>
      <c r="AW138" s="294">
        <f>TripMode_inputCBD!Y119*Index!$B$2</f>
        <v>0</v>
      </c>
      <c r="AX138" s="160">
        <f>TripMode_inputCBD!AA119*Index!$B$2</f>
        <v>0</v>
      </c>
      <c r="AY138" s="160">
        <f>TripMode_inputCBD!AB119*Index!$B$2</f>
        <v>0</v>
      </c>
      <c r="AZ138" s="160">
        <f>TripMode_inputCBD!AC119*Index!$B$2</f>
        <v>0</v>
      </c>
      <c r="BA138" s="160">
        <f>TripMode_inputCBD!AD119*Index!$B$2</f>
        <v>0</v>
      </c>
      <c r="BB138" s="294">
        <f>TripMode_inputCBD!AE119*Index!$B$2</f>
        <v>0</v>
      </c>
      <c r="BC138" s="162">
        <f t="shared" si="206"/>
        <v>120</v>
      </c>
      <c r="BE138" s="107"/>
      <c r="BF138" s="166"/>
      <c r="BG138" s="166"/>
      <c r="BH138" s="166"/>
      <c r="BI138" s="166"/>
      <c r="BJ138" s="166"/>
      <c r="BK138" s="166"/>
      <c r="BL138" s="166"/>
      <c r="BM138" s="166"/>
      <c r="BN138" s="166"/>
      <c r="BO138" s="166"/>
      <c r="BP138" s="166"/>
      <c r="BQ138" s="166"/>
      <c r="BR138" s="166"/>
      <c r="BS138" s="166"/>
      <c r="BU138" s="107"/>
      <c r="BV138" s="166"/>
      <c r="BW138" s="166"/>
      <c r="BX138" s="166"/>
      <c r="BY138" s="166"/>
      <c r="BZ138" s="166"/>
      <c r="CA138" s="166"/>
      <c r="CB138" s="166"/>
      <c r="CC138" s="166"/>
      <c r="CD138" s="166"/>
      <c r="CE138" s="166"/>
      <c r="CF138" s="166"/>
      <c r="CG138" s="166"/>
      <c r="CH138" s="166"/>
      <c r="CI138" s="166"/>
      <c r="CK138" s="107" t="s">
        <v>389</v>
      </c>
      <c r="CL138" s="166" t="str">
        <f t="shared" si="209"/>
        <v/>
      </c>
      <c r="CM138" s="166" t="str">
        <f t="shared" si="209"/>
        <v/>
      </c>
      <c r="CN138" s="166" t="str">
        <f t="shared" si="209"/>
        <v/>
      </c>
      <c r="CO138" s="166" t="str">
        <f t="shared" si="209"/>
        <v/>
      </c>
      <c r="CP138" s="166"/>
      <c r="CQ138" s="166"/>
      <c r="CR138" s="166"/>
      <c r="CS138" s="166"/>
      <c r="CT138" s="166" t="str">
        <f t="shared" si="210"/>
        <v/>
      </c>
      <c r="CU138" s="166" t="str">
        <f t="shared" si="210"/>
        <v/>
      </c>
      <c r="CV138" s="166" t="str">
        <f t="shared" si="210"/>
        <v/>
      </c>
      <c r="CW138" s="166" t="str">
        <f t="shared" si="210"/>
        <v/>
      </c>
      <c r="CX138" s="166" t="str">
        <f t="shared" si="210"/>
        <v/>
      </c>
      <c r="CY138" s="168" t="str">
        <f t="shared" si="210"/>
        <v/>
      </c>
      <c r="DA138" s="107"/>
      <c r="DB138" s="315"/>
      <c r="DC138" s="315"/>
      <c r="DD138" s="314"/>
      <c r="DE138" s="314"/>
      <c r="DF138" s="314"/>
      <c r="DG138" s="314"/>
      <c r="DH138" s="315"/>
      <c r="DI138" s="315"/>
      <c r="DJ138" s="314"/>
      <c r="DK138" s="315"/>
      <c r="DL138" s="315"/>
      <c r="DM138" s="314"/>
      <c r="DN138" s="315"/>
      <c r="DO138" s="168"/>
      <c r="DQ138" s="107"/>
      <c r="DR138" s="315"/>
      <c r="DS138" s="315"/>
      <c r="DT138" s="314">
        <v>4.6413954774216946E-3</v>
      </c>
      <c r="DU138" s="314">
        <v>4.6413954774216946E-3</v>
      </c>
      <c r="DV138" s="314">
        <v>4.556707998353783</v>
      </c>
      <c r="DW138" s="314">
        <v>4.556707998353783</v>
      </c>
      <c r="DX138" s="315"/>
      <c r="DY138" s="315"/>
      <c r="DZ138" s="314">
        <v>-7.3493058653307557</v>
      </c>
      <c r="EA138" s="315"/>
      <c r="EB138" s="315"/>
      <c r="EC138" s="314">
        <v>1.8755309523453589</v>
      </c>
      <c r="ED138" s="315"/>
      <c r="EE138" s="168"/>
      <c r="EG138" s="107"/>
      <c r="EH138" s="315"/>
      <c r="EI138" s="315"/>
      <c r="EJ138" s="314">
        <f>DT137+(DD137-DD$135)*$EI$1</f>
        <v>3.1165913551897406E-2</v>
      </c>
      <c r="EK138" s="314">
        <f>DT137+(DD137-DD$135)*$EI$1</f>
        <v>3.1165913551897406E-2</v>
      </c>
      <c r="EL138" s="314">
        <f>DV137+(DF137-DF$135)*$EI$1</f>
        <v>5.0083907909099308</v>
      </c>
      <c r="EM138" s="314">
        <f>DV137+(DF137-DF$135)*$EI$1</f>
        <v>5.0083907909099308</v>
      </c>
      <c r="EN138" s="315"/>
      <c r="EO138" s="315"/>
      <c r="EP138" s="314">
        <f>DZ137+(DJ137-DJ$143)*$EI$1</f>
        <v>-7.4489489892262863</v>
      </c>
      <c r="EQ138" s="315"/>
      <c r="ER138" s="315"/>
      <c r="ES138" s="314">
        <f>EC137+(DM137-DM$146)*$EI$1</f>
        <v>1.8755309523453589</v>
      </c>
      <c r="ET138" s="315"/>
      <c r="EU138" s="168"/>
      <c r="EW138" s="164" t="s">
        <v>389</v>
      </c>
      <c r="EX138" s="316">
        <f t="shared" si="216"/>
        <v>0</v>
      </c>
      <c r="EY138" s="316">
        <f t="shared" si="212"/>
        <v>0</v>
      </c>
      <c r="EZ138" s="316">
        <f t="shared" si="212"/>
        <v>3.1165913551897406E-2</v>
      </c>
      <c r="FA138" s="316">
        <f t="shared" si="212"/>
        <v>3.1165913551897406E-2</v>
      </c>
      <c r="FB138" s="316">
        <f t="shared" si="212"/>
        <v>0</v>
      </c>
      <c r="FC138" s="316">
        <f t="shared" si="212"/>
        <v>0</v>
      </c>
      <c r="FD138" s="316">
        <f t="shared" si="212"/>
        <v>-2.4936390428886535</v>
      </c>
      <c r="FE138" s="316">
        <f t="shared" si="212"/>
        <v>0</v>
      </c>
      <c r="FF138" s="316"/>
      <c r="FG138" s="316">
        <f t="shared" si="212"/>
        <v>0</v>
      </c>
      <c r="FH138" s="316">
        <f t="shared" si="212"/>
        <v>0</v>
      </c>
      <c r="FI138" s="316">
        <f t="shared" si="212"/>
        <v>0</v>
      </c>
      <c r="FJ138" s="316">
        <f t="shared" si="212"/>
        <v>0</v>
      </c>
      <c r="FK138" s="316">
        <f t="shared" si="212"/>
        <v>0</v>
      </c>
      <c r="FL138" s="168"/>
    </row>
    <row r="139" spans="2:168" x14ac:dyDescent="0.25">
      <c r="B139" s="107" t="s">
        <v>390</v>
      </c>
      <c r="C139" s="294"/>
      <c r="D139" s="294"/>
      <c r="E139" s="294"/>
      <c r="F139" s="294"/>
      <c r="G139" s="160">
        <f>TripMode_inputCBD!F120</f>
        <v>164371.74776</v>
      </c>
      <c r="H139" s="160">
        <f>TripMode_inputCBD!G120</f>
        <v>666.58996999999999</v>
      </c>
      <c r="I139" s="294"/>
      <c r="J139" s="294"/>
      <c r="K139" s="160">
        <f>TripMode_inputCBD!J120+TripMode_inputCBD!K120</f>
        <v>0</v>
      </c>
      <c r="L139" s="294"/>
      <c r="M139" s="294"/>
      <c r="N139" s="160">
        <f>TripMode_inputCBD!N120</f>
        <v>0</v>
      </c>
      <c r="O139" s="294"/>
      <c r="P139" s="162">
        <f t="shared" si="203"/>
        <v>165038.33773</v>
      </c>
      <c r="R139">
        <f t="shared" si="213"/>
        <v>0</v>
      </c>
      <c r="S139">
        <f t="shared" si="214"/>
        <v>0</v>
      </c>
      <c r="T139">
        <f t="shared" si="215"/>
        <v>0</v>
      </c>
      <c r="Y139" s="107" t="s">
        <v>390</v>
      </c>
      <c r="Z139" s="294"/>
      <c r="AA139" s="294"/>
      <c r="AB139" s="294"/>
      <c r="AC139" s="294"/>
      <c r="AD139" s="160">
        <f t="shared" si="204"/>
        <v>164371.74776</v>
      </c>
      <c r="AE139" s="160">
        <f t="shared" si="204"/>
        <v>666.58996999999999</v>
      </c>
      <c r="AF139" s="294"/>
      <c r="AG139" s="294"/>
      <c r="AH139" s="160">
        <f>AH143*R139</f>
        <v>0</v>
      </c>
      <c r="AI139" s="294"/>
      <c r="AJ139" s="294"/>
      <c r="AK139" s="160">
        <f>+N139</f>
        <v>0</v>
      </c>
      <c r="AL139" s="294"/>
      <c r="AM139" s="162">
        <f t="shared" si="205"/>
        <v>165038.33773</v>
      </c>
      <c r="AO139" s="107" t="s">
        <v>390</v>
      </c>
      <c r="AP139" s="294">
        <f>TripMode_inputCBD!R120*Index!$B$2</f>
        <v>0</v>
      </c>
      <c r="AQ139" s="294">
        <f>TripMode_inputCBD!S120*Index!$B$2</f>
        <v>0</v>
      </c>
      <c r="AR139" s="294">
        <f>TripMode_inputCBD!T120*Index!$B$2</f>
        <v>0</v>
      </c>
      <c r="AS139" s="294">
        <f>TripMode_inputCBD!U120*Index!$B$2</f>
        <v>0</v>
      </c>
      <c r="AT139" s="160">
        <f>TripMode_inputCBD!V120*Index!$B$2</f>
        <v>3980</v>
      </c>
      <c r="AU139" s="160">
        <f>TripMode_inputCBD!W120*Index!$B$2</f>
        <v>220</v>
      </c>
      <c r="AV139" s="294">
        <f>TripMode_inputCBD!X120*Index!$B$2</f>
        <v>0</v>
      </c>
      <c r="AW139" s="294">
        <f>TripMode_inputCBD!Y120*Index!$B$2</f>
        <v>0</v>
      </c>
      <c r="AX139" s="160">
        <f>TripMode_inputCBD!AA120*Index!$B$2</f>
        <v>15</v>
      </c>
      <c r="AY139" s="160">
        <f>TripMode_inputCBD!AB120*Index!$B$2</f>
        <v>0</v>
      </c>
      <c r="AZ139" s="160">
        <f>TripMode_inputCBD!AC120*Index!$B$2</f>
        <v>0</v>
      </c>
      <c r="BA139" s="160">
        <f>TripMode_inputCBD!AD120*Index!$B$2</f>
        <v>0</v>
      </c>
      <c r="BB139" s="294">
        <f>TripMode_inputCBD!AE120*Index!$B$2</f>
        <v>0</v>
      </c>
      <c r="BC139" s="162">
        <f t="shared" si="206"/>
        <v>4215</v>
      </c>
      <c r="BE139" s="107" t="s">
        <v>577</v>
      </c>
      <c r="BF139" s="166" t="str">
        <f>IF(Z$148+AA$148&gt;0,SUM(Z139:AA140)/(Z$148+AA$148),"")</f>
        <v/>
      </c>
      <c r="BG139" s="166"/>
      <c r="BH139" s="166">
        <f>IF(AB$148+AC$148&gt;0,SUM(AB139:AC140)/(AB$148+AC$148),"")</f>
        <v>0</v>
      </c>
      <c r="BI139" s="166"/>
      <c r="BJ139" s="166">
        <f>IF(AD$148+AE$148&gt;0,SUM(AD139:AE140)/(AD$148+AE$148),"")</f>
        <v>0.90677217199135141</v>
      </c>
      <c r="BK139" s="166"/>
      <c r="BL139" s="166">
        <f t="shared" ref="BL139:BS139" si="220">IF(AF$148&gt;0,(AF139+AF140)/AF$148,"")</f>
        <v>0</v>
      </c>
      <c r="BM139" s="166">
        <f t="shared" si="220"/>
        <v>0</v>
      </c>
      <c r="BN139" s="166">
        <f t="shared" si="220"/>
        <v>0</v>
      </c>
      <c r="BO139" s="166">
        <f t="shared" si="220"/>
        <v>0</v>
      </c>
      <c r="BP139" s="166">
        <f t="shared" si="220"/>
        <v>0</v>
      </c>
      <c r="BQ139" s="166" t="str">
        <f t="shared" si="220"/>
        <v/>
      </c>
      <c r="BR139" s="166" t="str">
        <f t="shared" si="220"/>
        <v/>
      </c>
      <c r="BS139" s="166">
        <f t="shared" si="220"/>
        <v>0.50758552619416331</v>
      </c>
      <c r="BU139" s="107" t="s">
        <v>577</v>
      </c>
      <c r="BV139" s="166" t="str">
        <f>IF(AP$148+AQ$148&gt;0,SUM(AP139:AQ140)/(AP$148+AQ$148),"")</f>
        <v/>
      </c>
      <c r="BW139" s="166"/>
      <c r="BX139" s="166">
        <f>IF(AR$148+AS$148&gt;0,SUM(AR139:AS140)/(AR$148+AS$148),"")</f>
        <v>0</v>
      </c>
      <c r="BY139" s="166"/>
      <c r="BZ139" s="166">
        <f>IF(AT$148+AU$148&gt;0,SUM(AT139:AU140)/(AT$148+AU$148),"")</f>
        <v>0.89864158829676066</v>
      </c>
      <c r="CA139" s="166"/>
      <c r="CB139" s="166">
        <f t="shared" ref="CB139:CI139" si="221">IF(AV$148&gt;0,(AV139+AV140)/AV$148,"")</f>
        <v>0</v>
      </c>
      <c r="CC139" s="166">
        <f t="shared" si="221"/>
        <v>0</v>
      </c>
      <c r="CD139" s="166">
        <f t="shared" si="221"/>
        <v>5.5788005578800556E-3</v>
      </c>
      <c r="CE139" s="166">
        <f t="shared" si="221"/>
        <v>0</v>
      </c>
      <c r="CF139" s="166">
        <f t="shared" si="221"/>
        <v>0</v>
      </c>
      <c r="CG139" s="166">
        <f t="shared" si="221"/>
        <v>0</v>
      </c>
      <c r="CH139" s="166" t="str">
        <f t="shared" si="221"/>
        <v/>
      </c>
      <c r="CI139" s="166">
        <f t="shared" si="221"/>
        <v>0.15827074555779447</v>
      </c>
      <c r="CK139" s="107" t="s">
        <v>390</v>
      </c>
      <c r="CL139" s="166"/>
      <c r="CM139" s="166"/>
      <c r="CN139" s="166"/>
      <c r="CO139" s="166"/>
      <c r="CP139" s="166"/>
      <c r="CQ139" s="166"/>
      <c r="CR139" s="166"/>
      <c r="CS139" s="166"/>
      <c r="CT139" s="166"/>
      <c r="CU139" s="166"/>
      <c r="CV139" s="166"/>
      <c r="CW139" s="166"/>
      <c r="CX139" s="166"/>
      <c r="CY139" s="168"/>
      <c r="DA139" s="107" t="s">
        <v>577</v>
      </c>
      <c r="DB139" s="315">
        <f>IFERROR(IF(BV139&gt;0,LN(BF139/BV139),0),0)</f>
        <v>0</v>
      </c>
      <c r="DC139" s="315"/>
      <c r="DD139" s="315">
        <f>IFERROR(IF(BX139&gt;0,LN(BH139/BX139),0),0)</f>
        <v>0</v>
      </c>
      <c r="DE139" s="315"/>
      <c r="DF139" s="314">
        <f>IFERROR(IF(BZ139&gt;0,LN(BJ139/BZ139),0),0)</f>
        <v>9.0069532421116743E-3</v>
      </c>
      <c r="DG139" s="314"/>
      <c r="DH139" s="315">
        <f t="shared" ref="DH139:DN139" si="222">IFERROR(IF(CB139&gt;0,LN(BL139/CB139),0),0)</f>
        <v>0</v>
      </c>
      <c r="DI139" s="315">
        <f t="shared" si="222"/>
        <v>0</v>
      </c>
      <c r="DJ139" s="314">
        <f t="shared" si="222"/>
        <v>0</v>
      </c>
      <c r="DK139" s="315">
        <f t="shared" si="222"/>
        <v>0</v>
      </c>
      <c r="DL139" s="315">
        <f t="shared" si="222"/>
        <v>0</v>
      </c>
      <c r="DM139" s="314">
        <f t="shared" si="222"/>
        <v>0</v>
      </c>
      <c r="DN139" s="315">
        <f t="shared" si="222"/>
        <v>0</v>
      </c>
      <c r="DO139" s="168"/>
      <c r="DQ139" s="107" t="s">
        <v>577</v>
      </c>
      <c r="DR139" s="315"/>
      <c r="DS139" s="315"/>
      <c r="DT139" s="315"/>
      <c r="DU139" s="315"/>
      <c r="DV139" s="314">
        <v>-0.15372525959346089</v>
      </c>
      <c r="DW139" s="314">
        <v>-0.15372525959346089</v>
      </c>
      <c r="DX139" s="315"/>
      <c r="DY139" s="315"/>
      <c r="DZ139" s="314">
        <v>-2.2755749908965095</v>
      </c>
      <c r="EA139" s="315"/>
      <c r="EB139" s="315"/>
      <c r="EC139" s="314">
        <v>0.21181052787489524</v>
      </c>
      <c r="ED139" s="315"/>
      <c r="EE139" s="168"/>
      <c r="EG139" s="107" t="s">
        <v>577</v>
      </c>
      <c r="EH139" s="315"/>
      <c r="EI139" s="315"/>
      <c r="EJ139" s="315"/>
      <c r="EK139" s="315"/>
      <c r="EL139" s="314">
        <f>DV139+(DF139-DF$135)*$EI$1</f>
        <v>-0.14471830635134922</v>
      </c>
      <c r="EM139" s="314">
        <f>DV139+(DF139-DF$135)*$EI$1</f>
        <v>-0.14471830635134922</v>
      </c>
      <c r="EN139" s="315"/>
      <c r="EO139" s="315"/>
      <c r="EP139" s="314">
        <f>DZ139+(DJ139-DJ$143)*$EI$1</f>
        <v>-2.3752181147920397</v>
      </c>
      <c r="EQ139" s="315"/>
      <c r="ER139" s="315"/>
      <c r="ES139" s="314">
        <f>EC139+(DM139-DM$146)*$EI$1</f>
        <v>0.21181052787489524</v>
      </c>
      <c r="ET139" s="315"/>
      <c r="EU139" s="168"/>
      <c r="EW139" s="164" t="s">
        <v>390</v>
      </c>
      <c r="EX139" s="316">
        <f t="shared" si="216"/>
        <v>0</v>
      </c>
      <c r="EY139" s="316">
        <f t="shared" si="212"/>
        <v>0</v>
      </c>
      <c r="EZ139" s="316">
        <f t="shared" si="212"/>
        <v>5.0083907909099308</v>
      </c>
      <c r="FA139" s="316">
        <f t="shared" si="212"/>
        <v>5.0083907909099308</v>
      </c>
      <c r="FB139" s="316">
        <f t="shared" si="212"/>
        <v>-0.14471830635134922</v>
      </c>
      <c r="FC139" s="316">
        <f t="shared" si="212"/>
        <v>-0.14471830635134922</v>
      </c>
      <c r="FD139" s="316">
        <f t="shared" si="212"/>
        <v>-3.8491976884169632</v>
      </c>
      <c r="FE139" s="316">
        <f t="shared" si="212"/>
        <v>0</v>
      </c>
      <c r="FF139" s="316"/>
      <c r="FG139" s="316">
        <f t="shared" si="212"/>
        <v>0</v>
      </c>
      <c r="FH139" s="316">
        <f t="shared" si="212"/>
        <v>0</v>
      </c>
      <c r="FI139" s="316">
        <f t="shared" si="212"/>
        <v>0</v>
      </c>
      <c r="FJ139" s="316">
        <f t="shared" si="212"/>
        <v>0</v>
      </c>
      <c r="FK139" s="316">
        <f t="shared" si="212"/>
        <v>0</v>
      </c>
      <c r="FL139" s="168"/>
    </row>
    <row r="140" spans="2:168" x14ac:dyDescent="0.25">
      <c r="B140" s="107" t="s">
        <v>391</v>
      </c>
      <c r="C140" s="294"/>
      <c r="D140" s="294"/>
      <c r="E140" s="294"/>
      <c r="F140" s="294"/>
      <c r="G140" s="160">
        <f>TripMode_inputCBD!F121</f>
        <v>0</v>
      </c>
      <c r="H140" s="160">
        <f>TripMode_inputCBD!G121</f>
        <v>1427.4335699999999</v>
      </c>
      <c r="I140" s="294"/>
      <c r="J140" s="294"/>
      <c r="K140" s="160">
        <f>TripMode_inputCBD!J121+TripMode_inputCBD!K121</f>
        <v>0</v>
      </c>
      <c r="L140" s="294"/>
      <c r="M140" s="294"/>
      <c r="N140" s="160">
        <f>TripMode_inputCBD!N121</f>
        <v>0</v>
      </c>
      <c r="O140" s="294"/>
      <c r="P140" s="162">
        <f t="shared" si="203"/>
        <v>1427.4335699999999</v>
      </c>
      <c r="R140">
        <f t="shared" si="213"/>
        <v>0</v>
      </c>
      <c r="S140">
        <f t="shared" si="214"/>
        <v>0</v>
      </c>
      <c r="T140">
        <f t="shared" si="215"/>
        <v>0</v>
      </c>
      <c r="Y140" s="107" t="s">
        <v>391</v>
      </c>
      <c r="Z140" s="294"/>
      <c r="AA140" s="294"/>
      <c r="AB140" s="294"/>
      <c r="AC140" s="294"/>
      <c r="AD140" s="160">
        <f t="shared" si="204"/>
        <v>0</v>
      </c>
      <c r="AE140" s="160">
        <f t="shared" si="204"/>
        <v>1427.4335699999999</v>
      </c>
      <c r="AF140" s="294"/>
      <c r="AG140" s="294"/>
      <c r="AH140" s="160">
        <f>AH143*R140</f>
        <v>0</v>
      </c>
      <c r="AI140" s="294"/>
      <c r="AJ140" s="294"/>
      <c r="AK140" s="160">
        <f>+N140</f>
        <v>0</v>
      </c>
      <c r="AL140" s="294"/>
      <c r="AM140" s="162">
        <f t="shared" si="205"/>
        <v>1427.4335699999999</v>
      </c>
      <c r="AO140" s="107" t="s">
        <v>391</v>
      </c>
      <c r="AP140" s="294">
        <f>TripMode_inputCBD!R121*Index!$B$2</f>
        <v>0</v>
      </c>
      <c r="AQ140" s="294">
        <f>TripMode_inputCBD!S121*Index!$B$2</f>
        <v>0</v>
      </c>
      <c r="AR140" s="294">
        <f>TripMode_inputCBD!T121*Index!$B$2</f>
        <v>0</v>
      </c>
      <c r="AS140" s="294">
        <f>TripMode_inputCBD!U121*Index!$B$2</f>
        <v>0</v>
      </c>
      <c r="AT140" s="160">
        <f>TripMode_inputCBD!V121*Index!$B$2</f>
        <v>40</v>
      </c>
      <c r="AU140" s="160">
        <f>TripMode_inputCBD!W121*Index!$B$2</f>
        <v>60</v>
      </c>
      <c r="AV140" s="294">
        <f>TripMode_inputCBD!X121*Index!$B$2</f>
        <v>0</v>
      </c>
      <c r="AW140" s="294">
        <f>TripMode_inputCBD!Y121*Index!$B$2</f>
        <v>0</v>
      </c>
      <c r="AX140" s="160">
        <f>TripMode_inputCBD!AA121*Index!$B$2</f>
        <v>5</v>
      </c>
      <c r="AY140" s="160">
        <f>TripMode_inputCBD!AB121*Index!$B$2</f>
        <v>0</v>
      </c>
      <c r="AZ140" s="160">
        <f>TripMode_inputCBD!AC121*Index!$B$2</f>
        <v>0</v>
      </c>
      <c r="BA140" s="160">
        <f>TripMode_inputCBD!AD121*Index!$B$2</f>
        <v>0</v>
      </c>
      <c r="BB140" s="294">
        <f>TripMode_inputCBD!AE121*Index!$B$2</f>
        <v>0</v>
      </c>
      <c r="BC140" s="162">
        <f t="shared" si="206"/>
        <v>105</v>
      </c>
      <c r="BE140" s="107"/>
      <c r="BF140" s="166"/>
      <c r="BG140" s="166"/>
      <c r="BH140" s="166"/>
      <c r="BI140" s="166"/>
      <c r="BJ140" s="166"/>
      <c r="BK140" s="166"/>
      <c r="BL140" s="166"/>
      <c r="BM140" s="166"/>
      <c r="BN140" s="166"/>
      <c r="BO140" s="166"/>
      <c r="BP140" s="166"/>
      <c r="BQ140" s="166"/>
      <c r="BR140" s="166"/>
      <c r="BS140" s="166"/>
      <c r="BU140" s="107"/>
      <c r="BV140" s="166"/>
      <c r="BW140" s="166"/>
      <c r="BX140" s="166"/>
      <c r="BY140" s="166"/>
      <c r="BZ140" s="166"/>
      <c r="CA140" s="166"/>
      <c r="CB140" s="166"/>
      <c r="CC140" s="166"/>
      <c r="CD140" s="166"/>
      <c r="CE140" s="166"/>
      <c r="CF140" s="166"/>
      <c r="CG140" s="166"/>
      <c r="CH140" s="166"/>
      <c r="CI140" s="166"/>
      <c r="CK140" s="107" t="s">
        <v>391</v>
      </c>
      <c r="CL140" s="166"/>
      <c r="CM140" s="166"/>
      <c r="CN140" s="166"/>
      <c r="CO140" s="166"/>
      <c r="CP140" s="166"/>
      <c r="CQ140" s="166"/>
      <c r="CR140" s="166"/>
      <c r="CS140" s="166"/>
      <c r="CT140" s="166"/>
      <c r="CU140" s="166"/>
      <c r="CV140" s="166"/>
      <c r="CW140" s="166"/>
      <c r="CX140" s="166"/>
      <c r="CY140" s="168"/>
      <c r="DA140" s="107"/>
      <c r="DB140" s="315"/>
      <c r="DC140" s="315"/>
      <c r="DD140" s="315"/>
      <c r="DE140" s="315"/>
      <c r="DF140" s="314"/>
      <c r="DG140" s="314"/>
      <c r="DH140" s="315"/>
      <c r="DI140" s="315"/>
      <c r="DJ140" s="314"/>
      <c r="DK140" s="315"/>
      <c r="DL140" s="315"/>
      <c r="DM140" s="314"/>
      <c r="DN140" s="315"/>
      <c r="DO140" s="168"/>
      <c r="DQ140" s="107"/>
      <c r="DR140" s="315"/>
      <c r="DS140" s="315"/>
      <c r="DT140" s="315"/>
      <c r="DU140" s="315"/>
      <c r="DV140" s="314">
        <v>-0.15372525959346089</v>
      </c>
      <c r="DW140" s="314">
        <v>-0.15372525959346089</v>
      </c>
      <c r="DX140" s="315"/>
      <c r="DY140" s="315"/>
      <c r="DZ140" s="314">
        <v>-2.2755749908965095</v>
      </c>
      <c r="EA140" s="315"/>
      <c r="EB140" s="315"/>
      <c r="EC140" s="314">
        <v>0.21181052787489524</v>
      </c>
      <c r="ED140" s="315"/>
      <c r="EE140" s="168"/>
      <c r="EG140" s="107"/>
      <c r="EH140" s="315"/>
      <c r="EI140" s="315"/>
      <c r="EJ140" s="315"/>
      <c r="EK140" s="315"/>
      <c r="EL140" s="314">
        <f>DV139+(DF139-DF$135)*$EI$1</f>
        <v>-0.14471830635134922</v>
      </c>
      <c r="EM140" s="314">
        <f>DV139+(DF139-DF$135)*$EI$1</f>
        <v>-0.14471830635134922</v>
      </c>
      <c r="EN140" s="315"/>
      <c r="EO140" s="315"/>
      <c r="EP140" s="314">
        <f>DZ139+(DJ139-DJ$143)*$EI$1</f>
        <v>-2.3752181147920397</v>
      </c>
      <c r="EQ140" s="315"/>
      <c r="ER140" s="315"/>
      <c r="ES140" s="314">
        <f>EC139+(DM139-DM$146)*$EI$1</f>
        <v>0.21181052787489524</v>
      </c>
      <c r="ET140" s="315"/>
      <c r="EU140" s="168"/>
      <c r="EW140" s="164" t="s">
        <v>391</v>
      </c>
      <c r="EX140" s="316">
        <f t="shared" si="216"/>
        <v>0</v>
      </c>
      <c r="EY140" s="316">
        <f t="shared" si="212"/>
        <v>0</v>
      </c>
      <c r="EZ140" s="316">
        <f t="shared" si="212"/>
        <v>5.0083907909099308</v>
      </c>
      <c r="FA140" s="316">
        <f t="shared" si="212"/>
        <v>5.0083907909099308</v>
      </c>
      <c r="FB140" s="316">
        <f t="shared" si="212"/>
        <v>-0.14471830635134922</v>
      </c>
      <c r="FC140" s="316">
        <f t="shared" si="212"/>
        <v>-0.14471830635134922</v>
      </c>
      <c r="FD140" s="316">
        <f t="shared" si="212"/>
        <v>-3.8491976884169632</v>
      </c>
      <c r="FE140" s="316">
        <f t="shared" si="212"/>
        <v>0</v>
      </c>
      <c r="FF140" s="316"/>
      <c r="FG140" s="316">
        <f t="shared" si="212"/>
        <v>0</v>
      </c>
      <c r="FH140" s="316">
        <f t="shared" si="212"/>
        <v>0</v>
      </c>
      <c r="FI140" s="316">
        <f t="shared" si="212"/>
        <v>0</v>
      </c>
      <c r="FJ140" s="316">
        <f t="shared" si="212"/>
        <v>0</v>
      </c>
      <c r="FK140" s="316">
        <f t="shared" si="212"/>
        <v>0</v>
      </c>
      <c r="FL140" s="168"/>
    </row>
    <row r="141" spans="2:168" x14ac:dyDescent="0.25">
      <c r="B141" s="107" t="s">
        <v>392</v>
      </c>
      <c r="C141" s="294"/>
      <c r="D141" s="294"/>
      <c r="E141" s="160">
        <f>TripMode_inputCBD!D122</f>
        <v>516.18160999999998</v>
      </c>
      <c r="F141" s="160">
        <f>TripMode_inputCBD!E122</f>
        <v>0</v>
      </c>
      <c r="G141" s="160">
        <f>TripMode_inputCBD!F122</f>
        <v>1401.4105199999999</v>
      </c>
      <c r="H141" s="160">
        <f>TripMode_inputCBD!G122</f>
        <v>0</v>
      </c>
      <c r="I141" s="160">
        <f>TripMode_inputCBD!H122</f>
        <v>24414.44299</v>
      </c>
      <c r="J141" s="294"/>
      <c r="K141" s="160">
        <f>TripMode_inputCBD!J122+TripMode_inputCBD!K122</f>
        <v>0</v>
      </c>
      <c r="L141" s="294"/>
      <c r="M141" s="294"/>
      <c r="N141" s="160">
        <f>TripMode_inputCBD!N122</f>
        <v>0</v>
      </c>
      <c r="O141" s="294"/>
      <c r="P141" s="162">
        <f t="shared" si="203"/>
        <v>26332.03512</v>
      </c>
      <c r="R141">
        <f t="shared" si="213"/>
        <v>0</v>
      </c>
      <c r="S141">
        <f t="shared" si="214"/>
        <v>0</v>
      </c>
      <c r="T141">
        <f t="shared" si="215"/>
        <v>0</v>
      </c>
      <c r="Y141" s="107" t="s">
        <v>392</v>
      </c>
      <c r="Z141" s="294"/>
      <c r="AA141" s="294"/>
      <c r="AB141" s="160">
        <f>+E141</f>
        <v>516.18160999999998</v>
      </c>
      <c r="AC141" s="160">
        <f>+F141</f>
        <v>0</v>
      </c>
      <c r="AD141" s="160">
        <f t="shared" si="204"/>
        <v>1401.4105199999999</v>
      </c>
      <c r="AE141" s="160">
        <f t="shared" si="204"/>
        <v>0</v>
      </c>
      <c r="AF141" s="160">
        <f t="shared" si="204"/>
        <v>24414.44299</v>
      </c>
      <c r="AG141" s="294"/>
      <c r="AH141" s="160">
        <f>AH143*R141</f>
        <v>0</v>
      </c>
      <c r="AI141" s="294"/>
      <c r="AJ141" s="294"/>
      <c r="AK141" s="160">
        <f>+N141</f>
        <v>0</v>
      </c>
      <c r="AL141" s="294"/>
      <c r="AM141" s="162">
        <f t="shared" si="205"/>
        <v>26332.03512</v>
      </c>
      <c r="AO141" s="107" t="s">
        <v>392</v>
      </c>
      <c r="AP141" s="294">
        <f>TripMode_inputCBD!R122*Index!$B$2</f>
        <v>0</v>
      </c>
      <c r="AQ141" s="294">
        <f>TripMode_inputCBD!S122*Index!$B$2</f>
        <v>0</v>
      </c>
      <c r="AR141" s="160">
        <f>TripMode_inputCBD!T122*Index!$B$2</f>
        <v>335</v>
      </c>
      <c r="AS141" s="160">
        <f>TripMode_inputCBD!U122*Index!$B$2</f>
        <v>0</v>
      </c>
      <c r="AT141" s="160">
        <f>TripMode_inputCBD!V122*Index!$B$2</f>
        <v>230</v>
      </c>
      <c r="AU141" s="160">
        <f>TripMode_inputCBD!W122*Index!$B$2</f>
        <v>0</v>
      </c>
      <c r="AV141" s="160">
        <f>TripMode_inputCBD!X122*Index!$B$2</f>
        <v>5765</v>
      </c>
      <c r="AW141" s="294">
        <f>TripMode_inputCBD!Y122*Index!$B$2</f>
        <v>0</v>
      </c>
      <c r="AX141" s="160">
        <f>TripMode_inputCBD!AA122*Index!$B$2</f>
        <v>75</v>
      </c>
      <c r="AY141" s="160">
        <f>TripMode_inputCBD!AB122*Index!$B$2</f>
        <v>0</v>
      </c>
      <c r="AZ141" s="160">
        <f>TripMode_inputCBD!AC122*Index!$B$2</f>
        <v>0</v>
      </c>
      <c r="BA141" s="160">
        <f>TripMode_inputCBD!AD122*Index!$B$2</f>
        <v>0</v>
      </c>
      <c r="BB141" s="294">
        <f>TripMode_inputCBD!AE122*Index!$B$2</f>
        <v>0</v>
      </c>
      <c r="BC141" s="162">
        <f t="shared" si="206"/>
        <v>6405</v>
      </c>
      <c r="BE141" s="107" t="s">
        <v>392</v>
      </c>
      <c r="BF141" s="166" t="str">
        <f t="shared" ref="BF141:BS148" si="223">IF(Z$148&gt;0,Z141/Z$148,"")</f>
        <v/>
      </c>
      <c r="BG141" s="166" t="str">
        <f t="shared" si="223"/>
        <v/>
      </c>
      <c r="BH141" s="166">
        <f t="shared" si="223"/>
        <v>4.7135710145361099E-3</v>
      </c>
      <c r="BI141" s="166">
        <f t="shared" si="223"/>
        <v>0</v>
      </c>
      <c r="BJ141" s="166">
        <f t="shared" si="223"/>
        <v>7.728626917470483E-3</v>
      </c>
      <c r="BK141" s="166">
        <f t="shared" si="223"/>
        <v>0</v>
      </c>
      <c r="BL141" s="166">
        <f t="shared" si="223"/>
        <v>1</v>
      </c>
      <c r="BM141" s="166">
        <f t="shared" si="223"/>
        <v>0</v>
      </c>
      <c r="BN141" s="166">
        <f t="shared" si="223"/>
        <v>0</v>
      </c>
      <c r="BO141" s="166">
        <f t="shared" si="223"/>
        <v>0</v>
      </c>
      <c r="BP141" s="166">
        <f t="shared" si="223"/>
        <v>0</v>
      </c>
      <c r="BQ141" s="166" t="str">
        <f t="shared" si="223"/>
        <v/>
      </c>
      <c r="BR141" s="166" t="str">
        <f t="shared" si="223"/>
        <v/>
      </c>
      <c r="BS141" s="166">
        <f t="shared" si="223"/>
        <v>8.0291340362463978E-2</v>
      </c>
      <c r="BU141" s="107" t="s">
        <v>392</v>
      </c>
      <c r="BV141" s="166" t="str">
        <f t="shared" ref="BV141:CI148" si="224">IF(AP$148&gt;0,AP141/AP$148,"")</f>
        <v/>
      </c>
      <c r="BW141" s="166" t="str">
        <f t="shared" si="224"/>
        <v/>
      </c>
      <c r="BX141" s="166">
        <f t="shared" si="224"/>
        <v>3.216514642342775E-2</v>
      </c>
      <c r="BY141" s="166">
        <f t="shared" si="224"/>
        <v>0</v>
      </c>
      <c r="BZ141" s="166">
        <f t="shared" si="224"/>
        <v>5.128205128205128E-2</v>
      </c>
      <c r="CA141" s="166">
        <f t="shared" si="224"/>
        <v>0</v>
      </c>
      <c r="CB141" s="166">
        <f t="shared" si="224"/>
        <v>1</v>
      </c>
      <c r="CC141" s="166">
        <f t="shared" si="224"/>
        <v>0</v>
      </c>
      <c r="CD141" s="166">
        <f t="shared" si="224"/>
        <v>2.0920502092050208E-2</v>
      </c>
      <c r="CE141" s="166">
        <f t="shared" si="224"/>
        <v>0</v>
      </c>
      <c r="CF141" s="166">
        <f t="shared" si="224"/>
        <v>0</v>
      </c>
      <c r="CG141" s="166">
        <f t="shared" si="224"/>
        <v>0</v>
      </c>
      <c r="CH141" s="166" t="str">
        <f t="shared" si="224"/>
        <v/>
      </c>
      <c r="CI141" s="168">
        <f t="shared" si="224"/>
        <v>0.23465836233742443</v>
      </c>
      <c r="CK141" s="107" t="s">
        <v>392</v>
      </c>
      <c r="CL141" s="166"/>
      <c r="CM141" s="166"/>
      <c r="CN141" s="166"/>
      <c r="CO141" s="166"/>
      <c r="CP141" s="166"/>
      <c r="CQ141" s="166"/>
      <c r="CR141" s="166"/>
      <c r="CS141" s="166"/>
      <c r="CT141" s="166"/>
      <c r="CU141" s="166"/>
      <c r="CV141" s="166"/>
      <c r="CW141" s="166"/>
      <c r="CX141" s="166"/>
      <c r="CY141" s="168"/>
      <c r="DA141" s="107" t="s">
        <v>392</v>
      </c>
      <c r="DB141" s="315">
        <f t="shared" ref="DB141:DN147" si="225">IFERROR(IF(BV141&gt;0,LN(BF141/BV141),0),0)</f>
        <v>0</v>
      </c>
      <c r="DC141" s="315">
        <f t="shared" si="225"/>
        <v>0</v>
      </c>
      <c r="DD141" s="314">
        <f t="shared" si="225"/>
        <v>-1.9204376591710459</v>
      </c>
      <c r="DE141" s="314">
        <f t="shared" si="225"/>
        <v>0</v>
      </c>
      <c r="DF141" s="314">
        <f t="shared" si="225"/>
        <v>-1.892409596931413</v>
      </c>
      <c r="DG141" s="314">
        <f t="shared" si="225"/>
        <v>0</v>
      </c>
      <c r="DH141" s="314">
        <f t="shared" si="225"/>
        <v>0</v>
      </c>
      <c r="DI141" s="315">
        <f t="shared" si="225"/>
        <v>0</v>
      </c>
      <c r="DJ141" s="314">
        <f t="shared" si="225"/>
        <v>0</v>
      </c>
      <c r="DK141" s="315">
        <f t="shared" si="225"/>
        <v>0</v>
      </c>
      <c r="DL141" s="315">
        <f t="shared" si="225"/>
        <v>0</v>
      </c>
      <c r="DM141" s="314">
        <f t="shared" si="225"/>
        <v>0</v>
      </c>
      <c r="DN141" s="315">
        <f t="shared" si="225"/>
        <v>0</v>
      </c>
      <c r="DO141" s="168"/>
      <c r="DQ141" s="107" t="s">
        <v>392</v>
      </c>
      <c r="DR141" s="315"/>
      <c r="DS141" s="315"/>
      <c r="DT141" s="314">
        <v>-0.57320138371760732</v>
      </c>
      <c r="DU141" s="314">
        <v>-0.57320138371760732</v>
      </c>
      <c r="DV141" s="314">
        <v>-1.9567880914855502</v>
      </c>
      <c r="DW141" s="314">
        <v>-1.9567880914855502</v>
      </c>
      <c r="DX141" s="314">
        <v>0</v>
      </c>
      <c r="DY141" s="315"/>
      <c r="DZ141" s="314">
        <v>2.7430175819307099</v>
      </c>
      <c r="EA141" s="315"/>
      <c r="EB141" s="315"/>
      <c r="EC141" s="314">
        <v>0.21181052787489524</v>
      </c>
      <c r="ED141" s="315"/>
      <c r="EE141" s="168"/>
      <c r="EG141" s="107" t="s">
        <v>392</v>
      </c>
      <c r="EH141" s="315"/>
      <c r="EI141" s="315"/>
      <c r="EJ141" s="314">
        <f>DT141+(DD141-DD$135)*$EI$1</f>
        <v>-2.4936390428886535</v>
      </c>
      <c r="EK141" s="314">
        <f>DT141+(DD141-DD$135)*$EI$1</f>
        <v>-2.4936390428886535</v>
      </c>
      <c r="EL141" s="314">
        <f>DV141+(DF141-DF$135)*$EI$1</f>
        <v>-3.8491976884169632</v>
      </c>
      <c r="EM141" s="314">
        <f>DV141+(DF141-DF$135)*$EI$1</f>
        <v>-3.8491976884169632</v>
      </c>
      <c r="EN141" s="314">
        <v>0</v>
      </c>
      <c r="EO141" s="315"/>
      <c r="EP141" s="314">
        <f>DZ141+(DJ141-DJ$143)*$EI$1</f>
        <v>2.6433744580351797</v>
      </c>
      <c r="EQ141" s="315"/>
      <c r="ER141" s="315"/>
      <c r="ES141" s="314">
        <f>EC141+(DM141-DM$146)*$EI$1</f>
        <v>0.21181052787489524</v>
      </c>
      <c r="ET141" s="315"/>
      <c r="EU141" s="168"/>
      <c r="EW141" s="164" t="s">
        <v>392</v>
      </c>
      <c r="EX141" s="316">
        <f t="shared" si="216"/>
        <v>0</v>
      </c>
      <c r="EY141" s="316">
        <f t="shared" si="212"/>
        <v>0</v>
      </c>
      <c r="EZ141" s="316">
        <f t="shared" si="212"/>
        <v>0</v>
      </c>
      <c r="FA141" s="316">
        <f t="shared" si="212"/>
        <v>0</v>
      </c>
      <c r="FB141" s="316">
        <f t="shared" si="212"/>
        <v>0</v>
      </c>
      <c r="FC141" s="316">
        <f t="shared" si="212"/>
        <v>0</v>
      </c>
      <c r="FD141" s="316">
        <f t="shared" si="212"/>
        <v>0</v>
      </c>
      <c r="FE141" s="316">
        <f t="shared" si="212"/>
        <v>0</v>
      </c>
      <c r="FF141" s="316"/>
      <c r="FG141" s="316">
        <f t="shared" si="212"/>
        <v>0</v>
      </c>
      <c r="FH141" s="316">
        <f t="shared" si="212"/>
        <v>0</v>
      </c>
      <c r="FI141" s="316">
        <f t="shared" si="212"/>
        <v>0</v>
      </c>
      <c r="FJ141" s="316">
        <f t="shared" si="212"/>
        <v>0</v>
      </c>
      <c r="FK141" s="316">
        <f t="shared" si="212"/>
        <v>0</v>
      </c>
      <c r="FL141" s="168"/>
    </row>
    <row r="142" spans="2:168" x14ac:dyDescent="0.25">
      <c r="B142" s="107" t="s">
        <v>393</v>
      </c>
      <c r="C142" s="294"/>
      <c r="D142" s="294"/>
      <c r="E142" s="294"/>
      <c r="F142" s="294"/>
      <c r="G142" s="294"/>
      <c r="H142" s="294"/>
      <c r="I142" s="294"/>
      <c r="J142" s="160">
        <f>TripMode_inputCBD!I123</f>
        <v>2862.3531800000001</v>
      </c>
      <c r="K142" s="294"/>
      <c r="L142" s="294"/>
      <c r="M142" s="294"/>
      <c r="N142" s="294"/>
      <c r="O142" s="294"/>
      <c r="P142" s="162">
        <f t="shared" si="203"/>
        <v>2862.3531800000001</v>
      </c>
      <c r="R142">
        <f t="shared" si="213"/>
        <v>0</v>
      </c>
      <c r="S142">
        <f t="shared" si="214"/>
        <v>0</v>
      </c>
      <c r="T142">
        <f t="shared" si="215"/>
        <v>0</v>
      </c>
      <c r="Y142" s="107" t="s">
        <v>393</v>
      </c>
      <c r="Z142" s="294"/>
      <c r="AA142" s="294"/>
      <c r="AB142" s="294"/>
      <c r="AC142" s="294"/>
      <c r="AD142" s="294"/>
      <c r="AE142" s="294"/>
      <c r="AF142" s="294"/>
      <c r="AG142" s="160">
        <f>+J142</f>
        <v>2862.3531800000001</v>
      </c>
      <c r="AH142" s="294"/>
      <c r="AI142" s="294"/>
      <c r="AJ142" s="294"/>
      <c r="AK142" s="294"/>
      <c r="AL142" s="294"/>
      <c r="AM142" s="162">
        <f t="shared" si="205"/>
        <v>2862.3531800000001</v>
      </c>
      <c r="AO142" s="107" t="s">
        <v>393</v>
      </c>
      <c r="AP142" s="294">
        <f>TripMode_inputCBD!R123*Index!$B$2</f>
        <v>0</v>
      </c>
      <c r="AQ142" s="294">
        <f>TripMode_inputCBD!S123*Index!$B$2</f>
        <v>0</v>
      </c>
      <c r="AR142" s="294">
        <f>TripMode_inputCBD!T123*Index!$B$2</f>
        <v>0</v>
      </c>
      <c r="AS142" s="294">
        <f>TripMode_inputCBD!U123*Index!$B$2</f>
        <v>0</v>
      </c>
      <c r="AT142" s="294">
        <f>TripMode_inputCBD!V123*Index!$B$2</f>
        <v>0</v>
      </c>
      <c r="AU142" s="294">
        <f>TripMode_inputCBD!W123*Index!$B$2</f>
        <v>0</v>
      </c>
      <c r="AV142" s="294">
        <f>TripMode_inputCBD!X123*Index!$B$2</f>
        <v>0</v>
      </c>
      <c r="AW142" s="160">
        <f>TripMode_inputCBD!Y123*Index!$B$2</f>
        <v>2235</v>
      </c>
      <c r="AX142" s="294">
        <f>TripMode_inputCBD!AA123*Index!$B$2</f>
        <v>0</v>
      </c>
      <c r="AY142" s="294">
        <f>TripMode_inputCBD!AB123*Index!$B$2</f>
        <v>0</v>
      </c>
      <c r="AZ142" s="294">
        <f>TripMode_inputCBD!AC123*Index!$B$2</f>
        <v>0</v>
      </c>
      <c r="BA142" s="294">
        <f>TripMode_inputCBD!AD123*Index!$B$2</f>
        <v>0</v>
      </c>
      <c r="BB142" s="294">
        <f>TripMode_inputCBD!AE123*Index!$B$2</f>
        <v>0</v>
      </c>
      <c r="BC142" s="162">
        <f t="shared" si="206"/>
        <v>2235</v>
      </c>
      <c r="BE142" s="107" t="s">
        <v>393</v>
      </c>
      <c r="BF142" s="166" t="str">
        <f t="shared" si="223"/>
        <v/>
      </c>
      <c r="BG142" s="166" t="str">
        <f t="shared" si="223"/>
        <v/>
      </c>
      <c r="BH142" s="166">
        <f t="shared" si="223"/>
        <v>0</v>
      </c>
      <c r="BI142" s="166">
        <f t="shared" si="223"/>
        <v>0</v>
      </c>
      <c r="BJ142" s="166">
        <f t="shared" si="223"/>
        <v>0</v>
      </c>
      <c r="BK142" s="166">
        <f t="shared" si="223"/>
        <v>0</v>
      </c>
      <c r="BL142" s="166">
        <f t="shared" si="223"/>
        <v>0</v>
      </c>
      <c r="BM142" s="166">
        <f t="shared" si="223"/>
        <v>1</v>
      </c>
      <c r="BN142" s="166">
        <f t="shared" si="223"/>
        <v>0</v>
      </c>
      <c r="BO142" s="166">
        <f t="shared" si="223"/>
        <v>0</v>
      </c>
      <c r="BP142" s="166">
        <f t="shared" si="223"/>
        <v>0</v>
      </c>
      <c r="BQ142" s="166" t="str">
        <f t="shared" si="223"/>
        <v/>
      </c>
      <c r="BR142" s="166" t="str">
        <f t="shared" si="223"/>
        <v/>
      </c>
      <c r="BS142" s="166">
        <f t="shared" si="223"/>
        <v>8.7278545834235215E-3</v>
      </c>
      <c r="BU142" s="107" t="s">
        <v>393</v>
      </c>
      <c r="BV142" s="166" t="str">
        <f t="shared" si="224"/>
        <v/>
      </c>
      <c r="BW142" s="166" t="str">
        <f t="shared" si="224"/>
        <v/>
      </c>
      <c r="BX142" s="166">
        <f t="shared" si="224"/>
        <v>0</v>
      </c>
      <c r="BY142" s="166">
        <f t="shared" si="224"/>
        <v>0</v>
      </c>
      <c r="BZ142" s="166">
        <f t="shared" si="224"/>
        <v>0</v>
      </c>
      <c r="CA142" s="166">
        <f t="shared" si="224"/>
        <v>0</v>
      </c>
      <c r="CB142" s="166">
        <f t="shared" si="224"/>
        <v>0</v>
      </c>
      <c r="CC142" s="166">
        <f t="shared" si="224"/>
        <v>1</v>
      </c>
      <c r="CD142" s="166">
        <f t="shared" si="224"/>
        <v>0</v>
      </c>
      <c r="CE142" s="166">
        <f t="shared" si="224"/>
        <v>0</v>
      </c>
      <c r="CF142" s="166">
        <f t="shared" si="224"/>
        <v>0</v>
      </c>
      <c r="CG142" s="166">
        <f t="shared" si="224"/>
        <v>0</v>
      </c>
      <c r="CH142" s="166" t="str">
        <f t="shared" si="224"/>
        <v/>
      </c>
      <c r="CI142" s="168">
        <f t="shared" si="224"/>
        <v>8.1883128778164505E-2</v>
      </c>
      <c r="CK142" s="107" t="s">
        <v>393</v>
      </c>
      <c r="CL142" s="166"/>
      <c r="CM142" s="166"/>
      <c r="CN142" s="166"/>
      <c r="CO142" s="166"/>
      <c r="CP142" s="166"/>
      <c r="CQ142" s="166"/>
      <c r="CR142" s="166"/>
      <c r="CS142" s="166"/>
      <c r="CT142" s="166"/>
      <c r="CU142" s="166"/>
      <c r="CV142" s="166"/>
      <c r="CW142" s="166"/>
      <c r="CX142" s="166"/>
      <c r="CY142" s="168"/>
      <c r="DA142" s="107" t="s">
        <v>393</v>
      </c>
      <c r="DB142" s="315">
        <f t="shared" si="225"/>
        <v>0</v>
      </c>
      <c r="DC142" s="315">
        <f t="shared" si="225"/>
        <v>0</v>
      </c>
      <c r="DD142" s="315">
        <f t="shared" si="225"/>
        <v>0</v>
      </c>
      <c r="DE142" s="315">
        <f t="shared" si="225"/>
        <v>0</v>
      </c>
      <c r="DF142" s="315">
        <f t="shared" si="225"/>
        <v>0</v>
      </c>
      <c r="DG142" s="315">
        <f t="shared" si="225"/>
        <v>0</v>
      </c>
      <c r="DH142" s="315">
        <f t="shared" si="225"/>
        <v>0</v>
      </c>
      <c r="DI142" s="314">
        <f t="shared" si="225"/>
        <v>0</v>
      </c>
      <c r="DJ142" s="315">
        <f t="shared" si="225"/>
        <v>0</v>
      </c>
      <c r="DK142" s="315">
        <f t="shared" si="225"/>
        <v>0</v>
      </c>
      <c r="DL142" s="315">
        <f t="shared" si="225"/>
        <v>0</v>
      </c>
      <c r="DM142" s="315">
        <f t="shared" si="225"/>
        <v>0</v>
      </c>
      <c r="DN142" s="315">
        <f t="shared" si="225"/>
        <v>0</v>
      </c>
      <c r="DO142" s="168"/>
      <c r="DQ142" s="107" t="s">
        <v>393</v>
      </c>
      <c r="DR142" s="315"/>
      <c r="DS142" s="315"/>
      <c r="DT142" s="315"/>
      <c r="DU142" s="315"/>
      <c r="DV142" s="315"/>
      <c r="DW142" s="315"/>
      <c r="DX142" s="315"/>
      <c r="DY142" s="314">
        <v>0</v>
      </c>
      <c r="DZ142" s="315"/>
      <c r="EA142" s="315"/>
      <c r="EB142" s="315"/>
      <c r="EC142" s="315"/>
      <c r="ED142" s="315"/>
      <c r="EE142" s="168"/>
      <c r="EG142" s="107" t="s">
        <v>393</v>
      </c>
      <c r="EH142" s="315"/>
      <c r="EI142" s="315"/>
      <c r="EJ142" s="315"/>
      <c r="EK142" s="315"/>
      <c r="EL142" s="315"/>
      <c r="EM142" s="315"/>
      <c r="EN142" s="315"/>
      <c r="EO142" s="314">
        <v>0</v>
      </c>
      <c r="EP142" s="315"/>
      <c r="EQ142" s="315"/>
      <c r="ER142" s="315"/>
      <c r="ES142" s="315"/>
      <c r="ET142" s="315"/>
      <c r="EU142" s="168"/>
      <c r="EW142" s="164" t="s">
        <v>393</v>
      </c>
      <c r="EX142" s="316">
        <f t="shared" si="216"/>
        <v>0</v>
      </c>
      <c r="EY142" s="316">
        <f t="shared" si="212"/>
        <v>0</v>
      </c>
      <c r="EZ142" s="316">
        <f t="shared" si="212"/>
        <v>0</v>
      </c>
      <c r="FA142" s="316">
        <f t="shared" si="212"/>
        <v>0</v>
      </c>
      <c r="FB142" s="316">
        <f t="shared" si="212"/>
        <v>0</v>
      </c>
      <c r="FC142" s="316">
        <f t="shared" si="212"/>
        <v>0</v>
      </c>
      <c r="FD142" s="316">
        <f t="shared" si="212"/>
        <v>0</v>
      </c>
      <c r="FE142" s="316">
        <f t="shared" si="212"/>
        <v>0</v>
      </c>
      <c r="FF142" s="316"/>
      <c r="FG142" s="316">
        <f t="shared" si="212"/>
        <v>0</v>
      </c>
      <c r="FH142" s="316">
        <f t="shared" si="212"/>
        <v>0</v>
      </c>
      <c r="FI142" s="316">
        <f t="shared" si="212"/>
        <v>0</v>
      </c>
      <c r="FJ142" s="316">
        <f t="shared" si="212"/>
        <v>0</v>
      </c>
      <c r="FK142" s="316">
        <f t="shared" si="212"/>
        <v>0</v>
      </c>
      <c r="FL142" s="168"/>
    </row>
    <row r="143" spans="2:168" x14ac:dyDescent="0.25">
      <c r="B143" s="107" t="s">
        <v>546</v>
      </c>
      <c r="C143" s="294"/>
      <c r="D143" s="294"/>
      <c r="E143" s="294"/>
      <c r="F143" s="294"/>
      <c r="G143" s="294"/>
      <c r="H143" s="294"/>
      <c r="I143" s="294"/>
      <c r="J143" s="294"/>
      <c r="K143" s="160">
        <f>TripMode_inputCBD!J125+TripMode_inputCBD!K125+TripMode_inputCBD!J124+TripMode_inputCBD!K124</f>
        <v>6016.2818200000002</v>
      </c>
      <c r="L143" s="294"/>
      <c r="M143" s="294"/>
      <c r="N143" s="294"/>
      <c r="O143" s="294"/>
      <c r="P143" s="162">
        <f t="shared" si="203"/>
        <v>6016.2818200000002</v>
      </c>
      <c r="R143">
        <f t="shared" si="213"/>
        <v>1</v>
      </c>
      <c r="S143">
        <f t="shared" si="214"/>
        <v>0</v>
      </c>
      <c r="T143">
        <f t="shared" si="215"/>
        <v>0</v>
      </c>
      <c r="U143" s="127">
        <f>+K143/K$159</f>
        <v>9.9267848681258136E-3</v>
      </c>
      <c r="V143" s="127"/>
      <c r="W143" s="127"/>
      <c r="X143" s="127"/>
      <c r="Y143" s="107" t="s">
        <v>546</v>
      </c>
      <c r="Z143" s="294"/>
      <c r="AA143" s="294"/>
      <c r="AB143" s="294"/>
      <c r="AC143" s="294"/>
      <c r="AD143" s="294"/>
      <c r="AE143" s="294"/>
      <c r="AF143" s="294"/>
      <c r="AG143" s="294"/>
      <c r="AH143" s="160">
        <f>U143*U$159</f>
        <v>5767.7506395602113</v>
      </c>
      <c r="AI143" s="294"/>
      <c r="AJ143" s="294"/>
      <c r="AK143" s="294"/>
      <c r="AL143" s="294"/>
      <c r="AM143" s="162">
        <f t="shared" si="205"/>
        <v>5767.7506395602113</v>
      </c>
      <c r="AN143" s="127"/>
      <c r="AO143" s="107" t="s">
        <v>395</v>
      </c>
      <c r="AP143" s="294">
        <f>TripMode_inputCBD!R125*Index!$B$2</f>
        <v>0</v>
      </c>
      <c r="AQ143" s="294">
        <f>TripMode_inputCBD!S125*Index!$B$2</f>
        <v>0</v>
      </c>
      <c r="AR143" s="294">
        <f>TripMode_inputCBD!T125*Index!$B$2</f>
        <v>0</v>
      </c>
      <c r="AS143" s="294">
        <f>TripMode_inputCBD!U125*Index!$B$2</f>
        <v>0</v>
      </c>
      <c r="AT143" s="294">
        <f>TripMode_inputCBD!V125*Index!$B$2</f>
        <v>0</v>
      </c>
      <c r="AU143" s="294">
        <f>TripMode_inputCBD!W125*Index!$B$2</f>
        <v>0</v>
      </c>
      <c r="AV143" s="294">
        <f>TripMode_inputCBD!X125*Index!$B$2</f>
        <v>0</v>
      </c>
      <c r="AW143" s="294">
        <f>TripMode_inputCBD!Y125*Index!$B$2</f>
        <v>0</v>
      </c>
      <c r="AX143" s="160">
        <f>TripMode_inputCBD!AA125*Index!$B$2</f>
        <v>3245</v>
      </c>
      <c r="AY143" s="160">
        <f>TripMode_inputCBD!AB125*Index!$B$2</f>
        <v>0</v>
      </c>
      <c r="AZ143" s="160">
        <f>TripMode_inputCBD!AC125*Index!$B$2</f>
        <v>0</v>
      </c>
      <c r="BA143" s="294">
        <f>TripMode_inputCBD!AD125*Index!$B$2</f>
        <v>0</v>
      </c>
      <c r="BB143" s="294">
        <f>TripMode_inputCBD!AE125*Index!$B$2</f>
        <v>0</v>
      </c>
      <c r="BC143" s="162">
        <f t="shared" si="206"/>
        <v>3245</v>
      </c>
      <c r="BE143" s="107" t="s">
        <v>395</v>
      </c>
      <c r="BF143" s="166" t="str">
        <f t="shared" si="223"/>
        <v/>
      </c>
      <c r="BG143" s="166" t="str">
        <f t="shared" si="223"/>
        <v/>
      </c>
      <c r="BH143" s="166">
        <f t="shared" si="223"/>
        <v>0</v>
      </c>
      <c r="BI143" s="166">
        <f t="shared" si="223"/>
        <v>0</v>
      </c>
      <c r="BJ143" s="166">
        <f t="shared" si="223"/>
        <v>0</v>
      </c>
      <c r="BK143" s="166">
        <f t="shared" si="223"/>
        <v>0</v>
      </c>
      <c r="BL143" s="166">
        <f t="shared" si="223"/>
        <v>0</v>
      </c>
      <c r="BM143" s="166">
        <f t="shared" si="223"/>
        <v>0</v>
      </c>
      <c r="BN143" s="166">
        <f t="shared" si="223"/>
        <v>1</v>
      </c>
      <c r="BO143" s="166">
        <f t="shared" si="223"/>
        <v>0</v>
      </c>
      <c r="BP143" s="166">
        <f t="shared" si="223"/>
        <v>0</v>
      </c>
      <c r="BQ143" s="166" t="str">
        <f t="shared" si="223"/>
        <v/>
      </c>
      <c r="BR143" s="166" t="str">
        <f t="shared" si="223"/>
        <v/>
      </c>
      <c r="BS143" s="166">
        <f t="shared" si="223"/>
        <v>1.7586959291840266E-2</v>
      </c>
      <c r="BU143" s="107" t="s">
        <v>395</v>
      </c>
      <c r="BV143" s="166" t="str">
        <f t="shared" si="224"/>
        <v/>
      </c>
      <c r="BW143" s="166" t="str">
        <f t="shared" si="224"/>
        <v/>
      </c>
      <c r="BX143" s="166">
        <f t="shared" si="224"/>
        <v>0</v>
      </c>
      <c r="BY143" s="166">
        <f t="shared" si="224"/>
        <v>0</v>
      </c>
      <c r="BZ143" s="166">
        <f t="shared" si="224"/>
        <v>0</v>
      </c>
      <c r="CA143" s="166">
        <f t="shared" si="224"/>
        <v>0</v>
      </c>
      <c r="CB143" s="166">
        <f t="shared" si="224"/>
        <v>0</v>
      </c>
      <c r="CC143" s="166">
        <f t="shared" si="224"/>
        <v>0</v>
      </c>
      <c r="CD143" s="166">
        <f t="shared" si="224"/>
        <v>0.90516039051603903</v>
      </c>
      <c r="CE143" s="166">
        <f t="shared" si="224"/>
        <v>0</v>
      </c>
      <c r="CF143" s="166">
        <f t="shared" si="224"/>
        <v>0</v>
      </c>
      <c r="CG143" s="166">
        <f t="shared" si="224"/>
        <v>0</v>
      </c>
      <c r="CH143" s="166" t="str">
        <f t="shared" si="224"/>
        <v/>
      </c>
      <c r="CI143" s="168">
        <f t="shared" si="224"/>
        <v>0.11888624290163033</v>
      </c>
      <c r="CK143" s="107" t="s">
        <v>395</v>
      </c>
      <c r="CL143" s="166" t="str">
        <f t="shared" ref="CL143:CO148" si="226">IF(OR(ISNA(BF143),BF143=0,BF143=""),"",(BV143-BF143)/BF143)</f>
        <v/>
      </c>
      <c r="CM143" s="166" t="str">
        <f t="shared" si="226"/>
        <v/>
      </c>
      <c r="CN143" s="166" t="str">
        <f t="shared" si="226"/>
        <v/>
      </c>
      <c r="CO143" s="166" t="str">
        <f t="shared" si="226"/>
        <v/>
      </c>
      <c r="CP143" s="166"/>
      <c r="CQ143" s="166"/>
      <c r="CR143" s="166"/>
      <c r="CS143" s="166"/>
      <c r="CT143" s="166">
        <f t="shared" ref="CT143:CY148" si="227">IF(OR(ISNA(BN143),BN143=0,BN143=""),"",(CD143-BN143)/BN143)</f>
        <v>-9.4839609483960974E-2</v>
      </c>
      <c r="CU143" s="166" t="str">
        <f t="shared" si="227"/>
        <v/>
      </c>
      <c r="CV143" s="166" t="str">
        <f t="shared" si="227"/>
        <v/>
      </c>
      <c r="CW143" s="166" t="str">
        <f t="shared" si="227"/>
        <v/>
      </c>
      <c r="CX143" s="166" t="str">
        <f t="shared" si="227"/>
        <v/>
      </c>
      <c r="CY143" s="168">
        <f t="shared" si="227"/>
        <v>5.7599089148281246</v>
      </c>
      <c r="DA143" s="107" t="s">
        <v>395</v>
      </c>
      <c r="DB143" s="315">
        <f t="shared" si="225"/>
        <v>0</v>
      </c>
      <c r="DC143" s="315">
        <f t="shared" si="225"/>
        <v>0</v>
      </c>
      <c r="DD143" s="315">
        <f t="shared" si="225"/>
        <v>0</v>
      </c>
      <c r="DE143" s="315">
        <f t="shared" si="225"/>
        <v>0</v>
      </c>
      <c r="DF143" s="315">
        <f t="shared" si="225"/>
        <v>0</v>
      </c>
      <c r="DG143" s="315">
        <f t="shared" si="225"/>
        <v>0</v>
      </c>
      <c r="DH143" s="315">
        <f t="shared" si="225"/>
        <v>0</v>
      </c>
      <c r="DI143" s="315">
        <f t="shared" si="225"/>
        <v>0</v>
      </c>
      <c r="DJ143" s="314">
        <f t="shared" si="225"/>
        <v>9.9643123895530386E-2</v>
      </c>
      <c r="DK143" s="315">
        <f t="shared" si="225"/>
        <v>0</v>
      </c>
      <c r="DL143" s="315">
        <f t="shared" si="225"/>
        <v>0</v>
      </c>
      <c r="DM143" s="315">
        <f t="shared" si="225"/>
        <v>0</v>
      </c>
      <c r="DN143" s="315">
        <f t="shared" si="225"/>
        <v>0</v>
      </c>
      <c r="DO143" s="168"/>
      <c r="DQ143" s="107" t="s">
        <v>395</v>
      </c>
      <c r="DR143" s="315"/>
      <c r="DS143" s="315"/>
      <c r="DT143" s="315"/>
      <c r="DU143" s="315"/>
      <c r="DV143" s="315"/>
      <c r="DW143" s="315"/>
      <c r="DX143" s="315"/>
      <c r="DY143" s="315"/>
      <c r="DZ143" s="314">
        <v>0</v>
      </c>
      <c r="EA143" s="315"/>
      <c r="EB143" s="315"/>
      <c r="EC143" s="315"/>
      <c r="ED143" s="315"/>
      <c r="EE143" s="168"/>
      <c r="EG143" s="107" t="s">
        <v>395</v>
      </c>
      <c r="EH143" s="315"/>
      <c r="EI143" s="315"/>
      <c r="EJ143" s="315"/>
      <c r="EK143" s="315"/>
      <c r="EL143" s="315"/>
      <c r="EM143" s="315"/>
      <c r="EN143" s="315"/>
      <c r="EO143" s="315"/>
      <c r="EP143" s="314">
        <v>0</v>
      </c>
      <c r="EQ143" s="315"/>
      <c r="ER143" s="315"/>
      <c r="ES143" s="315"/>
      <c r="ET143" s="315"/>
      <c r="EU143" s="168"/>
      <c r="EW143" s="164" t="s">
        <v>546</v>
      </c>
      <c r="EX143" s="316">
        <f t="shared" si="216"/>
        <v>0</v>
      </c>
      <c r="EY143" s="316">
        <f t="shared" si="212"/>
        <v>0</v>
      </c>
      <c r="EZ143" s="316">
        <f t="shared" si="212"/>
        <v>-7.4489489892262863</v>
      </c>
      <c r="FA143" s="316">
        <f t="shared" si="212"/>
        <v>-7.4489489892262863</v>
      </c>
      <c r="FB143" s="316">
        <f t="shared" si="212"/>
        <v>-2.3752181147920397</v>
      </c>
      <c r="FC143" s="316">
        <f t="shared" si="212"/>
        <v>-2.3752181147920397</v>
      </c>
      <c r="FD143" s="316">
        <f t="shared" si="212"/>
        <v>2.6433744580351797</v>
      </c>
      <c r="FE143" s="316">
        <f t="shared" si="212"/>
        <v>0</v>
      </c>
      <c r="FF143" s="316"/>
      <c r="FG143" s="316">
        <f t="shared" si="212"/>
        <v>0</v>
      </c>
      <c r="FH143" s="316">
        <f t="shared" si="212"/>
        <v>0</v>
      </c>
      <c r="FI143" s="316">
        <f t="shared" si="212"/>
        <v>0</v>
      </c>
      <c r="FJ143" s="316">
        <f t="shared" si="212"/>
        <v>-0.40423148822105009</v>
      </c>
      <c r="FK143" s="316">
        <f t="shared" si="212"/>
        <v>0</v>
      </c>
      <c r="FL143" s="168"/>
    </row>
    <row r="144" spans="2:168" x14ac:dyDescent="0.25">
      <c r="B144" s="107" t="s">
        <v>396</v>
      </c>
      <c r="C144" s="294"/>
      <c r="D144" s="294"/>
      <c r="E144" s="294"/>
      <c r="F144" s="294"/>
      <c r="G144" s="294"/>
      <c r="H144" s="294"/>
      <c r="I144" s="294"/>
      <c r="J144" s="294"/>
      <c r="K144" s="294"/>
      <c r="L144" s="160">
        <f>TripMode_inputCBD!L126</f>
        <v>536.01635999999996</v>
      </c>
      <c r="M144" s="294"/>
      <c r="N144" s="294"/>
      <c r="O144" s="294"/>
      <c r="P144" s="162">
        <f t="shared" si="203"/>
        <v>536.01635999999996</v>
      </c>
      <c r="R144">
        <f t="shared" si="213"/>
        <v>0</v>
      </c>
      <c r="S144">
        <f t="shared" si="214"/>
        <v>1</v>
      </c>
      <c r="T144">
        <f t="shared" si="215"/>
        <v>0</v>
      </c>
      <c r="V144" s="127">
        <f>+L144/L$160</f>
        <v>9.0578325781207527E-3</v>
      </c>
      <c r="W144" s="127"/>
      <c r="X144" s="127"/>
      <c r="Y144" s="107" t="s">
        <v>396</v>
      </c>
      <c r="Z144" s="294"/>
      <c r="AA144" s="294"/>
      <c r="AB144" s="294"/>
      <c r="AC144" s="294"/>
      <c r="AD144" s="294"/>
      <c r="AE144" s="294"/>
      <c r="AF144" s="294"/>
      <c r="AG144" s="294"/>
      <c r="AH144" s="294"/>
      <c r="AI144" s="160">
        <f>V144*V$160</f>
        <v>283.38321963523578</v>
      </c>
      <c r="AJ144" s="294"/>
      <c r="AK144" s="294"/>
      <c r="AL144" s="294"/>
      <c r="AM144" s="162">
        <f t="shared" si="205"/>
        <v>283.38321963523578</v>
      </c>
      <c r="AN144" s="127"/>
      <c r="AO144" s="107" t="s">
        <v>396</v>
      </c>
      <c r="AP144" s="294">
        <f>TripMode_inputCBD!R126*Index!$B$2</f>
        <v>0</v>
      </c>
      <c r="AQ144" s="294">
        <f>TripMode_inputCBD!S126*Index!$B$2</f>
        <v>0</v>
      </c>
      <c r="AR144" s="294">
        <f>TripMode_inputCBD!T126*Index!$B$2</f>
        <v>0</v>
      </c>
      <c r="AS144" s="294">
        <f>TripMode_inputCBD!U126*Index!$B$2</f>
        <v>0</v>
      </c>
      <c r="AT144" s="294">
        <f>TripMode_inputCBD!V126*Index!$B$2</f>
        <v>0</v>
      </c>
      <c r="AU144" s="294">
        <f>TripMode_inputCBD!W126*Index!$B$2</f>
        <v>0</v>
      </c>
      <c r="AV144" s="294">
        <f>TripMode_inputCBD!X126*Index!$B$2</f>
        <v>0</v>
      </c>
      <c r="AW144" s="294">
        <f>TripMode_inputCBD!Y126*Index!$B$2</f>
        <v>0</v>
      </c>
      <c r="AX144" s="294">
        <f>TripMode_inputCBD!AA126*Index!$B$2</f>
        <v>0</v>
      </c>
      <c r="AY144" s="160">
        <f>TripMode_inputCBD!AB126*Index!$B$2</f>
        <v>90</v>
      </c>
      <c r="AZ144" s="294">
        <f>TripMode_inputCBD!AC126*Index!$B$2</f>
        <v>0</v>
      </c>
      <c r="BA144" s="294">
        <f>TripMode_inputCBD!AD126*Index!$B$2</f>
        <v>0</v>
      </c>
      <c r="BB144" s="294">
        <f>TripMode_inputCBD!AE126*Index!$B$2</f>
        <v>0</v>
      </c>
      <c r="BC144" s="162">
        <f t="shared" si="206"/>
        <v>90</v>
      </c>
      <c r="BE144" s="107" t="s">
        <v>396</v>
      </c>
      <c r="BF144" s="166" t="str">
        <f t="shared" si="223"/>
        <v/>
      </c>
      <c r="BG144" s="166" t="str">
        <f t="shared" si="223"/>
        <v/>
      </c>
      <c r="BH144" s="166">
        <f t="shared" si="223"/>
        <v>0</v>
      </c>
      <c r="BI144" s="166">
        <f t="shared" si="223"/>
        <v>0</v>
      </c>
      <c r="BJ144" s="166">
        <f t="shared" si="223"/>
        <v>0</v>
      </c>
      <c r="BK144" s="166">
        <f t="shared" si="223"/>
        <v>0</v>
      </c>
      <c r="BL144" s="166">
        <f t="shared" si="223"/>
        <v>0</v>
      </c>
      <c r="BM144" s="166">
        <f t="shared" si="223"/>
        <v>0</v>
      </c>
      <c r="BN144" s="166">
        <f t="shared" si="223"/>
        <v>0</v>
      </c>
      <c r="BO144" s="166">
        <f t="shared" si="223"/>
        <v>1</v>
      </c>
      <c r="BP144" s="166">
        <f t="shared" si="223"/>
        <v>0</v>
      </c>
      <c r="BQ144" s="166" t="str">
        <f t="shared" si="223"/>
        <v/>
      </c>
      <c r="BR144" s="166" t="str">
        <f t="shared" si="223"/>
        <v/>
      </c>
      <c r="BS144" s="166">
        <f t="shared" si="223"/>
        <v>8.6408887262427443E-4</v>
      </c>
      <c r="BU144" s="107" t="s">
        <v>396</v>
      </c>
      <c r="BV144" s="166" t="str">
        <f t="shared" si="224"/>
        <v/>
      </c>
      <c r="BW144" s="166" t="str">
        <f t="shared" si="224"/>
        <v/>
      </c>
      <c r="BX144" s="166">
        <f t="shared" si="224"/>
        <v>0</v>
      </c>
      <c r="BY144" s="166">
        <f t="shared" si="224"/>
        <v>0</v>
      </c>
      <c r="BZ144" s="166">
        <f t="shared" si="224"/>
        <v>0</v>
      </c>
      <c r="CA144" s="166">
        <f t="shared" si="224"/>
        <v>0</v>
      </c>
      <c r="CB144" s="166">
        <f t="shared" si="224"/>
        <v>0</v>
      </c>
      <c r="CC144" s="166">
        <f t="shared" si="224"/>
        <v>0</v>
      </c>
      <c r="CD144" s="166">
        <f t="shared" si="224"/>
        <v>0</v>
      </c>
      <c r="CE144" s="166">
        <f t="shared" si="224"/>
        <v>1</v>
      </c>
      <c r="CF144" s="166">
        <f t="shared" si="224"/>
        <v>0</v>
      </c>
      <c r="CG144" s="166">
        <f t="shared" si="224"/>
        <v>0</v>
      </c>
      <c r="CH144" s="166" t="str">
        <f t="shared" si="224"/>
        <v/>
      </c>
      <c r="CI144" s="168">
        <f t="shared" si="224"/>
        <v>3.2973071991207179E-3</v>
      </c>
      <c r="CK144" s="107" t="s">
        <v>396</v>
      </c>
      <c r="CL144" s="166" t="str">
        <f t="shared" si="226"/>
        <v/>
      </c>
      <c r="CM144" s="166" t="str">
        <f t="shared" si="226"/>
        <v/>
      </c>
      <c r="CN144" s="166" t="str">
        <f t="shared" si="226"/>
        <v/>
      </c>
      <c r="CO144" s="166" t="str">
        <f t="shared" si="226"/>
        <v/>
      </c>
      <c r="CP144" s="166"/>
      <c r="CQ144" s="166"/>
      <c r="CR144" s="166"/>
      <c r="CS144" s="166"/>
      <c r="CT144" s="166" t="str">
        <f t="shared" si="227"/>
        <v/>
      </c>
      <c r="CU144" s="166">
        <f t="shared" si="227"/>
        <v>0</v>
      </c>
      <c r="CV144" s="166" t="str">
        <f t="shared" si="227"/>
        <v/>
      </c>
      <c r="CW144" s="166" t="str">
        <f t="shared" si="227"/>
        <v/>
      </c>
      <c r="CX144" s="166" t="str">
        <f t="shared" si="227"/>
        <v/>
      </c>
      <c r="CY144" s="168">
        <f t="shared" si="227"/>
        <v>2.8159352626618794</v>
      </c>
      <c r="DA144" s="107" t="s">
        <v>396</v>
      </c>
      <c r="DB144" s="315">
        <f t="shared" si="225"/>
        <v>0</v>
      </c>
      <c r="DC144" s="315">
        <f t="shared" si="225"/>
        <v>0</v>
      </c>
      <c r="DD144" s="315">
        <f t="shared" si="225"/>
        <v>0</v>
      </c>
      <c r="DE144" s="315">
        <f t="shared" si="225"/>
        <v>0</v>
      </c>
      <c r="DF144" s="315">
        <f t="shared" si="225"/>
        <v>0</v>
      </c>
      <c r="DG144" s="315">
        <f t="shared" si="225"/>
        <v>0</v>
      </c>
      <c r="DH144" s="315">
        <f t="shared" si="225"/>
        <v>0</v>
      </c>
      <c r="DI144" s="315">
        <f t="shared" si="225"/>
        <v>0</v>
      </c>
      <c r="DJ144" s="315">
        <f t="shared" si="225"/>
        <v>0</v>
      </c>
      <c r="DK144" s="314">
        <f t="shared" si="225"/>
        <v>0</v>
      </c>
      <c r="DL144" s="315">
        <f t="shared" si="225"/>
        <v>0</v>
      </c>
      <c r="DM144" s="315">
        <f t="shared" si="225"/>
        <v>0</v>
      </c>
      <c r="DN144" s="315">
        <f t="shared" si="225"/>
        <v>0</v>
      </c>
      <c r="DO144" s="168"/>
      <c r="DQ144" s="107" t="s">
        <v>396</v>
      </c>
      <c r="DR144" s="315"/>
      <c r="DS144" s="315"/>
      <c r="DT144" s="315"/>
      <c r="DU144" s="315"/>
      <c r="DV144" s="315"/>
      <c r="DW144" s="315"/>
      <c r="DX144" s="315"/>
      <c r="DY144" s="315"/>
      <c r="DZ144" s="315"/>
      <c r="EA144" s="314">
        <v>0</v>
      </c>
      <c r="EB144" s="315"/>
      <c r="EC144" s="315"/>
      <c r="ED144" s="315"/>
      <c r="EE144" s="168"/>
      <c r="EG144" s="107" t="s">
        <v>396</v>
      </c>
      <c r="EH144" s="315"/>
      <c r="EI144" s="315"/>
      <c r="EJ144" s="315"/>
      <c r="EK144" s="315"/>
      <c r="EL144" s="315"/>
      <c r="EM144" s="315"/>
      <c r="EN144" s="315"/>
      <c r="EO144" s="315"/>
      <c r="EP144" s="315"/>
      <c r="EQ144" s="314">
        <v>0</v>
      </c>
      <c r="ER144" s="315"/>
      <c r="ES144" s="315"/>
      <c r="ET144" s="315"/>
      <c r="EU144" s="168"/>
      <c r="EW144" s="164" t="s">
        <v>396</v>
      </c>
      <c r="EX144" s="316">
        <f t="shared" si="216"/>
        <v>0</v>
      </c>
      <c r="EY144" s="316">
        <f t="shared" si="212"/>
        <v>0</v>
      </c>
      <c r="EZ144" s="316">
        <f t="shared" si="212"/>
        <v>0</v>
      </c>
      <c r="FA144" s="316">
        <f t="shared" si="212"/>
        <v>0</v>
      </c>
      <c r="FB144" s="316">
        <f t="shared" si="212"/>
        <v>0</v>
      </c>
      <c r="FC144" s="316">
        <f t="shared" si="212"/>
        <v>0</v>
      </c>
      <c r="FD144" s="316">
        <f t="shared" si="212"/>
        <v>0</v>
      </c>
      <c r="FE144" s="316">
        <f t="shared" si="212"/>
        <v>0</v>
      </c>
      <c r="FF144" s="316"/>
      <c r="FG144" s="316">
        <f t="shared" si="212"/>
        <v>0</v>
      </c>
      <c r="FH144" s="316">
        <f t="shared" si="212"/>
        <v>0</v>
      </c>
      <c r="FI144" s="316">
        <f t="shared" si="212"/>
        <v>0</v>
      </c>
      <c r="FJ144" s="316">
        <f t="shared" si="212"/>
        <v>0</v>
      </c>
      <c r="FK144" s="316">
        <f t="shared" si="212"/>
        <v>0</v>
      </c>
      <c r="FL144" s="168"/>
    </row>
    <row r="145" spans="2:168" x14ac:dyDescent="0.25">
      <c r="B145" s="107" t="s">
        <v>397</v>
      </c>
      <c r="C145" s="294"/>
      <c r="D145" s="294"/>
      <c r="E145" s="294"/>
      <c r="F145" s="294"/>
      <c r="G145" s="294"/>
      <c r="H145" s="294"/>
      <c r="I145" s="294"/>
      <c r="J145" s="294"/>
      <c r="K145" s="294"/>
      <c r="L145" s="294"/>
      <c r="M145" s="160">
        <f>TripMode_inputCBD!M127</f>
        <v>84.663349999999994</v>
      </c>
      <c r="N145" s="294"/>
      <c r="O145" s="294"/>
      <c r="P145" s="162">
        <f t="shared" si="203"/>
        <v>84.663349999999994</v>
      </c>
      <c r="R145">
        <f t="shared" si="213"/>
        <v>0</v>
      </c>
      <c r="S145">
        <f t="shared" si="214"/>
        <v>0</v>
      </c>
      <c r="T145">
        <f t="shared" si="215"/>
        <v>1</v>
      </c>
      <c r="W145" s="127">
        <f>+M145/M$161</f>
        <v>3.4981150034057534E-4</v>
      </c>
      <c r="X145" s="127"/>
      <c r="Y145" s="107" t="s">
        <v>397</v>
      </c>
      <c r="Z145" s="294"/>
      <c r="AA145" s="294"/>
      <c r="AB145" s="294"/>
      <c r="AC145" s="294"/>
      <c r="AD145" s="294"/>
      <c r="AE145" s="294"/>
      <c r="AF145" s="294"/>
      <c r="AG145" s="294"/>
      <c r="AH145" s="294"/>
      <c r="AI145" s="294"/>
      <c r="AJ145" s="160">
        <f>W145*W$161</f>
        <v>32.249345436600478</v>
      </c>
      <c r="AK145" s="294"/>
      <c r="AL145" s="294"/>
      <c r="AM145" s="162">
        <f t="shared" si="205"/>
        <v>32.249345436600478</v>
      </c>
      <c r="AN145" s="127"/>
      <c r="AO145" s="107" t="s">
        <v>397</v>
      </c>
      <c r="AP145" s="294">
        <f>TripMode_inputCBD!R127*Index!$B$2</f>
        <v>0</v>
      </c>
      <c r="AQ145" s="294">
        <f>TripMode_inputCBD!S127*Index!$B$2</f>
        <v>0</v>
      </c>
      <c r="AR145" s="294">
        <f>TripMode_inputCBD!T127*Index!$B$2</f>
        <v>0</v>
      </c>
      <c r="AS145" s="294">
        <f>TripMode_inputCBD!U127*Index!$B$2</f>
        <v>0</v>
      </c>
      <c r="AT145" s="294">
        <f>TripMode_inputCBD!V127*Index!$B$2</f>
        <v>0</v>
      </c>
      <c r="AU145" s="294">
        <f>TripMode_inputCBD!W127*Index!$B$2</f>
        <v>0</v>
      </c>
      <c r="AV145" s="294">
        <f>TripMode_inputCBD!X127*Index!$B$2</f>
        <v>0</v>
      </c>
      <c r="AW145" s="294">
        <f>TripMode_inputCBD!Y127*Index!$B$2</f>
        <v>0</v>
      </c>
      <c r="AX145" s="294">
        <f>TripMode_inputCBD!AA127*Index!$B$2</f>
        <v>0</v>
      </c>
      <c r="AY145" s="294">
        <f>TripMode_inputCBD!AB127*Index!$B$2</f>
        <v>0</v>
      </c>
      <c r="AZ145" s="160">
        <f>TripMode_inputCBD!AC127*Index!$B$2</f>
        <v>5</v>
      </c>
      <c r="BA145" s="294">
        <f>TripMode_inputCBD!AD127*Index!$B$2</f>
        <v>0</v>
      </c>
      <c r="BB145" s="294">
        <f>TripMode_inputCBD!AE127*Index!$B$2</f>
        <v>0</v>
      </c>
      <c r="BC145" s="162">
        <f t="shared" si="206"/>
        <v>5</v>
      </c>
      <c r="BE145" s="107" t="s">
        <v>397</v>
      </c>
      <c r="BF145" s="166" t="str">
        <f t="shared" si="223"/>
        <v/>
      </c>
      <c r="BG145" s="166" t="str">
        <f t="shared" si="223"/>
        <v/>
      </c>
      <c r="BH145" s="166">
        <f t="shared" si="223"/>
        <v>0</v>
      </c>
      <c r="BI145" s="166">
        <f t="shared" si="223"/>
        <v>0</v>
      </c>
      <c r="BJ145" s="166">
        <f t="shared" si="223"/>
        <v>0</v>
      </c>
      <c r="BK145" s="166">
        <f t="shared" si="223"/>
        <v>0</v>
      </c>
      <c r="BL145" s="166">
        <f t="shared" si="223"/>
        <v>0</v>
      </c>
      <c r="BM145" s="166">
        <f t="shared" si="223"/>
        <v>0</v>
      </c>
      <c r="BN145" s="166">
        <f t="shared" si="223"/>
        <v>0</v>
      </c>
      <c r="BO145" s="166">
        <f t="shared" si="223"/>
        <v>0</v>
      </c>
      <c r="BP145" s="166">
        <f t="shared" si="223"/>
        <v>1</v>
      </c>
      <c r="BQ145" s="166" t="str">
        <f t="shared" si="223"/>
        <v/>
      </c>
      <c r="BR145" s="166" t="str">
        <f t="shared" si="223"/>
        <v/>
      </c>
      <c r="BS145" s="166">
        <f t="shared" si="223"/>
        <v>9.8334335311214772E-5</v>
      </c>
      <c r="BU145" s="107" t="s">
        <v>397</v>
      </c>
      <c r="BV145" s="166" t="str">
        <f t="shared" si="224"/>
        <v/>
      </c>
      <c r="BW145" s="166" t="str">
        <f t="shared" si="224"/>
        <v/>
      </c>
      <c r="BX145" s="166">
        <f t="shared" si="224"/>
        <v>0</v>
      </c>
      <c r="BY145" s="166">
        <f t="shared" si="224"/>
        <v>0</v>
      </c>
      <c r="BZ145" s="166">
        <f t="shared" si="224"/>
        <v>0</v>
      </c>
      <c r="CA145" s="166">
        <f t="shared" si="224"/>
        <v>0</v>
      </c>
      <c r="CB145" s="166">
        <f t="shared" si="224"/>
        <v>0</v>
      </c>
      <c r="CC145" s="166">
        <f t="shared" si="224"/>
        <v>0</v>
      </c>
      <c r="CD145" s="166">
        <f t="shared" si="224"/>
        <v>0</v>
      </c>
      <c r="CE145" s="166">
        <f t="shared" si="224"/>
        <v>0</v>
      </c>
      <c r="CF145" s="166">
        <f t="shared" si="224"/>
        <v>1</v>
      </c>
      <c r="CG145" s="166">
        <f t="shared" si="224"/>
        <v>0</v>
      </c>
      <c r="CH145" s="166" t="str">
        <f t="shared" si="224"/>
        <v/>
      </c>
      <c r="CI145" s="168">
        <f t="shared" si="224"/>
        <v>1.8318373328448433E-4</v>
      </c>
      <c r="CK145" s="107" t="s">
        <v>397</v>
      </c>
      <c r="CL145" s="166" t="str">
        <f t="shared" si="226"/>
        <v/>
      </c>
      <c r="CM145" s="166" t="str">
        <f t="shared" si="226"/>
        <v/>
      </c>
      <c r="CN145" s="166" t="str">
        <f t="shared" si="226"/>
        <v/>
      </c>
      <c r="CO145" s="166" t="str">
        <f t="shared" si="226"/>
        <v/>
      </c>
      <c r="CP145" s="166"/>
      <c r="CQ145" s="166"/>
      <c r="CR145" s="166"/>
      <c r="CS145" s="166"/>
      <c r="CT145" s="166" t="str">
        <f t="shared" si="227"/>
        <v/>
      </c>
      <c r="CU145" s="166" t="str">
        <f t="shared" si="227"/>
        <v/>
      </c>
      <c r="CV145" s="166">
        <f t="shared" si="227"/>
        <v>0</v>
      </c>
      <c r="CW145" s="166" t="str">
        <f t="shared" si="227"/>
        <v/>
      </c>
      <c r="CX145" s="166" t="str">
        <f t="shared" si="227"/>
        <v/>
      </c>
      <c r="CY145" s="168">
        <f t="shared" si="227"/>
        <v>0.86286644135776969</v>
      </c>
      <c r="DA145" s="107" t="s">
        <v>397</v>
      </c>
      <c r="DB145" s="315">
        <f t="shared" si="225"/>
        <v>0</v>
      </c>
      <c r="DC145" s="315">
        <f t="shared" si="225"/>
        <v>0</v>
      </c>
      <c r="DD145" s="315">
        <f t="shared" si="225"/>
        <v>0</v>
      </c>
      <c r="DE145" s="315">
        <f t="shared" si="225"/>
        <v>0</v>
      </c>
      <c r="DF145" s="315">
        <f t="shared" si="225"/>
        <v>0</v>
      </c>
      <c r="DG145" s="315">
        <f t="shared" si="225"/>
        <v>0</v>
      </c>
      <c r="DH145" s="315">
        <f t="shared" si="225"/>
        <v>0</v>
      </c>
      <c r="DI145" s="315">
        <f t="shared" si="225"/>
        <v>0</v>
      </c>
      <c r="DJ145" s="315">
        <f t="shared" si="225"/>
        <v>0</v>
      </c>
      <c r="DK145" s="315">
        <f t="shared" si="225"/>
        <v>0</v>
      </c>
      <c r="DL145" s="314">
        <f t="shared" si="225"/>
        <v>0</v>
      </c>
      <c r="DM145" s="315">
        <f t="shared" si="225"/>
        <v>0</v>
      </c>
      <c r="DN145" s="315">
        <f t="shared" si="225"/>
        <v>0</v>
      </c>
      <c r="DO145" s="168"/>
      <c r="DQ145" s="107" t="s">
        <v>397</v>
      </c>
      <c r="DR145" s="315"/>
      <c r="DS145" s="315"/>
      <c r="DT145" s="315"/>
      <c r="DU145" s="315"/>
      <c r="DV145" s="315"/>
      <c r="DW145" s="315"/>
      <c r="DX145" s="315"/>
      <c r="DY145" s="315"/>
      <c r="DZ145" s="315"/>
      <c r="EA145" s="315"/>
      <c r="EB145" s="314">
        <v>0</v>
      </c>
      <c r="EC145" s="315"/>
      <c r="ED145" s="315"/>
      <c r="EE145" s="168"/>
      <c r="EG145" s="107" t="s">
        <v>397</v>
      </c>
      <c r="EH145" s="315"/>
      <c r="EI145" s="315"/>
      <c r="EJ145" s="315"/>
      <c r="EK145" s="315"/>
      <c r="EL145" s="315"/>
      <c r="EM145" s="315"/>
      <c r="EN145" s="315"/>
      <c r="EO145" s="315"/>
      <c r="EP145" s="315"/>
      <c r="EQ145" s="315"/>
      <c r="ER145" s="314">
        <v>0</v>
      </c>
      <c r="ES145" s="315"/>
      <c r="ET145" s="315"/>
      <c r="EU145" s="168"/>
      <c r="EW145" s="164" t="s">
        <v>397</v>
      </c>
      <c r="EX145" s="316">
        <f t="shared" si="216"/>
        <v>0</v>
      </c>
      <c r="EY145" s="316">
        <f t="shared" si="212"/>
        <v>0</v>
      </c>
      <c r="EZ145" s="316">
        <f t="shared" si="212"/>
        <v>0</v>
      </c>
      <c r="FA145" s="316">
        <f t="shared" si="212"/>
        <v>0</v>
      </c>
      <c r="FB145" s="316">
        <f t="shared" si="212"/>
        <v>0</v>
      </c>
      <c r="FC145" s="316">
        <f t="shared" si="212"/>
        <v>0</v>
      </c>
      <c r="FD145" s="316">
        <f t="shared" si="212"/>
        <v>0</v>
      </c>
      <c r="FE145" s="316">
        <f t="shared" si="212"/>
        <v>0</v>
      </c>
      <c r="FF145" s="316"/>
      <c r="FG145" s="316">
        <f t="shared" si="212"/>
        <v>0</v>
      </c>
      <c r="FH145" s="316">
        <f t="shared" si="212"/>
        <v>0</v>
      </c>
      <c r="FI145" s="316">
        <f t="shared" si="212"/>
        <v>0</v>
      </c>
      <c r="FJ145" s="316">
        <f t="shared" si="212"/>
        <v>0</v>
      </c>
      <c r="FK145" s="316">
        <f t="shared" si="212"/>
        <v>0</v>
      </c>
      <c r="FL145" s="168"/>
    </row>
    <row r="146" spans="2:168" x14ac:dyDescent="0.25">
      <c r="B146" s="107" t="s">
        <v>398</v>
      </c>
      <c r="C146" s="294"/>
      <c r="D146" s="294"/>
      <c r="E146" s="294"/>
      <c r="F146" s="294"/>
      <c r="G146" s="294"/>
      <c r="H146" s="294"/>
      <c r="I146" s="294"/>
      <c r="J146" s="294"/>
      <c r="K146" s="160">
        <f>TripMode_inputCBD!J128+TripMode_inputCBD!K128</f>
        <v>0</v>
      </c>
      <c r="L146" s="294"/>
      <c r="M146" s="294"/>
      <c r="N146" s="160">
        <f>TripMode_inputCBD!N128</f>
        <v>0</v>
      </c>
      <c r="O146" s="294"/>
      <c r="P146" s="162">
        <f t="shared" si="203"/>
        <v>0</v>
      </c>
      <c r="R146">
        <f t="shared" si="213"/>
        <v>0</v>
      </c>
      <c r="S146">
        <f t="shared" si="214"/>
        <v>0</v>
      </c>
      <c r="T146">
        <f t="shared" si="215"/>
        <v>0</v>
      </c>
      <c r="Y146" s="107" t="s">
        <v>398</v>
      </c>
      <c r="Z146" s="294"/>
      <c r="AA146" s="294"/>
      <c r="AB146" s="294"/>
      <c r="AC146" s="294"/>
      <c r="AD146" s="294"/>
      <c r="AE146" s="294"/>
      <c r="AF146" s="294"/>
      <c r="AG146" s="294"/>
      <c r="AH146" s="160">
        <f>AH143*R146</f>
        <v>0</v>
      </c>
      <c r="AI146" s="160">
        <f>AI144*S146</f>
        <v>0</v>
      </c>
      <c r="AJ146" s="160">
        <f>AJ145*T146</f>
        <v>0</v>
      </c>
      <c r="AK146" s="160">
        <f>N146</f>
        <v>0</v>
      </c>
      <c r="AL146" s="294"/>
      <c r="AM146" s="162">
        <f t="shared" si="205"/>
        <v>0</v>
      </c>
      <c r="AO146" s="107" t="s">
        <v>398</v>
      </c>
      <c r="AP146" s="294">
        <f>TripMode_inputCBD!R128*Index!$B$2</f>
        <v>0</v>
      </c>
      <c r="AQ146" s="294">
        <f>TripMode_inputCBD!S128*Index!$B$2</f>
        <v>0</v>
      </c>
      <c r="AR146" s="294">
        <f>TripMode_inputCBD!T128*Index!$B$2</f>
        <v>0</v>
      </c>
      <c r="AS146" s="294">
        <f>TripMode_inputCBD!U128*Index!$B$2</f>
        <v>0</v>
      </c>
      <c r="AT146" s="294">
        <f>TripMode_inputCBD!V128*Index!$B$2</f>
        <v>0</v>
      </c>
      <c r="AU146" s="294">
        <f>TripMode_inputCBD!W128*Index!$B$2</f>
        <v>0</v>
      </c>
      <c r="AV146" s="294">
        <f>TripMode_inputCBD!X128*Index!$B$2</f>
        <v>0</v>
      </c>
      <c r="AW146" s="294">
        <f>TripMode_inputCBD!Y128*Index!$B$2</f>
        <v>0</v>
      </c>
      <c r="AX146" s="160">
        <f>TripMode_inputCBD!AA128*Index!$B$2</f>
        <v>65</v>
      </c>
      <c r="AY146" s="160">
        <f>TripMode_inputCBD!AB128*Index!$B$2</f>
        <v>0</v>
      </c>
      <c r="AZ146" s="160">
        <f>TripMode_inputCBD!AC128*Index!$B$2</f>
        <v>0</v>
      </c>
      <c r="BA146" s="160">
        <f>TripMode_inputCBD!AD128*Index!$B$2</f>
        <v>80</v>
      </c>
      <c r="BB146" s="294">
        <f>TripMode_inputCBD!AE128*Index!$B$2</f>
        <v>0</v>
      </c>
      <c r="BC146" s="162">
        <f t="shared" si="206"/>
        <v>145</v>
      </c>
      <c r="BE146" s="107" t="s">
        <v>398</v>
      </c>
      <c r="BF146" s="166" t="str">
        <f t="shared" si="223"/>
        <v/>
      </c>
      <c r="BG146" s="166" t="str">
        <f t="shared" si="223"/>
        <v/>
      </c>
      <c r="BH146" s="166">
        <f t="shared" si="223"/>
        <v>0</v>
      </c>
      <c r="BI146" s="166">
        <f t="shared" si="223"/>
        <v>0</v>
      </c>
      <c r="BJ146" s="166">
        <f t="shared" si="223"/>
        <v>0</v>
      </c>
      <c r="BK146" s="166">
        <f t="shared" si="223"/>
        <v>0</v>
      </c>
      <c r="BL146" s="166">
        <f t="shared" si="223"/>
        <v>0</v>
      </c>
      <c r="BM146" s="166">
        <f t="shared" si="223"/>
        <v>0</v>
      </c>
      <c r="BN146" s="166">
        <f t="shared" si="223"/>
        <v>0</v>
      </c>
      <c r="BO146" s="166">
        <f t="shared" si="223"/>
        <v>0</v>
      </c>
      <c r="BP146" s="166">
        <f t="shared" si="223"/>
        <v>0</v>
      </c>
      <c r="BQ146" s="166" t="str">
        <f t="shared" si="223"/>
        <v/>
      </c>
      <c r="BR146" s="166" t="str">
        <f t="shared" si="223"/>
        <v/>
      </c>
      <c r="BS146" s="166">
        <f t="shared" si="223"/>
        <v>0</v>
      </c>
      <c r="BU146" s="107" t="s">
        <v>398</v>
      </c>
      <c r="BV146" s="166" t="str">
        <f t="shared" si="224"/>
        <v/>
      </c>
      <c r="BW146" s="166" t="str">
        <f t="shared" si="224"/>
        <v/>
      </c>
      <c r="BX146" s="166">
        <f t="shared" si="224"/>
        <v>0</v>
      </c>
      <c r="BY146" s="166">
        <f t="shared" si="224"/>
        <v>0</v>
      </c>
      <c r="BZ146" s="166">
        <f t="shared" si="224"/>
        <v>0</v>
      </c>
      <c r="CA146" s="166">
        <f t="shared" si="224"/>
        <v>0</v>
      </c>
      <c r="CB146" s="166">
        <f t="shared" si="224"/>
        <v>0</v>
      </c>
      <c r="CC146" s="166">
        <f t="shared" si="224"/>
        <v>0</v>
      </c>
      <c r="CD146" s="166">
        <f t="shared" si="224"/>
        <v>1.813110181311018E-2</v>
      </c>
      <c r="CE146" s="166">
        <f t="shared" si="224"/>
        <v>0</v>
      </c>
      <c r="CF146" s="166">
        <f t="shared" si="224"/>
        <v>0</v>
      </c>
      <c r="CG146" s="166">
        <f t="shared" si="224"/>
        <v>1</v>
      </c>
      <c r="CH146" s="166" t="str">
        <f t="shared" si="224"/>
        <v/>
      </c>
      <c r="CI146" s="168">
        <f t="shared" si="224"/>
        <v>5.3123282652500457E-3</v>
      </c>
      <c r="CK146" s="107" t="s">
        <v>398</v>
      </c>
      <c r="CL146" s="166" t="str">
        <f t="shared" si="226"/>
        <v/>
      </c>
      <c r="CM146" s="166" t="str">
        <f t="shared" si="226"/>
        <v/>
      </c>
      <c r="CN146" s="166" t="str">
        <f t="shared" si="226"/>
        <v/>
      </c>
      <c r="CO146" s="166" t="str">
        <f t="shared" si="226"/>
        <v/>
      </c>
      <c r="CP146" s="166"/>
      <c r="CQ146" s="166"/>
      <c r="CR146" s="166"/>
      <c r="CS146" s="166"/>
      <c r="CT146" s="166" t="str">
        <f t="shared" si="227"/>
        <v/>
      </c>
      <c r="CU146" s="166" t="str">
        <f t="shared" si="227"/>
        <v/>
      </c>
      <c r="CV146" s="166" t="str">
        <f t="shared" si="227"/>
        <v/>
      </c>
      <c r="CW146" s="166" t="str">
        <f t="shared" si="227"/>
        <v/>
      </c>
      <c r="CX146" s="166" t="str">
        <f t="shared" si="227"/>
        <v/>
      </c>
      <c r="CY146" s="168" t="str">
        <f t="shared" si="227"/>
        <v/>
      </c>
      <c r="DA146" s="107" t="s">
        <v>398</v>
      </c>
      <c r="DB146" s="315">
        <f t="shared" si="225"/>
        <v>0</v>
      </c>
      <c r="DC146" s="315">
        <f t="shared" si="225"/>
        <v>0</v>
      </c>
      <c r="DD146" s="315">
        <f t="shared" si="225"/>
        <v>0</v>
      </c>
      <c r="DE146" s="315">
        <f t="shared" si="225"/>
        <v>0</v>
      </c>
      <c r="DF146" s="315">
        <f t="shared" si="225"/>
        <v>0</v>
      </c>
      <c r="DG146" s="315">
        <f t="shared" si="225"/>
        <v>0</v>
      </c>
      <c r="DH146" s="315">
        <f t="shared" si="225"/>
        <v>0</v>
      </c>
      <c r="DI146" s="315">
        <f t="shared" si="225"/>
        <v>0</v>
      </c>
      <c r="DJ146" s="314">
        <f t="shared" si="225"/>
        <v>0</v>
      </c>
      <c r="DK146" s="314">
        <f t="shared" si="225"/>
        <v>0</v>
      </c>
      <c r="DL146" s="314">
        <f t="shared" si="225"/>
        <v>0</v>
      </c>
      <c r="DM146" s="314">
        <f t="shared" si="225"/>
        <v>0</v>
      </c>
      <c r="DN146" s="315">
        <f t="shared" si="225"/>
        <v>0</v>
      </c>
      <c r="DO146" s="168"/>
      <c r="DQ146" s="107" t="s">
        <v>398</v>
      </c>
      <c r="DR146" s="315"/>
      <c r="DS146" s="315"/>
      <c r="DT146" s="315"/>
      <c r="DU146" s="315"/>
      <c r="DV146" s="315"/>
      <c r="DW146" s="315"/>
      <c r="DX146" s="315"/>
      <c r="DY146" s="315"/>
      <c r="DZ146" s="314">
        <v>-0.30458836432551972</v>
      </c>
      <c r="EA146" s="314">
        <v>0</v>
      </c>
      <c r="EB146" s="314">
        <v>0</v>
      </c>
      <c r="EC146" s="314">
        <v>0</v>
      </c>
      <c r="ED146" s="315"/>
      <c r="EE146" s="168"/>
      <c r="EG146" s="107" t="s">
        <v>398</v>
      </c>
      <c r="EH146" s="315"/>
      <c r="EI146" s="315"/>
      <c r="EJ146" s="315"/>
      <c r="EK146" s="315"/>
      <c r="EL146" s="315"/>
      <c r="EM146" s="315"/>
      <c r="EN146" s="315"/>
      <c r="EO146" s="315"/>
      <c r="EP146" s="314">
        <f>DZ146+(DJ146-DJ$143)*$EI$1</f>
        <v>-0.40423148822105009</v>
      </c>
      <c r="EQ146" s="314">
        <f>EA146+(DK146-DK$144)*$EI$1</f>
        <v>0</v>
      </c>
      <c r="ER146" s="314">
        <f>EB146+(DL146-DL$145)*$EI$1</f>
        <v>0</v>
      </c>
      <c r="ES146" s="314">
        <v>0</v>
      </c>
      <c r="ET146" s="315"/>
      <c r="EU146" s="168"/>
      <c r="EW146" s="164" t="s">
        <v>398</v>
      </c>
      <c r="EX146" s="316">
        <f t="shared" si="216"/>
        <v>0</v>
      </c>
      <c r="EY146" s="316">
        <f t="shared" si="212"/>
        <v>0</v>
      </c>
      <c r="EZ146" s="316">
        <f t="shared" si="212"/>
        <v>1.8755309523453589</v>
      </c>
      <c r="FA146" s="316">
        <f t="shared" si="212"/>
        <v>1.8755309523453589</v>
      </c>
      <c r="FB146" s="316">
        <f t="shared" si="212"/>
        <v>0.21181052787489524</v>
      </c>
      <c r="FC146" s="316">
        <f t="shared" si="212"/>
        <v>0.21181052787489524</v>
      </c>
      <c r="FD146" s="316">
        <f t="shared" si="212"/>
        <v>0.21181052787489524</v>
      </c>
      <c r="FE146" s="316">
        <f t="shared" si="212"/>
        <v>0</v>
      </c>
      <c r="FF146" s="316"/>
      <c r="FG146" s="316">
        <f t="shared" si="212"/>
        <v>0</v>
      </c>
      <c r="FH146" s="316">
        <f t="shared" si="212"/>
        <v>0</v>
      </c>
      <c r="FI146" s="316">
        <f t="shared" si="212"/>
        <v>0</v>
      </c>
      <c r="FJ146" s="316">
        <f t="shared" si="212"/>
        <v>0</v>
      </c>
      <c r="FK146" s="316">
        <f t="shared" si="212"/>
        <v>0</v>
      </c>
      <c r="FL146" s="168"/>
    </row>
    <row r="147" spans="2:168" x14ac:dyDescent="0.25">
      <c r="B147" s="107" t="s">
        <v>399</v>
      </c>
      <c r="C147" s="294"/>
      <c r="D147" s="294"/>
      <c r="E147" s="294"/>
      <c r="F147" s="294"/>
      <c r="G147" s="294"/>
      <c r="H147" s="294"/>
      <c r="I147" s="294"/>
      <c r="J147" s="294"/>
      <c r="K147" s="294"/>
      <c r="L147" s="294"/>
      <c r="M147" s="294"/>
      <c r="N147" s="294"/>
      <c r="O147" s="160">
        <f>TripMode_inputCBD!O129</f>
        <v>0</v>
      </c>
      <c r="P147" s="162">
        <f t="shared" si="203"/>
        <v>0</v>
      </c>
      <c r="R147">
        <f t="shared" si="213"/>
        <v>0</v>
      </c>
      <c r="S147">
        <f t="shared" si="214"/>
        <v>0</v>
      </c>
      <c r="T147">
        <f t="shared" si="215"/>
        <v>0</v>
      </c>
      <c r="Y147" s="107" t="s">
        <v>399</v>
      </c>
      <c r="Z147" s="294"/>
      <c r="AA147" s="294"/>
      <c r="AB147" s="294"/>
      <c r="AC147" s="294"/>
      <c r="AD147" s="294"/>
      <c r="AE147" s="294"/>
      <c r="AF147" s="294"/>
      <c r="AG147" s="294"/>
      <c r="AH147" s="294"/>
      <c r="AI147" s="294"/>
      <c r="AJ147" s="294"/>
      <c r="AK147" s="294"/>
      <c r="AL147" s="160">
        <f>+O147</f>
        <v>0</v>
      </c>
      <c r="AM147" s="162">
        <f t="shared" si="205"/>
        <v>0</v>
      </c>
      <c r="AO147" s="107" t="s">
        <v>399</v>
      </c>
      <c r="AP147" s="294">
        <f>TripMode_inputCBD!R129*Index!$B$2</f>
        <v>0</v>
      </c>
      <c r="AQ147" s="294">
        <f>TripMode_inputCBD!S129*Index!$B$2</f>
        <v>0</v>
      </c>
      <c r="AR147" s="294">
        <f>TripMode_inputCBD!T129*Index!$B$2</f>
        <v>0</v>
      </c>
      <c r="AS147" s="294">
        <f>TripMode_inputCBD!U129*Index!$B$2</f>
        <v>0</v>
      </c>
      <c r="AT147" s="294">
        <f>TripMode_inputCBD!V129*Index!$B$2</f>
        <v>0</v>
      </c>
      <c r="AU147" s="294">
        <f>TripMode_inputCBD!W129*Index!$B$2</f>
        <v>0</v>
      </c>
      <c r="AV147" s="294">
        <f>TripMode_inputCBD!X129*Index!$B$2</f>
        <v>0</v>
      </c>
      <c r="AW147" s="294">
        <f>TripMode_inputCBD!Y129*Index!$B$2</f>
        <v>0</v>
      </c>
      <c r="AX147" s="294">
        <f>TripMode_inputCBD!AA129*Index!$B$2</f>
        <v>0</v>
      </c>
      <c r="AY147" s="294">
        <f>TripMode_inputCBD!AB129*Index!$B$2</f>
        <v>0</v>
      </c>
      <c r="AZ147" s="294">
        <f>TripMode_inputCBD!AC129*Index!$B$2</f>
        <v>0</v>
      </c>
      <c r="BA147" s="294">
        <f>TripMode_inputCBD!AD129*Index!$B$2</f>
        <v>0</v>
      </c>
      <c r="BB147" s="160">
        <f>TripMode_inputCBD!AE129*Index!$B$2</f>
        <v>0</v>
      </c>
      <c r="BC147" s="162">
        <f t="shared" si="206"/>
        <v>0</v>
      </c>
      <c r="BE147" s="107" t="s">
        <v>399</v>
      </c>
      <c r="BF147" s="166" t="str">
        <f t="shared" si="223"/>
        <v/>
      </c>
      <c r="BG147" s="166" t="str">
        <f t="shared" si="223"/>
        <v/>
      </c>
      <c r="BH147" s="166">
        <f t="shared" si="223"/>
        <v>0</v>
      </c>
      <c r="BI147" s="166">
        <f t="shared" si="223"/>
        <v>0</v>
      </c>
      <c r="BJ147" s="166">
        <f t="shared" si="223"/>
        <v>0</v>
      </c>
      <c r="BK147" s="166">
        <f t="shared" si="223"/>
        <v>0</v>
      </c>
      <c r="BL147" s="166">
        <f t="shared" si="223"/>
        <v>0</v>
      </c>
      <c r="BM147" s="166">
        <f t="shared" si="223"/>
        <v>0</v>
      </c>
      <c r="BN147" s="166">
        <f t="shared" si="223"/>
        <v>0</v>
      </c>
      <c r="BO147" s="166">
        <f t="shared" si="223"/>
        <v>0</v>
      </c>
      <c r="BP147" s="166">
        <f t="shared" si="223"/>
        <v>0</v>
      </c>
      <c r="BQ147" s="166" t="str">
        <f t="shared" si="223"/>
        <v/>
      </c>
      <c r="BR147" s="166" t="str">
        <f t="shared" si="223"/>
        <v/>
      </c>
      <c r="BS147" s="166">
        <f t="shared" si="223"/>
        <v>0</v>
      </c>
      <c r="BU147" s="107" t="s">
        <v>399</v>
      </c>
      <c r="BV147" s="166" t="str">
        <f t="shared" si="224"/>
        <v/>
      </c>
      <c r="BW147" s="166" t="str">
        <f t="shared" si="224"/>
        <v/>
      </c>
      <c r="BX147" s="166">
        <f t="shared" si="224"/>
        <v>0</v>
      </c>
      <c r="BY147" s="166">
        <f t="shared" si="224"/>
        <v>0</v>
      </c>
      <c r="BZ147" s="166">
        <f t="shared" si="224"/>
        <v>0</v>
      </c>
      <c r="CA147" s="166">
        <f t="shared" si="224"/>
        <v>0</v>
      </c>
      <c r="CB147" s="166">
        <f t="shared" si="224"/>
        <v>0</v>
      </c>
      <c r="CC147" s="166">
        <f t="shared" si="224"/>
        <v>0</v>
      </c>
      <c r="CD147" s="166">
        <f t="shared" si="224"/>
        <v>0</v>
      </c>
      <c r="CE147" s="166">
        <f t="shared" si="224"/>
        <v>0</v>
      </c>
      <c r="CF147" s="166">
        <f t="shared" si="224"/>
        <v>0</v>
      </c>
      <c r="CG147" s="166">
        <f t="shared" si="224"/>
        <v>0</v>
      </c>
      <c r="CH147" s="166" t="str">
        <f t="shared" si="224"/>
        <v/>
      </c>
      <c r="CI147" s="168">
        <f t="shared" si="224"/>
        <v>0</v>
      </c>
      <c r="CK147" s="107" t="s">
        <v>399</v>
      </c>
      <c r="CL147" s="166" t="str">
        <f t="shared" si="226"/>
        <v/>
      </c>
      <c r="CM147" s="166" t="str">
        <f t="shared" si="226"/>
        <v/>
      </c>
      <c r="CN147" s="166" t="str">
        <f t="shared" si="226"/>
        <v/>
      </c>
      <c r="CO147" s="166" t="str">
        <f t="shared" si="226"/>
        <v/>
      </c>
      <c r="CP147" s="166"/>
      <c r="CQ147" s="166"/>
      <c r="CR147" s="166"/>
      <c r="CS147" s="166"/>
      <c r="CT147" s="166" t="str">
        <f t="shared" si="227"/>
        <v/>
      </c>
      <c r="CU147" s="166" t="str">
        <f t="shared" si="227"/>
        <v/>
      </c>
      <c r="CV147" s="166" t="str">
        <f t="shared" si="227"/>
        <v/>
      </c>
      <c r="CW147" s="166" t="str">
        <f t="shared" si="227"/>
        <v/>
      </c>
      <c r="CX147" s="166" t="str">
        <f t="shared" si="227"/>
        <v/>
      </c>
      <c r="CY147" s="168" t="str">
        <f t="shared" si="227"/>
        <v/>
      </c>
      <c r="DA147" s="107" t="s">
        <v>399</v>
      </c>
      <c r="DB147" s="315">
        <f t="shared" si="225"/>
        <v>0</v>
      </c>
      <c r="DC147" s="315">
        <f t="shared" si="225"/>
        <v>0</v>
      </c>
      <c r="DD147" s="315">
        <f t="shared" si="225"/>
        <v>0</v>
      </c>
      <c r="DE147" s="315">
        <f t="shared" si="225"/>
        <v>0</v>
      </c>
      <c r="DF147" s="315">
        <f t="shared" si="225"/>
        <v>0</v>
      </c>
      <c r="DG147" s="315">
        <f t="shared" si="225"/>
        <v>0</v>
      </c>
      <c r="DH147" s="315">
        <f t="shared" si="225"/>
        <v>0</v>
      </c>
      <c r="DI147" s="315">
        <f t="shared" si="225"/>
        <v>0</v>
      </c>
      <c r="DJ147" s="315">
        <f t="shared" si="225"/>
        <v>0</v>
      </c>
      <c r="DK147" s="315">
        <f t="shared" si="225"/>
        <v>0</v>
      </c>
      <c r="DL147" s="315">
        <f t="shared" si="225"/>
        <v>0</v>
      </c>
      <c r="DM147" s="315">
        <f t="shared" si="225"/>
        <v>0</v>
      </c>
      <c r="DN147" s="314">
        <f t="shared" si="225"/>
        <v>0</v>
      </c>
      <c r="DO147" s="168"/>
      <c r="DQ147" s="107" t="s">
        <v>399</v>
      </c>
      <c r="DR147" s="315"/>
      <c r="DS147" s="315"/>
      <c r="DT147" s="315"/>
      <c r="DU147" s="315"/>
      <c r="DV147" s="315"/>
      <c r="DW147" s="315"/>
      <c r="DX147" s="315"/>
      <c r="DY147" s="315"/>
      <c r="DZ147" s="315"/>
      <c r="EA147" s="315"/>
      <c r="EB147" s="315"/>
      <c r="EC147" s="315"/>
      <c r="ED147" s="314">
        <v>0</v>
      </c>
      <c r="EE147" s="168"/>
      <c r="EG147" s="107" t="s">
        <v>399</v>
      </c>
      <c r="EH147" s="315"/>
      <c r="EI147" s="315"/>
      <c r="EJ147" s="315"/>
      <c r="EK147" s="315"/>
      <c r="EL147" s="315"/>
      <c r="EM147" s="315"/>
      <c r="EN147" s="315"/>
      <c r="EO147" s="315"/>
      <c r="EP147" s="315"/>
      <c r="EQ147" s="315"/>
      <c r="ER147" s="315"/>
      <c r="ES147" s="315"/>
      <c r="ET147" s="314">
        <v>0</v>
      </c>
      <c r="EU147" s="168"/>
      <c r="EW147" s="164" t="s">
        <v>399</v>
      </c>
      <c r="EX147" s="316">
        <f t="shared" si="216"/>
        <v>0</v>
      </c>
      <c r="EY147" s="316">
        <f t="shared" si="212"/>
        <v>0</v>
      </c>
      <c r="EZ147" s="316">
        <f t="shared" si="212"/>
        <v>0</v>
      </c>
      <c r="FA147" s="316">
        <f t="shared" si="212"/>
        <v>0</v>
      </c>
      <c r="FB147" s="316">
        <f t="shared" si="212"/>
        <v>0</v>
      </c>
      <c r="FC147" s="316">
        <f t="shared" si="212"/>
        <v>0</v>
      </c>
      <c r="FD147" s="316">
        <f t="shared" si="212"/>
        <v>0</v>
      </c>
      <c r="FE147" s="316">
        <f t="shared" si="212"/>
        <v>0</v>
      </c>
      <c r="FF147" s="316"/>
      <c r="FG147" s="316">
        <f t="shared" si="212"/>
        <v>0</v>
      </c>
      <c r="FH147" s="316">
        <f t="shared" si="212"/>
        <v>0</v>
      </c>
      <c r="FI147" s="316">
        <f t="shared" si="212"/>
        <v>0</v>
      </c>
      <c r="FJ147" s="316">
        <f t="shared" si="212"/>
        <v>0</v>
      </c>
      <c r="FK147" s="316">
        <f t="shared" si="212"/>
        <v>0</v>
      </c>
      <c r="FL147" s="168"/>
    </row>
    <row r="148" spans="2:168" ht="15.75" thickBot="1" x14ac:dyDescent="0.3">
      <c r="B148" s="108" t="s">
        <v>29</v>
      </c>
      <c r="C148" s="109">
        <f t="shared" ref="C148:P148" si="228">SUM(C135:C147)</f>
        <v>0</v>
      </c>
      <c r="D148" s="110">
        <f t="shared" si="228"/>
        <v>0</v>
      </c>
      <c r="E148" s="110">
        <f t="shared" si="228"/>
        <v>109509.67078</v>
      </c>
      <c r="F148" s="110">
        <f t="shared" si="228"/>
        <v>1505.6621500000001</v>
      </c>
      <c r="G148" s="110">
        <f t="shared" si="228"/>
        <v>181327.23121</v>
      </c>
      <c r="H148" s="110">
        <f t="shared" si="228"/>
        <v>2253.35986</v>
      </c>
      <c r="I148" s="110">
        <f t="shared" si="228"/>
        <v>24414.44299</v>
      </c>
      <c r="J148" s="110">
        <f t="shared" si="228"/>
        <v>2862.3531800000001</v>
      </c>
      <c r="K148" s="110">
        <f t="shared" si="228"/>
        <v>6016.2818200000002</v>
      </c>
      <c r="L148" s="110">
        <f t="shared" si="228"/>
        <v>536.01635999999996</v>
      </c>
      <c r="M148" s="110">
        <f t="shared" si="228"/>
        <v>84.663349999999994</v>
      </c>
      <c r="N148" s="110">
        <f t="shared" si="228"/>
        <v>0</v>
      </c>
      <c r="O148" s="110">
        <f t="shared" si="228"/>
        <v>0</v>
      </c>
      <c r="P148" s="112">
        <f t="shared" si="228"/>
        <v>328509.68169999996</v>
      </c>
      <c r="Y148" s="108" t="s">
        <v>29</v>
      </c>
      <c r="Z148" s="109">
        <f t="shared" ref="Z148:AM148" si="229">SUM(Z135:Z147)</f>
        <v>0</v>
      </c>
      <c r="AA148" s="110">
        <f t="shared" si="229"/>
        <v>0</v>
      </c>
      <c r="AB148" s="110">
        <f t="shared" si="229"/>
        <v>109509.67078</v>
      </c>
      <c r="AC148" s="110">
        <f t="shared" si="229"/>
        <v>1505.6621500000001</v>
      </c>
      <c r="AD148" s="110">
        <f t="shared" si="229"/>
        <v>181327.23121</v>
      </c>
      <c r="AE148" s="110">
        <f t="shared" si="229"/>
        <v>2253.35986</v>
      </c>
      <c r="AF148" s="110">
        <f t="shared" si="229"/>
        <v>24414.44299</v>
      </c>
      <c r="AG148" s="110">
        <f t="shared" si="229"/>
        <v>2862.3531800000001</v>
      </c>
      <c r="AH148" s="110">
        <f t="shared" si="229"/>
        <v>5767.7506395602113</v>
      </c>
      <c r="AI148" s="110">
        <f t="shared" si="229"/>
        <v>283.38321963523578</v>
      </c>
      <c r="AJ148" s="110">
        <f t="shared" si="229"/>
        <v>32.249345436600478</v>
      </c>
      <c r="AK148" s="110">
        <f t="shared" si="229"/>
        <v>0</v>
      </c>
      <c r="AL148" s="110">
        <f t="shared" si="229"/>
        <v>0</v>
      </c>
      <c r="AM148" s="112">
        <f t="shared" si="229"/>
        <v>327956.10337463202</v>
      </c>
      <c r="AO148" s="108" t="s">
        <v>29</v>
      </c>
      <c r="AP148" s="109">
        <f t="shared" ref="AP148:BC148" si="230">SUM(AP135:AP147)</f>
        <v>0</v>
      </c>
      <c r="AQ148" s="110">
        <f t="shared" si="230"/>
        <v>0</v>
      </c>
      <c r="AR148" s="110">
        <f t="shared" si="230"/>
        <v>10415</v>
      </c>
      <c r="AS148" s="110">
        <f t="shared" si="230"/>
        <v>335</v>
      </c>
      <c r="AT148" s="110">
        <f t="shared" si="230"/>
        <v>4485</v>
      </c>
      <c r="AU148" s="110">
        <f t="shared" si="230"/>
        <v>300</v>
      </c>
      <c r="AV148" s="110">
        <f t="shared" si="230"/>
        <v>5765</v>
      </c>
      <c r="AW148" s="110">
        <f t="shared" si="230"/>
        <v>2235</v>
      </c>
      <c r="AX148" s="110">
        <f t="shared" si="230"/>
        <v>3585</v>
      </c>
      <c r="AY148" s="110">
        <f t="shared" si="230"/>
        <v>90</v>
      </c>
      <c r="AZ148" s="110">
        <f t="shared" si="230"/>
        <v>5</v>
      </c>
      <c r="BA148" s="110">
        <f t="shared" si="230"/>
        <v>80</v>
      </c>
      <c r="BB148" s="110">
        <f t="shared" si="230"/>
        <v>0</v>
      </c>
      <c r="BC148" s="112">
        <f t="shared" si="230"/>
        <v>27295</v>
      </c>
      <c r="BE148" s="108" t="s">
        <v>29</v>
      </c>
      <c r="BF148" s="120" t="str">
        <f t="shared" si="223"/>
        <v/>
      </c>
      <c r="BG148" s="120" t="str">
        <f t="shared" si="223"/>
        <v/>
      </c>
      <c r="BH148" s="120">
        <f t="shared" si="223"/>
        <v>1</v>
      </c>
      <c r="BI148" s="120">
        <f t="shared" si="223"/>
        <v>1</v>
      </c>
      <c r="BJ148" s="120">
        <f t="shared" si="223"/>
        <v>1</v>
      </c>
      <c r="BK148" s="120">
        <f t="shared" si="223"/>
        <v>1</v>
      </c>
      <c r="BL148" s="120">
        <f t="shared" si="223"/>
        <v>1</v>
      </c>
      <c r="BM148" s="120">
        <f t="shared" si="223"/>
        <v>1</v>
      </c>
      <c r="BN148" s="120">
        <f t="shared" si="223"/>
        <v>1</v>
      </c>
      <c r="BO148" s="120">
        <f t="shared" si="223"/>
        <v>1</v>
      </c>
      <c r="BP148" s="120">
        <f t="shared" si="223"/>
        <v>1</v>
      </c>
      <c r="BQ148" s="120" t="str">
        <f t="shared" si="223"/>
        <v/>
      </c>
      <c r="BR148" s="120" t="str">
        <f t="shared" si="223"/>
        <v/>
      </c>
      <c r="BS148" s="120">
        <f t="shared" si="223"/>
        <v>1</v>
      </c>
      <c r="BU148" s="108" t="s">
        <v>29</v>
      </c>
      <c r="BV148" s="120" t="str">
        <f t="shared" si="224"/>
        <v/>
      </c>
      <c r="BW148" s="121" t="str">
        <f t="shared" si="224"/>
        <v/>
      </c>
      <c r="BX148" s="121">
        <f t="shared" si="224"/>
        <v>1</v>
      </c>
      <c r="BY148" s="121">
        <f t="shared" si="224"/>
        <v>1</v>
      </c>
      <c r="BZ148" s="121">
        <f t="shared" si="224"/>
        <v>1</v>
      </c>
      <c r="CA148" s="121">
        <f t="shared" si="224"/>
        <v>1</v>
      </c>
      <c r="CB148" s="121">
        <f t="shared" si="224"/>
        <v>1</v>
      </c>
      <c r="CC148" s="121">
        <f t="shared" si="224"/>
        <v>1</v>
      </c>
      <c r="CD148" s="121">
        <f t="shared" si="224"/>
        <v>1</v>
      </c>
      <c r="CE148" s="121">
        <f t="shared" si="224"/>
        <v>1</v>
      </c>
      <c r="CF148" s="121">
        <f t="shared" si="224"/>
        <v>1</v>
      </c>
      <c r="CG148" s="121">
        <f t="shared" si="224"/>
        <v>1</v>
      </c>
      <c r="CH148" s="121" t="str">
        <f t="shared" si="224"/>
        <v/>
      </c>
      <c r="CI148" s="123">
        <f t="shared" si="224"/>
        <v>1</v>
      </c>
      <c r="CK148" s="108" t="s">
        <v>29</v>
      </c>
      <c r="CL148" s="120" t="str">
        <f t="shared" si="226"/>
        <v/>
      </c>
      <c r="CM148" s="121" t="str">
        <f t="shared" si="226"/>
        <v/>
      </c>
      <c r="CN148" s="121">
        <f t="shared" si="226"/>
        <v>0</v>
      </c>
      <c r="CO148" s="121">
        <f t="shared" si="226"/>
        <v>0</v>
      </c>
      <c r="CP148" s="121"/>
      <c r="CQ148" s="121"/>
      <c r="CR148" s="121"/>
      <c r="CS148" s="121"/>
      <c r="CT148" s="121">
        <f t="shared" si="227"/>
        <v>0</v>
      </c>
      <c r="CU148" s="121">
        <f t="shared" si="227"/>
        <v>0</v>
      </c>
      <c r="CV148" s="121">
        <f t="shared" si="227"/>
        <v>0</v>
      </c>
      <c r="CW148" s="121" t="str">
        <f t="shared" si="227"/>
        <v/>
      </c>
      <c r="CX148" s="121" t="str">
        <f t="shared" si="227"/>
        <v/>
      </c>
      <c r="CY148" s="123">
        <f t="shared" si="227"/>
        <v>0</v>
      </c>
      <c r="DA148" s="108" t="s">
        <v>29</v>
      </c>
      <c r="DB148" s="120"/>
      <c r="DC148" s="121"/>
      <c r="DD148" s="121"/>
      <c r="DE148" s="121"/>
      <c r="DF148" s="121"/>
      <c r="DG148" s="121"/>
      <c r="DH148" s="121"/>
      <c r="DI148" s="121"/>
      <c r="DJ148" s="121"/>
      <c r="DK148" s="121"/>
      <c r="DL148" s="121"/>
      <c r="DM148" s="121"/>
      <c r="DN148" s="121"/>
      <c r="DO148" s="123"/>
      <c r="DQ148" s="108" t="s">
        <v>29</v>
      </c>
      <c r="DR148" s="120"/>
      <c r="DS148" s="121"/>
      <c r="DT148" s="121"/>
      <c r="DU148" s="121"/>
      <c r="DV148" s="121"/>
      <c r="DW148" s="121"/>
      <c r="DX148" s="121"/>
      <c r="DY148" s="121"/>
      <c r="DZ148" s="121"/>
      <c r="EA148" s="121"/>
      <c r="EB148" s="121"/>
      <c r="EC148" s="121"/>
      <c r="ED148" s="121"/>
      <c r="EE148" s="123"/>
      <c r="EG148" s="108" t="s">
        <v>29</v>
      </c>
      <c r="EH148" s="120"/>
      <c r="EI148" s="121"/>
      <c r="EJ148" s="121"/>
      <c r="EK148" s="121"/>
      <c r="EL148" s="121"/>
      <c r="EM148" s="121"/>
      <c r="EN148" s="121"/>
      <c r="EO148" s="121"/>
      <c r="EP148" s="121"/>
      <c r="EQ148" s="121"/>
      <c r="ER148" s="121"/>
      <c r="ES148" s="121"/>
      <c r="ET148" s="121"/>
      <c r="EU148" s="123"/>
      <c r="EW148" s="108" t="s">
        <v>29</v>
      </c>
      <c r="EX148" s="120"/>
      <c r="EY148" s="121"/>
      <c r="EZ148" s="121"/>
      <c r="FA148" s="121"/>
      <c r="FB148" s="121"/>
      <c r="FC148" s="121"/>
      <c r="FD148" s="121"/>
      <c r="FE148" s="121"/>
      <c r="FF148" s="121"/>
      <c r="FG148" s="121"/>
      <c r="FH148" s="121"/>
      <c r="FI148" s="121"/>
      <c r="FJ148" s="121"/>
      <c r="FK148" s="121"/>
      <c r="FL148" s="123"/>
    </row>
    <row r="149" spans="2:168" x14ac:dyDescent="0.25">
      <c r="B149" t="s">
        <v>225</v>
      </c>
      <c r="C149" s="383" t="s">
        <v>206</v>
      </c>
      <c r="D149" s="383"/>
      <c r="E149" s="383"/>
      <c r="F149" s="383"/>
      <c r="G149" s="383"/>
      <c r="H149" s="383"/>
      <c r="I149" s="383"/>
      <c r="J149" s="383"/>
      <c r="K149" s="383"/>
      <c r="L149" s="383"/>
      <c r="M149" s="383"/>
      <c r="N149" s="383"/>
      <c r="O149" s="383"/>
      <c r="P149" s="383"/>
      <c r="Y149" t="s">
        <v>225</v>
      </c>
      <c r="Z149" s="383" t="s">
        <v>206</v>
      </c>
      <c r="AA149" s="383"/>
      <c r="AB149" s="383"/>
      <c r="AC149" s="383"/>
      <c r="AD149" s="383"/>
      <c r="AE149" s="383"/>
      <c r="AF149" s="383"/>
      <c r="AG149" s="383"/>
      <c r="AH149" s="383"/>
      <c r="AI149" s="383"/>
      <c r="AJ149" s="383"/>
      <c r="AK149" s="383"/>
      <c r="AL149" s="383"/>
      <c r="AM149" s="383"/>
      <c r="AO149" t="s">
        <v>225</v>
      </c>
      <c r="AP149" s="383" t="s">
        <v>206</v>
      </c>
      <c r="AQ149" s="383"/>
      <c r="AR149" s="383"/>
      <c r="AS149" s="383"/>
      <c r="AT149" s="383"/>
      <c r="AU149" s="383"/>
      <c r="AV149" s="383"/>
      <c r="AW149" s="383"/>
      <c r="AX149" s="383"/>
      <c r="AY149" s="383"/>
      <c r="AZ149" s="383"/>
      <c r="BA149" s="383"/>
      <c r="BB149" s="383"/>
      <c r="BC149" s="383"/>
      <c r="BE149" t="s">
        <v>225</v>
      </c>
      <c r="BF149" s="383" t="s">
        <v>206</v>
      </c>
      <c r="BG149" s="383"/>
      <c r="BH149" s="383"/>
      <c r="BI149" s="383"/>
      <c r="BJ149" s="383"/>
      <c r="BK149" s="383"/>
      <c r="BL149" s="383"/>
      <c r="BM149" s="383"/>
      <c r="BN149" s="383"/>
      <c r="BO149" s="383"/>
      <c r="BP149" s="383"/>
      <c r="BQ149" s="383"/>
      <c r="BR149" s="383"/>
      <c r="BS149" s="383"/>
      <c r="BU149" t="s">
        <v>225</v>
      </c>
      <c r="BV149" s="383" t="s">
        <v>206</v>
      </c>
      <c r="BW149" s="383"/>
      <c r="BX149" s="383"/>
      <c r="BY149" s="383"/>
      <c r="BZ149" s="383"/>
      <c r="CA149" s="383"/>
      <c r="CB149" s="383"/>
      <c r="CC149" s="383"/>
      <c r="CD149" s="383"/>
      <c r="CE149" s="383"/>
      <c r="CF149" s="383"/>
      <c r="CG149" s="383"/>
      <c r="CH149" s="383"/>
      <c r="CI149" s="383"/>
      <c r="CK149" t="s">
        <v>225</v>
      </c>
      <c r="CL149" s="383" t="s">
        <v>206</v>
      </c>
      <c r="CM149" s="383"/>
      <c r="CN149" s="383"/>
      <c r="CO149" s="383"/>
      <c r="CP149" s="383"/>
      <c r="CQ149" s="383"/>
      <c r="CR149" s="383"/>
      <c r="CS149" s="383"/>
      <c r="CT149" s="383"/>
      <c r="CU149" s="383"/>
      <c r="CV149" s="383"/>
      <c r="CW149" s="383"/>
      <c r="CX149" s="383"/>
      <c r="CY149" s="383"/>
      <c r="DA149" t="s">
        <v>29</v>
      </c>
      <c r="DB149" s="383" t="s">
        <v>206</v>
      </c>
      <c r="DC149" s="383"/>
      <c r="DD149" s="383"/>
      <c r="DE149" s="383"/>
      <c r="DF149" s="383"/>
      <c r="DG149" s="383"/>
      <c r="DH149" s="383"/>
      <c r="DI149" s="383"/>
      <c r="DJ149" s="383"/>
      <c r="DK149" s="383"/>
      <c r="DL149" s="383"/>
      <c r="DM149" s="383"/>
      <c r="DN149" s="383"/>
      <c r="DO149" s="383"/>
      <c r="DQ149" t="s">
        <v>29</v>
      </c>
      <c r="DR149" s="383" t="s">
        <v>206</v>
      </c>
      <c r="DS149" s="383"/>
      <c r="DT149" s="383"/>
      <c r="DU149" s="383"/>
      <c r="DV149" s="383"/>
      <c r="DW149" s="383"/>
      <c r="DX149" s="383"/>
      <c r="DY149" s="383"/>
      <c r="DZ149" s="383"/>
      <c r="EA149" s="383"/>
      <c r="EB149" s="383"/>
      <c r="EC149" s="383"/>
      <c r="ED149" s="383"/>
      <c r="EE149" s="383"/>
    </row>
    <row r="150" spans="2:168" ht="35.450000000000003" customHeight="1" x14ac:dyDescent="0.25">
      <c r="B150" s="163" t="s">
        <v>207</v>
      </c>
      <c r="C150" s="164" t="s">
        <v>386</v>
      </c>
      <c r="D150" s="164" t="s">
        <v>387</v>
      </c>
      <c r="E150" s="164" t="s">
        <v>388</v>
      </c>
      <c r="F150" s="164" t="s">
        <v>389</v>
      </c>
      <c r="G150" s="164" t="s">
        <v>390</v>
      </c>
      <c r="H150" s="164" t="s">
        <v>391</v>
      </c>
      <c r="I150" s="164" t="s">
        <v>392</v>
      </c>
      <c r="J150" s="164" t="s">
        <v>393</v>
      </c>
      <c r="K150" s="164" t="s">
        <v>546</v>
      </c>
      <c r="L150" s="164" t="s">
        <v>396</v>
      </c>
      <c r="M150" s="164" t="s">
        <v>397</v>
      </c>
      <c r="N150" s="164" t="s">
        <v>398</v>
      </c>
      <c r="O150" s="164" t="s">
        <v>399</v>
      </c>
      <c r="P150" s="106" t="s">
        <v>29</v>
      </c>
      <c r="R150" s="164" t="s">
        <v>546</v>
      </c>
      <c r="S150" s="164" t="s">
        <v>396</v>
      </c>
      <c r="T150" s="164" t="s">
        <v>397</v>
      </c>
      <c r="U150" s="164" t="s">
        <v>546</v>
      </c>
      <c r="V150" s="164" t="s">
        <v>396</v>
      </c>
      <c r="W150" s="164" t="s">
        <v>397</v>
      </c>
      <c r="Y150" s="163" t="s">
        <v>207</v>
      </c>
      <c r="Z150" s="164" t="s">
        <v>386</v>
      </c>
      <c r="AA150" s="164" t="s">
        <v>387</v>
      </c>
      <c r="AB150" s="164" t="s">
        <v>388</v>
      </c>
      <c r="AC150" s="164" t="s">
        <v>389</v>
      </c>
      <c r="AD150" s="164" t="s">
        <v>390</v>
      </c>
      <c r="AE150" s="164" t="s">
        <v>391</v>
      </c>
      <c r="AF150" s="164" t="s">
        <v>392</v>
      </c>
      <c r="AG150" s="164" t="s">
        <v>393</v>
      </c>
      <c r="AH150" s="164" t="s">
        <v>546</v>
      </c>
      <c r="AI150" s="164" t="s">
        <v>396</v>
      </c>
      <c r="AJ150" s="164" t="s">
        <v>397</v>
      </c>
      <c r="AK150" s="164" t="s">
        <v>398</v>
      </c>
      <c r="AL150" s="164" t="s">
        <v>399</v>
      </c>
      <c r="AM150" s="106" t="s">
        <v>29</v>
      </c>
      <c r="AO150" s="163" t="s">
        <v>207</v>
      </c>
      <c r="AP150" s="164" t="s">
        <v>386</v>
      </c>
      <c r="AQ150" s="164" t="s">
        <v>387</v>
      </c>
      <c r="AR150" s="164" t="s">
        <v>388</v>
      </c>
      <c r="AS150" s="164" t="s">
        <v>389</v>
      </c>
      <c r="AT150" s="164" t="s">
        <v>390</v>
      </c>
      <c r="AU150" s="164" t="s">
        <v>391</v>
      </c>
      <c r="AV150" s="164" t="s">
        <v>392</v>
      </c>
      <c r="AW150" s="164" t="s">
        <v>393</v>
      </c>
      <c r="AX150" s="164" t="s">
        <v>546</v>
      </c>
      <c r="AY150" s="164" t="s">
        <v>396</v>
      </c>
      <c r="AZ150" s="164" t="s">
        <v>397</v>
      </c>
      <c r="BA150" s="164" t="s">
        <v>398</v>
      </c>
      <c r="BB150" s="164" t="s">
        <v>399</v>
      </c>
      <c r="BC150" s="106" t="s">
        <v>29</v>
      </c>
      <c r="BE150" s="163" t="s">
        <v>207</v>
      </c>
      <c r="BF150" s="164" t="s">
        <v>538</v>
      </c>
      <c r="BG150" s="164"/>
      <c r="BH150" s="164" t="s">
        <v>576</v>
      </c>
      <c r="BI150" s="164"/>
      <c r="BJ150" s="164" t="s">
        <v>577</v>
      </c>
      <c r="BK150" s="164"/>
      <c r="BL150" s="164" t="s">
        <v>392</v>
      </c>
      <c r="BM150" s="164" t="s">
        <v>393</v>
      </c>
      <c r="BN150" s="164" t="s">
        <v>546</v>
      </c>
      <c r="BO150" s="164" t="s">
        <v>396</v>
      </c>
      <c r="BP150" s="164" t="s">
        <v>397</v>
      </c>
      <c r="BQ150" s="164" t="s">
        <v>398</v>
      </c>
      <c r="BR150" s="164" t="s">
        <v>399</v>
      </c>
      <c r="BS150" s="106" t="s">
        <v>29</v>
      </c>
      <c r="BU150" s="163" t="s">
        <v>207</v>
      </c>
      <c r="BV150" s="164" t="s">
        <v>538</v>
      </c>
      <c r="BW150" s="164"/>
      <c r="BX150" s="164" t="s">
        <v>576</v>
      </c>
      <c r="BY150" s="164"/>
      <c r="BZ150" s="164" t="s">
        <v>577</v>
      </c>
      <c r="CA150" s="164"/>
      <c r="CB150" s="164" t="s">
        <v>392</v>
      </c>
      <c r="CC150" s="164" t="s">
        <v>393</v>
      </c>
      <c r="CD150" s="164" t="s">
        <v>546</v>
      </c>
      <c r="CE150" s="164" t="s">
        <v>396</v>
      </c>
      <c r="CF150" s="164" t="s">
        <v>397</v>
      </c>
      <c r="CG150" s="164" t="s">
        <v>398</v>
      </c>
      <c r="CH150" s="164" t="s">
        <v>399</v>
      </c>
      <c r="CI150" s="106" t="s">
        <v>29</v>
      </c>
      <c r="CK150" s="163" t="s">
        <v>207</v>
      </c>
      <c r="CL150" s="164" t="s">
        <v>386</v>
      </c>
      <c r="CM150" s="164" t="s">
        <v>387</v>
      </c>
      <c r="CN150" s="164" t="s">
        <v>388</v>
      </c>
      <c r="CO150" s="164" t="s">
        <v>389</v>
      </c>
      <c r="CP150" s="164" t="s">
        <v>390</v>
      </c>
      <c r="CQ150" s="164" t="s">
        <v>391</v>
      </c>
      <c r="CR150" s="164" t="s">
        <v>392</v>
      </c>
      <c r="CS150" s="164" t="s">
        <v>393</v>
      </c>
      <c r="CT150" s="164" t="s">
        <v>546</v>
      </c>
      <c r="CU150" s="164" t="s">
        <v>396</v>
      </c>
      <c r="CV150" s="164" t="s">
        <v>397</v>
      </c>
      <c r="CW150" s="164" t="s">
        <v>398</v>
      </c>
      <c r="CX150" s="164" t="s">
        <v>399</v>
      </c>
      <c r="CY150" s="106" t="s">
        <v>29</v>
      </c>
      <c r="DA150" s="163" t="s">
        <v>207</v>
      </c>
      <c r="DB150" s="164" t="s">
        <v>538</v>
      </c>
      <c r="DC150" s="164"/>
      <c r="DD150" s="164" t="s">
        <v>576</v>
      </c>
      <c r="DE150" s="164"/>
      <c r="DF150" s="164" t="s">
        <v>577</v>
      </c>
      <c r="DG150" s="164"/>
      <c r="DH150" s="164" t="s">
        <v>392</v>
      </c>
      <c r="DI150" s="164" t="s">
        <v>393</v>
      </c>
      <c r="DJ150" s="164" t="s">
        <v>546</v>
      </c>
      <c r="DK150" s="164" t="s">
        <v>396</v>
      </c>
      <c r="DL150" s="164" t="s">
        <v>397</v>
      </c>
      <c r="DM150" s="164" t="s">
        <v>398</v>
      </c>
      <c r="DN150" s="164" t="s">
        <v>399</v>
      </c>
      <c r="DO150" s="106" t="s">
        <v>29</v>
      </c>
      <c r="DQ150" s="163" t="s">
        <v>207</v>
      </c>
      <c r="DR150" s="164" t="s">
        <v>538</v>
      </c>
      <c r="DS150" s="164"/>
      <c r="DT150" s="164" t="s">
        <v>576</v>
      </c>
      <c r="DU150" s="164"/>
      <c r="DV150" s="164" t="s">
        <v>577</v>
      </c>
      <c r="DW150" s="164"/>
      <c r="DX150" s="164" t="s">
        <v>392</v>
      </c>
      <c r="DY150" s="164" t="s">
        <v>393</v>
      </c>
      <c r="DZ150" s="164" t="s">
        <v>546</v>
      </c>
      <c r="EA150" s="164" t="s">
        <v>396</v>
      </c>
      <c r="EB150" s="164" t="s">
        <v>397</v>
      </c>
      <c r="EC150" s="164" t="s">
        <v>398</v>
      </c>
      <c r="ED150" s="164" t="s">
        <v>399</v>
      </c>
      <c r="EE150" s="106" t="s">
        <v>29</v>
      </c>
    </row>
    <row r="151" spans="2:168" x14ac:dyDescent="0.25">
      <c r="B151" s="107" t="s">
        <v>386</v>
      </c>
      <c r="C151" s="160">
        <f>+C7+C23+C39+C71+C87+C103+C119+C135</f>
        <v>577575.61985000002</v>
      </c>
      <c r="D151" s="160">
        <f t="shared" ref="D151:O151" si="231">+D7+D23+D39+D71+D87+D103+D119+D135</f>
        <v>20861.774149999997</v>
      </c>
      <c r="E151" s="160">
        <f t="shared" si="231"/>
        <v>89321.87775</v>
      </c>
      <c r="F151" s="160">
        <f t="shared" si="231"/>
        <v>1742.3704400000001</v>
      </c>
      <c r="G151" s="160">
        <f t="shared" si="231"/>
        <v>34202.250840000001</v>
      </c>
      <c r="H151" s="160">
        <f t="shared" si="231"/>
        <v>462.80885000000001</v>
      </c>
      <c r="I151" s="294">
        <f t="shared" si="231"/>
        <v>0</v>
      </c>
      <c r="J151" s="294">
        <f t="shared" si="231"/>
        <v>0</v>
      </c>
      <c r="K151" s="294">
        <f t="shared" si="231"/>
        <v>0</v>
      </c>
      <c r="L151" s="294"/>
      <c r="M151" s="294"/>
      <c r="N151" s="294">
        <f t="shared" si="231"/>
        <v>0</v>
      </c>
      <c r="O151" s="294">
        <f t="shared" si="231"/>
        <v>0</v>
      </c>
      <c r="P151" s="161">
        <f t="shared" ref="P151:P163" si="232">SUM(C151:O151)</f>
        <v>724166.70187999995</v>
      </c>
      <c r="Y151" s="107" t="s">
        <v>386</v>
      </c>
      <c r="Z151" s="160">
        <f>+Z7+Z23+Z39+Z71+Z87+Z103+Z119+Z135</f>
        <v>577575.61985000002</v>
      </c>
      <c r="AA151" s="160">
        <f t="shared" ref="AA151:AL151" si="233">+AA7+AA23+AA39+AA71+AA87+AA103+AA119+AA135</f>
        <v>20861.774149999997</v>
      </c>
      <c r="AB151" s="160">
        <f t="shared" si="233"/>
        <v>89321.87775</v>
      </c>
      <c r="AC151" s="160">
        <f t="shared" si="233"/>
        <v>1742.3704400000001</v>
      </c>
      <c r="AD151" s="160">
        <f t="shared" si="233"/>
        <v>34202.250840000001</v>
      </c>
      <c r="AE151" s="160">
        <f t="shared" si="233"/>
        <v>462.80885000000001</v>
      </c>
      <c r="AF151" s="294">
        <f t="shared" si="233"/>
        <v>0</v>
      </c>
      <c r="AG151" s="294">
        <f t="shared" si="233"/>
        <v>0</v>
      </c>
      <c r="AH151" s="294">
        <f t="shared" si="233"/>
        <v>0</v>
      </c>
      <c r="AI151" s="294"/>
      <c r="AJ151" s="294"/>
      <c r="AK151" s="294">
        <f t="shared" si="233"/>
        <v>0</v>
      </c>
      <c r="AL151" s="294">
        <f t="shared" si="233"/>
        <v>0</v>
      </c>
      <c r="AM151" s="161">
        <f t="shared" ref="AM151:AM163" si="234">SUM(Z151:AL151)</f>
        <v>724166.70187999995</v>
      </c>
      <c r="AO151" s="107" t="s">
        <v>386</v>
      </c>
      <c r="AP151" s="160">
        <f>TripMode_inputCBD!R132*Index!$B$2</f>
        <v>492705</v>
      </c>
      <c r="AQ151" s="160">
        <f>TripMode_inputCBD!S132*Index!$B$2</f>
        <v>26625</v>
      </c>
      <c r="AR151" s="160">
        <f>TripMode_inputCBD!T132*Index!$B$2</f>
        <v>37620</v>
      </c>
      <c r="AS151" s="160">
        <f>TripMode_inputCBD!U132*Index!$B$2</f>
        <v>1825</v>
      </c>
      <c r="AT151" s="160">
        <f>TripMode_inputCBD!V132*Index!$B$2</f>
        <v>32930</v>
      </c>
      <c r="AU151" s="160">
        <f>TripMode_inputCBD!W132*Index!$B$2</f>
        <v>3645</v>
      </c>
      <c r="AV151" s="294">
        <f>TripMode_inputCBD!X132*Index!$B$2</f>
        <v>0</v>
      </c>
      <c r="AW151" s="294">
        <f>TripMode_inputCBD!Y132*Index!$B$2</f>
        <v>0</v>
      </c>
      <c r="AX151" s="294">
        <f>TripMode_inputCBD!AA132*Index!$B$2</f>
        <v>0</v>
      </c>
      <c r="AY151" s="294">
        <f>TripMode_inputCBD!AB132*Index!$B$2</f>
        <v>0</v>
      </c>
      <c r="AZ151" s="160">
        <f>TripMode_inputCBD!AC132*Index!$B$2</f>
        <v>0</v>
      </c>
      <c r="BA151" s="294">
        <f>TripMode_inputCBD!AD132*Index!$B$2</f>
        <v>0</v>
      </c>
      <c r="BB151" s="294">
        <f>TripMode_inputCBD!AE132*Index!$B$2</f>
        <v>0</v>
      </c>
      <c r="BC151" s="161">
        <f t="shared" ref="BC151:BC163" si="235">SUM(AP151:BB151)</f>
        <v>595350</v>
      </c>
      <c r="BE151" s="107" t="s">
        <v>538</v>
      </c>
      <c r="BF151" s="166">
        <f>IF(Z$164+AA$164&gt;0,SUM(Z151:AA152)/(Z$164+AA$164),"")</f>
        <v>0.99999999999999978</v>
      </c>
      <c r="BG151" s="166"/>
      <c r="BH151" s="166">
        <f>IF(AB$164+AC$164&gt;0,SUM(AB151:AC152)/(AB$164+AC$164),"")</f>
        <v>0.155464336606252</v>
      </c>
      <c r="BI151" s="166"/>
      <c r="BJ151" s="166">
        <f>IF(AD$164+AE$164&gt;0,SUM(AD151:AE152)/(AD$164+AE$164),"")</f>
        <v>5.950370650316502E-2</v>
      </c>
      <c r="BK151" s="166"/>
      <c r="BL151" s="166">
        <f t="shared" ref="BL151:BS151" si="236">IF(AF$164&gt;0,(AF151+AF152)/AF$164,"")</f>
        <v>0</v>
      </c>
      <c r="BM151" s="166">
        <f t="shared" si="236"/>
        <v>0</v>
      </c>
      <c r="BN151" s="166">
        <f t="shared" si="236"/>
        <v>0</v>
      </c>
      <c r="BO151" s="166">
        <f t="shared" si="236"/>
        <v>0</v>
      </c>
      <c r="BP151" s="166">
        <f t="shared" si="236"/>
        <v>0</v>
      </c>
      <c r="BQ151" s="166">
        <f t="shared" si="236"/>
        <v>0</v>
      </c>
      <c r="BR151" s="166">
        <f t="shared" si="236"/>
        <v>0</v>
      </c>
      <c r="BS151" s="166">
        <f t="shared" si="236"/>
        <v>0.23727576163120337</v>
      </c>
      <c r="BU151" s="107" t="s">
        <v>538</v>
      </c>
      <c r="BV151" s="166">
        <f>IF(AP$164+AQ$164&gt;0,SUM(AP151:AQ152)/(AP$164+AQ$164),"")</f>
        <v>1</v>
      </c>
      <c r="BW151" s="166"/>
      <c r="BX151" s="166">
        <f>IF(AR$164+AS$164&gt;0,SUM(AR151:AS152)/(AR$164+AS$164),"")</f>
        <v>0.23596789313334895</v>
      </c>
      <c r="BY151" s="166"/>
      <c r="BZ151" s="166">
        <f>IF(AT$164+AU$164&gt;0,SUM(AT151:AU152)/(AT$164+AU$164),"")</f>
        <v>0.20496994852168288</v>
      </c>
      <c r="CA151" s="166"/>
      <c r="CB151" s="166">
        <f t="shared" ref="CB151:CI151" si="237">IF(AV$164&gt;0,(AV151+AV152)/AV$164,"")</f>
        <v>0</v>
      </c>
      <c r="CC151" s="166">
        <f t="shared" si="237"/>
        <v>0</v>
      </c>
      <c r="CD151" s="166">
        <f t="shared" si="237"/>
        <v>0</v>
      </c>
      <c r="CE151" s="166">
        <f t="shared" si="237"/>
        <v>0</v>
      </c>
      <c r="CF151" s="166">
        <f t="shared" si="237"/>
        <v>0</v>
      </c>
      <c r="CG151" s="166">
        <f t="shared" si="237"/>
        <v>0</v>
      </c>
      <c r="CH151" s="166">
        <f t="shared" si="237"/>
        <v>0</v>
      </c>
      <c r="CI151" s="166">
        <f t="shared" si="237"/>
        <v>0.28062745134422379</v>
      </c>
      <c r="CK151" s="107" t="s">
        <v>386</v>
      </c>
      <c r="CL151" s="166">
        <f t="shared" ref="CL151:CO154" si="238">IF(OR(ISNA(BF151),BF151=0,BF151=""),"",(BV151-BF151)/BF151)</f>
        <v>2.2204460492503136E-16</v>
      </c>
      <c r="CM151" s="166" t="str">
        <f t="shared" si="238"/>
        <v/>
      </c>
      <c r="CN151" s="166">
        <f t="shared" si="238"/>
        <v>0.51782652076012847</v>
      </c>
      <c r="CO151" s="166" t="str">
        <f t="shared" si="238"/>
        <v/>
      </c>
      <c r="CP151" s="166"/>
      <c r="CQ151" s="166"/>
      <c r="CR151" s="166"/>
      <c r="CS151" s="166"/>
      <c r="CT151" s="166" t="str">
        <f t="shared" ref="CT151:CY154" si="239">IF(OR(ISNA(BN151),BN151=0,BN151=""),"",(CD151-BN151)/BN151)</f>
        <v/>
      </c>
      <c r="CU151" s="166" t="str">
        <f t="shared" si="239"/>
        <v/>
      </c>
      <c r="CV151" s="166" t="str">
        <f t="shared" si="239"/>
        <v/>
      </c>
      <c r="CW151" s="166" t="str">
        <f t="shared" si="239"/>
        <v/>
      </c>
      <c r="CX151" s="166" t="str">
        <f t="shared" si="239"/>
        <v/>
      </c>
      <c r="CY151" s="167">
        <f t="shared" si="239"/>
        <v>0.1827059342892417</v>
      </c>
      <c r="DA151" s="107" t="s">
        <v>538</v>
      </c>
      <c r="DB151" s="313">
        <f>IFERROR(IF(BV151&gt;0,LN(BF151/BV151),0),0)</f>
        <v>-2.2204460492503131E-16</v>
      </c>
      <c r="DC151" s="313"/>
      <c r="DD151" s="313">
        <f>IFERROR(IF(BX151&gt;0,LN(BH151/BX151),0),0)</f>
        <v>-0.4172793909936251</v>
      </c>
      <c r="DE151" s="313"/>
      <c r="DF151" s="313">
        <f>IFERROR(IF(BZ151&gt;0,LN(BJ151/BZ151),0),0)</f>
        <v>-1.236824771033286</v>
      </c>
      <c r="DG151" s="313"/>
      <c r="DH151" s="313">
        <f t="shared" ref="DH151:DN151" si="240">IFERROR(IF(CB151&gt;0,LN(BL151/CB151),0),0)</f>
        <v>0</v>
      </c>
      <c r="DI151" s="313">
        <f t="shared" si="240"/>
        <v>0</v>
      </c>
      <c r="DJ151" s="313">
        <f t="shared" si="240"/>
        <v>0</v>
      </c>
      <c r="DK151" s="313">
        <f t="shared" si="240"/>
        <v>0</v>
      </c>
      <c r="DL151" s="313">
        <f t="shared" si="240"/>
        <v>0</v>
      </c>
      <c r="DM151" s="313">
        <f t="shared" si="240"/>
        <v>0</v>
      </c>
      <c r="DN151" s="313">
        <f t="shared" si="240"/>
        <v>0</v>
      </c>
      <c r="DO151" s="167"/>
      <c r="DQ151" s="107" t="s">
        <v>538</v>
      </c>
      <c r="DR151" s="313">
        <v>0</v>
      </c>
      <c r="DS151" s="313">
        <v>0</v>
      </c>
      <c r="DT151" s="313">
        <v>0</v>
      </c>
      <c r="DU151" s="313">
        <v>0</v>
      </c>
      <c r="DV151" s="313">
        <v>0</v>
      </c>
      <c r="DW151" s="313">
        <v>0</v>
      </c>
      <c r="DX151" s="313">
        <v>0</v>
      </c>
      <c r="DY151" s="313">
        <v>0</v>
      </c>
      <c r="DZ151" s="313">
        <v>0</v>
      </c>
      <c r="EA151" s="313">
        <v>0</v>
      </c>
      <c r="EB151" s="313">
        <v>0</v>
      </c>
      <c r="EC151" s="313">
        <v>0</v>
      </c>
      <c r="ED151" s="313">
        <v>0</v>
      </c>
      <c r="EE151" s="167"/>
    </row>
    <row r="152" spans="2:168" x14ac:dyDescent="0.25">
      <c r="B152" s="107" t="s">
        <v>387</v>
      </c>
      <c r="C152" s="160">
        <f t="shared" ref="C152:O163" si="241">+C8+C24+C40+C72+C88+C104+C120+C136</f>
        <v>0</v>
      </c>
      <c r="D152" s="160">
        <f t="shared" si="241"/>
        <v>20848.340840000001</v>
      </c>
      <c r="E152" s="160">
        <f t="shared" si="241"/>
        <v>0</v>
      </c>
      <c r="F152" s="160">
        <f t="shared" si="241"/>
        <v>662.54885999999999</v>
      </c>
      <c r="G152" s="160">
        <f t="shared" si="241"/>
        <v>0</v>
      </c>
      <c r="H152" s="160">
        <f t="shared" si="241"/>
        <v>70.804150000000007</v>
      </c>
      <c r="I152" s="294">
        <f t="shared" si="241"/>
        <v>0</v>
      </c>
      <c r="J152" s="294">
        <f t="shared" si="241"/>
        <v>0</v>
      </c>
      <c r="K152" s="294">
        <f t="shared" si="241"/>
        <v>0</v>
      </c>
      <c r="L152" s="294"/>
      <c r="M152" s="294"/>
      <c r="N152" s="294">
        <f t="shared" si="241"/>
        <v>0</v>
      </c>
      <c r="O152" s="294">
        <f t="shared" si="241"/>
        <v>0</v>
      </c>
      <c r="P152" s="162">
        <f t="shared" si="232"/>
        <v>21581.69385</v>
      </c>
      <c r="Y152" s="107" t="s">
        <v>387</v>
      </c>
      <c r="Z152" s="160">
        <f t="shared" ref="Z152:AL163" si="242">+Z8+Z24+Z40+Z72+Z88+Z104+Z120+Z136</f>
        <v>0</v>
      </c>
      <c r="AA152" s="160">
        <f t="shared" si="242"/>
        <v>20848.340840000001</v>
      </c>
      <c r="AB152" s="160">
        <f t="shared" si="242"/>
        <v>0</v>
      </c>
      <c r="AC152" s="160">
        <f t="shared" si="242"/>
        <v>662.54885999999999</v>
      </c>
      <c r="AD152" s="160">
        <f t="shared" si="242"/>
        <v>0</v>
      </c>
      <c r="AE152" s="160">
        <f t="shared" si="242"/>
        <v>70.804150000000007</v>
      </c>
      <c r="AF152" s="294">
        <f t="shared" si="242"/>
        <v>0</v>
      </c>
      <c r="AG152" s="294">
        <f t="shared" si="242"/>
        <v>0</v>
      </c>
      <c r="AH152" s="294">
        <f t="shared" si="242"/>
        <v>0</v>
      </c>
      <c r="AI152" s="294"/>
      <c r="AJ152" s="294"/>
      <c r="AK152" s="294">
        <f t="shared" si="242"/>
        <v>0</v>
      </c>
      <c r="AL152" s="294">
        <f t="shared" si="242"/>
        <v>0</v>
      </c>
      <c r="AM152" s="162">
        <f t="shared" si="234"/>
        <v>21581.69385</v>
      </c>
      <c r="AO152" s="107" t="s">
        <v>387</v>
      </c>
      <c r="AP152" s="160">
        <f>TripMode_inputCBD!R133*Index!$B$2</f>
        <v>3350</v>
      </c>
      <c r="AQ152" s="160">
        <f>TripMode_inputCBD!S133*Index!$B$2</f>
        <v>3970</v>
      </c>
      <c r="AR152" s="160">
        <f>TripMode_inputCBD!T133*Index!$B$2</f>
        <v>420</v>
      </c>
      <c r="AS152" s="160">
        <f>TripMode_inputCBD!U133*Index!$B$2</f>
        <v>410</v>
      </c>
      <c r="AT152" s="160">
        <f>TripMode_inputCBD!V133*Index!$B$2</f>
        <v>605</v>
      </c>
      <c r="AU152" s="160">
        <f>TripMode_inputCBD!W133*Index!$B$2</f>
        <v>845</v>
      </c>
      <c r="AV152" s="294">
        <f>TripMode_inputCBD!X133*Index!$B$2</f>
        <v>0</v>
      </c>
      <c r="AW152" s="294">
        <f>TripMode_inputCBD!Y133*Index!$B$2</f>
        <v>0</v>
      </c>
      <c r="AX152" s="294">
        <f>TripMode_inputCBD!AA133*Index!$B$2</f>
        <v>0</v>
      </c>
      <c r="AY152" s="294">
        <f>TripMode_inputCBD!AB133*Index!$B$2</f>
        <v>0</v>
      </c>
      <c r="AZ152" s="160">
        <f>TripMode_inputCBD!AC133*Index!$B$2</f>
        <v>0</v>
      </c>
      <c r="BA152" s="294">
        <f>TripMode_inputCBD!AD133*Index!$B$2</f>
        <v>0</v>
      </c>
      <c r="BB152" s="294">
        <f>TripMode_inputCBD!AE133*Index!$B$2</f>
        <v>0</v>
      </c>
      <c r="BC152" s="162">
        <f t="shared" si="235"/>
        <v>9600</v>
      </c>
      <c r="BE152" s="107"/>
      <c r="BF152" s="166"/>
      <c r="BG152" s="166"/>
      <c r="BH152" s="166"/>
      <c r="BI152" s="166"/>
      <c r="BJ152" s="166"/>
      <c r="BK152" s="166"/>
      <c r="BL152" s="166"/>
      <c r="BM152" s="166"/>
      <c r="BN152" s="166"/>
      <c r="BO152" s="166"/>
      <c r="BP152" s="166"/>
      <c r="BQ152" s="166"/>
      <c r="BR152" s="166"/>
      <c r="BS152" s="166"/>
      <c r="BU152" s="107"/>
      <c r="BV152" s="166"/>
      <c r="BW152" s="166"/>
      <c r="BX152" s="166"/>
      <c r="BY152" s="166"/>
      <c r="BZ152" s="166"/>
      <c r="CA152" s="166"/>
      <c r="CB152" s="166"/>
      <c r="CC152" s="166"/>
      <c r="CD152" s="166"/>
      <c r="CE152" s="166"/>
      <c r="CF152" s="166"/>
      <c r="CG152" s="166"/>
      <c r="CH152" s="166"/>
      <c r="CI152" s="166"/>
      <c r="CK152" s="107" t="s">
        <v>387</v>
      </c>
      <c r="CL152" s="166" t="str">
        <f t="shared" si="238"/>
        <v/>
      </c>
      <c r="CM152" s="166" t="str">
        <f t="shared" si="238"/>
        <v/>
      </c>
      <c r="CN152" s="166" t="str">
        <f t="shared" si="238"/>
        <v/>
      </c>
      <c r="CO152" s="166" t="str">
        <f t="shared" si="238"/>
        <v/>
      </c>
      <c r="CP152" s="166"/>
      <c r="CQ152" s="166"/>
      <c r="CR152" s="166"/>
      <c r="CS152" s="166"/>
      <c r="CT152" s="166" t="str">
        <f t="shared" si="239"/>
        <v/>
      </c>
      <c r="CU152" s="166" t="str">
        <f t="shared" si="239"/>
        <v/>
      </c>
      <c r="CV152" s="166" t="str">
        <f t="shared" si="239"/>
        <v/>
      </c>
      <c r="CW152" s="166" t="str">
        <f t="shared" si="239"/>
        <v/>
      </c>
      <c r="CX152" s="166" t="str">
        <f t="shared" si="239"/>
        <v/>
      </c>
      <c r="CY152" s="168" t="str">
        <f t="shared" si="239"/>
        <v/>
      </c>
      <c r="DA152" s="107"/>
      <c r="DB152" s="313"/>
      <c r="DC152" s="313"/>
      <c r="DD152" s="313"/>
      <c r="DE152" s="313"/>
      <c r="DF152" s="313"/>
      <c r="DG152" s="313"/>
      <c r="DH152" s="313"/>
      <c r="DI152" s="313"/>
      <c r="DJ152" s="313"/>
      <c r="DK152" s="313"/>
      <c r="DL152" s="313"/>
      <c r="DM152" s="313"/>
      <c r="DN152" s="313"/>
      <c r="DO152" s="168"/>
      <c r="DQ152" s="107"/>
      <c r="DR152" s="313">
        <v>0</v>
      </c>
      <c r="DS152" s="313">
        <v>0</v>
      </c>
      <c r="DT152" s="313">
        <v>0</v>
      </c>
      <c r="DU152" s="313">
        <v>0</v>
      </c>
      <c r="DV152" s="313">
        <v>0</v>
      </c>
      <c r="DW152" s="313">
        <v>0</v>
      </c>
      <c r="DX152" s="313">
        <v>0</v>
      </c>
      <c r="DY152" s="313">
        <v>0</v>
      </c>
      <c r="DZ152" s="313">
        <v>0</v>
      </c>
      <c r="EA152" s="313">
        <v>0</v>
      </c>
      <c r="EB152" s="313">
        <v>0</v>
      </c>
      <c r="EC152" s="313">
        <v>0</v>
      </c>
      <c r="ED152" s="313">
        <v>0</v>
      </c>
      <c r="EE152" s="168"/>
    </row>
    <row r="153" spans="2:168" x14ac:dyDescent="0.25">
      <c r="B153" s="107" t="s">
        <v>388</v>
      </c>
      <c r="C153" s="294">
        <f t="shared" si="241"/>
        <v>0</v>
      </c>
      <c r="D153" s="294">
        <f t="shared" si="241"/>
        <v>0</v>
      </c>
      <c r="E153" s="160">
        <f t="shared" si="241"/>
        <v>464139.33533999999</v>
      </c>
      <c r="F153" s="160">
        <f t="shared" si="241"/>
        <v>827.75532999999996</v>
      </c>
      <c r="G153" s="160">
        <f t="shared" si="241"/>
        <v>68130.568599999999</v>
      </c>
      <c r="H153" s="160">
        <f t="shared" si="241"/>
        <v>596.88767000000007</v>
      </c>
      <c r="I153" s="294">
        <f t="shared" si="241"/>
        <v>0</v>
      </c>
      <c r="J153" s="294">
        <f t="shared" si="241"/>
        <v>0</v>
      </c>
      <c r="K153" s="160">
        <f t="shared" si="241"/>
        <v>30460.574069999995</v>
      </c>
      <c r="L153" s="294"/>
      <c r="M153" s="294"/>
      <c r="N153" s="160">
        <f t="shared" si="241"/>
        <v>2245.30872</v>
      </c>
      <c r="O153" s="294">
        <f t="shared" si="241"/>
        <v>0</v>
      </c>
      <c r="P153" s="162">
        <f t="shared" si="232"/>
        <v>566400.42972999986</v>
      </c>
      <c r="Y153" s="107" t="s">
        <v>388</v>
      </c>
      <c r="Z153" s="294">
        <f t="shared" si="242"/>
        <v>0</v>
      </c>
      <c r="AA153" s="294">
        <f t="shared" si="242"/>
        <v>0</v>
      </c>
      <c r="AB153" s="160">
        <f t="shared" si="242"/>
        <v>464139.33533999999</v>
      </c>
      <c r="AC153" s="160">
        <f t="shared" si="242"/>
        <v>827.75532999999996</v>
      </c>
      <c r="AD153" s="160">
        <f t="shared" si="242"/>
        <v>68130.568599999999</v>
      </c>
      <c r="AE153" s="160">
        <f t="shared" si="242"/>
        <v>596.88767000000007</v>
      </c>
      <c r="AF153" s="294">
        <f t="shared" si="242"/>
        <v>0</v>
      </c>
      <c r="AG153" s="294">
        <f t="shared" si="242"/>
        <v>0</v>
      </c>
      <c r="AH153" s="160">
        <f t="shared" si="242"/>
        <v>29202.25495248054</v>
      </c>
      <c r="AI153" s="294"/>
      <c r="AJ153" s="294"/>
      <c r="AK153" s="160">
        <f t="shared" si="242"/>
        <v>2245.30872</v>
      </c>
      <c r="AL153" s="294">
        <f t="shared" si="242"/>
        <v>0</v>
      </c>
      <c r="AM153" s="162">
        <f t="shared" si="234"/>
        <v>565142.11061248044</v>
      </c>
      <c r="AO153" s="107" t="s">
        <v>388</v>
      </c>
      <c r="AP153" s="294">
        <f>TripMode_inputCBD!R134*Index!$B$2</f>
        <v>0</v>
      </c>
      <c r="AQ153" s="294">
        <f>TripMode_inputCBD!S134*Index!$B$2</f>
        <v>0</v>
      </c>
      <c r="AR153" s="160">
        <f>TripMode_inputCBD!T134*Index!$B$2</f>
        <v>100385</v>
      </c>
      <c r="AS153" s="160">
        <f>TripMode_inputCBD!U134*Index!$B$2</f>
        <v>3910</v>
      </c>
      <c r="AT153" s="160">
        <f>TripMode_inputCBD!V134*Index!$B$2</f>
        <v>28125</v>
      </c>
      <c r="AU153" s="160">
        <f>TripMode_inputCBD!W134*Index!$B$2</f>
        <v>2720</v>
      </c>
      <c r="AV153" s="294">
        <f>TripMode_inputCBD!X134*Index!$B$2</f>
        <v>0</v>
      </c>
      <c r="AW153" s="294">
        <f>TripMode_inputCBD!Y134*Index!$B$2</f>
        <v>0</v>
      </c>
      <c r="AX153" s="160">
        <f>TripMode_inputCBD!AA134*Index!$B$2</f>
        <v>15290</v>
      </c>
      <c r="AY153" s="160">
        <f>TripMode_inputCBD!AB134*Index!$B$2</f>
        <v>0</v>
      </c>
      <c r="AZ153" s="160">
        <f>TripMode_inputCBD!AC134*Index!$B$2</f>
        <v>0</v>
      </c>
      <c r="BA153" s="160">
        <f>TripMode_inputCBD!AD134*Index!$B$2</f>
        <v>790</v>
      </c>
      <c r="BB153" s="294">
        <f>TripMode_inputCBD!AE134*Index!$B$2</f>
        <v>0</v>
      </c>
      <c r="BC153" s="162">
        <f t="shared" si="235"/>
        <v>151220</v>
      </c>
      <c r="BE153" s="107" t="s">
        <v>576</v>
      </c>
      <c r="BF153" s="166">
        <f>IF(Z$164+AA$164&gt;0,SUM(Z153:AA154)/(Z$164+AA$164),"")</f>
        <v>0</v>
      </c>
      <c r="BG153" s="166"/>
      <c r="BH153" s="166">
        <f>IF(AB$164+AC$164&gt;0,SUM(AB153:AC154)/(AB$164+AC$164),"")</f>
        <v>0.79146513379446404</v>
      </c>
      <c r="BI153" s="166"/>
      <c r="BJ153" s="166">
        <f>IF(AD$164+AE$164&gt;0,SUM(AD153:AE154)/(AD$164+AE$164),"")</f>
        <v>0.11873464212261377</v>
      </c>
      <c r="BK153" s="166"/>
      <c r="BL153" s="166">
        <f t="shared" ref="BL153:BS153" si="243">IF(AF$164&gt;0,(AF153+AF154)/AF$164,"")</f>
        <v>0</v>
      </c>
      <c r="BM153" s="166">
        <f t="shared" si="243"/>
        <v>0</v>
      </c>
      <c r="BN153" s="166">
        <f t="shared" si="243"/>
        <v>3.5578750624785639E-2</v>
      </c>
      <c r="BO153" s="166">
        <f t="shared" si="243"/>
        <v>0</v>
      </c>
      <c r="BP153" s="166">
        <f t="shared" si="243"/>
        <v>0</v>
      </c>
      <c r="BQ153" s="166">
        <f t="shared" si="243"/>
        <v>0.10233658688655445</v>
      </c>
      <c r="BR153" s="166">
        <f t="shared" si="243"/>
        <v>0</v>
      </c>
      <c r="BS153" s="166">
        <f t="shared" si="243"/>
        <v>0.18063825510959602</v>
      </c>
      <c r="BU153" s="107" t="s">
        <v>576</v>
      </c>
      <c r="BV153" s="166">
        <f>IF(AP$164+AQ$164&gt;0,SUM(AP153:AQ154)/(AP$164+AQ$164),"")</f>
        <v>0</v>
      </c>
      <c r="BW153" s="166"/>
      <c r="BX153" s="166">
        <f>IF(AR$164+AS$164&gt;0,SUM(AR153:AS154)/(AR$164+AS$164),"")</f>
        <v>0.62224630888211863</v>
      </c>
      <c r="BY153" s="166"/>
      <c r="BZ153" s="166">
        <f>IF(AT$164+AU$164&gt;0,SUM(AT153:AU154)/(AT$164+AU$164),"")</f>
        <v>0.17241193434493168</v>
      </c>
      <c r="CA153" s="166"/>
      <c r="CB153" s="166">
        <f t="shared" ref="CB153:CI153" si="244">IF(AV$164&gt;0,(AV153+AV154)/AV$164,"")</f>
        <v>0</v>
      </c>
      <c r="CC153" s="166">
        <f t="shared" si="244"/>
        <v>0</v>
      </c>
      <c r="CD153" s="166">
        <f t="shared" si="244"/>
        <v>2.8518075347184452E-2</v>
      </c>
      <c r="CE153" s="166">
        <f t="shared" si="244"/>
        <v>0</v>
      </c>
      <c r="CF153" s="166">
        <f t="shared" si="244"/>
        <v>0</v>
      </c>
      <c r="CG153" s="166">
        <f t="shared" si="244"/>
        <v>6.8376068376068383E-2</v>
      </c>
      <c r="CH153" s="166">
        <f t="shared" si="244"/>
        <v>0</v>
      </c>
      <c r="CI153" s="166">
        <f t="shared" si="244"/>
        <v>7.1828009862202849E-2</v>
      </c>
      <c r="CK153" s="107" t="s">
        <v>388</v>
      </c>
      <c r="CL153" s="166" t="str">
        <f t="shared" si="238"/>
        <v/>
      </c>
      <c r="CM153" s="166" t="str">
        <f t="shared" si="238"/>
        <v/>
      </c>
      <c r="CN153" s="166">
        <f t="shared" si="238"/>
        <v>-0.21380452238125999</v>
      </c>
      <c r="CO153" s="166" t="str">
        <f t="shared" si="238"/>
        <v/>
      </c>
      <c r="CP153" s="166"/>
      <c r="CQ153" s="166"/>
      <c r="CR153" s="166"/>
      <c r="CS153" s="166"/>
      <c r="CT153" s="166">
        <f t="shared" si="239"/>
        <v>-0.1984520297540304</v>
      </c>
      <c r="CU153" s="166" t="str">
        <f t="shared" si="239"/>
        <v/>
      </c>
      <c r="CV153" s="166" t="str">
        <f t="shared" si="239"/>
        <v/>
      </c>
      <c r="CW153" s="166">
        <f t="shared" si="239"/>
        <v>-0.33185119363159049</v>
      </c>
      <c r="CX153" s="166" t="str">
        <f t="shared" si="239"/>
        <v/>
      </c>
      <c r="CY153" s="168">
        <f t="shared" si="239"/>
        <v>-0.60236545786703</v>
      </c>
      <c r="DA153" s="107" t="s">
        <v>576</v>
      </c>
      <c r="DB153" s="313">
        <f>IFERROR(IF(BV153&gt;0,LN(BF153/BV153),0),0)</f>
        <v>0</v>
      </c>
      <c r="DC153" s="313"/>
      <c r="DD153" s="313">
        <f>IFERROR(IF(BX153&gt;0,LN(BH153/BX153),0),0)</f>
        <v>0.24054981821298152</v>
      </c>
      <c r="DE153" s="313"/>
      <c r="DF153" s="313">
        <f>IFERROR(IF(BZ153&gt;0,LN(BJ153/BZ153),0),0)</f>
        <v>-0.37299547551506229</v>
      </c>
      <c r="DG153" s="313"/>
      <c r="DH153" s="313">
        <f t="shared" ref="DH153:DN153" si="245">IFERROR(IF(CB153&gt;0,LN(BL153/CB153),0),0)</f>
        <v>0</v>
      </c>
      <c r="DI153" s="313">
        <f t="shared" si="245"/>
        <v>0</v>
      </c>
      <c r="DJ153" s="313">
        <f t="shared" si="245"/>
        <v>0.22121045813589421</v>
      </c>
      <c r="DK153" s="313">
        <f t="shared" si="245"/>
        <v>0</v>
      </c>
      <c r="DL153" s="313">
        <f t="shared" si="245"/>
        <v>0</v>
      </c>
      <c r="DM153" s="313">
        <f t="shared" si="245"/>
        <v>0.40324436622914739</v>
      </c>
      <c r="DN153" s="313">
        <f t="shared" si="245"/>
        <v>0</v>
      </c>
      <c r="DO153" s="168"/>
      <c r="DQ153" s="107" t="s">
        <v>576</v>
      </c>
      <c r="DR153" s="313">
        <v>0</v>
      </c>
      <c r="DS153" s="313">
        <v>0</v>
      </c>
      <c r="DT153" s="313">
        <v>0</v>
      </c>
      <c r="DU153" s="313">
        <v>0</v>
      </c>
      <c r="DV153" s="313">
        <v>0</v>
      </c>
      <c r="DW153" s="313">
        <v>0</v>
      </c>
      <c r="DX153" s="313">
        <v>0</v>
      </c>
      <c r="DY153" s="313">
        <v>0</v>
      </c>
      <c r="DZ153" s="313">
        <v>0</v>
      </c>
      <c r="EA153" s="313">
        <v>0</v>
      </c>
      <c r="EB153" s="313">
        <v>0</v>
      </c>
      <c r="EC153" s="313">
        <v>0</v>
      </c>
      <c r="ED153" s="313">
        <v>0</v>
      </c>
      <c r="EE153" s="168"/>
    </row>
    <row r="154" spans="2:168" x14ac:dyDescent="0.25">
      <c r="B154" s="107" t="s">
        <v>389</v>
      </c>
      <c r="C154" s="294">
        <f t="shared" si="241"/>
        <v>0</v>
      </c>
      <c r="D154" s="294">
        <f t="shared" si="241"/>
        <v>0</v>
      </c>
      <c r="E154" s="160">
        <f t="shared" si="241"/>
        <v>0</v>
      </c>
      <c r="F154" s="160">
        <f t="shared" si="241"/>
        <v>2011.7887599999999</v>
      </c>
      <c r="G154" s="160">
        <f t="shared" si="241"/>
        <v>0</v>
      </c>
      <c r="H154" s="160">
        <f t="shared" si="241"/>
        <v>585.03877000000011</v>
      </c>
      <c r="I154" s="294">
        <f t="shared" si="241"/>
        <v>0</v>
      </c>
      <c r="J154" s="294">
        <f t="shared" si="241"/>
        <v>0</v>
      </c>
      <c r="K154" s="160">
        <f t="shared" si="241"/>
        <v>0</v>
      </c>
      <c r="L154" s="294"/>
      <c r="M154" s="294"/>
      <c r="N154" s="160">
        <f t="shared" si="241"/>
        <v>0</v>
      </c>
      <c r="O154" s="294">
        <f t="shared" si="241"/>
        <v>0</v>
      </c>
      <c r="P154" s="162">
        <f t="shared" si="232"/>
        <v>2596.82753</v>
      </c>
      <c r="Y154" s="107" t="s">
        <v>389</v>
      </c>
      <c r="Z154" s="294">
        <f t="shared" si="242"/>
        <v>0</v>
      </c>
      <c r="AA154" s="294">
        <f t="shared" si="242"/>
        <v>0</v>
      </c>
      <c r="AB154" s="160">
        <f t="shared" si="242"/>
        <v>0</v>
      </c>
      <c r="AC154" s="160">
        <f t="shared" si="242"/>
        <v>2011.7887599999999</v>
      </c>
      <c r="AD154" s="160">
        <f t="shared" si="242"/>
        <v>0</v>
      </c>
      <c r="AE154" s="160">
        <f t="shared" si="242"/>
        <v>585.03877000000011</v>
      </c>
      <c r="AF154" s="294">
        <f t="shared" si="242"/>
        <v>0</v>
      </c>
      <c r="AG154" s="294">
        <f t="shared" si="242"/>
        <v>0</v>
      </c>
      <c r="AH154" s="160">
        <f t="shared" si="242"/>
        <v>0</v>
      </c>
      <c r="AI154" s="294"/>
      <c r="AJ154" s="294"/>
      <c r="AK154" s="160">
        <f t="shared" si="242"/>
        <v>0</v>
      </c>
      <c r="AL154" s="294">
        <f t="shared" si="242"/>
        <v>0</v>
      </c>
      <c r="AM154" s="162">
        <f t="shared" si="234"/>
        <v>2596.82753</v>
      </c>
      <c r="AO154" s="107" t="s">
        <v>389</v>
      </c>
      <c r="AP154" s="294">
        <f>TripMode_inputCBD!R135*Index!$B$2</f>
        <v>0</v>
      </c>
      <c r="AQ154" s="294">
        <f>TripMode_inputCBD!S135*Index!$B$2</f>
        <v>0</v>
      </c>
      <c r="AR154" s="160">
        <f>TripMode_inputCBD!T135*Index!$B$2</f>
        <v>925</v>
      </c>
      <c r="AS154" s="160">
        <f>TripMode_inputCBD!U135*Index!$B$2</f>
        <v>985</v>
      </c>
      <c r="AT154" s="160">
        <f>TripMode_inputCBD!V135*Index!$B$2</f>
        <v>360</v>
      </c>
      <c r="AU154" s="160">
        <f>TripMode_inputCBD!W135*Index!$B$2</f>
        <v>780</v>
      </c>
      <c r="AV154" s="294">
        <f>TripMode_inputCBD!X135*Index!$B$2</f>
        <v>0</v>
      </c>
      <c r="AW154" s="294">
        <f>TripMode_inputCBD!Y135*Index!$B$2</f>
        <v>0</v>
      </c>
      <c r="AX154" s="160">
        <f>TripMode_inputCBD!AA135*Index!$B$2</f>
        <v>440</v>
      </c>
      <c r="AY154" s="160">
        <f>TripMode_inputCBD!AB135*Index!$B$2</f>
        <v>0</v>
      </c>
      <c r="AZ154" s="160">
        <f>TripMode_inputCBD!AC135*Index!$B$2</f>
        <v>0</v>
      </c>
      <c r="BA154" s="160">
        <f>TripMode_inputCBD!AD135*Index!$B$2</f>
        <v>130</v>
      </c>
      <c r="BB154" s="294">
        <f>TripMode_inputCBD!AE135*Index!$B$2</f>
        <v>0</v>
      </c>
      <c r="BC154" s="162">
        <f t="shared" si="235"/>
        <v>3620</v>
      </c>
      <c r="BE154" s="107"/>
      <c r="BF154" s="166"/>
      <c r="BG154" s="166"/>
      <c r="BH154" s="166"/>
      <c r="BI154" s="166"/>
      <c r="BJ154" s="166"/>
      <c r="BK154" s="166"/>
      <c r="BL154" s="166"/>
      <c r="BM154" s="166"/>
      <c r="BN154" s="166"/>
      <c r="BO154" s="166"/>
      <c r="BP154" s="166"/>
      <c r="BQ154" s="166"/>
      <c r="BR154" s="166"/>
      <c r="BS154" s="166"/>
      <c r="BU154" s="107"/>
      <c r="BV154" s="166"/>
      <c r="BW154" s="166"/>
      <c r="BX154" s="166"/>
      <c r="BY154" s="166"/>
      <c r="BZ154" s="166"/>
      <c r="CA154" s="166"/>
      <c r="CB154" s="166"/>
      <c r="CC154" s="166"/>
      <c r="CD154" s="166"/>
      <c r="CE154" s="166"/>
      <c r="CF154" s="166"/>
      <c r="CG154" s="166"/>
      <c r="CH154" s="166"/>
      <c r="CI154" s="166"/>
      <c r="CK154" s="107" t="s">
        <v>389</v>
      </c>
      <c r="CL154" s="166" t="str">
        <f t="shared" si="238"/>
        <v/>
      </c>
      <c r="CM154" s="166" t="str">
        <f t="shared" si="238"/>
        <v/>
      </c>
      <c r="CN154" s="166" t="str">
        <f t="shared" si="238"/>
        <v/>
      </c>
      <c r="CO154" s="166" t="str">
        <f t="shared" si="238"/>
        <v/>
      </c>
      <c r="CP154" s="166"/>
      <c r="CQ154" s="166"/>
      <c r="CR154" s="166"/>
      <c r="CS154" s="166"/>
      <c r="CT154" s="166" t="str">
        <f t="shared" si="239"/>
        <v/>
      </c>
      <c r="CU154" s="166" t="str">
        <f t="shared" si="239"/>
        <v/>
      </c>
      <c r="CV154" s="166" t="str">
        <f t="shared" si="239"/>
        <v/>
      </c>
      <c r="CW154" s="166" t="str">
        <f t="shared" si="239"/>
        <v/>
      </c>
      <c r="CX154" s="166" t="str">
        <f t="shared" si="239"/>
        <v/>
      </c>
      <c r="CY154" s="168" t="str">
        <f t="shared" si="239"/>
        <v/>
      </c>
      <c r="DA154" s="107"/>
      <c r="DB154" s="313"/>
      <c r="DC154" s="313"/>
      <c r="DD154" s="313"/>
      <c r="DE154" s="313"/>
      <c r="DF154" s="313"/>
      <c r="DG154" s="313"/>
      <c r="DH154" s="313"/>
      <c r="DI154" s="313"/>
      <c r="DJ154" s="313"/>
      <c r="DK154" s="313"/>
      <c r="DL154" s="313"/>
      <c r="DM154" s="313"/>
      <c r="DN154" s="313"/>
      <c r="DO154" s="168"/>
      <c r="DQ154" s="107"/>
      <c r="DR154" s="313">
        <v>0</v>
      </c>
      <c r="DS154" s="313">
        <v>0</v>
      </c>
      <c r="DT154" s="313">
        <v>0</v>
      </c>
      <c r="DU154" s="313">
        <v>0</v>
      </c>
      <c r="DV154" s="313">
        <v>0</v>
      </c>
      <c r="DW154" s="313">
        <v>0</v>
      </c>
      <c r="DX154" s="313">
        <v>0</v>
      </c>
      <c r="DY154" s="313">
        <v>0</v>
      </c>
      <c r="DZ154" s="313">
        <v>0</v>
      </c>
      <c r="EA154" s="313">
        <v>0</v>
      </c>
      <c r="EB154" s="313">
        <v>0</v>
      </c>
      <c r="EC154" s="313">
        <v>0</v>
      </c>
      <c r="ED154" s="313">
        <v>0</v>
      </c>
      <c r="EE154" s="168"/>
    </row>
    <row r="155" spans="2:168" x14ac:dyDescent="0.25">
      <c r="B155" s="107" t="s">
        <v>390</v>
      </c>
      <c r="C155" s="294">
        <f t="shared" si="241"/>
        <v>0</v>
      </c>
      <c r="D155" s="294">
        <f t="shared" si="241"/>
        <v>0</v>
      </c>
      <c r="E155" s="294">
        <f t="shared" si="241"/>
        <v>0</v>
      </c>
      <c r="F155" s="294">
        <f t="shared" si="241"/>
        <v>0</v>
      </c>
      <c r="G155" s="160">
        <f t="shared" si="241"/>
        <v>461073.67222999997</v>
      </c>
      <c r="H155" s="160">
        <f t="shared" si="241"/>
        <v>1482.3415500000001</v>
      </c>
      <c r="I155" s="294">
        <f t="shared" si="241"/>
        <v>0</v>
      </c>
      <c r="J155" s="294">
        <f t="shared" si="241"/>
        <v>0</v>
      </c>
      <c r="K155" s="160">
        <f t="shared" si="241"/>
        <v>7164.6721899999993</v>
      </c>
      <c r="L155" s="294"/>
      <c r="M155" s="294"/>
      <c r="N155" s="160">
        <f t="shared" si="241"/>
        <v>750.03156000000001</v>
      </c>
      <c r="O155" s="294">
        <f t="shared" si="241"/>
        <v>0</v>
      </c>
      <c r="P155" s="162">
        <f t="shared" si="232"/>
        <v>470470.71752999997</v>
      </c>
      <c r="Y155" s="107" t="s">
        <v>390</v>
      </c>
      <c r="Z155" s="294">
        <f t="shared" si="242"/>
        <v>0</v>
      </c>
      <c r="AA155" s="294">
        <f t="shared" si="242"/>
        <v>0</v>
      </c>
      <c r="AB155" s="294">
        <f t="shared" si="242"/>
        <v>0</v>
      </c>
      <c r="AC155" s="294">
        <f t="shared" si="242"/>
        <v>0</v>
      </c>
      <c r="AD155" s="160">
        <f t="shared" si="242"/>
        <v>461073.67222999997</v>
      </c>
      <c r="AE155" s="160">
        <f t="shared" si="242"/>
        <v>1482.3415500000001</v>
      </c>
      <c r="AF155" s="294">
        <f t="shared" si="242"/>
        <v>0</v>
      </c>
      <c r="AG155" s="294">
        <f t="shared" si="242"/>
        <v>0</v>
      </c>
      <c r="AH155" s="160">
        <f t="shared" si="242"/>
        <v>6868.7012747204972</v>
      </c>
      <c r="AI155" s="294"/>
      <c r="AJ155" s="294"/>
      <c r="AK155" s="160">
        <f t="shared" si="242"/>
        <v>750.03156000000001</v>
      </c>
      <c r="AL155" s="294">
        <f t="shared" si="242"/>
        <v>0</v>
      </c>
      <c r="AM155" s="162">
        <f t="shared" si="234"/>
        <v>470174.74661472044</v>
      </c>
      <c r="AO155" s="107" t="s">
        <v>390</v>
      </c>
      <c r="AP155" s="294">
        <f>TripMode_inputCBD!R136*Index!$B$2</f>
        <v>0</v>
      </c>
      <c r="AQ155" s="294">
        <f>TripMode_inputCBD!S136*Index!$B$2</f>
        <v>0</v>
      </c>
      <c r="AR155" s="294">
        <f>TripMode_inputCBD!T136*Index!$B$2</f>
        <v>0</v>
      </c>
      <c r="AS155" s="294">
        <f>TripMode_inputCBD!U136*Index!$B$2</f>
        <v>0</v>
      </c>
      <c r="AT155" s="160">
        <f>TripMode_inputCBD!V136*Index!$B$2</f>
        <v>89250</v>
      </c>
      <c r="AU155" s="160">
        <f>TripMode_inputCBD!W136*Index!$B$2</f>
        <v>7560</v>
      </c>
      <c r="AV155" s="294">
        <f>TripMode_inputCBD!X136*Index!$B$2</f>
        <v>0</v>
      </c>
      <c r="AW155" s="294">
        <f>TripMode_inputCBD!Y136*Index!$B$2</f>
        <v>0</v>
      </c>
      <c r="AX155" s="160">
        <f>TripMode_inputCBD!AA136*Index!$B$2</f>
        <v>3170</v>
      </c>
      <c r="AY155" s="160">
        <f>TripMode_inputCBD!AB136*Index!$B$2</f>
        <v>0</v>
      </c>
      <c r="AZ155" s="160">
        <f>TripMode_inputCBD!AC136*Index!$B$2</f>
        <v>0</v>
      </c>
      <c r="BA155" s="160">
        <f>TripMode_inputCBD!AD136*Index!$B$2</f>
        <v>180</v>
      </c>
      <c r="BB155" s="294">
        <f>TripMode_inputCBD!AE136*Index!$B$2</f>
        <v>0</v>
      </c>
      <c r="BC155" s="162">
        <f t="shared" si="235"/>
        <v>100160</v>
      </c>
      <c r="BE155" s="107" t="s">
        <v>577</v>
      </c>
      <c r="BF155" s="166">
        <f>IF(Z$164+AA$164&gt;0,SUM(Z155:AA156)/(Z$164+AA$164),"")</f>
        <v>0</v>
      </c>
      <c r="BG155" s="166"/>
      <c r="BH155" s="166">
        <f>IF(AB$164+AC$164&gt;0,SUM(AB155:AC156)/(AB$164+AC$164),"")</f>
        <v>0</v>
      </c>
      <c r="BI155" s="166"/>
      <c r="BJ155" s="166">
        <f>IF(AD$164+AE$164&gt;0,SUM(AD155:AE156)/(AD$164+AE$164),"")</f>
        <v>0.79787040684344401</v>
      </c>
      <c r="BK155" s="166"/>
      <c r="BL155" s="166">
        <f t="shared" ref="BL155:BS155" si="246">IF(AF$164&gt;0,(AF155+AF156)/AF$164,"")</f>
        <v>0</v>
      </c>
      <c r="BM155" s="166">
        <f t="shared" si="246"/>
        <v>0</v>
      </c>
      <c r="BN155" s="166">
        <f t="shared" si="246"/>
        <v>8.7820308481991911E-3</v>
      </c>
      <c r="BO155" s="166">
        <f t="shared" si="246"/>
        <v>0</v>
      </c>
      <c r="BP155" s="166">
        <f t="shared" si="246"/>
        <v>0</v>
      </c>
      <c r="BQ155" s="166">
        <f t="shared" si="246"/>
        <v>3.418490705705627E-2</v>
      </c>
      <c r="BR155" s="166">
        <f t="shared" si="246"/>
        <v>0</v>
      </c>
      <c r="BS155" s="166">
        <f t="shared" si="246"/>
        <v>0.15072498048712513</v>
      </c>
      <c r="BU155" s="107" t="s">
        <v>577</v>
      </c>
      <c r="BV155" s="166">
        <f>IF(AP$164+AQ$164&gt;0,SUM(AP155:AQ156)/(AP$164+AQ$164),"")</f>
        <v>0</v>
      </c>
      <c r="BW155" s="166"/>
      <c r="BX155" s="166">
        <f>IF(AR$164+AS$164&gt;0,SUM(AR155:AS156)/(AR$164+AS$164),"")</f>
        <v>0</v>
      </c>
      <c r="BY155" s="166"/>
      <c r="BZ155" s="166">
        <f>IF(AT$164+AU$164&gt;0,SUM(AT155:AU156)/(AT$164+AU$164),"")</f>
        <v>0.53868959383338277</v>
      </c>
      <c r="CA155" s="166"/>
      <c r="CB155" s="166">
        <f t="shared" ref="CB155:CI155" si="247">IF(AV$164&gt;0,(AV155+AV156)/AV$164,"")</f>
        <v>0</v>
      </c>
      <c r="CC155" s="166">
        <f t="shared" si="247"/>
        <v>0</v>
      </c>
      <c r="CD155" s="166">
        <f t="shared" si="247"/>
        <v>5.8468399869465899E-3</v>
      </c>
      <c r="CE155" s="166">
        <f t="shared" si="247"/>
        <v>0</v>
      </c>
      <c r="CF155" s="166">
        <f t="shared" si="247"/>
        <v>0</v>
      </c>
      <c r="CG155" s="166">
        <f t="shared" si="247"/>
        <v>1.4492753623188406E-2</v>
      </c>
      <c r="CH155" s="166">
        <f t="shared" si="247"/>
        <v>0</v>
      </c>
      <c r="CI155" s="166">
        <f t="shared" si="247"/>
        <v>4.7944871863265147E-2</v>
      </c>
      <c r="CK155" s="107" t="s">
        <v>390</v>
      </c>
      <c r="CL155" s="166"/>
      <c r="CM155" s="166"/>
      <c r="CN155" s="166"/>
      <c r="CO155" s="166"/>
      <c r="CP155" s="166"/>
      <c r="CQ155" s="166"/>
      <c r="CR155" s="166"/>
      <c r="CS155" s="166"/>
      <c r="CT155" s="166"/>
      <c r="CU155" s="166"/>
      <c r="CV155" s="166"/>
      <c r="CW155" s="166"/>
      <c r="CX155" s="166"/>
      <c r="CY155" s="168"/>
      <c r="DA155" s="107" t="s">
        <v>577</v>
      </c>
      <c r="DB155" s="313">
        <f>IFERROR(IF(BV155&gt;0,LN(BF155/BV155),0),0)</f>
        <v>0</v>
      </c>
      <c r="DC155" s="313"/>
      <c r="DD155" s="313">
        <f>IFERROR(IF(BX155&gt;0,LN(BH155/BX155),0),0)</f>
        <v>0</v>
      </c>
      <c r="DE155" s="313"/>
      <c r="DF155" s="313">
        <f>IFERROR(IF(BZ155&gt;0,LN(BJ155/BZ155),0),0)</f>
        <v>0.39280667450596557</v>
      </c>
      <c r="DG155" s="313"/>
      <c r="DH155" s="313">
        <f t="shared" ref="DH155:DN155" si="248">IFERROR(IF(CB155&gt;0,LN(BL155/CB155),0),0)</f>
        <v>0</v>
      </c>
      <c r="DI155" s="313">
        <f t="shared" si="248"/>
        <v>0</v>
      </c>
      <c r="DJ155" s="313">
        <f t="shared" si="248"/>
        <v>0.40680634266937332</v>
      </c>
      <c r="DK155" s="313">
        <f t="shared" si="248"/>
        <v>0</v>
      </c>
      <c r="DL155" s="313">
        <f t="shared" si="248"/>
        <v>0</v>
      </c>
      <c r="DM155" s="313">
        <f t="shared" si="248"/>
        <v>0.85813545815478398</v>
      </c>
      <c r="DN155" s="313">
        <f t="shared" si="248"/>
        <v>0</v>
      </c>
      <c r="DO155" s="168"/>
      <c r="DQ155" s="107" t="s">
        <v>577</v>
      </c>
      <c r="DR155" s="313">
        <v>0</v>
      </c>
      <c r="DS155" s="313">
        <v>0</v>
      </c>
      <c r="DT155" s="313">
        <v>0</v>
      </c>
      <c r="DU155" s="313">
        <v>0</v>
      </c>
      <c r="DV155" s="313">
        <v>0</v>
      </c>
      <c r="DW155" s="313">
        <v>0</v>
      </c>
      <c r="DX155" s="313">
        <v>0</v>
      </c>
      <c r="DY155" s="313">
        <v>0</v>
      </c>
      <c r="DZ155" s="313">
        <v>0</v>
      </c>
      <c r="EA155" s="313">
        <v>0</v>
      </c>
      <c r="EB155" s="313">
        <v>0</v>
      </c>
      <c r="EC155" s="313">
        <v>0</v>
      </c>
      <c r="ED155" s="313">
        <v>0</v>
      </c>
      <c r="EE155" s="168"/>
    </row>
    <row r="156" spans="2:168" x14ac:dyDescent="0.25">
      <c r="B156" s="107" t="s">
        <v>391</v>
      </c>
      <c r="C156" s="294">
        <f t="shared" si="241"/>
        <v>0</v>
      </c>
      <c r="D156" s="294">
        <f t="shared" si="241"/>
        <v>0</v>
      </c>
      <c r="E156" s="294">
        <f t="shared" si="241"/>
        <v>0</v>
      </c>
      <c r="F156" s="294">
        <f t="shared" si="241"/>
        <v>0</v>
      </c>
      <c r="G156" s="160">
        <f t="shared" si="241"/>
        <v>0</v>
      </c>
      <c r="H156" s="160">
        <f t="shared" si="241"/>
        <v>3208.5485099999996</v>
      </c>
      <c r="I156" s="294">
        <f t="shared" si="241"/>
        <v>0</v>
      </c>
      <c r="J156" s="294">
        <f t="shared" si="241"/>
        <v>0</v>
      </c>
      <c r="K156" s="160">
        <f t="shared" si="241"/>
        <v>354.02075000000002</v>
      </c>
      <c r="L156" s="294"/>
      <c r="M156" s="294"/>
      <c r="N156" s="160">
        <f t="shared" si="241"/>
        <v>0</v>
      </c>
      <c r="O156" s="294">
        <f t="shared" si="241"/>
        <v>0</v>
      </c>
      <c r="P156" s="162">
        <f t="shared" si="232"/>
        <v>3562.5692599999998</v>
      </c>
      <c r="Y156" s="107" t="s">
        <v>391</v>
      </c>
      <c r="Z156" s="294">
        <f t="shared" si="242"/>
        <v>0</v>
      </c>
      <c r="AA156" s="294">
        <f t="shared" si="242"/>
        <v>0</v>
      </c>
      <c r="AB156" s="294">
        <f t="shared" si="242"/>
        <v>0</v>
      </c>
      <c r="AC156" s="294">
        <f t="shared" si="242"/>
        <v>0</v>
      </c>
      <c r="AD156" s="160">
        <f t="shared" si="242"/>
        <v>0</v>
      </c>
      <c r="AE156" s="160">
        <f t="shared" si="242"/>
        <v>3208.5485099999996</v>
      </c>
      <c r="AF156" s="294">
        <f t="shared" si="242"/>
        <v>0</v>
      </c>
      <c r="AG156" s="294">
        <f t="shared" si="242"/>
        <v>0</v>
      </c>
      <c r="AH156" s="160">
        <f t="shared" si="242"/>
        <v>339.39623646654331</v>
      </c>
      <c r="AI156" s="294"/>
      <c r="AJ156" s="294"/>
      <c r="AK156" s="160">
        <f t="shared" si="242"/>
        <v>0</v>
      </c>
      <c r="AL156" s="294">
        <f t="shared" si="242"/>
        <v>0</v>
      </c>
      <c r="AM156" s="162">
        <f t="shared" si="234"/>
        <v>3547.9447464665427</v>
      </c>
      <c r="AO156" s="107" t="s">
        <v>391</v>
      </c>
      <c r="AP156" s="294">
        <f>TripMode_inputCBD!R137*Index!$B$2</f>
        <v>0</v>
      </c>
      <c r="AQ156" s="294">
        <f>TripMode_inputCBD!S137*Index!$B$2</f>
        <v>0</v>
      </c>
      <c r="AR156" s="294">
        <f>TripMode_inputCBD!T137*Index!$B$2</f>
        <v>0</v>
      </c>
      <c r="AS156" s="294">
        <f>TripMode_inputCBD!U137*Index!$B$2</f>
        <v>0</v>
      </c>
      <c r="AT156" s="160">
        <f>TripMode_inputCBD!V137*Index!$B$2</f>
        <v>1055</v>
      </c>
      <c r="AU156" s="160">
        <f>TripMode_inputCBD!W137*Index!$B$2</f>
        <v>2070</v>
      </c>
      <c r="AV156" s="294">
        <f>TripMode_inputCBD!X137*Index!$B$2</f>
        <v>0</v>
      </c>
      <c r="AW156" s="294">
        <f>TripMode_inputCBD!Y137*Index!$B$2</f>
        <v>0</v>
      </c>
      <c r="AX156" s="160">
        <f>TripMode_inputCBD!AA137*Index!$B$2</f>
        <v>55</v>
      </c>
      <c r="AY156" s="160">
        <f>TripMode_inputCBD!AB137*Index!$B$2</f>
        <v>0</v>
      </c>
      <c r="AZ156" s="160">
        <f>TripMode_inputCBD!AC137*Index!$B$2</f>
        <v>0</v>
      </c>
      <c r="BA156" s="160">
        <f>TripMode_inputCBD!AD137*Index!$B$2</f>
        <v>15</v>
      </c>
      <c r="BB156" s="294">
        <f>TripMode_inputCBD!AE137*Index!$B$2</f>
        <v>0</v>
      </c>
      <c r="BC156" s="162">
        <f t="shared" si="235"/>
        <v>3195</v>
      </c>
      <c r="BE156" s="107"/>
      <c r="BF156" s="166"/>
      <c r="BG156" s="166"/>
      <c r="BH156" s="166"/>
      <c r="BI156" s="166"/>
      <c r="BJ156" s="166"/>
      <c r="BK156" s="166"/>
      <c r="BL156" s="166"/>
      <c r="BM156" s="166"/>
      <c r="BN156" s="166"/>
      <c r="BO156" s="166"/>
      <c r="BP156" s="166"/>
      <c r="BQ156" s="166"/>
      <c r="BR156" s="166"/>
      <c r="BS156" s="166"/>
      <c r="BU156" s="107"/>
      <c r="BV156" s="166"/>
      <c r="BW156" s="166"/>
      <c r="BX156" s="166"/>
      <c r="BY156" s="166"/>
      <c r="BZ156" s="166"/>
      <c r="CA156" s="166"/>
      <c r="CB156" s="166"/>
      <c r="CC156" s="166"/>
      <c r="CD156" s="166"/>
      <c r="CE156" s="166"/>
      <c r="CF156" s="166"/>
      <c r="CG156" s="166"/>
      <c r="CH156" s="166"/>
      <c r="CI156" s="166"/>
      <c r="CK156" s="107" t="s">
        <v>391</v>
      </c>
      <c r="CL156" s="166"/>
      <c r="CM156" s="166"/>
      <c r="CN156" s="166"/>
      <c r="CO156" s="166"/>
      <c r="CP156" s="166"/>
      <c r="CQ156" s="166"/>
      <c r="CR156" s="166"/>
      <c r="CS156" s="166"/>
      <c r="CT156" s="166"/>
      <c r="CU156" s="166"/>
      <c r="CV156" s="166"/>
      <c r="CW156" s="166"/>
      <c r="CX156" s="166"/>
      <c r="CY156" s="168"/>
      <c r="DA156" s="107"/>
      <c r="DB156" s="313"/>
      <c r="DC156" s="313"/>
      <c r="DD156" s="313"/>
      <c r="DE156" s="313"/>
      <c r="DF156" s="313"/>
      <c r="DG156" s="313"/>
      <c r="DH156" s="313"/>
      <c r="DI156" s="313"/>
      <c r="DJ156" s="313"/>
      <c r="DK156" s="313"/>
      <c r="DL156" s="313"/>
      <c r="DM156" s="313"/>
      <c r="DN156" s="313"/>
      <c r="DO156" s="168"/>
      <c r="DQ156" s="107"/>
      <c r="DR156" s="313">
        <v>0</v>
      </c>
      <c r="DS156" s="313">
        <v>0</v>
      </c>
      <c r="DT156" s="313">
        <v>0</v>
      </c>
      <c r="DU156" s="313">
        <v>0</v>
      </c>
      <c r="DV156" s="313">
        <v>0</v>
      </c>
      <c r="DW156" s="313">
        <v>0</v>
      </c>
      <c r="DX156" s="313">
        <v>0</v>
      </c>
      <c r="DY156" s="313">
        <v>0</v>
      </c>
      <c r="DZ156" s="313">
        <v>0</v>
      </c>
      <c r="EA156" s="313">
        <v>0</v>
      </c>
      <c r="EB156" s="313">
        <v>0</v>
      </c>
      <c r="EC156" s="313">
        <v>0</v>
      </c>
      <c r="ED156" s="313">
        <v>0</v>
      </c>
      <c r="EE156" s="168"/>
    </row>
    <row r="157" spans="2:168" x14ac:dyDescent="0.25">
      <c r="B157" s="107" t="s">
        <v>392</v>
      </c>
      <c r="C157" s="294">
        <f t="shared" si="241"/>
        <v>0</v>
      </c>
      <c r="D157" s="294">
        <f t="shared" si="241"/>
        <v>0</v>
      </c>
      <c r="E157" s="160">
        <f t="shared" si="241"/>
        <v>31312.581420000002</v>
      </c>
      <c r="F157" s="160">
        <f t="shared" si="241"/>
        <v>0</v>
      </c>
      <c r="G157" s="160">
        <f t="shared" si="241"/>
        <v>13761.621389999998</v>
      </c>
      <c r="H157" s="160">
        <f t="shared" si="241"/>
        <v>185.12353999999999</v>
      </c>
      <c r="I157" s="160">
        <f t="shared" si="241"/>
        <v>256856.86307000002</v>
      </c>
      <c r="J157" s="294">
        <f t="shared" si="241"/>
        <v>0</v>
      </c>
      <c r="K157" s="160">
        <f t="shared" si="241"/>
        <v>201803.81221999996</v>
      </c>
      <c r="L157" s="294"/>
      <c r="M157" s="294"/>
      <c r="N157" s="160">
        <f t="shared" si="241"/>
        <v>4685.39048</v>
      </c>
      <c r="O157" s="294">
        <f t="shared" si="241"/>
        <v>0</v>
      </c>
      <c r="P157" s="162">
        <f t="shared" si="232"/>
        <v>508605.39211999997</v>
      </c>
      <c r="Y157" s="107" t="s">
        <v>392</v>
      </c>
      <c r="Z157" s="294">
        <f t="shared" si="242"/>
        <v>0</v>
      </c>
      <c r="AA157" s="294">
        <f t="shared" si="242"/>
        <v>0</v>
      </c>
      <c r="AB157" s="160">
        <f t="shared" si="242"/>
        <v>31312.581420000002</v>
      </c>
      <c r="AC157" s="160">
        <f t="shared" si="242"/>
        <v>0</v>
      </c>
      <c r="AD157" s="160">
        <f t="shared" si="242"/>
        <v>13761.621389999998</v>
      </c>
      <c r="AE157" s="160">
        <f t="shared" si="242"/>
        <v>185.12353999999999</v>
      </c>
      <c r="AF157" s="160">
        <f t="shared" si="242"/>
        <v>256856.86307000002</v>
      </c>
      <c r="AG157" s="294">
        <f t="shared" si="242"/>
        <v>0</v>
      </c>
      <c r="AH157" s="160">
        <f t="shared" si="242"/>
        <v>193467.34441997827</v>
      </c>
      <c r="AI157" s="294"/>
      <c r="AJ157" s="294"/>
      <c r="AK157" s="160">
        <f t="shared" si="242"/>
        <v>4685.39048</v>
      </c>
      <c r="AL157" s="294">
        <f t="shared" si="242"/>
        <v>0</v>
      </c>
      <c r="AM157" s="162">
        <f t="shared" si="234"/>
        <v>500268.92431997828</v>
      </c>
      <c r="AO157" s="107" t="s">
        <v>392</v>
      </c>
      <c r="AP157" s="294">
        <f>TripMode_inputCBD!R138*Index!$B$2</f>
        <v>0</v>
      </c>
      <c r="AQ157" s="294">
        <f>TripMode_inputCBD!S138*Index!$B$2</f>
        <v>0</v>
      </c>
      <c r="AR157" s="160">
        <f>TripMode_inputCBD!T138*Index!$B$2</f>
        <v>23745</v>
      </c>
      <c r="AS157" s="160">
        <f>TripMode_inputCBD!U138*Index!$B$2</f>
        <v>455</v>
      </c>
      <c r="AT157" s="160">
        <f>TripMode_inputCBD!V138*Index!$B$2</f>
        <v>14635</v>
      </c>
      <c r="AU157" s="160">
        <f>TripMode_inputCBD!W138*Index!$B$2</f>
        <v>935</v>
      </c>
      <c r="AV157" s="160">
        <f>TripMode_inputCBD!X138*Index!$B$2</f>
        <v>549690</v>
      </c>
      <c r="AW157" s="294">
        <f>TripMode_inputCBD!Y138*Index!$B$2</f>
        <v>0</v>
      </c>
      <c r="AX157" s="160">
        <f>TripMode_inputCBD!AA138*Index!$B$2</f>
        <v>133435</v>
      </c>
      <c r="AY157" s="160">
        <f>TripMode_inputCBD!AB138*Index!$B$2</f>
        <v>0</v>
      </c>
      <c r="AZ157" s="160">
        <f>TripMode_inputCBD!AC138*Index!$B$2</f>
        <v>0</v>
      </c>
      <c r="BA157" s="160">
        <f>TripMode_inputCBD!AD138*Index!$B$2</f>
        <v>2985</v>
      </c>
      <c r="BB157" s="294">
        <f>TripMode_inputCBD!AE138*Index!$B$2</f>
        <v>0</v>
      </c>
      <c r="BC157" s="162">
        <f t="shared" si="235"/>
        <v>725880</v>
      </c>
      <c r="BE157" s="107" t="s">
        <v>392</v>
      </c>
      <c r="BF157" s="166">
        <f t="shared" ref="BF157:BS164" si="249">IF(Z$164&gt;0,Z157/Z$164,"")</f>
        <v>0</v>
      </c>
      <c r="BG157" s="166">
        <f t="shared" si="249"/>
        <v>0</v>
      </c>
      <c r="BH157" s="166">
        <f t="shared" si="249"/>
        <v>5.3546485348642862E-2</v>
      </c>
      <c r="BI157" s="166">
        <f t="shared" si="249"/>
        <v>0</v>
      </c>
      <c r="BJ157" s="166">
        <f t="shared" si="249"/>
        <v>2.3843350106504239E-2</v>
      </c>
      <c r="BK157" s="166">
        <f t="shared" si="249"/>
        <v>2.8084965542505898E-2</v>
      </c>
      <c r="BL157" s="166">
        <f t="shared" si="249"/>
        <v>1</v>
      </c>
      <c r="BM157" s="166">
        <f t="shared" si="249"/>
        <v>0</v>
      </c>
      <c r="BN157" s="166">
        <f t="shared" si="249"/>
        <v>0.23571215347440924</v>
      </c>
      <c r="BO157" s="166">
        <f t="shared" si="249"/>
        <v>0</v>
      </c>
      <c r="BP157" s="166">
        <f t="shared" si="249"/>
        <v>0</v>
      </c>
      <c r="BQ157" s="166">
        <f t="shared" si="249"/>
        <v>0.21355053124006709</v>
      </c>
      <c r="BR157" s="166">
        <f t="shared" si="249"/>
        <v>0</v>
      </c>
      <c r="BS157" s="166">
        <f t="shared" si="249"/>
        <v>0.15917123083080947</v>
      </c>
      <c r="BU157" s="107" t="s">
        <v>392</v>
      </c>
      <c r="BV157" s="166">
        <f t="shared" ref="BV157:CI164" si="250">IF(AP$164&gt;0,AP157/AP$164,"")</f>
        <v>0</v>
      </c>
      <c r="BW157" s="166">
        <f t="shared" si="250"/>
        <v>0</v>
      </c>
      <c r="BX157" s="166">
        <f t="shared" si="250"/>
        <v>0.14558999356203439</v>
      </c>
      <c r="BY157" s="166">
        <f t="shared" si="250"/>
        <v>5.9986816084377059E-2</v>
      </c>
      <c r="BZ157" s="166">
        <f t="shared" si="250"/>
        <v>8.7655725922376623E-2</v>
      </c>
      <c r="CA157" s="166">
        <f t="shared" si="250"/>
        <v>5.0390730261385068E-2</v>
      </c>
      <c r="CB157" s="166">
        <f t="shared" si="250"/>
        <v>1</v>
      </c>
      <c r="CC157" s="166">
        <f t="shared" si="250"/>
        <v>0</v>
      </c>
      <c r="CD157" s="166">
        <f t="shared" si="250"/>
        <v>0.24191413756843974</v>
      </c>
      <c r="CE157" s="166">
        <f t="shared" si="250"/>
        <v>0</v>
      </c>
      <c r="CF157" s="166">
        <f t="shared" si="250"/>
        <v>0</v>
      </c>
      <c r="CG157" s="166">
        <f t="shared" si="250"/>
        <v>0.22185061315496099</v>
      </c>
      <c r="CH157" s="166">
        <f t="shared" si="250"/>
        <v>0</v>
      </c>
      <c r="CI157" s="168">
        <f t="shared" si="250"/>
        <v>0.33672510849118964</v>
      </c>
      <c r="CK157" s="107" t="s">
        <v>392</v>
      </c>
      <c r="CL157" s="166"/>
      <c r="CM157" s="166"/>
      <c r="CN157" s="166"/>
      <c r="CO157" s="166"/>
      <c r="CP157" s="166"/>
      <c r="CQ157" s="166"/>
      <c r="CR157" s="166"/>
      <c r="CS157" s="166"/>
      <c r="CT157" s="166"/>
      <c r="CU157" s="166"/>
      <c r="CV157" s="166"/>
      <c r="CW157" s="166"/>
      <c r="CX157" s="166"/>
      <c r="CY157" s="168"/>
      <c r="DA157" s="107" t="s">
        <v>392</v>
      </c>
      <c r="DB157" s="313">
        <f t="shared" ref="DB157:DN163" si="251">IFERROR(IF(BV157&gt;0,LN(BF157/BV157),0),0)</f>
        <v>0</v>
      </c>
      <c r="DC157" s="313">
        <f t="shared" si="251"/>
        <v>0</v>
      </c>
      <c r="DD157" s="313">
        <f t="shared" si="251"/>
        <v>-1.0002442462041512</v>
      </c>
      <c r="DE157" s="313">
        <f t="shared" si="251"/>
        <v>0</v>
      </c>
      <c r="DF157" s="313">
        <f t="shared" si="251"/>
        <v>-1.3019115794308611</v>
      </c>
      <c r="DG157" s="313">
        <f t="shared" si="251"/>
        <v>-0.58457283569275331</v>
      </c>
      <c r="DH157" s="313">
        <f t="shared" si="251"/>
        <v>0</v>
      </c>
      <c r="DI157" s="313">
        <f t="shared" si="251"/>
        <v>0</v>
      </c>
      <c r="DJ157" s="313">
        <f t="shared" si="251"/>
        <v>-2.5971487830599379E-2</v>
      </c>
      <c r="DK157" s="313">
        <f t="shared" si="251"/>
        <v>0</v>
      </c>
      <c r="DL157" s="313">
        <f t="shared" si="251"/>
        <v>0</v>
      </c>
      <c r="DM157" s="313">
        <f t="shared" si="251"/>
        <v>-3.813075670216854E-2</v>
      </c>
      <c r="DN157" s="313">
        <f t="shared" si="251"/>
        <v>0</v>
      </c>
      <c r="DO157" s="168"/>
      <c r="DQ157" s="107" t="s">
        <v>392</v>
      </c>
      <c r="DR157" s="313">
        <v>0</v>
      </c>
      <c r="DS157" s="313">
        <v>0</v>
      </c>
      <c r="DT157" s="313">
        <v>0</v>
      </c>
      <c r="DU157" s="313">
        <v>0</v>
      </c>
      <c r="DV157" s="313">
        <v>0</v>
      </c>
      <c r="DW157" s="313">
        <v>0</v>
      </c>
      <c r="DX157" s="313">
        <v>0</v>
      </c>
      <c r="DY157" s="313">
        <v>0</v>
      </c>
      <c r="DZ157" s="313">
        <v>0</v>
      </c>
      <c r="EA157" s="313">
        <v>0</v>
      </c>
      <c r="EB157" s="313">
        <v>0</v>
      </c>
      <c r="EC157" s="313">
        <v>0</v>
      </c>
      <c r="ED157" s="313">
        <v>0</v>
      </c>
      <c r="EE157" s="168"/>
    </row>
    <row r="158" spans="2:168" x14ac:dyDescent="0.25">
      <c r="B158" s="107" t="s">
        <v>393</v>
      </c>
      <c r="C158" s="294">
        <f t="shared" si="241"/>
        <v>0</v>
      </c>
      <c r="D158" s="294">
        <f t="shared" si="241"/>
        <v>0</v>
      </c>
      <c r="E158" s="294">
        <f t="shared" si="241"/>
        <v>0</v>
      </c>
      <c r="F158" s="294">
        <f t="shared" si="241"/>
        <v>0</v>
      </c>
      <c r="G158" s="294">
        <f t="shared" si="241"/>
        <v>0</v>
      </c>
      <c r="H158" s="294">
        <f t="shared" si="241"/>
        <v>0</v>
      </c>
      <c r="I158" s="294">
        <f t="shared" si="241"/>
        <v>0</v>
      </c>
      <c r="J158" s="160">
        <f t="shared" si="241"/>
        <v>111387.09273</v>
      </c>
      <c r="K158" s="294">
        <f t="shared" si="241"/>
        <v>0</v>
      </c>
      <c r="L158" s="294"/>
      <c r="M158" s="294"/>
      <c r="N158" s="294">
        <f t="shared" si="241"/>
        <v>0</v>
      </c>
      <c r="O158" s="294">
        <f t="shared" si="241"/>
        <v>0</v>
      </c>
      <c r="P158" s="162">
        <f t="shared" si="232"/>
        <v>111387.09273</v>
      </c>
      <c r="Y158" s="107" t="s">
        <v>393</v>
      </c>
      <c r="Z158" s="294">
        <f t="shared" si="242"/>
        <v>0</v>
      </c>
      <c r="AA158" s="294">
        <f t="shared" si="242"/>
        <v>0</v>
      </c>
      <c r="AB158" s="294">
        <f t="shared" si="242"/>
        <v>0</v>
      </c>
      <c r="AC158" s="294">
        <f t="shared" si="242"/>
        <v>0</v>
      </c>
      <c r="AD158" s="294">
        <f t="shared" si="242"/>
        <v>0</v>
      </c>
      <c r="AE158" s="294">
        <f t="shared" si="242"/>
        <v>0</v>
      </c>
      <c r="AF158" s="294">
        <f t="shared" si="242"/>
        <v>0</v>
      </c>
      <c r="AG158" s="160">
        <f t="shared" si="242"/>
        <v>111387.09273</v>
      </c>
      <c r="AH158" s="294">
        <f t="shared" si="242"/>
        <v>0</v>
      </c>
      <c r="AI158" s="294"/>
      <c r="AJ158" s="294"/>
      <c r="AK158" s="294">
        <f t="shared" si="242"/>
        <v>0</v>
      </c>
      <c r="AL158" s="294">
        <f t="shared" si="242"/>
        <v>0</v>
      </c>
      <c r="AM158" s="162">
        <f t="shared" si="234"/>
        <v>111387.09273</v>
      </c>
      <c r="AO158" s="107" t="s">
        <v>393</v>
      </c>
      <c r="AP158" s="294">
        <f>TripMode_inputCBD!R139*Index!$B$2</f>
        <v>0</v>
      </c>
      <c r="AQ158" s="294">
        <f>TripMode_inputCBD!S139*Index!$B$2</f>
        <v>0</v>
      </c>
      <c r="AR158" s="294">
        <f>TripMode_inputCBD!T139*Index!$B$2</f>
        <v>0</v>
      </c>
      <c r="AS158" s="294">
        <f>TripMode_inputCBD!U139*Index!$B$2</f>
        <v>0</v>
      </c>
      <c r="AT158" s="294">
        <f>TripMode_inputCBD!V139*Index!$B$2</f>
        <v>0</v>
      </c>
      <c r="AU158" s="294">
        <f>TripMode_inputCBD!W139*Index!$B$2</f>
        <v>0</v>
      </c>
      <c r="AV158" s="294">
        <f>TripMode_inputCBD!X139*Index!$B$2</f>
        <v>0</v>
      </c>
      <c r="AW158" s="160">
        <f>TripMode_inputCBD!Y139*Index!$B$2</f>
        <v>101265</v>
      </c>
      <c r="AX158" s="294">
        <f>TripMode_inputCBD!AA139*Index!$B$2</f>
        <v>0</v>
      </c>
      <c r="AY158" s="294">
        <f>TripMode_inputCBD!AB139*Index!$B$2</f>
        <v>0</v>
      </c>
      <c r="AZ158" s="294">
        <f>TripMode_inputCBD!AC139*Index!$B$2</f>
        <v>0</v>
      </c>
      <c r="BA158" s="294">
        <f>TripMode_inputCBD!AD139*Index!$B$2</f>
        <v>0</v>
      </c>
      <c r="BB158" s="294">
        <f>TripMode_inputCBD!AE139*Index!$B$2</f>
        <v>0</v>
      </c>
      <c r="BC158" s="162">
        <f t="shared" si="235"/>
        <v>101265</v>
      </c>
      <c r="BE158" s="107" t="s">
        <v>393</v>
      </c>
      <c r="BF158" s="166">
        <f t="shared" si="249"/>
        <v>0</v>
      </c>
      <c r="BG158" s="166">
        <f t="shared" si="249"/>
        <v>0</v>
      </c>
      <c r="BH158" s="166">
        <f t="shared" si="249"/>
        <v>0</v>
      </c>
      <c r="BI158" s="166">
        <f t="shared" si="249"/>
        <v>0</v>
      </c>
      <c r="BJ158" s="166">
        <f t="shared" si="249"/>
        <v>0</v>
      </c>
      <c r="BK158" s="166">
        <f t="shared" si="249"/>
        <v>0</v>
      </c>
      <c r="BL158" s="166">
        <f t="shared" si="249"/>
        <v>0</v>
      </c>
      <c r="BM158" s="166">
        <f t="shared" si="249"/>
        <v>1</v>
      </c>
      <c r="BN158" s="166">
        <f t="shared" si="249"/>
        <v>0</v>
      </c>
      <c r="BO158" s="166">
        <f t="shared" si="249"/>
        <v>0</v>
      </c>
      <c r="BP158" s="166">
        <f t="shared" si="249"/>
        <v>0</v>
      </c>
      <c r="BQ158" s="166">
        <f t="shared" si="249"/>
        <v>0</v>
      </c>
      <c r="BR158" s="166">
        <f t="shared" si="249"/>
        <v>0</v>
      </c>
      <c r="BS158" s="166">
        <f t="shared" si="249"/>
        <v>3.5440179844470059E-2</v>
      </c>
      <c r="BU158" s="107" t="s">
        <v>393</v>
      </c>
      <c r="BV158" s="166">
        <f t="shared" si="250"/>
        <v>0</v>
      </c>
      <c r="BW158" s="166">
        <f t="shared" si="250"/>
        <v>0</v>
      </c>
      <c r="BX158" s="166">
        <f t="shared" si="250"/>
        <v>0</v>
      </c>
      <c r="BY158" s="166">
        <f t="shared" si="250"/>
        <v>0</v>
      </c>
      <c r="BZ158" s="166">
        <f t="shared" si="250"/>
        <v>0</v>
      </c>
      <c r="CA158" s="166">
        <f t="shared" si="250"/>
        <v>0</v>
      </c>
      <c r="CB158" s="166">
        <f t="shared" si="250"/>
        <v>0</v>
      </c>
      <c r="CC158" s="166">
        <f t="shared" si="250"/>
        <v>1</v>
      </c>
      <c r="CD158" s="166">
        <f t="shared" si="250"/>
        <v>0</v>
      </c>
      <c r="CE158" s="166">
        <f t="shared" si="250"/>
        <v>0</v>
      </c>
      <c r="CF158" s="166">
        <f t="shared" si="250"/>
        <v>0</v>
      </c>
      <c r="CG158" s="166">
        <f t="shared" si="250"/>
        <v>0</v>
      </c>
      <c r="CH158" s="166">
        <f t="shared" si="250"/>
        <v>0</v>
      </c>
      <c r="CI158" s="168">
        <f t="shared" si="250"/>
        <v>4.6975351451149394E-2</v>
      </c>
      <c r="CK158" s="107" t="s">
        <v>393</v>
      </c>
      <c r="CL158" s="166"/>
      <c r="CM158" s="166"/>
      <c r="CN158" s="166"/>
      <c r="CO158" s="166"/>
      <c r="CP158" s="166"/>
      <c r="CQ158" s="166"/>
      <c r="CR158" s="166"/>
      <c r="CS158" s="166"/>
      <c r="CT158" s="166"/>
      <c r="CU158" s="166"/>
      <c r="CV158" s="166"/>
      <c r="CW158" s="166"/>
      <c r="CX158" s="166"/>
      <c r="CY158" s="168"/>
      <c r="DA158" s="107" t="s">
        <v>393</v>
      </c>
      <c r="DB158" s="313">
        <f t="shared" si="251"/>
        <v>0</v>
      </c>
      <c r="DC158" s="313">
        <f t="shared" si="251"/>
        <v>0</v>
      </c>
      <c r="DD158" s="313">
        <f t="shared" si="251"/>
        <v>0</v>
      </c>
      <c r="DE158" s="313">
        <f t="shared" si="251"/>
        <v>0</v>
      </c>
      <c r="DF158" s="313">
        <f t="shared" si="251"/>
        <v>0</v>
      </c>
      <c r="DG158" s="313">
        <f t="shared" si="251"/>
        <v>0</v>
      </c>
      <c r="DH158" s="313">
        <f t="shared" si="251"/>
        <v>0</v>
      </c>
      <c r="DI158" s="313">
        <f t="shared" si="251"/>
        <v>0</v>
      </c>
      <c r="DJ158" s="313">
        <f t="shared" si="251"/>
        <v>0</v>
      </c>
      <c r="DK158" s="313">
        <f t="shared" si="251"/>
        <v>0</v>
      </c>
      <c r="DL158" s="313">
        <f t="shared" si="251"/>
        <v>0</v>
      </c>
      <c r="DM158" s="313">
        <f t="shared" si="251"/>
        <v>0</v>
      </c>
      <c r="DN158" s="313">
        <f t="shared" si="251"/>
        <v>0</v>
      </c>
      <c r="DO158" s="168"/>
      <c r="DQ158" s="107" t="s">
        <v>393</v>
      </c>
      <c r="DR158" s="313">
        <v>0</v>
      </c>
      <c r="DS158" s="313">
        <v>0</v>
      </c>
      <c r="DT158" s="313">
        <v>0</v>
      </c>
      <c r="DU158" s="313">
        <v>0</v>
      </c>
      <c r="DV158" s="313">
        <v>0</v>
      </c>
      <c r="DW158" s="313">
        <v>0</v>
      </c>
      <c r="DX158" s="313">
        <v>0</v>
      </c>
      <c r="DY158" s="313">
        <v>0</v>
      </c>
      <c r="DZ158" s="313">
        <v>0</v>
      </c>
      <c r="EA158" s="313">
        <v>0</v>
      </c>
      <c r="EB158" s="313">
        <v>0</v>
      </c>
      <c r="EC158" s="313">
        <v>0</v>
      </c>
      <c r="ED158" s="313">
        <v>0</v>
      </c>
      <c r="EE158" s="168"/>
    </row>
    <row r="159" spans="2:168" x14ac:dyDescent="0.25">
      <c r="B159" s="107" t="s">
        <v>546</v>
      </c>
      <c r="C159" s="294">
        <f t="shared" si="241"/>
        <v>0</v>
      </c>
      <c r="D159" s="294">
        <f t="shared" si="241"/>
        <v>0</v>
      </c>
      <c r="E159" s="294">
        <f t="shared" si="241"/>
        <v>0</v>
      </c>
      <c r="F159" s="294">
        <f t="shared" si="241"/>
        <v>0</v>
      </c>
      <c r="G159" s="294">
        <f t="shared" si="241"/>
        <v>0</v>
      </c>
      <c r="H159" s="294">
        <f t="shared" si="241"/>
        <v>0</v>
      </c>
      <c r="I159" s="294">
        <f t="shared" si="241"/>
        <v>0</v>
      </c>
      <c r="J159" s="294">
        <f t="shared" si="241"/>
        <v>0</v>
      </c>
      <c r="K159" s="160">
        <f t="shared" si="241"/>
        <v>606065.49854000006</v>
      </c>
      <c r="L159" s="294"/>
      <c r="M159" s="294"/>
      <c r="N159" s="294">
        <f t="shared" si="241"/>
        <v>0</v>
      </c>
      <c r="O159" s="294">
        <f t="shared" si="241"/>
        <v>0</v>
      </c>
      <c r="P159" s="162">
        <f t="shared" si="232"/>
        <v>606065.49854000006</v>
      </c>
      <c r="U159" s="29">
        <f>+K159/$P159*HIS_vs_OBS!$D$20</f>
        <v>581029.0759982157</v>
      </c>
      <c r="V159" s="29"/>
      <c r="W159" s="29"/>
      <c r="Y159" s="107" t="s">
        <v>546</v>
      </c>
      <c r="Z159" s="294">
        <f t="shared" si="242"/>
        <v>0</v>
      </c>
      <c r="AA159" s="294">
        <f t="shared" si="242"/>
        <v>0</v>
      </c>
      <c r="AB159" s="294">
        <f t="shared" si="242"/>
        <v>0</v>
      </c>
      <c r="AC159" s="294">
        <f t="shared" si="242"/>
        <v>0</v>
      </c>
      <c r="AD159" s="294">
        <f t="shared" si="242"/>
        <v>0</v>
      </c>
      <c r="AE159" s="294">
        <f t="shared" si="242"/>
        <v>0</v>
      </c>
      <c r="AF159" s="294">
        <f t="shared" si="242"/>
        <v>0</v>
      </c>
      <c r="AG159" s="294">
        <f t="shared" si="242"/>
        <v>0</v>
      </c>
      <c r="AH159" s="160">
        <f t="shared" si="242"/>
        <v>581029.07599821559</v>
      </c>
      <c r="AI159" s="294"/>
      <c r="AJ159" s="294"/>
      <c r="AK159" s="294">
        <f t="shared" si="242"/>
        <v>0</v>
      </c>
      <c r="AL159" s="294">
        <f t="shared" si="242"/>
        <v>0</v>
      </c>
      <c r="AM159" s="162">
        <f t="shared" si="234"/>
        <v>581029.07599821559</v>
      </c>
      <c r="AO159" s="107" t="s">
        <v>395</v>
      </c>
      <c r="AP159" s="294">
        <f>TripMode_inputCBD!R141*Index!$B$2</f>
        <v>0</v>
      </c>
      <c r="AQ159" s="294">
        <f>TripMode_inputCBD!S141*Index!$B$2</f>
        <v>0</v>
      </c>
      <c r="AR159" s="294">
        <f>TripMode_inputCBD!T141*Index!$B$2</f>
        <v>0</v>
      </c>
      <c r="AS159" s="294">
        <f>TripMode_inputCBD!U141*Index!$B$2</f>
        <v>0</v>
      </c>
      <c r="AT159" s="294">
        <f>TripMode_inputCBD!V141*Index!$B$2</f>
        <v>0</v>
      </c>
      <c r="AU159" s="294">
        <f>TripMode_inputCBD!W141*Index!$B$2</f>
        <v>0</v>
      </c>
      <c r="AV159" s="294">
        <f>TripMode_inputCBD!X141*Index!$B$2</f>
        <v>0</v>
      </c>
      <c r="AW159" s="294">
        <f>TripMode_inputCBD!Y141*Index!$B$2</f>
        <v>0</v>
      </c>
      <c r="AX159" s="160">
        <f>TripMode_inputCBD!AA141*Index!$B$2</f>
        <v>383895</v>
      </c>
      <c r="AY159" s="160">
        <f>TripMode_inputCBD!AB141*Index!$B$2</f>
        <v>0</v>
      </c>
      <c r="AZ159" s="160">
        <f>TripMode_inputCBD!AC141*Index!$B$2</f>
        <v>0</v>
      </c>
      <c r="BA159" s="294">
        <f>TripMode_inputCBD!AD141*Index!$B$2</f>
        <v>0</v>
      </c>
      <c r="BB159" s="294">
        <f>TripMode_inputCBD!AE141*Index!$B$2</f>
        <v>0</v>
      </c>
      <c r="BC159" s="162">
        <f t="shared" si="235"/>
        <v>383895</v>
      </c>
      <c r="BE159" s="107" t="s">
        <v>395</v>
      </c>
      <c r="BF159" s="166">
        <f t="shared" si="249"/>
        <v>0</v>
      </c>
      <c r="BG159" s="166">
        <f t="shared" si="249"/>
        <v>0</v>
      </c>
      <c r="BH159" s="166">
        <f t="shared" si="249"/>
        <v>0</v>
      </c>
      <c r="BI159" s="166">
        <f t="shared" si="249"/>
        <v>0</v>
      </c>
      <c r="BJ159" s="166">
        <f t="shared" si="249"/>
        <v>0</v>
      </c>
      <c r="BK159" s="166">
        <f t="shared" si="249"/>
        <v>0</v>
      </c>
      <c r="BL159" s="166">
        <f t="shared" si="249"/>
        <v>0</v>
      </c>
      <c r="BM159" s="166">
        <f t="shared" si="249"/>
        <v>0</v>
      </c>
      <c r="BN159" s="166">
        <f t="shared" si="249"/>
        <v>0.70790042187937818</v>
      </c>
      <c r="BO159" s="166">
        <f t="shared" si="249"/>
        <v>0</v>
      </c>
      <c r="BP159" s="166">
        <f t="shared" si="249"/>
        <v>0</v>
      </c>
      <c r="BQ159" s="166">
        <f t="shared" si="249"/>
        <v>0</v>
      </c>
      <c r="BR159" s="166">
        <f t="shared" si="249"/>
        <v>0</v>
      </c>
      <c r="BS159" s="166">
        <f t="shared" si="249"/>
        <v>0.18486679599544856</v>
      </c>
      <c r="BU159" s="107" t="s">
        <v>395</v>
      </c>
      <c r="BV159" s="166">
        <f t="shared" si="250"/>
        <v>0</v>
      </c>
      <c r="BW159" s="166">
        <f t="shared" si="250"/>
        <v>0</v>
      </c>
      <c r="BX159" s="166">
        <f t="shared" si="250"/>
        <v>0</v>
      </c>
      <c r="BY159" s="166">
        <f t="shared" si="250"/>
        <v>0</v>
      </c>
      <c r="BZ159" s="166">
        <f t="shared" si="250"/>
        <v>0</v>
      </c>
      <c r="CA159" s="166">
        <f t="shared" si="250"/>
        <v>0</v>
      </c>
      <c r="CB159" s="166">
        <f t="shared" si="250"/>
        <v>0</v>
      </c>
      <c r="CC159" s="166">
        <f t="shared" si="250"/>
        <v>0</v>
      </c>
      <c r="CD159" s="166">
        <f t="shared" si="250"/>
        <v>0.69599151528336778</v>
      </c>
      <c r="CE159" s="166">
        <f t="shared" si="250"/>
        <v>0</v>
      </c>
      <c r="CF159" s="166">
        <f t="shared" si="250"/>
        <v>0</v>
      </c>
      <c r="CG159" s="166">
        <f t="shared" si="250"/>
        <v>0</v>
      </c>
      <c r="CH159" s="166">
        <f t="shared" si="250"/>
        <v>0</v>
      </c>
      <c r="CI159" s="168">
        <f t="shared" si="250"/>
        <v>0.17808327206180807</v>
      </c>
      <c r="CK159" s="107" t="s">
        <v>395</v>
      </c>
      <c r="CL159" s="166" t="str">
        <f t="shared" ref="CL159:CO164" si="252">IF(OR(ISNA(BF159),BF159=0,BF159=""),"",(BV159-BF159)/BF159)</f>
        <v/>
      </c>
      <c r="CM159" s="166" t="str">
        <f t="shared" si="252"/>
        <v/>
      </c>
      <c r="CN159" s="166" t="str">
        <f t="shared" si="252"/>
        <v/>
      </c>
      <c r="CO159" s="166" t="str">
        <f t="shared" si="252"/>
        <v/>
      </c>
      <c r="CP159" s="166"/>
      <c r="CQ159" s="166"/>
      <c r="CR159" s="166"/>
      <c r="CS159" s="166"/>
      <c r="CT159" s="166">
        <f t="shared" ref="CT159:CY164" si="253">IF(OR(ISNA(BN159),BN159=0,BN159=""),"",(CD159-BN159)/BN159)</f>
        <v>-1.6822855627623298E-2</v>
      </c>
      <c r="CU159" s="166" t="str">
        <f t="shared" si="253"/>
        <v/>
      </c>
      <c r="CV159" s="166" t="str">
        <f t="shared" si="253"/>
        <v/>
      </c>
      <c r="CW159" s="166" t="str">
        <f t="shared" si="253"/>
        <v/>
      </c>
      <c r="CX159" s="166" t="str">
        <f t="shared" si="253"/>
        <v/>
      </c>
      <c r="CY159" s="168">
        <f t="shared" si="253"/>
        <v>-3.6694117497484489E-2</v>
      </c>
      <c r="DA159" s="107" t="s">
        <v>395</v>
      </c>
      <c r="DB159" s="313">
        <f t="shared" si="251"/>
        <v>0</v>
      </c>
      <c r="DC159" s="313">
        <f t="shared" si="251"/>
        <v>0</v>
      </c>
      <c r="DD159" s="313">
        <f t="shared" si="251"/>
        <v>0</v>
      </c>
      <c r="DE159" s="313">
        <f t="shared" si="251"/>
        <v>0</v>
      </c>
      <c r="DF159" s="313">
        <f t="shared" si="251"/>
        <v>0</v>
      </c>
      <c r="DG159" s="313">
        <f t="shared" si="251"/>
        <v>0</v>
      </c>
      <c r="DH159" s="313">
        <f t="shared" si="251"/>
        <v>0</v>
      </c>
      <c r="DI159" s="313">
        <f t="shared" si="251"/>
        <v>0</v>
      </c>
      <c r="DJ159" s="313">
        <f t="shared" si="251"/>
        <v>1.6965967163672664E-2</v>
      </c>
      <c r="DK159" s="313">
        <f t="shared" si="251"/>
        <v>0</v>
      </c>
      <c r="DL159" s="313">
        <f t="shared" si="251"/>
        <v>0</v>
      </c>
      <c r="DM159" s="313">
        <f t="shared" si="251"/>
        <v>0</v>
      </c>
      <c r="DN159" s="313">
        <f t="shared" si="251"/>
        <v>0</v>
      </c>
      <c r="DO159" s="168"/>
      <c r="DQ159" s="107" t="s">
        <v>395</v>
      </c>
      <c r="DR159" s="313">
        <v>0</v>
      </c>
      <c r="DS159" s="313">
        <v>0</v>
      </c>
      <c r="DT159" s="313">
        <v>0</v>
      </c>
      <c r="DU159" s="313">
        <v>0</v>
      </c>
      <c r="DV159" s="313">
        <v>0</v>
      </c>
      <c r="DW159" s="313">
        <v>0</v>
      </c>
      <c r="DX159" s="313">
        <v>0</v>
      </c>
      <c r="DY159" s="313">
        <v>0</v>
      </c>
      <c r="DZ159" s="313">
        <v>0</v>
      </c>
      <c r="EA159" s="313">
        <v>0</v>
      </c>
      <c r="EB159" s="313">
        <v>0</v>
      </c>
      <c r="EC159" s="313">
        <v>0</v>
      </c>
      <c r="ED159" s="313">
        <v>0</v>
      </c>
      <c r="EE159" s="168"/>
    </row>
    <row r="160" spans="2:168" x14ac:dyDescent="0.25">
      <c r="B160" s="107" t="s">
        <v>396</v>
      </c>
      <c r="C160" s="294">
        <f t="shared" si="241"/>
        <v>0</v>
      </c>
      <c r="D160" s="294">
        <f t="shared" si="241"/>
        <v>0</v>
      </c>
      <c r="E160" s="294">
        <f t="shared" si="241"/>
        <v>0</v>
      </c>
      <c r="F160" s="294">
        <f t="shared" si="241"/>
        <v>0</v>
      </c>
      <c r="G160" s="294">
        <f t="shared" si="241"/>
        <v>0</v>
      </c>
      <c r="H160" s="294">
        <f t="shared" si="241"/>
        <v>0</v>
      </c>
      <c r="I160" s="294">
        <f t="shared" si="241"/>
        <v>0</v>
      </c>
      <c r="J160" s="294">
        <f t="shared" si="241"/>
        <v>0</v>
      </c>
      <c r="K160" s="294">
        <f t="shared" si="241"/>
        <v>0</v>
      </c>
      <c r="L160" s="160">
        <f t="shared" si="241"/>
        <v>59177.110569999997</v>
      </c>
      <c r="M160" s="294">
        <f t="shared" si="241"/>
        <v>0</v>
      </c>
      <c r="N160" s="294">
        <f t="shared" si="241"/>
        <v>0</v>
      </c>
      <c r="O160" s="294">
        <f t="shared" si="241"/>
        <v>0</v>
      </c>
      <c r="P160" s="162">
        <f t="shared" si="232"/>
        <v>59177.110569999997</v>
      </c>
      <c r="U160" s="29"/>
      <c r="V160" s="29">
        <f>HIS_vs_OBS!$D$21</f>
        <v>31285.98560319492</v>
      </c>
      <c r="W160" s="29"/>
      <c r="Y160" s="107" t="s">
        <v>396</v>
      </c>
      <c r="Z160" s="294">
        <f t="shared" si="242"/>
        <v>0</v>
      </c>
      <c r="AA160" s="294">
        <f t="shared" si="242"/>
        <v>0</v>
      </c>
      <c r="AB160" s="294">
        <f t="shared" si="242"/>
        <v>0</v>
      </c>
      <c r="AC160" s="294">
        <f t="shared" si="242"/>
        <v>0</v>
      </c>
      <c r="AD160" s="294">
        <f t="shared" si="242"/>
        <v>0</v>
      </c>
      <c r="AE160" s="294">
        <f t="shared" si="242"/>
        <v>0</v>
      </c>
      <c r="AF160" s="294">
        <f t="shared" si="242"/>
        <v>0</v>
      </c>
      <c r="AG160" s="294">
        <f t="shared" si="242"/>
        <v>0</v>
      </c>
      <c r="AH160" s="294">
        <f t="shared" si="242"/>
        <v>0</v>
      </c>
      <c r="AI160" s="160">
        <f t="shared" si="242"/>
        <v>31285.98560319492</v>
      </c>
      <c r="AJ160" s="294">
        <f t="shared" si="242"/>
        <v>0</v>
      </c>
      <c r="AK160" s="294">
        <f t="shared" si="242"/>
        <v>0</v>
      </c>
      <c r="AL160" s="294">
        <f t="shared" si="242"/>
        <v>0</v>
      </c>
      <c r="AM160" s="162">
        <f t="shared" si="234"/>
        <v>31285.98560319492</v>
      </c>
      <c r="AO160" s="107" t="s">
        <v>396</v>
      </c>
      <c r="AP160" s="294">
        <f>TripMode_inputCBD!R142*Index!$B$2</f>
        <v>0</v>
      </c>
      <c r="AQ160" s="294">
        <f>TripMode_inputCBD!S142*Index!$B$2</f>
        <v>0</v>
      </c>
      <c r="AR160" s="294">
        <f>TripMode_inputCBD!T142*Index!$B$2</f>
        <v>0</v>
      </c>
      <c r="AS160" s="294">
        <f>TripMode_inputCBD!U142*Index!$B$2</f>
        <v>0</v>
      </c>
      <c r="AT160" s="294">
        <f>TripMode_inputCBD!V142*Index!$B$2</f>
        <v>0</v>
      </c>
      <c r="AU160" s="294">
        <f>TripMode_inputCBD!W142*Index!$B$2</f>
        <v>0</v>
      </c>
      <c r="AV160" s="294">
        <f>TripMode_inputCBD!X142*Index!$B$2</f>
        <v>0</v>
      </c>
      <c r="AW160" s="294">
        <f>TripMode_inputCBD!Y142*Index!$B$2</f>
        <v>0</v>
      </c>
      <c r="AX160" s="294">
        <f>TripMode_inputCBD!AA142*Index!$B$2</f>
        <v>0</v>
      </c>
      <c r="AY160" s="160">
        <f>TripMode_inputCBD!AB142*Index!$B$2</f>
        <v>15040</v>
      </c>
      <c r="AZ160" s="294">
        <f>TripMode_inputCBD!AC142*Index!$B$2</f>
        <v>0</v>
      </c>
      <c r="BA160" s="294">
        <f>TripMode_inputCBD!AD142*Index!$B$2</f>
        <v>0</v>
      </c>
      <c r="BB160" s="294">
        <f>TripMode_inputCBD!AE142*Index!$B$2</f>
        <v>0</v>
      </c>
      <c r="BC160" s="162">
        <f t="shared" si="235"/>
        <v>15040</v>
      </c>
      <c r="BE160" s="107" t="s">
        <v>396</v>
      </c>
      <c r="BF160" s="166">
        <f t="shared" si="249"/>
        <v>0</v>
      </c>
      <c r="BG160" s="166">
        <f t="shared" si="249"/>
        <v>0</v>
      </c>
      <c r="BH160" s="166">
        <f t="shared" si="249"/>
        <v>0</v>
      </c>
      <c r="BI160" s="166">
        <f t="shared" si="249"/>
        <v>0</v>
      </c>
      <c r="BJ160" s="166">
        <f t="shared" si="249"/>
        <v>0</v>
      </c>
      <c r="BK160" s="166">
        <f t="shared" si="249"/>
        <v>0</v>
      </c>
      <c r="BL160" s="166">
        <f t="shared" si="249"/>
        <v>0</v>
      </c>
      <c r="BM160" s="166">
        <f t="shared" si="249"/>
        <v>0</v>
      </c>
      <c r="BN160" s="166">
        <f t="shared" si="249"/>
        <v>0</v>
      </c>
      <c r="BO160" s="166">
        <f t="shared" si="249"/>
        <v>1</v>
      </c>
      <c r="BP160" s="166">
        <f t="shared" si="249"/>
        <v>0</v>
      </c>
      <c r="BQ160" s="166">
        <f t="shared" si="249"/>
        <v>0</v>
      </c>
      <c r="BR160" s="166">
        <f t="shared" si="249"/>
        <v>0</v>
      </c>
      <c r="BS160" s="166">
        <f t="shared" si="249"/>
        <v>9.9543037636900273E-3</v>
      </c>
      <c r="BU160" s="107" t="s">
        <v>396</v>
      </c>
      <c r="BV160" s="166">
        <f t="shared" si="250"/>
        <v>0</v>
      </c>
      <c r="BW160" s="166">
        <f t="shared" si="250"/>
        <v>0</v>
      </c>
      <c r="BX160" s="166">
        <f t="shared" si="250"/>
        <v>0</v>
      </c>
      <c r="BY160" s="166">
        <f t="shared" si="250"/>
        <v>0</v>
      </c>
      <c r="BZ160" s="166">
        <f t="shared" si="250"/>
        <v>0</v>
      </c>
      <c r="CA160" s="166">
        <f t="shared" si="250"/>
        <v>0</v>
      </c>
      <c r="CB160" s="166">
        <f t="shared" si="250"/>
        <v>0</v>
      </c>
      <c r="CC160" s="166">
        <f t="shared" si="250"/>
        <v>0</v>
      </c>
      <c r="CD160" s="166">
        <f t="shared" si="250"/>
        <v>0</v>
      </c>
      <c r="CE160" s="166">
        <f t="shared" si="250"/>
        <v>1</v>
      </c>
      <c r="CF160" s="166">
        <f t="shared" si="250"/>
        <v>0</v>
      </c>
      <c r="CG160" s="166">
        <f t="shared" si="250"/>
        <v>0</v>
      </c>
      <c r="CH160" s="166">
        <f t="shared" si="250"/>
        <v>0</v>
      </c>
      <c r="CI160" s="168">
        <f t="shared" si="250"/>
        <v>6.9768358843162676E-3</v>
      </c>
      <c r="CK160" s="107" t="s">
        <v>396</v>
      </c>
      <c r="CL160" s="166" t="str">
        <f t="shared" si="252"/>
        <v/>
      </c>
      <c r="CM160" s="166" t="str">
        <f t="shared" si="252"/>
        <v/>
      </c>
      <c r="CN160" s="166" t="str">
        <f t="shared" si="252"/>
        <v/>
      </c>
      <c r="CO160" s="166" t="str">
        <f t="shared" si="252"/>
        <v/>
      </c>
      <c r="CP160" s="166"/>
      <c r="CQ160" s="166"/>
      <c r="CR160" s="166"/>
      <c r="CS160" s="166"/>
      <c r="CT160" s="166" t="str">
        <f t="shared" si="253"/>
        <v/>
      </c>
      <c r="CU160" s="166">
        <f t="shared" si="253"/>
        <v>0</v>
      </c>
      <c r="CV160" s="166" t="str">
        <f t="shared" si="253"/>
        <v/>
      </c>
      <c r="CW160" s="166" t="str">
        <f t="shared" si="253"/>
        <v/>
      </c>
      <c r="CX160" s="166" t="str">
        <f t="shared" si="253"/>
        <v/>
      </c>
      <c r="CY160" s="168">
        <f t="shared" si="253"/>
        <v>-0.29911362462481478</v>
      </c>
      <c r="DA160" s="107" t="s">
        <v>396</v>
      </c>
      <c r="DB160" s="313">
        <f t="shared" si="251"/>
        <v>0</v>
      </c>
      <c r="DC160" s="313">
        <f t="shared" si="251"/>
        <v>0</v>
      </c>
      <c r="DD160" s="313">
        <f t="shared" si="251"/>
        <v>0</v>
      </c>
      <c r="DE160" s="313">
        <f t="shared" si="251"/>
        <v>0</v>
      </c>
      <c r="DF160" s="313">
        <f t="shared" si="251"/>
        <v>0</v>
      </c>
      <c r="DG160" s="313">
        <f t="shared" si="251"/>
        <v>0</v>
      </c>
      <c r="DH160" s="313">
        <f t="shared" si="251"/>
        <v>0</v>
      </c>
      <c r="DI160" s="313">
        <f t="shared" si="251"/>
        <v>0</v>
      </c>
      <c r="DJ160" s="313">
        <f t="shared" si="251"/>
        <v>0</v>
      </c>
      <c r="DK160" s="313">
        <f t="shared" si="251"/>
        <v>0</v>
      </c>
      <c r="DL160" s="313">
        <f t="shared" si="251"/>
        <v>0</v>
      </c>
      <c r="DM160" s="313">
        <f t="shared" si="251"/>
        <v>0</v>
      </c>
      <c r="DN160" s="313">
        <f t="shared" si="251"/>
        <v>0</v>
      </c>
      <c r="DO160" s="168"/>
      <c r="DQ160" s="107" t="s">
        <v>396</v>
      </c>
      <c r="DR160" s="313">
        <v>0</v>
      </c>
      <c r="DS160" s="313">
        <v>0</v>
      </c>
      <c r="DT160" s="313">
        <v>0</v>
      </c>
      <c r="DU160" s="313">
        <v>0</v>
      </c>
      <c r="DV160" s="313">
        <v>0</v>
      </c>
      <c r="DW160" s="313">
        <v>0</v>
      </c>
      <c r="DX160" s="313">
        <v>0</v>
      </c>
      <c r="DY160" s="313">
        <v>0</v>
      </c>
      <c r="DZ160" s="313">
        <v>0</v>
      </c>
      <c r="EA160" s="313">
        <v>0</v>
      </c>
      <c r="EB160" s="313">
        <v>0</v>
      </c>
      <c r="EC160" s="313">
        <v>0</v>
      </c>
      <c r="ED160" s="313">
        <v>0</v>
      </c>
      <c r="EE160" s="168"/>
    </row>
    <row r="161" spans="2:168" x14ac:dyDescent="0.25">
      <c r="B161" s="107" t="s">
        <v>397</v>
      </c>
      <c r="C161" s="294">
        <f t="shared" si="241"/>
        <v>0</v>
      </c>
      <c r="D161" s="294">
        <f t="shared" si="241"/>
        <v>0</v>
      </c>
      <c r="E161" s="294">
        <f t="shared" si="241"/>
        <v>0</v>
      </c>
      <c r="F161" s="294">
        <f t="shared" si="241"/>
        <v>0</v>
      </c>
      <c r="G161" s="294">
        <f t="shared" si="241"/>
        <v>0</v>
      </c>
      <c r="H161" s="294">
        <f t="shared" si="241"/>
        <v>0</v>
      </c>
      <c r="I161" s="294">
        <f t="shared" si="241"/>
        <v>0</v>
      </c>
      <c r="J161" s="294">
        <f t="shared" si="241"/>
        <v>0</v>
      </c>
      <c r="K161" s="294">
        <f t="shared" si="241"/>
        <v>0</v>
      </c>
      <c r="L161" s="294">
        <f t="shared" si="241"/>
        <v>0</v>
      </c>
      <c r="M161" s="160">
        <f t="shared" si="241"/>
        <v>242025.63356999995</v>
      </c>
      <c r="N161" s="294">
        <f t="shared" si="241"/>
        <v>0</v>
      </c>
      <c r="O161" s="294">
        <f t="shared" si="241"/>
        <v>0</v>
      </c>
      <c r="P161" s="162">
        <f t="shared" si="232"/>
        <v>242025.63356999995</v>
      </c>
      <c r="U161" s="29"/>
      <c r="V161" s="29"/>
      <c r="W161" s="29">
        <f>HIS_vs_OBS!$D$22</f>
        <v>92190.638115678361</v>
      </c>
      <c r="Y161" s="107" t="s">
        <v>397</v>
      </c>
      <c r="Z161" s="294">
        <f t="shared" si="242"/>
        <v>0</v>
      </c>
      <c r="AA161" s="294">
        <f t="shared" si="242"/>
        <v>0</v>
      </c>
      <c r="AB161" s="294">
        <f t="shared" si="242"/>
        <v>0</v>
      </c>
      <c r="AC161" s="294">
        <f t="shared" si="242"/>
        <v>0</v>
      </c>
      <c r="AD161" s="294">
        <f t="shared" si="242"/>
        <v>0</v>
      </c>
      <c r="AE161" s="294">
        <f t="shared" si="242"/>
        <v>0</v>
      </c>
      <c r="AF161" s="294">
        <f t="shared" si="242"/>
        <v>0</v>
      </c>
      <c r="AG161" s="294">
        <f t="shared" si="242"/>
        <v>0</v>
      </c>
      <c r="AH161" s="294">
        <f t="shared" si="242"/>
        <v>0</v>
      </c>
      <c r="AI161" s="294">
        <f t="shared" si="242"/>
        <v>0</v>
      </c>
      <c r="AJ161" s="160">
        <f t="shared" si="242"/>
        <v>92190.63811567839</v>
      </c>
      <c r="AK161" s="294">
        <f t="shared" si="242"/>
        <v>0</v>
      </c>
      <c r="AL161" s="294">
        <f t="shared" si="242"/>
        <v>0</v>
      </c>
      <c r="AM161" s="162">
        <f t="shared" si="234"/>
        <v>92190.63811567839</v>
      </c>
      <c r="AO161" s="107" t="s">
        <v>397</v>
      </c>
      <c r="AP161" s="294">
        <f>TripMode_inputCBD!R143*Index!$B$2</f>
        <v>0</v>
      </c>
      <c r="AQ161" s="294">
        <f>TripMode_inputCBD!S143*Index!$B$2</f>
        <v>0</v>
      </c>
      <c r="AR161" s="294">
        <f>TripMode_inputCBD!T143*Index!$B$2</f>
        <v>0</v>
      </c>
      <c r="AS161" s="294">
        <f>TripMode_inputCBD!U143*Index!$B$2</f>
        <v>0</v>
      </c>
      <c r="AT161" s="294">
        <f>TripMode_inputCBD!V143*Index!$B$2</f>
        <v>0</v>
      </c>
      <c r="AU161" s="294">
        <f>TripMode_inputCBD!W143*Index!$B$2</f>
        <v>0</v>
      </c>
      <c r="AV161" s="294">
        <f>TripMode_inputCBD!X143*Index!$B$2</f>
        <v>0</v>
      </c>
      <c r="AW161" s="294">
        <f>TripMode_inputCBD!Y143*Index!$B$2</f>
        <v>0</v>
      </c>
      <c r="AX161" s="294">
        <f>TripMode_inputCBD!AA143*Index!$B$2</f>
        <v>0</v>
      </c>
      <c r="AY161" s="294">
        <f>TripMode_inputCBD!AB143*Index!$B$2</f>
        <v>0</v>
      </c>
      <c r="AZ161" s="160">
        <f>TripMode_inputCBD!AC143*Index!$B$2</f>
        <v>33425</v>
      </c>
      <c r="BA161" s="294">
        <f>TripMode_inputCBD!AD143*Index!$B$2</f>
        <v>0</v>
      </c>
      <c r="BB161" s="294">
        <f>TripMode_inputCBD!AE143*Index!$B$2</f>
        <v>0</v>
      </c>
      <c r="BC161" s="162">
        <f t="shared" si="235"/>
        <v>33425</v>
      </c>
      <c r="BE161" s="107" t="s">
        <v>397</v>
      </c>
      <c r="BF161" s="166">
        <f t="shared" si="249"/>
        <v>0</v>
      </c>
      <c r="BG161" s="166">
        <f t="shared" si="249"/>
        <v>0</v>
      </c>
      <c r="BH161" s="166">
        <f t="shared" si="249"/>
        <v>0</v>
      </c>
      <c r="BI161" s="166">
        <f t="shared" si="249"/>
        <v>0</v>
      </c>
      <c r="BJ161" s="166">
        <f t="shared" si="249"/>
        <v>0</v>
      </c>
      <c r="BK161" s="166">
        <f t="shared" si="249"/>
        <v>0</v>
      </c>
      <c r="BL161" s="166">
        <f t="shared" si="249"/>
        <v>0</v>
      </c>
      <c r="BM161" s="166">
        <f t="shared" si="249"/>
        <v>0</v>
      </c>
      <c r="BN161" s="166">
        <f t="shared" si="249"/>
        <v>0</v>
      </c>
      <c r="BO161" s="166">
        <f t="shared" si="249"/>
        <v>0</v>
      </c>
      <c r="BP161" s="166">
        <f t="shared" si="249"/>
        <v>1</v>
      </c>
      <c r="BQ161" s="166">
        <f t="shared" si="249"/>
        <v>0</v>
      </c>
      <c r="BR161" s="166">
        <f t="shared" si="249"/>
        <v>0</v>
      </c>
      <c r="BS161" s="166">
        <f t="shared" si="249"/>
        <v>2.9332418278622742E-2</v>
      </c>
      <c r="BU161" s="107" t="s">
        <v>397</v>
      </c>
      <c r="BV161" s="166">
        <f t="shared" si="250"/>
        <v>0</v>
      </c>
      <c r="BW161" s="166">
        <f t="shared" si="250"/>
        <v>0</v>
      </c>
      <c r="BX161" s="166">
        <f t="shared" si="250"/>
        <v>0</v>
      </c>
      <c r="BY161" s="166">
        <f t="shared" si="250"/>
        <v>0</v>
      </c>
      <c r="BZ161" s="166">
        <f t="shared" si="250"/>
        <v>0</v>
      </c>
      <c r="CA161" s="166">
        <f t="shared" si="250"/>
        <v>0</v>
      </c>
      <c r="CB161" s="166">
        <f t="shared" si="250"/>
        <v>0</v>
      </c>
      <c r="CC161" s="166">
        <f t="shared" si="250"/>
        <v>0</v>
      </c>
      <c r="CD161" s="166">
        <f t="shared" si="250"/>
        <v>0</v>
      </c>
      <c r="CE161" s="166">
        <f t="shared" si="250"/>
        <v>0</v>
      </c>
      <c r="CF161" s="166">
        <f t="shared" si="250"/>
        <v>1</v>
      </c>
      <c r="CG161" s="166">
        <f t="shared" si="250"/>
        <v>0</v>
      </c>
      <c r="CH161" s="166">
        <f t="shared" si="250"/>
        <v>0</v>
      </c>
      <c r="CI161" s="168">
        <f t="shared" si="250"/>
        <v>1.5505368313382397E-2</v>
      </c>
      <c r="CK161" s="107" t="s">
        <v>397</v>
      </c>
      <c r="CL161" s="166" t="str">
        <f t="shared" si="252"/>
        <v/>
      </c>
      <c r="CM161" s="166" t="str">
        <f t="shared" si="252"/>
        <v/>
      </c>
      <c r="CN161" s="166" t="str">
        <f t="shared" si="252"/>
        <v/>
      </c>
      <c r="CO161" s="166" t="str">
        <f t="shared" si="252"/>
        <v/>
      </c>
      <c r="CP161" s="166"/>
      <c r="CQ161" s="166"/>
      <c r="CR161" s="166"/>
      <c r="CS161" s="166"/>
      <c r="CT161" s="166" t="str">
        <f t="shared" si="253"/>
        <v/>
      </c>
      <c r="CU161" s="166" t="str">
        <f t="shared" si="253"/>
        <v/>
      </c>
      <c r="CV161" s="166">
        <f t="shared" si="253"/>
        <v>0</v>
      </c>
      <c r="CW161" s="166" t="str">
        <f t="shared" si="253"/>
        <v/>
      </c>
      <c r="CX161" s="166" t="str">
        <f t="shared" si="253"/>
        <v/>
      </c>
      <c r="CY161" s="168">
        <f t="shared" si="253"/>
        <v>-0.47139140843758526</v>
      </c>
      <c r="DA161" s="107" t="s">
        <v>397</v>
      </c>
      <c r="DB161" s="313">
        <f t="shared" si="251"/>
        <v>0</v>
      </c>
      <c r="DC161" s="313">
        <f t="shared" si="251"/>
        <v>0</v>
      </c>
      <c r="DD161" s="313">
        <f t="shared" si="251"/>
        <v>0</v>
      </c>
      <c r="DE161" s="313">
        <f t="shared" si="251"/>
        <v>0</v>
      </c>
      <c r="DF161" s="313">
        <f t="shared" si="251"/>
        <v>0</v>
      </c>
      <c r="DG161" s="313">
        <f t="shared" si="251"/>
        <v>0</v>
      </c>
      <c r="DH161" s="313">
        <f t="shared" si="251"/>
        <v>0</v>
      </c>
      <c r="DI161" s="313">
        <f t="shared" si="251"/>
        <v>0</v>
      </c>
      <c r="DJ161" s="313">
        <f t="shared" si="251"/>
        <v>0</v>
      </c>
      <c r="DK161" s="313">
        <f t="shared" si="251"/>
        <v>0</v>
      </c>
      <c r="DL161" s="313">
        <f t="shared" si="251"/>
        <v>0</v>
      </c>
      <c r="DM161" s="313">
        <f t="shared" si="251"/>
        <v>0</v>
      </c>
      <c r="DN161" s="313">
        <f t="shared" si="251"/>
        <v>0</v>
      </c>
      <c r="DO161" s="168"/>
      <c r="DQ161" s="107" t="s">
        <v>397</v>
      </c>
      <c r="DR161" s="313">
        <v>0</v>
      </c>
      <c r="DS161" s="313">
        <v>0</v>
      </c>
      <c r="DT161" s="313">
        <v>0</v>
      </c>
      <c r="DU161" s="313">
        <v>0</v>
      </c>
      <c r="DV161" s="313">
        <v>0</v>
      </c>
      <c r="DW161" s="313">
        <v>0</v>
      </c>
      <c r="DX161" s="313">
        <v>0</v>
      </c>
      <c r="DY161" s="313">
        <v>0</v>
      </c>
      <c r="DZ161" s="313">
        <v>0</v>
      </c>
      <c r="EA161" s="313">
        <v>0</v>
      </c>
      <c r="EB161" s="313">
        <v>0</v>
      </c>
      <c r="EC161" s="313">
        <v>0</v>
      </c>
      <c r="ED161" s="313">
        <v>0</v>
      </c>
      <c r="EE161" s="168"/>
    </row>
    <row r="162" spans="2:168" x14ac:dyDescent="0.25">
      <c r="B162" s="107" t="s">
        <v>398</v>
      </c>
      <c r="C162" s="294">
        <f t="shared" si="241"/>
        <v>0</v>
      </c>
      <c r="D162" s="294">
        <f t="shared" si="241"/>
        <v>0</v>
      </c>
      <c r="E162" s="294">
        <f t="shared" si="241"/>
        <v>0</v>
      </c>
      <c r="F162" s="294">
        <f t="shared" si="241"/>
        <v>0</v>
      </c>
      <c r="G162" s="294">
        <f t="shared" si="241"/>
        <v>0</v>
      </c>
      <c r="H162" s="294">
        <f t="shared" si="241"/>
        <v>0</v>
      </c>
      <c r="I162" s="294">
        <f t="shared" si="241"/>
        <v>0</v>
      </c>
      <c r="J162" s="294">
        <f t="shared" si="241"/>
        <v>0</v>
      </c>
      <c r="K162" s="160">
        <f t="shared" si="241"/>
        <v>10296.55198</v>
      </c>
      <c r="L162" s="160">
        <f t="shared" si="241"/>
        <v>0</v>
      </c>
      <c r="M162" s="160">
        <f t="shared" si="241"/>
        <v>0</v>
      </c>
      <c r="N162" s="160">
        <f t="shared" si="241"/>
        <v>14259.69923</v>
      </c>
      <c r="O162" s="294">
        <f t="shared" si="241"/>
        <v>0</v>
      </c>
      <c r="P162" s="162">
        <f t="shared" si="232"/>
        <v>24556.251210000002</v>
      </c>
      <c r="Y162" s="107" t="s">
        <v>398</v>
      </c>
      <c r="Z162" s="294">
        <f t="shared" si="242"/>
        <v>0</v>
      </c>
      <c r="AA162" s="294">
        <f t="shared" si="242"/>
        <v>0</v>
      </c>
      <c r="AB162" s="294">
        <f t="shared" si="242"/>
        <v>0</v>
      </c>
      <c r="AC162" s="294">
        <f t="shared" si="242"/>
        <v>0</v>
      </c>
      <c r="AD162" s="294">
        <f t="shared" si="242"/>
        <v>0</v>
      </c>
      <c r="AE162" s="294">
        <f t="shared" si="242"/>
        <v>0</v>
      </c>
      <c r="AF162" s="294">
        <f t="shared" si="242"/>
        <v>0</v>
      </c>
      <c r="AG162" s="294">
        <f t="shared" si="242"/>
        <v>0</v>
      </c>
      <c r="AH162" s="160">
        <f t="shared" si="242"/>
        <v>9871.2038506051831</v>
      </c>
      <c r="AI162" s="160">
        <f t="shared" si="242"/>
        <v>0</v>
      </c>
      <c r="AJ162" s="160">
        <f t="shared" si="242"/>
        <v>0</v>
      </c>
      <c r="AK162" s="160">
        <f t="shared" si="242"/>
        <v>14259.69923</v>
      </c>
      <c r="AL162" s="294">
        <f t="shared" si="242"/>
        <v>0</v>
      </c>
      <c r="AM162" s="162">
        <f t="shared" si="234"/>
        <v>24130.903080605181</v>
      </c>
      <c r="AO162" s="107" t="s">
        <v>398</v>
      </c>
      <c r="AP162" s="294">
        <f>TripMode_inputCBD!R144*Index!$B$2</f>
        <v>0</v>
      </c>
      <c r="AQ162" s="294">
        <f>TripMode_inputCBD!S144*Index!$B$2</f>
        <v>0</v>
      </c>
      <c r="AR162" s="294">
        <f>TripMode_inputCBD!T144*Index!$B$2</f>
        <v>0</v>
      </c>
      <c r="AS162" s="294">
        <f>TripMode_inputCBD!U144*Index!$B$2</f>
        <v>0</v>
      </c>
      <c r="AT162" s="294">
        <f>TripMode_inputCBD!V144*Index!$B$2</f>
        <v>0</v>
      </c>
      <c r="AU162" s="294">
        <f>TripMode_inputCBD!W144*Index!$B$2</f>
        <v>0</v>
      </c>
      <c r="AV162" s="294">
        <f>TripMode_inputCBD!X144*Index!$B$2</f>
        <v>0</v>
      </c>
      <c r="AW162" s="294">
        <f>TripMode_inputCBD!Y144*Index!$B$2</f>
        <v>0</v>
      </c>
      <c r="AX162" s="160">
        <f>TripMode_inputCBD!AA144*Index!$B$2</f>
        <v>15295</v>
      </c>
      <c r="AY162" s="160">
        <f>TripMode_inputCBD!AB144*Index!$B$2</f>
        <v>0</v>
      </c>
      <c r="AZ162" s="160">
        <f>TripMode_inputCBD!AC144*Index!$B$2</f>
        <v>0</v>
      </c>
      <c r="BA162" s="160">
        <f>TripMode_inputCBD!AD144*Index!$B$2</f>
        <v>9355</v>
      </c>
      <c r="BB162" s="294">
        <f>TripMode_inputCBD!AE144*Index!$B$2</f>
        <v>0</v>
      </c>
      <c r="BC162" s="162">
        <f t="shared" si="235"/>
        <v>24650</v>
      </c>
      <c r="BE162" s="107" t="s">
        <v>398</v>
      </c>
      <c r="BF162" s="166">
        <f t="shared" si="249"/>
        <v>0</v>
      </c>
      <c r="BG162" s="166">
        <f t="shared" si="249"/>
        <v>0</v>
      </c>
      <c r="BH162" s="166">
        <f t="shared" si="249"/>
        <v>0</v>
      </c>
      <c r="BI162" s="166">
        <f t="shared" si="249"/>
        <v>0</v>
      </c>
      <c r="BJ162" s="166">
        <f t="shared" si="249"/>
        <v>0</v>
      </c>
      <c r="BK162" s="166">
        <f t="shared" si="249"/>
        <v>0</v>
      </c>
      <c r="BL162" s="166">
        <f t="shared" si="249"/>
        <v>0</v>
      </c>
      <c r="BM162" s="166">
        <f t="shared" si="249"/>
        <v>0</v>
      </c>
      <c r="BN162" s="166">
        <f t="shared" si="249"/>
        <v>1.2026643173227724E-2</v>
      </c>
      <c r="BO162" s="166">
        <f t="shared" si="249"/>
        <v>0</v>
      </c>
      <c r="BP162" s="166">
        <f t="shared" si="249"/>
        <v>0</v>
      </c>
      <c r="BQ162" s="166">
        <f t="shared" si="249"/>
        <v>0.64992797481632214</v>
      </c>
      <c r="BR162" s="166">
        <f t="shared" si="249"/>
        <v>0</v>
      </c>
      <c r="BS162" s="166">
        <f t="shared" si="249"/>
        <v>7.6777616151551759E-3</v>
      </c>
      <c r="BU162" s="107" t="s">
        <v>398</v>
      </c>
      <c r="BV162" s="166">
        <f t="shared" si="250"/>
        <v>0</v>
      </c>
      <c r="BW162" s="166">
        <f t="shared" si="250"/>
        <v>0</v>
      </c>
      <c r="BX162" s="166">
        <f t="shared" si="250"/>
        <v>0</v>
      </c>
      <c r="BY162" s="166">
        <f t="shared" si="250"/>
        <v>0</v>
      </c>
      <c r="BZ162" s="166">
        <f t="shared" si="250"/>
        <v>0</v>
      </c>
      <c r="CA162" s="166">
        <f t="shared" si="250"/>
        <v>0</v>
      </c>
      <c r="CB162" s="166">
        <f t="shared" si="250"/>
        <v>0</v>
      </c>
      <c r="CC162" s="166">
        <f t="shared" si="250"/>
        <v>0</v>
      </c>
      <c r="CD162" s="166">
        <f t="shared" si="250"/>
        <v>2.7729431814061425E-2</v>
      </c>
      <c r="CE162" s="166">
        <f t="shared" si="250"/>
        <v>0</v>
      </c>
      <c r="CF162" s="166">
        <f t="shared" si="250"/>
        <v>0</v>
      </c>
      <c r="CG162" s="166">
        <f t="shared" si="250"/>
        <v>0.69528056484578227</v>
      </c>
      <c r="CH162" s="166">
        <f t="shared" si="250"/>
        <v>0</v>
      </c>
      <c r="CI162" s="168">
        <f t="shared" si="250"/>
        <v>1.143477423859016E-2</v>
      </c>
      <c r="CK162" s="107" t="s">
        <v>398</v>
      </c>
      <c r="CL162" s="166" t="str">
        <f t="shared" si="252"/>
        <v/>
      </c>
      <c r="CM162" s="166" t="str">
        <f t="shared" si="252"/>
        <v/>
      </c>
      <c r="CN162" s="166" t="str">
        <f t="shared" si="252"/>
        <v/>
      </c>
      <c r="CO162" s="166" t="str">
        <f t="shared" si="252"/>
        <v/>
      </c>
      <c r="CP162" s="166"/>
      <c r="CQ162" s="166"/>
      <c r="CR162" s="166"/>
      <c r="CS162" s="166"/>
      <c r="CT162" s="166">
        <f t="shared" si="253"/>
        <v>1.3056667945207996</v>
      </c>
      <c r="CU162" s="166" t="str">
        <f t="shared" si="253"/>
        <v/>
      </c>
      <c r="CV162" s="166" t="str">
        <f t="shared" si="253"/>
        <v/>
      </c>
      <c r="CW162" s="166">
        <f t="shared" si="253"/>
        <v>6.9780947715440841E-2</v>
      </c>
      <c r="CX162" s="166" t="str">
        <f t="shared" si="253"/>
        <v/>
      </c>
      <c r="CY162" s="168">
        <f t="shared" si="253"/>
        <v>0.48933697238254908</v>
      </c>
      <c r="DA162" s="107" t="s">
        <v>398</v>
      </c>
      <c r="DB162" s="313">
        <f t="shared" si="251"/>
        <v>0</v>
      </c>
      <c r="DC162" s="313">
        <f t="shared" si="251"/>
        <v>0</v>
      </c>
      <c r="DD162" s="313">
        <f t="shared" si="251"/>
        <v>0</v>
      </c>
      <c r="DE162" s="313">
        <f t="shared" si="251"/>
        <v>0</v>
      </c>
      <c r="DF162" s="313">
        <f t="shared" si="251"/>
        <v>0</v>
      </c>
      <c r="DG162" s="313">
        <f t="shared" si="251"/>
        <v>0</v>
      </c>
      <c r="DH162" s="313">
        <f t="shared" si="251"/>
        <v>0</v>
      </c>
      <c r="DI162" s="313">
        <f t="shared" si="251"/>
        <v>0</v>
      </c>
      <c r="DJ162" s="313">
        <f t="shared" si="251"/>
        <v>-0.83536991640246872</v>
      </c>
      <c r="DK162" s="313">
        <f t="shared" si="251"/>
        <v>0</v>
      </c>
      <c r="DL162" s="313">
        <f t="shared" si="251"/>
        <v>0</v>
      </c>
      <c r="DM162" s="313">
        <f t="shared" si="251"/>
        <v>-6.7453905754184307E-2</v>
      </c>
      <c r="DN162" s="313">
        <f t="shared" si="251"/>
        <v>0</v>
      </c>
      <c r="DO162" s="168"/>
      <c r="DQ162" s="107" t="s">
        <v>398</v>
      </c>
      <c r="DR162" s="313">
        <v>0</v>
      </c>
      <c r="DS162" s="313">
        <v>0</v>
      </c>
      <c r="DT162" s="313">
        <v>0</v>
      </c>
      <c r="DU162" s="313">
        <v>0</v>
      </c>
      <c r="DV162" s="313">
        <v>0</v>
      </c>
      <c r="DW162" s="313">
        <v>0</v>
      </c>
      <c r="DX162" s="313">
        <v>0</v>
      </c>
      <c r="DY162" s="313">
        <v>0</v>
      </c>
      <c r="DZ162" s="313">
        <v>0</v>
      </c>
      <c r="EA162" s="313">
        <v>0</v>
      </c>
      <c r="EB162" s="313">
        <v>0</v>
      </c>
      <c r="EC162" s="313">
        <v>0</v>
      </c>
      <c r="ED162" s="313">
        <v>0</v>
      </c>
      <c r="EE162" s="168"/>
    </row>
    <row r="163" spans="2:168" x14ac:dyDescent="0.25">
      <c r="B163" s="107" t="s">
        <v>399</v>
      </c>
      <c r="C163" s="294">
        <f t="shared" si="241"/>
        <v>0</v>
      </c>
      <c r="D163" s="294">
        <f t="shared" si="241"/>
        <v>0</v>
      </c>
      <c r="E163" s="294">
        <f t="shared" si="241"/>
        <v>0</v>
      </c>
      <c r="F163" s="294">
        <f t="shared" si="241"/>
        <v>0</v>
      </c>
      <c r="G163" s="294">
        <f t="shared" si="241"/>
        <v>0</v>
      </c>
      <c r="H163" s="294">
        <f t="shared" si="241"/>
        <v>0</v>
      </c>
      <c r="I163" s="294">
        <f t="shared" si="241"/>
        <v>0</v>
      </c>
      <c r="J163" s="294">
        <f t="shared" si="241"/>
        <v>0</v>
      </c>
      <c r="K163" s="294">
        <f t="shared" si="241"/>
        <v>0</v>
      </c>
      <c r="L163" s="294">
        <f t="shared" si="241"/>
        <v>0</v>
      </c>
      <c r="M163" s="294">
        <f t="shared" si="241"/>
        <v>0</v>
      </c>
      <c r="N163" s="294">
        <f t="shared" si="241"/>
        <v>0</v>
      </c>
      <c r="O163" s="160">
        <f t="shared" si="241"/>
        <v>15458.062759999999</v>
      </c>
      <c r="P163" s="162">
        <f t="shared" si="232"/>
        <v>15458.062759999999</v>
      </c>
      <c r="U163" s="128">
        <f>U159/(U159+V160+W161)</f>
        <v>0.82473296700302323</v>
      </c>
      <c r="V163" s="128">
        <f>V160/(U159+V160+W161)</f>
        <v>4.4408420848487888E-2</v>
      </c>
      <c r="W163" s="128">
        <f>1-(U163+V163)</f>
        <v>0.13085861214848893</v>
      </c>
      <c r="Y163" s="107" t="s">
        <v>399</v>
      </c>
      <c r="Z163" s="294">
        <f t="shared" si="242"/>
        <v>0</v>
      </c>
      <c r="AA163" s="294">
        <f t="shared" si="242"/>
        <v>0</v>
      </c>
      <c r="AB163" s="294">
        <f t="shared" si="242"/>
        <v>0</v>
      </c>
      <c r="AC163" s="294">
        <f t="shared" si="242"/>
        <v>0</v>
      </c>
      <c r="AD163" s="294">
        <f t="shared" si="242"/>
        <v>0</v>
      </c>
      <c r="AE163" s="294">
        <f t="shared" si="242"/>
        <v>0</v>
      </c>
      <c r="AF163" s="294">
        <f t="shared" si="242"/>
        <v>0</v>
      </c>
      <c r="AG163" s="294">
        <f t="shared" si="242"/>
        <v>0</v>
      </c>
      <c r="AH163" s="294">
        <f t="shared" si="242"/>
        <v>0</v>
      </c>
      <c r="AI163" s="294">
        <f t="shared" si="242"/>
        <v>0</v>
      </c>
      <c r="AJ163" s="294">
        <f t="shared" si="242"/>
        <v>0</v>
      </c>
      <c r="AK163" s="294">
        <f t="shared" si="242"/>
        <v>0</v>
      </c>
      <c r="AL163" s="160">
        <f t="shared" si="242"/>
        <v>15458.062759999999</v>
      </c>
      <c r="AM163" s="162">
        <f t="shared" si="234"/>
        <v>15458.062759999999</v>
      </c>
      <c r="AO163" s="107" t="s">
        <v>399</v>
      </c>
      <c r="AP163" s="294">
        <f>TripMode_inputCBD!R145*Index!$B$2</f>
        <v>0</v>
      </c>
      <c r="AQ163" s="294">
        <f>TripMode_inputCBD!S145*Index!$B$2</f>
        <v>0</v>
      </c>
      <c r="AR163" s="294">
        <f>TripMode_inputCBD!T145*Index!$B$2</f>
        <v>0</v>
      </c>
      <c r="AS163" s="294">
        <f>TripMode_inputCBD!U145*Index!$B$2</f>
        <v>0</v>
      </c>
      <c r="AT163" s="294">
        <f>TripMode_inputCBD!V145*Index!$B$2</f>
        <v>0</v>
      </c>
      <c r="AU163" s="294">
        <f>TripMode_inputCBD!W145*Index!$B$2</f>
        <v>0</v>
      </c>
      <c r="AV163" s="294">
        <f>TripMode_inputCBD!X145*Index!$B$2</f>
        <v>0</v>
      </c>
      <c r="AW163" s="294">
        <f>TripMode_inputCBD!Y145*Index!$B$2</f>
        <v>0</v>
      </c>
      <c r="AX163" s="294">
        <f>TripMode_inputCBD!AA145*Index!$B$2</f>
        <v>0</v>
      </c>
      <c r="AY163" s="294">
        <f>TripMode_inputCBD!AB145*Index!$B$2</f>
        <v>0</v>
      </c>
      <c r="AZ163" s="294">
        <f>TripMode_inputCBD!AC145*Index!$B$2</f>
        <v>0</v>
      </c>
      <c r="BA163" s="294">
        <f>TripMode_inputCBD!AD145*Index!$B$2</f>
        <v>0</v>
      </c>
      <c r="BB163" s="160">
        <f>TripMode_inputCBD!AE145*Index!$B$2</f>
        <v>8405</v>
      </c>
      <c r="BC163" s="162">
        <f t="shared" si="235"/>
        <v>8405</v>
      </c>
      <c r="BE163" s="107" t="s">
        <v>399</v>
      </c>
      <c r="BF163" s="166">
        <f t="shared" si="249"/>
        <v>0</v>
      </c>
      <c r="BG163" s="166">
        <f t="shared" si="249"/>
        <v>0</v>
      </c>
      <c r="BH163" s="166">
        <f t="shared" si="249"/>
        <v>0</v>
      </c>
      <c r="BI163" s="166">
        <f t="shared" si="249"/>
        <v>0</v>
      </c>
      <c r="BJ163" s="166">
        <f t="shared" si="249"/>
        <v>0</v>
      </c>
      <c r="BK163" s="166">
        <f t="shared" si="249"/>
        <v>0</v>
      </c>
      <c r="BL163" s="166">
        <f t="shared" si="249"/>
        <v>0</v>
      </c>
      <c r="BM163" s="166">
        <f t="shared" si="249"/>
        <v>0</v>
      </c>
      <c r="BN163" s="166">
        <f t="shared" si="249"/>
        <v>0</v>
      </c>
      <c r="BO163" s="166">
        <f t="shared" si="249"/>
        <v>0</v>
      </c>
      <c r="BP163" s="166">
        <f t="shared" si="249"/>
        <v>0</v>
      </c>
      <c r="BQ163" s="166">
        <f t="shared" si="249"/>
        <v>0</v>
      </c>
      <c r="BR163" s="166">
        <f t="shared" si="249"/>
        <v>1</v>
      </c>
      <c r="BS163" s="166">
        <f t="shared" si="249"/>
        <v>4.918312443879377E-3</v>
      </c>
      <c r="BU163" s="107" t="s">
        <v>399</v>
      </c>
      <c r="BV163" s="166">
        <f t="shared" si="250"/>
        <v>0</v>
      </c>
      <c r="BW163" s="166">
        <f t="shared" si="250"/>
        <v>0</v>
      </c>
      <c r="BX163" s="166">
        <f t="shared" si="250"/>
        <v>0</v>
      </c>
      <c r="BY163" s="166">
        <f t="shared" si="250"/>
        <v>0</v>
      </c>
      <c r="BZ163" s="166">
        <f t="shared" si="250"/>
        <v>0</v>
      </c>
      <c r="CA163" s="166">
        <f t="shared" si="250"/>
        <v>0</v>
      </c>
      <c r="CB163" s="166">
        <f t="shared" si="250"/>
        <v>0</v>
      </c>
      <c r="CC163" s="166">
        <f t="shared" si="250"/>
        <v>0</v>
      </c>
      <c r="CD163" s="166">
        <f t="shared" si="250"/>
        <v>0</v>
      </c>
      <c r="CE163" s="166">
        <f t="shared" si="250"/>
        <v>0</v>
      </c>
      <c r="CF163" s="166">
        <f t="shared" si="250"/>
        <v>0</v>
      </c>
      <c r="CG163" s="166">
        <f t="shared" si="250"/>
        <v>0</v>
      </c>
      <c r="CH163" s="166">
        <f t="shared" si="250"/>
        <v>1</v>
      </c>
      <c r="CI163" s="168">
        <f t="shared" si="250"/>
        <v>3.8989564898722229E-3</v>
      </c>
      <c r="CK163" s="107" t="s">
        <v>399</v>
      </c>
      <c r="CL163" s="166" t="str">
        <f t="shared" si="252"/>
        <v/>
      </c>
      <c r="CM163" s="166" t="str">
        <f t="shared" si="252"/>
        <v/>
      </c>
      <c r="CN163" s="166" t="str">
        <f t="shared" si="252"/>
        <v/>
      </c>
      <c r="CO163" s="166" t="str">
        <f t="shared" si="252"/>
        <v/>
      </c>
      <c r="CP163" s="166"/>
      <c r="CQ163" s="166"/>
      <c r="CR163" s="166"/>
      <c r="CS163" s="166"/>
      <c r="CT163" s="166" t="str">
        <f t="shared" si="253"/>
        <v/>
      </c>
      <c r="CU163" s="166" t="str">
        <f t="shared" si="253"/>
        <v/>
      </c>
      <c r="CV163" s="166" t="str">
        <f t="shared" si="253"/>
        <v/>
      </c>
      <c r="CW163" s="166" t="str">
        <f t="shared" si="253"/>
        <v/>
      </c>
      <c r="CX163" s="166">
        <f t="shared" si="253"/>
        <v>0</v>
      </c>
      <c r="CY163" s="168">
        <f t="shared" si="253"/>
        <v>-0.207257258589925</v>
      </c>
      <c r="DA163" s="107" t="s">
        <v>399</v>
      </c>
      <c r="DB163" s="313">
        <f t="shared" si="251"/>
        <v>0</v>
      </c>
      <c r="DC163" s="313">
        <f t="shared" si="251"/>
        <v>0</v>
      </c>
      <c r="DD163" s="313">
        <f t="shared" si="251"/>
        <v>0</v>
      </c>
      <c r="DE163" s="313">
        <f t="shared" si="251"/>
        <v>0</v>
      </c>
      <c r="DF163" s="313">
        <f t="shared" si="251"/>
        <v>0</v>
      </c>
      <c r="DG163" s="313">
        <f t="shared" si="251"/>
        <v>0</v>
      </c>
      <c r="DH163" s="313">
        <f t="shared" si="251"/>
        <v>0</v>
      </c>
      <c r="DI163" s="313">
        <f t="shared" si="251"/>
        <v>0</v>
      </c>
      <c r="DJ163" s="313">
        <f t="shared" si="251"/>
        <v>0</v>
      </c>
      <c r="DK163" s="313">
        <f t="shared" si="251"/>
        <v>0</v>
      </c>
      <c r="DL163" s="313">
        <f t="shared" si="251"/>
        <v>0</v>
      </c>
      <c r="DM163" s="313">
        <f t="shared" si="251"/>
        <v>0</v>
      </c>
      <c r="DN163" s="313">
        <f t="shared" si="251"/>
        <v>0</v>
      </c>
      <c r="DO163" s="168"/>
      <c r="DQ163" s="107" t="s">
        <v>399</v>
      </c>
      <c r="DR163" s="313">
        <v>0</v>
      </c>
      <c r="DS163" s="313">
        <v>0</v>
      </c>
      <c r="DT163" s="313">
        <v>0</v>
      </c>
      <c r="DU163" s="313">
        <v>0</v>
      </c>
      <c r="DV163" s="313">
        <v>0</v>
      </c>
      <c r="DW163" s="313">
        <v>0</v>
      </c>
      <c r="DX163" s="313">
        <v>0</v>
      </c>
      <c r="DY163" s="313">
        <v>0</v>
      </c>
      <c r="DZ163" s="313">
        <v>0</v>
      </c>
      <c r="EA163" s="313">
        <v>0</v>
      </c>
      <c r="EB163" s="313">
        <v>0</v>
      </c>
      <c r="EC163" s="313">
        <v>0</v>
      </c>
      <c r="ED163" s="313">
        <v>0</v>
      </c>
      <c r="EE163" s="168"/>
    </row>
    <row r="164" spans="2:168" ht="15.75" thickBot="1" x14ac:dyDescent="0.3">
      <c r="B164" s="108" t="s">
        <v>29</v>
      </c>
      <c r="C164" s="109">
        <f t="shared" ref="C164:P164" si="254">SUM(C151:C163)</f>
        <v>577575.61985000002</v>
      </c>
      <c r="D164" s="110">
        <f t="shared" si="254"/>
        <v>41710.114990000002</v>
      </c>
      <c r="E164" s="110">
        <f t="shared" si="254"/>
        <v>584773.79450999992</v>
      </c>
      <c r="F164" s="110">
        <f t="shared" si="254"/>
        <v>5244.4633899999999</v>
      </c>
      <c r="G164" s="110">
        <f t="shared" si="254"/>
        <v>577168.11305999989</v>
      </c>
      <c r="H164" s="110">
        <f t="shared" si="254"/>
        <v>6591.5530399999998</v>
      </c>
      <c r="I164" s="110">
        <f t="shared" si="254"/>
        <v>256856.86307000002</v>
      </c>
      <c r="J164" s="110">
        <f t="shared" si="254"/>
        <v>111387.09273</v>
      </c>
      <c r="K164" s="110">
        <f t="shared" si="254"/>
        <v>856145.12975000008</v>
      </c>
      <c r="L164" s="110">
        <f t="shared" si="254"/>
        <v>59177.110569999997</v>
      </c>
      <c r="M164" s="110">
        <f t="shared" si="254"/>
        <v>242025.63356999995</v>
      </c>
      <c r="N164" s="110">
        <f t="shared" si="254"/>
        <v>21940.429990000001</v>
      </c>
      <c r="O164" s="110">
        <f t="shared" si="254"/>
        <v>15458.062759999999</v>
      </c>
      <c r="P164" s="112">
        <f t="shared" si="254"/>
        <v>3356053.9812799999</v>
      </c>
      <c r="Y164" s="108" t="s">
        <v>29</v>
      </c>
      <c r="Z164" s="109">
        <f t="shared" ref="Z164:AM164" si="255">SUM(Z151:Z163)</f>
        <v>577575.61985000002</v>
      </c>
      <c r="AA164" s="110">
        <f t="shared" si="255"/>
        <v>41710.114990000002</v>
      </c>
      <c r="AB164" s="110">
        <f t="shared" si="255"/>
        <v>584773.79450999992</v>
      </c>
      <c r="AC164" s="110">
        <f t="shared" si="255"/>
        <v>5244.4633899999999</v>
      </c>
      <c r="AD164" s="110">
        <f t="shared" si="255"/>
        <v>577168.11305999989</v>
      </c>
      <c r="AE164" s="110">
        <f t="shared" si="255"/>
        <v>6591.5530399999998</v>
      </c>
      <c r="AF164" s="110">
        <f t="shared" si="255"/>
        <v>256856.86307000002</v>
      </c>
      <c r="AG164" s="110">
        <f t="shared" si="255"/>
        <v>111387.09273</v>
      </c>
      <c r="AH164" s="110">
        <f t="shared" si="255"/>
        <v>820777.9767324666</v>
      </c>
      <c r="AI164" s="110">
        <f t="shared" si="255"/>
        <v>31285.98560319492</v>
      </c>
      <c r="AJ164" s="110">
        <f t="shared" si="255"/>
        <v>92190.63811567839</v>
      </c>
      <c r="AK164" s="110">
        <f t="shared" si="255"/>
        <v>21940.429990000001</v>
      </c>
      <c r="AL164" s="110">
        <f t="shared" si="255"/>
        <v>15458.062759999999</v>
      </c>
      <c r="AM164" s="112">
        <f t="shared" si="255"/>
        <v>3142960.70784134</v>
      </c>
      <c r="AO164" s="108" t="s">
        <v>29</v>
      </c>
      <c r="AP164" s="109">
        <f t="shared" ref="AP164:BC164" si="256">SUM(AP151:AP163)</f>
        <v>496055</v>
      </c>
      <c r="AQ164" s="110">
        <f t="shared" si="256"/>
        <v>30595</v>
      </c>
      <c r="AR164" s="110">
        <f t="shared" si="256"/>
        <v>163095</v>
      </c>
      <c r="AS164" s="110">
        <f t="shared" si="256"/>
        <v>7585</v>
      </c>
      <c r="AT164" s="110">
        <f t="shared" si="256"/>
        <v>166960</v>
      </c>
      <c r="AU164" s="110">
        <f t="shared" si="256"/>
        <v>18555</v>
      </c>
      <c r="AV164" s="110">
        <f t="shared" si="256"/>
        <v>549690</v>
      </c>
      <c r="AW164" s="110">
        <f t="shared" si="256"/>
        <v>101265</v>
      </c>
      <c r="AX164" s="110">
        <f t="shared" si="256"/>
        <v>551580</v>
      </c>
      <c r="AY164" s="110">
        <f t="shared" si="256"/>
        <v>15040</v>
      </c>
      <c r="AZ164" s="110">
        <f t="shared" si="256"/>
        <v>33425</v>
      </c>
      <c r="BA164" s="110">
        <f t="shared" si="256"/>
        <v>13455</v>
      </c>
      <c r="BB164" s="110">
        <f t="shared" si="256"/>
        <v>8405</v>
      </c>
      <c r="BC164" s="112">
        <f t="shared" si="256"/>
        <v>2155705</v>
      </c>
      <c r="BE164" s="108" t="s">
        <v>29</v>
      </c>
      <c r="BF164" s="120">
        <f t="shared" si="249"/>
        <v>1</v>
      </c>
      <c r="BG164" s="120">
        <f t="shared" si="249"/>
        <v>1</v>
      </c>
      <c r="BH164" s="120">
        <f t="shared" si="249"/>
        <v>1</v>
      </c>
      <c r="BI164" s="120">
        <f t="shared" si="249"/>
        <v>1</v>
      </c>
      <c r="BJ164" s="120">
        <f t="shared" si="249"/>
        <v>1</v>
      </c>
      <c r="BK164" s="120">
        <f t="shared" si="249"/>
        <v>1</v>
      </c>
      <c r="BL164" s="120">
        <f t="shared" si="249"/>
        <v>1</v>
      </c>
      <c r="BM164" s="120">
        <f t="shared" si="249"/>
        <v>1</v>
      </c>
      <c r="BN164" s="120">
        <f t="shared" si="249"/>
        <v>1</v>
      </c>
      <c r="BO164" s="120">
        <f t="shared" si="249"/>
        <v>1</v>
      </c>
      <c r="BP164" s="120">
        <f t="shared" si="249"/>
        <v>1</v>
      </c>
      <c r="BQ164" s="120">
        <f t="shared" si="249"/>
        <v>1</v>
      </c>
      <c r="BR164" s="120">
        <f t="shared" si="249"/>
        <v>1</v>
      </c>
      <c r="BS164" s="120">
        <f t="shared" si="249"/>
        <v>1</v>
      </c>
      <c r="BU164" s="108" t="s">
        <v>29</v>
      </c>
      <c r="BV164" s="120">
        <f t="shared" si="250"/>
        <v>1</v>
      </c>
      <c r="BW164" s="121">
        <f t="shared" si="250"/>
        <v>1</v>
      </c>
      <c r="BX164" s="121">
        <f t="shared" si="250"/>
        <v>1</v>
      </c>
      <c r="BY164" s="121">
        <f t="shared" si="250"/>
        <v>1</v>
      </c>
      <c r="BZ164" s="121">
        <f t="shared" si="250"/>
        <v>1</v>
      </c>
      <c r="CA164" s="121">
        <f t="shared" si="250"/>
        <v>1</v>
      </c>
      <c r="CB164" s="121">
        <f t="shared" si="250"/>
        <v>1</v>
      </c>
      <c r="CC164" s="121">
        <f t="shared" si="250"/>
        <v>1</v>
      </c>
      <c r="CD164" s="121">
        <f t="shared" si="250"/>
        <v>1</v>
      </c>
      <c r="CE164" s="121">
        <f t="shared" si="250"/>
        <v>1</v>
      </c>
      <c r="CF164" s="121">
        <f t="shared" si="250"/>
        <v>1</v>
      </c>
      <c r="CG164" s="121">
        <f t="shared" si="250"/>
        <v>1</v>
      </c>
      <c r="CH164" s="121">
        <f t="shared" si="250"/>
        <v>1</v>
      </c>
      <c r="CI164" s="123">
        <f t="shared" si="250"/>
        <v>1</v>
      </c>
      <c r="CK164" s="108" t="s">
        <v>29</v>
      </c>
      <c r="CL164" s="120">
        <f t="shared" si="252"/>
        <v>0</v>
      </c>
      <c r="CM164" s="121">
        <f t="shared" si="252"/>
        <v>0</v>
      </c>
      <c r="CN164" s="121">
        <f t="shared" si="252"/>
        <v>0</v>
      </c>
      <c r="CO164" s="121">
        <f t="shared" si="252"/>
        <v>0</v>
      </c>
      <c r="CP164" s="121"/>
      <c r="CQ164" s="121"/>
      <c r="CR164" s="121"/>
      <c r="CS164" s="121"/>
      <c r="CT164" s="121">
        <f t="shared" si="253"/>
        <v>0</v>
      </c>
      <c r="CU164" s="121">
        <f t="shared" si="253"/>
        <v>0</v>
      </c>
      <c r="CV164" s="121">
        <f t="shared" si="253"/>
        <v>0</v>
      </c>
      <c r="CW164" s="121">
        <f t="shared" si="253"/>
        <v>0</v>
      </c>
      <c r="CX164" s="121">
        <f t="shared" si="253"/>
        <v>0</v>
      </c>
      <c r="CY164" s="123">
        <f t="shared" si="253"/>
        <v>0</v>
      </c>
      <c r="DA164" s="108" t="s">
        <v>29</v>
      </c>
      <c r="DB164" s="120"/>
      <c r="DC164" s="121"/>
      <c r="DD164" s="121"/>
      <c r="DE164" s="121"/>
      <c r="DF164" s="121"/>
      <c r="DG164" s="121"/>
      <c r="DH164" s="121"/>
      <c r="DI164" s="121"/>
      <c r="DJ164" s="121"/>
      <c r="DK164" s="121"/>
      <c r="DL164" s="121"/>
      <c r="DM164" s="121"/>
      <c r="DN164" s="121"/>
      <c r="DO164" s="123"/>
      <c r="DQ164" s="108" t="s">
        <v>29</v>
      </c>
      <c r="DR164" s="120"/>
      <c r="DS164" s="121"/>
      <c r="DT164" s="121"/>
      <c r="DU164" s="121"/>
      <c r="DV164" s="121"/>
      <c r="DW164" s="121"/>
      <c r="DX164" s="121"/>
      <c r="DY164" s="121"/>
      <c r="DZ164" s="121"/>
      <c r="EA164" s="121"/>
      <c r="EB164" s="121"/>
      <c r="EC164" s="121"/>
      <c r="ED164" s="121"/>
      <c r="EE164" s="123"/>
    </row>
    <row r="166" spans="2:168" x14ac:dyDescent="0.25">
      <c r="AF166" t="s">
        <v>178</v>
      </c>
      <c r="AH166" s="286">
        <f>TourMode2CBD!F167</f>
        <v>296280.58481999993</v>
      </c>
      <c r="AI166" s="286">
        <f>TourMode2CBD!F168</f>
        <v>47655.537259999997</v>
      </c>
      <c r="AJ166" s="286">
        <f>TourMode2CBD!F169</f>
        <v>133939.6378</v>
      </c>
      <c r="AV166" t="s">
        <v>178</v>
      </c>
      <c r="AX166" s="286">
        <f>TourMode!L171</f>
        <v>418575</v>
      </c>
      <c r="AY166" s="286">
        <f>TourMode!L172</f>
        <v>19275</v>
      </c>
      <c r="AZ166" s="286">
        <f>TourMode!L173</f>
        <v>36700</v>
      </c>
    </row>
    <row r="167" spans="2:168" x14ac:dyDescent="0.25">
      <c r="AF167" t="s">
        <v>552</v>
      </c>
      <c r="AH167" s="139">
        <f>AH164/AH166</f>
        <v>2.7702725685893856</v>
      </c>
      <c r="AI167" s="139">
        <f>AI164/AI166</f>
        <v>0.65650263121584884</v>
      </c>
      <c r="AJ167" s="139">
        <f>AJ164/AJ166</f>
        <v>0.68829989112960255</v>
      </c>
      <c r="AV167" t="s">
        <v>552</v>
      </c>
      <c r="AX167" s="139">
        <f>AX164/AX166</f>
        <v>1.3177566744311056</v>
      </c>
      <c r="AY167" s="139">
        <f>AY164/AY166</f>
        <v>0.78028534370946823</v>
      </c>
      <c r="AZ167" s="139">
        <f>AZ164/AZ166</f>
        <v>0.9107629427792916</v>
      </c>
    </row>
    <row r="168" spans="2:168" x14ac:dyDescent="0.25">
      <c r="AF168" t="s">
        <v>551</v>
      </c>
      <c r="AH168" s="127">
        <f>AH159/AH166</f>
        <v>1.961077120025295</v>
      </c>
      <c r="AI168" s="127">
        <f>AI160/AI166</f>
        <v>0.65650263121584884</v>
      </c>
      <c r="AJ168" s="127">
        <f>AJ161/AJ166</f>
        <v>0.68829989112960255</v>
      </c>
      <c r="AV168" t="s">
        <v>551</v>
      </c>
      <c r="AX168" s="127">
        <f>AX159/AX166</f>
        <v>0.91714746461207663</v>
      </c>
      <c r="AY168" s="127">
        <f>AY160/AY166</f>
        <v>0.78028534370946823</v>
      </c>
      <c r="AZ168" s="127">
        <f>AZ161/AZ166</f>
        <v>0.9107629427792916</v>
      </c>
    </row>
    <row r="169" spans="2:168" x14ac:dyDescent="0.25">
      <c r="AF169" t="s">
        <v>553</v>
      </c>
      <c r="AH169" s="29">
        <f>AH164/AX167</f>
        <v>622860.04135536496</v>
      </c>
      <c r="AI169" s="29">
        <f>AI164/AY167</f>
        <v>40095.569980158383</v>
      </c>
      <c r="AJ169" s="29">
        <f>AJ164/AZ167</f>
        <v>101223.52786373663</v>
      </c>
    </row>
    <row r="171" spans="2:168" x14ac:dyDescent="0.25">
      <c r="B171" t="s">
        <v>382</v>
      </c>
      <c r="C171" s="383" t="s">
        <v>206</v>
      </c>
      <c r="D171" s="383"/>
      <c r="E171" s="383"/>
      <c r="F171" s="383"/>
      <c r="G171" s="383"/>
      <c r="H171" s="383"/>
      <c r="I171" s="383"/>
      <c r="J171" s="383"/>
      <c r="K171" s="383"/>
      <c r="L171" s="383"/>
      <c r="M171" s="383"/>
      <c r="N171" s="383"/>
      <c r="O171" s="383"/>
      <c r="P171" s="383"/>
      <c r="Y171" t="s">
        <v>382</v>
      </c>
      <c r="Z171" s="383" t="s">
        <v>206</v>
      </c>
      <c r="AA171" s="383"/>
      <c r="AB171" s="383"/>
      <c r="AC171" s="383"/>
      <c r="AD171" s="383"/>
      <c r="AE171" s="383"/>
      <c r="AF171" s="383"/>
      <c r="AG171" s="383"/>
      <c r="AH171" s="383"/>
      <c r="AI171" s="383"/>
      <c r="AJ171" s="383"/>
      <c r="AK171" s="383"/>
      <c r="AL171" s="383"/>
      <c r="AM171" s="383"/>
      <c r="AO171" t="s">
        <v>382</v>
      </c>
      <c r="AP171" s="383" t="s">
        <v>206</v>
      </c>
      <c r="AQ171" s="383"/>
      <c r="AR171" s="383"/>
      <c r="AS171" s="383"/>
      <c r="AT171" s="383"/>
      <c r="AU171" s="383"/>
      <c r="AV171" s="383"/>
      <c r="AW171" s="383"/>
      <c r="AX171" s="383"/>
      <c r="AY171" s="383"/>
      <c r="AZ171" s="383"/>
      <c r="BA171" s="383"/>
      <c r="BB171" s="383"/>
      <c r="BC171" s="383"/>
      <c r="BE171" t="s">
        <v>382</v>
      </c>
      <c r="BF171" s="383" t="s">
        <v>206</v>
      </c>
      <c r="BG171" s="383"/>
      <c r="BH171" s="383"/>
      <c r="BI171" s="383"/>
      <c r="BJ171" s="383"/>
      <c r="BK171" s="383"/>
      <c r="BL171" s="383"/>
      <c r="BM171" s="383"/>
      <c r="BN171" s="383"/>
      <c r="BO171" s="383"/>
      <c r="BP171" s="383"/>
      <c r="BQ171" s="383"/>
      <c r="BR171" s="383"/>
      <c r="BS171" s="383"/>
      <c r="BU171" t="s">
        <v>382</v>
      </c>
      <c r="BV171" s="383" t="s">
        <v>206</v>
      </c>
      <c r="BW171" s="383"/>
      <c r="BX171" s="383"/>
      <c r="BY171" s="383"/>
      <c r="BZ171" s="383"/>
      <c r="CA171" s="383"/>
      <c r="CB171" s="383"/>
      <c r="CC171" s="383"/>
      <c r="CD171" s="383"/>
      <c r="CE171" s="383"/>
      <c r="CF171" s="383"/>
      <c r="CG171" s="383"/>
      <c r="CH171" s="383"/>
      <c r="CI171" s="383"/>
      <c r="CK171" t="s">
        <v>382</v>
      </c>
      <c r="CL171" s="383" t="s">
        <v>206</v>
      </c>
      <c r="CM171" s="383"/>
      <c r="CN171" s="383"/>
      <c r="CO171" s="383"/>
      <c r="CP171" s="383"/>
      <c r="CQ171" s="383"/>
      <c r="CR171" s="383"/>
      <c r="CS171" s="383"/>
      <c r="CT171" s="383"/>
      <c r="CU171" s="383"/>
      <c r="CV171" s="383"/>
      <c r="CW171" s="383"/>
      <c r="CX171" s="383"/>
      <c r="CY171" s="383"/>
      <c r="DA171" t="s">
        <v>382</v>
      </c>
      <c r="DB171" s="383" t="s">
        <v>206</v>
      </c>
      <c r="DC171" s="383"/>
      <c r="DD171" s="383"/>
      <c r="DE171" s="383"/>
      <c r="DF171" s="383"/>
      <c r="DG171" s="383"/>
      <c r="DH171" s="383"/>
      <c r="DI171" s="383"/>
      <c r="DJ171" s="383"/>
      <c r="DK171" s="383"/>
      <c r="DL171" s="383"/>
      <c r="DM171" s="383"/>
      <c r="DN171" s="383"/>
      <c r="DO171" s="383"/>
      <c r="DQ171" t="s">
        <v>382</v>
      </c>
      <c r="DR171" s="383" t="s">
        <v>206</v>
      </c>
      <c r="DS171" s="383"/>
      <c r="DT171" s="383"/>
      <c r="DU171" s="383"/>
      <c r="DV171" s="383"/>
      <c r="DW171" s="383"/>
      <c r="DX171" s="383"/>
      <c r="DY171" s="383"/>
      <c r="DZ171" s="383"/>
      <c r="EA171" s="383"/>
      <c r="EB171" s="383"/>
      <c r="EC171" s="383"/>
      <c r="ED171" s="383"/>
      <c r="EE171" s="383"/>
      <c r="EG171" t="s">
        <v>382</v>
      </c>
      <c r="EH171" s="383" t="s">
        <v>206</v>
      </c>
      <c r="EI171" s="383"/>
      <c r="EJ171" s="383"/>
      <c r="EK171" s="383"/>
      <c r="EL171" s="383"/>
      <c r="EM171" s="383"/>
      <c r="EN171" s="383"/>
      <c r="EO171" s="383"/>
      <c r="EP171" s="383"/>
      <c r="EQ171" s="383"/>
      <c r="ER171" s="383"/>
      <c r="ES171" s="383"/>
      <c r="ET171" s="383"/>
      <c r="EU171" s="383"/>
      <c r="EW171" t="s">
        <v>382</v>
      </c>
      <c r="EX171" s="383" t="s">
        <v>207</v>
      </c>
      <c r="EY171" s="383"/>
      <c r="EZ171" s="383"/>
      <c r="FA171" s="383"/>
      <c r="FB171" s="383"/>
      <c r="FC171" s="383"/>
      <c r="FD171" s="383"/>
      <c r="FE171" s="383"/>
      <c r="FF171" s="383"/>
      <c r="FG171" s="383"/>
      <c r="FH171" s="383"/>
      <c r="FI171" s="383"/>
      <c r="FJ171" s="383"/>
      <c r="FK171" s="383"/>
      <c r="FL171" s="383"/>
    </row>
    <row r="172" spans="2:168" ht="35.450000000000003" customHeight="1" x14ac:dyDescent="0.25">
      <c r="B172" s="163" t="s">
        <v>207</v>
      </c>
      <c r="C172" s="164" t="s">
        <v>386</v>
      </c>
      <c r="D172" s="164" t="s">
        <v>387</v>
      </c>
      <c r="E172" s="164" t="s">
        <v>388</v>
      </c>
      <c r="F172" s="164" t="s">
        <v>389</v>
      </c>
      <c r="G172" s="164" t="s">
        <v>390</v>
      </c>
      <c r="H172" s="164" t="s">
        <v>391</v>
      </c>
      <c r="I172" s="164" t="s">
        <v>392</v>
      </c>
      <c r="J172" s="164" t="s">
        <v>393</v>
      </c>
      <c r="K172" s="164" t="s">
        <v>546</v>
      </c>
      <c r="L172" s="164" t="s">
        <v>396</v>
      </c>
      <c r="M172" s="164" t="s">
        <v>397</v>
      </c>
      <c r="N172" s="164" t="s">
        <v>398</v>
      </c>
      <c r="O172" s="164" t="s">
        <v>399</v>
      </c>
      <c r="P172" s="106" t="s">
        <v>29</v>
      </c>
      <c r="R172" s="164" t="s">
        <v>546</v>
      </c>
      <c r="S172" s="164" t="s">
        <v>396</v>
      </c>
      <c r="T172" s="164" t="s">
        <v>397</v>
      </c>
      <c r="U172" s="164" t="s">
        <v>546</v>
      </c>
      <c r="V172" s="164" t="s">
        <v>396</v>
      </c>
      <c r="W172" s="164" t="s">
        <v>397</v>
      </c>
      <c r="Y172" s="163" t="s">
        <v>207</v>
      </c>
      <c r="Z172" s="164" t="s">
        <v>386</v>
      </c>
      <c r="AA172" s="164" t="s">
        <v>387</v>
      </c>
      <c r="AB172" s="164" t="s">
        <v>388</v>
      </c>
      <c r="AC172" s="164" t="s">
        <v>389</v>
      </c>
      <c r="AD172" s="164" t="s">
        <v>390</v>
      </c>
      <c r="AE172" s="164" t="s">
        <v>391</v>
      </c>
      <c r="AF172" s="164" t="s">
        <v>392</v>
      </c>
      <c r="AG172" s="164" t="s">
        <v>393</v>
      </c>
      <c r="AH172" s="164" t="s">
        <v>546</v>
      </c>
      <c r="AI172" s="164" t="s">
        <v>396</v>
      </c>
      <c r="AJ172" s="164" t="s">
        <v>397</v>
      </c>
      <c r="AK172" s="164" t="s">
        <v>398</v>
      </c>
      <c r="AL172" s="164" t="s">
        <v>399</v>
      </c>
      <c r="AM172" s="106" t="s">
        <v>29</v>
      </c>
      <c r="AO172" s="163" t="s">
        <v>207</v>
      </c>
      <c r="AP172" s="164" t="s">
        <v>386</v>
      </c>
      <c r="AQ172" s="164" t="s">
        <v>387</v>
      </c>
      <c r="AR172" s="164" t="s">
        <v>388</v>
      </c>
      <c r="AS172" s="164" t="s">
        <v>389</v>
      </c>
      <c r="AT172" s="164" t="s">
        <v>390</v>
      </c>
      <c r="AU172" s="164" t="s">
        <v>391</v>
      </c>
      <c r="AV172" s="164" t="s">
        <v>392</v>
      </c>
      <c r="AW172" s="164" t="s">
        <v>393</v>
      </c>
      <c r="AX172" s="164" t="s">
        <v>546</v>
      </c>
      <c r="AY172" s="164" t="s">
        <v>396</v>
      </c>
      <c r="AZ172" s="164" t="s">
        <v>397</v>
      </c>
      <c r="BA172" s="164" t="s">
        <v>398</v>
      </c>
      <c r="BB172" s="164" t="s">
        <v>399</v>
      </c>
      <c r="BC172" s="106" t="s">
        <v>29</v>
      </c>
      <c r="BE172" s="163" t="s">
        <v>207</v>
      </c>
      <c r="BF172" s="164" t="s">
        <v>538</v>
      </c>
      <c r="BG172" s="164"/>
      <c r="BH172" s="164" t="s">
        <v>576</v>
      </c>
      <c r="BI172" s="164"/>
      <c r="BJ172" s="164" t="s">
        <v>577</v>
      </c>
      <c r="BK172" s="164"/>
      <c r="BL172" s="164" t="s">
        <v>392</v>
      </c>
      <c r="BM172" s="164" t="s">
        <v>393</v>
      </c>
      <c r="BN172" s="164" t="s">
        <v>546</v>
      </c>
      <c r="BO172" s="164" t="s">
        <v>396</v>
      </c>
      <c r="BP172" s="164" t="s">
        <v>397</v>
      </c>
      <c r="BQ172" s="164" t="s">
        <v>398</v>
      </c>
      <c r="BR172" s="164" t="s">
        <v>399</v>
      </c>
      <c r="BS172" s="106" t="s">
        <v>29</v>
      </c>
      <c r="BU172" s="163" t="s">
        <v>207</v>
      </c>
      <c r="BV172" s="164" t="s">
        <v>538</v>
      </c>
      <c r="BW172" s="164"/>
      <c r="BX172" s="164" t="s">
        <v>576</v>
      </c>
      <c r="BY172" s="164"/>
      <c r="BZ172" s="164" t="s">
        <v>577</v>
      </c>
      <c r="CA172" s="164"/>
      <c r="CB172" s="164" t="s">
        <v>392</v>
      </c>
      <c r="CC172" s="164" t="s">
        <v>393</v>
      </c>
      <c r="CD172" s="164" t="s">
        <v>546</v>
      </c>
      <c r="CE172" s="164" t="s">
        <v>396</v>
      </c>
      <c r="CF172" s="164" t="s">
        <v>397</v>
      </c>
      <c r="CG172" s="164" t="s">
        <v>398</v>
      </c>
      <c r="CH172" s="164" t="s">
        <v>399</v>
      </c>
      <c r="CI172" s="106" t="s">
        <v>29</v>
      </c>
      <c r="CK172" s="163" t="s">
        <v>207</v>
      </c>
      <c r="CL172" s="164" t="s">
        <v>386</v>
      </c>
      <c r="CM172" s="164" t="s">
        <v>387</v>
      </c>
      <c r="CN172" s="164" t="s">
        <v>388</v>
      </c>
      <c r="CO172" s="164" t="s">
        <v>389</v>
      </c>
      <c r="CP172" s="164" t="s">
        <v>390</v>
      </c>
      <c r="CQ172" s="164" t="s">
        <v>391</v>
      </c>
      <c r="CR172" s="164" t="s">
        <v>392</v>
      </c>
      <c r="CS172" s="164" t="s">
        <v>393</v>
      </c>
      <c r="CT172" s="164" t="s">
        <v>546</v>
      </c>
      <c r="CU172" s="164" t="s">
        <v>396</v>
      </c>
      <c r="CV172" s="164" t="s">
        <v>397</v>
      </c>
      <c r="CW172" s="164" t="s">
        <v>398</v>
      </c>
      <c r="CX172" s="164" t="s">
        <v>399</v>
      </c>
      <c r="CY172" s="106" t="s">
        <v>29</v>
      </c>
      <c r="DA172" s="163" t="s">
        <v>207</v>
      </c>
      <c r="DB172" s="164" t="s">
        <v>538</v>
      </c>
      <c r="DC172" s="164"/>
      <c r="DD172" s="164" t="s">
        <v>576</v>
      </c>
      <c r="DE172" s="164"/>
      <c r="DF172" s="164" t="s">
        <v>577</v>
      </c>
      <c r="DG172" s="164"/>
      <c r="DH172" s="164" t="s">
        <v>392</v>
      </c>
      <c r="DI172" s="164" t="s">
        <v>393</v>
      </c>
      <c r="DJ172" s="164" t="s">
        <v>546</v>
      </c>
      <c r="DK172" s="164" t="s">
        <v>396</v>
      </c>
      <c r="DL172" s="164" t="s">
        <v>397</v>
      </c>
      <c r="DM172" s="164" t="s">
        <v>398</v>
      </c>
      <c r="DN172" s="164" t="s">
        <v>399</v>
      </c>
      <c r="DO172" s="106" t="s">
        <v>29</v>
      </c>
      <c r="DQ172" s="163" t="s">
        <v>207</v>
      </c>
      <c r="DR172" s="164" t="s">
        <v>538</v>
      </c>
      <c r="DS172" s="164"/>
      <c r="DT172" s="164" t="s">
        <v>576</v>
      </c>
      <c r="DU172" s="164"/>
      <c r="DV172" s="164" t="s">
        <v>577</v>
      </c>
      <c r="DW172" s="164"/>
      <c r="DX172" s="164" t="s">
        <v>392</v>
      </c>
      <c r="DY172" s="164" t="s">
        <v>393</v>
      </c>
      <c r="DZ172" s="164" t="s">
        <v>546</v>
      </c>
      <c r="EA172" s="164" t="s">
        <v>396</v>
      </c>
      <c r="EB172" s="164" t="s">
        <v>397</v>
      </c>
      <c r="EC172" s="164" t="s">
        <v>398</v>
      </c>
      <c r="ED172" s="164" t="s">
        <v>399</v>
      </c>
      <c r="EE172" s="106" t="s">
        <v>29</v>
      </c>
      <c r="EG172" s="163" t="s">
        <v>207</v>
      </c>
      <c r="EH172" s="164" t="s">
        <v>538</v>
      </c>
      <c r="EI172" s="164"/>
      <c r="EJ172" s="164" t="s">
        <v>576</v>
      </c>
      <c r="EK172" s="164"/>
      <c r="EL172" s="164" t="s">
        <v>577</v>
      </c>
      <c r="EM172" s="164"/>
      <c r="EN172" s="164" t="s">
        <v>392</v>
      </c>
      <c r="EO172" s="164" t="s">
        <v>393</v>
      </c>
      <c r="EP172" s="164" t="s">
        <v>546</v>
      </c>
      <c r="EQ172" s="164" t="s">
        <v>396</v>
      </c>
      <c r="ER172" s="164" t="s">
        <v>397</v>
      </c>
      <c r="ES172" s="164" t="s">
        <v>398</v>
      </c>
      <c r="ET172" s="164" t="s">
        <v>399</v>
      </c>
      <c r="EU172" s="106" t="s">
        <v>29</v>
      </c>
      <c r="EW172" s="163" t="s">
        <v>206</v>
      </c>
      <c r="EX172" s="164" t="s">
        <v>386</v>
      </c>
      <c r="EY172" s="164" t="s">
        <v>387</v>
      </c>
      <c r="EZ172" s="164" t="s">
        <v>388</v>
      </c>
      <c r="FA172" s="164" t="s">
        <v>389</v>
      </c>
      <c r="FB172" s="164" t="s">
        <v>390</v>
      </c>
      <c r="FC172" s="164" t="s">
        <v>391</v>
      </c>
      <c r="FD172" s="164" t="s">
        <v>392</v>
      </c>
      <c r="FE172" s="164" t="s">
        <v>393</v>
      </c>
      <c r="FF172" s="164"/>
      <c r="FG172" s="164" t="s">
        <v>546</v>
      </c>
      <c r="FH172" s="164" t="s">
        <v>396</v>
      </c>
      <c r="FI172" s="164" t="s">
        <v>397</v>
      </c>
      <c r="FJ172" s="164" t="s">
        <v>398</v>
      </c>
      <c r="FK172" s="164" t="s">
        <v>399</v>
      </c>
      <c r="FL172" s="106" t="s">
        <v>29</v>
      </c>
    </row>
    <row r="173" spans="2:168" x14ac:dyDescent="0.25">
      <c r="B173" s="107" t="s">
        <v>386</v>
      </c>
      <c r="C173" s="160"/>
      <c r="D173" s="160"/>
      <c r="E173" s="160"/>
      <c r="F173" s="160"/>
      <c r="G173" s="160"/>
      <c r="H173" s="160"/>
      <c r="I173" s="294"/>
      <c r="J173" s="294"/>
      <c r="K173" s="294"/>
      <c r="L173" s="294"/>
      <c r="M173" s="294"/>
      <c r="N173" s="294"/>
      <c r="O173" s="294"/>
      <c r="P173" s="161">
        <f t="shared" ref="P173:P185" si="257">SUM(C173:O173)</f>
        <v>0</v>
      </c>
      <c r="Y173" s="107" t="s">
        <v>386</v>
      </c>
      <c r="Z173" s="160">
        <f>Z55+Z87+Z103+Z119+Z135</f>
        <v>146867.81284</v>
      </c>
      <c r="AA173" s="160">
        <f t="shared" ref="AA173:AL173" si="258">AA55+AA87+AA103+AA119+AA135</f>
        <v>618.09925999999996</v>
      </c>
      <c r="AB173" s="160">
        <f t="shared" si="258"/>
        <v>37274.567089999997</v>
      </c>
      <c r="AC173" s="160">
        <f t="shared" si="258"/>
        <v>126.00216</v>
      </c>
      <c r="AD173" s="160">
        <f t="shared" si="258"/>
        <v>19049.555310000003</v>
      </c>
      <c r="AE173" s="160">
        <f t="shared" si="258"/>
        <v>119.42748</v>
      </c>
      <c r="AF173" s="294">
        <f t="shared" si="258"/>
        <v>0</v>
      </c>
      <c r="AG173" s="294">
        <f t="shared" si="258"/>
        <v>0</v>
      </c>
      <c r="AH173" s="294">
        <f t="shared" si="258"/>
        <v>0</v>
      </c>
      <c r="AI173" s="294">
        <f t="shared" si="258"/>
        <v>0</v>
      </c>
      <c r="AJ173" s="294">
        <f t="shared" si="258"/>
        <v>0</v>
      </c>
      <c r="AK173" s="294">
        <f t="shared" si="258"/>
        <v>0</v>
      </c>
      <c r="AL173" s="294">
        <f t="shared" si="258"/>
        <v>0</v>
      </c>
      <c r="AM173" s="161">
        <f t="shared" ref="AM173:AM185" si="259">SUM(Z173:AL173)</f>
        <v>204055.46414</v>
      </c>
      <c r="AO173" s="107" t="s">
        <v>386</v>
      </c>
      <c r="AP173" s="160">
        <f>AP55+AP87+AP103+AP119+AP135</f>
        <v>181745</v>
      </c>
      <c r="AQ173" s="160">
        <f t="shared" ref="AQ173:BB173" si="260">AQ55+AQ87+AQ103+AQ119+AQ135</f>
        <v>4490</v>
      </c>
      <c r="AR173" s="160">
        <f t="shared" si="260"/>
        <v>27915</v>
      </c>
      <c r="AS173" s="160">
        <f t="shared" si="260"/>
        <v>1000</v>
      </c>
      <c r="AT173" s="160">
        <f t="shared" si="260"/>
        <v>7260</v>
      </c>
      <c r="AU173" s="160">
        <f t="shared" si="260"/>
        <v>390</v>
      </c>
      <c r="AV173" s="294">
        <f t="shared" si="260"/>
        <v>0</v>
      </c>
      <c r="AW173" s="294">
        <f t="shared" si="260"/>
        <v>0</v>
      </c>
      <c r="AX173" s="294">
        <f t="shared" si="260"/>
        <v>0</v>
      </c>
      <c r="AY173" s="294">
        <f t="shared" si="260"/>
        <v>0</v>
      </c>
      <c r="AZ173" s="294">
        <f t="shared" si="260"/>
        <v>0</v>
      </c>
      <c r="BA173" s="294">
        <f t="shared" si="260"/>
        <v>0</v>
      </c>
      <c r="BB173" s="294">
        <f t="shared" si="260"/>
        <v>0</v>
      </c>
      <c r="BC173" s="161">
        <f t="shared" ref="BC173:BC185" si="261">SUM(AP173:BB173)</f>
        <v>222800</v>
      </c>
      <c r="BE173" s="107" t="s">
        <v>538</v>
      </c>
      <c r="BF173" s="166">
        <f>IF(Z$164+AA$164&gt;0,SUM(Z173:AA174)/(Z$164+AA$164),"")</f>
        <v>0.24193770902652878</v>
      </c>
      <c r="BG173" s="166"/>
      <c r="BH173" s="166">
        <f>IF(AB$164+AC$164&gt;0,SUM(AB173:AC174)/(AB$164+AC$164),"")</f>
        <v>6.3388833733919611E-2</v>
      </c>
      <c r="BI173" s="166"/>
      <c r="BJ173" s="166">
        <f>IF(AD$164+AE$164&gt;0,SUM(AD173:AE174)/(AD$164+AE$164),"")</f>
        <v>3.3041697448648044E-2</v>
      </c>
      <c r="BK173" s="166"/>
      <c r="BL173" s="166">
        <f t="shared" ref="BL173:BS173" si="262">IF(AF$164&gt;0,(AF173+AF174)/AF$164,"")</f>
        <v>0</v>
      </c>
      <c r="BM173" s="166">
        <f t="shared" si="262"/>
        <v>0</v>
      </c>
      <c r="BN173" s="166">
        <f t="shared" si="262"/>
        <v>0</v>
      </c>
      <c r="BO173" s="166">
        <f t="shared" si="262"/>
        <v>0</v>
      </c>
      <c r="BP173" s="166">
        <f t="shared" si="262"/>
        <v>0</v>
      </c>
      <c r="BQ173" s="166">
        <f t="shared" si="262"/>
        <v>0</v>
      </c>
      <c r="BR173" s="166">
        <f t="shared" si="262"/>
        <v>0</v>
      </c>
      <c r="BS173" s="166">
        <f t="shared" si="262"/>
        <v>6.5707964762257931E-2</v>
      </c>
      <c r="BU173" s="107" t="s">
        <v>538</v>
      </c>
      <c r="BV173" s="166">
        <f>IF(AP$164+AQ$164&gt;0,SUM(AP173:AQ174)/(AP$164+AQ$164),"")</f>
        <v>0.3587676825215988</v>
      </c>
      <c r="BW173" s="166"/>
      <c r="BX173" s="166">
        <f>IF(AR$164+AS$164&gt;0,SUM(AR173:AS174)/(AR$164+AS$164),"")</f>
        <v>0.17310171080384346</v>
      </c>
      <c r="BY173" s="166"/>
      <c r="BZ173" s="166">
        <f>IF(AT$164+AU$164&gt;0,SUM(AT173:AU174)/(AT$164+AU$164),"")</f>
        <v>4.2125973640945474E-2</v>
      </c>
      <c r="CA173" s="166"/>
      <c r="CB173" s="166">
        <f t="shared" ref="CB173:CI173" si="263">IF(AV$164&gt;0,(AV173+AV174)/AV$164,"")</f>
        <v>0</v>
      </c>
      <c r="CC173" s="166">
        <f t="shared" si="263"/>
        <v>0</v>
      </c>
      <c r="CD173" s="166">
        <f t="shared" si="263"/>
        <v>0</v>
      </c>
      <c r="CE173" s="166">
        <f t="shared" si="263"/>
        <v>0</v>
      </c>
      <c r="CF173" s="166">
        <f t="shared" si="263"/>
        <v>0</v>
      </c>
      <c r="CG173" s="166">
        <f t="shared" si="263"/>
        <v>0</v>
      </c>
      <c r="CH173" s="166">
        <f t="shared" si="263"/>
        <v>0</v>
      </c>
      <c r="CI173" s="166">
        <f t="shared" si="263"/>
        <v>0.10497957744682135</v>
      </c>
      <c r="CK173" s="107" t="s">
        <v>386</v>
      </c>
      <c r="CL173" s="166">
        <f t="shared" ref="CL173:CO176" si="264">IF(OR(ISNA(BF173),BF173=0,BF173=""),"",(BV173-BF173)/BF173)</f>
        <v>0.48289278246517353</v>
      </c>
      <c r="CM173" s="166" t="str">
        <f t="shared" si="264"/>
        <v/>
      </c>
      <c r="CN173" s="166">
        <f t="shared" si="264"/>
        <v>1.7307918541371752</v>
      </c>
      <c r="CO173" s="166" t="str">
        <f t="shared" si="264"/>
        <v/>
      </c>
      <c r="CP173" s="166"/>
      <c r="CQ173" s="166"/>
      <c r="CR173" s="166"/>
      <c r="CS173" s="166"/>
      <c r="CT173" s="166" t="str">
        <f t="shared" ref="CT173:CY176" si="265">IF(OR(ISNA(BN173),BN173=0,BN173=""),"",(CD173-BN173)/BN173)</f>
        <v/>
      </c>
      <c r="CU173" s="166" t="str">
        <f t="shared" si="265"/>
        <v/>
      </c>
      <c r="CV173" s="166" t="str">
        <f t="shared" si="265"/>
        <v/>
      </c>
      <c r="CW173" s="166" t="str">
        <f t="shared" si="265"/>
        <v/>
      </c>
      <c r="CX173" s="166" t="str">
        <f t="shared" si="265"/>
        <v/>
      </c>
      <c r="CY173" s="167">
        <f t="shared" si="265"/>
        <v>0.59766898619755582</v>
      </c>
      <c r="DA173" s="107" t="s">
        <v>538</v>
      </c>
      <c r="DB173" s="314">
        <f>IFERROR(IF(BV173&gt;0,LN(BF173/BV173),0),0)</f>
        <v>-0.39399476281135437</v>
      </c>
      <c r="DC173" s="314"/>
      <c r="DD173" s="314">
        <f>IFERROR(IF(BX173&gt;0,LN(BH173/BX173),0),0)</f>
        <v>-1.0045916235991297</v>
      </c>
      <c r="DE173" s="314"/>
      <c r="DF173" s="314">
        <f>IFERROR(IF(BZ173&gt;0,LN(BJ173/BZ173),0),0)</f>
        <v>-0.24289417864608645</v>
      </c>
      <c r="DG173" s="314"/>
      <c r="DH173" s="315">
        <f t="shared" ref="DH173:DN173" si="266">IFERROR(IF(CB173&gt;0,LN(BL173/CB173),0),0)</f>
        <v>0</v>
      </c>
      <c r="DI173" s="315">
        <f t="shared" si="266"/>
        <v>0</v>
      </c>
      <c r="DJ173" s="315">
        <f t="shared" si="266"/>
        <v>0</v>
      </c>
      <c r="DK173" s="315">
        <f t="shared" si="266"/>
        <v>0</v>
      </c>
      <c r="DL173" s="315">
        <f t="shared" si="266"/>
        <v>0</v>
      </c>
      <c r="DM173" s="315">
        <f t="shared" si="266"/>
        <v>0</v>
      </c>
      <c r="DN173" s="315">
        <f t="shared" si="266"/>
        <v>0</v>
      </c>
      <c r="DO173" s="167"/>
      <c r="DQ173" s="107" t="s">
        <v>538</v>
      </c>
      <c r="DR173" s="314">
        <v>0</v>
      </c>
      <c r="DS173" s="314">
        <v>0</v>
      </c>
      <c r="DT173" s="314">
        <v>0</v>
      </c>
      <c r="DU173" s="314">
        <v>0</v>
      </c>
      <c r="DV173" s="314">
        <v>0</v>
      </c>
      <c r="DW173" s="314">
        <v>0</v>
      </c>
      <c r="DX173" s="315"/>
      <c r="DY173" s="315"/>
      <c r="DZ173" s="315"/>
      <c r="EA173" s="315"/>
      <c r="EB173" s="315"/>
      <c r="EC173" s="315"/>
      <c r="ED173" s="315"/>
      <c r="EE173" s="167"/>
      <c r="EG173" s="107" t="s">
        <v>538</v>
      </c>
      <c r="EH173" s="314">
        <v>0</v>
      </c>
      <c r="EI173" s="314">
        <v>0</v>
      </c>
      <c r="EJ173" s="314">
        <v>0</v>
      </c>
      <c r="EK173" s="314">
        <v>0</v>
      </c>
      <c r="EL173" s="314">
        <v>0</v>
      </c>
      <c r="EM173" s="314">
        <v>0</v>
      </c>
      <c r="EN173" s="315"/>
      <c r="EO173" s="315"/>
      <c r="EP173" s="315"/>
      <c r="EQ173" s="315"/>
      <c r="ER173" s="315"/>
      <c r="ES173" s="315"/>
      <c r="ET173" s="315"/>
      <c r="EU173" s="167"/>
      <c r="EW173" s="164" t="s">
        <v>386</v>
      </c>
      <c r="EX173" s="316">
        <f>INDEX($EH$173:$ET$185,EX$4,MATCH($EW173,$EW$7:$EW$19,0))</f>
        <v>0</v>
      </c>
      <c r="EY173" s="316">
        <f t="shared" ref="EY173:FK185" si="267">INDEX($EH$173:$ET$185,EY$4,MATCH($EW173,$EW$7:$EW$19,0))</f>
        <v>0</v>
      </c>
      <c r="EZ173" s="316">
        <f t="shared" si="267"/>
        <v>0</v>
      </c>
      <c r="FA173" s="316">
        <f t="shared" si="267"/>
        <v>0</v>
      </c>
      <c r="FB173" s="316">
        <f t="shared" si="267"/>
        <v>0</v>
      </c>
      <c r="FC173" s="316">
        <f t="shared" si="267"/>
        <v>0</v>
      </c>
      <c r="FD173" s="316">
        <f t="shared" si="267"/>
        <v>0</v>
      </c>
      <c r="FE173" s="316">
        <f t="shared" si="267"/>
        <v>0</v>
      </c>
      <c r="FF173" s="316"/>
      <c r="FG173" s="316">
        <f t="shared" si="267"/>
        <v>0</v>
      </c>
      <c r="FH173" s="316">
        <f t="shared" si="267"/>
        <v>0</v>
      </c>
      <c r="FI173" s="316">
        <f t="shared" si="267"/>
        <v>0</v>
      </c>
      <c r="FJ173" s="316">
        <f t="shared" si="267"/>
        <v>0</v>
      </c>
      <c r="FK173" s="316">
        <f t="shared" si="267"/>
        <v>0</v>
      </c>
      <c r="FL173" s="167"/>
    </row>
    <row r="174" spans="2:168" x14ac:dyDescent="0.25">
      <c r="B174" s="107" t="s">
        <v>387</v>
      </c>
      <c r="C174" s="160"/>
      <c r="D174" s="160"/>
      <c r="E174" s="160"/>
      <c r="F174" s="160"/>
      <c r="G174" s="160"/>
      <c r="H174" s="160"/>
      <c r="I174" s="294"/>
      <c r="J174" s="294"/>
      <c r="K174" s="294"/>
      <c r="L174" s="294"/>
      <c r="M174" s="294"/>
      <c r="N174" s="294"/>
      <c r="O174" s="294"/>
      <c r="P174" s="162">
        <f t="shared" si="257"/>
        <v>0</v>
      </c>
      <c r="Y174" s="107" t="s">
        <v>387</v>
      </c>
      <c r="Z174" s="160">
        <f t="shared" ref="Z174:AL185" si="268">Z56+Z88+Z104+Z120+Z136</f>
        <v>0</v>
      </c>
      <c r="AA174" s="160">
        <f t="shared" si="268"/>
        <v>2342.6598200000003</v>
      </c>
      <c r="AB174" s="160">
        <f t="shared" si="268"/>
        <v>0</v>
      </c>
      <c r="AC174" s="160">
        <f t="shared" si="268"/>
        <v>0</v>
      </c>
      <c r="AD174" s="160">
        <f t="shared" si="268"/>
        <v>0</v>
      </c>
      <c r="AE174" s="160">
        <f t="shared" si="268"/>
        <v>119.42748</v>
      </c>
      <c r="AF174" s="294">
        <f t="shared" si="268"/>
        <v>0</v>
      </c>
      <c r="AG174" s="294">
        <f t="shared" si="268"/>
        <v>0</v>
      </c>
      <c r="AH174" s="294">
        <f t="shared" si="268"/>
        <v>0</v>
      </c>
      <c r="AI174" s="294">
        <f t="shared" si="268"/>
        <v>0</v>
      </c>
      <c r="AJ174" s="294">
        <f t="shared" si="268"/>
        <v>0</v>
      </c>
      <c r="AK174" s="294">
        <f t="shared" si="268"/>
        <v>0</v>
      </c>
      <c r="AL174" s="294">
        <f t="shared" si="268"/>
        <v>0</v>
      </c>
      <c r="AM174" s="162">
        <f t="shared" si="259"/>
        <v>2462.0873000000001</v>
      </c>
      <c r="AO174" s="107" t="s">
        <v>387</v>
      </c>
      <c r="AP174" s="160">
        <f t="shared" ref="AP174:BB185" si="269">AP56+AP88+AP104+AP120+AP136</f>
        <v>1560</v>
      </c>
      <c r="AQ174" s="160">
        <f t="shared" si="269"/>
        <v>1150</v>
      </c>
      <c r="AR174" s="160">
        <f t="shared" si="269"/>
        <v>325</v>
      </c>
      <c r="AS174" s="160">
        <f t="shared" si="269"/>
        <v>305</v>
      </c>
      <c r="AT174" s="160">
        <f t="shared" si="269"/>
        <v>70</v>
      </c>
      <c r="AU174" s="160">
        <f t="shared" si="269"/>
        <v>95</v>
      </c>
      <c r="AV174" s="294">
        <f t="shared" si="269"/>
        <v>0</v>
      </c>
      <c r="AW174" s="294">
        <f t="shared" si="269"/>
        <v>0</v>
      </c>
      <c r="AX174" s="294">
        <f t="shared" si="269"/>
        <v>0</v>
      </c>
      <c r="AY174" s="294">
        <f t="shared" si="269"/>
        <v>0</v>
      </c>
      <c r="AZ174" s="294">
        <f t="shared" si="269"/>
        <v>0</v>
      </c>
      <c r="BA174" s="294">
        <f t="shared" si="269"/>
        <v>0</v>
      </c>
      <c r="BB174" s="294">
        <f t="shared" si="269"/>
        <v>0</v>
      </c>
      <c r="BC174" s="162">
        <f t="shared" si="261"/>
        <v>3505</v>
      </c>
      <c r="BE174" s="107"/>
      <c r="BF174" s="166"/>
      <c r="BG174" s="166"/>
      <c r="BH174" s="166"/>
      <c r="BI174" s="166"/>
      <c r="BJ174" s="166"/>
      <c r="BK174" s="166"/>
      <c r="BL174" s="166"/>
      <c r="BM174" s="166"/>
      <c r="BN174" s="166"/>
      <c r="BO174" s="166"/>
      <c r="BP174" s="166"/>
      <c r="BQ174" s="166"/>
      <c r="BR174" s="166"/>
      <c r="BS174" s="166"/>
      <c r="BU174" s="107"/>
      <c r="BV174" s="166"/>
      <c r="BW174" s="166"/>
      <c r="BX174" s="166"/>
      <c r="BY174" s="166"/>
      <c r="BZ174" s="166"/>
      <c r="CA174" s="166"/>
      <c r="CB174" s="166"/>
      <c r="CC174" s="166"/>
      <c r="CD174" s="166"/>
      <c r="CE174" s="166"/>
      <c r="CF174" s="166"/>
      <c r="CG174" s="166"/>
      <c r="CH174" s="166"/>
      <c r="CI174" s="166"/>
      <c r="CK174" s="107" t="s">
        <v>387</v>
      </c>
      <c r="CL174" s="166" t="str">
        <f t="shared" si="264"/>
        <v/>
      </c>
      <c r="CM174" s="166" t="str">
        <f t="shared" si="264"/>
        <v/>
      </c>
      <c r="CN174" s="166" t="str">
        <f t="shared" si="264"/>
        <v/>
      </c>
      <c r="CO174" s="166" t="str">
        <f t="shared" si="264"/>
        <v/>
      </c>
      <c r="CP174" s="166"/>
      <c r="CQ174" s="166"/>
      <c r="CR174" s="166"/>
      <c r="CS174" s="166"/>
      <c r="CT174" s="166" t="str">
        <f t="shared" si="265"/>
        <v/>
      </c>
      <c r="CU174" s="166" t="str">
        <f t="shared" si="265"/>
        <v/>
      </c>
      <c r="CV174" s="166" t="str">
        <f t="shared" si="265"/>
        <v/>
      </c>
      <c r="CW174" s="166" t="str">
        <f t="shared" si="265"/>
        <v/>
      </c>
      <c r="CX174" s="166" t="str">
        <f t="shared" si="265"/>
        <v/>
      </c>
      <c r="CY174" s="168" t="str">
        <f t="shared" si="265"/>
        <v/>
      </c>
      <c r="DA174" s="107"/>
      <c r="DB174" s="314"/>
      <c r="DC174" s="314"/>
      <c r="DD174" s="314"/>
      <c r="DE174" s="314"/>
      <c r="DF174" s="314"/>
      <c r="DG174" s="314"/>
      <c r="DH174" s="315"/>
      <c r="DI174" s="315"/>
      <c r="DJ174" s="315"/>
      <c r="DK174" s="315"/>
      <c r="DL174" s="315"/>
      <c r="DM174" s="315"/>
      <c r="DN174" s="315"/>
      <c r="DO174" s="168"/>
      <c r="DQ174" s="107"/>
      <c r="DR174" s="314">
        <v>0</v>
      </c>
      <c r="DS174" s="314">
        <v>0</v>
      </c>
      <c r="DT174" s="314">
        <v>0</v>
      </c>
      <c r="DU174" s="314">
        <v>0</v>
      </c>
      <c r="DV174" s="314">
        <v>0</v>
      </c>
      <c r="DW174" s="314">
        <v>0</v>
      </c>
      <c r="DX174" s="315"/>
      <c r="DY174" s="315"/>
      <c r="DZ174" s="315"/>
      <c r="EA174" s="315"/>
      <c r="EB174" s="315"/>
      <c r="EC174" s="315"/>
      <c r="ED174" s="315"/>
      <c r="EE174" s="168"/>
      <c r="EG174" s="107"/>
      <c r="EH174" s="314">
        <v>0</v>
      </c>
      <c r="EI174" s="314">
        <v>0</v>
      </c>
      <c r="EJ174" s="314">
        <v>0</v>
      </c>
      <c r="EK174" s="314">
        <v>0</v>
      </c>
      <c r="EL174" s="314">
        <v>0</v>
      </c>
      <c r="EM174" s="314">
        <v>0</v>
      </c>
      <c r="EN174" s="315"/>
      <c r="EO174" s="315"/>
      <c r="EP174" s="315"/>
      <c r="EQ174" s="315"/>
      <c r="ER174" s="315"/>
      <c r="ES174" s="315"/>
      <c r="ET174" s="315"/>
      <c r="EU174" s="168"/>
      <c r="EW174" s="164" t="s">
        <v>387</v>
      </c>
      <c r="EX174" s="316">
        <f t="shared" ref="EX174:EX185" si="270">INDEX($EH$173:$ET$185,EX$4,MATCH($EW174,$EW$7:$EW$19,0))</f>
        <v>0</v>
      </c>
      <c r="EY174" s="316">
        <f t="shared" si="267"/>
        <v>0</v>
      </c>
      <c r="EZ174" s="316">
        <f t="shared" si="267"/>
        <v>0</v>
      </c>
      <c r="FA174" s="316">
        <f t="shared" si="267"/>
        <v>0</v>
      </c>
      <c r="FB174" s="316">
        <f t="shared" si="267"/>
        <v>0</v>
      </c>
      <c r="FC174" s="316">
        <f t="shared" si="267"/>
        <v>0</v>
      </c>
      <c r="FD174" s="316">
        <f t="shared" si="267"/>
        <v>0</v>
      </c>
      <c r="FE174" s="316">
        <f t="shared" si="267"/>
        <v>0</v>
      </c>
      <c r="FF174" s="316"/>
      <c r="FG174" s="316">
        <f t="shared" si="267"/>
        <v>0</v>
      </c>
      <c r="FH174" s="316">
        <f t="shared" si="267"/>
        <v>0</v>
      </c>
      <c r="FI174" s="316">
        <f t="shared" si="267"/>
        <v>0</v>
      </c>
      <c r="FJ174" s="316">
        <f t="shared" si="267"/>
        <v>0</v>
      </c>
      <c r="FK174" s="316">
        <f t="shared" si="267"/>
        <v>0</v>
      </c>
      <c r="FL174" s="168"/>
    </row>
    <row r="175" spans="2:168" x14ac:dyDescent="0.25">
      <c r="B175" s="107" t="s">
        <v>388</v>
      </c>
      <c r="C175" s="294"/>
      <c r="D175" s="294"/>
      <c r="E175" s="160"/>
      <c r="F175" s="160"/>
      <c r="G175" s="160"/>
      <c r="H175" s="160"/>
      <c r="I175" s="294"/>
      <c r="J175" s="294"/>
      <c r="K175" s="160"/>
      <c r="L175" s="294"/>
      <c r="M175" s="294"/>
      <c r="N175" s="160"/>
      <c r="O175" s="294"/>
      <c r="P175" s="162">
        <f t="shared" si="257"/>
        <v>0</v>
      </c>
      <c r="Y175" s="107" t="s">
        <v>388</v>
      </c>
      <c r="Z175" s="294">
        <f t="shared" si="268"/>
        <v>0</v>
      </c>
      <c r="AA175" s="294">
        <f t="shared" si="268"/>
        <v>0</v>
      </c>
      <c r="AB175" s="160">
        <f t="shared" si="268"/>
        <v>379881.87038999994</v>
      </c>
      <c r="AC175" s="160">
        <f t="shared" si="268"/>
        <v>182.29910999999998</v>
      </c>
      <c r="AD175" s="160">
        <f t="shared" si="268"/>
        <v>57105.414739999993</v>
      </c>
      <c r="AE175" s="160">
        <f t="shared" si="268"/>
        <v>384.89841999999999</v>
      </c>
      <c r="AF175" s="294">
        <f t="shared" si="268"/>
        <v>0</v>
      </c>
      <c r="AG175" s="294">
        <f t="shared" si="268"/>
        <v>0</v>
      </c>
      <c r="AH175" s="160">
        <f t="shared" si="268"/>
        <v>9734.8735164664267</v>
      </c>
      <c r="AI175" s="294">
        <f t="shared" si="268"/>
        <v>0</v>
      </c>
      <c r="AJ175" s="294">
        <f t="shared" si="268"/>
        <v>0</v>
      </c>
      <c r="AK175" s="160">
        <f t="shared" si="268"/>
        <v>198.99816999999999</v>
      </c>
      <c r="AL175" s="294">
        <f t="shared" si="268"/>
        <v>0</v>
      </c>
      <c r="AM175" s="162">
        <f t="shared" si="259"/>
        <v>447488.35434646631</v>
      </c>
      <c r="AO175" s="107" t="s">
        <v>388</v>
      </c>
      <c r="AP175" s="294">
        <f t="shared" si="269"/>
        <v>0</v>
      </c>
      <c r="AQ175" s="294">
        <f t="shared" si="269"/>
        <v>0</v>
      </c>
      <c r="AR175" s="160">
        <f t="shared" si="269"/>
        <v>81410</v>
      </c>
      <c r="AS175" s="160">
        <f t="shared" si="269"/>
        <v>2345</v>
      </c>
      <c r="AT175" s="160">
        <f t="shared" si="269"/>
        <v>8580</v>
      </c>
      <c r="AU175" s="160">
        <f t="shared" si="269"/>
        <v>350</v>
      </c>
      <c r="AV175" s="294">
        <f t="shared" si="269"/>
        <v>0</v>
      </c>
      <c r="AW175" s="294">
        <f t="shared" si="269"/>
        <v>0</v>
      </c>
      <c r="AX175" s="160">
        <f t="shared" si="269"/>
        <v>2360</v>
      </c>
      <c r="AY175" s="294">
        <f t="shared" si="269"/>
        <v>15</v>
      </c>
      <c r="AZ175" s="294">
        <f t="shared" si="269"/>
        <v>0</v>
      </c>
      <c r="BA175" s="160">
        <f t="shared" si="269"/>
        <v>170</v>
      </c>
      <c r="BB175" s="294">
        <f t="shared" si="269"/>
        <v>0</v>
      </c>
      <c r="BC175" s="162">
        <f t="shared" si="261"/>
        <v>95230</v>
      </c>
      <c r="BE175" s="107" t="s">
        <v>576</v>
      </c>
      <c r="BF175" s="166">
        <f>IF(Z$164+AA$164&gt;0,SUM(Z175:AA176)/(Z$164+AA$164),"")</f>
        <v>0</v>
      </c>
      <c r="BG175" s="166"/>
      <c r="BH175" s="166">
        <f>IF(AB$164+AC$164&gt;0,SUM(AB175:AC176)/(AB$164+AC$164),"")</f>
        <v>0.64728289856536658</v>
      </c>
      <c r="BI175" s="166"/>
      <c r="BJ175" s="166">
        <f>IF(AD$164+AE$164&gt;0,SUM(AD175:AE176)/(AD$164+AE$164),"")</f>
        <v>9.8963330741839342E-2</v>
      </c>
      <c r="BK175" s="166"/>
      <c r="BL175" s="166">
        <f t="shared" ref="BL175:BS175" si="271">IF(AF$164&gt;0,(AF175+AF176)/AF$164,"")</f>
        <v>0</v>
      </c>
      <c r="BM175" s="166">
        <f t="shared" si="271"/>
        <v>0</v>
      </c>
      <c r="BN175" s="166">
        <f t="shared" si="271"/>
        <v>1.186054425488017E-2</v>
      </c>
      <c r="BO175" s="166">
        <f t="shared" si="271"/>
        <v>0</v>
      </c>
      <c r="BP175" s="166">
        <f t="shared" si="271"/>
        <v>0</v>
      </c>
      <c r="BQ175" s="166">
        <f t="shared" si="271"/>
        <v>9.0699302653001468E-3</v>
      </c>
      <c r="BR175" s="166">
        <f t="shared" si="271"/>
        <v>0</v>
      </c>
      <c r="BS175" s="166">
        <f t="shared" si="271"/>
        <v>0.14305409534860888</v>
      </c>
      <c r="BU175" s="107" t="s">
        <v>576</v>
      </c>
      <c r="BV175" s="166">
        <f>IF(AP$164+AQ$164&gt;0,SUM(AP175:AQ176)/(AP$164+AQ$164),"")</f>
        <v>0</v>
      </c>
      <c r="BW175" s="166"/>
      <c r="BX175" s="166">
        <f>IF(AR$164+AS$164&gt;0,SUM(AR175:AS176)/(AR$164+AS$164),"")</f>
        <v>0.49967775955003513</v>
      </c>
      <c r="BY175" s="166"/>
      <c r="BZ175" s="166">
        <f>IF(AT$164+AU$164&gt;0,SUM(AT175:AU176)/(AT$164+AU$164),"")</f>
        <v>4.9376061234940573E-2</v>
      </c>
      <c r="CA175" s="166"/>
      <c r="CB175" s="166">
        <f t="shared" ref="CB175:CI175" si="272">IF(AV$164&gt;0,(AV175+AV176)/AV$164,"")</f>
        <v>0</v>
      </c>
      <c r="CC175" s="166">
        <f t="shared" si="272"/>
        <v>0</v>
      </c>
      <c r="CD175" s="166">
        <f t="shared" si="272"/>
        <v>4.3058123934877988E-3</v>
      </c>
      <c r="CE175" s="166">
        <f t="shared" si="272"/>
        <v>9.9734042553191482E-4</v>
      </c>
      <c r="CF175" s="166">
        <f t="shared" si="272"/>
        <v>0</v>
      </c>
      <c r="CG175" s="166">
        <f t="shared" si="272"/>
        <v>1.8208844295800816E-2</v>
      </c>
      <c r="CH175" s="166">
        <f t="shared" si="272"/>
        <v>0</v>
      </c>
      <c r="CI175" s="166">
        <f t="shared" si="272"/>
        <v>4.5033991200094631E-2</v>
      </c>
      <c r="CK175" s="107" t="s">
        <v>388</v>
      </c>
      <c r="CL175" s="166" t="str">
        <f t="shared" si="264"/>
        <v/>
      </c>
      <c r="CM175" s="166" t="str">
        <f t="shared" si="264"/>
        <v/>
      </c>
      <c r="CN175" s="166">
        <f t="shared" si="264"/>
        <v>-0.22803806394774601</v>
      </c>
      <c r="CO175" s="166" t="str">
        <f t="shared" si="264"/>
        <v/>
      </c>
      <c r="CP175" s="166"/>
      <c r="CQ175" s="166"/>
      <c r="CR175" s="166"/>
      <c r="CS175" s="166"/>
      <c r="CT175" s="166">
        <f t="shared" si="265"/>
        <v>-0.63696333819452522</v>
      </c>
      <c r="CU175" s="166" t="str">
        <f t="shared" si="265"/>
        <v/>
      </c>
      <c r="CV175" s="166" t="str">
        <f t="shared" si="265"/>
        <v/>
      </c>
      <c r="CW175" s="166">
        <f t="shared" si="265"/>
        <v>1.0076057657757791</v>
      </c>
      <c r="CX175" s="166" t="str">
        <f t="shared" si="265"/>
        <v/>
      </c>
      <c r="CY175" s="168">
        <f t="shared" si="265"/>
        <v>-0.68519607152559192</v>
      </c>
      <c r="DA175" s="107" t="s">
        <v>576</v>
      </c>
      <c r="DB175" s="315">
        <f>IFERROR(IF(BV175&gt;0,LN(BF175/BV175),0),0)</f>
        <v>0</v>
      </c>
      <c r="DC175" s="315"/>
      <c r="DD175" s="314">
        <f>IFERROR(IF(BX175&gt;0,LN(BH175/BX175),0),0)</f>
        <v>0.2588200358047188</v>
      </c>
      <c r="DE175" s="314"/>
      <c r="DF175" s="314">
        <f>IFERROR(IF(BZ175&gt;0,LN(BJ175/BZ175),0),0)</f>
        <v>0.69528366861757629</v>
      </c>
      <c r="DG175" s="314"/>
      <c r="DH175" s="315">
        <f t="shared" ref="DH175:DN175" si="273">IFERROR(IF(CB175&gt;0,LN(BL175/CB175),0),0)</f>
        <v>0</v>
      </c>
      <c r="DI175" s="315">
        <f t="shared" si="273"/>
        <v>0</v>
      </c>
      <c r="DJ175" s="314">
        <f t="shared" si="273"/>
        <v>1.0132514531078136</v>
      </c>
      <c r="DK175" s="315">
        <f t="shared" si="273"/>
        <v>0</v>
      </c>
      <c r="DL175" s="315">
        <f t="shared" si="273"/>
        <v>0</v>
      </c>
      <c r="DM175" s="314">
        <f t="shared" si="273"/>
        <v>-0.69694285076890428</v>
      </c>
      <c r="DN175" s="315">
        <f t="shared" si="273"/>
        <v>0</v>
      </c>
      <c r="DO175" s="168"/>
      <c r="DQ175" s="107" t="s">
        <v>576</v>
      </c>
      <c r="DR175" s="315"/>
      <c r="DS175" s="315"/>
      <c r="DT175" s="314">
        <v>-0.60013768131084233</v>
      </c>
      <c r="DU175" s="314">
        <v>-0.60013768131084233</v>
      </c>
      <c r="DV175" s="314">
        <v>-0.62667121979276619</v>
      </c>
      <c r="DW175" s="314">
        <v>-0.62667121979276619</v>
      </c>
      <c r="DX175" s="315"/>
      <c r="DY175" s="315"/>
      <c r="DZ175" s="314">
        <v>-1.2250733186406459</v>
      </c>
      <c r="EA175" s="315"/>
      <c r="EB175" s="315"/>
      <c r="EC175" s="314">
        <v>-4.583572971306233</v>
      </c>
      <c r="ED175" s="315"/>
      <c r="EE175" s="168"/>
      <c r="EG175" s="107" t="s">
        <v>576</v>
      </c>
      <c r="EH175" s="315"/>
      <c r="EI175" s="315"/>
      <c r="EJ175" s="314">
        <f>DT175+(DD175-DD$173)*$EI$1</f>
        <v>0.66327397809300614</v>
      </c>
      <c r="EK175" s="314">
        <f>DT175+(DD175-DD$173)*$EI$1</f>
        <v>0.66327397809300614</v>
      </c>
      <c r="EL175" s="314">
        <f>DV175+(DF175-DF$173)*$EI$1</f>
        <v>0.31150662747089652</v>
      </c>
      <c r="EM175" s="314">
        <f>DV175+(DF175-DF$173)*$EI$1</f>
        <v>0.31150662747089652</v>
      </c>
      <c r="EN175" s="315"/>
      <c r="EO175" s="315"/>
      <c r="EP175" s="314">
        <f>DZ175+(DJ175-DJ$181)*$EI$1</f>
        <v>-8.8878587271733922E-2</v>
      </c>
      <c r="EQ175" s="315"/>
      <c r="ER175" s="315"/>
      <c r="ES175" s="314">
        <f>EC175+(DM175-DM$184)*$EI$1</f>
        <v>-4.9907748335634707</v>
      </c>
      <c r="ET175" s="315"/>
      <c r="EU175" s="168"/>
      <c r="EW175" s="164" t="s">
        <v>388</v>
      </c>
      <c r="EX175" s="316">
        <f t="shared" si="270"/>
        <v>0</v>
      </c>
      <c r="EY175" s="316">
        <f t="shared" si="267"/>
        <v>0</v>
      </c>
      <c r="EZ175" s="316">
        <f t="shared" si="267"/>
        <v>0.66327397809300614</v>
      </c>
      <c r="FA175" s="316">
        <f t="shared" si="267"/>
        <v>0.66327397809300614</v>
      </c>
      <c r="FB175" s="316">
        <f t="shared" si="267"/>
        <v>0</v>
      </c>
      <c r="FC175" s="316">
        <f t="shared" si="267"/>
        <v>0</v>
      </c>
      <c r="FD175" s="316">
        <f t="shared" si="267"/>
        <v>-1.3099156070530282</v>
      </c>
      <c r="FE175" s="316">
        <f t="shared" si="267"/>
        <v>0</v>
      </c>
      <c r="FF175" s="316"/>
      <c r="FG175" s="316">
        <f t="shared" si="267"/>
        <v>0</v>
      </c>
      <c r="FH175" s="316">
        <f t="shared" si="267"/>
        <v>0</v>
      </c>
      <c r="FI175" s="316">
        <f t="shared" si="267"/>
        <v>0</v>
      </c>
      <c r="FJ175" s="316">
        <f t="shared" si="267"/>
        <v>0</v>
      </c>
      <c r="FK175" s="316">
        <f t="shared" si="267"/>
        <v>0</v>
      </c>
      <c r="FL175" s="168"/>
    </row>
    <row r="176" spans="2:168" x14ac:dyDescent="0.25">
      <c r="B176" s="107" t="s">
        <v>389</v>
      </c>
      <c r="C176" s="294"/>
      <c r="D176" s="294"/>
      <c r="E176" s="160"/>
      <c r="F176" s="160"/>
      <c r="G176" s="160"/>
      <c r="H176" s="160"/>
      <c r="I176" s="294"/>
      <c r="J176" s="294"/>
      <c r="K176" s="160"/>
      <c r="L176" s="294"/>
      <c r="M176" s="294"/>
      <c r="N176" s="160"/>
      <c r="O176" s="294"/>
      <c r="P176" s="162">
        <f t="shared" si="257"/>
        <v>0</v>
      </c>
      <c r="Y176" s="107" t="s">
        <v>389</v>
      </c>
      <c r="Z176" s="294">
        <f t="shared" si="268"/>
        <v>0</v>
      </c>
      <c r="AA176" s="294">
        <f t="shared" si="268"/>
        <v>0</v>
      </c>
      <c r="AB176" s="160">
        <f t="shared" si="268"/>
        <v>0</v>
      </c>
      <c r="AC176" s="160">
        <f t="shared" si="268"/>
        <v>1844.5586800000001</v>
      </c>
      <c r="AD176" s="160">
        <f t="shared" si="268"/>
        <v>0</v>
      </c>
      <c r="AE176" s="160">
        <f t="shared" si="268"/>
        <v>280.48775000000001</v>
      </c>
      <c r="AF176" s="294">
        <f t="shared" si="268"/>
        <v>0</v>
      </c>
      <c r="AG176" s="294">
        <f t="shared" si="268"/>
        <v>0</v>
      </c>
      <c r="AH176" s="160">
        <f t="shared" si="268"/>
        <v>0</v>
      </c>
      <c r="AI176" s="294">
        <f t="shared" si="268"/>
        <v>0</v>
      </c>
      <c r="AJ176" s="294">
        <f t="shared" si="268"/>
        <v>0</v>
      </c>
      <c r="AK176" s="160">
        <f t="shared" si="268"/>
        <v>0</v>
      </c>
      <c r="AL176" s="294">
        <f t="shared" si="268"/>
        <v>0</v>
      </c>
      <c r="AM176" s="162">
        <f t="shared" si="259"/>
        <v>2125.0464300000003</v>
      </c>
      <c r="AO176" s="107" t="s">
        <v>389</v>
      </c>
      <c r="AP176" s="294">
        <f t="shared" si="269"/>
        <v>0</v>
      </c>
      <c r="AQ176" s="294">
        <f t="shared" si="269"/>
        <v>0</v>
      </c>
      <c r="AR176" s="160">
        <f t="shared" si="269"/>
        <v>830</v>
      </c>
      <c r="AS176" s="160">
        <f t="shared" si="269"/>
        <v>700</v>
      </c>
      <c r="AT176" s="160">
        <f t="shared" si="269"/>
        <v>90</v>
      </c>
      <c r="AU176" s="160">
        <f t="shared" si="269"/>
        <v>140</v>
      </c>
      <c r="AV176" s="294">
        <f t="shared" si="269"/>
        <v>0</v>
      </c>
      <c r="AW176" s="294">
        <f t="shared" si="269"/>
        <v>0</v>
      </c>
      <c r="AX176" s="160">
        <f t="shared" si="269"/>
        <v>15</v>
      </c>
      <c r="AY176" s="294">
        <f t="shared" si="269"/>
        <v>0</v>
      </c>
      <c r="AZ176" s="294">
        <f t="shared" si="269"/>
        <v>0</v>
      </c>
      <c r="BA176" s="160">
        <f t="shared" si="269"/>
        <v>75</v>
      </c>
      <c r="BB176" s="294">
        <f t="shared" si="269"/>
        <v>0</v>
      </c>
      <c r="BC176" s="162">
        <f t="shared" si="261"/>
        <v>1850</v>
      </c>
      <c r="BE176" s="107"/>
      <c r="BF176" s="166"/>
      <c r="BG176" s="166"/>
      <c r="BH176" s="166"/>
      <c r="BI176" s="166"/>
      <c r="BJ176" s="166"/>
      <c r="BK176" s="166"/>
      <c r="BL176" s="166"/>
      <c r="BM176" s="166"/>
      <c r="BN176" s="166"/>
      <c r="BO176" s="166"/>
      <c r="BP176" s="166"/>
      <c r="BQ176" s="166"/>
      <c r="BR176" s="166"/>
      <c r="BS176" s="166"/>
      <c r="BU176" s="107"/>
      <c r="BV176" s="166"/>
      <c r="BW176" s="166"/>
      <c r="BX176" s="166"/>
      <c r="BY176" s="166"/>
      <c r="BZ176" s="166"/>
      <c r="CA176" s="166"/>
      <c r="CB176" s="166"/>
      <c r="CC176" s="166"/>
      <c r="CD176" s="166"/>
      <c r="CE176" s="166"/>
      <c r="CF176" s="166"/>
      <c r="CG176" s="166"/>
      <c r="CH176" s="166"/>
      <c r="CI176" s="166"/>
      <c r="CK176" s="107" t="s">
        <v>389</v>
      </c>
      <c r="CL176" s="166" t="str">
        <f t="shared" si="264"/>
        <v/>
      </c>
      <c r="CM176" s="166" t="str">
        <f t="shared" si="264"/>
        <v/>
      </c>
      <c r="CN176" s="166" t="str">
        <f t="shared" si="264"/>
        <v/>
      </c>
      <c r="CO176" s="166" t="str">
        <f t="shared" si="264"/>
        <v/>
      </c>
      <c r="CP176" s="166"/>
      <c r="CQ176" s="166"/>
      <c r="CR176" s="166"/>
      <c r="CS176" s="166"/>
      <c r="CT176" s="166" t="str">
        <f t="shared" si="265"/>
        <v/>
      </c>
      <c r="CU176" s="166" t="str">
        <f t="shared" si="265"/>
        <v/>
      </c>
      <c r="CV176" s="166" t="str">
        <f t="shared" si="265"/>
        <v/>
      </c>
      <c r="CW176" s="166" t="str">
        <f t="shared" si="265"/>
        <v/>
      </c>
      <c r="CX176" s="166" t="str">
        <f t="shared" si="265"/>
        <v/>
      </c>
      <c r="CY176" s="168" t="str">
        <f t="shared" si="265"/>
        <v/>
      </c>
      <c r="DA176" s="107"/>
      <c r="DB176" s="315"/>
      <c r="DC176" s="315"/>
      <c r="DD176" s="314"/>
      <c r="DE176" s="314"/>
      <c r="DF176" s="314"/>
      <c r="DG176" s="314"/>
      <c r="DH176" s="315"/>
      <c r="DI176" s="315"/>
      <c r="DJ176" s="314"/>
      <c r="DK176" s="315"/>
      <c r="DL176" s="315"/>
      <c r="DM176" s="314"/>
      <c r="DN176" s="315"/>
      <c r="DO176" s="168"/>
      <c r="DQ176" s="107"/>
      <c r="DR176" s="315"/>
      <c r="DS176" s="315"/>
      <c r="DT176" s="314">
        <v>-0.60013768131084233</v>
      </c>
      <c r="DU176" s="314">
        <v>-0.60013768131084233</v>
      </c>
      <c r="DV176" s="314">
        <v>-0.62667121979276619</v>
      </c>
      <c r="DW176" s="314">
        <v>-0.62667121979276619</v>
      </c>
      <c r="DX176" s="315"/>
      <c r="DY176" s="315"/>
      <c r="DZ176" s="314">
        <v>-1.2250733186406459</v>
      </c>
      <c r="EA176" s="315"/>
      <c r="EB176" s="315"/>
      <c r="EC176" s="314">
        <v>-4.583572971306233</v>
      </c>
      <c r="ED176" s="315"/>
      <c r="EE176" s="168"/>
      <c r="EG176" s="107"/>
      <c r="EH176" s="315"/>
      <c r="EI176" s="315"/>
      <c r="EJ176" s="314">
        <f>DT175+(DD175-DD$173)*$EI$1</f>
        <v>0.66327397809300614</v>
      </c>
      <c r="EK176" s="314">
        <f>DT175+(DD175-DD$173)*$EI$1</f>
        <v>0.66327397809300614</v>
      </c>
      <c r="EL176" s="314">
        <f>DV175+(DF175-DF$173)*$EI$1</f>
        <v>0.31150662747089652</v>
      </c>
      <c r="EM176" s="314">
        <f>DV175+(DF175-DF$173)*$EI$1</f>
        <v>0.31150662747089652</v>
      </c>
      <c r="EN176" s="315"/>
      <c r="EO176" s="315"/>
      <c r="EP176" s="314">
        <f>DZ175+(DJ175-DJ$181)*$EI$1</f>
        <v>-8.8878587271733922E-2</v>
      </c>
      <c r="EQ176" s="315"/>
      <c r="ER176" s="315"/>
      <c r="ES176" s="314">
        <f>EC175+(DM175-DM$184)*$EI$1</f>
        <v>-4.9907748335634707</v>
      </c>
      <c r="ET176" s="315"/>
      <c r="EU176" s="168"/>
      <c r="EW176" s="164" t="s">
        <v>389</v>
      </c>
      <c r="EX176" s="316">
        <f t="shared" si="270"/>
        <v>0</v>
      </c>
      <c r="EY176" s="316">
        <f t="shared" si="267"/>
        <v>0</v>
      </c>
      <c r="EZ176" s="316">
        <f t="shared" si="267"/>
        <v>0.66327397809300614</v>
      </c>
      <c r="FA176" s="316">
        <f t="shared" si="267"/>
        <v>0.66327397809300614</v>
      </c>
      <c r="FB176" s="316">
        <f t="shared" si="267"/>
        <v>0</v>
      </c>
      <c r="FC176" s="316">
        <f t="shared" si="267"/>
        <v>0</v>
      </c>
      <c r="FD176" s="316">
        <f t="shared" si="267"/>
        <v>-1.3099156070530282</v>
      </c>
      <c r="FE176" s="316">
        <f t="shared" si="267"/>
        <v>0</v>
      </c>
      <c r="FF176" s="316"/>
      <c r="FG176" s="316">
        <f t="shared" si="267"/>
        <v>0</v>
      </c>
      <c r="FH176" s="316">
        <f t="shared" si="267"/>
        <v>0</v>
      </c>
      <c r="FI176" s="316">
        <f t="shared" si="267"/>
        <v>0</v>
      </c>
      <c r="FJ176" s="316">
        <f t="shared" si="267"/>
        <v>0</v>
      </c>
      <c r="FK176" s="316">
        <f t="shared" si="267"/>
        <v>0</v>
      </c>
      <c r="FL176" s="168"/>
    </row>
    <row r="177" spans="2:168" x14ac:dyDescent="0.25">
      <c r="B177" s="107" t="s">
        <v>390</v>
      </c>
      <c r="C177" s="294"/>
      <c r="D177" s="294"/>
      <c r="E177" s="294"/>
      <c r="F177" s="294"/>
      <c r="G177" s="160"/>
      <c r="H177" s="160"/>
      <c r="I177" s="294"/>
      <c r="J177" s="294"/>
      <c r="K177" s="160"/>
      <c r="L177" s="294"/>
      <c r="M177" s="294"/>
      <c r="N177" s="160"/>
      <c r="O177" s="294"/>
      <c r="P177" s="162">
        <f t="shared" si="257"/>
        <v>0</v>
      </c>
      <c r="Y177" s="107" t="s">
        <v>390</v>
      </c>
      <c r="Z177" s="294">
        <f t="shared" si="268"/>
        <v>0</v>
      </c>
      <c r="AA177" s="294">
        <f t="shared" si="268"/>
        <v>0</v>
      </c>
      <c r="AB177" s="294">
        <f t="shared" si="268"/>
        <v>0</v>
      </c>
      <c r="AC177" s="294">
        <f t="shared" si="268"/>
        <v>0</v>
      </c>
      <c r="AD177" s="160">
        <f t="shared" si="268"/>
        <v>377659.95569999999</v>
      </c>
      <c r="AE177" s="160">
        <f t="shared" si="268"/>
        <v>1389.7797799999998</v>
      </c>
      <c r="AF177" s="294">
        <f t="shared" si="268"/>
        <v>0</v>
      </c>
      <c r="AG177" s="294">
        <f t="shared" si="268"/>
        <v>0</v>
      </c>
      <c r="AH177" s="160">
        <f t="shared" si="268"/>
        <v>2065.8115290835162</v>
      </c>
      <c r="AI177" s="294">
        <f t="shared" si="268"/>
        <v>0</v>
      </c>
      <c r="AJ177" s="294">
        <f t="shared" si="268"/>
        <v>0</v>
      </c>
      <c r="AK177" s="160">
        <f t="shared" si="268"/>
        <v>0</v>
      </c>
      <c r="AL177" s="294">
        <f t="shared" si="268"/>
        <v>0</v>
      </c>
      <c r="AM177" s="162">
        <f t="shared" si="259"/>
        <v>381115.5470090835</v>
      </c>
      <c r="AO177" s="107" t="s">
        <v>390</v>
      </c>
      <c r="AP177" s="294">
        <f t="shared" si="269"/>
        <v>0</v>
      </c>
      <c r="AQ177" s="294">
        <f t="shared" si="269"/>
        <v>0</v>
      </c>
      <c r="AR177" s="294">
        <f t="shared" si="269"/>
        <v>0</v>
      </c>
      <c r="AS177" s="294">
        <f t="shared" si="269"/>
        <v>0</v>
      </c>
      <c r="AT177" s="160">
        <f t="shared" si="269"/>
        <v>36360</v>
      </c>
      <c r="AU177" s="160">
        <f t="shared" si="269"/>
        <v>1320</v>
      </c>
      <c r="AV177" s="294">
        <f t="shared" si="269"/>
        <v>0</v>
      </c>
      <c r="AW177" s="294">
        <f t="shared" si="269"/>
        <v>0</v>
      </c>
      <c r="AX177" s="160">
        <f t="shared" si="269"/>
        <v>720</v>
      </c>
      <c r="AY177" s="294">
        <f t="shared" si="269"/>
        <v>5</v>
      </c>
      <c r="AZ177" s="294">
        <f t="shared" si="269"/>
        <v>0</v>
      </c>
      <c r="BA177" s="160">
        <f t="shared" si="269"/>
        <v>30</v>
      </c>
      <c r="BB177" s="294">
        <f t="shared" si="269"/>
        <v>0</v>
      </c>
      <c r="BC177" s="162">
        <f t="shared" si="261"/>
        <v>38435</v>
      </c>
      <c r="BE177" s="107" t="s">
        <v>577</v>
      </c>
      <c r="BF177" s="166">
        <f>IF(Z$164+AA$164&gt;0,SUM(Z177:AA178)/(Z$164+AA$164),"")</f>
        <v>0</v>
      </c>
      <c r="BG177" s="166"/>
      <c r="BH177" s="166">
        <f>IF(AB$164+AC$164&gt;0,SUM(AB177:AC178)/(AB$164+AC$164),"")</f>
        <v>0</v>
      </c>
      <c r="BI177" s="166"/>
      <c r="BJ177" s="166">
        <f>IF(AD$164+AE$164&gt;0,SUM(AD177:AE178)/(AD$164+AE$164),"")</f>
        <v>0.65470004530002945</v>
      </c>
      <c r="BK177" s="166"/>
      <c r="BL177" s="166">
        <f t="shared" ref="BL177:BS177" si="274">IF(AF$164&gt;0,(AF177+AF178)/AF$164,"")</f>
        <v>0</v>
      </c>
      <c r="BM177" s="166">
        <f t="shared" si="274"/>
        <v>0</v>
      </c>
      <c r="BN177" s="166">
        <f t="shared" si="274"/>
        <v>2.930399978719263E-3</v>
      </c>
      <c r="BO177" s="166">
        <f t="shared" si="274"/>
        <v>0</v>
      </c>
      <c r="BP177" s="166">
        <f t="shared" si="274"/>
        <v>0</v>
      </c>
      <c r="BQ177" s="166">
        <f t="shared" si="274"/>
        <v>0</v>
      </c>
      <c r="BR177" s="166">
        <f t="shared" si="274"/>
        <v>0</v>
      </c>
      <c r="BS177" s="166">
        <f t="shared" si="274"/>
        <v>0.12236636832462899</v>
      </c>
      <c r="BU177" s="107" t="s">
        <v>577</v>
      </c>
      <c r="BV177" s="166">
        <f>IF(AP$164+AQ$164&gt;0,SUM(AP177:AQ178)/(AP$164+AQ$164),"")</f>
        <v>0</v>
      </c>
      <c r="BW177" s="166"/>
      <c r="BX177" s="166">
        <f>IF(AR$164+AS$164&gt;0,SUM(AR177:AS178)/(AR$164+AS$164),"")</f>
        <v>0</v>
      </c>
      <c r="BY177" s="166"/>
      <c r="BZ177" s="166">
        <f>IF(AT$164+AU$164&gt;0,SUM(AT177:AU178)/(AT$164+AU$164),"")</f>
        <v>0.20704525240546587</v>
      </c>
      <c r="CA177" s="166"/>
      <c r="CB177" s="166">
        <f t="shared" ref="CB177:CI177" si="275">IF(AV$164&gt;0,(AV177+AV178)/AV$164,"")</f>
        <v>0</v>
      </c>
      <c r="CC177" s="166">
        <f t="shared" si="275"/>
        <v>0</v>
      </c>
      <c r="CD177" s="166">
        <f t="shared" si="275"/>
        <v>1.3325356249320134E-3</v>
      </c>
      <c r="CE177" s="166">
        <f t="shared" si="275"/>
        <v>3.3244680851063829E-4</v>
      </c>
      <c r="CF177" s="166">
        <f t="shared" si="275"/>
        <v>0</v>
      </c>
      <c r="CG177" s="166">
        <f t="shared" si="275"/>
        <v>2.229654403567447E-3</v>
      </c>
      <c r="CH177" s="166">
        <f t="shared" si="275"/>
        <v>0</v>
      </c>
      <c r="CI177" s="166">
        <f t="shared" si="275"/>
        <v>1.8175028586935597E-2</v>
      </c>
      <c r="CK177" s="107" t="s">
        <v>390</v>
      </c>
      <c r="CL177" s="166"/>
      <c r="CM177" s="166"/>
      <c r="CN177" s="166"/>
      <c r="CO177" s="166"/>
      <c r="CP177" s="166"/>
      <c r="CQ177" s="166"/>
      <c r="CR177" s="166"/>
      <c r="CS177" s="166"/>
      <c r="CT177" s="166"/>
      <c r="CU177" s="166"/>
      <c r="CV177" s="166"/>
      <c r="CW177" s="166"/>
      <c r="CX177" s="166"/>
      <c r="CY177" s="168"/>
      <c r="DA177" s="107" t="s">
        <v>577</v>
      </c>
      <c r="DB177" s="315">
        <f>IFERROR(IF(BV177&gt;0,LN(BF177/BV177),0),0)</f>
        <v>0</v>
      </c>
      <c r="DC177" s="315"/>
      <c r="DD177" s="315">
        <f>IFERROR(IF(BX177&gt;0,LN(BH177/BX177),0),0)</f>
        <v>0</v>
      </c>
      <c r="DE177" s="315"/>
      <c r="DF177" s="314">
        <f>IFERROR(IF(BZ177&gt;0,LN(BJ177/BZ177),0),0)</f>
        <v>1.1512398046111181</v>
      </c>
      <c r="DG177" s="314"/>
      <c r="DH177" s="315">
        <f t="shared" ref="DH177:DN177" si="276">IFERROR(IF(CB177&gt;0,LN(BL177/CB177),0),0)</f>
        <v>0</v>
      </c>
      <c r="DI177" s="315">
        <f t="shared" si="276"/>
        <v>0</v>
      </c>
      <c r="DJ177" s="314">
        <f t="shared" si="276"/>
        <v>0.7880553131112904</v>
      </c>
      <c r="DK177" s="315">
        <f t="shared" si="276"/>
        <v>0</v>
      </c>
      <c r="DL177" s="315">
        <f t="shared" si="276"/>
        <v>0</v>
      </c>
      <c r="DM177" s="314">
        <f t="shared" si="276"/>
        <v>0</v>
      </c>
      <c r="DN177" s="315">
        <f t="shared" si="276"/>
        <v>0</v>
      </c>
      <c r="DO177" s="168"/>
      <c r="DQ177" s="107" t="s">
        <v>577</v>
      </c>
      <c r="DR177" s="315"/>
      <c r="DS177" s="315"/>
      <c r="DT177" s="315"/>
      <c r="DU177" s="315"/>
      <c r="DV177" s="314">
        <v>-0.69978372758863139</v>
      </c>
      <c r="DW177" s="314">
        <v>-0.69978372758863139</v>
      </c>
      <c r="DX177" s="315"/>
      <c r="DY177" s="315"/>
      <c r="DZ177" s="314">
        <v>-2.660846726495639</v>
      </c>
      <c r="EA177" s="315"/>
      <c r="EB177" s="315"/>
      <c r="EC177" s="314">
        <v>-5.852719966138757</v>
      </c>
      <c r="ED177" s="315"/>
      <c r="EE177" s="168"/>
      <c r="EG177" s="107" t="s">
        <v>577</v>
      </c>
      <c r="EH177" s="315"/>
      <c r="EI177" s="315"/>
      <c r="EJ177" s="315"/>
      <c r="EK177" s="315"/>
      <c r="EL177" s="314">
        <f>DV177+(DF177-DF$173)*$EI$1</f>
        <v>0.69435025566857322</v>
      </c>
      <c r="EM177" s="314">
        <f>DV177+(DF177-DF$173)*$EI$1</f>
        <v>0.69435025566857322</v>
      </c>
      <c r="EN177" s="315"/>
      <c r="EO177" s="315"/>
      <c r="EP177" s="314">
        <f>DZ177+(DJ177-DJ$181)*$EI$1</f>
        <v>-1.7498481351232504</v>
      </c>
      <c r="EQ177" s="315"/>
      <c r="ER177" s="315"/>
      <c r="ES177" s="314">
        <f>EC177+(DM177-DM$184)*$EI$1</f>
        <v>-5.5629789776270906</v>
      </c>
      <c r="ET177" s="315"/>
      <c r="EU177" s="168"/>
      <c r="EW177" s="164" t="s">
        <v>390</v>
      </c>
      <c r="EX177" s="316">
        <f t="shared" si="270"/>
        <v>0</v>
      </c>
      <c r="EY177" s="316">
        <f t="shared" si="267"/>
        <v>0</v>
      </c>
      <c r="EZ177" s="316">
        <f t="shared" si="267"/>
        <v>0.31150662747089652</v>
      </c>
      <c r="FA177" s="316">
        <f t="shared" si="267"/>
        <v>0.31150662747089652</v>
      </c>
      <c r="FB177" s="316">
        <f t="shared" si="267"/>
        <v>0.69435025566857322</v>
      </c>
      <c r="FC177" s="316">
        <f t="shared" si="267"/>
        <v>0.69435025566857322</v>
      </c>
      <c r="FD177" s="316">
        <f t="shared" si="267"/>
        <v>-3.3457191846234391</v>
      </c>
      <c r="FE177" s="316">
        <f t="shared" si="267"/>
        <v>0</v>
      </c>
      <c r="FF177" s="316"/>
      <c r="FG177" s="316">
        <f t="shared" si="267"/>
        <v>0</v>
      </c>
      <c r="FH177" s="316">
        <f t="shared" si="267"/>
        <v>0</v>
      </c>
      <c r="FI177" s="316">
        <f t="shared" si="267"/>
        <v>0</v>
      </c>
      <c r="FJ177" s="316">
        <f t="shared" si="267"/>
        <v>0</v>
      </c>
      <c r="FK177" s="316">
        <f t="shared" si="267"/>
        <v>0</v>
      </c>
      <c r="FL177" s="168"/>
    </row>
    <row r="178" spans="2:168" x14ac:dyDescent="0.25">
      <c r="B178" s="107" t="s">
        <v>391</v>
      </c>
      <c r="C178" s="294"/>
      <c r="D178" s="294"/>
      <c r="E178" s="294"/>
      <c r="F178" s="294"/>
      <c r="G178" s="160"/>
      <c r="H178" s="160"/>
      <c r="I178" s="294"/>
      <c r="J178" s="294"/>
      <c r="K178" s="160"/>
      <c r="L178" s="294"/>
      <c r="M178" s="294"/>
      <c r="N178" s="160"/>
      <c r="O178" s="294"/>
      <c r="P178" s="162">
        <f t="shared" si="257"/>
        <v>0</v>
      </c>
      <c r="Y178" s="107" t="s">
        <v>391</v>
      </c>
      <c r="Z178" s="294">
        <f t="shared" si="268"/>
        <v>0</v>
      </c>
      <c r="AA178" s="294">
        <f t="shared" si="268"/>
        <v>0</v>
      </c>
      <c r="AB178" s="294">
        <f t="shared" si="268"/>
        <v>0</v>
      </c>
      <c r="AC178" s="294">
        <f t="shared" si="268"/>
        <v>0</v>
      </c>
      <c r="AD178" s="160">
        <f t="shared" si="268"/>
        <v>0</v>
      </c>
      <c r="AE178" s="160">
        <f t="shared" si="268"/>
        <v>3137.7443599999997</v>
      </c>
      <c r="AF178" s="294">
        <f t="shared" si="268"/>
        <v>0</v>
      </c>
      <c r="AG178" s="294">
        <f t="shared" si="268"/>
        <v>0</v>
      </c>
      <c r="AH178" s="160">
        <f t="shared" si="268"/>
        <v>339.39623646654331</v>
      </c>
      <c r="AI178" s="294">
        <f t="shared" si="268"/>
        <v>0</v>
      </c>
      <c r="AJ178" s="294">
        <f t="shared" si="268"/>
        <v>0</v>
      </c>
      <c r="AK178" s="160">
        <f t="shared" si="268"/>
        <v>0</v>
      </c>
      <c r="AL178" s="294">
        <f t="shared" si="268"/>
        <v>0</v>
      </c>
      <c r="AM178" s="162">
        <f t="shared" si="259"/>
        <v>3477.1405964665428</v>
      </c>
      <c r="AO178" s="107" t="s">
        <v>391</v>
      </c>
      <c r="AP178" s="294">
        <f t="shared" si="269"/>
        <v>0</v>
      </c>
      <c r="AQ178" s="294">
        <f t="shared" si="269"/>
        <v>0</v>
      </c>
      <c r="AR178" s="294">
        <f t="shared" si="269"/>
        <v>0</v>
      </c>
      <c r="AS178" s="294">
        <f t="shared" si="269"/>
        <v>0</v>
      </c>
      <c r="AT178" s="160">
        <f t="shared" si="269"/>
        <v>290</v>
      </c>
      <c r="AU178" s="160">
        <f t="shared" si="269"/>
        <v>440</v>
      </c>
      <c r="AV178" s="294">
        <f t="shared" si="269"/>
        <v>0</v>
      </c>
      <c r="AW178" s="294">
        <f t="shared" si="269"/>
        <v>0</v>
      </c>
      <c r="AX178" s="160">
        <f t="shared" si="269"/>
        <v>15</v>
      </c>
      <c r="AY178" s="294">
        <f t="shared" si="269"/>
        <v>0</v>
      </c>
      <c r="AZ178" s="294">
        <f t="shared" si="269"/>
        <v>0</v>
      </c>
      <c r="BA178" s="160">
        <f t="shared" si="269"/>
        <v>0</v>
      </c>
      <c r="BB178" s="294">
        <f t="shared" si="269"/>
        <v>0</v>
      </c>
      <c r="BC178" s="162">
        <f t="shared" si="261"/>
        <v>745</v>
      </c>
      <c r="BE178" s="107"/>
      <c r="BF178" s="166"/>
      <c r="BG178" s="166"/>
      <c r="BH178" s="166"/>
      <c r="BI178" s="166"/>
      <c r="BJ178" s="166"/>
      <c r="BK178" s="166"/>
      <c r="BL178" s="166"/>
      <c r="BM178" s="166"/>
      <c r="BN178" s="166"/>
      <c r="BO178" s="166"/>
      <c r="BP178" s="166"/>
      <c r="BQ178" s="166"/>
      <c r="BR178" s="166"/>
      <c r="BS178" s="166"/>
      <c r="BU178" s="107"/>
      <c r="BV178" s="166"/>
      <c r="BW178" s="166"/>
      <c r="BX178" s="166"/>
      <c r="BY178" s="166"/>
      <c r="BZ178" s="166"/>
      <c r="CA178" s="166"/>
      <c r="CB178" s="166"/>
      <c r="CC178" s="166"/>
      <c r="CD178" s="166"/>
      <c r="CE178" s="166"/>
      <c r="CF178" s="166"/>
      <c r="CG178" s="166"/>
      <c r="CH178" s="166"/>
      <c r="CI178" s="166"/>
      <c r="CK178" s="107" t="s">
        <v>391</v>
      </c>
      <c r="CL178" s="166"/>
      <c r="CM178" s="166"/>
      <c r="CN178" s="166"/>
      <c r="CO178" s="166"/>
      <c r="CP178" s="166"/>
      <c r="CQ178" s="166"/>
      <c r="CR178" s="166"/>
      <c r="CS178" s="166"/>
      <c r="CT178" s="166"/>
      <c r="CU178" s="166"/>
      <c r="CV178" s="166"/>
      <c r="CW178" s="166"/>
      <c r="CX178" s="166"/>
      <c r="CY178" s="168"/>
      <c r="DA178" s="107"/>
      <c r="DB178" s="315"/>
      <c r="DC178" s="315"/>
      <c r="DD178" s="315"/>
      <c r="DE178" s="315"/>
      <c r="DF178" s="314"/>
      <c r="DG178" s="314"/>
      <c r="DH178" s="315"/>
      <c r="DI178" s="315"/>
      <c r="DJ178" s="314"/>
      <c r="DK178" s="315"/>
      <c r="DL178" s="315"/>
      <c r="DM178" s="314"/>
      <c r="DN178" s="315"/>
      <c r="DO178" s="168"/>
      <c r="DQ178" s="107"/>
      <c r="DR178" s="315"/>
      <c r="DS178" s="315"/>
      <c r="DT178" s="315"/>
      <c r="DU178" s="315"/>
      <c r="DV178" s="314">
        <v>-0.69978372758863139</v>
      </c>
      <c r="DW178" s="314">
        <v>-0.69978372758863139</v>
      </c>
      <c r="DX178" s="315"/>
      <c r="DY178" s="315"/>
      <c r="DZ178" s="314">
        <v>-2.660846726495639</v>
      </c>
      <c r="EA178" s="315"/>
      <c r="EB178" s="315"/>
      <c r="EC178" s="314">
        <v>-5.852719966138757</v>
      </c>
      <c r="ED178" s="315"/>
      <c r="EE178" s="168"/>
      <c r="EG178" s="107"/>
      <c r="EH178" s="315"/>
      <c r="EI178" s="315"/>
      <c r="EJ178" s="315"/>
      <c r="EK178" s="315"/>
      <c r="EL178" s="314">
        <f>DV177+(DF177-DF$173)*$EI$1</f>
        <v>0.69435025566857322</v>
      </c>
      <c r="EM178" s="314">
        <f>DV177+(DF177-DF$173)*$EI$1</f>
        <v>0.69435025566857322</v>
      </c>
      <c r="EN178" s="315"/>
      <c r="EO178" s="315"/>
      <c r="EP178" s="314">
        <f>DZ177+(DJ177-DJ$181)*$EI$1</f>
        <v>-1.7498481351232504</v>
      </c>
      <c r="EQ178" s="315"/>
      <c r="ER178" s="315"/>
      <c r="ES178" s="314">
        <f>EC177+(DM177-DM$184)*$EI$1</f>
        <v>-5.5629789776270906</v>
      </c>
      <c r="ET178" s="315"/>
      <c r="EU178" s="168"/>
      <c r="EW178" s="164" t="s">
        <v>391</v>
      </c>
      <c r="EX178" s="316">
        <f t="shared" si="270"/>
        <v>0</v>
      </c>
      <c r="EY178" s="316">
        <f t="shared" si="267"/>
        <v>0</v>
      </c>
      <c r="EZ178" s="316">
        <f t="shared" si="267"/>
        <v>0.31150662747089652</v>
      </c>
      <c r="FA178" s="316">
        <f t="shared" si="267"/>
        <v>0.31150662747089652</v>
      </c>
      <c r="FB178" s="316">
        <f t="shared" si="267"/>
        <v>0.69435025566857322</v>
      </c>
      <c r="FC178" s="316">
        <f t="shared" si="267"/>
        <v>0.69435025566857322</v>
      </c>
      <c r="FD178" s="316">
        <f t="shared" si="267"/>
        <v>-3.3457191846234391</v>
      </c>
      <c r="FE178" s="316">
        <f t="shared" si="267"/>
        <v>0</v>
      </c>
      <c r="FF178" s="316"/>
      <c r="FG178" s="316">
        <f t="shared" si="267"/>
        <v>0</v>
      </c>
      <c r="FH178" s="316">
        <f t="shared" si="267"/>
        <v>0</v>
      </c>
      <c r="FI178" s="316">
        <f t="shared" si="267"/>
        <v>0</v>
      </c>
      <c r="FJ178" s="316">
        <f t="shared" si="267"/>
        <v>0</v>
      </c>
      <c r="FK178" s="316">
        <f t="shared" si="267"/>
        <v>0</v>
      </c>
      <c r="FL178" s="168"/>
    </row>
    <row r="179" spans="2:168" x14ac:dyDescent="0.25">
      <c r="B179" s="107" t="s">
        <v>392</v>
      </c>
      <c r="C179" s="294"/>
      <c r="D179" s="294"/>
      <c r="E179" s="160"/>
      <c r="F179" s="160"/>
      <c r="G179" s="160"/>
      <c r="H179" s="160"/>
      <c r="I179" s="160"/>
      <c r="J179" s="294"/>
      <c r="K179" s="160"/>
      <c r="L179" s="294"/>
      <c r="M179" s="294"/>
      <c r="N179" s="160"/>
      <c r="O179" s="294"/>
      <c r="P179" s="162">
        <f t="shared" si="257"/>
        <v>0</v>
      </c>
      <c r="Y179" s="107" t="s">
        <v>392</v>
      </c>
      <c r="Z179" s="294">
        <f t="shared" si="268"/>
        <v>0</v>
      </c>
      <c r="AA179" s="294">
        <f t="shared" si="268"/>
        <v>0</v>
      </c>
      <c r="AB179" s="160">
        <f t="shared" si="268"/>
        <v>8303.0649400000002</v>
      </c>
      <c r="AC179" s="160">
        <f t="shared" si="268"/>
        <v>0</v>
      </c>
      <c r="AD179" s="160">
        <f t="shared" si="268"/>
        <v>3868.3504399999997</v>
      </c>
      <c r="AE179" s="160">
        <f t="shared" si="268"/>
        <v>0</v>
      </c>
      <c r="AF179" s="160">
        <f t="shared" si="268"/>
        <v>176070.5754</v>
      </c>
      <c r="AG179" s="294">
        <f t="shared" si="268"/>
        <v>0</v>
      </c>
      <c r="AH179" s="160">
        <f t="shared" si="268"/>
        <v>27615.480907428555</v>
      </c>
      <c r="AI179" s="294">
        <f t="shared" si="268"/>
        <v>0</v>
      </c>
      <c r="AJ179" s="294">
        <f t="shared" si="268"/>
        <v>0</v>
      </c>
      <c r="AK179" s="160">
        <f t="shared" si="268"/>
        <v>1539.6633999999999</v>
      </c>
      <c r="AL179" s="294">
        <f t="shared" si="268"/>
        <v>0</v>
      </c>
      <c r="AM179" s="162">
        <f t="shared" si="259"/>
        <v>217397.13508742853</v>
      </c>
      <c r="AO179" s="107" t="s">
        <v>392</v>
      </c>
      <c r="AP179" s="294">
        <f t="shared" si="269"/>
        <v>0</v>
      </c>
      <c r="AQ179" s="294">
        <f t="shared" si="269"/>
        <v>0</v>
      </c>
      <c r="AR179" s="160">
        <f t="shared" si="269"/>
        <v>11950</v>
      </c>
      <c r="AS179" s="160">
        <f t="shared" si="269"/>
        <v>170</v>
      </c>
      <c r="AT179" s="160">
        <f t="shared" si="269"/>
        <v>4505</v>
      </c>
      <c r="AU179" s="160">
        <f t="shared" si="269"/>
        <v>70</v>
      </c>
      <c r="AV179" s="160">
        <f t="shared" si="269"/>
        <v>180980</v>
      </c>
      <c r="AW179" s="294">
        <f t="shared" si="269"/>
        <v>0</v>
      </c>
      <c r="AX179" s="160">
        <f t="shared" si="269"/>
        <v>30780</v>
      </c>
      <c r="AY179" s="294">
        <f t="shared" si="269"/>
        <v>860</v>
      </c>
      <c r="AZ179" s="294">
        <f t="shared" si="269"/>
        <v>0</v>
      </c>
      <c r="BA179" s="160">
        <f t="shared" si="269"/>
        <v>1555</v>
      </c>
      <c r="BB179" s="294">
        <f t="shared" si="269"/>
        <v>0</v>
      </c>
      <c r="BC179" s="162">
        <f t="shared" si="261"/>
        <v>230870</v>
      </c>
      <c r="BE179" s="107" t="s">
        <v>392</v>
      </c>
      <c r="BF179" s="166">
        <f t="shared" ref="BF179:BS186" si="277">IF(Z$164&gt;0,Z179/Z$164,"")</f>
        <v>0</v>
      </c>
      <c r="BG179" s="166">
        <f t="shared" si="277"/>
        <v>0</v>
      </c>
      <c r="BH179" s="166">
        <f t="shared" si="277"/>
        <v>1.4198763723599132E-2</v>
      </c>
      <c r="BI179" s="166">
        <f t="shared" si="277"/>
        <v>0</v>
      </c>
      <c r="BJ179" s="166">
        <f t="shared" si="277"/>
        <v>6.7022941019575398E-3</v>
      </c>
      <c r="BK179" s="166">
        <f t="shared" si="277"/>
        <v>0</v>
      </c>
      <c r="BL179" s="166">
        <f t="shared" si="277"/>
        <v>0.68548129606338881</v>
      </c>
      <c r="BM179" s="166">
        <f t="shared" si="277"/>
        <v>0</v>
      </c>
      <c r="BN179" s="166">
        <f t="shared" si="277"/>
        <v>3.3645494506768236E-2</v>
      </c>
      <c r="BO179" s="166">
        <f t="shared" si="277"/>
        <v>0</v>
      </c>
      <c r="BP179" s="166">
        <f t="shared" si="277"/>
        <v>0</v>
      </c>
      <c r="BQ179" s="166">
        <f t="shared" si="277"/>
        <v>7.0174714018902407E-2</v>
      </c>
      <c r="BR179" s="166">
        <f t="shared" si="277"/>
        <v>0</v>
      </c>
      <c r="BS179" s="166">
        <f t="shared" si="277"/>
        <v>6.9169536400835896E-2</v>
      </c>
      <c r="BU179" s="107" t="s">
        <v>392</v>
      </c>
      <c r="BV179" s="166">
        <f t="shared" ref="BV179:CI186" si="278">IF(AP$164&gt;0,AP179/AP$164,"")</f>
        <v>0</v>
      </c>
      <c r="BW179" s="166">
        <f t="shared" si="278"/>
        <v>0</v>
      </c>
      <c r="BX179" s="166">
        <f t="shared" si="278"/>
        <v>7.3270179956467091E-2</v>
      </c>
      <c r="BY179" s="166">
        <f t="shared" si="278"/>
        <v>2.2412656558998021E-2</v>
      </c>
      <c r="BZ179" s="166">
        <f t="shared" si="278"/>
        <v>2.6982510781025395E-2</v>
      </c>
      <c r="CA179" s="166">
        <f t="shared" si="278"/>
        <v>3.7725680409593102E-3</v>
      </c>
      <c r="CB179" s="166">
        <f t="shared" si="278"/>
        <v>0.32924011715694301</v>
      </c>
      <c r="CC179" s="166">
        <f t="shared" si="278"/>
        <v>0</v>
      </c>
      <c r="CD179" s="166">
        <f t="shared" si="278"/>
        <v>5.5803328619601869E-2</v>
      </c>
      <c r="CE179" s="166">
        <f t="shared" si="278"/>
        <v>5.7180851063829786E-2</v>
      </c>
      <c r="CF179" s="166">
        <f t="shared" si="278"/>
        <v>0</v>
      </c>
      <c r="CG179" s="166">
        <f t="shared" si="278"/>
        <v>0.115570419918246</v>
      </c>
      <c r="CH179" s="166">
        <f t="shared" si="278"/>
        <v>0</v>
      </c>
      <c r="CI179" s="168">
        <f t="shared" si="278"/>
        <v>0.1070972141364426</v>
      </c>
      <c r="CK179" s="107" t="s">
        <v>392</v>
      </c>
      <c r="CL179" s="166"/>
      <c r="CM179" s="166"/>
      <c r="CN179" s="166"/>
      <c r="CO179" s="166"/>
      <c r="CP179" s="166"/>
      <c r="CQ179" s="166"/>
      <c r="CR179" s="166"/>
      <c r="CS179" s="166"/>
      <c r="CT179" s="166"/>
      <c r="CU179" s="166"/>
      <c r="CV179" s="166"/>
      <c r="CW179" s="166"/>
      <c r="CX179" s="166"/>
      <c r="CY179" s="168"/>
      <c r="DA179" s="107" t="s">
        <v>392</v>
      </c>
      <c r="DB179" s="315">
        <f t="shared" ref="DB179:DN185" si="279">IFERROR(IF(BV179&gt;0,LN(BF179/BV179),0),0)</f>
        <v>0</v>
      </c>
      <c r="DC179" s="315">
        <f t="shared" si="279"/>
        <v>0</v>
      </c>
      <c r="DD179" s="314">
        <f t="shared" si="279"/>
        <v>-1.6409988051430815</v>
      </c>
      <c r="DE179" s="314">
        <f t="shared" si="279"/>
        <v>0</v>
      </c>
      <c r="DF179" s="314">
        <f t="shared" si="279"/>
        <v>-1.3927390362059524</v>
      </c>
      <c r="DG179" s="314">
        <f t="shared" si="279"/>
        <v>0</v>
      </c>
      <c r="DH179" s="314">
        <f t="shared" si="279"/>
        <v>0.7333338895843744</v>
      </c>
      <c r="DI179" s="315">
        <f t="shared" si="279"/>
        <v>0</v>
      </c>
      <c r="DJ179" s="314">
        <f t="shared" si="279"/>
        <v>-0.50595436597806676</v>
      </c>
      <c r="DK179" s="315">
        <f t="shared" si="279"/>
        <v>0</v>
      </c>
      <c r="DL179" s="315">
        <f t="shared" si="279"/>
        <v>0</v>
      </c>
      <c r="DM179" s="314">
        <f t="shared" si="279"/>
        <v>-0.49889199345093405</v>
      </c>
      <c r="DN179" s="315">
        <f t="shared" si="279"/>
        <v>0</v>
      </c>
      <c r="DO179" s="168"/>
      <c r="DQ179" s="107" t="s">
        <v>392</v>
      </c>
      <c r="DR179" s="315"/>
      <c r="DS179" s="315"/>
      <c r="DT179" s="314">
        <v>-0.67350842550907641</v>
      </c>
      <c r="DU179" s="314">
        <v>-0.67350842550907641</v>
      </c>
      <c r="DV179" s="314">
        <v>-2.1958743270635734</v>
      </c>
      <c r="DW179" s="314">
        <v>-2.1958743270635734</v>
      </c>
      <c r="DX179" s="314">
        <v>0</v>
      </c>
      <c r="DY179" s="315"/>
      <c r="DZ179" s="314">
        <v>-1.8753435510031211</v>
      </c>
      <c r="EA179" s="315"/>
      <c r="EB179" s="315"/>
      <c r="EC179" s="314">
        <v>2.7881261176811849</v>
      </c>
      <c r="ED179" s="315"/>
      <c r="EE179" s="168"/>
      <c r="EG179" s="107" t="s">
        <v>392</v>
      </c>
      <c r="EH179" s="315"/>
      <c r="EI179" s="315"/>
      <c r="EJ179" s="314">
        <f>DT179+(DD179-DD$173)*$EI$1</f>
        <v>-1.3099156070530282</v>
      </c>
      <c r="EK179" s="314">
        <f>DT179+(DD179-DD$173)*$EI$1</f>
        <v>-1.3099156070530282</v>
      </c>
      <c r="EL179" s="314">
        <f>DV179+(DF179-DF$173)*$EI$1</f>
        <v>-3.3457191846234391</v>
      </c>
      <c r="EM179" s="314">
        <f>DV179+(DF179-DF$173)*$EI$1</f>
        <v>-3.3457191846234391</v>
      </c>
      <c r="EN179" s="314">
        <v>0</v>
      </c>
      <c r="EO179" s="315"/>
      <c r="EP179" s="314">
        <f>DZ179+(DJ179-DJ$181)*$EI$1</f>
        <v>-2.2583546387200895</v>
      </c>
      <c r="EQ179" s="315"/>
      <c r="ER179" s="315"/>
      <c r="ES179" s="314">
        <f>EC179+(DM179-DM$184)*$EI$1</f>
        <v>2.5789751127419169</v>
      </c>
      <c r="ET179" s="315"/>
      <c r="EU179" s="168"/>
      <c r="EW179" s="164" t="s">
        <v>392</v>
      </c>
      <c r="EX179" s="316">
        <f t="shared" si="270"/>
        <v>0</v>
      </c>
      <c r="EY179" s="316">
        <f t="shared" si="267"/>
        <v>0</v>
      </c>
      <c r="EZ179" s="316">
        <f t="shared" si="267"/>
        <v>0</v>
      </c>
      <c r="FA179" s="316">
        <f t="shared" si="267"/>
        <v>0</v>
      </c>
      <c r="FB179" s="316">
        <f t="shared" si="267"/>
        <v>0</v>
      </c>
      <c r="FC179" s="316">
        <f t="shared" si="267"/>
        <v>0</v>
      </c>
      <c r="FD179" s="316">
        <f t="shared" si="267"/>
        <v>0</v>
      </c>
      <c r="FE179" s="316">
        <f t="shared" si="267"/>
        <v>0</v>
      </c>
      <c r="FF179" s="316"/>
      <c r="FG179" s="316">
        <f t="shared" si="267"/>
        <v>0</v>
      </c>
      <c r="FH179" s="316">
        <f t="shared" si="267"/>
        <v>0</v>
      </c>
      <c r="FI179" s="316">
        <f t="shared" si="267"/>
        <v>0</v>
      </c>
      <c r="FJ179" s="316">
        <f t="shared" si="267"/>
        <v>0</v>
      </c>
      <c r="FK179" s="316">
        <f t="shared" si="267"/>
        <v>0</v>
      </c>
      <c r="FL179" s="168"/>
    </row>
    <row r="180" spans="2:168" x14ac:dyDescent="0.25">
      <c r="B180" s="107" t="s">
        <v>393</v>
      </c>
      <c r="C180" s="294"/>
      <c r="D180" s="294"/>
      <c r="E180" s="294"/>
      <c r="F180" s="294"/>
      <c r="G180" s="294"/>
      <c r="H180" s="294"/>
      <c r="I180" s="294"/>
      <c r="J180" s="160"/>
      <c r="K180" s="294"/>
      <c r="L180" s="294"/>
      <c r="M180" s="294"/>
      <c r="N180" s="294"/>
      <c r="O180" s="294"/>
      <c r="P180" s="162">
        <f t="shared" si="257"/>
        <v>0</v>
      </c>
      <c r="Y180" s="107" t="s">
        <v>393</v>
      </c>
      <c r="Z180" s="294">
        <f t="shared" si="268"/>
        <v>0</v>
      </c>
      <c r="AA180" s="294">
        <f t="shared" si="268"/>
        <v>0</v>
      </c>
      <c r="AB180" s="294">
        <f t="shared" si="268"/>
        <v>0</v>
      </c>
      <c r="AC180" s="294">
        <f t="shared" si="268"/>
        <v>0</v>
      </c>
      <c r="AD180" s="294">
        <f t="shared" si="268"/>
        <v>0</v>
      </c>
      <c r="AE180" s="294">
        <f t="shared" si="268"/>
        <v>0</v>
      </c>
      <c r="AF180" s="294">
        <f t="shared" si="268"/>
        <v>0</v>
      </c>
      <c r="AG180" s="160">
        <f t="shared" si="268"/>
        <v>30520.88076</v>
      </c>
      <c r="AH180" s="294">
        <f t="shared" si="268"/>
        <v>0</v>
      </c>
      <c r="AI180" s="294">
        <f t="shared" si="268"/>
        <v>0</v>
      </c>
      <c r="AJ180" s="294">
        <f t="shared" si="268"/>
        <v>0</v>
      </c>
      <c r="AK180" s="294">
        <f t="shared" si="268"/>
        <v>0</v>
      </c>
      <c r="AL180" s="294">
        <f t="shared" si="268"/>
        <v>0</v>
      </c>
      <c r="AM180" s="162">
        <f t="shared" si="259"/>
        <v>30520.88076</v>
      </c>
      <c r="AO180" s="107" t="s">
        <v>393</v>
      </c>
      <c r="AP180" s="294">
        <f t="shared" si="269"/>
        <v>0</v>
      </c>
      <c r="AQ180" s="294">
        <f t="shared" si="269"/>
        <v>0</v>
      </c>
      <c r="AR180" s="294">
        <f t="shared" si="269"/>
        <v>0</v>
      </c>
      <c r="AS180" s="294">
        <f t="shared" si="269"/>
        <v>0</v>
      </c>
      <c r="AT180" s="294">
        <f t="shared" si="269"/>
        <v>0</v>
      </c>
      <c r="AU180" s="294">
        <f t="shared" si="269"/>
        <v>0</v>
      </c>
      <c r="AV180" s="294">
        <f t="shared" si="269"/>
        <v>0</v>
      </c>
      <c r="AW180" s="160">
        <f t="shared" si="269"/>
        <v>32040</v>
      </c>
      <c r="AX180" s="294">
        <f t="shared" si="269"/>
        <v>0</v>
      </c>
      <c r="AY180" s="294">
        <f t="shared" si="269"/>
        <v>0</v>
      </c>
      <c r="AZ180" s="294">
        <f t="shared" si="269"/>
        <v>0</v>
      </c>
      <c r="BA180" s="294">
        <f t="shared" si="269"/>
        <v>0</v>
      </c>
      <c r="BB180" s="294">
        <f t="shared" si="269"/>
        <v>0</v>
      </c>
      <c r="BC180" s="162">
        <f t="shared" si="261"/>
        <v>32040</v>
      </c>
      <c r="BE180" s="107" t="s">
        <v>393</v>
      </c>
      <c r="BF180" s="166">
        <f t="shared" si="277"/>
        <v>0</v>
      </c>
      <c r="BG180" s="166">
        <f t="shared" si="277"/>
        <v>0</v>
      </c>
      <c r="BH180" s="166">
        <f t="shared" si="277"/>
        <v>0</v>
      </c>
      <c r="BI180" s="166">
        <f t="shared" si="277"/>
        <v>0</v>
      </c>
      <c r="BJ180" s="166">
        <f t="shared" si="277"/>
        <v>0</v>
      </c>
      <c r="BK180" s="166">
        <f t="shared" si="277"/>
        <v>0</v>
      </c>
      <c r="BL180" s="166">
        <f t="shared" si="277"/>
        <v>0</v>
      </c>
      <c r="BM180" s="166">
        <f t="shared" si="277"/>
        <v>0.27400733794158699</v>
      </c>
      <c r="BN180" s="166">
        <f t="shared" si="277"/>
        <v>0</v>
      </c>
      <c r="BO180" s="166">
        <f t="shared" si="277"/>
        <v>0</v>
      </c>
      <c r="BP180" s="166">
        <f t="shared" si="277"/>
        <v>0</v>
      </c>
      <c r="BQ180" s="166">
        <f t="shared" si="277"/>
        <v>0</v>
      </c>
      <c r="BR180" s="166">
        <f t="shared" si="277"/>
        <v>0</v>
      </c>
      <c r="BS180" s="166">
        <f t="shared" si="277"/>
        <v>9.7108693353543281E-3</v>
      </c>
      <c r="BU180" s="107" t="s">
        <v>393</v>
      </c>
      <c r="BV180" s="166">
        <f t="shared" si="278"/>
        <v>0</v>
      </c>
      <c r="BW180" s="166">
        <f t="shared" si="278"/>
        <v>0</v>
      </c>
      <c r="BX180" s="166">
        <f t="shared" si="278"/>
        <v>0</v>
      </c>
      <c r="BY180" s="166">
        <f t="shared" si="278"/>
        <v>0</v>
      </c>
      <c r="BZ180" s="166">
        <f t="shared" si="278"/>
        <v>0</v>
      </c>
      <c r="CA180" s="166">
        <f t="shared" si="278"/>
        <v>0</v>
      </c>
      <c r="CB180" s="166">
        <f t="shared" si="278"/>
        <v>0</v>
      </c>
      <c r="CC180" s="166">
        <f t="shared" si="278"/>
        <v>0.3163975707302622</v>
      </c>
      <c r="CD180" s="166">
        <f t="shared" si="278"/>
        <v>0</v>
      </c>
      <c r="CE180" s="166">
        <f t="shared" si="278"/>
        <v>0</v>
      </c>
      <c r="CF180" s="166">
        <f t="shared" si="278"/>
        <v>0</v>
      </c>
      <c r="CG180" s="166">
        <f t="shared" si="278"/>
        <v>0</v>
      </c>
      <c r="CH180" s="166">
        <f t="shared" si="278"/>
        <v>0</v>
      </c>
      <c r="CI180" s="168">
        <f t="shared" si="278"/>
        <v>1.4862887083343964E-2</v>
      </c>
      <c r="CK180" s="107" t="s">
        <v>393</v>
      </c>
      <c r="CL180" s="166"/>
      <c r="CM180" s="166"/>
      <c r="CN180" s="166"/>
      <c r="CO180" s="166"/>
      <c r="CP180" s="166"/>
      <c r="CQ180" s="166"/>
      <c r="CR180" s="166"/>
      <c r="CS180" s="166"/>
      <c r="CT180" s="166"/>
      <c r="CU180" s="166"/>
      <c r="CV180" s="166"/>
      <c r="CW180" s="166"/>
      <c r="CX180" s="166"/>
      <c r="CY180" s="168"/>
      <c r="DA180" s="107" t="s">
        <v>393</v>
      </c>
      <c r="DB180" s="315">
        <f t="shared" si="279"/>
        <v>0</v>
      </c>
      <c r="DC180" s="315">
        <f t="shared" si="279"/>
        <v>0</v>
      </c>
      <c r="DD180" s="315">
        <f t="shared" si="279"/>
        <v>0</v>
      </c>
      <c r="DE180" s="315">
        <f t="shared" si="279"/>
        <v>0</v>
      </c>
      <c r="DF180" s="315">
        <f t="shared" si="279"/>
        <v>0</v>
      </c>
      <c r="DG180" s="315">
        <f t="shared" si="279"/>
        <v>0</v>
      </c>
      <c r="DH180" s="315">
        <f t="shared" si="279"/>
        <v>0</v>
      </c>
      <c r="DI180" s="314">
        <f t="shared" si="279"/>
        <v>-0.14384467118216962</v>
      </c>
      <c r="DJ180" s="315">
        <f t="shared" si="279"/>
        <v>0</v>
      </c>
      <c r="DK180" s="315">
        <f t="shared" si="279"/>
        <v>0</v>
      </c>
      <c r="DL180" s="315">
        <f t="shared" si="279"/>
        <v>0</v>
      </c>
      <c r="DM180" s="315">
        <f t="shared" si="279"/>
        <v>0</v>
      </c>
      <c r="DN180" s="315">
        <f t="shared" si="279"/>
        <v>0</v>
      </c>
      <c r="DO180" s="168"/>
      <c r="DQ180" s="107" t="s">
        <v>393</v>
      </c>
      <c r="DR180" s="315"/>
      <c r="DS180" s="315"/>
      <c r="DT180" s="315"/>
      <c r="DU180" s="315"/>
      <c r="DV180" s="315"/>
      <c r="DW180" s="315"/>
      <c r="DX180" s="315"/>
      <c r="DY180" s="314">
        <v>0</v>
      </c>
      <c r="DZ180" s="315"/>
      <c r="EA180" s="315"/>
      <c r="EB180" s="315"/>
      <c r="EC180" s="315"/>
      <c r="ED180" s="315"/>
      <c r="EE180" s="168"/>
      <c r="EG180" s="107" t="s">
        <v>393</v>
      </c>
      <c r="EH180" s="315"/>
      <c r="EI180" s="315"/>
      <c r="EJ180" s="315"/>
      <c r="EK180" s="315"/>
      <c r="EL180" s="315"/>
      <c r="EM180" s="315"/>
      <c r="EN180" s="315"/>
      <c r="EO180" s="314">
        <v>0</v>
      </c>
      <c r="EP180" s="315"/>
      <c r="EQ180" s="315"/>
      <c r="ER180" s="315"/>
      <c r="ES180" s="315"/>
      <c r="ET180" s="315"/>
      <c r="EU180" s="168"/>
      <c r="EW180" s="164" t="s">
        <v>393</v>
      </c>
      <c r="EX180" s="316">
        <f t="shared" si="270"/>
        <v>0</v>
      </c>
      <c r="EY180" s="316">
        <f t="shared" si="267"/>
        <v>0</v>
      </c>
      <c r="EZ180" s="316">
        <f t="shared" si="267"/>
        <v>0</v>
      </c>
      <c r="FA180" s="316">
        <f t="shared" si="267"/>
        <v>0</v>
      </c>
      <c r="FB180" s="316">
        <f t="shared" si="267"/>
        <v>0</v>
      </c>
      <c r="FC180" s="316">
        <f t="shared" si="267"/>
        <v>0</v>
      </c>
      <c r="FD180" s="316">
        <f t="shared" si="267"/>
        <v>0</v>
      </c>
      <c r="FE180" s="316">
        <f t="shared" si="267"/>
        <v>0</v>
      </c>
      <c r="FF180" s="316"/>
      <c r="FG180" s="316">
        <f t="shared" si="267"/>
        <v>0</v>
      </c>
      <c r="FH180" s="316">
        <f t="shared" si="267"/>
        <v>0</v>
      </c>
      <c r="FI180" s="316">
        <f t="shared" si="267"/>
        <v>0</v>
      </c>
      <c r="FJ180" s="316">
        <f t="shared" si="267"/>
        <v>0</v>
      </c>
      <c r="FK180" s="316">
        <f t="shared" si="267"/>
        <v>0</v>
      </c>
      <c r="FL180" s="168"/>
    </row>
    <row r="181" spans="2:168" x14ac:dyDescent="0.25">
      <c r="B181" s="107" t="s">
        <v>546</v>
      </c>
      <c r="C181" s="294"/>
      <c r="D181" s="294"/>
      <c r="E181" s="294"/>
      <c r="F181" s="294"/>
      <c r="G181" s="294"/>
      <c r="H181" s="294"/>
      <c r="I181" s="294"/>
      <c r="J181" s="294"/>
      <c r="K181" s="160"/>
      <c r="L181" s="294"/>
      <c r="M181" s="294"/>
      <c r="N181" s="294"/>
      <c r="O181" s="294"/>
      <c r="P181" s="162">
        <f t="shared" si="257"/>
        <v>0</v>
      </c>
      <c r="U181" s="29" t="e">
        <f>+K181/$P181*HIS_vs_OBS!$D$7</f>
        <v>#DIV/0!</v>
      </c>
      <c r="V181" s="29"/>
      <c r="W181" s="29"/>
      <c r="Y181" s="107" t="s">
        <v>546</v>
      </c>
      <c r="Z181" s="294">
        <f t="shared" si="268"/>
        <v>0</v>
      </c>
      <c r="AA181" s="294">
        <f t="shared" si="268"/>
        <v>0</v>
      </c>
      <c r="AB181" s="294">
        <f t="shared" si="268"/>
        <v>0</v>
      </c>
      <c r="AC181" s="294">
        <f t="shared" si="268"/>
        <v>0</v>
      </c>
      <c r="AD181" s="294">
        <f t="shared" si="268"/>
        <v>0</v>
      </c>
      <c r="AE181" s="294">
        <f t="shared" si="268"/>
        <v>0</v>
      </c>
      <c r="AF181" s="294">
        <f t="shared" si="268"/>
        <v>0</v>
      </c>
      <c r="AG181" s="294">
        <f t="shared" si="268"/>
        <v>0</v>
      </c>
      <c r="AH181" s="160">
        <f t="shared" si="268"/>
        <v>107857.91985310594</v>
      </c>
      <c r="AI181" s="294">
        <f t="shared" si="268"/>
        <v>0</v>
      </c>
      <c r="AJ181" s="294">
        <f t="shared" si="268"/>
        <v>0</v>
      </c>
      <c r="AK181" s="294">
        <f t="shared" si="268"/>
        <v>0</v>
      </c>
      <c r="AL181" s="294">
        <f t="shared" si="268"/>
        <v>0</v>
      </c>
      <c r="AM181" s="162">
        <f t="shared" si="259"/>
        <v>107857.91985310594</v>
      </c>
      <c r="AO181" s="107" t="s">
        <v>395</v>
      </c>
      <c r="AP181" s="294">
        <f t="shared" si="269"/>
        <v>0</v>
      </c>
      <c r="AQ181" s="294">
        <f t="shared" si="269"/>
        <v>0</v>
      </c>
      <c r="AR181" s="294">
        <f t="shared" si="269"/>
        <v>0</v>
      </c>
      <c r="AS181" s="294">
        <f t="shared" si="269"/>
        <v>0</v>
      </c>
      <c r="AT181" s="294">
        <f t="shared" si="269"/>
        <v>0</v>
      </c>
      <c r="AU181" s="294">
        <f t="shared" si="269"/>
        <v>0</v>
      </c>
      <c r="AV181" s="294">
        <f t="shared" si="269"/>
        <v>0</v>
      </c>
      <c r="AW181" s="294">
        <f t="shared" si="269"/>
        <v>0</v>
      </c>
      <c r="AX181" s="160">
        <f t="shared" si="269"/>
        <v>81965</v>
      </c>
      <c r="AY181" s="294">
        <f t="shared" si="269"/>
        <v>0</v>
      </c>
      <c r="AZ181" s="294">
        <f t="shared" si="269"/>
        <v>0</v>
      </c>
      <c r="BA181" s="294">
        <f t="shared" si="269"/>
        <v>0</v>
      </c>
      <c r="BB181" s="294">
        <f t="shared" si="269"/>
        <v>0</v>
      </c>
      <c r="BC181" s="162">
        <f t="shared" si="261"/>
        <v>81965</v>
      </c>
      <c r="BE181" s="107" t="s">
        <v>395</v>
      </c>
      <c r="BF181" s="166">
        <f t="shared" si="277"/>
        <v>0</v>
      </c>
      <c r="BG181" s="166">
        <f t="shared" si="277"/>
        <v>0</v>
      </c>
      <c r="BH181" s="166">
        <f t="shared" si="277"/>
        <v>0</v>
      </c>
      <c r="BI181" s="166">
        <f t="shared" si="277"/>
        <v>0</v>
      </c>
      <c r="BJ181" s="166">
        <f t="shared" si="277"/>
        <v>0</v>
      </c>
      <c r="BK181" s="166">
        <f t="shared" si="277"/>
        <v>0</v>
      </c>
      <c r="BL181" s="166">
        <f t="shared" si="277"/>
        <v>0</v>
      </c>
      <c r="BM181" s="166">
        <f t="shared" si="277"/>
        <v>0</v>
      </c>
      <c r="BN181" s="166">
        <f t="shared" si="277"/>
        <v>0.13140937368043237</v>
      </c>
      <c r="BO181" s="166">
        <f t="shared" si="277"/>
        <v>0</v>
      </c>
      <c r="BP181" s="166">
        <f t="shared" si="277"/>
        <v>0</v>
      </c>
      <c r="BQ181" s="166">
        <f t="shared" si="277"/>
        <v>0</v>
      </c>
      <c r="BR181" s="166">
        <f t="shared" si="277"/>
        <v>0</v>
      </c>
      <c r="BS181" s="166">
        <f t="shared" si="277"/>
        <v>3.4317298203573571E-2</v>
      </c>
      <c r="BU181" s="107" t="s">
        <v>395</v>
      </c>
      <c r="BV181" s="166">
        <f t="shared" si="278"/>
        <v>0</v>
      </c>
      <c r="BW181" s="166">
        <f t="shared" si="278"/>
        <v>0</v>
      </c>
      <c r="BX181" s="166">
        <f t="shared" si="278"/>
        <v>0</v>
      </c>
      <c r="BY181" s="166">
        <f t="shared" si="278"/>
        <v>0</v>
      </c>
      <c r="BZ181" s="166">
        <f t="shared" si="278"/>
        <v>0</v>
      </c>
      <c r="CA181" s="166">
        <f t="shared" si="278"/>
        <v>0</v>
      </c>
      <c r="CB181" s="166">
        <f t="shared" si="278"/>
        <v>0</v>
      </c>
      <c r="CC181" s="166">
        <f t="shared" si="278"/>
        <v>0</v>
      </c>
      <c r="CD181" s="166">
        <f t="shared" si="278"/>
        <v>0.14860038435041154</v>
      </c>
      <c r="CE181" s="166">
        <f t="shared" si="278"/>
        <v>0</v>
      </c>
      <c r="CF181" s="166">
        <f t="shared" si="278"/>
        <v>0</v>
      </c>
      <c r="CG181" s="166">
        <f t="shared" si="278"/>
        <v>0</v>
      </c>
      <c r="CH181" s="166">
        <f t="shared" si="278"/>
        <v>0</v>
      </c>
      <c r="CI181" s="168">
        <f t="shared" si="278"/>
        <v>3.802236391342971E-2</v>
      </c>
      <c r="CK181" s="107" t="s">
        <v>395</v>
      </c>
      <c r="CL181" s="166" t="str">
        <f t="shared" ref="CL181:CO186" si="280">IF(OR(ISNA(BF181),BF181=0,BF181=""),"",(BV181-BF181)/BF181)</f>
        <v/>
      </c>
      <c r="CM181" s="166" t="str">
        <f t="shared" si="280"/>
        <v/>
      </c>
      <c r="CN181" s="166" t="str">
        <f t="shared" si="280"/>
        <v/>
      </c>
      <c r="CO181" s="166" t="str">
        <f t="shared" si="280"/>
        <v/>
      </c>
      <c r="CP181" s="166"/>
      <c r="CQ181" s="166"/>
      <c r="CR181" s="166"/>
      <c r="CS181" s="166"/>
      <c r="CT181" s="166">
        <f t="shared" ref="CT181:CY186" si="281">IF(OR(ISNA(BN181),BN181=0,BN181=""),"",(CD181-BN181)/BN181)</f>
        <v>0.13082027703583068</v>
      </c>
      <c r="CU181" s="166" t="str">
        <f t="shared" si="281"/>
        <v/>
      </c>
      <c r="CV181" s="166" t="str">
        <f t="shared" si="281"/>
        <v/>
      </c>
      <c r="CW181" s="166" t="str">
        <f t="shared" si="281"/>
        <v/>
      </c>
      <c r="CX181" s="166" t="str">
        <f t="shared" si="281"/>
        <v/>
      </c>
      <c r="CY181" s="168">
        <f t="shared" si="281"/>
        <v>0.10796495947546125</v>
      </c>
      <c r="DA181" s="107" t="s">
        <v>395</v>
      </c>
      <c r="DB181" s="315">
        <f t="shared" si="279"/>
        <v>0</v>
      </c>
      <c r="DC181" s="315">
        <f t="shared" si="279"/>
        <v>0</v>
      </c>
      <c r="DD181" s="315">
        <f t="shared" si="279"/>
        <v>0</v>
      </c>
      <c r="DE181" s="315">
        <f t="shared" si="279"/>
        <v>0</v>
      </c>
      <c r="DF181" s="315">
        <f t="shared" si="279"/>
        <v>0</v>
      </c>
      <c r="DG181" s="315">
        <f t="shared" si="279"/>
        <v>0</v>
      </c>
      <c r="DH181" s="315">
        <f t="shared" si="279"/>
        <v>0</v>
      </c>
      <c r="DI181" s="315">
        <f t="shared" si="279"/>
        <v>0</v>
      </c>
      <c r="DJ181" s="314">
        <f t="shared" si="279"/>
        <v>-0.12294327826109831</v>
      </c>
      <c r="DK181" s="315">
        <f t="shared" si="279"/>
        <v>0</v>
      </c>
      <c r="DL181" s="315">
        <f t="shared" si="279"/>
        <v>0</v>
      </c>
      <c r="DM181" s="315">
        <f t="shared" si="279"/>
        <v>0</v>
      </c>
      <c r="DN181" s="315">
        <f t="shared" si="279"/>
        <v>0</v>
      </c>
      <c r="DO181" s="168"/>
      <c r="DQ181" s="107" t="s">
        <v>395</v>
      </c>
      <c r="DR181" s="315"/>
      <c r="DS181" s="315"/>
      <c r="DT181" s="315"/>
      <c r="DU181" s="315"/>
      <c r="DV181" s="315"/>
      <c r="DW181" s="315"/>
      <c r="DX181" s="315"/>
      <c r="DY181" s="315"/>
      <c r="DZ181" s="314">
        <v>0</v>
      </c>
      <c r="EA181" s="315"/>
      <c r="EB181" s="315"/>
      <c r="EC181" s="315"/>
      <c r="ED181" s="315"/>
      <c r="EE181" s="168"/>
      <c r="EG181" s="107" t="s">
        <v>395</v>
      </c>
      <c r="EH181" s="315"/>
      <c r="EI181" s="315"/>
      <c r="EJ181" s="315"/>
      <c r="EK181" s="315"/>
      <c r="EL181" s="315"/>
      <c r="EM181" s="315"/>
      <c r="EN181" s="315"/>
      <c r="EO181" s="315"/>
      <c r="EP181" s="314">
        <v>0</v>
      </c>
      <c r="EQ181" s="315"/>
      <c r="ER181" s="315"/>
      <c r="ES181" s="315"/>
      <c r="ET181" s="315"/>
      <c r="EU181" s="168"/>
      <c r="EW181" s="164" t="s">
        <v>546</v>
      </c>
      <c r="EX181" s="316">
        <f t="shared" si="270"/>
        <v>0</v>
      </c>
      <c r="EY181" s="316">
        <f t="shared" si="267"/>
        <v>0</v>
      </c>
      <c r="EZ181" s="316">
        <f t="shared" si="267"/>
        <v>-8.8878587271733922E-2</v>
      </c>
      <c r="FA181" s="316">
        <f t="shared" si="267"/>
        <v>-8.8878587271733922E-2</v>
      </c>
      <c r="FB181" s="316">
        <f t="shared" si="267"/>
        <v>-1.7498481351232504</v>
      </c>
      <c r="FC181" s="316">
        <f t="shared" si="267"/>
        <v>-1.7498481351232504</v>
      </c>
      <c r="FD181" s="316">
        <f t="shared" si="267"/>
        <v>-2.2583546387200895</v>
      </c>
      <c r="FE181" s="316">
        <f t="shared" si="267"/>
        <v>0</v>
      </c>
      <c r="FF181" s="316"/>
      <c r="FG181" s="316">
        <f t="shared" si="267"/>
        <v>0</v>
      </c>
      <c r="FH181" s="316">
        <f t="shared" si="267"/>
        <v>0</v>
      </c>
      <c r="FI181" s="316">
        <f t="shared" si="267"/>
        <v>0</v>
      </c>
      <c r="FJ181" s="316">
        <f t="shared" si="267"/>
        <v>-1.4310808548547878</v>
      </c>
      <c r="FK181" s="316">
        <f t="shared" si="267"/>
        <v>0</v>
      </c>
      <c r="FL181" s="168"/>
    </row>
    <row r="182" spans="2:168" x14ac:dyDescent="0.25">
      <c r="B182" s="107" t="s">
        <v>396</v>
      </c>
      <c r="C182" s="294"/>
      <c r="D182" s="294"/>
      <c r="E182" s="294"/>
      <c r="F182" s="294"/>
      <c r="G182" s="294"/>
      <c r="H182" s="294"/>
      <c r="I182" s="294"/>
      <c r="J182" s="294"/>
      <c r="K182" s="294"/>
      <c r="L182" s="160"/>
      <c r="M182" s="294"/>
      <c r="N182" s="294"/>
      <c r="O182" s="294"/>
      <c r="P182" s="162">
        <f t="shared" si="257"/>
        <v>0</v>
      </c>
      <c r="U182" s="29"/>
      <c r="V182" s="29">
        <f>HIS_vs_OBS!D30</f>
        <v>0</v>
      </c>
      <c r="W182" s="29"/>
      <c r="Y182" s="107" t="s">
        <v>396</v>
      </c>
      <c r="Z182" s="294">
        <f t="shared" si="268"/>
        <v>0</v>
      </c>
      <c r="AA182" s="294">
        <f t="shared" si="268"/>
        <v>0</v>
      </c>
      <c r="AB182" s="294">
        <f t="shared" si="268"/>
        <v>0</v>
      </c>
      <c r="AC182" s="294">
        <f t="shared" si="268"/>
        <v>0</v>
      </c>
      <c r="AD182" s="294">
        <f t="shared" si="268"/>
        <v>0</v>
      </c>
      <c r="AE182" s="294">
        <f t="shared" si="268"/>
        <v>0</v>
      </c>
      <c r="AF182" s="294">
        <f t="shared" si="268"/>
        <v>0</v>
      </c>
      <c r="AG182" s="294">
        <f t="shared" si="268"/>
        <v>0</v>
      </c>
      <c r="AH182" s="294">
        <f t="shared" si="268"/>
        <v>0</v>
      </c>
      <c r="AI182" s="160">
        <f t="shared" si="268"/>
        <v>2999.0150029352753</v>
      </c>
      <c r="AJ182" s="294">
        <f t="shared" si="268"/>
        <v>0</v>
      </c>
      <c r="AK182" s="294">
        <f t="shared" si="268"/>
        <v>0</v>
      </c>
      <c r="AL182" s="294">
        <f t="shared" si="268"/>
        <v>0</v>
      </c>
      <c r="AM182" s="162">
        <f t="shared" si="259"/>
        <v>2999.0150029352753</v>
      </c>
      <c r="AO182" s="107" t="s">
        <v>396</v>
      </c>
      <c r="AP182" s="294">
        <f t="shared" si="269"/>
        <v>0</v>
      </c>
      <c r="AQ182" s="294">
        <f t="shared" si="269"/>
        <v>0</v>
      </c>
      <c r="AR182" s="294">
        <f t="shared" si="269"/>
        <v>0</v>
      </c>
      <c r="AS182" s="294">
        <f t="shared" si="269"/>
        <v>0</v>
      </c>
      <c r="AT182" s="294">
        <f t="shared" si="269"/>
        <v>0</v>
      </c>
      <c r="AU182" s="294">
        <f t="shared" si="269"/>
        <v>0</v>
      </c>
      <c r="AV182" s="294">
        <f t="shared" si="269"/>
        <v>0</v>
      </c>
      <c r="AW182" s="294">
        <f t="shared" si="269"/>
        <v>0</v>
      </c>
      <c r="AX182" s="294">
        <f t="shared" si="269"/>
        <v>0</v>
      </c>
      <c r="AY182" s="160">
        <f t="shared" si="269"/>
        <v>4345</v>
      </c>
      <c r="AZ182" s="294">
        <f t="shared" si="269"/>
        <v>0</v>
      </c>
      <c r="BA182" s="294">
        <f t="shared" si="269"/>
        <v>0</v>
      </c>
      <c r="BB182" s="294">
        <f t="shared" si="269"/>
        <v>0</v>
      </c>
      <c r="BC182" s="162">
        <f t="shared" si="261"/>
        <v>4345</v>
      </c>
      <c r="BE182" s="107" t="s">
        <v>396</v>
      </c>
      <c r="BF182" s="166">
        <f t="shared" si="277"/>
        <v>0</v>
      </c>
      <c r="BG182" s="166">
        <f t="shared" si="277"/>
        <v>0</v>
      </c>
      <c r="BH182" s="166">
        <f t="shared" si="277"/>
        <v>0</v>
      </c>
      <c r="BI182" s="166">
        <f t="shared" si="277"/>
        <v>0</v>
      </c>
      <c r="BJ182" s="166">
        <f t="shared" si="277"/>
        <v>0</v>
      </c>
      <c r="BK182" s="166">
        <f t="shared" si="277"/>
        <v>0</v>
      </c>
      <c r="BL182" s="166">
        <f t="shared" si="277"/>
        <v>0</v>
      </c>
      <c r="BM182" s="166">
        <f t="shared" si="277"/>
        <v>0</v>
      </c>
      <c r="BN182" s="166">
        <f t="shared" si="277"/>
        <v>0</v>
      </c>
      <c r="BO182" s="166">
        <f t="shared" si="277"/>
        <v>9.5858095729258935E-2</v>
      </c>
      <c r="BP182" s="166">
        <f t="shared" si="277"/>
        <v>0</v>
      </c>
      <c r="BQ182" s="166">
        <f t="shared" si="277"/>
        <v>0</v>
      </c>
      <c r="BR182" s="166">
        <f t="shared" si="277"/>
        <v>0</v>
      </c>
      <c r="BS182" s="166">
        <f t="shared" si="277"/>
        <v>9.5420060309792099E-4</v>
      </c>
      <c r="BU182" s="107" t="s">
        <v>396</v>
      </c>
      <c r="BV182" s="166">
        <f t="shared" si="278"/>
        <v>0</v>
      </c>
      <c r="BW182" s="166">
        <f t="shared" si="278"/>
        <v>0</v>
      </c>
      <c r="BX182" s="166">
        <f t="shared" si="278"/>
        <v>0</v>
      </c>
      <c r="BY182" s="166">
        <f t="shared" si="278"/>
        <v>0</v>
      </c>
      <c r="BZ182" s="166">
        <f t="shared" si="278"/>
        <v>0</v>
      </c>
      <c r="CA182" s="166">
        <f t="shared" si="278"/>
        <v>0</v>
      </c>
      <c r="CB182" s="166">
        <f t="shared" si="278"/>
        <v>0</v>
      </c>
      <c r="CC182" s="166">
        <f t="shared" si="278"/>
        <v>0</v>
      </c>
      <c r="CD182" s="166">
        <f t="shared" si="278"/>
        <v>0</v>
      </c>
      <c r="CE182" s="166">
        <f t="shared" si="278"/>
        <v>0.28889627659574468</v>
      </c>
      <c r="CF182" s="166">
        <f t="shared" si="278"/>
        <v>0</v>
      </c>
      <c r="CG182" s="166">
        <f t="shared" si="278"/>
        <v>0</v>
      </c>
      <c r="CH182" s="166">
        <f t="shared" si="278"/>
        <v>0</v>
      </c>
      <c r="CI182" s="168">
        <f t="shared" si="278"/>
        <v>2.0155819093985493E-3</v>
      </c>
      <c r="CK182" s="107" t="s">
        <v>396</v>
      </c>
      <c r="CL182" s="166" t="str">
        <f t="shared" si="280"/>
        <v/>
      </c>
      <c r="CM182" s="166" t="str">
        <f t="shared" si="280"/>
        <v/>
      </c>
      <c r="CN182" s="166" t="str">
        <f t="shared" si="280"/>
        <v/>
      </c>
      <c r="CO182" s="166" t="str">
        <f t="shared" si="280"/>
        <v/>
      </c>
      <c r="CP182" s="166"/>
      <c r="CQ182" s="166"/>
      <c r="CR182" s="166"/>
      <c r="CS182" s="166"/>
      <c r="CT182" s="166" t="str">
        <f t="shared" si="281"/>
        <v/>
      </c>
      <c r="CU182" s="166">
        <f t="shared" si="281"/>
        <v>2.0137911085955817</v>
      </c>
      <c r="CV182" s="166" t="str">
        <f t="shared" si="281"/>
        <v/>
      </c>
      <c r="CW182" s="166" t="str">
        <f t="shared" si="281"/>
        <v/>
      </c>
      <c r="CX182" s="166" t="str">
        <f t="shared" si="281"/>
        <v/>
      </c>
      <c r="CY182" s="168">
        <f t="shared" si="281"/>
        <v>1.1123251262415186</v>
      </c>
      <c r="DA182" s="107" t="s">
        <v>396</v>
      </c>
      <c r="DB182" s="315">
        <f t="shared" si="279"/>
        <v>0</v>
      </c>
      <c r="DC182" s="315">
        <f t="shared" si="279"/>
        <v>0</v>
      </c>
      <c r="DD182" s="315">
        <f t="shared" si="279"/>
        <v>0</v>
      </c>
      <c r="DE182" s="315">
        <f t="shared" si="279"/>
        <v>0</v>
      </c>
      <c r="DF182" s="315">
        <f t="shared" si="279"/>
        <v>0</v>
      </c>
      <c r="DG182" s="315">
        <f t="shared" si="279"/>
        <v>0</v>
      </c>
      <c r="DH182" s="315">
        <f t="shared" si="279"/>
        <v>0</v>
      </c>
      <c r="DI182" s="315">
        <f t="shared" si="279"/>
        <v>0</v>
      </c>
      <c r="DJ182" s="315">
        <f t="shared" si="279"/>
        <v>0</v>
      </c>
      <c r="DK182" s="314">
        <f t="shared" si="279"/>
        <v>-1.1031987907671521</v>
      </c>
      <c r="DL182" s="315">
        <f t="shared" si="279"/>
        <v>0</v>
      </c>
      <c r="DM182" s="315">
        <f t="shared" si="279"/>
        <v>0</v>
      </c>
      <c r="DN182" s="315">
        <f t="shared" si="279"/>
        <v>0</v>
      </c>
      <c r="DO182" s="168"/>
      <c r="DQ182" s="107" t="s">
        <v>396</v>
      </c>
      <c r="DR182" s="315"/>
      <c r="DS182" s="315"/>
      <c r="DT182" s="315"/>
      <c r="DU182" s="315"/>
      <c r="DV182" s="315"/>
      <c r="DW182" s="315"/>
      <c r="DX182" s="315"/>
      <c r="DY182" s="315"/>
      <c r="DZ182" s="315"/>
      <c r="EA182" s="314">
        <v>0</v>
      </c>
      <c r="EB182" s="315"/>
      <c r="EC182" s="315"/>
      <c r="ED182" s="315"/>
      <c r="EE182" s="168"/>
      <c r="EG182" s="107" t="s">
        <v>396</v>
      </c>
      <c r="EH182" s="315"/>
      <c r="EI182" s="315"/>
      <c r="EJ182" s="315"/>
      <c r="EK182" s="315"/>
      <c r="EL182" s="315"/>
      <c r="EM182" s="315"/>
      <c r="EN182" s="315"/>
      <c r="EO182" s="315"/>
      <c r="EP182" s="315"/>
      <c r="EQ182" s="314">
        <v>0</v>
      </c>
      <c r="ER182" s="315"/>
      <c r="ES182" s="315"/>
      <c r="ET182" s="315"/>
      <c r="EU182" s="168"/>
      <c r="EW182" s="164" t="s">
        <v>396</v>
      </c>
      <c r="EX182" s="316">
        <f t="shared" si="270"/>
        <v>0</v>
      </c>
      <c r="EY182" s="316">
        <f t="shared" si="267"/>
        <v>0</v>
      </c>
      <c r="EZ182" s="316">
        <f t="shared" si="267"/>
        <v>0</v>
      </c>
      <c r="FA182" s="316">
        <f t="shared" si="267"/>
        <v>0</v>
      </c>
      <c r="FB182" s="316">
        <f t="shared" si="267"/>
        <v>0</v>
      </c>
      <c r="FC182" s="316">
        <f t="shared" si="267"/>
        <v>0</v>
      </c>
      <c r="FD182" s="316">
        <f t="shared" si="267"/>
        <v>0</v>
      </c>
      <c r="FE182" s="316">
        <f t="shared" si="267"/>
        <v>0</v>
      </c>
      <c r="FF182" s="316"/>
      <c r="FG182" s="316">
        <f t="shared" si="267"/>
        <v>0</v>
      </c>
      <c r="FH182" s="316">
        <f t="shared" si="267"/>
        <v>0</v>
      </c>
      <c r="FI182" s="316">
        <f t="shared" si="267"/>
        <v>0</v>
      </c>
      <c r="FJ182" s="316">
        <f t="shared" si="267"/>
        <v>0.88384221773516325</v>
      </c>
      <c r="FK182" s="316">
        <f t="shared" si="267"/>
        <v>0</v>
      </c>
      <c r="FL182" s="168"/>
    </row>
    <row r="183" spans="2:168" x14ac:dyDescent="0.25">
      <c r="B183" s="107" t="s">
        <v>397</v>
      </c>
      <c r="C183" s="294"/>
      <c r="D183" s="294"/>
      <c r="E183" s="294"/>
      <c r="F183" s="294"/>
      <c r="G183" s="294"/>
      <c r="H183" s="294"/>
      <c r="I183" s="294"/>
      <c r="J183" s="294"/>
      <c r="K183" s="294"/>
      <c r="L183" s="294"/>
      <c r="M183" s="160"/>
      <c r="N183" s="294"/>
      <c r="O183" s="294"/>
      <c r="P183" s="162">
        <f t="shared" si="257"/>
        <v>0</v>
      </c>
      <c r="U183" s="29"/>
      <c r="V183" s="29"/>
      <c r="W183" s="29">
        <f>HIS_vs_OBS!D31</f>
        <v>0</v>
      </c>
      <c r="Y183" s="107" t="s">
        <v>397</v>
      </c>
      <c r="Z183" s="294">
        <f t="shared" si="268"/>
        <v>0</v>
      </c>
      <c r="AA183" s="294">
        <f t="shared" si="268"/>
        <v>0</v>
      </c>
      <c r="AB183" s="294">
        <f t="shared" si="268"/>
        <v>0</v>
      </c>
      <c r="AC183" s="294">
        <f t="shared" si="268"/>
        <v>0</v>
      </c>
      <c r="AD183" s="294">
        <f t="shared" si="268"/>
        <v>0</v>
      </c>
      <c r="AE183" s="294">
        <f t="shared" si="268"/>
        <v>0</v>
      </c>
      <c r="AF183" s="294">
        <f t="shared" si="268"/>
        <v>0</v>
      </c>
      <c r="AG183" s="294">
        <f t="shared" si="268"/>
        <v>0</v>
      </c>
      <c r="AH183" s="294">
        <f t="shared" si="268"/>
        <v>0</v>
      </c>
      <c r="AI183" s="294">
        <f t="shared" si="268"/>
        <v>0</v>
      </c>
      <c r="AJ183" s="160">
        <f t="shared" si="268"/>
        <v>3547.5103132610257</v>
      </c>
      <c r="AK183" s="294">
        <f t="shared" si="268"/>
        <v>0</v>
      </c>
      <c r="AL183" s="294">
        <f t="shared" si="268"/>
        <v>0</v>
      </c>
      <c r="AM183" s="162">
        <f t="shared" si="259"/>
        <v>3547.5103132610257</v>
      </c>
      <c r="AO183" s="107" t="s">
        <v>397</v>
      </c>
      <c r="AP183" s="294">
        <f t="shared" si="269"/>
        <v>0</v>
      </c>
      <c r="AQ183" s="294">
        <f t="shared" si="269"/>
        <v>0</v>
      </c>
      <c r="AR183" s="294">
        <f t="shared" si="269"/>
        <v>0</v>
      </c>
      <c r="AS183" s="294">
        <f t="shared" si="269"/>
        <v>0</v>
      </c>
      <c r="AT183" s="294">
        <f t="shared" si="269"/>
        <v>0</v>
      </c>
      <c r="AU183" s="294">
        <f t="shared" si="269"/>
        <v>0</v>
      </c>
      <c r="AV183" s="294">
        <f t="shared" si="269"/>
        <v>0</v>
      </c>
      <c r="AW183" s="294">
        <f t="shared" si="269"/>
        <v>0</v>
      </c>
      <c r="AX183" s="294">
        <f t="shared" si="269"/>
        <v>0</v>
      </c>
      <c r="AY183" s="294">
        <f t="shared" si="269"/>
        <v>0</v>
      </c>
      <c r="AZ183" s="160">
        <f t="shared" si="269"/>
        <v>185</v>
      </c>
      <c r="BA183" s="294">
        <f t="shared" si="269"/>
        <v>0</v>
      </c>
      <c r="BB183" s="294">
        <f t="shared" si="269"/>
        <v>0</v>
      </c>
      <c r="BC183" s="162">
        <f t="shared" si="261"/>
        <v>185</v>
      </c>
      <c r="BE183" s="107" t="s">
        <v>397</v>
      </c>
      <c r="BF183" s="166">
        <f t="shared" si="277"/>
        <v>0</v>
      </c>
      <c r="BG183" s="166">
        <f t="shared" si="277"/>
        <v>0</v>
      </c>
      <c r="BH183" s="166">
        <f t="shared" si="277"/>
        <v>0</v>
      </c>
      <c r="BI183" s="166">
        <f t="shared" si="277"/>
        <v>0</v>
      </c>
      <c r="BJ183" s="166">
        <f t="shared" si="277"/>
        <v>0</v>
      </c>
      <c r="BK183" s="166">
        <f t="shared" si="277"/>
        <v>0</v>
      </c>
      <c r="BL183" s="166">
        <f t="shared" si="277"/>
        <v>0</v>
      </c>
      <c r="BM183" s="166">
        <f t="shared" si="277"/>
        <v>0</v>
      </c>
      <c r="BN183" s="166">
        <f t="shared" si="277"/>
        <v>0</v>
      </c>
      <c r="BO183" s="166">
        <f t="shared" si="277"/>
        <v>0</v>
      </c>
      <c r="BP183" s="166">
        <f t="shared" si="277"/>
        <v>3.848015791809254E-2</v>
      </c>
      <c r="BQ183" s="166">
        <f t="shared" si="277"/>
        <v>0</v>
      </c>
      <c r="BR183" s="166">
        <f t="shared" si="277"/>
        <v>0</v>
      </c>
      <c r="BS183" s="166">
        <f t="shared" si="277"/>
        <v>1.1287160874809473E-3</v>
      </c>
      <c r="BU183" s="107" t="s">
        <v>397</v>
      </c>
      <c r="BV183" s="166">
        <f t="shared" si="278"/>
        <v>0</v>
      </c>
      <c r="BW183" s="166">
        <f t="shared" si="278"/>
        <v>0</v>
      </c>
      <c r="BX183" s="166">
        <f t="shared" si="278"/>
        <v>0</v>
      </c>
      <c r="BY183" s="166">
        <f t="shared" si="278"/>
        <v>0</v>
      </c>
      <c r="BZ183" s="166">
        <f t="shared" si="278"/>
        <v>0</v>
      </c>
      <c r="CA183" s="166">
        <f t="shared" si="278"/>
        <v>0</v>
      </c>
      <c r="CB183" s="166">
        <f t="shared" si="278"/>
        <v>0</v>
      </c>
      <c r="CC183" s="166">
        <f t="shared" si="278"/>
        <v>0</v>
      </c>
      <c r="CD183" s="166">
        <f t="shared" si="278"/>
        <v>0</v>
      </c>
      <c r="CE183" s="166">
        <f t="shared" si="278"/>
        <v>0</v>
      </c>
      <c r="CF183" s="166">
        <f t="shared" si="278"/>
        <v>5.5347793567688854E-3</v>
      </c>
      <c r="CG183" s="166">
        <f t="shared" si="278"/>
        <v>0</v>
      </c>
      <c r="CH183" s="166">
        <f t="shared" si="278"/>
        <v>0</v>
      </c>
      <c r="CI183" s="168">
        <f t="shared" si="278"/>
        <v>8.581879246000728E-5</v>
      </c>
      <c r="CK183" s="107" t="s">
        <v>397</v>
      </c>
      <c r="CL183" s="166" t="str">
        <f t="shared" si="280"/>
        <v/>
      </c>
      <c r="CM183" s="166" t="str">
        <f t="shared" si="280"/>
        <v/>
      </c>
      <c r="CN183" s="166" t="str">
        <f t="shared" si="280"/>
        <v/>
      </c>
      <c r="CO183" s="166" t="str">
        <f t="shared" si="280"/>
        <v/>
      </c>
      <c r="CP183" s="166"/>
      <c r="CQ183" s="166"/>
      <c r="CR183" s="166"/>
      <c r="CS183" s="166"/>
      <c r="CT183" s="166" t="str">
        <f t="shared" si="281"/>
        <v/>
      </c>
      <c r="CU183" s="166" t="str">
        <f t="shared" si="281"/>
        <v/>
      </c>
      <c r="CV183" s="166">
        <f t="shared" si="281"/>
        <v>-0.85616536791376951</v>
      </c>
      <c r="CW183" s="166" t="str">
        <f t="shared" si="281"/>
        <v/>
      </c>
      <c r="CX183" s="166" t="str">
        <f t="shared" si="281"/>
        <v/>
      </c>
      <c r="CY183" s="168">
        <f t="shared" si="281"/>
        <v>-0.92396777771499972</v>
      </c>
      <c r="DA183" s="107" t="s">
        <v>397</v>
      </c>
      <c r="DB183" s="315">
        <f t="shared" si="279"/>
        <v>0</v>
      </c>
      <c r="DC183" s="315">
        <f t="shared" si="279"/>
        <v>0</v>
      </c>
      <c r="DD183" s="315">
        <f t="shared" si="279"/>
        <v>0</v>
      </c>
      <c r="DE183" s="315">
        <f t="shared" si="279"/>
        <v>0</v>
      </c>
      <c r="DF183" s="315">
        <f t="shared" si="279"/>
        <v>0</v>
      </c>
      <c r="DG183" s="315">
        <f t="shared" si="279"/>
        <v>0</v>
      </c>
      <c r="DH183" s="315">
        <f t="shared" si="279"/>
        <v>0</v>
      </c>
      <c r="DI183" s="315">
        <f t="shared" si="279"/>
        <v>0</v>
      </c>
      <c r="DJ183" s="315">
        <f t="shared" si="279"/>
        <v>0</v>
      </c>
      <c r="DK183" s="315">
        <f t="shared" si="279"/>
        <v>0</v>
      </c>
      <c r="DL183" s="314">
        <f t="shared" si="279"/>
        <v>1.9390910275993007</v>
      </c>
      <c r="DM183" s="315">
        <f t="shared" si="279"/>
        <v>0</v>
      </c>
      <c r="DN183" s="315">
        <f t="shared" si="279"/>
        <v>0</v>
      </c>
      <c r="DO183" s="168"/>
      <c r="DQ183" s="107" t="s">
        <v>397</v>
      </c>
      <c r="DR183" s="315"/>
      <c r="DS183" s="315"/>
      <c r="DT183" s="315"/>
      <c r="DU183" s="315"/>
      <c r="DV183" s="315"/>
      <c r="DW183" s="315"/>
      <c r="DX183" s="315"/>
      <c r="DY183" s="315"/>
      <c r="DZ183" s="315"/>
      <c r="EA183" s="315"/>
      <c r="EB183" s="314">
        <v>0</v>
      </c>
      <c r="EC183" s="315"/>
      <c r="ED183" s="315"/>
      <c r="EE183" s="168"/>
      <c r="EG183" s="107" t="s">
        <v>397</v>
      </c>
      <c r="EH183" s="315"/>
      <c r="EI183" s="315"/>
      <c r="EJ183" s="315"/>
      <c r="EK183" s="315"/>
      <c r="EL183" s="315"/>
      <c r="EM183" s="315"/>
      <c r="EN183" s="315"/>
      <c r="EO183" s="315"/>
      <c r="EP183" s="315"/>
      <c r="EQ183" s="315"/>
      <c r="ER183" s="314">
        <v>0</v>
      </c>
      <c r="ES183" s="315"/>
      <c r="ET183" s="315"/>
      <c r="EU183" s="168"/>
      <c r="EW183" s="164" t="s">
        <v>397</v>
      </c>
      <c r="EX183" s="316">
        <f t="shared" si="270"/>
        <v>0</v>
      </c>
      <c r="EY183" s="316">
        <f t="shared" si="267"/>
        <v>0</v>
      </c>
      <c r="EZ183" s="316">
        <f t="shared" si="267"/>
        <v>0</v>
      </c>
      <c r="FA183" s="316">
        <f t="shared" si="267"/>
        <v>0</v>
      </c>
      <c r="FB183" s="316">
        <f t="shared" si="267"/>
        <v>0</v>
      </c>
      <c r="FC183" s="316">
        <f t="shared" si="267"/>
        <v>0</v>
      </c>
      <c r="FD183" s="316">
        <f t="shared" si="267"/>
        <v>0</v>
      </c>
      <c r="FE183" s="316">
        <f t="shared" si="267"/>
        <v>0</v>
      </c>
      <c r="FF183" s="316"/>
      <c r="FG183" s="316">
        <f t="shared" si="267"/>
        <v>0</v>
      </c>
      <c r="FH183" s="316">
        <f t="shared" si="267"/>
        <v>0</v>
      </c>
      <c r="FI183" s="316">
        <f t="shared" si="267"/>
        <v>0</v>
      </c>
      <c r="FJ183" s="316">
        <f t="shared" si="267"/>
        <v>-1.2942802913795579</v>
      </c>
      <c r="FK183" s="316">
        <f t="shared" si="267"/>
        <v>0</v>
      </c>
      <c r="FL183" s="168"/>
    </row>
    <row r="184" spans="2:168" x14ac:dyDescent="0.25">
      <c r="B184" s="107" t="s">
        <v>398</v>
      </c>
      <c r="C184" s="294"/>
      <c r="D184" s="294"/>
      <c r="E184" s="294"/>
      <c r="F184" s="294"/>
      <c r="G184" s="294"/>
      <c r="H184" s="294"/>
      <c r="I184" s="294"/>
      <c r="J184" s="294"/>
      <c r="K184" s="160"/>
      <c r="L184" s="160"/>
      <c r="M184" s="160"/>
      <c r="N184" s="160"/>
      <c r="O184" s="294"/>
      <c r="P184" s="162">
        <f t="shared" si="257"/>
        <v>0</v>
      </c>
      <c r="Y184" s="107" t="s">
        <v>398</v>
      </c>
      <c r="Z184" s="294">
        <f t="shared" si="268"/>
        <v>0</v>
      </c>
      <c r="AA184" s="294">
        <f t="shared" si="268"/>
        <v>0</v>
      </c>
      <c r="AB184" s="294">
        <f t="shared" si="268"/>
        <v>0</v>
      </c>
      <c r="AC184" s="294">
        <f t="shared" si="268"/>
        <v>0</v>
      </c>
      <c r="AD184" s="294">
        <f t="shared" si="268"/>
        <v>0</v>
      </c>
      <c r="AE184" s="294">
        <f t="shared" si="268"/>
        <v>0</v>
      </c>
      <c r="AF184" s="294">
        <f t="shared" si="268"/>
        <v>0</v>
      </c>
      <c r="AG184" s="294">
        <f t="shared" si="268"/>
        <v>0</v>
      </c>
      <c r="AH184" s="160">
        <f t="shared" si="268"/>
        <v>1642.9581534576705</v>
      </c>
      <c r="AI184" s="160">
        <f t="shared" si="268"/>
        <v>0</v>
      </c>
      <c r="AJ184" s="160">
        <f t="shared" si="268"/>
        <v>0</v>
      </c>
      <c r="AK184" s="160">
        <f t="shared" si="268"/>
        <v>5461.6210000000001</v>
      </c>
      <c r="AL184" s="294">
        <f t="shared" si="268"/>
        <v>0</v>
      </c>
      <c r="AM184" s="162">
        <f t="shared" si="259"/>
        <v>7104.5791534576711</v>
      </c>
      <c r="AO184" s="107" t="s">
        <v>398</v>
      </c>
      <c r="AP184" s="294">
        <f t="shared" si="269"/>
        <v>0</v>
      </c>
      <c r="AQ184" s="294">
        <f t="shared" si="269"/>
        <v>0</v>
      </c>
      <c r="AR184" s="294">
        <f t="shared" si="269"/>
        <v>0</v>
      </c>
      <c r="AS184" s="294">
        <f t="shared" si="269"/>
        <v>0</v>
      </c>
      <c r="AT184" s="294">
        <f t="shared" si="269"/>
        <v>0</v>
      </c>
      <c r="AU184" s="294">
        <f t="shared" si="269"/>
        <v>0</v>
      </c>
      <c r="AV184" s="294">
        <f t="shared" si="269"/>
        <v>0</v>
      </c>
      <c r="AW184" s="294">
        <f t="shared" si="269"/>
        <v>0</v>
      </c>
      <c r="AX184" s="160">
        <f t="shared" si="269"/>
        <v>1245</v>
      </c>
      <c r="AY184" s="160">
        <f t="shared" si="269"/>
        <v>0</v>
      </c>
      <c r="AZ184" s="160">
        <f t="shared" si="269"/>
        <v>0</v>
      </c>
      <c r="BA184" s="160">
        <f t="shared" si="269"/>
        <v>4475</v>
      </c>
      <c r="BB184" s="294">
        <f t="shared" si="269"/>
        <v>0</v>
      </c>
      <c r="BC184" s="162">
        <f t="shared" si="261"/>
        <v>5720</v>
      </c>
      <c r="BE184" s="107" t="s">
        <v>398</v>
      </c>
      <c r="BF184" s="166">
        <f t="shared" si="277"/>
        <v>0</v>
      </c>
      <c r="BG184" s="166">
        <f t="shared" si="277"/>
        <v>0</v>
      </c>
      <c r="BH184" s="166">
        <f t="shared" si="277"/>
        <v>0</v>
      </c>
      <c r="BI184" s="166">
        <f t="shared" si="277"/>
        <v>0</v>
      </c>
      <c r="BJ184" s="166">
        <f t="shared" si="277"/>
        <v>0</v>
      </c>
      <c r="BK184" s="166">
        <f t="shared" si="277"/>
        <v>0</v>
      </c>
      <c r="BL184" s="166">
        <f t="shared" si="277"/>
        <v>0</v>
      </c>
      <c r="BM184" s="166">
        <f t="shared" si="277"/>
        <v>0</v>
      </c>
      <c r="BN184" s="166">
        <f t="shared" si="277"/>
        <v>2.0017083791628028E-3</v>
      </c>
      <c r="BO184" s="166">
        <f t="shared" si="277"/>
        <v>0</v>
      </c>
      <c r="BP184" s="166">
        <f t="shared" si="277"/>
        <v>0</v>
      </c>
      <c r="BQ184" s="166">
        <f t="shared" si="277"/>
        <v>0.24892953339972348</v>
      </c>
      <c r="BR184" s="166">
        <f t="shared" si="277"/>
        <v>0</v>
      </c>
      <c r="BS184" s="166">
        <f t="shared" si="277"/>
        <v>2.2604734242246587E-3</v>
      </c>
      <c r="BU184" s="107" t="s">
        <v>398</v>
      </c>
      <c r="BV184" s="166">
        <f t="shared" si="278"/>
        <v>0</v>
      </c>
      <c r="BW184" s="166">
        <f t="shared" si="278"/>
        <v>0</v>
      </c>
      <c r="BX184" s="166">
        <f t="shared" si="278"/>
        <v>0</v>
      </c>
      <c r="BY184" s="166">
        <f t="shared" si="278"/>
        <v>0</v>
      </c>
      <c r="BZ184" s="166">
        <f t="shared" si="278"/>
        <v>0</v>
      </c>
      <c r="CA184" s="166">
        <f t="shared" si="278"/>
        <v>0</v>
      </c>
      <c r="CB184" s="166">
        <f t="shared" si="278"/>
        <v>0</v>
      </c>
      <c r="CC184" s="166">
        <f t="shared" si="278"/>
        <v>0</v>
      </c>
      <c r="CD184" s="166">
        <f t="shared" si="278"/>
        <v>2.2571521810072883E-3</v>
      </c>
      <c r="CE184" s="166">
        <f t="shared" si="278"/>
        <v>0</v>
      </c>
      <c r="CF184" s="166">
        <f t="shared" si="278"/>
        <v>0</v>
      </c>
      <c r="CG184" s="166">
        <f t="shared" si="278"/>
        <v>0.33259011519881088</v>
      </c>
      <c r="CH184" s="166">
        <f t="shared" si="278"/>
        <v>0</v>
      </c>
      <c r="CI184" s="168">
        <f t="shared" si="278"/>
        <v>2.6534242857904956E-3</v>
      </c>
      <c r="CK184" s="107" t="s">
        <v>398</v>
      </c>
      <c r="CL184" s="166" t="str">
        <f t="shared" si="280"/>
        <v/>
      </c>
      <c r="CM184" s="166" t="str">
        <f t="shared" si="280"/>
        <v/>
      </c>
      <c r="CN184" s="166" t="str">
        <f t="shared" si="280"/>
        <v/>
      </c>
      <c r="CO184" s="166" t="str">
        <f t="shared" si="280"/>
        <v/>
      </c>
      <c r="CP184" s="166"/>
      <c r="CQ184" s="166"/>
      <c r="CR184" s="166"/>
      <c r="CS184" s="166"/>
      <c r="CT184" s="166">
        <f t="shared" si="281"/>
        <v>0.12761289531661082</v>
      </c>
      <c r="CU184" s="166" t="str">
        <f t="shared" si="281"/>
        <v/>
      </c>
      <c r="CV184" s="166" t="str">
        <f t="shared" si="281"/>
        <v/>
      </c>
      <c r="CW184" s="166">
        <f t="shared" si="281"/>
        <v>0.33608138277730093</v>
      </c>
      <c r="CX184" s="166" t="str">
        <f t="shared" si="281"/>
        <v/>
      </c>
      <c r="CY184" s="168">
        <f t="shared" si="281"/>
        <v>0.17383564759254749</v>
      </c>
      <c r="DA184" s="107" t="s">
        <v>398</v>
      </c>
      <c r="DB184" s="315">
        <f t="shared" si="279"/>
        <v>0</v>
      </c>
      <c r="DC184" s="315">
        <f t="shared" si="279"/>
        <v>0</v>
      </c>
      <c r="DD184" s="315">
        <f t="shared" si="279"/>
        <v>0</v>
      </c>
      <c r="DE184" s="315">
        <f t="shared" si="279"/>
        <v>0</v>
      </c>
      <c r="DF184" s="315">
        <f t="shared" si="279"/>
        <v>0</v>
      </c>
      <c r="DG184" s="315">
        <f t="shared" si="279"/>
        <v>0</v>
      </c>
      <c r="DH184" s="315">
        <f t="shared" si="279"/>
        <v>0</v>
      </c>
      <c r="DI184" s="315">
        <f t="shared" si="279"/>
        <v>0</v>
      </c>
      <c r="DJ184" s="314">
        <f t="shared" si="279"/>
        <v>-0.12010291626604633</v>
      </c>
      <c r="DK184" s="314">
        <f t="shared" si="279"/>
        <v>0</v>
      </c>
      <c r="DL184" s="314">
        <f t="shared" si="279"/>
        <v>0</v>
      </c>
      <c r="DM184" s="314">
        <f t="shared" si="279"/>
        <v>-0.28974098851166608</v>
      </c>
      <c r="DN184" s="315">
        <f t="shared" si="279"/>
        <v>0</v>
      </c>
      <c r="DO184" s="168"/>
      <c r="DQ184" s="107" t="s">
        <v>398</v>
      </c>
      <c r="DR184" s="315"/>
      <c r="DS184" s="315"/>
      <c r="DT184" s="315"/>
      <c r="DU184" s="315"/>
      <c r="DV184" s="315"/>
      <c r="DW184" s="315"/>
      <c r="DX184" s="315"/>
      <c r="DY184" s="315"/>
      <c r="DZ184" s="314">
        <v>-1.4339212168498396</v>
      </c>
      <c r="EA184" s="314">
        <v>-0.2193565730319888</v>
      </c>
      <c r="EB184" s="314">
        <v>0.64481073621974283</v>
      </c>
      <c r="EC184" s="314">
        <v>0</v>
      </c>
      <c r="ED184" s="315"/>
      <c r="EE184" s="168"/>
      <c r="EG184" s="107" t="s">
        <v>398</v>
      </c>
      <c r="EH184" s="315"/>
      <c r="EI184" s="315"/>
      <c r="EJ184" s="315"/>
      <c r="EK184" s="315"/>
      <c r="EL184" s="315"/>
      <c r="EM184" s="315"/>
      <c r="EN184" s="315"/>
      <c r="EO184" s="315"/>
      <c r="EP184" s="314">
        <f>DZ184+(DJ184-DJ$181)*$EI$1</f>
        <v>-1.4310808548547878</v>
      </c>
      <c r="EQ184" s="314">
        <f>EA184+(DK184-DK$182)*$EI$1</f>
        <v>0.88384221773516325</v>
      </c>
      <c r="ER184" s="314">
        <f>EB184+(DL184-DL$183)*$EI$1</f>
        <v>-1.2942802913795579</v>
      </c>
      <c r="ES184" s="314">
        <v>0</v>
      </c>
      <c r="ET184" s="315"/>
      <c r="EU184" s="168"/>
      <c r="EW184" s="164" t="s">
        <v>398</v>
      </c>
      <c r="EX184" s="316">
        <f t="shared" si="270"/>
        <v>0</v>
      </c>
      <c r="EY184" s="316">
        <f t="shared" si="267"/>
        <v>0</v>
      </c>
      <c r="EZ184" s="316">
        <f t="shared" si="267"/>
        <v>-4.9907748335634707</v>
      </c>
      <c r="FA184" s="316">
        <f t="shared" si="267"/>
        <v>-4.9907748335634707</v>
      </c>
      <c r="FB184" s="316">
        <f t="shared" si="267"/>
        <v>-5.5629789776270906</v>
      </c>
      <c r="FC184" s="316">
        <f t="shared" si="267"/>
        <v>-5.5629789776270906</v>
      </c>
      <c r="FD184" s="316">
        <f t="shared" si="267"/>
        <v>2.5789751127419169</v>
      </c>
      <c r="FE184" s="316">
        <f t="shared" si="267"/>
        <v>0</v>
      </c>
      <c r="FF184" s="316"/>
      <c r="FG184" s="316">
        <f t="shared" si="267"/>
        <v>0</v>
      </c>
      <c r="FH184" s="316">
        <f t="shared" si="267"/>
        <v>0</v>
      </c>
      <c r="FI184" s="316">
        <f t="shared" si="267"/>
        <v>0</v>
      </c>
      <c r="FJ184" s="316">
        <f t="shared" si="267"/>
        <v>0</v>
      </c>
      <c r="FK184" s="316">
        <f t="shared" si="267"/>
        <v>0</v>
      </c>
      <c r="FL184" s="168"/>
    </row>
    <row r="185" spans="2:168" x14ac:dyDescent="0.25">
      <c r="B185" s="107" t="s">
        <v>399</v>
      </c>
      <c r="C185" s="294"/>
      <c r="D185" s="294"/>
      <c r="E185" s="294"/>
      <c r="F185" s="294"/>
      <c r="G185" s="294"/>
      <c r="H185" s="294"/>
      <c r="I185" s="294"/>
      <c r="J185" s="294"/>
      <c r="K185" s="294"/>
      <c r="L185" s="294"/>
      <c r="M185" s="294"/>
      <c r="N185" s="294"/>
      <c r="O185" s="160"/>
      <c r="P185" s="162">
        <f t="shared" si="257"/>
        <v>0</v>
      </c>
      <c r="U185" s="128" t="e">
        <f>U181/(U181+V182+W183)</f>
        <v>#DIV/0!</v>
      </c>
      <c r="V185" s="128" t="e">
        <f>V182/(U181+V182+W183)</f>
        <v>#DIV/0!</v>
      </c>
      <c r="W185" s="128" t="e">
        <f>1-(U185+V185)</f>
        <v>#DIV/0!</v>
      </c>
      <c r="Y185" s="107" t="s">
        <v>399</v>
      </c>
      <c r="Z185" s="294">
        <f t="shared" si="268"/>
        <v>0</v>
      </c>
      <c r="AA185" s="294">
        <f t="shared" si="268"/>
        <v>0</v>
      </c>
      <c r="AB185" s="294">
        <f t="shared" si="268"/>
        <v>0</v>
      </c>
      <c r="AC185" s="294">
        <f t="shared" si="268"/>
        <v>0</v>
      </c>
      <c r="AD185" s="294">
        <f t="shared" si="268"/>
        <v>0</v>
      </c>
      <c r="AE185" s="294">
        <f t="shared" si="268"/>
        <v>0</v>
      </c>
      <c r="AF185" s="294">
        <f t="shared" si="268"/>
        <v>0</v>
      </c>
      <c r="AG185" s="294">
        <f t="shared" si="268"/>
        <v>0</v>
      </c>
      <c r="AH185" s="294">
        <f t="shared" si="268"/>
        <v>0</v>
      </c>
      <c r="AI185" s="294">
        <f t="shared" si="268"/>
        <v>0</v>
      </c>
      <c r="AJ185" s="294">
        <f t="shared" si="268"/>
        <v>0</v>
      </c>
      <c r="AK185" s="294">
        <f t="shared" si="268"/>
        <v>0</v>
      </c>
      <c r="AL185" s="160">
        <f t="shared" si="268"/>
        <v>2025.3401000000001</v>
      </c>
      <c r="AM185" s="162">
        <f t="shared" si="259"/>
        <v>2025.3401000000001</v>
      </c>
      <c r="AO185" s="107" t="s">
        <v>399</v>
      </c>
      <c r="AP185" s="294">
        <f t="shared" si="269"/>
        <v>0</v>
      </c>
      <c r="AQ185" s="294">
        <f t="shared" si="269"/>
        <v>0</v>
      </c>
      <c r="AR185" s="294">
        <f t="shared" si="269"/>
        <v>0</v>
      </c>
      <c r="AS185" s="294">
        <f t="shared" si="269"/>
        <v>0</v>
      </c>
      <c r="AT185" s="294">
        <f t="shared" si="269"/>
        <v>0</v>
      </c>
      <c r="AU185" s="294">
        <f t="shared" si="269"/>
        <v>0</v>
      </c>
      <c r="AV185" s="294">
        <f t="shared" si="269"/>
        <v>0</v>
      </c>
      <c r="AW185" s="294">
        <f t="shared" si="269"/>
        <v>0</v>
      </c>
      <c r="AX185" s="294">
        <f t="shared" si="269"/>
        <v>0</v>
      </c>
      <c r="AY185" s="294">
        <f t="shared" si="269"/>
        <v>10</v>
      </c>
      <c r="AZ185" s="294">
        <f t="shared" si="269"/>
        <v>0</v>
      </c>
      <c r="BA185" s="294">
        <f t="shared" si="269"/>
        <v>0</v>
      </c>
      <c r="BB185" s="160">
        <f t="shared" si="269"/>
        <v>0</v>
      </c>
      <c r="BC185" s="162">
        <f t="shared" si="261"/>
        <v>10</v>
      </c>
      <c r="BE185" s="107" t="s">
        <v>399</v>
      </c>
      <c r="BF185" s="166">
        <f t="shared" si="277"/>
        <v>0</v>
      </c>
      <c r="BG185" s="166">
        <f t="shared" si="277"/>
        <v>0</v>
      </c>
      <c r="BH185" s="166">
        <f t="shared" si="277"/>
        <v>0</v>
      </c>
      <c r="BI185" s="166">
        <f t="shared" si="277"/>
        <v>0</v>
      </c>
      <c r="BJ185" s="166">
        <f t="shared" si="277"/>
        <v>0</v>
      </c>
      <c r="BK185" s="166">
        <f t="shared" si="277"/>
        <v>0</v>
      </c>
      <c r="BL185" s="166">
        <f t="shared" si="277"/>
        <v>0</v>
      </c>
      <c r="BM185" s="166">
        <f t="shared" si="277"/>
        <v>0</v>
      </c>
      <c r="BN185" s="166">
        <f t="shared" si="277"/>
        <v>0</v>
      </c>
      <c r="BO185" s="166">
        <f t="shared" si="277"/>
        <v>0</v>
      </c>
      <c r="BP185" s="166">
        <f t="shared" si="277"/>
        <v>0</v>
      </c>
      <c r="BQ185" s="166">
        <f t="shared" si="277"/>
        <v>0</v>
      </c>
      <c r="BR185" s="166">
        <f t="shared" si="277"/>
        <v>0.13102159898333859</v>
      </c>
      <c r="BS185" s="166">
        <f t="shared" si="277"/>
        <v>6.4440516069672786E-4</v>
      </c>
      <c r="BU185" s="107" t="s">
        <v>399</v>
      </c>
      <c r="BV185" s="166">
        <f t="shared" si="278"/>
        <v>0</v>
      </c>
      <c r="BW185" s="166">
        <f t="shared" si="278"/>
        <v>0</v>
      </c>
      <c r="BX185" s="166">
        <f t="shared" si="278"/>
        <v>0</v>
      </c>
      <c r="BY185" s="166">
        <f t="shared" si="278"/>
        <v>0</v>
      </c>
      <c r="BZ185" s="166">
        <f t="shared" si="278"/>
        <v>0</v>
      </c>
      <c r="CA185" s="166">
        <f t="shared" si="278"/>
        <v>0</v>
      </c>
      <c r="CB185" s="166">
        <f t="shared" si="278"/>
        <v>0</v>
      </c>
      <c r="CC185" s="166">
        <f t="shared" si="278"/>
        <v>0</v>
      </c>
      <c r="CD185" s="166">
        <f t="shared" si="278"/>
        <v>0</v>
      </c>
      <c r="CE185" s="166">
        <f t="shared" si="278"/>
        <v>6.6489361702127658E-4</v>
      </c>
      <c r="CF185" s="166">
        <f t="shared" si="278"/>
        <v>0</v>
      </c>
      <c r="CG185" s="166">
        <f t="shared" si="278"/>
        <v>0</v>
      </c>
      <c r="CH185" s="166">
        <f t="shared" si="278"/>
        <v>0</v>
      </c>
      <c r="CI185" s="168">
        <f t="shared" si="278"/>
        <v>4.63885364648688E-6</v>
      </c>
      <c r="CK185" s="107" t="s">
        <v>399</v>
      </c>
      <c r="CL185" s="166" t="str">
        <f t="shared" si="280"/>
        <v/>
      </c>
      <c r="CM185" s="166" t="str">
        <f t="shared" si="280"/>
        <v/>
      </c>
      <c r="CN185" s="166" t="str">
        <f t="shared" si="280"/>
        <v/>
      </c>
      <c r="CO185" s="166" t="str">
        <f t="shared" si="280"/>
        <v/>
      </c>
      <c r="CP185" s="166"/>
      <c r="CQ185" s="166"/>
      <c r="CR185" s="166"/>
      <c r="CS185" s="166"/>
      <c r="CT185" s="166" t="str">
        <f t="shared" si="281"/>
        <v/>
      </c>
      <c r="CU185" s="166" t="str">
        <f t="shared" si="281"/>
        <v/>
      </c>
      <c r="CV185" s="166" t="str">
        <f t="shared" si="281"/>
        <v/>
      </c>
      <c r="CW185" s="166" t="str">
        <f t="shared" si="281"/>
        <v/>
      </c>
      <c r="CX185" s="166">
        <f t="shared" si="281"/>
        <v>-1</v>
      </c>
      <c r="CY185" s="168">
        <f t="shared" si="281"/>
        <v>-0.99280134001181586</v>
      </c>
      <c r="DA185" s="107" t="s">
        <v>399</v>
      </c>
      <c r="DB185" s="315">
        <f t="shared" si="279"/>
        <v>0</v>
      </c>
      <c r="DC185" s="315">
        <f t="shared" si="279"/>
        <v>0</v>
      </c>
      <c r="DD185" s="315">
        <f t="shared" si="279"/>
        <v>0</v>
      </c>
      <c r="DE185" s="315">
        <f t="shared" si="279"/>
        <v>0</v>
      </c>
      <c r="DF185" s="315">
        <f t="shared" si="279"/>
        <v>0</v>
      </c>
      <c r="DG185" s="315">
        <f t="shared" si="279"/>
        <v>0</v>
      </c>
      <c r="DH185" s="315">
        <f t="shared" si="279"/>
        <v>0</v>
      </c>
      <c r="DI185" s="315">
        <f t="shared" si="279"/>
        <v>0</v>
      </c>
      <c r="DJ185" s="315">
        <f t="shared" si="279"/>
        <v>0</v>
      </c>
      <c r="DK185" s="315">
        <f t="shared" si="279"/>
        <v>0</v>
      </c>
      <c r="DL185" s="315">
        <f t="shared" si="279"/>
        <v>0</v>
      </c>
      <c r="DM185" s="315">
        <f t="shared" si="279"/>
        <v>0</v>
      </c>
      <c r="DN185" s="314">
        <f t="shared" si="279"/>
        <v>0</v>
      </c>
      <c r="DO185" s="168"/>
      <c r="DQ185" s="107" t="s">
        <v>399</v>
      </c>
      <c r="DR185" s="315"/>
      <c r="DS185" s="315"/>
      <c r="DT185" s="315"/>
      <c r="DU185" s="315"/>
      <c r="DV185" s="315"/>
      <c r="DW185" s="315"/>
      <c r="DX185" s="315"/>
      <c r="DY185" s="315"/>
      <c r="DZ185" s="315"/>
      <c r="EA185" s="315"/>
      <c r="EB185" s="315"/>
      <c r="EC185" s="315"/>
      <c r="ED185" s="314">
        <v>0</v>
      </c>
      <c r="EE185" s="168"/>
      <c r="EG185" s="107" t="s">
        <v>399</v>
      </c>
      <c r="EH185" s="315"/>
      <c r="EI185" s="315"/>
      <c r="EJ185" s="315"/>
      <c r="EK185" s="315"/>
      <c r="EL185" s="315"/>
      <c r="EM185" s="315"/>
      <c r="EN185" s="315"/>
      <c r="EO185" s="315"/>
      <c r="EP185" s="315"/>
      <c r="EQ185" s="315"/>
      <c r="ER185" s="315"/>
      <c r="ES185" s="315"/>
      <c r="ET185" s="314">
        <v>0</v>
      </c>
      <c r="EU185" s="168"/>
      <c r="EW185" s="164" t="s">
        <v>399</v>
      </c>
      <c r="EX185" s="316">
        <f t="shared" si="270"/>
        <v>0</v>
      </c>
      <c r="EY185" s="316">
        <f t="shared" si="267"/>
        <v>0</v>
      </c>
      <c r="EZ185" s="316">
        <f t="shared" si="267"/>
        <v>0</v>
      </c>
      <c r="FA185" s="316">
        <f t="shared" si="267"/>
        <v>0</v>
      </c>
      <c r="FB185" s="316">
        <f t="shared" si="267"/>
        <v>0</v>
      </c>
      <c r="FC185" s="316">
        <f t="shared" si="267"/>
        <v>0</v>
      </c>
      <c r="FD185" s="316">
        <f t="shared" si="267"/>
        <v>0</v>
      </c>
      <c r="FE185" s="316">
        <f t="shared" si="267"/>
        <v>0</v>
      </c>
      <c r="FF185" s="316"/>
      <c r="FG185" s="316">
        <f t="shared" si="267"/>
        <v>0</v>
      </c>
      <c r="FH185" s="316">
        <f t="shared" si="267"/>
        <v>0</v>
      </c>
      <c r="FI185" s="316">
        <f t="shared" si="267"/>
        <v>0</v>
      </c>
      <c r="FJ185" s="316">
        <f t="shared" si="267"/>
        <v>0</v>
      </c>
      <c r="FK185" s="316">
        <f t="shared" si="267"/>
        <v>0</v>
      </c>
      <c r="FL185" s="168"/>
    </row>
    <row r="186" spans="2:168" ht="15.75" thickBot="1" x14ac:dyDescent="0.3">
      <c r="B186" s="108" t="s">
        <v>29</v>
      </c>
      <c r="C186" s="109">
        <f t="shared" ref="C186:P186" si="282">SUM(C173:C185)</f>
        <v>0</v>
      </c>
      <c r="D186" s="110">
        <f t="shared" si="282"/>
        <v>0</v>
      </c>
      <c r="E186" s="110">
        <f t="shared" si="282"/>
        <v>0</v>
      </c>
      <c r="F186" s="110">
        <f t="shared" si="282"/>
        <v>0</v>
      </c>
      <c r="G186" s="110">
        <f t="shared" si="282"/>
        <v>0</v>
      </c>
      <c r="H186" s="110">
        <f t="shared" si="282"/>
        <v>0</v>
      </c>
      <c r="I186" s="110">
        <f t="shared" si="282"/>
        <v>0</v>
      </c>
      <c r="J186" s="110">
        <f t="shared" si="282"/>
        <v>0</v>
      </c>
      <c r="K186" s="110">
        <f t="shared" si="282"/>
        <v>0</v>
      </c>
      <c r="L186" s="110">
        <f t="shared" si="282"/>
        <v>0</v>
      </c>
      <c r="M186" s="110">
        <f t="shared" si="282"/>
        <v>0</v>
      </c>
      <c r="N186" s="110">
        <f t="shared" si="282"/>
        <v>0</v>
      </c>
      <c r="O186" s="110">
        <f t="shared" si="282"/>
        <v>0</v>
      </c>
      <c r="P186" s="112">
        <f t="shared" si="282"/>
        <v>0</v>
      </c>
      <c r="Y186" s="108" t="s">
        <v>29</v>
      </c>
      <c r="Z186" s="109">
        <f t="shared" ref="Z186:AM186" si="283">SUM(Z173:Z185)</f>
        <v>146867.81284</v>
      </c>
      <c r="AA186" s="110">
        <f t="shared" si="283"/>
        <v>2960.7590800000003</v>
      </c>
      <c r="AB186" s="110">
        <f t="shared" si="283"/>
        <v>425459.50241999998</v>
      </c>
      <c r="AC186" s="110">
        <f t="shared" si="283"/>
        <v>2152.85995</v>
      </c>
      <c r="AD186" s="110">
        <f t="shared" si="283"/>
        <v>457683.27619</v>
      </c>
      <c r="AE186" s="110">
        <f t="shared" si="283"/>
        <v>5431.7652699999999</v>
      </c>
      <c r="AF186" s="110">
        <f t="shared" si="283"/>
        <v>176070.5754</v>
      </c>
      <c r="AG186" s="110">
        <f t="shared" si="283"/>
        <v>30520.88076</v>
      </c>
      <c r="AH186" s="110">
        <f t="shared" si="283"/>
        <v>149256.44019600865</v>
      </c>
      <c r="AI186" s="110">
        <f t="shared" si="283"/>
        <v>2999.0150029352753</v>
      </c>
      <c r="AJ186" s="110">
        <f t="shared" si="283"/>
        <v>3547.5103132610257</v>
      </c>
      <c r="AK186" s="110">
        <f t="shared" si="283"/>
        <v>7200.2825700000003</v>
      </c>
      <c r="AL186" s="110">
        <f t="shared" si="283"/>
        <v>2025.3401000000001</v>
      </c>
      <c r="AM186" s="112">
        <f t="shared" si="283"/>
        <v>1412176.0200922047</v>
      </c>
      <c r="AO186" s="108" t="s">
        <v>29</v>
      </c>
      <c r="AP186" s="109">
        <f t="shared" ref="AP186:BC186" si="284">SUM(AP173:AP185)</f>
        <v>183305</v>
      </c>
      <c r="AQ186" s="110">
        <f t="shared" si="284"/>
        <v>5640</v>
      </c>
      <c r="AR186" s="110">
        <f t="shared" si="284"/>
        <v>122430</v>
      </c>
      <c r="AS186" s="110">
        <f t="shared" si="284"/>
        <v>4520</v>
      </c>
      <c r="AT186" s="110">
        <f t="shared" si="284"/>
        <v>57155</v>
      </c>
      <c r="AU186" s="110">
        <f t="shared" si="284"/>
        <v>2805</v>
      </c>
      <c r="AV186" s="110">
        <f t="shared" si="284"/>
        <v>180980</v>
      </c>
      <c r="AW186" s="110">
        <f t="shared" si="284"/>
        <v>32040</v>
      </c>
      <c r="AX186" s="110">
        <f t="shared" si="284"/>
        <v>117100</v>
      </c>
      <c r="AY186" s="110">
        <f t="shared" si="284"/>
        <v>5235</v>
      </c>
      <c r="AZ186" s="110">
        <f t="shared" si="284"/>
        <v>185</v>
      </c>
      <c r="BA186" s="110">
        <f t="shared" si="284"/>
        <v>6305</v>
      </c>
      <c r="BB186" s="110">
        <f t="shared" si="284"/>
        <v>0</v>
      </c>
      <c r="BC186" s="112">
        <f t="shared" si="284"/>
        <v>717700</v>
      </c>
      <c r="BE186" s="108" t="s">
        <v>29</v>
      </c>
      <c r="BF186" s="120">
        <f t="shared" si="277"/>
        <v>0.25428326229930287</v>
      </c>
      <c r="BG186" s="120">
        <f t="shared" si="277"/>
        <v>7.0984198454256048E-2</v>
      </c>
      <c r="BH186" s="120">
        <f t="shared" si="277"/>
        <v>0.72756253172477692</v>
      </c>
      <c r="BI186" s="120">
        <f t="shared" si="277"/>
        <v>0.41050147363122313</v>
      </c>
      <c r="BJ186" s="120">
        <f t="shared" si="277"/>
        <v>0.79298087651356652</v>
      </c>
      <c r="BK186" s="120">
        <f t="shared" si="277"/>
        <v>0.82404939124938004</v>
      </c>
      <c r="BL186" s="120">
        <f t="shared" si="277"/>
        <v>0.68548129606338881</v>
      </c>
      <c r="BM186" s="120">
        <f t="shared" si="277"/>
        <v>0.27400733794158699</v>
      </c>
      <c r="BN186" s="120">
        <f t="shared" si="277"/>
        <v>0.18184752079996286</v>
      </c>
      <c r="BO186" s="120">
        <f t="shared" si="277"/>
        <v>9.5858095729258935E-2</v>
      </c>
      <c r="BP186" s="120">
        <f t="shared" si="277"/>
        <v>3.848015791809254E-2</v>
      </c>
      <c r="BQ186" s="120">
        <f t="shared" si="277"/>
        <v>0.32817417768392604</v>
      </c>
      <c r="BR186" s="120">
        <f t="shared" si="277"/>
        <v>0.13102159898333859</v>
      </c>
      <c r="BS186" s="120">
        <f t="shared" si="277"/>
        <v>0.44931392765075984</v>
      </c>
      <c r="BU186" s="108" t="s">
        <v>29</v>
      </c>
      <c r="BV186" s="120">
        <f t="shared" si="278"/>
        <v>0.36952555664190462</v>
      </c>
      <c r="BW186" s="121">
        <f t="shared" si="278"/>
        <v>0.18434384703382906</v>
      </c>
      <c r="BX186" s="121">
        <f t="shared" si="278"/>
        <v>0.75066678929458286</v>
      </c>
      <c r="BY186" s="121">
        <f t="shared" si="278"/>
        <v>0.59591298615688859</v>
      </c>
      <c r="BZ186" s="121">
        <f t="shared" si="278"/>
        <v>0.34232750359367514</v>
      </c>
      <c r="CA186" s="121">
        <f t="shared" si="278"/>
        <v>0.15117219078415522</v>
      </c>
      <c r="CB186" s="121">
        <f t="shared" si="278"/>
        <v>0.32924011715694301</v>
      </c>
      <c r="CC186" s="121">
        <f t="shared" si="278"/>
        <v>0.3163975707302622</v>
      </c>
      <c r="CD186" s="121">
        <f t="shared" si="278"/>
        <v>0.2122992131694405</v>
      </c>
      <c r="CE186" s="121">
        <f t="shared" si="278"/>
        <v>0.34807180851063829</v>
      </c>
      <c r="CF186" s="121">
        <f t="shared" si="278"/>
        <v>5.5347793567688854E-3</v>
      </c>
      <c r="CG186" s="121">
        <f t="shared" si="278"/>
        <v>0.46859903381642515</v>
      </c>
      <c r="CH186" s="121">
        <f t="shared" si="278"/>
        <v>0</v>
      </c>
      <c r="CI186" s="123">
        <f t="shared" si="278"/>
        <v>0.33293052620836339</v>
      </c>
      <c r="CK186" s="108" t="s">
        <v>29</v>
      </c>
      <c r="CL186" s="120">
        <f t="shared" si="280"/>
        <v>0.45320440401994044</v>
      </c>
      <c r="CM186" s="121">
        <f t="shared" si="280"/>
        <v>1.5969701855917233</v>
      </c>
      <c r="CN186" s="121">
        <f t="shared" si="280"/>
        <v>3.1755700111486561E-2</v>
      </c>
      <c r="CO186" s="121">
        <f t="shared" si="280"/>
        <v>0.45167075987705513</v>
      </c>
      <c r="CP186" s="121"/>
      <c r="CQ186" s="121"/>
      <c r="CR186" s="121"/>
      <c r="CS186" s="121"/>
      <c r="CT186" s="121">
        <f t="shared" si="281"/>
        <v>0.1674572863876177</v>
      </c>
      <c r="CU186" s="121">
        <f t="shared" si="281"/>
        <v>2.6311154093205689</v>
      </c>
      <c r="CV186" s="121">
        <f t="shared" si="281"/>
        <v>-0.85616536791376951</v>
      </c>
      <c r="CW186" s="121">
        <f t="shared" si="281"/>
        <v>0.4278973352612353</v>
      </c>
      <c r="CX186" s="121">
        <f t="shared" si="281"/>
        <v>-1</v>
      </c>
      <c r="CY186" s="123">
        <f t="shared" si="281"/>
        <v>-0.25902469137982803</v>
      </c>
      <c r="DA186" s="108" t="s">
        <v>29</v>
      </c>
      <c r="DB186" s="120"/>
      <c r="DC186" s="121"/>
      <c r="DD186" s="121"/>
      <c r="DE186" s="121"/>
      <c r="DF186" s="121"/>
      <c r="DG186" s="121"/>
      <c r="DH186" s="121"/>
      <c r="DI186" s="121"/>
      <c r="DJ186" s="121"/>
      <c r="DK186" s="121"/>
      <c r="DL186" s="121"/>
      <c r="DM186" s="121"/>
      <c r="DN186" s="121"/>
      <c r="DO186" s="123"/>
      <c r="DQ186" s="108" t="s">
        <v>29</v>
      </c>
      <c r="DR186" s="120"/>
      <c r="DS186" s="121"/>
      <c r="DT186" s="121"/>
      <c r="DU186" s="121"/>
      <c r="DV186" s="121"/>
      <c r="DW186" s="121"/>
      <c r="DX186" s="121"/>
      <c r="DY186" s="121"/>
      <c r="DZ186" s="121"/>
      <c r="EA186" s="121"/>
      <c r="EB186" s="121"/>
      <c r="EC186" s="121"/>
      <c r="ED186" s="121"/>
      <c r="EE186" s="123"/>
      <c r="EG186" s="108" t="s">
        <v>29</v>
      </c>
      <c r="EH186" s="120"/>
      <c r="EI186" s="121"/>
      <c r="EJ186" s="121"/>
      <c r="EK186" s="121"/>
      <c r="EL186" s="121"/>
      <c r="EM186" s="121"/>
      <c r="EN186" s="121"/>
      <c r="EO186" s="121"/>
      <c r="EP186" s="121"/>
      <c r="EQ186" s="121"/>
      <c r="ER186" s="121"/>
      <c r="ES186" s="121"/>
      <c r="ET186" s="121"/>
      <c r="EU186" s="123"/>
      <c r="EW186" s="108" t="s">
        <v>29</v>
      </c>
      <c r="EX186" s="120"/>
      <c r="EY186" s="121"/>
      <c r="EZ186" s="121"/>
      <c r="FA186" s="121"/>
      <c r="FB186" s="121"/>
      <c r="FC186" s="121"/>
      <c r="FD186" s="121"/>
      <c r="FE186" s="121"/>
      <c r="FF186" s="121"/>
      <c r="FG186" s="121"/>
      <c r="FH186" s="121"/>
      <c r="FI186" s="121"/>
      <c r="FJ186" s="121"/>
      <c r="FK186" s="121"/>
      <c r="FL186" s="123"/>
    </row>
  </sheetData>
  <mergeCells count="118">
    <mergeCell ref="EG1:EH1"/>
    <mergeCell ref="B3:BC3"/>
    <mergeCell ref="BE3:CI3"/>
    <mergeCell ref="CK3:CY3"/>
    <mergeCell ref="DA3:DO3"/>
    <mergeCell ref="DQ3:EE3"/>
    <mergeCell ref="EG3:EU3"/>
    <mergeCell ref="EW3:FL3"/>
    <mergeCell ref="R4:T5"/>
    <mergeCell ref="U4:W5"/>
    <mergeCell ref="C5:P5"/>
    <mergeCell ref="Z5:AM5"/>
    <mergeCell ref="AP5:BC5"/>
    <mergeCell ref="BF5:BS5"/>
    <mergeCell ref="BV5:CI5"/>
    <mergeCell ref="CL5:CY5"/>
    <mergeCell ref="DB5:DO5"/>
    <mergeCell ref="DR5:EE5"/>
    <mergeCell ref="EH5:EU5"/>
    <mergeCell ref="EX5:FL5"/>
    <mergeCell ref="EX21:FL21"/>
    <mergeCell ref="C37:P37"/>
    <mergeCell ref="Z37:AM37"/>
    <mergeCell ref="AP37:BC37"/>
    <mergeCell ref="BF37:BS37"/>
    <mergeCell ref="BV37:CI37"/>
    <mergeCell ref="CL37:CY37"/>
    <mergeCell ref="DB37:DO37"/>
    <mergeCell ref="DR37:EE37"/>
    <mergeCell ref="EH37:EU37"/>
    <mergeCell ref="EX37:FL37"/>
    <mergeCell ref="C21:P21"/>
    <mergeCell ref="Z21:AM21"/>
    <mergeCell ref="AP21:BC21"/>
    <mergeCell ref="BF21:BS21"/>
    <mergeCell ref="BV21:CI21"/>
    <mergeCell ref="CL21:CY21"/>
    <mergeCell ref="DB21:DO21"/>
    <mergeCell ref="DR21:EE21"/>
    <mergeCell ref="EH21:EU21"/>
    <mergeCell ref="EX53:FL53"/>
    <mergeCell ref="C69:P69"/>
    <mergeCell ref="Z69:AM69"/>
    <mergeCell ref="AP69:BC69"/>
    <mergeCell ref="BF69:BS69"/>
    <mergeCell ref="BV69:CI69"/>
    <mergeCell ref="CL69:CY69"/>
    <mergeCell ref="DB69:DO69"/>
    <mergeCell ref="DR69:EE69"/>
    <mergeCell ref="EH69:EU69"/>
    <mergeCell ref="EX69:FL69"/>
    <mergeCell ref="C53:P53"/>
    <mergeCell ref="Z53:AM53"/>
    <mergeCell ref="AP53:BC53"/>
    <mergeCell ref="BF53:BS53"/>
    <mergeCell ref="BV53:CI53"/>
    <mergeCell ref="CL53:CY53"/>
    <mergeCell ref="DB53:DO53"/>
    <mergeCell ref="DR53:EE53"/>
    <mergeCell ref="EH53:EU53"/>
    <mergeCell ref="EX85:FL85"/>
    <mergeCell ref="C101:P101"/>
    <mergeCell ref="Z101:AM101"/>
    <mergeCell ref="AP101:BC101"/>
    <mergeCell ref="BF101:BS101"/>
    <mergeCell ref="BV101:CI101"/>
    <mergeCell ref="CL101:CY101"/>
    <mergeCell ref="DB101:DO101"/>
    <mergeCell ref="DR101:EE101"/>
    <mergeCell ref="EH101:EU101"/>
    <mergeCell ref="EX101:FL101"/>
    <mergeCell ref="C85:P85"/>
    <mergeCell ref="Z85:AM85"/>
    <mergeCell ref="AP85:BC85"/>
    <mergeCell ref="BF85:BS85"/>
    <mergeCell ref="BV85:CI85"/>
    <mergeCell ref="CL85:CY85"/>
    <mergeCell ref="DB85:DO85"/>
    <mergeCell ref="DR85:EE85"/>
    <mergeCell ref="EH85:EU85"/>
    <mergeCell ref="EX117:FL117"/>
    <mergeCell ref="C133:P133"/>
    <mergeCell ref="Z133:AM133"/>
    <mergeCell ref="AP133:BC133"/>
    <mergeCell ref="BF133:BS133"/>
    <mergeCell ref="BV133:CI133"/>
    <mergeCell ref="CL133:CY133"/>
    <mergeCell ref="DB133:DO133"/>
    <mergeCell ref="DR133:EE133"/>
    <mergeCell ref="EH133:EU133"/>
    <mergeCell ref="EX133:FL133"/>
    <mergeCell ref="C117:P117"/>
    <mergeCell ref="Z117:AM117"/>
    <mergeCell ref="AP117:BC117"/>
    <mergeCell ref="BF117:BS117"/>
    <mergeCell ref="BV117:CI117"/>
    <mergeCell ref="CL117:CY117"/>
    <mergeCell ref="DB117:DO117"/>
    <mergeCell ref="DR117:EE117"/>
    <mergeCell ref="EH117:EU117"/>
    <mergeCell ref="C149:P149"/>
    <mergeCell ref="Z149:AM149"/>
    <mergeCell ref="AP149:BC149"/>
    <mergeCell ref="BF149:BS149"/>
    <mergeCell ref="BV149:CI149"/>
    <mergeCell ref="CL149:CY149"/>
    <mergeCell ref="DB149:DO149"/>
    <mergeCell ref="EH171:EU171"/>
    <mergeCell ref="EX171:FL171"/>
    <mergeCell ref="DR149:EE149"/>
    <mergeCell ref="C171:P171"/>
    <mergeCell ref="Z171:AM171"/>
    <mergeCell ref="AP171:BC171"/>
    <mergeCell ref="BF171:BS171"/>
    <mergeCell ref="BV171:CI171"/>
    <mergeCell ref="CL171:CY171"/>
    <mergeCell ref="DB171:DO171"/>
    <mergeCell ref="DR171:EE171"/>
  </mergeCells>
  <hyperlinks>
    <hyperlink ref="A1" location="Index!A1" display="Index"/>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61"/>
  <sheetViews>
    <sheetView topLeftCell="Q124" zoomScale="90" zoomScaleNormal="90" workbookViewId="0">
      <selection activeCell="R148" sqref="R148:AE161"/>
    </sheetView>
  </sheetViews>
  <sheetFormatPr defaultRowHeight="15" x14ac:dyDescent="0.25"/>
  <cols>
    <col min="2" max="2" width="13.7109375" bestFit="1" customWidth="1"/>
    <col min="3" max="3" width="11.140625" bestFit="1" customWidth="1"/>
    <col min="4" max="4" width="12.5703125" bestFit="1" customWidth="1"/>
    <col min="5" max="5" width="10.140625" bestFit="1" customWidth="1"/>
    <col min="6" max="6" width="12.5703125" bestFit="1" customWidth="1"/>
    <col min="7" max="7" width="10.140625" bestFit="1" customWidth="1"/>
    <col min="8" max="8" width="12.5703125" bestFit="1" customWidth="1"/>
    <col min="9" max="11" width="11.140625" bestFit="1" customWidth="1"/>
    <col min="12" max="12" width="10.140625" bestFit="1" customWidth="1"/>
    <col min="13" max="13" width="11.140625" bestFit="1" customWidth="1"/>
    <col min="14" max="14" width="10.140625" bestFit="1" customWidth="1"/>
    <col min="15" max="15" width="11.140625" bestFit="1" customWidth="1"/>
  </cols>
  <sheetData>
    <row r="1" spans="1:47" x14ac:dyDescent="0.25">
      <c r="A1" t="s">
        <v>191</v>
      </c>
      <c r="Q1" t="s">
        <v>200</v>
      </c>
    </row>
    <row r="2" spans="1:47" x14ac:dyDescent="0.25">
      <c r="A2" t="s">
        <v>4</v>
      </c>
      <c r="Q2" t="s">
        <v>4</v>
      </c>
    </row>
    <row r="3" spans="1:47" x14ac:dyDescent="0.25">
      <c r="B3" t="s">
        <v>208</v>
      </c>
      <c r="C3" t="s">
        <v>209</v>
      </c>
      <c r="D3" t="s">
        <v>210</v>
      </c>
      <c r="E3" t="s">
        <v>211</v>
      </c>
      <c r="F3" t="s">
        <v>212</v>
      </c>
      <c r="G3" t="s">
        <v>213</v>
      </c>
      <c r="H3" t="s">
        <v>214</v>
      </c>
      <c r="I3" t="s">
        <v>215</v>
      </c>
      <c r="J3" t="s">
        <v>216</v>
      </c>
      <c r="K3" t="s">
        <v>400</v>
      </c>
      <c r="L3" t="s">
        <v>401</v>
      </c>
      <c r="M3" t="s">
        <v>402</v>
      </c>
      <c r="N3" t="s">
        <v>403</v>
      </c>
      <c r="O3" t="s">
        <v>404</v>
      </c>
      <c r="R3" t="s">
        <v>208</v>
      </c>
      <c r="S3" t="s">
        <v>209</v>
      </c>
      <c r="T3" t="s">
        <v>210</v>
      </c>
      <c r="U3" t="s">
        <v>211</v>
      </c>
      <c r="V3" t="s">
        <v>212</v>
      </c>
      <c r="W3" t="s">
        <v>213</v>
      </c>
      <c r="X3" t="s">
        <v>214</v>
      </c>
      <c r="Y3" t="s">
        <v>215</v>
      </c>
      <c r="Z3" t="s">
        <v>216</v>
      </c>
      <c r="AA3" t="s">
        <v>400</v>
      </c>
      <c r="AB3" t="s">
        <v>401</v>
      </c>
      <c r="AC3" t="s">
        <v>402</v>
      </c>
      <c r="AD3" t="s">
        <v>403</v>
      </c>
      <c r="AE3" t="s">
        <v>404</v>
      </c>
      <c r="AG3" s="157"/>
      <c r="AH3" t="s">
        <v>674</v>
      </c>
      <c r="AI3" t="s">
        <v>675</v>
      </c>
      <c r="AJ3" t="s">
        <v>676</v>
      </c>
      <c r="AK3" t="s">
        <v>677</v>
      </c>
      <c r="AL3" t="s">
        <v>678</v>
      </c>
      <c r="AM3" t="s">
        <v>679</v>
      </c>
      <c r="AN3" t="s">
        <v>680</v>
      </c>
      <c r="AO3" t="s">
        <v>681</v>
      </c>
      <c r="AP3" t="s">
        <v>682</v>
      </c>
      <c r="AQ3" t="s">
        <v>683</v>
      </c>
      <c r="AR3" t="s">
        <v>684</v>
      </c>
      <c r="AS3" t="s">
        <v>685</v>
      </c>
      <c r="AT3" t="s">
        <v>686</v>
      </c>
      <c r="AU3" t="s">
        <v>687</v>
      </c>
    </row>
    <row r="4" spans="1:47" x14ac:dyDescent="0.25">
      <c r="A4">
        <v>1</v>
      </c>
      <c r="B4">
        <v>388418.58111999999</v>
      </c>
      <c r="C4">
        <v>19226.428629999999</v>
      </c>
      <c r="D4">
        <v>64291.640079999997</v>
      </c>
      <c r="E4">
        <v>883.28647999999998</v>
      </c>
      <c r="F4">
        <v>22169.38078</v>
      </c>
      <c r="G4">
        <v>462.80885000000001</v>
      </c>
      <c r="H4">
        <v>0</v>
      </c>
      <c r="I4">
        <v>0</v>
      </c>
      <c r="J4">
        <v>3024.2535800000001</v>
      </c>
      <c r="K4">
        <v>289.83724999999998</v>
      </c>
      <c r="L4">
        <v>329.66703999999999</v>
      </c>
      <c r="M4">
        <v>34891.578540000002</v>
      </c>
      <c r="N4">
        <v>2498.89183</v>
      </c>
      <c r="O4">
        <v>0</v>
      </c>
      <c r="Q4">
        <v>1</v>
      </c>
      <c r="R4">
        <v>42874</v>
      </c>
      <c r="S4">
        <v>4168</v>
      </c>
      <c r="T4">
        <v>1399</v>
      </c>
      <c r="U4">
        <v>153</v>
      </c>
      <c r="V4">
        <v>4841</v>
      </c>
      <c r="W4">
        <v>630</v>
      </c>
      <c r="X4">
        <v>0</v>
      </c>
      <c r="Y4">
        <v>0</v>
      </c>
      <c r="Z4">
        <v>0</v>
      </c>
      <c r="AA4">
        <v>0</v>
      </c>
      <c r="AB4">
        <v>0</v>
      </c>
      <c r="AC4">
        <v>0</v>
      </c>
      <c r="AD4">
        <v>0</v>
      </c>
      <c r="AE4">
        <v>0</v>
      </c>
      <c r="AG4" s="157">
        <v>1</v>
      </c>
      <c r="AH4">
        <v>42874</v>
      </c>
      <c r="AI4">
        <v>4168</v>
      </c>
      <c r="AJ4">
        <v>1399</v>
      </c>
      <c r="AK4">
        <v>153</v>
      </c>
      <c r="AL4">
        <v>4841</v>
      </c>
      <c r="AM4">
        <v>630</v>
      </c>
      <c r="AN4">
        <v>0</v>
      </c>
      <c r="AO4">
        <v>0</v>
      </c>
      <c r="AP4">
        <v>0</v>
      </c>
      <c r="AQ4">
        <v>0</v>
      </c>
      <c r="AR4">
        <v>0</v>
      </c>
      <c r="AS4">
        <v>0</v>
      </c>
      <c r="AT4">
        <v>0</v>
      </c>
      <c r="AU4">
        <v>0</v>
      </c>
    </row>
    <row r="5" spans="1:47" x14ac:dyDescent="0.25">
      <c r="A5">
        <v>2</v>
      </c>
      <c r="B5">
        <v>0</v>
      </c>
      <c r="C5">
        <v>16884.050609999998</v>
      </c>
      <c r="D5">
        <v>0</v>
      </c>
      <c r="E5">
        <v>662.54885999999999</v>
      </c>
      <c r="F5">
        <v>0</v>
      </c>
      <c r="G5">
        <v>70.804150000000007</v>
      </c>
      <c r="H5">
        <v>0</v>
      </c>
      <c r="I5">
        <v>0</v>
      </c>
      <c r="J5">
        <v>0</v>
      </c>
      <c r="K5">
        <v>0</v>
      </c>
      <c r="L5">
        <v>0</v>
      </c>
      <c r="M5">
        <v>3898.3789499999998</v>
      </c>
      <c r="N5">
        <v>391.59858000000003</v>
      </c>
      <c r="O5">
        <v>0</v>
      </c>
      <c r="Q5">
        <v>2</v>
      </c>
      <c r="R5">
        <v>333</v>
      </c>
      <c r="S5">
        <v>468</v>
      </c>
      <c r="T5">
        <v>19</v>
      </c>
      <c r="U5">
        <v>15</v>
      </c>
      <c r="V5">
        <v>103</v>
      </c>
      <c r="W5">
        <v>141</v>
      </c>
      <c r="X5">
        <v>0</v>
      </c>
      <c r="Y5">
        <v>0</v>
      </c>
      <c r="Z5">
        <v>0</v>
      </c>
      <c r="AA5">
        <v>0</v>
      </c>
      <c r="AB5">
        <v>0</v>
      </c>
      <c r="AC5">
        <v>0</v>
      </c>
      <c r="AD5">
        <v>0</v>
      </c>
      <c r="AE5">
        <v>0</v>
      </c>
      <c r="AG5" s="157">
        <v>2</v>
      </c>
      <c r="AH5">
        <v>333</v>
      </c>
      <c r="AI5">
        <v>468</v>
      </c>
      <c r="AJ5">
        <v>19</v>
      </c>
      <c r="AK5">
        <v>15</v>
      </c>
      <c r="AL5">
        <v>103</v>
      </c>
      <c r="AM5">
        <v>141</v>
      </c>
      <c r="AN5">
        <v>0</v>
      </c>
      <c r="AO5">
        <v>0</v>
      </c>
      <c r="AP5">
        <v>0</v>
      </c>
      <c r="AQ5">
        <v>0</v>
      </c>
      <c r="AR5">
        <v>0</v>
      </c>
      <c r="AS5">
        <v>0</v>
      </c>
      <c r="AT5">
        <v>0</v>
      </c>
      <c r="AU5">
        <v>0</v>
      </c>
    </row>
    <row r="6" spans="1:47" x14ac:dyDescent="0.25">
      <c r="A6">
        <v>3</v>
      </c>
      <c r="B6">
        <v>0</v>
      </c>
      <c r="C6">
        <v>0</v>
      </c>
      <c r="D6">
        <v>88381.097500000003</v>
      </c>
      <c r="E6">
        <v>645.45622000000003</v>
      </c>
      <c r="F6">
        <v>13039.621429999999</v>
      </c>
      <c r="G6">
        <v>331.41672999999997</v>
      </c>
      <c r="H6">
        <v>0</v>
      </c>
      <c r="I6">
        <v>0</v>
      </c>
      <c r="J6">
        <v>14553.79566</v>
      </c>
      <c r="K6">
        <v>2890.0504299999998</v>
      </c>
      <c r="L6">
        <v>22550.121149999999</v>
      </c>
      <c r="M6">
        <v>12410.776599999999</v>
      </c>
      <c r="N6">
        <v>1816.8508300000001</v>
      </c>
      <c r="O6">
        <v>0</v>
      </c>
      <c r="Q6">
        <v>3</v>
      </c>
      <c r="R6">
        <v>0</v>
      </c>
      <c r="S6">
        <v>0</v>
      </c>
      <c r="T6">
        <v>2231</v>
      </c>
      <c r="U6">
        <v>234</v>
      </c>
      <c r="V6">
        <v>2186</v>
      </c>
      <c r="W6">
        <v>273</v>
      </c>
      <c r="X6">
        <v>0</v>
      </c>
      <c r="Y6">
        <v>0</v>
      </c>
      <c r="Z6">
        <v>0</v>
      </c>
      <c r="AA6">
        <v>2266</v>
      </c>
      <c r="AB6">
        <v>0</v>
      </c>
      <c r="AC6">
        <v>0</v>
      </c>
      <c r="AD6">
        <v>78</v>
      </c>
      <c r="AE6">
        <v>0</v>
      </c>
      <c r="AG6" s="157">
        <v>3</v>
      </c>
      <c r="AH6">
        <v>0</v>
      </c>
      <c r="AI6">
        <v>0</v>
      </c>
      <c r="AJ6">
        <v>2231</v>
      </c>
      <c r="AK6">
        <v>234</v>
      </c>
      <c r="AL6">
        <v>2186</v>
      </c>
      <c r="AM6">
        <v>273</v>
      </c>
      <c r="AN6">
        <v>0</v>
      </c>
      <c r="AO6">
        <v>0</v>
      </c>
      <c r="AP6">
        <v>0</v>
      </c>
      <c r="AQ6">
        <v>2266</v>
      </c>
      <c r="AR6">
        <v>0</v>
      </c>
      <c r="AS6">
        <v>0</v>
      </c>
      <c r="AT6">
        <v>78</v>
      </c>
      <c r="AU6">
        <v>0</v>
      </c>
    </row>
    <row r="7" spans="1:47" x14ac:dyDescent="0.25">
      <c r="A7">
        <v>4</v>
      </c>
      <c r="B7">
        <v>0</v>
      </c>
      <c r="C7">
        <v>0</v>
      </c>
      <c r="D7">
        <v>0</v>
      </c>
      <c r="E7">
        <v>167.23007999999999</v>
      </c>
      <c r="F7">
        <v>0</v>
      </c>
      <c r="G7">
        <v>304.55101999999999</v>
      </c>
      <c r="H7">
        <v>0</v>
      </c>
      <c r="I7">
        <v>0</v>
      </c>
      <c r="J7">
        <v>0</v>
      </c>
      <c r="K7">
        <v>0</v>
      </c>
      <c r="L7">
        <v>0</v>
      </c>
      <c r="M7">
        <v>47.197839999999999</v>
      </c>
      <c r="N7">
        <v>0</v>
      </c>
      <c r="O7">
        <v>0</v>
      </c>
      <c r="Q7">
        <v>4</v>
      </c>
      <c r="R7">
        <v>0</v>
      </c>
      <c r="S7">
        <v>0</v>
      </c>
      <c r="T7">
        <v>0</v>
      </c>
      <c r="U7">
        <v>33</v>
      </c>
      <c r="V7">
        <v>30</v>
      </c>
      <c r="W7">
        <v>53</v>
      </c>
      <c r="X7">
        <v>0</v>
      </c>
      <c r="Y7">
        <v>0</v>
      </c>
      <c r="Z7">
        <v>0</v>
      </c>
      <c r="AA7">
        <v>80</v>
      </c>
      <c r="AB7">
        <v>0</v>
      </c>
      <c r="AC7">
        <v>0</v>
      </c>
      <c r="AD7">
        <v>6</v>
      </c>
      <c r="AE7">
        <v>0</v>
      </c>
      <c r="AG7" s="157">
        <v>4</v>
      </c>
      <c r="AH7">
        <v>0</v>
      </c>
      <c r="AI7">
        <v>0</v>
      </c>
      <c r="AJ7">
        <v>0</v>
      </c>
      <c r="AK7">
        <v>33</v>
      </c>
      <c r="AL7">
        <v>30</v>
      </c>
      <c r="AM7">
        <v>53</v>
      </c>
      <c r="AN7">
        <v>0</v>
      </c>
      <c r="AO7">
        <v>0</v>
      </c>
      <c r="AP7">
        <v>0</v>
      </c>
      <c r="AQ7">
        <v>80</v>
      </c>
      <c r="AR7">
        <v>0</v>
      </c>
      <c r="AS7">
        <v>0</v>
      </c>
      <c r="AT7">
        <v>6</v>
      </c>
      <c r="AU7">
        <v>0</v>
      </c>
    </row>
    <row r="8" spans="1:47" x14ac:dyDescent="0.25">
      <c r="A8">
        <v>5</v>
      </c>
      <c r="B8">
        <v>0</v>
      </c>
      <c r="C8">
        <v>0</v>
      </c>
      <c r="D8">
        <v>0</v>
      </c>
      <c r="E8">
        <v>0</v>
      </c>
      <c r="F8">
        <v>26569.29754</v>
      </c>
      <c r="G8">
        <v>211.98925</v>
      </c>
      <c r="H8">
        <v>0</v>
      </c>
      <c r="I8">
        <v>0</v>
      </c>
      <c r="J8">
        <v>3148.4036299999998</v>
      </c>
      <c r="K8">
        <v>484.76970999999998</v>
      </c>
      <c r="L8">
        <v>4805.2381100000002</v>
      </c>
      <c r="M8">
        <v>18610.925139999999</v>
      </c>
      <c r="N8">
        <v>750.03156000000001</v>
      </c>
      <c r="O8">
        <v>0</v>
      </c>
      <c r="Q8">
        <v>5</v>
      </c>
      <c r="R8">
        <v>0</v>
      </c>
      <c r="S8">
        <v>0</v>
      </c>
      <c r="T8">
        <v>0</v>
      </c>
      <c r="U8">
        <v>0</v>
      </c>
      <c r="V8">
        <v>4992</v>
      </c>
      <c r="W8">
        <v>563</v>
      </c>
      <c r="X8">
        <v>0</v>
      </c>
      <c r="Y8">
        <v>0</v>
      </c>
      <c r="Z8">
        <v>0</v>
      </c>
      <c r="AA8">
        <v>245</v>
      </c>
      <c r="AB8">
        <v>0</v>
      </c>
      <c r="AC8">
        <v>0</v>
      </c>
      <c r="AD8">
        <v>19</v>
      </c>
      <c r="AE8">
        <v>0</v>
      </c>
      <c r="AG8" s="157">
        <v>5</v>
      </c>
      <c r="AH8">
        <v>0</v>
      </c>
      <c r="AI8">
        <v>0</v>
      </c>
      <c r="AJ8">
        <v>0</v>
      </c>
      <c r="AK8">
        <v>0</v>
      </c>
      <c r="AL8">
        <v>4992</v>
      </c>
      <c r="AM8">
        <v>563</v>
      </c>
      <c r="AN8">
        <v>0</v>
      </c>
      <c r="AO8">
        <v>0</v>
      </c>
      <c r="AP8">
        <v>0</v>
      </c>
      <c r="AQ8">
        <v>245</v>
      </c>
      <c r="AR8">
        <v>0</v>
      </c>
      <c r="AS8">
        <v>0</v>
      </c>
      <c r="AT8">
        <v>19</v>
      </c>
      <c r="AU8">
        <v>0</v>
      </c>
    </row>
    <row r="9" spans="1:47" x14ac:dyDescent="0.25">
      <c r="A9">
        <v>6</v>
      </c>
      <c r="B9">
        <v>0</v>
      </c>
      <c r="C9">
        <v>0</v>
      </c>
      <c r="D9">
        <v>0</v>
      </c>
      <c r="E9">
        <v>0</v>
      </c>
      <c r="F9">
        <v>0</v>
      </c>
      <c r="G9">
        <v>70.804150000000007</v>
      </c>
      <c r="H9">
        <v>0</v>
      </c>
      <c r="I9">
        <v>0</v>
      </c>
      <c r="J9">
        <v>0</v>
      </c>
      <c r="K9">
        <v>0</v>
      </c>
      <c r="L9">
        <v>0</v>
      </c>
      <c r="M9">
        <v>0</v>
      </c>
      <c r="N9">
        <v>0</v>
      </c>
      <c r="O9">
        <v>0</v>
      </c>
      <c r="Q9">
        <v>6</v>
      </c>
      <c r="R9">
        <v>0</v>
      </c>
      <c r="S9">
        <v>0</v>
      </c>
      <c r="T9">
        <v>0</v>
      </c>
      <c r="U9">
        <v>0</v>
      </c>
      <c r="V9">
        <v>75</v>
      </c>
      <c r="W9">
        <v>106</v>
      </c>
      <c r="X9">
        <v>0</v>
      </c>
      <c r="Y9">
        <v>0</v>
      </c>
      <c r="Z9">
        <v>0</v>
      </c>
      <c r="AA9">
        <v>6</v>
      </c>
      <c r="AB9">
        <v>0</v>
      </c>
      <c r="AC9">
        <v>0</v>
      </c>
      <c r="AD9">
        <v>2</v>
      </c>
      <c r="AE9">
        <v>0</v>
      </c>
      <c r="AG9" s="157">
        <v>6</v>
      </c>
      <c r="AH9">
        <v>0</v>
      </c>
      <c r="AI9">
        <v>0</v>
      </c>
      <c r="AJ9">
        <v>0</v>
      </c>
      <c r="AK9">
        <v>0</v>
      </c>
      <c r="AL9">
        <v>75</v>
      </c>
      <c r="AM9">
        <v>106</v>
      </c>
      <c r="AN9">
        <v>0</v>
      </c>
      <c r="AO9">
        <v>0</v>
      </c>
      <c r="AP9">
        <v>0</v>
      </c>
      <c r="AQ9">
        <v>6</v>
      </c>
      <c r="AR9">
        <v>0</v>
      </c>
      <c r="AS9">
        <v>0</v>
      </c>
      <c r="AT9">
        <v>2</v>
      </c>
      <c r="AU9">
        <v>0</v>
      </c>
    </row>
    <row r="10" spans="1:47" x14ac:dyDescent="0.25">
      <c r="A10">
        <v>7</v>
      </c>
      <c r="B10">
        <v>7443.0242799999996</v>
      </c>
      <c r="C10">
        <v>1225.67587</v>
      </c>
      <c r="D10">
        <v>5817.9781999999996</v>
      </c>
      <c r="E10">
        <v>0</v>
      </c>
      <c r="F10">
        <v>2344.91795</v>
      </c>
      <c r="G10">
        <v>0</v>
      </c>
      <c r="H10">
        <v>42704.56955</v>
      </c>
      <c r="I10">
        <v>628.30355999999995</v>
      </c>
      <c r="J10">
        <v>43376.616770000001</v>
      </c>
      <c r="K10">
        <v>22817.545569999998</v>
      </c>
      <c r="L10">
        <v>22107.594359999999</v>
      </c>
      <c r="M10">
        <v>15198.468860000001</v>
      </c>
      <c r="N10">
        <v>1463.6681000000001</v>
      </c>
      <c r="O10">
        <v>1929.7124799999999</v>
      </c>
      <c r="Q10">
        <v>7</v>
      </c>
      <c r="R10">
        <v>0</v>
      </c>
      <c r="S10">
        <v>0</v>
      </c>
      <c r="T10">
        <v>694</v>
      </c>
      <c r="U10">
        <v>49</v>
      </c>
      <c r="V10">
        <v>1171</v>
      </c>
      <c r="W10">
        <v>135</v>
      </c>
      <c r="X10">
        <v>17243</v>
      </c>
      <c r="Y10">
        <v>0</v>
      </c>
      <c r="Z10">
        <v>0</v>
      </c>
      <c r="AA10">
        <v>17721</v>
      </c>
      <c r="AB10">
        <v>0</v>
      </c>
      <c r="AC10">
        <v>0</v>
      </c>
      <c r="AD10">
        <v>158</v>
      </c>
      <c r="AE10">
        <v>0</v>
      </c>
      <c r="AG10" s="157">
        <v>7</v>
      </c>
      <c r="AH10">
        <v>0</v>
      </c>
      <c r="AI10">
        <v>0</v>
      </c>
      <c r="AJ10">
        <v>694</v>
      </c>
      <c r="AK10">
        <v>49</v>
      </c>
      <c r="AL10">
        <v>1171</v>
      </c>
      <c r="AM10">
        <v>135</v>
      </c>
      <c r="AN10">
        <v>17243</v>
      </c>
      <c r="AO10">
        <v>0</v>
      </c>
      <c r="AP10">
        <v>0</v>
      </c>
      <c r="AQ10">
        <v>17721</v>
      </c>
      <c r="AR10">
        <v>0</v>
      </c>
      <c r="AS10">
        <v>0</v>
      </c>
      <c r="AT10">
        <v>158</v>
      </c>
      <c r="AU10">
        <v>0</v>
      </c>
    </row>
    <row r="11" spans="1:47" x14ac:dyDescent="0.25">
      <c r="A11">
        <v>8</v>
      </c>
      <c r="B11">
        <v>605.26838999999995</v>
      </c>
      <c r="C11">
        <v>0</v>
      </c>
      <c r="D11">
        <v>0</v>
      </c>
      <c r="E11">
        <v>0</v>
      </c>
      <c r="F11">
        <v>0</v>
      </c>
      <c r="G11">
        <v>0</v>
      </c>
      <c r="H11">
        <v>0</v>
      </c>
      <c r="I11">
        <v>66125.770869999993</v>
      </c>
      <c r="J11">
        <v>1560.1348800000001</v>
      </c>
      <c r="K11">
        <v>532.33087999999998</v>
      </c>
      <c r="L11">
        <v>0</v>
      </c>
      <c r="M11">
        <v>0</v>
      </c>
      <c r="N11">
        <v>0</v>
      </c>
      <c r="O11">
        <v>0</v>
      </c>
      <c r="Q11">
        <v>8</v>
      </c>
      <c r="R11">
        <v>0</v>
      </c>
      <c r="S11">
        <v>0</v>
      </c>
      <c r="T11">
        <v>0</v>
      </c>
      <c r="U11">
        <v>0</v>
      </c>
      <c r="V11">
        <v>0</v>
      </c>
      <c r="W11">
        <v>0</v>
      </c>
      <c r="X11">
        <v>0</v>
      </c>
      <c r="Y11">
        <v>13046</v>
      </c>
      <c r="Z11">
        <v>0</v>
      </c>
      <c r="AA11">
        <v>0</v>
      </c>
      <c r="AB11">
        <v>0</v>
      </c>
      <c r="AC11">
        <v>0</v>
      </c>
      <c r="AD11">
        <v>0</v>
      </c>
      <c r="AE11">
        <v>0</v>
      </c>
      <c r="AG11" s="157">
        <v>8</v>
      </c>
      <c r="AH11">
        <v>0</v>
      </c>
      <c r="AI11">
        <v>0</v>
      </c>
      <c r="AJ11">
        <v>0</v>
      </c>
      <c r="AK11">
        <v>0</v>
      </c>
      <c r="AL11">
        <v>0</v>
      </c>
      <c r="AM11">
        <v>0</v>
      </c>
      <c r="AN11">
        <v>0</v>
      </c>
      <c r="AO11">
        <v>13046</v>
      </c>
      <c r="AP11">
        <v>0</v>
      </c>
      <c r="AQ11">
        <v>0</v>
      </c>
      <c r="AR11">
        <v>0</v>
      </c>
      <c r="AS11">
        <v>0</v>
      </c>
      <c r="AT11">
        <v>0</v>
      </c>
      <c r="AU11">
        <v>0</v>
      </c>
    </row>
    <row r="12" spans="1:47" x14ac:dyDescent="0.25">
      <c r="A12">
        <v>9</v>
      </c>
      <c r="B12">
        <v>0</v>
      </c>
      <c r="C12">
        <v>0</v>
      </c>
      <c r="D12">
        <v>0</v>
      </c>
      <c r="E12">
        <v>0</v>
      </c>
      <c r="F12">
        <v>0</v>
      </c>
      <c r="G12">
        <v>0</v>
      </c>
      <c r="H12">
        <v>0</v>
      </c>
      <c r="I12">
        <v>0</v>
      </c>
      <c r="J12">
        <v>271389.61992999999</v>
      </c>
      <c r="K12">
        <v>9785.3804199999995</v>
      </c>
      <c r="L12">
        <v>22268.097010000001</v>
      </c>
      <c r="M12">
        <v>7729.4159099999997</v>
      </c>
      <c r="N12">
        <v>0</v>
      </c>
      <c r="O12">
        <v>0</v>
      </c>
      <c r="Q12">
        <v>9</v>
      </c>
      <c r="R12">
        <v>0</v>
      </c>
      <c r="S12">
        <v>0</v>
      </c>
      <c r="T12">
        <v>0</v>
      </c>
      <c r="U12">
        <v>0</v>
      </c>
      <c r="V12">
        <v>0</v>
      </c>
      <c r="W12">
        <v>0</v>
      </c>
      <c r="X12">
        <v>0</v>
      </c>
      <c r="Y12">
        <v>0</v>
      </c>
      <c r="Z12">
        <v>0</v>
      </c>
      <c r="AA12">
        <v>0</v>
      </c>
      <c r="AB12">
        <v>0</v>
      </c>
      <c r="AC12">
        <v>0</v>
      </c>
      <c r="AD12">
        <v>0</v>
      </c>
      <c r="AE12">
        <v>0</v>
      </c>
      <c r="AG12" s="157">
        <v>9</v>
      </c>
      <c r="AH12">
        <v>0</v>
      </c>
      <c r="AI12">
        <v>0</v>
      </c>
      <c r="AJ12">
        <v>0</v>
      </c>
      <c r="AK12">
        <v>0</v>
      </c>
      <c r="AL12">
        <v>0</v>
      </c>
      <c r="AM12">
        <v>0</v>
      </c>
      <c r="AN12">
        <v>0</v>
      </c>
      <c r="AO12">
        <v>0</v>
      </c>
      <c r="AP12">
        <v>0</v>
      </c>
      <c r="AQ12">
        <v>0</v>
      </c>
      <c r="AR12">
        <v>0</v>
      </c>
      <c r="AS12">
        <v>0</v>
      </c>
      <c r="AT12">
        <v>0</v>
      </c>
      <c r="AU12">
        <v>0</v>
      </c>
    </row>
    <row r="13" spans="1:47" x14ac:dyDescent="0.25">
      <c r="A13">
        <v>10</v>
      </c>
      <c r="B13">
        <v>0</v>
      </c>
      <c r="C13">
        <v>0</v>
      </c>
      <c r="D13">
        <v>0</v>
      </c>
      <c r="E13">
        <v>0</v>
      </c>
      <c r="F13">
        <v>0</v>
      </c>
      <c r="G13">
        <v>0</v>
      </c>
      <c r="H13">
        <v>0</v>
      </c>
      <c r="I13">
        <v>0</v>
      </c>
      <c r="J13">
        <v>0</v>
      </c>
      <c r="K13">
        <v>146547.92611</v>
      </c>
      <c r="L13">
        <v>5791.4375700000001</v>
      </c>
      <c r="M13">
        <v>10131.78721</v>
      </c>
      <c r="N13">
        <v>0</v>
      </c>
      <c r="O13">
        <v>0</v>
      </c>
      <c r="Q13">
        <v>10</v>
      </c>
      <c r="R13">
        <v>0</v>
      </c>
      <c r="S13">
        <v>0</v>
      </c>
      <c r="T13">
        <v>0</v>
      </c>
      <c r="U13">
        <v>0</v>
      </c>
      <c r="V13">
        <v>0</v>
      </c>
      <c r="W13">
        <v>0</v>
      </c>
      <c r="X13">
        <v>0</v>
      </c>
      <c r="Y13">
        <v>0</v>
      </c>
      <c r="Z13">
        <v>0</v>
      </c>
      <c r="AA13">
        <v>51033</v>
      </c>
      <c r="AB13">
        <v>0</v>
      </c>
      <c r="AC13">
        <v>0</v>
      </c>
      <c r="AD13">
        <v>0</v>
      </c>
      <c r="AE13">
        <v>0</v>
      </c>
      <c r="AG13" s="157">
        <v>10</v>
      </c>
      <c r="AH13">
        <v>0</v>
      </c>
      <c r="AI13">
        <v>0</v>
      </c>
      <c r="AJ13">
        <v>0</v>
      </c>
      <c r="AK13">
        <v>0</v>
      </c>
      <c r="AL13">
        <v>0</v>
      </c>
      <c r="AM13">
        <v>0</v>
      </c>
      <c r="AN13">
        <v>0</v>
      </c>
      <c r="AO13">
        <v>0</v>
      </c>
      <c r="AP13">
        <v>0</v>
      </c>
      <c r="AQ13">
        <v>51033</v>
      </c>
      <c r="AR13">
        <v>0</v>
      </c>
      <c r="AS13">
        <v>0</v>
      </c>
      <c r="AT13">
        <v>0</v>
      </c>
      <c r="AU13">
        <v>0</v>
      </c>
    </row>
    <row r="14" spans="1:47" x14ac:dyDescent="0.25">
      <c r="A14">
        <v>11</v>
      </c>
      <c r="B14">
        <v>0</v>
      </c>
      <c r="C14">
        <v>0</v>
      </c>
      <c r="D14">
        <v>0</v>
      </c>
      <c r="E14">
        <v>0</v>
      </c>
      <c r="F14">
        <v>0</v>
      </c>
      <c r="G14">
        <v>0</v>
      </c>
      <c r="H14">
        <v>0</v>
      </c>
      <c r="I14">
        <v>0</v>
      </c>
      <c r="J14">
        <v>0</v>
      </c>
      <c r="K14">
        <v>1308.6363699999999</v>
      </c>
      <c r="L14">
        <v>47690.655449999998</v>
      </c>
      <c r="M14">
        <v>3581.3116100000002</v>
      </c>
      <c r="N14">
        <v>0</v>
      </c>
      <c r="O14">
        <v>964.85623999999996</v>
      </c>
      <c r="Q14">
        <v>11</v>
      </c>
      <c r="R14">
        <v>0</v>
      </c>
      <c r="S14">
        <v>0</v>
      </c>
      <c r="T14">
        <v>0</v>
      </c>
      <c r="U14">
        <v>0</v>
      </c>
      <c r="V14">
        <v>0</v>
      </c>
      <c r="W14">
        <v>0</v>
      </c>
      <c r="X14">
        <v>0</v>
      </c>
      <c r="Y14">
        <v>0</v>
      </c>
      <c r="Z14">
        <v>0</v>
      </c>
      <c r="AA14">
        <v>0</v>
      </c>
      <c r="AB14">
        <v>2289</v>
      </c>
      <c r="AC14">
        <v>0</v>
      </c>
      <c r="AD14">
        <v>0</v>
      </c>
      <c r="AE14">
        <v>0</v>
      </c>
      <c r="AG14" s="157">
        <v>11</v>
      </c>
      <c r="AH14">
        <v>0</v>
      </c>
      <c r="AI14">
        <v>0</v>
      </c>
      <c r="AJ14">
        <v>0</v>
      </c>
      <c r="AK14">
        <v>0</v>
      </c>
      <c r="AL14">
        <v>0</v>
      </c>
      <c r="AM14">
        <v>0</v>
      </c>
      <c r="AN14">
        <v>0</v>
      </c>
      <c r="AO14">
        <v>0</v>
      </c>
      <c r="AP14">
        <v>0</v>
      </c>
      <c r="AQ14">
        <v>0</v>
      </c>
      <c r="AR14">
        <v>2289</v>
      </c>
      <c r="AS14">
        <v>0</v>
      </c>
      <c r="AT14">
        <v>0</v>
      </c>
      <c r="AU14">
        <v>0</v>
      </c>
    </row>
    <row r="15" spans="1:47" x14ac:dyDescent="0.25">
      <c r="A15">
        <v>12</v>
      </c>
      <c r="B15">
        <v>0</v>
      </c>
      <c r="C15">
        <v>0</v>
      </c>
      <c r="D15">
        <v>0</v>
      </c>
      <c r="E15">
        <v>0</v>
      </c>
      <c r="F15">
        <v>0</v>
      </c>
      <c r="G15">
        <v>0</v>
      </c>
      <c r="H15">
        <v>0</v>
      </c>
      <c r="I15">
        <v>0</v>
      </c>
      <c r="J15">
        <v>0</v>
      </c>
      <c r="K15">
        <v>432.24617000000001</v>
      </c>
      <c r="L15">
        <v>0</v>
      </c>
      <c r="M15">
        <v>216819.09826999999</v>
      </c>
      <c r="N15">
        <v>0</v>
      </c>
      <c r="O15">
        <v>0</v>
      </c>
      <c r="Q15">
        <v>12</v>
      </c>
      <c r="R15">
        <v>0</v>
      </c>
      <c r="S15">
        <v>0</v>
      </c>
      <c r="T15">
        <v>0</v>
      </c>
      <c r="U15">
        <v>0</v>
      </c>
      <c r="V15">
        <v>0</v>
      </c>
      <c r="W15">
        <v>0</v>
      </c>
      <c r="X15">
        <v>0</v>
      </c>
      <c r="Y15">
        <v>0</v>
      </c>
      <c r="Z15">
        <v>0</v>
      </c>
      <c r="AA15">
        <v>0</v>
      </c>
      <c r="AB15">
        <v>0</v>
      </c>
      <c r="AC15">
        <v>5971</v>
      </c>
      <c r="AD15">
        <v>0</v>
      </c>
      <c r="AE15">
        <v>0</v>
      </c>
      <c r="AG15" s="157">
        <v>12</v>
      </c>
      <c r="AH15">
        <v>0</v>
      </c>
      <c r="AI15">
        <v>0</v>
      </c>
      <c r="AJ15">
        <v>0</v>
      </c>
      <c r="AK15">
        <v>0</v>
      </c>
      <c r="AL15">
        <v>0</v>
      </c>
      <c r="AM15">
        <v>0</v>
      </c>
      <c r="AN15">
        <v>0</v>
      </c>
      <c r="AO15">
        <v>0</v>
      </c>
      <c r="AP15">
        <v>0</v>
      </c>
      <c r="AQ15">
        <v>0</v>
      </c>
      <c r="AR15">
        <v>0</v>
      </c>
      <c r="AS15">
        <v>5971</v>
      </c>
      <c r="AT15">
        <v>0</v>
      </c>
      <c r="AU15">
        <v>0</v>
      </c>
    </row>
    <row r="16" spans="1:47" x14ac:dyDescent="0.25">
      <c r="A16">
        <v>13</v>
      </c>
      <c r="B16">
        <v>0</v>
      </c>
      <c r="C16">
        <v>0</v>
      </c>
      <c r="D16">
        <v>0</v>
      </c>
      <c r="E16">
        <v>0</v>
      </c>
      <c r="F16">
        <v>0</v>
      </c>
      <c r="G16">
        <v>0</v>
      </c>
      <c r="H16">
        <v>0</v>
      </c>
      <c r="I16">
        <v>0</v>
      </c>
      <c r="J16">
        <v>3654.3924900000002</v>
      </c>
      <c r="K16">
        <v>1179.5942299999999</v>
      </c>
      <c r="L16">
        <v>4410.9728999999998</v>
      </c>
      <c r="M16">
        <v>1161.1712500000001</v>
      </c>
      <c r="N16">
        <v>8568.6185100000002</v>
      </c>
      <c r="O16">
        <v>0</v>
      </c>
      <c r="Q16">
        <v>13</v>
      </c>
      <c r="R16">
        <v>0</v>
      </c>
      <c r="S16">
        <v>0</v>
      </c>
      <c r="T16">
        <v>0</v>
      </c>
      <c r="U16">
        <v>0</v>
      </c>
      <c r="V16">
        <v>0</v>
      </c>
      <c r="W16">
        <v>0</v>
      </c>
      <c r="X16">
        <v>0</v>
      </c>
      <c r="Y16">
        <v>0</v>
      </c>
      <c r="Z16">
        <v>0</v>
      </c>
      <c r="AA16">
        <v>653</v>
      </c>
      <c r="AB16">
        <v>0</v>
      </c>
      <c r="AC16">
        <v>0</v>
      </c>
      <c r="AD16">
        <v>531</v>
      </c>
      <c r="AE16">
        <v>0</v>
      </c>
      <c r="AG16" s="157">
        <v>13</v>
      </c>
      <c r="AH16">
        <v>0</v>
      </c>
      <c r="AI16">
        <v>0</v>
      </c>
      <c r="AJ16">
        <v>0</v>
      </c>
      <c r="AK16">
        <v>0</v>
      </c>
      <c r="AL16">
        <v>0</v>
      </c>
      <c r="AM16">
        <v>0</v>
      </c>
      <c r="AN16">
        <v>0</v>
      </c>
      <c r="AO16">
        <v>0</v>
      </c>
      <c r="AP16">
        <v>0</v>
      </c>
      <c r="AQ16">
        <v>653</v>
      </c>
      <c r="AR16">
        <v>0</v>
      </c>
      <c r="AS16">
        <v>0</v>
      </c>
      <c r="AT16">
        <v>531</v>
      </c>
      <c r="AU16">
        <v>0</v>
      </c>
    </row>
    <row r="17" spans="1:47" x14ac:dyDescent="0.25">
      <c r="A17">
        <v>14</v>
      </c>
      <c r="B17">
        <v>0</v>
      </c>
      <c r="C17">
        <v>0</v>
      </c>
      <c r="D17">
        <v>0</v>
      </c>
      <c r="E17">
        <v>0</v>
      </c>
      <c r="F17">
        <v>0</v>
      </c>
      <c r="G17">
        <v>0</v>
      </c>
      <c r="H17">
        <v>0</v>
      </c>
      <c r="I17">
        <v>0</v>
      </c>
      <c r="J17">
        <v>0</v>
      </c>
      <c r="K17">
        <v>0</v>
      </c>
      <c r="L17">
        <v>0</v>
      </c>
      <c r="M17">
        <v>0</v>
      </c>
      <c r="N17">
        <v>0</v>
      </c>
      <c r="O17">
        <v>2894.5687200000002</v>
      </c>
      <c r="Q17">
        <v>14</v>
      </c>
      <c r="R17">
        <v>0</v>
      </c>
      <c r="S17">
        <v>0</v>
      </c>
      <c r="T17">
        <v>0</v>
      </c>
      <c r="U17">
        <v>0</v>
      </c>
      <c r="V17">
        <v>0</v>
      </c>
      <c r="W17">
        <v>0</v>
      </c>
      <c r="X17">
        <v>0</v>
      </c>
      <c r="Y17">
        <v>0</v>
      </c>
      <c r="Z17">
        <v>0</v>
      </c>
      <c r="AA17">
        <v>0</v>
      </c>
      <c r="AB17">
        <v>0</v>
      </c>
      <c r="AC17">
        <v>0</v>
      </c>
      <c r="AD17">
        <v>0</v>
      </c>
      <c r="AE17">
        <v>0</v>
      </c>
      <c r="AG17" s="157">
        <v>14</v>
      </c>
      <c r="AH17">
        <v>0</v>
      </c>
      <c r="AI17">
        <v>0</v>
      </c>
      <c r="AJ17">
        <v>0</v>
      </c>
      <c r="AK17">
        <v>0</v>
      </c>
      <c r="AL17">
        <v>0</v>
      </c>
      <c r="AM17">
        <v>0</v>
      </c>
      <c r="AN17">
        <v>0</v>
      </c>
      <c r="AO17">
        <v>0</v>
      </c>
      <c r="AP17">
        <v>0</v>
      </c>
      <c r="AQ17">
        <v>0</v>
      </c>
      <c r="AR17">
        <v>0</v>
      </c>
      <c r="AS17">
        <v>0</v>
      </c>
      <c r="AT17">
        <v>0</v>
      </c>
      <c r="AU17">
        <v>0</v>
      </c>
    </row>
    <row r="18" spans="1:47" x14ac:dyDescent="0.25">
      <c r="A18" t="s">
        <v>189</v>
      </c>
      <c r="Q18" t="s">
        <v>189</v>
      </c>
    </row>
    <row r="19" spans="1:47" x14ac:dyDescent="0.25">
      <c r="B19" t="s">
        <v>208</v>
      </c>
      <c r="C19" t="s">
        <v>209</v>
      </c>
      <c r="D19" t="s">
        <v>210</v>
      </c>
      <c r="E19" t="s">
        <v>211</v>
      </c>
      <c r="F19" t="s">
        <v>212</v>
      </c>
      <c r="G19" t="s">
        <v>213</v>
      </c>
      <c r="H19" t="s">
        <v>214</v>
      </c>
      <c r="I19" t="s">
        <v>215</v>
      </c>
      <c r="J19" t="s">
        <v>216</v>
      </c>
      <c r="K19" t="s">
        <v>400</v>
      </c>
      <c r="L19" t="s">
        <v>401</v>
      </c>
      <c r="M19" t="s">
        <v>402</v>
      </c>
      <c r="N19" t="s">
        <v>403</v>
      </c>
      <c r="O19" t="s">
        <v>404</v>
      </c>
      <c r="R19" t="s">
        <v>208</v>
      </c>
      <c r="S19" t="s">
        <v>209</v>
      </c>
      <c r="T19" t="s">
        <v>210</v>
      </c>
      <c r="U19" t="s">
        <v>211</v>
      </c>
      <c r="V19" t="s">
        <v>212</v>
      </c>
      <c r="W19" t="s">
        <v>213</v>
      </c>
      <c r="X19" t="s">
        <v>214</v>
      </c>
      <c r="Y19" t="s">
        <v>215</v>
      </c>
      <c r="Z19" t="s">
        <v>216</v>
      </c>
      <c r="AA19" t="s">
        <v>400</v>
      </c>
      <c r="AB19" t="s">
        <v>401</v>
      </c>
      <c r="AC19" t="s">
        <v>402</v>
      </c>
      <c r="AD19" t="s">
        <v>403</v>
      </c>
      <c r="AE19" t="s">
        <v>404</v>
      </c>
      <c r="AG19" s="157"/>
      <c r="AH19" t="s">
        <v>674</v>
      </c>
      <c r="AI19" t="s">
        <v>675</v>
      </c>
      <c r="AJ19" t="s">
        <v>676</v>
      </c>
      <c r="AK19" t="s">
        <v>677</v>
      </c>
      <c r="AL19" t="s">
        <v>678</v>
      </c>
      <c r="AM19" t="s">
        <v>679</v>
      </c>
      <c r="AN19" t="s">
        <v>680</v>
      </c>
      <c r="AO19" t="s">
        <v>681</v>
      </c>
      <c r="AP19" t="s">
        <v>682</v>
      </c>
      <c r="AQ19" t="s">
        <v>683</v>
      </c>
      <c r="AR19" t="s">
        <v>684</v>
      </c>
      <c r="AS19" t="s">
        <v>685</v>
      </c>
      <c r="AT19" t="s">
        <v>686</v>
      </c>
      <c r="AU19" t="s">
        <v>687</v>
      </c>
    </row>
    <row r="20" spans="1:47" x14ac:dyDescent="0.25">
      <c r="A20">
        <v>1</v>
      </c>
      <c r="B20">
        <v>23007.45376</v>
      </c>
      <c r="C20">
        <v>329.32002</v>
      </c>
      <c r="D20">
        <v>0</v>
      </c>
      <c r="E20">
        <v>0</v>
      </c>
      <c r="F20">
        <v>0</v>
      </c>
      <c r="G20">
        <v>0</v>
      </c>
      <c r="H20">
        <v>0</v>
      </c>
      <c r="I20">
        <v>0</v>
      </c>
      <c r="J20">
        <v>0</v>
      </c>
      <c r="K20">
        <v>0</v>
      </c>
      <c r="L20">
        <v>0</v>
      </c>
      <c r="M20">
        <v>1409.99953</v>
      </c>
      <c r="N20">
        <v>0</v>
      </c>
      <c r="O20">
        <v>0</v>
      </c>
      <c r="Q20">
        <v>1</v>
      </c>
      <c r="R20">
        <v>623</v>
      </c>
      <c r="S20">
        <v>97</v>
      </c>
      <c r="T20">
        <v>44</v>
      </c>
      <c r="U20">
        <v>8</v>
      </c>
      <c r="V20">
        <v>42</v>
      </c>
      <c r="W20">
        <v>7</v>
      </c>
      <c r="X20">
        <v>0</v>
      </c>
      <c r="Y20">
        <v>0</v>
      </c>
      <c r="Z20">
        <v>0</v>
      </c>
      <c r="AA20">
        <v>0</v>
      </c>
      <c r="AB20">
        <v>0</v>
      </c>
      <c r="AC20">
        <v>0</v>
      </c>
      <c r="AD20">
        <v>0</v>
      </c>
      <c r="AE20">
        <v>0</v>
      </c>
      <c r="AG20" s="157">
        <v>1</v>
      </c>
      <c r="AH20">
        <v>623</v>
      </c>
      <c r="AI20">
        <v>97</v>
      </c>
      <c r="AJ20">
        <v>44</v>
      </c>
      <c r="AK20">
        <v>8</v>
      </c>
      <c r="AL20">
        <v>42</v>
      </c>
      <c r="AM20">
        <v>7</v>
      </c>
      <c r="AN20">
        <v>0</v>
      </c>
      <c r="AO20">
        <v>0</v>
      </c>
      <c r="AP20">
        <v>0</v>
      </c>
      <c r="AQ20">
        <v>0</v>
      </c>
      <c r="AR20">
        <v>0</v>
      </c>
      <c r="AS20">
        <v>0</v>
      </c>
      <c r="AT20">
        <v>0</v>
      </c>
      <c r="AU20">
        <v>0</v>
      </c>
    </row>
    <row r="21" spans="1:47" x14ac:dyDescent="0.25">
      <c r="A21">
        <v>2</v>
      </c>
      <c r="B21">
        <v>0</v>
      </c>
      <c r="C21">
        <v>1621.63041</v>
      </c>
      <c r="D21">
        <v>0</v>
      </c>
      <c r="E21">
        <v>0</v>
      </c>
      <c r="F21">
        <v>0</v>
      </c>
      <c r="G21">
        <v>0</v>
      </c>
      <c r="H21">
        <v>0</v>
      </c>
      <c r="I21">
        <v>0</v>
      </c>
      <c r="J21">
        <v>0</v>
      </c>
      <c r="K21">
        <v>0</v>
      </c>
      <c r="L21">
        <v>0</v>
      </c>
      <c r="M21">
        <v>493.64591999999999</v>
      </c>
      <c r="N21">
        <v>0</v>
      </c>
      <c r="O21">
        <v>0</v>
      </c>
      <c r="Q21">
        <v>2</v>
      </c>
      <c r="R21">
        <v>16</v>
      </c>
      <c r="S21">
        <v>24</v>
      </c>
      <c r="T21">
        <v>0</v>
      </c>
      <c r="U21">
        <v>3</v>
      </c>
      <c r="V21">
        <v>0</v>
      </c>
      <c r="W21">
        <v>2</v>
      </c>
      <c r="X21">
        <v>0</v>
      </c>
      <c r="Y21">
        <v>0</v>
      </c>
      <c r="Z21">
        <v>0</v>
      </c>
      <c r="AA21">
        <v>0</v>
      </c>
      <c r="AB21">
        <v>0</v>
      </c>
      <c r="AC21">
        <v>0</v>
      </c>
      <c r="AD21">
        <v>0</v>
      </c>
      <c r="AE21">
        <v>0</v>
      </c>
      <c r="AG21" s="157">
        <v>2</v>
      </c>
      <c r="AH21">
        <v>16</v>
      </c>
      <c r="AI21">
        <v>24</v>
      </c>
      <c r="AJ21">
        <v>0</v>
      </c>
      <c r="AK21">
        <v>3</v>
      </c>
      <c r="AL21">
        <v>0</v>
      </c>
      <c r="AM21">
        <v>2</v>
      </c>
      <c r="AN21">
        <v>0</v>
      </c>
      <c r="AO21">
        <v>0</v>
      </c>
      <c r="AP21">
        <v>0</v>
      </c>
      <c r="AQ21">
        <v>0</v>
      </c>
      <c r="AR21">
        <v>0</v>
      </c>
      <c r="AS21">
        <v>0</v>
      </c>
      <c r="AT21">
        <v>0</v>
      </c>
      <c r="AU21">
        <v>0</v>
      </c>
    </row>
    <row r="22" spans="1:47" x14ac:dyDescent="0.25">
      <c r="A22">
        <v>3</v>
      </c>
      <c r="B22">
        <v>0</v>
      </c>
      <c r="C22">
        <v>0</v>
      </c>
      <c r="D22">
        <v>3811.9765000000002</v>
      </c>
      <c r="E22">
        <v>0</v>
      </c>
      <c r="F22">
        <v>535.72911999999997</v>
      </c>
      <c r="G22">
        <v>0</v>
      </c>
      <c r="H22">
        <v>0</v>
      </c>
      <c r="I22">
        <v>0</v>
      </c>
      <c r="J22">
        <v>0</v>
      </c>
      <c r="K22">
        <v>0</v>
      </c>
      <c r="L22">
        <v>523.05645000000004</v>
      </c>
      <c r="M22">
        <v>1535.14058</v>
      </c>
      <c r="N22">
        <v>0</v>
      </c>
      <c r="O22">
        <v>0</v>
      </c>
      <c r="Q22">
        <v>3</v>
      </c>
      <c r="R22">
        <v>0</v>
      </c>
      <c r="S22">
        <v>0</v>
      </c>
      <c r="T22">
        <v>129</v>
      </c>
      <c r="U22">
        <v>15</v>
      </c>
      <c r="V22">
        <v>12</v>
      </c>
      <c r="W22">
        <v>3</v>
      </c>
      <c r="X22">
        <v>0</v>
      </c>
      <c r="Y22">
        <v>0</v>
      </c>
      <c r="Z22">
        <v>0</v>
      </c>
      <c r="AA22">
        <v>40</v>
      </c>
      <c r="AB22">
        <v>0</v>
      </c>
      <c r="AC22">
        <v>0</v>
      </c>
      <c r="AD22">
        <v>21</v>
      </c>
      <c r="AE22">
        <v>0</v>
      </c>
      <c r="AG22" s="157">
        <v>3</v>
      </c>
      <c r="AH22">
        <v>0</v>
      </c>
      <c r="AI22">
        <v>0</v>
      </c>
      <c r="AJ22">
        <v>129</v>
      </c>
      <c r="AK22">
        <v>15</v>
      </c>
      <c r="AL22">
        <v>12</v>
      </c>
      <c r="AM22">
        <v>3</v>
      </c>
      <c r="AN22">
        <v>0</v>
      </c>
      <c r="AO22">
        <v>0</v>
      </c>
      <c r="AP22">
        <v>0</v>
      </c>
      <c r="AQ22">
        <v>40</v>
      </c>
      <c r="AR22">
        <v>0</v>
      </c>
      <c r="AS22">
        <v>0</v>
      </c>
      <c r="AT22">
        <v>21</v>
      </c>
      <c r="AU22">
        <v>0</v>
      </c>
    </row>
    <row r="23" spans="1:47" x14ac:dyDescent="0.25">
      <c r="A23">
        <v>4</v>
      </c>
      <c r="B23">
        <v>0</v>
      </c>
      <c r="C23">
        <v>0</v>
      </c>
      <c r="D23">
        <v>0</v>
      </c>
      <c r="E23">
        <v>0</v>
      </c>
      <c r="F23">
        <v>0</v>
      </c>
      <c r="G23">
        <v>0</v>
      </c>
      <c r="H23">
        <v>0</v>
      </c>
      <c r="I23">
        <v>0</v>
      </c>
      <c r="J23">
        <v>0</v>
      </c>
      <c r="K23">
        <v>0</v>
      </c>
      <c r="L23">
        <v>0</v>
      </c>
      <c r="M23">
        <v>0</v>
      </c>
      <c r="N23">
        <v>0</v>
      </c>
      <c r="O23">
        <v>0</v>
      </c>
      <c r="Q23">
        <v>4</v>
      </c>
      <c r="R23">
        <v>0</v>
      </c>
      <c r="S23">
        <v>0</v>
      </c>
      <c r="T23">
        <v>3</v>
      </c>
      <c r="U23">
        <v>8</v>
      </c>
      <c r="V23">
        <v>0</v>
      </c>
      <c r="W23">
        <v>0</v>
      </c>
      <c r="X23">
        <v>0</v>
      </c>
      <c r="Y23">
        <v>0</v>
      </c>
      <c r="Z23">
        <v>0</v>
      </c>
      <c r="AA23">
        <v>3</v>
      </c>
      <c r="AB23">
        <v>0</v>
      </c>
      <c r="AC23">
        <v>0</v>
      </c>
      <c r="AD23">
        <v>2</v>
      </c>
      <c r="AE23">
        <v>0</v>
      </c>
      <c r="AG23" s="157">
        <v>4</v>
      </c>
      <c r="AH23">
        <v>0</v>
      </c>
      <c r="AI23">
        <v>0</v>
      </c>
      <c r="AJ23">
        <v>3</v>
      </c>
      <c r="AK23">
        <v>8</v>
      </c>
      <c r="AL23">
        <v>0</v>
      </c>
      <c r="AM23">
        <v>0</v>
      </c>
      <c r="AN23">
        <v>0</v>
      </c>
      <c r="AO23">
        <v>0</v>
      </c>
      <c r="AP23">
        <v>0</v>
      </c>
      <c r="AQ23">
        <v>3</v>
      </c>
      <c r="AR23">
        <v>0</v>
      </c>
      <c r="AS23">
        <v>0</v>
      </c>
      <c r="AT23">
        <v>2</v>
      </c>
      <c r="AU23">
        <v>0</v>
      </c>
    </row>
    <row r="24" spans="1:47" x14ac:dyDescent="0.25">
      <c r="A24">
        <v>5</v>
      </c>
      <c r="B24">
        <v>0</v>
      </c>
      <c r="C24">
        <v>0</v>
      </c>
      <c r="D24">
        <v>0</v>
      </c>
      <c r="E24">
        <v>0</v>
      </c>
      <c r="F24">
        <v>267.86455999999998</v>
      </c>
      <c r="G24">
        <v>0</v>
      </c>
      <c r="H24">
        <v>0</v>
      </c>
      <c r="I24">
        <v>0</v>
      </c>
      <c r="J24">
        <v>169.00756000000001</v>
      </c>
      <c r="K24">
        <v>0</v>
      </c>
      <c r="L24">
        <v>0</v>
      </c>
      <c r="M24">
        <v>851.58442000000002</v>
      </c>
      <c r="N24">
        <v>0</v>
      </c>
      <c r="O24">
        <v>0</v>
      </c>
      <c r="Q24">
        <v>5</v>
      </c>
      <c r="R24">
        <v>0</v>
      </c>
      <c r="S24">
        <v>0</v>
      </c>
      <c r="T24">
        <v>0</v>
      </c>
      <c r="U24">
        <v>0</v>
      </c>
      <c r="V24">
        <v>47</v>
      </c>
      <c r="W24">
        <v>12</v>
      </c>
      <c r="X24">
        <v>0</v>
      </c>
      <c r="Y24">
        <v>0</v>
      </c>
      <c r="Z24">
        <v>0</v>
      </c>
      <c r="AA24">
        <v>3</v>
      </c>
      <c r="AB24">
        <v>0</v>
      </c>
      <c r="AC24">
        <v>0</v>
      </c>
      <c r="AD24">
        <v>11</v>
      </c>
      <c r="AE24">
        <v>0</v>
      </c>
      <c r="AG24" s="157">
        <v>5</v>
      </c>
      <c r="AH24">
        <v>0</v>
      </c>
      <c r="AI24">
        <v>0</v>
      </c>
      <c r="AJ24">
        <v>0</v>
      </c>
      <c r="AK24">
        <v>0</v>
      </c>
      <c r="AL24">
        <v>47</v>
      </c>
      <c r="AM24">
        <v>12</v>
      </c>
      <c r="AN24">
        <v>0</v>
      </c>
      <c r="AO24">
        <v>0</v>
      </c>
      <c r="AP24">
        <v>0</v>
      </c>
      <c r="AQ24">
        <v>3</v>
      </c>
      <c r="AR24">
        <v>0</v>
      </c>
      <c r="AS24">
        <v>0</v>
      </c>
      <c r="AT24">
        <v>11</v>
      </c>
      <c r="AU24">
        <v>0</v>
      </c>
    </row>
    <row r="25" spans="1:47" x14ac:dyDescent="0.25">
      <c r="A25">
        <v>6</v>
      </c>
      <c r="B25">
        <v>0</v>
      </c>
      <c r="C25">
        <v>0</v>
      </c>
      <c r="D25">
        <v>0</v>
      </c>
      <c r="E25">
        <v>0</v>
      </c>
      <c r="F25">
        <v>0</v>
      </c>
      <c r="G25">
        <v>0</v>
      </c>
      <c r="H25">
        <v>0</v>
      </c>
      <c r="I25">
        <v>0</v>
      </c>
      <c r="J25">
        <v>0</v>
      </c>
      <c r="K25">
        <v>0</v>
      </c>
      <c r="L25">
        <v>0</v>
      </c>
      <c r="M25">
        <v>0</v>
      </c>
      <c r="N25">
        <v>0</v>
      </c>
      <c r="O25">
        <v>0</v>
      </c>
      <c r="Q25">
        <v>6</v>
      </c>
      <c r="R25">
        <v>0</v>
      </c>
      <c r="S25">
        <v>0</v>
      </c>
      <c r="T25">
        <v>0</v>
      </c>
      <c r="U25">
        <v>0</v>
      </c>
      <c r="V25">
        <v>1</v>
      </c>
      <c r="W25">
        <v>0</v>
      </c>
      <c r="X25">
        <v>0</v>
      </c>
      <c r="Y25">
        <v>0</v>
      </c>
      <c r="Z25">
        <v>0</v>
      </c>
      <c r="AA25">
        <v>0</v>
      </c>
      <c r="AB25">
        <v>0</v>
      </c>
      <c r="AC25">
        <v>0</v>
      </c>
      <c r="AD25">
        <v>1</v>
      </c>
      <c r="AE25">
        <v>0</v>
      </c>
      <c r="AG25" s="157">
        <v>6</v>
      </c>
      <c r="AH25">
        <v>0</v>
      </c>
      <c r="AI25">
        <v>0</v>
      </c>
      <c r="AJ25">
        <v>0</v>
      </c>
      <c r="AK25">
        <v>0</v>
      </c>
      <c r="AL25">
        <v>1</v>
      </c>
      <c r="AM25">
        <v>0</v>
      </c>
      <c r="AN25">
        <v>0</v>
      </c>
      <c r="AO25">
        <v>0</v>
      </c>
      <c r="AP25">
        <v>0</v>
      </c>
      <c r="AQ25">
        <v>0</v>
      </c>
      <c r="AR25">
        <v>0</v>
      </c>
      <c r="AS25">
        <v>0</v>
      </c>
      <c r="AT25">
        <v>1</v>
      </c>
      <c r="AU25">
        <v>0</v>
      </c>
    </row>
    <row r="26" spans="1:47" x14ac:dyDescent="0.25">
      <c r="A26">
        <v>7</v>
      </c>
      <c r="B26">
        <v>0</v>
      </c>
      <c r="C26">
        <v>0</v>
      </c>
      <c r="D26">
        <v>1295.6125400000001</v>
      </c>
      <c r="E26">
        <v>0</v>
      </c>
      <c r="F26">
        <v>133.93227999999999</v>
      </c>
      <c r="G26">
        <v>0</v>
      </c>
      <c r="H26">
        <v>7188.8136800000002</v>
      </c>
      <c r="I26">
        <v>0</v>
      </c>
      <c r="J26">
        <v>6093.1347100000003</v>
      </c>
      <c r="K26">
        <v>0</v>
      </c>
      <c r="L26">
        <v>560.05425000000002</v>
      </c>
      <c r="M26">
        <v>820.17341999999996</v>
      </c>
      <c r="N26">
        <v>0</v>
      </c>
      <c r="O26">
        <v>0</v>
      </c>
      <c r="Q26">
        <v>7</v>
      </c>
      <c r="R26">
        <v>0</v>
      </c>
      <c r="S26">
        <v>0</v>
      </c>
      <c r="T26">
        <v>9</v>
      </c>
      <c r="U26">
        <v>2</v>
      </c>
      <c r="V26">
        <v>2</v>
      </c>
      <c r="W26">
        <v>2</v>
      </c>
      <c r="X26">
        <v>557</v>
      </c>
      <c r="Y26">
        <v>0</v>
      </c>
      <c r="Z26">
        <v>0</v>
      </c>
      <c r="AA26">
        <v>1487</v>
      </c>
      <c r="AB26">
        <v>0</v>
      </c>
      <c r="AC26">
        <v>0</v>
      </c>
      <c r="AD26">
        <v>5</v>
      </c>
      <c r="AE26">
        <v>0</v>
      </c>
      <c r="AG26" s="157">
        <v>7</v>
      </c>
      <c r="AH26">
        <v>0</v>
      </c>
      <c r="AI26">
        <v>0</v>
      </c>
      <c r="AJ26">
        <v>9</v>
      </c>
      <c r="AK26">
        <v>2</v>
      </c>
      <c r="AL26">
        <v>2</v>
      </c>
      <c r="AM26">
        <v>2</v>
      </c>
      <c r="AN26">
        <v>557</v>
      </c>
      <c r="AO26">
        <v>0</v>
      </c>
      <c r="AP26">
        <v>0</v>
      </c>
      <c r="AQ26">
        <v>1487</v>
      </c>
      <c r="AR26">
        <v>0</v>
      </c>
      <c r="AS26">
        <v>0</v>
      </c>
      <c r="AT26">
        <v>5</v>
      </c>
      <c r="AU26">
        <v>0</v>
      </c>
    </row>
    <row r="27" spans="1:47" x14ac:dyDescent="0.25">
      <c r="A27">
        <v>8</v>
      </c>
      <c r="B27">
        <v>0</v>
      </c>
      <c r="C27">
        <v>0</v>
      </c>
      <c r="D27">
        <v>0</v>
      </c>
      <c r="E27">
        <v>0</v>
      </c>
      <c r="F27">
        <v>0</v>
      </c>
      <c r="G27">
        <v>0</v>
      </c>
      <c r="H27">
        <v>0</v>
      </c>
      <c r="I27">
        <v>14822.918320000001</v>
      </c>
      <c r="J27">
        <v>0</v>
      </c>
      <c r="K27">
        <v>0</v>
      </c>
      <c r="L27">
        <v>0</v>
      </c>
      <c r="M27">
        <v>802.04670999999996</v>
      </c>
      <c r="N27">
        <v>0</v>
      </c>
      <c r="O27">
        <v>0</v>
      </c>
      <c r="Q27">
        <v>8</v>
      </c>
      <c r="R27">
        <v>0</v>
      </c>
      <c r="S27">
        <v>0</v>
      </c>
      <c r="T27">
        <v>0</v>
      </c>
      <c r="U27">
        <v>0</v>
      </c>
      <c r="V27">
        <v>0</v>
      </c>
      <c r="W27">
        <v>0</v>
      </c>
      <c r="X27">
        <v>0</v>
      </c>
      <c r="Y27">
        <v>146</v>
      </c>
      <c r="Z27">
        <v>0</v>
      </c>
      <c r="AA27">
        <v>0</v>
      </c>
      <c r="AB27">
        <v>0</v>
      </c>
      <c r="AC27">
        <v>0</v>
      </c>
      <c r="AD27">
        <v>0</v>
      </c>
      <c r="AE27">
        <v>0</v>
      </c>
      <c r="AG27" s="157">
        <v>8</v>
      </c>
      <c r="AH27">
        <v>0</v>
      </c>
      <c r="AI27">
        <v>0</v>
      </c>
      <c r="AJ27">
        <v>0</v>
      </c>
      <c r="AK27">
        <v>0</v>
      </c>
      <c r="AL27">
        <v>0</v>
      </c>
      <c r="AM27">
        <v>0</v>
      </c>
      <c r="AN27">
        <v>0</v>
      </c>
      <c r="AO27">
        <v>146</v>
      </c>
      <c r="AP27">
        <v>0</v>
      </c>
      <c r="AQ27">
        <v>0</v>
      </c>
      <c r="AR27">
        <v>0</v>
      </c>
      <c r="AS27">
        <v>0</v>
      </c>
      <c r="AT27">
        <v>0</v>
      </c>
      <c r="AU27">
        <v>0</v>
      </c>
    </row>
    <row r="28" spans="1:47" x14ac:dyDescent="0.25">
      <c r="A28">
        <v>9</v>
      </c>
      <c r="B28">
        <v>0</v>
      </c>
      <c r="C28">
        <v>0</v>
      </c>
      <c r="D28">
        <v>0</v>
      </c>
      <c r="E28">
        <v>0</v>
      </c>
      <c r="F28">
        <v>0</v>
      </c>
      <c r="G28">
        <v>0</v>
      </c>
      <c r="H28">
        <v>0</v>
      </c>
      <c r="I28">
        <v>0</v>
      </c>
      <c r="J28">
        <v>43097.077129999998</v>
      </c>
      <c r="K28">
        <v>512.22442000000001</v>
      </c>
      <c r="L28">
        <v>835.44117000000006</v>
      </c>
      <c r="M28">
        <v>985.94973000000005</v>
      </c>
      <c r="N28">
        <v>0</v>
      </c>
      <c r="O28">
        <v>0</v>
      </c>
      <c r="Q28">
        <v>9</v>
      </c>
      <c r="R28">
        <v>0</v>
      </c>
      <c r="S28">
        <v>0</v>
      </c>
      <c r="T28">
        <v>0</v>
      </c>
      <c r="U28">
        <v>0</v>
      </c>
      <c r="V28">
        <v>0</v>
      </c>
      <c r="W28">
        <v>0</v>
      </c>
      <c r="X28">
        <v>0</v>
      </c>
      <c r="Y28">
        <v>0</v>
      </c>
      <c r="Z28">
        <v>0</v>
      </c>
      <c r="AA28">
        <v>0</v>
      </c>
      <c r="AB28">
        <v>0</v>
      </c>
      <c r="AC28">
        <v>0</v>
      </c>
      <c r="AD28">
        <v>0</v>
      </c>
      <c r="AE28">
        <v>0</v>
      </c>
      <c r="AG28" s="157">
        <v>9</v>
      </c>
      <c r="AH28">
        <v>0</v>
      </c>
      <c r="AI28">
        <v>0</v>
      </c>
      <c r="AJ28">
        <v>0</v>
      </c>
      <c r="AK28">
        <v>0</v>
      </c>
      <c r="AL28">
        <v>0</v>
      </c>
      <c r="AM28">
        <v>0</v>
      </c>
      <c r="AN28">
        <v>0</v>
      </c>
      <c r="AO28">
        <v>0</v>
      </c>
      <c r="AP28">
        <v>0</v>
      </c>
      <c r="AQ28">
        <v>0</v>
      </c>
      <c r="AR28">
        <v>0</v>
      </c>
      <c r="AS28">
        <v>0</v>
      </c>
      <c r="AT28">
        <v>0</v>
      </c>
      <c r="AU28">
        <v>0</v>
      </c>
    </row>
    <row r="29" spans="1:47" x14ac:dyDescent="0.25">
      <c r="A29">
        <v>10</v>
      </c>
      <c r="B29">
        <v>0</v>
      </c>
      <c r="C29">
        <v>0</v>
      </c>
      <c r="D29">
        <v>0</v>
      </c>
      <c r="E29">
        <v>0</v>
      </c>
      <c r="F29">
        <v>0</v>
      </c>
      <c r="G29">
        <v>0</v>
      </c>
      <c r="H29">
        <v>0</v>
      </c>
      <c r="I29">
        <v>0</v>
      </c>
      <c r="J29">
        <v>0</v>
      </c>
      <c r="K29">
        <v>3955.5065</v>
      </c>
      <c r="L29">
        <v>887.86609999999996</v>
      </c>
      <c r="M29">
        <v>5851.1980299999996</v>
      </c>
      <c r="N29">
        <v>0</v>
      </c>
      <c r="O29">
        <v>0</v>
      </c>
      <c r="Q29">
        <v>10</v>
      </c>
      <c r="R29">
        <v>0</v>
      </c>
      <c r="S29">
        <v>0</v>
      </c>
      <c r="T29">
        <v>0</v>
      </c>
      <c r="U29">
        <v>0</v>
      </c>
      <c r="V29">
        <v>0</v>
      </c>
      <c r="W29">
        <v>0</v>
      </c>
      <c r="X29">
        <v>0</v>
      </c>
      <c r="Y29">
        <v>0</v>
      </c>
      <c r="Z29">
        <v>0</v>
      </c>
      <c r="AA29">
        <v>3543</v>
      </c>
      <c r="AB29">
        <v>0</v>
      </c>
      <c r="AC29">
        <v>0</v>
      </c>
      <c r="AD29">
        <v>0</v>
      </c>
      <c r="AE29">
        <v>0</v>
      </c>
      <c r="AG29" s="157">
        <v>10</v>
      </c>
      <c r="AH29">
        <v>0</v>
      </c>
      <c r="AI29">
        <v>0</v>
      </c>
      <c r="AJ29">
        <v>0</v>
      </c>
      <c r="AK29">
        <v>0</v>
      </c>
      <c r="AL29">
        <v>0</v>
      </c>
      <c r="AM29">
        <v>0</v>
      </c>
      <c r="AN29">
        <v>0</v>
      </c>
      <c r="AO29">
        <v>0</v>
      </c>
      <c r="AP29">
        <v>0</v>
      </c>
      <c r="AQ29">
        <v>3543</v>
      </c>
      <c r="AR29">
        <v>0</v>
      </c>
      <c r="AS29">
        <v>0</v>
      </c>
      <c r="AT29">
        <v>0</v>
      </c>
      <c r="AU29">
        <v>0</v>
      </c>
    </row>
    <row r="30" spans="1:47" x14ac:dyDescent="0.25">
      <c r="A30">
        <v>11</v>
      </c>
      <c r="B30">
        <v>0</v>
      </c>
      <c r="C30">
        <v>0</v>
      </c>
      <c r="D30">
        <v>0</v>
      </c>
      <c r="E30">
        <v>0</v>
      </c>
      <c r="F30">
        <v>0</v>
      </c>
      <c r="G30">
        <v>0</v>
      </c>
      <c r="H30">
        <v>0</v>
      </c>
      <c r="I30">
        <v>0</v>
      </c>
      <c r="J30">
        <v>0</v>
      </c>
      <c r="K30">
        <v>176.52091999999999</v>
      </c>
      <c r="L30">
        <v>3792.7442099999998</v>
      </c>
      <c r="M30">
        <v>0</v>
      </c>
      <c r="N30">
        <v>0</v>
      </c>
      <c r="O30">
        <v>0</v>
      </c>
      <c r="Q30">
        <v>11</v>
      </c>
      <c r="R30">
        <v>0</v>
      </c>
      <c r="S30">
        <v>0</v>
      </c>
      <c r="T30">
        <v>0</v>
      </c>
      <c r="U30">
        <v>0</v>
      </c>
      <c r="V30">
        <v>0</v>
      </c>
      <c r="W30">
        <v>0</v>
      </c>
      <c r="X30">
        <v>0</v>
      </c>
      <c r="Y30">
        <v>0</v>
      </c>
      <c r="Z30">
        <v>0</v>
      </c>
      <c r="AA30">
        <v>0</v>
      </c>
      <c r="AB30">
        <v>140</v>
      </c>
      <c r="AC30">
        <v>0</v>
      </c>
      <c r="AD30">
        <v>0</v>
      </c>
      <c r="AE30">
        <v>0</v>
      </c>
      <c r="AG30" s="157">
        <v>11</v>
      </c>
      <c r="AH30">
        <v>0</v>
      </c>
      <c r="AI30">
        <v>0</v>
      </c>
      <c r="AJ30">
        <v>0</v>
      </c>
      <c r="AK30">
        <v>0</v>
      </c>
      <c r="AL30">
        <v>0</v>
      </c>
      <c r="AM30">
        <v>0</v>
      </c>
      <c r="AN30">
        <v>0</v>
      </c>
      <c r="AO30">
        <v>0</v>
      </c>
      <c r="AP30">
        <v>0</v>
      </c>
      <c r="AQ30">
        <v>0</v>
      </c>
      <c r="AR30">
        <v>140</v>
      </c>
      <c r="AS30">
        <v>0</v>
      </c>
      <c r="AT30">
        <v>0</v>
      </c>
      <c r="AU30">
        <v>0</v>
      </c>
    </row>
    <row r="31" spans="1:47" x14ac:dyDescent="0.25">
      <c r="A31">
        <v>12</v>
      </c>
      <c r="B31">
        <v>0</v>
      </c>
      <c r="C31">
        <v>0</v>
      </c>
      <c r="D31">
        <v>0</v>
      </c>
      <c r="E31">
        <v>0</v>
      </c>
      <c r="F31">
        <v>0</v>
      </c>
      <c r="G31">
        <v>0</v>
      </c>
      <c r="H31">
        <v>0</v>
      </c>
      <c r="I31">
        <v>0</v>
      </c>
      <c r="J31">
        <v>0</v>
      </c>
      <c r="K31">
        <v>0</v>
      </c>
      <c r="L31">
        <v>0</v>
      </c>
      <c r="M31">
        <v>15258.03968</v>
      </c>
      <c r="N31">
        <v>0</v>
      </c>
      <c r="O31">
        <v>0</v>
      </c>
      <c r="Q31">
        <v>12</v>
      </c>
      <c r="R31">
        <v>0</v>
      </c>
      <c r="S31">
        <v>0</v>
      </c>
      <c r="T31">
        <v>0</v>
      </c>
      <c r="U31">
        <v>0</v>
      </c>
      <c r="V31">
        <v>0</v>
      </c>
      <c r="W31">
        <v>0</v>
      </c>
      <c r="X31">
        <v>0</v>
      </c>
      <c r="Y31">
        <v>0</v>
      </c>
      <c r="Z31">
        <v>0</v>
      </c>
      <c r="AA31">
        <v>0</v>
      </c>
      <c r="AB31">
        <v>0</v>
      </c>
      <c r="AC31">
        <v>665</v>
      </c>
      <c r="AD31">
        <v>0</v>
      </c>
      <c r="AE31">
        <v>0</v>
      </c>
      <c r="AG31" s="157">
        <v>12</v>
      </c>
      <c r="AH31">
        <v>0</v>
      </c>
      <c r="AI31">
        <v>0</v>
      </c>
      <c r="AJ31">
        <v>0</v>
      </c>
      <c r="AK31">
        <v>0</v>
      </c>
      <c r="AL31">
        <v>0</v>
      </c>
      <c r="AM31">
        <v>0</v>
      </c>
      <c r="AN31">
        <v>0</v>
      </c>
      <c r="AO31">
        <v>0</v>
      </c>
      <c r="AP31">
        <v>0</v>
      </c>
      <c r="AQ31">
        <v>0</v>
      </c>
      <c r="AR31">
        <v>0</v>
      </c>
      <c r="AS31">
        <v>665</v>
      </c>
      <c r="AT31">
        <v>0</v>
      </c>
      <c r="AU31">
        <v>0</v>
      </c>
    </row>
    <row r="32" spans="1:47" x14ac:dyDescent="0.25">
      <c r="A32">
        <v>13</v>
      </c>
      <c r="B32">
        <v>0</v>
      </c>
      <c r="C32">
        <v>0</v>
      </c>
      <c r="D32">
        <v>0</v>
      </c>
      <c r="E32">
        <v>0</v>
      </c>
      <c r="F32">
        <v>0</v>
      </c>
      <c r="G32">
        <v>0</v>
      </c>
      <c r="H32">
        <v>0</v>
      </c>
      <c r="I32">
        <v>0</v>
      </c>
      <c r="J32">
        <v>0</v>
      </c>
      <c r="K32">
        <v>0</v>
      </c>
      <c r="L32">
        <v>379.83015999999998</v>
      </c>
      <c r="M32">
        <v>0</v>
      </c>
      <c r="N32">
        <v>0</v>
      </c>
      <c r="O32">
        <v>0</v>
      </c>
      <c r="Q32">
        <v>13</v>
      </c>
      <c r="R32">
        <v>0</v>
      </c>
      <c r="S32">
        <v>0</v>
      </c>
      <c r="T32">
        <v>0</v>
      </c>
      <c r="U32">
        <v>0</v>
      </c>
      <c r="V32">
        <v>0</v>
      </c>
      <c r="W32">
        <v>0</v>
      </c>
      <c r="X32">
        <v>0</v>
      </c>
      <c r="Y32">
        <v>0</v>
      </c>
      <c r="Z32">
        <v>0</v>
      </c>
      <c r="AA32">
        <v>2069</v>
      </c>
      <c r="AB32">
        <v>0</v>
      </c>
      <c r="AC32">
        <v>0</v>
      </c>
      <c r="AD32">
        <v>173</v>
      </c>
      <c r="AE32">
        <v>0</v>
      </c>
      <c r="AG32" s="157">
        <v>13</v>
      </c>
      <c r="AH32">
        <v>0</v>
      </c>
      <c r="AI32">
        <v>0</v>
      </c>
      <c r="AJ32">
        <v>0</v>
      </c>
      <c r="AK32">
        <v>0</v>
      </c>
      <c r="AL32">
        <v>0</v>
      </c>
      <c r="AM32">
        <v>0</v>
      </c>
      <c r="AN32">
        <v>0</v>
      </c>
      <c r="AO32">
        <v>0</v>
      </c>
      <c r="AP32">
        <v>0</v>
      </c>
      <c r="AQ32">
        <v>2069</v>
      </c>
      <c r="AR32">
        <v>0</v>
      </c>
      <c r="AS32">
        <v>0</v>
      </c>
      <c r="AT32">
        <v>173</v>
      </c>
      <c r="AU32">
        <v>0</v>
      </c>
    </row>
    <row r="33" spans="1:47" x14ac:dyDescent="0.25">
      <c r="A33">
        <v>14</v>
      </c>
      <c r="B33">
        <v>0</v>
      </c>
      <c r="C33">
        <v>0</v>
      </c>
      <c r="D33">
        <v>0</v>
      </c>
      <c r="E33">
        <v>0</v>
      </c>
      <c r="F33">
        <v>0</v>
      </c>
      <c r="G33">
        <v>0</v>
      </c>
      <c r="H33">
        <v>0</v>
      </c>
      <c r="I33">
        <v>0</v>
      </c>
      <c r="J33">
        <v>0</v>
      </c>
      <c r="K33">
        <v>0</v>
      </c>
      <c r="L33">
        <v>0</v>
      </c>
      <c r="M33">
        <v>0</v>
      </c>
      <c r="N33">
        <v>0</v>
      </c>
      <c r="O33">
        <v>0</v>
      </c>
      <c r="Q33">
        <v>14</v>
      </c>
      <c r="R33">
        <v>0</v>
      </c>
      <c r="S33">
        <v>0</v>
      </c>
      <c r="T33">
        <v>0</v>
      </c>
      <c r="U33">
        <v>0</v>
      </c>
      <c r="V33">
        <v>0</v>
      </c>
      <c r="W33">
        <v>0</v>
      </c>
      <c r="X33">
        <v>0</v>
      </c>
      <c r="Y33">
        <v>0</v>
      </c>
      <c r="Z33">
        <v>0</v>
      </c>
      <c r="AA33">
        <v>0</v>
      </c>
      <c r="AB33">
        <v>0</v>
      </c>
      <c r="AC33">
        <v>0</v>
      </c>
      <c r="AD33">
        <v>0</v>
      </c>
      <c r="AE33">
        <v>0</v>
      </c>
      <c r="AG33" s="157">
        <v>14</v>
      </c>
      <c r="AH33">
        <v>0</v>
      </c>
      <c r="AI33">
        <v>0</v>
      </c>
      <c r="AJ33">
        <v>0</v>
      </c>
      <c r="AK33">
        <v>0</v>
      </c>
      <c r="AL33">
        <v>0</v>
      </c>
      <c r="AM33">
        <v>0</v>
      </c>
      <c r="AN33">
        <v>0</v>
      </c>
      <c r="AO33">
        <v>0</v>
      </c>
      <c r="AP33">
        <v>0</v>
      </c>
      <c r="AQ33">
        <v>0</v>
      </c>
      <c r="AR33">
        <v>0</v>
      </c>
      <c r="AS33">
        <v>0</v>
      </c>
      <c r="AT33">
        <v>0</v>
      </c>
      <c r="AU33">
        <v>0</v>
      </c>
    </row>
    <row r="34" spans="1:47" x14ac:dyDescent="0.25">
      <c r="A34" t="s">
        <v>190</v>
      </c>
      <c r="Q34" t="s">
        <v>190</v>
      </c>
    </row>
    <row r="35" spans="1:47" x14ac:dyDescent="0.25">
      <c r="B35" t="s">
        <v>208</v>
      </c>
      <c r="C35" t="s">
        <v>209</v>
      </c>
      <c r="D35" t="s">
        <v>210</v>
      </c>
      <c r="E35" t="s">
        <v>211</v>
      </c>
      <c r="F35" t="s">
        <v>212</v>
      </c>
      <c r="G35" t="s">
        <v>213</v>
      </c>
      <c r="H35" t="s">
        <v>214</v>
      </c>
      <c r="I35" t="s">
        <v>215</v>
      </c>
      <c r="J35" t="s">
        <v>216</v>
      </c>
      <c r="K35" t="s">
        <v>400</v>
      </c>
      <c r="L35" t="s">
        <v>401</v>
      </c>
      <c r="M35" t="s">
        <v>402</v>
      </c>
      <c r="N35" t="s">
        <v>403</v>
      </c>
      <c r="O35" t="s">
        <v>404</v>
      </c>
      <c r="R35" t="s">
        <v>208</v>
      </c>
      <c r="S35" t="s">
        <v>209</v>
      </c>
      <c r="T35" t="s">
        <v>210</v>
      </c>
      <c r="U35" t="s">
        <v>211</v>
      </c>
      <c r="V35" t="s">
        <v>212</v>
      </c>
      <c r="W35" t="s">
        <v>213</v>
      </c>
      <c r="X35" t="s">
        <v>214</v>
      </c>
      <c r="Y35" t="s">
        <v>215</v>
      </c>
      <c r="Z35" t="s">
        <v>216</v>
      </c>
      <c r="AA35" t="s">
        <v>400</v>
      </c>
      <c r="AB35" t="s">
        <v>401</v>
      </c>
      <c r="AC35" t="s">
        <v>402</v>
      </c>
      <c r="AD35" t="s">
        <v>403</v>
      </c>
      <c r="AE35" t="s">
        <v>404</v>
      </c>
      <c r="AH35" t="s">
        <v>674</v>
      </c>
      <c r="AI35" t="s">
        <v>675</v>
      </c>
      <c r="AJ35" t="s">
        <v>676</v>
      </c>
      <c r="AK35" t="s">
        <v>677</v>
      </c>
      <c r="AL35" t="s">
        <v>678</v>
      </c>
      <c r="AM35" t="s">
        <v>679</v>
      </c>
      <c r="AN35" t="s">
        <v>680</v>
      </c>
      <c r="AO35" t="s">
        <v>681</v>
      </c>
      <c r="AP35" t="s">
        <v>682</v>
      </c>
      <c r="AQ35" t="s">
        <v>683</v>
      </c>
      <c r="AR35" t="s">
        <v>684</v>
      </c>
      <c r="AS35" t="s">
        <v>685</v>
      </c>
      <c r="AT35" t="s">
        <v>686</v>
      </c>
      <c r="AU35" t="s">
        <v>687</v>
      </c>
    </row>
    <row r="36" spans="1:47" x14ac:dyDescent="0.25">
      <c r="A36">
        <v>1</v>
      </c>
      <c r="B36">
        <v>1290.05512</v>
      </c>
      <c r="C36">
        <v>0</v>
      </c>
      <c r="D36">
        <v>365.63852000000003</v>
      </c>
      <c r="E36">
        <v>0</v>
      </c>
      <c r="F36">
        <v>0</v>
      </c>
      <c r="G36">
        <v>0</v>
      </c>
      <c r="H36">
        <v>0</v>
      </c>
      <c r="I36">
        <v>0</v>
      </c>
      <c r="J36">
        <v>0</v>
      </c>
      <c r="K36">
        <v>0</v>
      </c>
      <c r="L36">
        <v>0</v>
      </c>
      <c r="M36">
        <v>0</v>
      </c>
      <c r="N36">
        <v>0</v>
      </c>
      <c r="O36">
        <v>0</v>
      </c>
      <c r="Q36">
        <v>1</v>
      </c>
      <c r="R36">
        <v>159</v>
      </c>
      <c r="S36">
        <v>43</v>
      </c>
      <c r="T36">
        <v>40</v>
      </c>
      <c r="U36">
        <v>2</v>
      </c>
      <c r="V36">
        <v>68</v>
      </c>
      <c r="W36">
        <v>13</v>
      </c>
      <c r="X36">
        <v>0</v>
      </c>
      <c r="Y36">
        <v>0</v>
      </c>
      <c r="Z36">
        <v>0</v>
      </c>
      <c r="AA36">
        <v>0</v>
      </c>
      <c r="AB36">
        <v>0</v>
      </c>
      <c r="AC36">
        <v>0</v>
      </c>
      <c r="AD36">
        <v>0</v>
      </c>
      <c r="AE36">
        <v>0</v>
      </c>
      <c r="AG36">
        <v>1</v>
      </c>
      <c r="AH36">
        <v>159</v>
      </c>
      <c r="AI36">
        <v>43</v>
      </c>
      <c r="AJ36">
        <v>40</v>
      </c>
      <c r="AK36">
        <v>2</v>
      </c>
      <c r="AL36">
        <v>68</v>
      </c>
      <c r="AM36">
        <v>13</v>
      </c>
      <c r="AN36">
        <v>0</v>
      </c>
      <c r="AO36">
        <v>0</v>
      </c>
      <c r="AP36">
        <v>0</v>
      </c>
      <c r="AQ36">
        <v>0</v>
      </c>
      <c r="AR36">
        <v>0</v>
      </c>
      <c r="AS36">
        <v>0</v>
      </c>
      <c r="AT36">
        <v>0</v>
      </c>
      <c r="AU36">
        <v>0</v>
      </c>
    </row>
    <row r="37" spans="1:47" x14ac:dyDescent="0.25">
      <c r="A37">
        <v>2</v>
      </c>
      <c r="B37">
        <v>0</v>
      </c>
      <c r="C37">
        <v>0</v>
      </c>
      <c r="D37">
        <v>0</v>
      </c>
      <c r="E37">
        <v>0</v>
      </c>
      <c r="F37">
        <v>0</v>
      </c>
      <c r="G37">
        <v>0</v>
      </c>
      <c r="H37">
        <v>0</v>
      </c>
      <c r="I37">
        <v>0</v>
      </c>
      <c r="J37">
        <v>0</v>
      </c>
      <c r="K37">
        <v>0</v>
      </c>
      <c r="L37">
        <v>0</v>
      </c>
      <c r="M37">
        <v>0</v>
      </c>
      <c r="N37">
        <v>0</v>
      </c>
      <c r="O37">
        <v>0</v>
      </c>
      <c r="Q37">
        <v>2</v>
      </c>
      <c r="R37">
        <v>2</v>
      </c>
      <c r="S37">
        <v>12</v>
      </c>
      <c r="T37">
        <v>0</v>
      </c>
      <c r="U37">
        <v>0</v>
      </c>
      <c r="V37">
        <v>4</v>
      </c>
      <c r="W37">
        <v>6</v>
      </c>
      <c r="X37">
        <v>0</v>
      </c>
      <c r="Y37">
        <v>0</v>
      </c>
      <c r="Z37">
        <v>0</v>
      </c>
      <c r="AA37">
        <v>0</v>
      </c>
      <c r="AB37">
        <v>0</v>
      </c>
      <c r="AC37">
        <v>0</v>
      </c>
      <c r="AD37">
        <v>0</v>
      </c>
      <c r="AE37">
        <v>0</v>
      </c>
      <c r="AG37">
        <v>2</v>
      </c>
      <c r="AH37">
        <v>2</v>
      </c>
      <c r="AI37">
        <v>12</v>
      </c>
      <c r="AJ37">
        <v>0</v>
      </c>
      <c r="AK37">
        <v>0</v>
      </c>
      <c r="AL37">
        <v>4</v>
      </c>
      <c r="AM37">
        <v>6</v>
      </c>
      <c r="AN37">
        <v>0</v>
      </c>
      <c r="AO37">
        <v>0</v>
      </c>
      <c r="AP37">
        <v>0</v>
      </c>
      <c r="AQ37">
        <v>0</v>
      </c>
      <c r="AR37">
        <v>0</v>
      </c>
      <c r="AS37">
        <v>0</v>
      </c>
      <c r="AT37">
        <v>0</v>
      </c>
      <c r="AU37">
        <v>0</v>
      </c>
    </row>
    <row r="38" spans="1:47" x14ac:dyDescent="0.25">
      <c r="A38">
        <v>3</v>
      </c>
      <c r="B38">
        <v>0</v>
      </c>
      <c r="C38">
        <v>0</v>
      </c>
      <c r="D38">
        <v>18328.795829999999</v>
      </c>
      <c r="E38">
        <v>0</v>
      </c>
      <c r="F38">
        <v>9734.8880599999993</v>
      </c>
      <c r="G38">
        <v>0</v>
      </c>
      <c r="H38">
        <v>0</v>
      </c>
      <c r="I38">
        <v>0</v>
      </c>
      <c r="J38">
        <v>1740.5583799999999</v>
      </c>
      <c r="K38">
        <v>128.68156999999999</v>
      </c>
      <c r="L38">
        <v>1019.03381</v>
      </c>
      <c r="M38">
        <v>134.83625000000001</v>
      </c>
      <c r="N38">
        <v>229.45972</v>
      </c>
      <c r="O38">
        <v>2718.6207300000001</v>
      </c>
      <c r="Q38">
        <v>3</v>
      </c>
      <c r="R38">
        <v>0</v>
      </c>
      <c r="S38">
        <v>0</v>
      </c>
      <c r="T38">
        <v>1295</v>
      </c>
      <c r="U38">
        <v>60</v>
      </c>
      <c r="V38">
        <v>1677</v>
      </c>
      <c r="W38">
        <v>198</v>
      </c>
      <c r="X38">
        <v>0</v>
      </c>
      <c r="Y38">
        <v>0</v>
      </c>
      <c r="Z38">
        <v>0</v>
      </c>
      <c r="AA38">
        <v>277</v>
      </c>
      <c r="AB38">
        <v>0</v>
      </c>
      <c r="AC38">
        <v>0</v>
      </c>
      <c r="AD38">
        <v>25</v>
      </c>
      <c r="AE38">
        <v>0</v>
      </c>
      <c r="AG38">
        <v>3</v>
      </c>
      <c r="AH38">
        <v>0</v>
      </c>
      <c r="AI38">
        <v>0</v>
      </c>
      <c r="AJ38">
        <v>1295</v>
      </c>
      <c r="AK38">
        <v>60</v>
      </c>
      <c r="AL38">
        <v>1677</v>
      </c>
      <c r="AM38">
        <v>198</v>
      </c>
      <c r="AN38">
        <v>0</v>
      </c>
      <c r="AO38">
        <v>0</v>
      </c>
      <c r="AP38">
        <v>0</v>
      </c>
      <c r="AQ38">
        <v>277</v>
      </c>
      <c r="AR38">
        <v>0</v>
      </c>
      <c r="AS38">
        <v>0</v>
      </c>
      <c r="AT38">
        <v>25</v>
      </c>
      <c r="AU38">
        <v>0</v>
      </c>
    </row>
    <row r="39" spans="1:47" x14ac:dyDescent="0.25">
      <c r="A39">
        <v>4</v>
      </c>
      <c r="B39">
        <v>0</v>
      </c>
      <c r="C39">
        <v>0</v>
      </c>
      <c r="D39">
        <v>0</v>
      </c>
      <c r="E39">
        <v>0</v>
      </c>
      <c r="F39">
        <v>0</v>
      </c>
      <c r="G39">
        <v>0</v>
      </c>
      <c r="H39">
        <v>0</v>
      </c>
      <c r="I39">
        <v>0</v>
      </c>
      <c r="J39">
        <v>0</v>
      </c>
      <c r="K39">
        <v>0</v>
      </c>
      <c r="L39">
        <v>0</v>
      </c>
      <c r="M39">
        <v>0</v>
      </c>
      <c r="N39">
        <v>0</v>
      </c>
      <c r="O39">
        <v>0</v>
      </c>
      <c r="Q39">
        <v>4</v>
      </c>
      <c r="R39">
        <v>0</v>
      </c>
      <c r="S39">
        <v>0</v>
      </c>
      <c r="T39">
        <v>16</v>
      </c>
      <c r="U39">
        <v>14</v>
      </c>
      <c r="V39">
        <v>24</v>
      </c>
      <c r="W39">
        <v>75</v>
      </c>
      <c r="X39">
        <v>0</v>
      </c>
      <c r="Y39">
        <v>0</v>
      </c>
      <c r="Z39">
        <v>0</v>
      </c>
      <c r="AA39">
        <v>2</v>
      </c>
      <c r="AB39">
        <v>0</v>
      </c>
      <c r="AC39">
        <v>0</v>
      </c>
      <c r="AD39">
        <v>3</v>
      </c>
      <c r="AE39">
        <v>0</v>
      </c>
      <c r="AG39">
        <v>4</v>
      </c>
      <c r="AH39">
        <v>0</v>
      </c>
      <c r="AI39">
        <v>0</v>
      </c>
      <c r="AJ39">
        <v>16</v>
      </c>
      <c r="AK39">
        <v>14</v>
      </c>
      <c r="AL39">
        <v>24</v>
      </c>
      <c r="AM39">
        <v>75</v>
      </c>
      <c r="AN39">
        <v>0</v>
      </c>
      <c r="AO39">
        <v>0</v>
      </c>
      <c r="AP39">
        <v>0</v>
      </c>
      <c r="AQ39">
        <v>2</v>
      </c>
      <c r="AR39">
        <v>0</v>
      </c>
      <c r="AS39">
        <v>0</v>
      </c>
      <c r="AT39">
        <v>3</v>
      </c>
      <c r="AU39">
        <v>0</v>
      </c>
    </row>
    <row r="40" spans="1:47" x14ac:dyDescent="0.25">
      <c r="A40">
        <v>5</v>
      </c>
      <c r="B40">
        <v>0</v>
      </c>
      <c r="C40">
        <v>0</v>
      </c>
      <c r="D40">
        <v>0</v>
      </c>
      <c r="E40">
        <v>0</v>
      </c>
      <c r="F40">
        <v>77384.921189999994</v>
      </c>
      <c r="G40">
        <v>0</v>
      </c>
      <c r="H40">
        <v>0</v>
      </c>
      <c r="I40">
        <v>0</v>
      </c>
      <c r="J40">
        <v>710.65732000000003</v>
      </c>
      <c r="K40">
        <v>0</v>
      </c>
      <c r="L40">
        <v>4150.9689600000002</v>
      </c>
      <c r="M40">
        <v>0</v>
      </c>
      <c r="N40">
        <v>0</v>
      </c>
      <c r="O40">
        <v>0</v>
      </c>
      <c r="Q40">
        <v>5</v>
      </c>
      <c r="R40">
        <v>0</v>
      </c>
      <c r="S40">
        <v>0</v>
      </c>
      <c r="T40">
        <v>0</v>
      </c>
      <c r="U40">
        <v>0</v>
      </c>
      <c r="V40">
        <v>5444</v>
      </c>
      <c r="W40">
        <v>673</v>
      </c>
      <c r="X40">
        <v>0</v>
      </c>
      <c r="Y40">
        <v>0</v>
      </c>
      <c r="Z40">
        <v>0</v>
      </c>
      <c r="AA40">
        <v>241</v>
      </c>
      <c r="AB40">
        <v>0</v>
      </c>
      <c r="AC40">
        <v>0</v>
      </c>
      <c r="AD40">
        <v>0</v>
      </c>
      <c r="AE40">
        <v>0</v>
      </c>
      <c r="AG40">
        <v>5</v>
      </c>
      <c r="AH40">
        <v>0</v>
      </c>
      <c r="AI40">
        <v>0</v>
      </c>
      <c r="AJ40">
        <v>0</v>
      </c>
      <c r="AK40">
        <v>0</v>
      </c>
      <c r="AL40">
        <v>5444</v>
      </c>
      <c r="AM40">
        <v>673</v>
      </c>
      <c r="AN40">
        <v>0</v>
      </c>
      <c r="AO40">
        <v>0</v>
      </c>
      <c r="AP40">
        <v>0</v>
      </c>
      <c r="AQ40">
        <v>241</v>
      </c>
      <c r="AR40">
        <v>0</v>
      </c>
      <c r="AS40">
        <v>0</v>
      </c>
      <c r="AT40">
        <v>0</v>
      </c>
      <c r="AU40">
        <v>0</v>
      </c>
    </row>
    <row r="41" spans="1:47" x14ac:dyDescent="0.25">
      <c r="A41">
        <v>6</v>
      </c>
      <c r="B41">
        <v>0</v>
      </c>
      <c r="C41">
        <v>0</v>
      </c>
      <c r="D41">
        <v>0</v>
      </c>
      <c r="E41">
        <v>0</v>
      </c>
      <c r="F41">
        <v>0</v>
      </c>
      <c r="G41">
        <v>0</v>
      </c>
      <c r="H41">
        <v>0</v>
      </c>
      <c r="I41">
        <v>0</v>
      </c>
      <c r="J41">
        <v>0</v>
      </c>
      <c r="K41">
        <v>0</v>
      </c>
      <c r="L41">
        <v>0</v>
      </c>
      <c r="M41">
        <v>0</v>
      </c>
      <c r="N41">
        <v>0</v>
      </c>
      <c r="O41">
        <v>0</v>
      </c>
      <c r="Q41">
        <v>6</v>
      </c>
      <c r="R41">
        <v>0</v>
      </c>
      <c r="S41">
        <v>0</v>
      </c>
      <c r="T41">
        <v>0</v>
      </c>
      <c r="U41">
        <v>0</v>
      </c>
      <c r="V41">
        <v>74</v>
      </c>
      <c r="W41">
        <v>220</v>
      </c>
      <c r="X41">
        <v>0</v>
      </c>
      <c r="Y41">
        <v>0</v>
      </c>
      <c r="Z41">
        <v>0</v>
      </c>
      <c r="AA41">
        <v>2</v>
      </c>
      <c r="AB41">
        <v>0</v>
      </c>
      <c r="AC41">
        <v>0</v>
      </c>
      <c r="AD41">
        <v>0</v>
      </c>
      <c r="AE41">
        <v>0</v>
      </c>
      <c r="AG41">
        <v>6</v>
      </c>
      <c r="AH41">
        <v>0</v>
      </c>
      <c r="AI41">
        <v>0</v>
      </c>
      <c r="AJ41">
        <v>0</v>
      </c>
      <c r="AK41">
        <v>0</v>
      </c>
      <c r="AL41">
        <v>74</v>
      </c>
      <c r="AM41">
        <v>220</v>
      </c>
      <c r="AN41">
        <v>0</v>
      </c>
      <c r="AO41">
        <v>0</v>
      </c>
      <c r="AP41">
        <v>0</v>
      </c>
      <c r="AQ41">
        <v>2</v>
      </c>
      <c r="AR41">
        <v>0</v>
      </c>
      <c r="AS41">
        <v>0</v>
      </c>
      <c r="AT41">
        <v>0</v>
      </c>
      <c r="AU41">
        <v>0</v>
      </c>
    </row>
    <row r="42" spans="1:47" x14ac:dyDescent="0.25">
      <c r="A42">
        <v>7</v>
      </c>
      <c r="B42">
        <v>0</v>
      </c>
      <c r="C42">
        <v>0</v>
      </c>
      <c r="D42">
        <v>3703.4435400000002</v>
      </c>
      <c r="E42">
        <v>0</v>
      </c>
      <c r="F42">
        <v>6081.2255800000003</v>
      </c>
      <c r="G42">
        <v>0</v>
      </c>
      <c r="H42">
        <v>36538.833409999999</v>
      </c>
      <c r="I42">
        <v>0</v>
      </c>
      <c r="J42">
        <v>956.22627999999997</v>
      </c>
      <c r="K42">
        <v>0</v>
      </c>
      <c r="L42">
        <v>1000.23424</v>
      </c>
      <c r="M42">
        <v>0</v>
      </c>
      <c r="N42">
        <v>0</v>
      </c>
      <c r="O42">
        <v>0</v>
      </c>
      <c r="Q42">
        <v>7</v>
      </c>
      <c r="R42">
        <v>0</v>
      </c>
      <c r="S42">
        <v>0</v>
      </c>
      <c r="T42">
        <v>274</v>
      </c>
      <c r="U42">
        <v>1</v>
      </c>
      <c r="V42">
        <v>660</v>
      </c>
      <c r="W42">
        <v>35</v>
      </c>
      <c r="X42">
        <v>3256</v>
      </c>
      <c r="Y42">
        <v>0</v>
      </c>
      <c r="Z42">
        <v>0</v>
      </c>
      <c r="AA42">
        <v>829</v>
      </c>
      <c r="AB42">
        <v>0</v>
      </c>
      <c r="AC42">
        <v>0</v>
      </c>
      <c r="AD42">
        <v>6</v>
      </c>
      <c r="AE42">
        <v>0</v>
      </c>
      <c r="AG42">
        <v>7</v>
      </c>
      <c r="AH42">
        <v>0</v>
      </c>
      <c r="AI42">
        <v>0</v>
      </c>
      <c r="AJ42">
        <v>274</v>
      </c>
      <c r="AK42">
        <v>1</v>
      </c>
      <c r="AL42">
        <v>660</v>
      </c>
      <c r="AM42">
        <v>35</v>
      </c>
      <c r="AN42">
        <v>3256</v>
      </c>
      <c r="AO42">
        <v>0</v>
      </c>
      <c r="AP42">
        <v>0</v>
      </c>
      <c r="AQ42">
        <v>829</v>
      </c>
      <c r="AR42">
        <v>0</v>
      </c>
      <c r="AS42">
        <v>0</v>
      </c>
      <c r="AT42">
        <v>6</v>
      </c>
      <c r="AU42">
        <v>0</v>
      </c>
    </row>
    <row r="43" spans="1:47" x14ac:dyDescent="0.25">
      <c r="A43">
        <v>8</v>
      </c>
      <c r="B43">
        <v>0</v>
      </c>
      <c r="C43">
        <v>0</v>
      </c>
      <c r="D43">
        <v>0</v>
      </c>
      <c r="E43">
        <v>0</v>
      </c>
      <c r="F43">
        <v>0</v>
      </c>
      <c r="G43">
        <v>0</v>
      </c>
      <c r="H43">
        <v>0</v>
      </c>
      <c r="I43">
        <v>0</v>
      </c>
      <c r="J43">
        <v>0</v>
      </c>
      <c r="K43">
        <v>0</v>
      </c>
      <c r="L43">
        <v>0</v>
      </c>
      <c r="M43">
        <v>0</v>
      </c>
      <c r="N43">
        <v>0</v>
      </c>
      <c r="O43">
        <v>0</v>
      </c>
      <c r="Q43">
        <v>8</v>
      </c>
      <c r="R43">
        <v>0</v>
      </c>
      <c r="S43">
        <v>0</v>
      </c>
      <c r="T43">
        <v>0</v>
      </c>
      <c r="U43">
        <v>0</v>
      </c>
      <c r="V43">
        <v>0</v>
      </c>
      <c r="W43">
        <v>0</v>
      </c>
      <c r="X43">
        <v>0</v>
      </c>
      <c r="Y43">
        <v>156</v>
      </c>
      <c r="Z43">
        <v>0</v>
      </c>
      <c r="AA43">
        <v>0</v>
      </c>
      <c r="AB43">
        <v>0</v>
      </c>
      <c r="AC43">
        <v>0</v>
      </c>
      <c r="AD43">
        <v>0</v>
      </c>
      <c r="AE43">
        <v>0</v>
      </c>
      <c r="AG43">
        <v>8</v>
      </c>
      <c r="AH43">
        <v>0</v>
      </c>
      <c r="AI43">
        <v>0</v>
      </c>
      <c r="AJ43">
        <v>0</v>
      </c>
      <c r="AK43">
        <v>0</v>
      </c>
      <c r="AL43">
        <v>0</v>
      </c>
      <c r="AM43">
        <v>0</v>
      </c>
      <c r="AN43">
        <v>0</v>
      </c>
      <c r="AO43">
        <v>156</v>
      </c>
      <c r="AP43">
        <v>0</v>
      </c>
      <c r="AQ43">
        <v>0</v>
      </c>
      <c r="AR43">
        <v>0</v>
      </c>
      <c r="AS43">
        <v>0</v>
      </c>
      <c r="AT43">
        <v>0</v>
      </c>
      <c r="AU43">
        <v>0</v>
      </c>
    </row>
    <row r="44" spans="1:47" x14ac:dyDescent="0.25">
      <c r="A44">
        <v>9</v>
      </c>
      <c r="B44">
        <v>0</v>
      </c>
      <c r="C44">
        <v>0</v>
      </c>
      <c r="D44">
        <v>0</v>
      </c>
      <c r="E44">
        <v>0</v>
      </c>
      <c r="F44">
        <v>0</v>
      </c>
      <c r="G44">
        <v>0</v>
      </c>
      <c r="H44">
        <v>0</v>
      </c>
      <c r="I44">
        <v>0</v>
      </c>
      <c r="J44">
        <v>22993.441800000001</v>
      </c>
      <c r="K44">
        <v>0</v>
      </c>
      <c r="L44">
        <v>408.70749000000001</v>
      </c>
      <c r="M44">
        <v>0</v>
      </c>
      <c r="N44">
        <v>0</v>
      </c>
      <c r="O44">
        <v>0</v>
      </c>
      <c r="Q44">
        <v>9</v>
      </c>
      <c r="R44">
        <v>0</v>
      </c>
      <c r="S44">
        <v>0</v>
      </c>
      <c r="T44">
        <v>0</v>
      </c>
      <c r="U44">
        <v>0</v>
      </c>
      <c r="V44">
        <v>0</v>
      </c>
      <c r="W44">
        <v>0</v>
      </c>
      <c r="X44">
        <v>0</v>
      </c>
      <c r="Y44">
        <v>0</v>
      </c>
      <c r="Z44">
        <v>0</v>
      </c>
      <c r="AA44">
        <v>0</v>
      </c>
      <c r="AB44">
        <v>0</v>
      </c>
      <c r="AC44">
        <v>0</v>
      </c>
      <c r="AD44">
        <v>0</v>
      </c>
      <c r="AE44">
        <v>0</v>
      </c>
      <c r="AG44">
        <v>9</v>
      </c>
      <c r="AH44">
        <v>0</v>
      </c>
      <c r="AI44">
        <v>0</v>
      </c>
      <c r="AJ44">
        <v>0</v>
      </c>
      <c r="AK44">
        <v>0</v>
      </c>
      <c r="AL44">
        <v>0</v>
      </c>
      <c r="AM44">
        <v>0</v>
      </c>
      <c r="AN44">
        <v>0</v>
      </c>
      <c r="AO44">
        <v>0</v>
      </c>
      <c r="AP44">
        <v>0</v>
      </c>
      <c r="AQ44">
        <v>0</v>
      </c>
      <c r="AR44">
        <v>0</v>
      </c>
      <c r="AS44">
        <v>0</v>
      </c>
      <c r="AT44">
        <v>0</v>
      </c>
      <c r="AU44">
        <v>0</v>
      </c>
    </row>
    <row r="45" spans="1:47" x14ac:dyDescent="0.25">
      <c r="A45">
        <v>10</v>
      </c>
      <c r="B45">
        <v>0</v>
      </c>
      <c r="C45">
        <v>0</v>
      </c>
      <c r="D45">
        <v>0</v>
      </c>
      <c r="E45">
        <v>0</v>
      </c>
      <c r="F45">
        <v>0</v>
      </c>
      <c r="G45">
        <v>0</v>
      </c>
      <c r="H45">
        <v>0</v>
      </c>
      <c r="I45">
        <v>0</v>
      </c>
      <c r="J45">
        <v>0</v>
      </c>
      <c r="K45">
        <v>568.90341000000001</v>
      </c>
      <c r="L45">
        <v>225.88822999999999</v>
      </c>
      <c r="M45">
        <v>0</v>
      </c>
      <c r="N45">
        <v>0</v>
      </c>
      <c r="O45">
        <v>0</v>
      </c>
      <c r="Q45">
        <v>10</v>
      </c>
      <c r="R45">
        <v>0</v>
      </c>
      <c r="S45">
        <v>0</v>
      </c>
      <c r="T45">
        <v>0</v>
      </c>
      <c r="U45">
        <v>0</v>
      </c>
      <c r="V45">
        <v>0</v>
      </c>
      <c r="W45">
        <v>0</v>
      </c>
      <c r="X45">
        <v>0</v>
      </c>
      <c r="Y45">
        <v>0</v>
      </c>
      <c r="Z45">
        <v>0</v>
      </c>
      <c r="AA45">
        <v>5352</v>
      </c>
      <c r="AB45">
        <v>0</v>
      </c>
      <c r="AC45">
        <v>0</v>
      </c>
      <c r="AD45">
        <v>0</v>
      </c>
      <c r="AE45">
        <v>0</v>
      </c>
      <c r="AG45">
        <v>10</v>
      </c>
      <c r="AH45">
        <v>0</v>
      </c>
      <c r="AI45">
        <v>0</v>
      </c>
      <c r="AJ45">
        <v>0</v>
      </c>
      <c r="AK45">
        <v>0</v>
      </c>
      <c r="AL45">
        <v>0</v>
      </c>
      <c r="AM45">
        <v>0</v>
      </c>
      <c r="AN45">
        <v>0</v>
      </c>
      <c r="AO45">
        <v>0</v>
      </c>
      <c r="AP45">
        <v>0</v>
      </c>
      <c r="AQ45">
        <v>5352</v>
      </c>
      <c r="AR45">
        <v>0</v>
      </c>
      <c r="AS45">
        <v>0</v>
      </c>
      <c r="AT45">
        <v>0</v>
      </c>
      <c r="AU45">
        <v>0</v>
      </c>
    </row>
    <row r="46" spans="1:47" x14ac:dyDescent="0.25">
      <c r="A46">
        <v>11</v>
      </c>
      <c r="B46">
        <v>0</v>
      </c>
      <c r="C46">
        <v>0</v>
      </c>
      <c r="D46">
        <v>0</v>
      </c>
      <c r="E46">
        <v>0</v>
      </c>
      <c r="F46">
        <v>0</v>
      </c>
      <c r="G46">
        <v>0</v>
      </c>
      <c r="H46">
        <v>0</v>
      </c>
      <c r="I46">
        <v>0</v>
      </c>
      <c r="J46">
        <v>0</v>
      </c>
      <c r="K46">
        <v>0</v>
      </c>
      <c r="L46">
        <v>2021.1057800000001</v>
      </c>
      <c r="M46">
        <v>0</v>
      </c>
      <c r="N46">
        <v>0</v>
      </c>
      <c r="O46">
        <v>0</v>
      </c>
      <c r="Q46">
        <v>11</v>
      </c>
      <c r="R46">
        <v>0</v>
      </c>
      <c r="S46">
        <v>0</v>
      </c>
      <c r="T46">
        <v>0</v>
      </c>
      <c r="U46">
        <v>0</v>
      </c>
      <c r="V46">
        <v>0</v>
      </c>
      <c r="W46">
        <v>0</v>
      </c>
      <c r="X46">
        <v>0</v>
      </c>
      <c r="Y46">
        <v>0</v>
      </c>
      <c r="Z46">
        <v>0</v>
      </c>
      <c r="AA46">
        <v>0</v>
      </c>
      <c r="AB46">
        <v>162</v>
      </c>
      <c r="AC46">
        <v>0</v>
      </c>
      <c r="AD46">
        <v>0</v>
      </c>
      <c r="AE46">
        <v>0</v>
      </c>
      <c r="AG46">
        <v>11</v>
      </c>
      <c r="AH46">
        <v>0</v>
      </c>
      <c r="AI46">
        <v>0</v>
      </c>
      <c r="AJ46">
        <v>0</v>
      </c>
      <c r="AK46">
        <v>0</v>
      </c>
      <c r="AL46">
        <v>0</v>
      </c>
      <c r="AM46">
        <v>0</v>
      </c>
      <c r="AN46">
        <v>0</v>
      </c>
      <c r="AO46">
        <v>0</v>
      </c>
      <c r="AP46">
        <v>0</v>
      </c>
      <c r="AQ46">
        <v>0</v>
      </c>
      <c r="AR46">
        <v>162</v>
      </c>
      <c r="AS46">
        <v>0</v>
      </c>
      <c r="AT46">
        <v>0</v>
      </c>
      <c r="AU46">
        <v>0</v>
      </c>
    </row>
    <row r="47" spans="1:47" x14ac:dyDescent="0.25">
      <c r="A47">
        <v>12</v>
      </c>
      <c r="B47">
        <v>0</v>
      </c>
      <c r="C47">
        <v>0</v>
      </c>
      <c r="D47">
        <v>0</v>
      </c>
      <c r="E47">
        <v>0</v>
      </c>
      <c r="F47">
        <v>0</v>
      </c>
      <c r="G47">
        <v>0</v>
      </c>
      <c r="H47">
        <v>0</v>
      </c>
      <c r="I47">
        <v>0</v>
      </c>
      <c r="J47">
        <v>0</v>
      </c>
      <c r="K47">
        <v>0</v>
      </c>
      <c r="L47">
        <v>0</v>
      </c>
      <c r="M47">
        <v>635.31101999999998</v>
      </c>
      <c r="N47">
        <v>0</v>
      </c>
      <c r="O47">
        <v>0</v>
      </c>
      <c r="Q47">
        <v>12</v>
      </c>
      <c r="R47">
        <v>0</v>
      </c>
      <c r="S47">
        <v>0</v>
      </c>
      <c r="T47">
        <v>0</v>
      </c>
      <c r="U47">
        <v>0</v>
      </c>
      <c r="V47">
        <v>0</v>
      </c>
      <c r="W47">
        <v>0</v>
      </c>
      <c r="X47">
        <v>0</v>
      </c>
      <c r="Y47">
        <v>0</v>
      </c>
      <c r="Z47">
        <v>0</v>
      </c>
      <c r="AA47">
        <v>0</v>
      </c>
      <c r="AB47">
        <v>0</v>
      </c>
      <c r="AC47">
        <v>12</v>
      </c>
      <c r="AD47">
        <v>0</v>
      </c>
      <c r="AE47">
        <v>0</v>
      </c>
      <c r="AG47">
        <v>12</v>
      </c>
      <c r="AH47">
        <v>0</v>
      </c>
      <c r="AI47">
        <v>0</v>
      </c>
      <c r="AJ47">
        <v>0</v>
      </c>
      <c r="AK47">
        <v>0</v>
      </c>
      <c r="AL47">
        <v>0</v>
      </c>
      <c r="AM47">
        <v>0</v>
      </c>
      <c r="AN47">
        <v>0</v>
      </c>
      <c r="AO47">
        <v>0</v>
      </c>
      <c r="AP47">
        <v>0</v>
      </c>
      <c r="AQ47">
        <v>0</v>
      </c>
      <c r="AR47">
        <v>0</v>
      </c>
      <c r="AS47">
        <v>12</v>
      </c>
      <c r="AT47">
        <v>0</v>
      </c>
      <c r="AU47">
        <v>0</v>
      </c>
    </row>
    <row r="48" spans="1:47" x14ac:dyDescent="0.25">
      <c r="A48">
        <v>13</v>
      </c>
      <c r="B48">
        <v>0</v>
      </c>
      <c r="C48">
        <v>0</v>
      </c>
      <c r="D48">
        <v>0</v>
      </c>
      <c r="E48">
        <v>0</v>
      </c>
      <c r="F48">
        <v>0</v>
      </c>
      <c r="G48">
        <v>0</v>
      </c>
      <c r="H48">
        <v>0</v>
      </c>
      <c r="I48">
        <v>0</v>
      </c>
      <c r="J48">
        <v>0</v>
      </c>
      <c r="K48">
        <v>0</v>
      </c>
      <c r="L48">
        <v>0</v>
      </c>
      <c r="M48">
        <v>0</v>
      </c>
      <c r="N48">
        <v>229.45972</v>
      </c>
      <c r="O48">
        <v>0</v>
      </c>
      <c r="Q48">
        <v>13</v>
      </c>
      <c r="R48">
        <v>0</v>
      </c>
      <c r="S48">
        <v>0</v>
      </c>
      <c r="T48">
        <v>0</v>
      </c>
      <c r="U48">
        <v>0</v>
      </c>
      <c r="V48">
        <v>0</v>
      </c>
      <c r="W48">
        <v>0</v>
      </c>
      <c r="X48">
        <v>0</v>
      </c>
      <c r="Y48">
        <v>0</v>
      </c>
      <c r="Z48">
        <v>0</v>
      </c>
      <c r="AA48">
        <v>4</v>
      </c>
      <c r="AB48">
        <v>0</v>
      </c>
      <c r="AC48">
        <v>0</v>
      </c>
      <c r="AD48">
        <v>116</v>
      </c>
      <c r="AE48">
        <v>0</v>
      </c>
      <c r="AG48">
        <v>13</v>
      </c>
      <c r="AH48">
        <v>0</v>
      </c>
      <c r="AI48">
        <v>0</v>
      </c>
      <c r="AJ48">
        <v>0</v>
      </c>
      <c r="AK48">
        <v>0</v>
      </c>
      <c r="AL48">
        <v>0</v>
      </c>
      <c r="AM48">
        <v>0</v>
      </c>
      <c r="AN48">
        <v>0</v>
      </c>
      <c r="AO48">
        <v>0</v>
      </c>
      <c r="AP48">
        <v>0</v>
      </c>
      <c r="AQ48">
        <v>4</v>
      </c>
      <c r="AR48">
        <v>0</v>
      </c>
      <c r="AS48">
        <v>0</v>
      </c>
      <c r="AT48">
        <v>116</v>
      </c>
      <c r="AU48">
        <v>0</v>
      </c>
    </row>
    <row r="49" spans="1:47" x14ac:dyDescent="0.25">
      <c r="A49">
        <v>14</v>
      </c>
      <c r="B49">
        <v>0</v>
      </c>
      <c r="C49">
        <v>0</v>
      </c>
      <c r="D49">
        <v>0</v>
      </c>
      <c r="E49">
        <v>0</v>
      </c>
      <c r="F49">
        <v>0</v>
      </c>
      <c r="G49">
        <v>0</v>
      </c>
      <c r="H49">
        <v>0</v>
      </c>
      <c r="I49">
        <v>0</v>
      </c>
      <c r="J49">
        <v>0</v>
      </c>
      <c r="K49">
        <v>0</v>
      </c>
      <c r="L49">
        <v>0</v>
      </c>
      <c r="M49">
        <v>0</v>
      </c>
      <c r="N49">
        <v>0</v>
      </c>
      <c r="O49">
        <v>10538.15394</v>
      </c>
      <c r="Q49">
        <v>14</v>
      </c>
      <c r="R49">
        <v>0</v>
      </c>
      <c r="S49">
        <v>0</v>
      </c>
      <c r="T49">
        <v>0</v>
      </c>
      <c r="U49">
        <v>0</v>
      </c>
      <c r="V49">
        <v>0</v>
      </c>
      <c r="W49">
        <v>0</v>
      </c>
      <c r="X49">
        <v>0</v>
      </c>
      <c r="Y49">
        <v>0</v>
      </c>
      <c r="Z49">
        <v>0</v>
      </c>
      <c r="AA49">
        <v>0</v>
      </c>
      <c r="AB49">
        <v>0</v>
      </c>
      <c r="AC49">
        <v>0</v>
      </c>
      <c r="AD49">
        <v>0</v>
      </c>
      <c r="AE49">
        <v>1681</v>
      </c>
      <c r="AG49">
        <v>14</v>
      </c>
      <c r="AH49">
        <v>0</v>
      </c>
      <c r="AI49">
        <v>0</v>
      </c>
      <c r="AJ49">
        <v>0</v>
      </c>
      <c r="AK49">
        <v>0</v>
      </c>
      <c r="AL49">
        <v>0</v>
      </c>
      <c r="AM49">
        <v>0</v>
      </c>
      <c r="AN49">
        <v>0</v>
      </c>
      <c r="AO49">
        <v>0</v>
      </c>
      <c r="AP49">
        <v>0</v>
      </c>
      <c r="AQ49">
        <v>0</v>
      </c>
      <c r="AR49">
        <v>0</v>
      </c>
      <c r="AS49">
        <v>0</v>
      </c>
      <c r="AT49">
        <v>0</v>
      </c>
      <c r="AU49">
        <v>1681</v>
      </c>
    </row>
    <row r="50" spans="1:47" x14ac:dyDescent="0.25">
      <c r="A50" t="s">
        <v>121</v>
      </c>
      <c r="Q50" t="s">
        <v>121</v>
      </c>
    </row>
    <row r="51" spans="1:47" x14ac:dyDescent="0.25">
      <c r="B51" t="s">
        <v>208</v>
      </c>
      <c r="C51" t="s">
        <v>209</v>
      </c>
      <c r="D51" t="s">
        <v>210</v>
      </c>
      <c r="E51" t="s">
        <v>211</v>
      </c>
      <c r="F51" t="s">
        <v>212</v>
      </c>
      <c r="G51" t="s">
        <v>213</v>
      </c>
      <c r="H51" t="s">
        <v>214</v>
      </c>
      <c r="I51" t="s">
        <v>215</v>
      </c>
      <c r="J51" t="s">
        <v>216</v>
      </c>
      <c r="K51" t="s">
        <v>400</v>
      </c>
      <c r="L51" t="s">
        <v>401</v>
      </c>
      <c r="M51" t="s">
        <v>402</v>
      </c>
      <c r="N51" t="s">
        <v>403</v>
      </c>
      <c r="O51" t="s">
        <v>404</v>
      </c>
      <c r="R51" t="s">
        <v>208</v>
      </c>
      <c r="S51" t="s">
        <v>209</v>
      </c>
      <c r="T51" t="s">
        <v>210</v>
      </c>
      <c r="U51" t="s">
        <v>211</v>
      </c>
      <c r="V51" t="s">
        <v>212</v>
      </c>
      <c r="W51" t="s">
        <v>213</v>
      </c>
      <c r="X51" t="s">
        <v>214</v>
      </c>
      <c r="Y51" t="s">
        <v>215</v>
      </c>
      <c r="Z51" t="s">
        <v>216</v>
      </c>
      <c r="AA51" t="s">
        <v>400</v>
      </c>
      <c r="AB51" t="s">
        <v>401</v>
      </c>
      <c r="AC51" t="s">
        <v>402</v>
      </c>
      <c r="AD51" t="s">
        <v>403</v>
      </c>
      <c r="AE51" t="s">
        <v>404</v>
      </c>
      <c r="AG51" s="157"/>
      <c r="AH51" t="s">
        <v>674</v>
      </c>
      <c r="AI51" t="s">
        <v>675</v>
      </c>
      <c r="AJ51" t="s">
        <v>676</v>
      </c>
      <c r="AK51" t="s">
        <v>677</v>
      </c>
      <c r="AL51" t="s">
        <v>678</v>
      </c>
      <c r="AM51" t="s">
        <v>679</v>
      </c>
      <c r="AN51" t="s">
        <v>680</v>
      </c>
      <c r="AO51" t="s">
        <v>681</v>
      </c>
      <c r="AP51" t="s">
        <v>682</v>
      </c>
      <c r="AQ51" t="s">
        <v>683</v>
      </c>
      <c r="AR51" t="s">
        <v>684</v>
      </c>
      <c r="AS51" t="s">
        <v>685</v>
      </c>
      <c r="AT51" t="s">
        <v>686</v>
      </c>
      <c r="AU51" t="s">
        <v>687</v>
      </c>
    </row>
    <row r="52" spans="1:47" x14ac:dyDescent="0.25">
      <c r="A52">
        <v>1</v>
      </c>
      <c r="B52">
        <v>17991.71701</v>
      </c>
      <c r="C52">
        <v>687.92624000000001</v>
      </c>
      <c r="D52">
        <v>12048.10412</v>
      </c>
      <c r="E52">
        <v>733.08180000000004</v>
      </c>
      <c r="F52">
        <v>69.329759999999993</v>
      </c>
      <c r="G52">
        <v>0</v>
      </c>
      <c r="H52">
        <v>0</v>
      </c>
      <c r="I52">
        <v>3314.5039999999999</v>
      </c>
      <c r="J52">
        <v>615.78553999999997</v>
      </c>
      <c r="K52">
        <v>0</v>
      </c>
      <c r="L52">
        <v>0</v>
      </c>
      <c r="M52">
        <v>116.82013999999999</v>
      </c>
      <c r="N52">
        <v>0</v>
      </c>
      <c r="O52">
        <v>0</v>
      </c>
      <c r="Q52">
        <v>1</v>
      </c>
      <c r="R52">
        <v>18536</v>
      </c>
      <c r="S52">
        <v>119</v>
      </c>
      <c r="T52">
        <v>458</v>
      </c>
      <c r="U52">
        <v>2</v>
      </c>
      <c r="V52">
        <v>183</v>
      </c>
      <c r="W52">
        <v>1</v>
      </c>
      <c r="X52">
        <v>0</v>
      </c>
      <c r="Y52">
        <v>0</v>
      </c>
      <c r="Z52">
        <v>0</v>
      </c>
      <c r="AA52">
        <v>0</v>
      </c>
      <c r="AB52">
        <v>0</v>
      </c>
      <c r="AC52">
        <v>0</v>
      </c>
      <c r="AD52">
        <v>0</v>
      </c>
      <c r="AE52">
        <v>0</v>
      </c>
      <c r="AG52" s="157">
        <v>1</v>
      </c>
      <c r="AH52">
        <v>18536</v>
      </c>
      <c r="AI52">
        <v>119</v>
      </c>
      <c r="AJ52">
        <v>458</v>
      </c>
      <c r="AK52">
        <v>2</v>
      </c>
      <c r="AL52">
        <v>183</v>
      </c>
      <c r="AM52">
        <v>1</v>
      </c>
      <c r="AN52">
        <v>0</v>
      </c>
      <c r="AO52">
        <v>0</v>
      </c>
      <c r="AP52">
        <v>0</v>
      </c>
      <c r="AQ52">
        <v>0</v>
      </c>
      <c r="AR52">
        <v>0</v>
      </c>
      <c r="AS52">
        <v>0</v>
      </c>
      <c r="AT52">
        <v>0</v>
      </c>
      <c r="AU52">
        <v>0</v>
      </c>
    </row>
    <row r="53" spans="1:47" x14ac:dyDescent="0.25">
      <c r="A53">
        <v>2</v>
      </c>
      <c r="B53">
        <v>0</v>
      </c>
      <c r="C53">
        <v>0</v>
      </c>
      <c r="D53">
        <v>0</v>
      </c>
      <c r="E53">
        <v>0</v>
      </c>
      <c r="F53">
        <v>0</v>
      </c>
      <c r="G53">
        <v>0</v>
      </c>
      <c r="H53">
        <v>0</v>
      </c>
      <c r="I53">
        <v>0</v>
      </c>
      <c r="J53">
        <v>0</v>
      </c>
      <c r="K53">
        <v>0</v>
      </c>
      <c r="L53">
        <v>0</v>
      </c>
      <c r="M53">
        <v>0</v>
      </c>
      <c r="N53">
        <v>0</v>
      </c>
      <c r="O53">
        <v>0</v>
      </c>
      <c r="Q53">
        <v>2</v>
      </c>
      <c r="R53">
        <v>7</v>
      </c>
      <c r="S53">
        <v>60</v>
      </c>
      <c r="T53">
        <v>0</v>
      </c>
      <c r="U53">
        <v>3</v>
      </c>
      <c r="V53">
        <v>0</v>
      </c>
      <c r="W53">
        <v>1</v>
      </c>
      <c r="X53">
        <v>0</v>
      </c>
      <c r="Y53">
        <v>0</v>
      </c>
      <c r="Z53">
        <v>0</v>
      </c>
      <c r="AA53">
        <v>0</v>
      </c>
      <c r="AB53">
        <v>0</v>
      </c>
      <c r="AC53">
        <v>0</v>
      </c>
      <c r="AD53">
        <v>0</v>
      </c>
      <c r="AE53">
        <v>0</v>
      </c>
      <c r="AG53" s="157">
        <v>2</v>
      </c>
      <c r="AH53">
        <v>7</v>
      </c>
      <c r="AI53">
        <v>60</v>
      </c>
      <c r="AJ53">
        <v>0</v>
      </c>
      <c r="AK53">
        <v>3</v>
      </c>
      <c r="AL53">
        <v>0</v>
      </c>
      <c r="AM53">
        <v>1</v>
      </c>
      <c r="AN53">
        <v>0</v>
      </c>
      <c r="AO53">
        <v>0</v>
      </c>
      <c r="AP53">
        <v>0</v>
      </c>
      <c r="AQ53">
        <v>0</v>
      </c>
      <c r="AR53">
        <v>0</v>
      </c>
      <c r="AS53">
        <v>0</v>
      </c>
      <c r="AT53">
        <v>0</v>
      </c>
      <c r="AU53">
        <v>0</v>
      </c>
    </row>
    <row r="54" spans="1:47" x14ac:dyDescent="0.25">
      <c r="A54">
        <v>3</v>
      </c>
      <c r="B54">
        <v>1145.0475899999999</v>
      </c>
      <c r="C54">
        <v>0</v>
      </c>
      <c r="D54">
        <v>2298.8112299999998</v>
      </c>
      <c r="E54">
        <v>0</v>
      </c>
      <c r="F54">
        <v>0</v>
      </c>
      <c r="G54">
        <v>0</v>
      </c>
      <c r="H54">
        <v>0</v>
      </c>
      <c r="I54">
        <v>662.9008</v>
      </c>
      <c r="J54">
        <v>993.14083000000005</v>
      </c>
      <c r="K54">
        <v>0</v>
      </c>
      <c r="L54">
        <v>0</v>
      </c>
      <c r="M54">
        <v>20.368780000000001</v>
      </c>
      <c r="N54">
        <v>0</v>
      </c>
      <c r="O54">
        <v>0</v>
      </c>
      <c r="Q54">
        <v>3</v>
      </c>
      <c r="R54">
        <v>0</v>
      </c>
      <c r="S54">
        <v>0</v>
      </c>
      <c r="T54">
        <v>140</v>
      </c>
      <c r="U54">
        <v>4</v>
      </c>
      <c r="V54">
        <v>34</v>
      </c>
      <c r="W54">
        <v>0</v>
      </c>
      <c r="X54">
        <v>0</v>
      </c>
      <c r="Y54">
        <v>0</v>
      </c>
      <c r="Z54">
        <v>0</v>
      </c>
      <c r="AA54">
        <v>0</v>
      </c>
      <c r="AB54">
        <v>0</v>
      </c>
      <c r="AC54">
        <v>0</v>
      </c>
      <c r="AD54">
        <v>0</v>
      </c>
      <c r="AE54">
        <v>0</v>
      </c>
      <c r="AG54" s="157">
        <v>3</v>
      </c>
      <c r="AH54">
        <v>0</v>
      </c>
      <c r="AI54">
        <v>0</v>
      </c>
      <c r="AJ54">
        <v>140</v>
      </c>
      <c r="AK54">
        <v>4</v>
      </c>
      <c r="AL54">
        <v>34</v>
      </c>
      <c r="AM54">
        <v>0</v>
      </c>
      <c r="AN54">
        <v>0</v>
      </c>
      <c r="AO54">
        <v>0</v>
      </c>
      <c r="AP54">
        <v>0</v>
      </c>
      <c r="AQ54">
        <v>0</v>
      </c>
      <c r="AR54">
        <v>0</v>
      </c>
      <c r="AS54">
        <v>0</v>
      </c>
      <c r="AT54">
        <v>0</v>
      </c>
      <c r="AU54">
        <v>0</v>
      </c>
    </row>
    <row r="55" spans="1:47" x14ac:dyDescent="0.25">
      <c r="A55">
        <v>4</v>
      </c>
      <c r="B55">
        <v>0</v>
      </c>
      <c r="C55">
        <v>0</v>
      </c>
      <c r="D55">
        <v>0</v>
      </c>
      <c r="E55">
        <v>0</v>
      </c>
      <c r="F55">
        <v>0</v>
      </c>
      <c r="G55">
        <v>0</v>
      </c>
      <c r="H55">
        <v>0</v>
      </c>
      <c r="I55">
        <v>0</v>
      </c>
      <c r="J55">
        <v>0</v>
      </c>
      <c r="K55">
        <v>0</v>
      </c>
      <c r="L55">
        <v>0</v>
      </c>
      <c r="M55">
        <v>0</v>
      </c>
      <c r="N55">
        <v>0</v>
      </c>
      <c r="O55">
        <v>0</v>
      </c>
      <c r="Q55">
        <v>4</v>
      </c>
      <c r="R55">
        <v>0</v>
      </c>
      <c r="S55">
        <v>0</v>
      </c>
      <c r="T55">
        <v>0</v>
      </c>
      <c r="U55">
        <v>2</v>
      </c>
      <c r="V55">
        <v>0</v>
      </c>
      <c r="W55">
        <v>0</v>
      </c>
      <c r="X55">
        <v>0</v>
      </c>
      <c r="Y55">
        <v>0</v>
      </c>
      <c r="Z55">
        <v>0</v>
      </c>
      <c r="AA55">
        <v>0</v>
      </c>
      <c r="AB55">
        <v>0</v>
      </c>
      <c r="AC55">
        <v>0</v>
      </c>
      <c r="AD55">
        <v>0</v>
      </c>
      <c r="AE55">
        <v>0</v>
      </c>
      <c r="AG55" s="157">
        <v>4</v>
      </c>
      <c r="AH55">
        <v>0</v>
      </c>
      <c r="AI55">
        <v>0</v>
      </c>
      <c r="AJ55">
        <v>0</v>
      </c>
      <c r="AK55">
        <v>2</v>
      </c>
      <c r="AL55">
        <v>0</v>
      </c>
      <c r="AM55">
        <v>0</v>
      </c>
      <c r="AN55">
        <v>0</v>
      </c>
      <c r="AO55">
        <v>0</v>
      </c>
      <c r="AP55">
        <v>0</v>
      </c>
      <c r="AQ55">
        <v>0</v>
      </c>
      <c r="AR55">
        <v>0</v>
      </c>
      <c r="AS55">
        <v>0</v>
      </c>
      <c r="AT55">
        <v>0</v>
      </c>
      <c r="AU55">
        <v>0</v>
      </c>
    </row>
    <row r="56" spans="1:47" x14ac:dyDescent="0.25">
      <c r="A56">
        <v>5</v>
      </c>
      <c r="B56">
        <v>217.97167999999999</v>
      </c>
      <c r="C56">
        <v>0</v>
      </c>
      <c r="D56">
        <v>0</v>
      </c>
      <c r="E56">
        <v>0</v>
      </c>
      <c r="F56">
        <v>0</v>
      </c>
      <c r="G56">
        <v>0</v>
      </c>
      <c r="H56">
        <v>0</v>
      </c>
      <c r="I56">
        <v>0</v>
      </c>
      <c r="J56">
        <v>497.00704999999999</v>
      </c>
      <c r="K56">
        <v>0</v>
      </c>
      <c r="L56">
        <v>0</v>
      </c>
      <c r="M56">
        <v>0</v>
      </c>
      <c r="N56">
        <v>0</v>
      </c>
      <c r="O56">
        <v>0</v>
      </c>
      <c r="Q56">
        <v>5</v>
      </c>
      <c r="R56">
        <v>0</v>
      </c>
      <c r="S56">
        <v>0</v>
      </c>
      <c r="T56">
        <v>0</v>
      </c>
      <c r="U56">
        <v>0</v>
      </c>
      <c r="V56">
        <v>95</v>
      </c>
      <c r="W56">
        <v>0</v>
      </c>
      <c r="X56">
        <v>0</v>
      </c>
      <c r="Y56">
        <v>0</v>
      </c>
      <c r="Z56">
        <v>0</v>
      </c>
      <c r="AA56">
        <v>0</v>
      </c>
      <c r="AB56">
        <v>0</v>
      </c>
      <c r="AC56">
        <v>0</v>
      </c>
      <c r="AD56">
        <v>0</v>
      </c>
      <c r="AE56">
        <v>0</v>
      </c>
      <c r="AG56" s="157">
        <v>5</v>
      </c>
      <c r="AH56">
        <v>0</v>
      </c>
      <c r="AI56">
        <v>0</v>
      </c>
      <c r="AJ56">
        <v>0</v>
      </c>
      <c r="AK56">
        <v>0</v>
      </c>
      <c r="AL56">
        <v>95</v>
      </c>
      <c r="AM56">
        <v>0</v>
      </c>
      <c r="AN56">
        <v>0</v>
      </c>
      <c r="AO56">
        <v>0</v>
      </c>
      <c r="AP56">
        <v>0</v>
      </c>
      <c r="AQ56">
        <v>0</v>
      </c>
      <c r="AR56">
        <v>0</v>
      </c>
      <c r="AS56">
        <v>0</v>
      </c>
      <c r="AT56">
        <v>0</v>
      </c>
      <c r="AU56">
        <v>0</v>
      </c>
    </row>
    <row r="57" spans="1:47" x14ac:dyDescent="0.25">
      <c r="A57">
        <v>6</v>
      </c>
      <c r="B57">
        <v>0</v>
      </c>
      <c r="C57">
        <v>0</v>
      </c>
      <c r="D57">
        <v>0</v>
      </c>
      <c r="E57">
        <v>0</v>
      </c>
      <c r="F57">
        <v>0</v>
      </c>
      <c r="G57">
        <v>0</v>
      </c>
      <c r="H57">
        <v>0</v>
      </c>
      <c r="I57">
        <v>0</v>
      </c>
      <c r="J57">
        <v>0</v>
      </c>
      <c r="K57">
        <v>0</v>
      </c>
      <c r="L57">
        <v>0</v>
      </c>
      <c r="M57">
        <v>0</v>
      </c>
      <c r="N57">
        <v>0</v>
      </c>
      <c r="O57">
        <v>0</v>
      </c>
      <c r="Q57">
        <v>6</v>
      </c>
      <c r="R57">
        <v>0</v>
      </c>
      <c r="S57">
        <v>0</v>
      </c>
      <c r="T57">
        <v>0</v>
      </c>
      <c r="U57">
        <v>0</v>
      </c>
      <c r="V57">
        <v>3</v>
      </c>
      <c r="W57">
        <v>0</v>
      </c>
      <c r="X57">
        <v>0</v>
      </c>
      <c r="Y57">
        <v>0</v>
      </c>
      <c r="Z57">
        <v>0</v>
      </c>
      <c r="AA57">
        <v>0</v>
      </c>
      <c r="AB57">
        <v>0</v>
      </c>
      <c r="AC57">
        <v>0</v>
      </c>
      <c r="AD57">
        <v>0</v>
      </c>
      <c r="AE57">
        <v>0</v>
      </c>
      <c r="AG57" s="157">
        <v>6</v>
      </c>
      <c r="AH57">
        <v>0</v>
      </c>
      <c r="AI57">
        <v>0</v>
      </c>
      <c r="AJ57">
        <v>0</v>
      </c>
      <c r="AK57">
        <v>0</v>
      </c>
      <c r="AL57">
        <v>3</v>
      </c>
      <c r="AM57">
        <v>0</v>
      </c>
      <c r="AN57">
        <v>0</v>
      </c>
      <c r="AO57">
        <v>0</v>
      </c>
      <c r="AP57">
        <v>0</v>
      </c>
      <c r="AQ57">
        <v>0</v>
      </c>
      <c r="AR57">
        <v>0</v>
      </c>
      <c r="AS57">
        <v>0</v>
      </c>
      <c r="AT57">
        <v>0</v>
      </c>
      <c r="AU57">
        <v>0</v>
      </c>
    </row>
    <row r="58" spans="1:47" x14ac:dyDescent="0.25">
      <c r="A58">
        <v>7</v>
      </c>
      <c r="B58">
        <v>27126.900659999999</v>
      </c>
      <c r="C58">
        <v>133.57684</v>
      </c>
      <c r="D58">
        <v>12307.21206</v>
      </c>
      <c r="E58">
        <v>0</v>
      </c>
      <c r="F58">
        <v>1333.19514</v>
      </c>
      <c r="G58">
        <v>185.12353999999999</v>
      </c>
      <c r="H58">
        <v>5410.2527200000004</v>
      </c>
      <c r="I58">
        <v>12739.16987</v>
      </c>
      <c r="J58">
        <v>68940.669859999995</v>
      </c>
      <c r="K58">
        <v>32356.30401</v>
      </c>
      <c r="L58">
        <v>15111.73875</v>
      </c>
      <c r="M58">
        <v>48539.805990000001</v>
      </c>
      <c r="N58">
        <v>1682.05898</v>
      </c>
      <c r="O58">
        <v>0</v>
      </c>
      <c r="Q58">
        <v>7</v>
      </c>
      <c r="R58">
        <v>0</v>
      </c>
      <c r="S58">
        <v>0</v>
      </c>
      <c r="T58">
        <v>1382</v>
      </c>
      <c r="U58">
        <v>5</v>
      </c>
      <c r="V58">
        <v>193</v>
      </c>
      <c r="W58">
        <v>1</v>
      </c>
      <c r="X58">
        <v>52686</v>
      </c>
      <c r="Y58">
        <v>0</v>
      </c>
      <c r="Z58">
        <v>0</v>
      </c>
      <c r="AA58">
        <v>322</v>
      </c>
      <c r="AB58">
        <v>0</v>
      </c>
      <c r="AC58">
        <v>0</v>
      </c>
      <c r="AD58">
        <v>117</v>
      </c>
      <c r="AE58">
        <v>0</v>
      </c>
      <c r="AG58" s="157">
        <v>7</v>
      </c>
      <c r="AH58">
        <v>0</v>
      </c>
      <c r="AI58">
        <v>0</v>
      </c>
      <c r="AJ58">
        <v>1382</v>
      </c>
      <c r="AK58">
        <v>5</v>
      </c>
      <c r="AL58">
        <v>193</v>
      </c>
      <c r="AM58">
        <v>1</v>
      </c>
      <c r="AN58">
        <v>52686</v>
      </c>
      <c r="AO58">
        <v>0</v>
      </c>
      <c r="AP58">
        <v>0</v>
      </c>
      <c r="AQ58">
        <v>322</v>
      </c>
      <c r="AR58">
        <v>0</v>
      </c>
      <c r="AS58">
        <v>0</v>
      </c>
      <c r="AT58">
        <v>117</v>
      </c>
      <c r="AU58">
        <v>0</v>
      </c>
    </row>
    <row r="59" spans="1:47" x14ac:dyDescent="0.25">
      <c r="A59">
        <v>8</v>
      </c>
      <c r="B59">
        <v>223.79478</v>
      </c>
      <c r="C59">
        <v>0</v>
      </c>
      <c r="D59">
        <v>0</v>
      </c>
      <c r="E59">
        <v>0</v>
      </c>
      <c r="F59">
        <v>0</v>
      </c>
      <c r="G59">
        <v>0</v>
      </c>
      <c r="H59">
        <v>0</v>
      </c>
      <c r="I59">
        <v>411.1687</v>
      </c>
      <c r="J59">
        <v>503.83353</v>
      </c>
      <c r="K59">
        <v>0</v>
      </c>
      <c r="L59">
        <v>0</v>
      </c>
      <c r="M59">
        <v>0</v>
      </c>
      <c r="N59">
        <v>0</v>
      </c>
      <c r="O59">
        <v>0</v>
      </c>
      <c r="Q59">
        <v>8</v>
      </c>
      <c r="R59">
        <v>0</v>
      </c>
      <c r="S59">
        <v>0</v>
      </c>
      <c r="T59">
        <v>0</v>
      </c>
      <c r="U59">
        <v>0</v>
      </c>
      <c r="V59">
        <v>0</v>
      </c>
      <c r="W59">
        <v>0</v>
      </c>
      <c r="X59">
        <v>0</v>
      </c>
      <c r="Y59">
        <v>497</v>
      </c>
      <c r="Z59">
        <v>0</v>
      </c>
      <c r="AA59">
        <v>0</v>
      </c>
      <c r="AB59">
        <v>0</v>
      </c>
      <c r="AC59">
        <v>0</v>
      </c>
      <c r="AD59">
        <v>0</v>
      </c>
      <c r="AE59">
        <v>0</v>
      </c>
      <c r="AG59" s="157">
        <v>8</v>
      </c>
      <c r="AH59">
        <v>0</v>
      </c>
      <c r="AI59">
        <v>0</v>
      </c>
      <c r="AJ59">
        <v>0</v>
      </c>
      <c r="AK59">
        <v>0</v>
      </c>
      <c r="AL59">
        <v>0</v>
      </c>
      <c r="AM59">
        <v>0</v>
      </c>
      <c r="AN59">
        <v>0</v>
      </c>
      <c r="AO59">
        <v>497</v>
      </c>
      <c r="AP59">
        <v>0</v>
      </c>
      <c r="AQ59">
        <v>0</v>
      </c>
      <c r="AR59">
        <v>0</v>
      </c>
      <c r="AS59">
        <v>0</v>
      </c>
      <c r="AT59">
        <v>0</v>
      </c>
      <c r="AU59">
        <v>0</v>
      </c>
    </row>
    <row r="60" spans="1:47" x14ac:dyDescent="0.25">
      <c r="A60">
        <v>9</v>
      </c>
      <c r="B60">
        <v>729.82776000000001</v>
      </c>
      <c r="C60">
        <v>0</v>
      </c>
      <c r="D60">
        <v>224.09737000000001</v>
      </c>
      <c r="E60">
        <v>0</v>
      </c>
      <c r="F60">
        <v>0</v>
      </c>
      <c r="G60">
        <v>0</v>
      </c>
      <c r="H60">
        <v>379.74561999999997</v>
      </c>
      <c r="I60">
        <v>257.36313999999999</v>
      </c>
      <c r="J60">
        <v>1039.5472400000001</v>
      </c>
      <c r="K60">
        <v>252.90235999999999</v>
      </c>
      <c r="L60">
        <v>30.008050000000001</v>
      </c>
      <c r="M60">
        <v>913.27135999999996</v>
      </c>
      <c r="N60">
        <v>0</v>
      </c>
      <c r="O60">
        <v>0</v>
      </c>
      <c r="Q60">
        <v>9</v>
      </c>
      <c r="R60">
        <v>0</v>
      </c>
      <c r="S60">
        <v>0</v>
      </c>
      <c r="T60">
        <v>0</v>
      </c>
      <c r="U60">
        <v>0</v>
      </c>
      <c r="V60">
        <v>0</v>
      </c>
      <c r="W60">
        <v>0</v>
      </c>
      <c r="X60">
        <v>0</v>
      </c>
      <c r="Y60">
        <v>0</v>
      </c>
      <c r="Z60">
        <v>0</v>
      </c>
      <c r="AA60">
        <v>0</v>
      </c>
      <c r="AB60">
        <v>0</v>
      </c>
      <c r="AC60">
        <v>0</v>
      </c>
      <c r="AD60">
        <v>0</v>
      </c>
      <c r="AE60">
        <v>0</v>
      </c>
      <c r="AG60" s="157">
        <v>9</v>
      </c>
      <c r="AH60">
        <v>0</v>
      </c>
      <c r="AI60">
        <v>0</v>
      </c>
      <c r="AJ60">
        <v>0</v>
      </c>
      <c r="AK60">
        <v>0</v>
      </c>
      <c r="AL60">
        <v>0</v>
      </c>
      <c r="AM60">
        <v>0</v>
      </c>
      <c r="AN60">
        <v>0</v>
      </c>
      <c r="AO60">
        <v>0</v>
      </c>
      <c r="AP60">
        <v>0</v>
      </c>
      <c r="AQ60">
        <v>0</v>
      </c>
      <c r="AR60">
        <v>0</v>
      </c>
      <c r="AS60">
        <v>0</v>
      </c>
      <c r="AT60">
        <v>0</v>
      </c>
      <c r="AU60">
        <v>0</v>
      </c>
    </row>
    <row r="61" spans="1:47" x14ac:dyDescent="0.25">
      <c r="A61">
        <v>10</v>
      </c>
      <c r="B61">
        <v>0</v>
      </c>
      <c r="C61">
        <v>0</v>
      </c>
      <c r="D61">
        <v>0</v>
      </c>
      <c r="E61">
        <v>0</v>
      </c>
      <c r="F61">
        <v>0</v>
      </c>
      <c r="G61">
        <v>0</v>
      </c>
      <c r="H61">
        <v>0</v>
      </c>
      <c r="I61">
        <v>0</v>
      </c>
      <c r="J61">
        <v>0</v>
      </c>
      <c r="K61">
        <v>0</v>
      </c>
      <c r="L61">
        <v>0</v>
      </c>
      <c r="M61">
        <v>369.28928000000002</v>
      </c>
      <c r="N61">
        <v>0</v>
      </c>
      <c r="O61">
        <v>0</v>
      </c>
      <c r="Q61">
        <v>10</v>
      </c>
      <c r="R61">
        <v>0</v>
      </c>
      <c r="S61">
        <v>0</v>
      </c>
      <c r="T61">
        <v>0</v>
      </c>
      <c r="U61">
        <v>0</v>
      </c>
      <c r="V61">
        <v>0</v>
      </c>
      <c r="W61">
        <v>0</v>
      </c>
      <c r="X61">
        <v>0</v>
      </c>
      <c r="Y61">
        <v>0</v>
      </c>
      <c r="Z61">
        <v>0</v>
      </c>
      <c r="AA61">
        <v>6</v>
      </c>
      <c r="AB61">
        <v>0</v>
      </c>
      <c r="AC61">
        <v>0</v>
      </c>
      <c r="AD61">
        <v>0</v>
      </c>
      <c r="AE61">
        <v>0</v>
      </c>
      <c r="AG61" s="157">
        <v>10</v>
      </c>
      <c r="AH61">
        <v>0</v>
      </c>
      <c r="AI61">
        <v>0</v>
      </c>
      <c r="AJ61">
        <v>0</v>
      </c>
      <c r="AK61">
        <v>0</v>
      </c>
      <c r="AL61">
        <v>0</v>
      </c>
      <c r="AM61">
        <v>0</v>
      </c>
      <c r="AN61">
        <v>0</v>
      </c>
      <c r="AO61">
        <v>0</v>
      </c>
      <c r="AP61">
        <v>0</v>
      </c>
      <c r="AQ61">
        <v>6</v>
      </c>
      <c r="AR61">
        <v>0</v>
      </c>
      <c r="AS61">
        <v>0</v>
      </c>
      <c r="AT61">
        <v>0</v>
      </c>
      <c r="AU61">
        <v>0</v>
      </c>
    </row>
    <row r="62" spans="1:47" x14ac:dyDescent="0.25">
      <c r="A62">
        <v>11</v>
      </c>
      <c r="B62">
        <v>0</v>
      </c>
      <c r="C62">
        <v>0</v>
      </c>
      <c r="D62">
        <v>0</v>
      </c>
      <c r="E62">
        <v>0</v>
      </c>
      <c r="F62">
        <v>0</v>
      </c>
      <c r="G62">
        <v>0</v>
      </c>
      <c r="H62">
        <v>0</v>
      </c>
      <c r="I62">
        <v>0</v>
      </c>
      <c r="J62">
        <v>0</v>
      </c>
      <c r="K62">
        <v>0</v>
      </c>
      <c r="L62">
        <v>0</v>
      </c>
      <c r="M62">
        <v>0</v>
      </c>
      <c r="N62">
        <v>0</v>
      </c>
      <c r="O62">
        <v>0</v>
      </c>
      <c r="Q62">
        <v>11</v>
      </c>
      <c r="R62">
        <v>0</v>
      </c>
      <c r="S62">
        <v>0</v>
      </c>
      <c r="T62">
        <v>0</v>
      </c>
      <c r="U62">
        <v>0</v>
      </c>
      <c r="V62">
        <v>0</v>
      </c>
      <c r="W62">
        <v>0</v>
      </c>
      <c r="X62">
        <v>0</v>
      </c>
      <c r="Y62">
        <v>0</v>
      </c>
      <c r="Z62">
        <v>0</v>
      </c>
      <c r="AA62">
        <v>0</v>
      </c>
      <c r="AB62">
        <v>0</v>
      </c>
      <c r="AC62">
        <v>0</v>
      </c>
      <c r="AD62">
        <v>0</v>
      </c>
      <c r="AE62">
        <v>0</v>
      </c>
      <c r="AG62" s="157">
        <v>11</v>
      </c>
      <c r="AH62">
        <v>0</v>
      </c>
      <c r="AI62">
        <v>0</v>
      </c>
      <c r="AJ62">
        <v>0</v>
      </c>
      <c r="AK62">
        <v>0</v>
      </c>
      <c r="AL62">
        <v>0</v>
      </c>
      <c r="AM62">
        <v>0</v>
      </c>
      <c r="AN62">
        <v>0</v>
      </c>
      <c r="AO62">
        <v>0</v>
      </c>
      <c r="AP62">
        <v>0</v>
      </c>
      <c r="AQ62">
        <v>0</v>
      </c>
      <c r="AR62">
        <v>0</v>
      </c>
      <c r="AS62">
        <v>0</v>
      </c>
      <c r="AT62">
        <v>0</v>
      </c>
      <c r="AU62">
        <v>0</v>
      </c>
    </row>
    <row r="63" spans="1:47" x14ac:dyDescent="0.25">
      <c r="A63">
        <v>12</v>
      </c>
      <c r="B63">
        <v>0</v>
      </c>
      <c r="C63">
        <v>0</v>
      </c>
      <c r="D63">
        <v>0</v>
      </c>
      <c r="E63">
        <v>0</v>
      </c>
      <c r="F63">
        <v>0</v>
      </c>
      <c r="G63">
        <v>0</v>
      </c>
      <c r="H63">
        <v>0</v>
      </c>
      <c r="I63">
        <v>0</v>
      </c>
      <c r="J63">
        <v>0</v>
      </c>
      <c r="K63">
        <v>0</v>
      </c>
      <c r="L63">
        <v>0</v>
      </c>
      <c r="M63">
        <v>0</v>
      </c>
      <c r="N63">
        <v>0</v>
      </c>
      <c r="O63">
        <v>0</v>
      </c>
      <c r="Q63">
        <v>12</v>
      </c>
      <c r="R63">
        <v>0</v>
      </c>
      <c r="S63">
        <v>0</v>
      </c>
      <c r="T63">
        <v>0</v>
      </c>
      <c r="U63">
        <v>0</v>
      </c>
      <c r="V63">
        <v>0</v>
      </c>
      <c r="W63">
        <v>0</v>
      </c>
      <c r="X63">
        <v>0</v>
      </c>
      <c r="Y63">
        <v>0</v>
      </c>
      <c r="Z63">
        <v>0</v>
      </c>
      <c r="AA63">
        <v>0</v>
      </c>
      <c r="AB63">
        <v>0</v>
      </c>
      <c r="AC63">
        <v>0</v>
      </c>
      <c r="AD63">
        <v>0</v>
      </c>
      <c r="AE63">
        <v>0</v>
      </c>
      <c r="AG63" s="157">
        <v>12</v>
      </c>
      <c r="AH63">
        <v>0</v>
      </c>
      <c r="AI63">
        <v>0</v>
      </c>
      <c r="AJ63">
        <v>0</v>
      </c>
      <c r="AK63">
        <v>0</v>
      </c>
      <c r="AL63">
        <v>0</v>
      </c>
      <c r="AM63">
        <v>0</v>
      </c>
      <c r="AN63">
        <v>0</v>
      </c>
      <c r="AO63">
        <v>0</v>
      </c>
      <c r="AP63">
        <v>0</v>
      </c>
      <c r="AQ63">
        <v>0</v>
      </c>
      <c r="AR63">
        <v>0</v>
      </c>
      <c r="AS63">
        <v>0</v>
      </c>
      <c r="AT63">
        <v>0</v>
      </c>
      <c r="AU63">
        <v>0</v>
      </c>
    </row>
    <row r="64" spans="1:47" x14ac:dyDescent="0.25">
      <c r="A64">
        <v>13</v>
      </c>
      <c r="B64">
        <v>2524.7735600000001</v>
      </c>
      <c r="C64">
        <v>87.105360000000005</v>
      </c>
      <c r="D64">
        <v>524.46555999999998</v>
      </c>
      <c r="E64">
        <v>0</v>
      </c>
      <c r="F64">
        <v>0</v>
      </c>
      <c r="G64">
        <v>92.561769999999996</v>
      </c>
      <c r="H64">
        <v>0</v>
      </c>
      <c r="I64">
        <v>0</v>
      </c>
      <c r="J64">
        <v>1409.07907</v>
      </c>
      <c r="K64">
        <v>2339.7333100000001</v>
      </c>
      <c r="L64">
        <v>311.96030999999999</v>
      </c>
      <c r="M64">
        <v>1011.27453</v>
      </c>
      <c r="N64">
        <v>0</v>
      </c>
      <c r="O64">
        <v>0</v>
      </c>
      <c r="Q64">
        <v>13</v>
      </c>
      <c r="R64">
        <v>0</v>
      </c>
      <c r="S64">
        <v>0</v>
      </c>
      <c r="T64">
        <v>0</v>
      </c>
      <c r="U64">
        <v>0</v>
      </c>
      <c r="V64">
        <v>0</v>
      </c>
      <c r="W64">
        <v>0</v>
      </c>
      <c r="X64">
        <v>0</v>
      </c>
      <c r="Y64">
        <v>0</v>
      </c>
      <c r="Z64">
        <v>0</v>
      </c>
      <c r="AA64">
        <v>82</v>
      </c>
      <c r="AB64">
        <v>0</v>
      </c>
      <c r="AC64">
        <v>0</v>
      </c>
      <c r="AD64">
        <v>156</v>
      </c>
      <c r="AE64">
        <v>0</v>
      </c>
      <c r="AG64" s="157">
        <v>13</v>
      </c>
      <c r="AH64">
        <v>0</v>
      </c>
      <c r="AI64">
        <v>0</v>
      </c>
      <c r="AJ64">
        <v>0</v>
      </c>
      <c r="AK64">
        <v>0</v>
      </c>
      <c r="AL64">
        <v>0</v>
      </c>
      <c r="AM64">
        <v>0</v>
      </c>
      <c r="AN64">
        <v>0</v>
      </c>
      <c r="AO64">
        <v>0</v>
      </c>
      <c r="AP64">
        <v>0</v>
      </c>
      <c r="AQ64">
        <v>82</v>
      </c>
      <c r="AR64">
        <v>0</v>
      </c>
      <c r="AS64">
        <v>0</v>
      </c>
      <c r="AT64">
        <v>156</v>
      </c>
      <c r="AU64">
        <v>0</v>
      </c>
    </row>
    <row r="65" spans="1:47" x14ac:dyDescent="0.25">
      <c r="A65">
        <v>14</v>
      </c>
      <c r="B65">
        <v>0</v>
      </c>
      <c r="C65">
        <v>0</v>
      </c>
      <c r="D65">
        <v>0</v>
      </c>
      <c r="E65">
        <v>0</v>
      </c>
      <c r="F65">
        <v>0</v>
      </c>
      <c r="G65">
        <v>0</v>
      </c>
      <c r="H65">
        <v>0</v>
      </c>
      <c r="I65">
        <v>0</v>
      </c>
      <c r="J65">
        <v>0</v>
      </c>
      <c r="K65">
        <v>0</v>
      </c>
      <c r="L65">
        <v>0</v>
      </c>
      <c r="M65">
        <v>0</v>
      </c>
      <c r="N65">
        <v>0</v>
      </c>
      <c r="O65">
        <v>0</v>
      </c>
      <c r="Q65">
        <v>14</v>
      </c>
      <c r="R65">
        <v>0</v>
      </c>
      <c r="S65">
        <v>0</v>
      </c>
      <c r="T65">
        <v>0</v>
      </c>
      <c r="U65">
        <v>0</v>
      </c>
      <c r="V65">
        <v>0</v>
      </c>
      <c r="W65">
        <v>0</v>
      </c>
      <c r="X65">
        <v>0</v>
      </c>
      <c r="Y65">
        <v>0</v>
      </c>
      <c r="Z65">
        <v>0</v>
      </c>
      <c r="AA65">
        <v>0</v>
      </c>
      <c r="AB65">
        <v>0</v>
      </c>
      <c r="AC65">
        <v>0</v>
      </c>
      <c r="AD65">
        <v>0</v>
      </c>
      <c r="AE65">
        <v>0</v>
      </c>
      <c r="AG65" s="157">
        <v>14</v>
      </c>
      <c r="AH65">
        <v>0</v>
      </c>
      <c r="AI65">
        <v>0</v>
      </c>
      <c r="AJ65">
        <v>0</v>
      </c>
      <c r="AK65">
        <v>0</v>
      </c>
      <c r="AL65">
        <v>0</v>
      </c>
      <c r="AM65">
        <v>0</v>
      </c>
      <c r="AN65">
        <v>0</v>
      </c>
      <c r="AO65">
        <v>0</v>
      </c>
      <c r="AP65">
        <v>0</v>
      </c>
      <c r="AQ65">
        <v>0</v>
      </c>
      <c r="AR65">
        <v>0</v>
      </c>
      <c r="AS65">
        <v>0</v>
      </c>
      <c r="AT65">
        <v>0</v>
      </c>
      <c r="AU65">
        <v>0</v>
      </c>
    </row>
    <row r="66" spans="1:47" x14ac:dyDescent="0.25">
      <c r="A66" t="s">
        <v>194</v>
      </c>
      <c r="Q66" t="s">
        <v>194</v>
      </c>
    </row>
    <row r="67" spans="1:47" x14ac:dyDescent="0.25">
      <c r="B67" t="s">
        <v>208</v>
      </c>
      <c r="C67" t="s">
        <v>209</v>
      </c>
      <c r="D67" t="s">
        <v>210</v>
      </c>
      <c r="E67" t="s">
        <v>211</v>
      </c>
      <c r="F67" t="s">
        <v>212</v>
      </c>
      <c r="G67" t="s">
        <v>213</v>
      </c>
      <c r="H67" t="s">
        <v>214</v>
      </c>
      <c r="I67" t="s">
        <v>215</v>
      </c>
      <c r="J67" t="s">
        <v>216</v>
      </c>
      <c r="K67" t="s">
        <v>400</v>
      </c>
      <c r="L67" t="s">
        <v>401</v>
      </c>
      <c r="M67" t="s">
        <v>402</v>
      </c>
      <c r="N67" t="s">
        <v>403</v>
      </c>
      <c r="O67" t="s">
        <v>404</v>
      </c>
      <c r="R67" t="s">
        <v>208</v>
      </c>
      <c r="S67" t="s">
        <v>209</v>
      </c>
      <c r="T67" t="s">
        <v>210</v>
      </c>
      <c r="U67" t="s">
        <v>211</v>
      </c>
      <c r="V67" t="s">
        <v>212</v>
      </c>
      <c r="W67" t="s">
        <v>213</v>
      </c>
      <c r="X67" t="s">
        <v>214</v>
      </c>
      <c r="Y67" t="s">
        <v>215</v>
      </c>
      <c r="Z67" t="s">
        <v>216</v>
      </c>
      <c r="AA67" t="s">
        <v>400</v>
      </c>
      <c r="AB67" t="s">
        <v>401</v>
      </c>
      <c r="AC67" t="s">
        <v>402</v>
      </c>
      <c r="AD67" t="s">
        <v>403</v>
      </c>
      <c r="AE67" t="s">
        <v>404</v>
      </c>
      <c r="AG67" s="157"/>
      <c r="AH67" t="s">
        <v>674</v>
      </c>
      <c r="AI67" t="s">
        <v>675</v>
      </c>
      <c r="AJ67" t="s">
        <v>676</v>
      </c>
      <c r="AK67" t="s">
        <v>677</v>
      </c>
      <c r="AL67" t="s">
        <v>678</v>
      </c>
      <c r="AM67" t="s">
        <v>679</v>
      </c>
      <c r="AN67" t="s">
        <v>680</v>
      </c>
      <c r="AO67" t="s">
        <v>681</v>
      </c>
      <c r="AP67" t="s">
        <v>682</v>
      </c>
      <c r="AQ67" t="s">
        <v>683</v>
      </c>
      <c r="AR67" t="s">
        <v>684</v>
      </c>
      <c r="AS67" t="s">
        <v>685</v>
      </c>
      <c r="AT67" t="s">
        <v>686</v>
      </c>
      <c r="AU67" t="s">
        <v>687</v>
      </c>
    </row>
    <row r="68" spans="1:47" x14ac:dyDescent="0.25">
      <c r="A68">
        <v>1</v>
      </c>
      <c r="B68">
        <v>90368.509300000005</v>
      </c>
      <c r="C68">
        <v>618.09925999999996</v>
      </c>
      <c r="D68">
        <v>7472.5432600000004</v>
      </c>
      <c r="E68">
        <v>0</v>
      </c>
      <c r="F68">
        <v>6103.5802700000004</v>
      </c>
      <c r="G68">
        <v>0</v>
      </c>
      <c r="H68">
        <v>0</v>
      </c>
      <c r="I68">
        <v>0</v>
      </c>
      <c r="J68">
        <v>0</v>
      </c>
      <c r="K68">
        <v>0</v>
      </c>
      <c r="L68">
        <v>0</v>
      </c>
      <c r="M68">
        <v>3452.89039</v>
      </c>
      <c r="N68">
        <v>0</v>
      </c>
      <c r="O68">
        <v>0</v>
      </c>
      <c r="Q68">
        <v>1</v>
      </c>
      <c r="R68">
        <v>22078</v>
      </c>
      <c r="S68">
        <v>337</v>
      </c>
      <c r="T68">
        <v>1248</v>
      </c>
      <c r="U68">
        <v>30</v>
      </c>
      <c r="V68">
        <v>366</v>
      </c>
      <c r="W68">
        <v>8</v>
      </c>
      <c r="X68">
        <v>0</v>
      </c>
      <c r="Y68">
        <v>0</v>
      </c>
      <c r="Z68">
        <v>0</v>
      </c>
      <c r="AA68">
        <v>0</v>
      </c>
      <c r="AB68">
        <v>0</v>
      </c>
      <c r="AC68">
        <v>0</v>
      </c>
      <c r="AD68">
        <v>0</v>
      </c>
      <c r="AE68">
        <v>0</v>
      </c>
      <c r="AG68" s="157">
        <v>1</v>
      </c>
      <c r="AH68">
        <v>22078</v>
      </c>
      <c r="AI68">
        <v>337</v>
      </c>
      <c r="AJ68">
        <v>1248</v>
      </c>
      <c r="AK68">
        <v>30</v>
      </c>
      <c r="AL68">
        <v>366</v>
      </c>
      <c r="AM68">
        <v>8</v>
      </c>
      <c r="AN68">
        <v>0</v>
      </c>
      <c r="AO68">
        <v>0</v>
      </c>
      <c r="AP68">
        <v>0</v>
      </c>
      <c r="AQ68">
        <v>0</v>
      </c>
      <c r="AR68">
        <v>0</v>
      </c>
      <c r="AS68">
        <v>0</v>
      </c>
      <c r="AT68">
        <v>0</v>
      </c>
      <c r="AU68">
        <v>0</v>
      </c>
    </row>
    <row r="69" spans="1:47" x14ac:dyDescent="0.25">
      <c r="A69">
        <v>2</v>
      </c>
      <c r="B69">
        <v>0</v>
      </c>
      <c r="C69">
        <v>2213.9782500000001</v>
      </c>
      <c r="D69">
        <v>0</v>
      </c>
      <c r="E69">
        <v>0</v>
      </c>
      <c r="F69">
        <v>0</v>
      </c>
      <c r="G69">
        <v>0</v>
      </c>
      <c r="H69">
        <v>0</v>
      </c>
      <c r="I69">
        <v>0</v>
      </c>
      <c r="J69">
        <v>0</v>
      </c>
      <c r="K69">
        <v>0</v>
      </c>
      <c r="L69">
        <v>0</v>
      </c>
      <c r="M69">
        <v>0</v>
      </c>
      <c r="N69">
        <v>0</v>
      </c>
      <c r="O69">
        <v>0</v>
      </c>
      <c r="Q69">
        <v>2</v>
      </c>
      <c r="R69">
        <v>55</v>
      </c>
      <c r="S69">
        <v>66</v>
      </c>
      <c r="T69">
        <v>6</v>
      </c>
      <c r="U69">
        <v>10</v>
      </c>
      <c r="V69">
        <v>1</v>
      </c>
      <c r="W69">
        <v>4</v>
      </c>
      <c r="X69">
        <v>0</v>
      </c>
      <c r="Y69">
        <v>0</v>
      </c>
      <c r="Z69">
        <v>0</v>
      </c>
      <c r="AA69">
        <v>0</v>
      </c>
      <c r="AB69">
        <v>0</v>
      </c>
      <c r="AC69">
        <v>0</v>
      </c>
      <c r="AD69">
        <v>0</v>
      </c>
      <c r="AE69">
        <v>0</v>
      </c>
      <c r="AG69" s="157">
        <v>2</v>
      </c>
      <c r="AH69">
        <v>55</v>
      </c>
      <c r="AI69">
        <v>66</v>
      </c>
      <c r="AJ69">
        <v>6</v>
      </c>
      <c r="AK69">
        <v>10</v>
      </c>
      <c r="AL69">
        <v>1</v>
      </c>
      <c r="AM69">
        <v>4</v>
      </c>
      <c r="AN69">
        <v>0</v>
      </c>
      <c r="AO69">
        <v>0</v>
      </c>
      <c r="AP69">
        <v>0</v>
      </c>
      <c r="AQ69">
        <v>0</v>
      </c>
      <c r="AR69">
        <v>0</v>
      </c>
      <c r="AS69">
        <v>0</v>
      </c>
      <c r="AT69">
        <v>0</v>
      </c>
      <c r="AU69">
        <v>0</v>
      </c>
    </row>
    <row r="70" spans="1:47" x14ac:dyDescent="0.25">
      <c r="A70">
        <v>3</v>
      </c>
      <c r="B70">
        <v>0</v>
      </c>
      <c r="C70">
        <v>0</v>
      </c>
      <c r="D70">
        <v>37996.044739999998</v>
      </c>
      <c r="E70">
        <v>0</v>
      </c>
      <c r="F70">
        <v>12062.037189999999</v>
      </c>
      <c r="G70">
        <v>0</v>
      </c>
      <c r="H70">
        <v>0</v>
      </c>
      <c r="I70">
        <v>0</v>
      </c>
      <c r="J70">
        <v>590.31191999999999</v>
      </c>
      <c r="K70">
        <v>327.06900000000002</v>
      </c>
      <c r="L70">
        <v>352.12675999999999</v>
      </c>
      <c r="M70">
        <v>2241.22955</v>
      </c>
      <c r="N70">
        <v>43.532029999999999</v>
      </c>
      <c r="O70">
        <v>84.101759999999999</v>
      </c>
      <c r="Q70">
        <v>3</v>
      </c>
      <c r="R70">
        <v>0</v>
      </c>
      <c r="S70">
        <v>0</v>
      </c>
      <c r="T70">
        <v>3566</v>
      </c>
      <c r="U70">
        <v>91</v>
      </c>
      <c r="V70">
        <v>518</v>
      </c>
      <c r="W70">
        <v>17</v>
      </c>
      <c r="X70">
        <v>0</v>
      </c>
      <c r="Y70">
        <v>0</v>
      </c>
      <c r="Z70">
        <v>0</v>
      </c>
      <c r="AA70">
        <v>278</v>
      </c>
      <c r="AB70">
        <v>0</v>
      </c>
      <c r="AC70">
        <v>0</v>
      </c>
      <c r="AD70">
        <v>15</v>
      </c>
      <c r="AE70">
        <v>0</v>
      </c>
      <c r="AG70" s="157">
        <v>3</v>
      </c>
      <c r="AH70">
        <v>0</v>
      </c>
      <c r="AI70">
        <v>0</v>
      </c>
      <c r="AJ70">
        <v>3566</v>
      </c>
      <c r="AK70">
        <v>91</v>
      </c>
      <c r="AL70">
        <v>518</v>
      </c>
      <c r="AM70">
        <v>17</v>
      </c>
      <c r="AN70">
        <v>0</v>
      </c>
      <c r="AO70">
        <v>0</v>
      </c>
      <c r="AP70">
        <v>0</v>
      </c>
      <c r="AQ70">
        <v>278</v>
      </c>
      <c r="AR70">
        <v>0</v>
      </c>
      <c r="AS70">
        <v>0</v>
      </c>
      <c r="AT70">
        <v>15</v>
      </c>
      <c r="AU70">
        <v>0</v>
      </c>
    </row>
    <row r="71" spans="1:47" x14ac:dyDescent="0.25">
      <c r="A71">
        <v>4</v>
      </c>
      <c r="B71">
        <v>0</v>
      </c>
      <c r="C71">
        <v>0</v>
      </c>
      <c r="D71">
        <v>0</v>
      </c>
      <c r="E71">
        <v>0</v>
      </c>
      <c r="F71">
        <v>0</v>
      </c>
      <c r="G71">
        <v>0</v>
      </c>
      <c r="H71">
        <v>0</v>
      </c>
      <c r="I71">
        <v>0</v>
      </c>
      <c r="J71">
        <v>0</v>
      </c>
      <c r="K71">
        <v>0</v>
      </c>
      <c r="L71">
        <v>0</v>
      </c>
      <c r="M71">
        <v>0</v>
      </c>
      <c r="N71">
        <v>0</v>
      </c>
      <c r="O71">
        <v>0</v>
      </c>
      <c r="Q71">
        <v>4</v>
      </c>
      <c r="R71">
        <v>0</v>
      </c>
      <c r="S71">
        <v>0</v>
      </c>
      <c r="T71">
        <v>10</v>
      </c>
      <c r="U71">
        <v>15</v>
      </c>
      <c r="V71">
        <v>2</v>
      </c>
      <c r="W71">
        <v>7</v>
      </c>
      <c r="X71">
        <v>0</v>
      </c>
      <c r="Y71">
        <v>0</v>
      </c>
      <c r="Z71">
        <v>0</v>
      </c>
      <c r="AA71">
        <v>1</v>
      </c>
      <c r="AB71">
        <v>0</v>
      </c>
      <c r="AC71">
        <v>0</v>
      </c>
      <c r="AD71">
        <v>4</v>
      </c>
      <c r="AE71">
        <v>0</v>
      </c>
      <c r="AG71" s="157">
        <v>4</v>
      </c>
      <c r="AH71">
        <v>0</v>
      </c>
      <c r="AI71">
        <v>0</v>
      </c>
      <c r="AJ71">
        <v>10</v>
      </c>
      <c r="AK71">
        <v>15</v>
      </c>
      <c r="AL71">
        <v>2</v>
      </c>
      <c r="AM71">
        <v>7</v>
      </c>
      <c r="AN71">
        <v>0</v>
      </c>
      <c r="AO71">
        <v>0</v>
      </c>
      <c r="AP71">
        <v>0</v>
      </c>
      <c r="AQ71">
        <v>1</v>
      </c>
      <c r="AR71">
        <v>0</v>
      </c>
      <c r="AS71">
        <v>0</v>
      </c>
      <c r="AT71">
        <v>4</v>
      </c>
      <c r="AU71">
        <v>0</v>
      </c>
    </row>
    <row r="72" spans="1:47" x14ac:dyDescent="0.25">
      <c r="A72">
        <v>5</v>
      </c>
      <c r="B72">
        <v>0</v>
      </c>
      <c r="C72">
        <v>0</v>
      </c>
      <c r="D72">
        <v>0</v>
      </c>
      <c r="E72">
        <v>0</v>
      </c>
      <c r="F72">
        <v>15154.12797</v>
      </c>
      <c r="G72">
        <v>0</v>
      </c>
      <c r="H72">
        <v>0</v>
      </c>
      <c r="I72">
        <v>0</v>
      </c>
      <c r="J72">
        <v>0</v>
      </c>
      <c r="K72">
        <v>0</v>
      </c>
      <c r="L72">
        <v>612.79145000000005</v>
      </c>
      <c r="M72">
        <v>2241.22955</v>
      </c>
      <c r="N72">
        <v>0</v>
      </c>
      <c r="O72">
        <v>0</v>
      </c>
      <c r="Q72">
        <v>5</v>
      </c>
      <c r="R72">
        <v>0</v>
      </c>
      <c r="S72">
        <v>0</v>
      </c>
      <c r="T72">
        <v>0</v>
      </c>
      <c r="U72">
        <v>0</v>
      </c>
      <c r="V72">
        <v>1605</v>
      </c>
      <c r="W72">
        <v>55</v>
      </c>
      <c r="X72">
        <v>0</v>
      </c>
      <c r="Y72">
        <v>0</v>
      </c>
      <c r="Z72">
        <v>0</v>
      </c>
      <c r="AA72">
        <v>89</v>
      </c>
      <c r="AB72">
        <v>0</v>
      </c>
      <c r="AC72">
        <v>0</v>
      </c>
      <c r="AD72">
        <v>3</v>
      </c>
      <c r="AE72">
        <v>0</v>
      </c>
      <c r="AG72" s="157">
        <v>5</v>
      </c>
      <c r="AH72">
        <v>0</v>
      </c>
      <c r="AI72">
        <v>0</v>
      </c>
      <c r="AJ72">
        <v>0</v>
      </c>
      <c r="AK72">
        <v>0</v>
      </c>
      <c r="AL72">
        <v>1605</v>
      </c>
      <c r="AM72">
        <v>55</v>
      </c>
      <c r="AN72">
        <v>0</v>
      </c>
      <c r="AO72">
        <v>0</v>
      </c>
      <c r="AP72">
        <v>0</v>
      </c>
      <c r="AQ72">
        <v>89</v>
      </c>
      <c r="AR72">
        <v>0</v>
      </c>
      <c r="AS72">
        <v>0</v>
      </c>
      <c r="AT72">
        <v>3</v>
      </c>
      <c r="AU72">
        <v>0</v>
      </c>
    </row>
    <row r="73" spans="1:47" x14ac:dyDescent="0.25">
      <c r="A73">
        <v>6</v>
      </c>
      <c r="B73">
        <v>0</v>
      </c>
      <c r="C73">
        <v>0</v>
      </c>
      <c r="D73">
        <v>0</v>
      </c>
      <c r="E73">
        <v>0</v>
      </c>
      <c r="F73">
        <v>0</v>
      </c>
      <c r="G73">
        <v>0</v>
      </c>
      <c r="H73">
        <v>0</v>
      </c>
      <c r="I73">
        <v>0</v>
      </c>
      <c r="J73">
        <v>354.02075000000002</v>
      </c>
      <c r="K73">
        <v>0</v>
      </c>
      <c r="L73">
        <v>0</v>
      </c>
      <c r="M73">
        <v>0</v>
      </c>
      <c r="N73">
        <v>0</v>
      </c>
      <c r="O73">
        <v>0</v>
      </c>
      <c r="Q73">
        <v>6</v>
      </c>
      <c r="R73">
        <v>0</v>
      </c>
      <c r="S73">
        <v>0</v>
      </c>
      <c r="T73">
        <v>0</v>
      </c>
      <c r="U73">
        <v>0</v>
      </c>
      <c r="V73">
        <v>7</v>
      </c>
      <c r="W73">
        <v>14</v>
      </c>
      <c r="X73">
        <v>0</v>
      </c>
      <c r="Y73">
        <v>0</v>
      </c>
      <c r="Z73">
        <v>0</v>
      </c>
      <c r="AA73">
        <v>0</v>
      </c>
      <c r="AB73">
        <v>0</v>
      </c>
      <c r="AC73">
        <v>0</v>
      </c>
      <c r="AD73">
        <v>0</v>
      </c>
      <c r="AE73">
        <v>0</v>
      </c>
      <c r="AG73" s="157">
        <v>6</v>
      </c>
      <c r="AH73">
        <v>0</v>
      </c>
      <c r="AI73">
        <v>0</v>
      </c>
      <c r="AJ73">
        <v>0</v>
      </c>
      <c r="AK73">
        <v>0</v>
      </c>
      <c r="AL73">
        <v>7</v>
      </c>
      <c r="AM73">
        <v>14</v>
      </c>
      <c r="AN73">
        <v>0</v>
      </c>
      <c r="AO73">
        <v>0</v>
      </c>
      <c r="AP73">
        <v>0</v>
      </c>
      <c r="AQ73">
        <v>0</v>
      </c>
      <c r="AR73">
        <v>0</v>
      </c>
      <c r="AS73">
        <v>0</v>
      </c>
      <c r="AT73">
        <v>0</v>
      </c>
      <c r="AU73">
        <v>0</v>
      </c>
    </row>
    <row r="74" spans="1:47" x14ac:dyDescent="0.25">
      <c r="A74">
        <v>7</v>
      </c>
      <c r="B74">
        <v>1936.49613</v>
      </c>
      <c r="C74">
        <v>0</v>
      </c>
      <c r="D74">
        <v>4451.9672300000002</v>
      </c>
      <c r="E74">
        <v>0</v>
      </c>
      <c r="F74">
        <v>432.00916999999998</v>
      </c>
      <c r="G74">
        <v>0</v>
      </c>
      <c r="H74">
        <v>72503.937699999995</v>
      </c>
      <c r="I74">
        <v>0</v>
      </c>
      <c r="J74">
        <v>13796.57438</v>
      </c>
      <c r="K74">
        <v>5492.2013500000003</v>
      </c>
      <c r="L74">
        <v>3762.3582200000001</v>
      </c>
      <c r="M74">
        <v>1647.6870799999999</v>
      </c>
      <c r="N74">
        <v>280.10082999999997</v>
      </c>
      <c r="O74">
        <v>84.101759999999999</v>
      </c>
      <c r="Q74">
        <v>7</v>
      </c>
      <c r="R74">
        <v>0</v>
      </c>
      <c r="S74">
        <v>0</v>
      </c>
      <c r="T74">
        <v>733</v>
      </c>
      <c r="U74">
        <v>18</v>
      </c>
      <c r="V74">
        <v>269</v>
      </c>
      <c r="W74">
        <v>7</v>
      </c>
      <c r="X74">
        <v>11295</v>
      </c>
      <c r="Y74">
        <v>0</v>
      </c>
      <c r="Z74">
        <v>0</v>
      </c>
      <c r="AA74">
        <v>4383</v>
      </c>
      <c r="AB74">
        <v>0</v>
      </c>
      <c r="AC74">
        <v>0</v>
      </c>
      <c r="AD74">
        <v>220</v>
      </c>
      <c r="AE74">
        <v>0</v>
      </c>
      <c r="AG74" s="157">
        <v>7</v>
      </c>
      <c r="AH74">
        <v>0</v>
      </c>
      <c r="AI74">
        <v>0</v>
      </c>
      <c r="AJ74">
        <v>733</v>
      </c>
      <c r="AK74">
        <v>18</v>
      </c>
      <c r="AL74">
        <v>269</v>
      </c>
      <c r="AM74">
        <v>7</v>
      </c>
      <c r="AN74">
        <v>11295</v>
      </c>
      <c r="AO74">
        <v>0</v>
      </c>
      <c r="AP74">
        <v>0</v>
      </c>
      <c r="AQ74">
        <v>4383</v>
      </c>
      <c r="AR74">
        <v>0</v>
      </c>
      <c r="AS74">
        <v>0</v>
      </c>
      <c r="AT74">
        <v>220</v>
      </c>
      <c r="AU74">
        <v>0</v>
      </c>
    </row>
    <row r="75" spans="1:47" x14ac:dyDescent="0.25">
      <c r="A75">
        <v>8</v>
      </c>
      <c r="B75">
        <v>0</v>
      </c>
      <c r="C75">
        <v>0</v>
      </c>
      <c r="D75">
        <v>0</v>
      </c>
      <c r="E75">
        <v>0</v>
      </c>
      <c r="F75">
        <v>0</v>
      </c>
      <c r="G75">
        <v>0</v>
      </c>
      <c r="H75">
        <v>0</v>
      </c>
      <c r="I75">
        <v>12595.35606</v>
      </c>
      <c r="J75">
        <v>0</v>
      </c>
      <c r="K75">
        <v>0</v>
      </c>
      <c r="L75">
        <v>0</v>
      </c>
      <c r="M75">
        <v>0</v>
      </c>
      <c r="N75">
        <v>0</v>
      </c>
      <c r="O75">
        <v>0</v>
      </c>
      <c r="Q75">
        <v>8</v>
      </c>
      <c r="R75">
        <v>0</v>
      </c>
      <c r="S75">
        <v>0</v>
      </c>
      <c r="T75">
        <v>0</v>
      </c>
      <c r="U75">
        <v>0</v>
      </c>
      <c r="V75">
        <v>0</v>
      </c>
      <c r="W75">
        <v>0</v>
      </c>
      <c r="X75">
        <v>0</v>
      </c>
      <c r="Y75">
        <v>1842</v>
      </c>
      <c r="Z75">
        <v>0</v>
      </c>
      <c r="AA75">
        <v>0</v>
      </c>
      <c r="AB75">
        <v>0</v>
      </c>
      <c r="AC75">
        <v>0</v>
      </c>
      <c r="AD75">
        <v>0</v>
      </c>
      <c r="AE75">
        <v>0</v>
      </c>
      <c r="AG75" s="157">
        <v>8</v>
      </c>
      <c r="AH75">
        <v>0</v>
      </c>
      <c r="AI75">
        <v>0</v>
      </c>
      <c r="AJ75">
        <v>0</v>
      </c>
      <c r="AK75">
        <v>0</v>
      </c>
      <c r="AL75">
        <v>0</v>
      </c>
      <c r="AM75">
        <v>0</v>
      </c>
      <c r="AN75">
        <v>0</v>
      </c>
      <c r="AO75">
        <v>1842</v>
      </c>
      <c r="AP75">
        <v>0</v>
      </c>
      <c r="AQ75">
        <v>0</v>
      </c>
      <c r="AR75">
        <v>0</v>
      </c>
      <c r="AS75">
        <v>0</v>
      </c>
      <c r="AT75">
        <v>0</v>
      </c>
      <c r="AU75">
        <v>0</v>
      </c>
    </row>
    <row r="76" spans="1:47" x14ac:dyDescent="0.25">
      <c r="A76">
        <v>9</v>
      </c>
      <c r="B76">
        <v>0</v>
      </c>
      <c r="C76">
        <v>0</v>
      </c>
      <c r="D76">
        <v>0</v>
      </c>
      <c r="E76">
        <v>0</v>
      </c>
      <c r="F76">
        <v>0</v>
      </c>
      <c r="G76">
        <v>0</v>
      </c>
      <c r="H76">
        <v>0</v>
      </c>
      <c r="I76">
        <v>0</v>
      </c>
      <c r="J76">
        <v>48247.213530000001</v>
      </c>
      <c r="K76">
        <v>1987.5220300000001</v>
      </c>
      <c r="L76">
        <v>3241.53874</v>
      </c>
      <c r="M76">
        <v>1339.0465799999999</v>
      </c>
      <c r="N76">
        <v>0</v>
      </c>
      <c r="O76">
        <v>168.20352</v>
      </c>
      <c r="Q76">
        <v>9</v>
      </c>
      <c r="R76">
        <v>0</v>
      </c>
      <c r="S76">
        <v>0</v>
      </c>
      <c r="T76">
        <v>0</v>
      </c>
      <c r="U76">
        <v>0</v>
      </c>
      <c r="V76">
        <v>0</v>
      </c>
      <c r="W76">
        <v>0</v>
      </c>
      <c r="X76">
        <v>0</v>
      </c>
      <c r="Y76">
        <v>0</v>
      </c>
      <c r="Z76">
        <v>0</v>
      </c>
      <c r="AA76">
        <v>0</v>
      </c>
      <c r="AB76">
        <v>0</v>
      </c>
      <c r="AC76">
        <v>0</v>
      </c>
      <c r="AD76">
        <v>0</v>
      </c>
      <c r="AE76">
        <v>0</v>
      </c>
      <c r="AG76" s="157">
        <v>9</v>
      </c>
      <c r="AH76">
        <v>0</v>
      </c>
      <c r="AI76">
        <v>0</v>
      </c>
      <c r="AJ76">
        <v>0</v>
      </c>
      <c r="AK76">
        <v>0</v>
      </c>
      <c r="AL76">
        <v>0</v>
      </c>
      <c r="AM76">
        <v>0</v>
      </c>
      <c r="AN76">
        <v>0</v>
      </c>
      <c r="AO76">
        <v>0</v>
      </c>
      <c r="AP76">
        <v>0</v>
      </c>
      <c r="AQ76">
        <v>0</v>
      </c>
      <c r="AR76">
        <v>0</v>
      </c>
      <c r="AS76">
        <v>0</v>
      </c>
      <c r="AT76">
        <v>0</v>
      </c>
      <c r="AU76">
        <v>0</v>
      </c>
    </row>
    <row r="77" spans="1:47" x14ac:dyDescent="0.25">
      <c r="A77">
        <v>10</v>
      </c>
      <c r="B77">
        <v>0</v>
      </c>
      <c r="C77">
        <v>0</v>
      </c>
      <c r="D77">
        <v>0</v>
      </c>
      <c r="E77">
        <v>0</v>
      </c>
      <c r="F77">
        <v>0</v>
      </c>
      <c r="G77">
        <v>0</v>
      </c>
      <c r="H77">
        <v>0</v>
      </c>
      <c r="I77">
        <v>0</v>
      </c>
      <c r="J77">
        <v>0</v>
      </c>
      <c r="K77">
        <v>8655.6666600000008</v>
      </c>
      <c r="L77">
        <v>142.28895</v>
      </c>
      <c r="M77">
        <v>402.96429000000001</v>
      </c>
      <c r="N77">
        <v>0</v>
      </c>
      <c r="O77">
        <v>0</v>
      </c>
      <c r="Q77">
        <v>10</v>
      </c>
      <c r="R77">
        <v>0</v>
      </c>
      <c r="S77">
        <v>0</v>
      </c>
      <c r="T77">
        <v>0</v>
      </c>
      <c r="U77">
        <v>0</v>
      </c>
      <c r="V77">
        <v>0</v>
      </c>
      <c r="W77">
        <v>0</v>
      </c>
      <c r="X77">
        <v>0</v>
      </c>
      <c r="Y77">
        <v>0</v>
      </c>
      <c r="Z77">
        <v>0</v>
      </c>
      <c r="AA77">
        <v>9863</v>
      </c>
      <c r="AB77">
        <v>0</v>
      </c>
      <c r="AC77">
        <v>0</v>
      </c>
      <c r="AD77">
        <v>0</v>
      </c>
      <c r="AE77">
        <v>0</v>
      </c>
      <c r="AG77" s="157">
        <v>10</v>
      </c>
      <c r="AH77">
        <v>0</v>
      </c>
      <c r="AI77">
        <v>0</v>
      </c>
      <c r="AJ77">
        <v>0</v>
      </c>
      <c r="AK77">
        <v>0</v>
      </c>
      <c r="AL77">
        <v>0</v>
      </c>
      <c r="AM77">
        <v>0</v>
      </c>
      <c r="AN77">
        <v>0</v>
      </c>
      <c r="AO77">
        <v>0</v>
      </c>
      <c r="AP77">
        <v>0</v>
      </c>
      <c r="AQ77">
        <v>9863</v>
      </c>
      <c r="AR77">
        <v>0</v>
      </c>
      <c r="AS77">
        <v>0</v>
      </c>
      <c r="AT77">
        <v>0</v>
      </c>
      <c r="AU77">
        <v>0</v>
      </c>
    </row>
    <row r="78" spans="1:47" x14ac:dyDescent="0.25">
      <c r="A78">
        <v>11</v>
      </c>
      <c r="B78">
        <v>0</v>
      </c>
      <c r="C78">
        <v>0</v>
      </c>
      <c r="D78">
        <v>0</v>
      </c>
      <c r="E78">
        <v>0</v>
      </c>
      <c r="F78">
        <v>0</v>
      </c>
      <c r="G78">
        <v>0</v>
      </c>
      <c r="H78">
        <v>0</v>
      </c>
      <c r="I78">
        <v>0</v>
      </c>
      <c r="J78">
        <v>0</v>
      </c>
      <c r="K78">
        <v>0</v>
      </c>
      <c r="L78">
        <v>2802.58779</v>
      </c>
      <c r="M78">
        <v>721.14337</v>
      </c>
      <c r="N78">
        <v>0</v>
      </c>
      <c r="O78">
        <v>0</v>
      </c>
      <c r="Q78">
        <v>11</v>
      </c>
      <c r="R78">
        <v>0</v>
      </c>
      <c r="S78">
        <v>0</v>
      </c>
      <c r="T78">
        <v>0</v>
      </c>
      <c r="U78">
        <v>0</v>
      </c>
      <c r="V78">
        <v>0</v>
      </c>
      <c r="W78">
        <v>0</v>
      </c>
      <c r="X78">
        <v>0</v>
      </c>
      <c r="Y78">
        <v>0</v>
      </c>
      <c r="Z78">
        <v>0</v>
      </c>
      <c r="AA78">
        <v>0</v>
      </c>
      <c r="AB78">
        <v>283</v>
      </c>
      <c r="AC78">
        <v>0</v>
      </c>
      <c r="AD78">
        <v>0</v>
      </c>
      <c r="AE78">
        <v>0</v>
      </c>
      <c r="AG78" s="157">
        <v>11</v>
      </c>
      <c r="AH78">
        <v>0</v>
      </c>
      <c r="AI78">
        <v>0</v>
      </c>
      <c r="AJ78">
        <v>0</v>
      </c>
      <c r="AK78">
        <v>0</v>
      </c>
      <c r="AL78">
        <v>0</v>
      </c>
      <c r="AM78">
        <v>0</v>
      </c>
      <c r="AN78">
        <v>0</v>
      </c>
      <c r="AO78">
        <v>0</v>
      </c>
      <c r="AP78">
        <v>0</v>
      </c>
      <c r="AQ78">
        <v>0</v>
      </c>
      <c r="AR78">
        <v>283</v>
      </c>
      <c r="AS78">
        <v>0</v>
      </c>
      <c r="AT78">
        <v>0</v>
      </c>
      <c r="AU78">
        <v>0</v>
      </c>
    </row>
    <row r="79" spans="1:47" x14ac:dyDescent="0.25">
      <c r="A79">
        <v>12</v>
      </c>
      <c r="B79">
        <v>0</v>
      </c>
      <c r="C79">
        <v>0</v>
      </c>
      <c r="D79">
        <v>0</v>
      </c>
      <c r="E79">
        <v>0</v>
      </c>
      <c r="F79">
        <v>0</v>
      </c>
      <c r="G79">
        <v>0</v>
      </c>
      <c r="H79">
        <v>0</v>
      </c>
      <c r="I79">
        <v>0</v>
      </c>
      <c r="J79">
        <v>0</v>
      </c>
      <c r="K79">
        <v>0</v>
      </c>
      <c r="L79">
        <v>0</v>
      </c>
      <c r="M79">
        <v>5826.9007499999998</v>
      </c>
      <c r="N79">
        <v>0</v>
      </c>
      <c r="O79">
        <v>0</v>
      </c>
      <c r="Q79">
        <v>12</v>
      </c>
      <c r="R79">
        <v>0</v>
      </c>
      <c r="S79">
        <v>0</v>
      </c>
      <c r="T79">
        <v>0</v>
      </c>
      <c r="U79">
        <v>0</v>
      </c>
      <c r="V79">
        <v>0</v>
      </c>
      <c r="W79">
        <v>0</v>
      </c>
      <c r="X79">
        <v>0</v>
      </c>
      <c r="Y79">
        <v>0</v>
      </c>
      <c r="Z79">
        <v>0</v>
      </c>
      <c r="AA79">
        <v>0</v>
      </c>
      <c r="AB79">
        <v>0</v>
      </c>
      <c r="AC79">
        <v>33</v>
      </c>
      <c r="AD79">
        <v>0</v>
      </c>
      <c r="AE79">
        <v>0</v>
      </c>
      <c r="AG79" s="157">
        <v>12</v>
      </c>
      <c r="AH79">
        <v>0</v>
      </c>
      <c r="AI79">
        <v>0</v>
      </c>
      <c r="AJ79">
        <v>0</v>
      </c>
      <c r="AK79">
        <v>0</v>
      </c>
      <c r="AL79">
        <v>0</v>
      </c>
      <c r="AM79">
        <v>0</v>
      </c>
      <c r="AN79">
        <v>0</v>
      </c>
      <c r="AO79">
        <v>0</v>
      </c>
      <c r="AP79">
        <v>0</v>
      </c>
      <c r="AQ79">
        <v>0</v>
      </c>
      <c r="AR79">
        <v>0</v>
      </c>
      <c r="AS79">
        <v>33</v>
      </c>
      <c r="AT79">
        <v>0</v>
      </c>
      <c r="AU79">
        <v>0</v>
      </c>
    </row>
    <row r="80" spans="1:47" x14ac:dyDescent="0.25">
      <c r="A80">
        <v>13</v>
      </c>
      <c r="B80">
        <v>0</v>
      </c>
      <c r="C80">
        <v>0</v>
      </c>
      <c r="D80">
        <v>0</v>
      </c>
      <c r="E80">
        <v>0</v>
      </c>
      <c r="F80">
        <v>0</v>
      </c>
      <c r="G80">
        <v>0</v>
      </c>
      <c r="H80">
        <v>0</v>
      </c>
      <c r="I80">
        <v>0</v>
      </c>
      <c r="J80">
        <v>593.85871999999995</v>
      </c>
      <c r="K80">
        <v>0</v>
      </c>
      <c r="L80">
        <v>0</v>
      </c>
      <c r="M80">
        <v>0</v>
      </c>
      <c r="N80">
        <v>2494.0037699999998</v>
      </c>
      <c r="O80">
        <v>84.101759999999999</v>
      </c>
      <c r="Q80">
        <v>13</v>
      </c>
      <c r="R80">
        <v>0</v>
      </c>
      <c r="S80">
        <v>0</v>
      </c>
      <c r="T80">
        <v>0</v>
      </c>
      <c r="U80">
        <v>0</v>
      </c>
      <c r="V80">
        <v>0</v>
      </c>
      <c r="W80">
        <v>0</v>
      </c>
      <c r="X80">
        <v>0</v>
      </c>
      <c r="Y80">
        <v>0</v>
      </c>
      <c r="Z80">
        <v>0</v>
      </c>
      <c r="AA80">
        <v>139</v>
      </c>
      <c r="AB80">
        <v>0</v>
      </c>
      <c r="AC80">
        <v>0</v>
      </c>
      <c r="AD80">
        <v>470</v>
      </c>
      <c r="AE80">
        <v>0</v>
      </c>
      <c r="AG80" s="157">
        <v>13</v>
      </c>
      <c r="AH80">
        <v>0</v>
      </c>
      <c r="AI80">
        <v>0</v>
      </c>
      <c r="AJ80">
        <v>0</v>
      </c>
      <c r="AK80">
        <v>0</v>
      </c>
      <c r="AL80">
        <v>0</v>
      </c>
      <c r="AM80">
        <v>0</v>
      </c>
      <c r="AN80">
        <v>0</v>
      </c>
      <c r="AO80">
        <v>0</v>
      </c>
      <c r="AP80">
        <v>0</v>
      </c>
      <c r="AQ80">
        <v>139</v>
      </c>
      <c r="AR80">
        <v>0</v>
      </c>
      <c r="AS80">
        <v>0</v>
      </c>
      <c r="AT80">
        <v>470</v>
      </c>
      <c r="AU80">
        <v>0</v>
      </c>
    </row>
    <row r="81" spans="1:47" x14ac:dyDescent="0.25">
      <c r="A81">
        <v>14</v>
      </c>
      <c r="B81">
        <v>0</v>
      </c>
      <c r="C81">
        <v>0</v>
      </c>
      <c r="D81">
        <v>0</v>
      </c>
      <c r="E81">
        <v>0</v>
      </c>
      <c r="F81">
        <v>0</v>
      </c>
      <c r="G81">
        <v>0</v>
      </c>
      <c r="H81">
        <v>0</v>
      </c>
      <c r="I81">
        <v>0</v>
      </c>
      <c r="J81">
        <v>0</v>
      </c>
      <c r="K81">
        <v>0</v>
      </c>
      <c r="L81">
        <v>0</v>
      </c>
      <c r="M81">
        <v>0</v>
      </c>
      <c r="N81">
        <v>0</v>
      </c>
      <c r="O81">
        <v>168.20352</v>
      </c>
      <c r="Q81">
        <v>14</v>
      </c>
      <c r="R81">
        <v>0</v>
      </c>
      <c r="S81">
        <v>0</v>
      </c>
      <c r="T81">
        <v>0</v>
      </c>
      <c r="U81">
        <v>0</v>
      </c>
      <c r="V81">
        <v>0</v>
      </c>
      <c r="W81">
        <v>0</v>
      </c>
      <c r="X81">
        <v>0</v>
      </c>
      <c r="Y81">
        <v>0</v>
      </c>
      <c r="Z81">
        <v>0</v>
      </c>
      <c r="AA81">
        <v>0</v>
      </c>
      <c r="AB81">
        <v>0</v>
      </c>
      <c r="AC81">
        <v>0</v>
      </c>
      <c r="AD81">
        <v>0</v>
      </c>
      <c r="AE81">
        <v>0</v>
      </c>
      <c r="AG81" s="157">
        <v>14</v>
      </c>
      <c r="AH81">
        <v>0</v>
      </c>
      <c r="AI81">
        <v>0</v>
      </c>
      <c r="AJ81">
        <v>0</v>
      </c>
      <c r="AK81">
        <v>0</v>
      </c>
      <c r="AL81">
        <v>0</v>
      </c>
      <c r="AM81">
        <v>0</v>
      </c>
      <c r="AN81">
        <v>0</v>
      </c>
      <c r="AO81">
        <v>0</v>
      </c>
      <c r="AP81">
        <v>0</v>
      </c>
      <c r="AQ81">
        <v>0</v>
      </c>
      <c r="AR81">
        <v>0</v>
      </c>
      <c r="AS81">
        <v>0</v>
      </c>
      <c r="AT81">
        <v>0</v>
      </c>
      <c r="AU81">
        <v>0</v>
      </c>
    </row>
    <row r="82" spans="1:47" x14ac:dyDescent="0.25">
      <c r="A82" t="s">
        <v>195</v>
      </c>
      <c r="Q82" t="s">
        <v>195</v>
      </c>
      <c r="AG82" s="355"/>
    </row>
    <row r="83" spans="1:47" x14ac:dyDescent="0.25">
      <c r="B83" t="s">
        <v>208</v>
      </c>
      <c r="C83" t="s">
        <v>209</v>
      </c>
      <c r="D83" t="s">
        <v>210</v>
      </c>
      <c r="E83" t="s">
        <v>211</v>
      </c>
      <c r="F83" t="s">
        <v>212</v>
      </c>
      <c r="G83" t="s">
        <v>213</v>
      </c>
      <c r="H83" t="s">
        <v>214</v>
      </c>
      <c r="I83" t="s">
        <v>215</v>
      </c>
      <c r="J83" t="s">
        <v>216</v>
      </c>
      <c r="K83" t="s">
        <v>400</v>
      </c>
      <c r="L83" t="s">
        <v>401</v>
      </c>
      <c r="M83" t="s">
        <v>402</v>
      </c>
      <c r="N83" t="s">
        <v>403</v>
      </c>
      <c r="O83" t="s">
        <v>404</v>
      </c>
      <c r="R83" t="s">
        <v>208</v>
      </c>
      <c r="S83" t="s">
        <v>209</v>
      </c>
      <c r="T83" t="s">
        <v>210</v>
      </c>
      <c r="U83" t="s">
        <v>211</v>
      </c>
      <c r="V83" t="s">
        <v>212</v>
      </c>
      <c r="W83" t="s">
        <v>213</v>
      </c>
      <c r="X83" t="s">
        <v>214</v>
      </c>
      <c r="Y83" t="s">
        <v>215</v>
      </c>
      <c r="Z83" t="s">
        <v>216</v>
      </c>
      <c r="AA83" t="s">
        <v>400</v>
      </c>
      <c r="AB83" t="s">
        <v>401</v>
      </c>
      <c r="AC83" t="s">
        <v>402</v>
      </c>
      <c r="AD83" t="s">
        <v>403</v>
      </c>
      <c r="AE83" t="s">
        <v>404</v>
      </c>
      <c r="AG83" s="157"/>
      <c r="AH83" t="s">
        <v>674</v>
      </c>
      <c r="AI83" t="s">
        <v>675</v>
      </c>
      <c r="AJ83" t="s">
        <v>676</v>
      </c>
      <c r="AK83" t="s">
        <v>677</v>
      </c>
      <c r="AL83" t="s">
        <v>678</v>
      </c>
      <c r="AM83" t="s">
        <v>679</v>
      </c>
      <c r="AN83" t="s">
        <v>680</v>
      </c>
      <c r="AO83" t="s">
        <v>681</v>
      </c>
      <c r="AP83" t="s">
        <v>682</v>
      </c>
      <c r="AQ83" t="s">
        <v>683</v>
      </c>
      <c r="AR83" t="s">
        <v>684</v>
      </c>
      <c r="AS83" t="s">
        <v>685</v>
      </c>
      <c r="AT83" t="s">
        <v>686</v>
      </c>
      <c r="AU83" t="s">
        <v>687</v>
      </c>
    </row>
    <row r="84" spans="1:47" x14ac:dyDescent="0.25">
      <c r="A84">
        <v>1</v>
      </c>
      <c r="B84">
        <v>56499.303540000001</v>
      </c>
      <c r="C84">
        <v>0</v>
      </c>
      <c r="D84">
        <v>4933.9530599999998</v>
      </c>
      <c r="E84">
        <v>113.27288</v>
      </c>
      <c r="F84">
        <v>5067.9365799999996</v>
      </c>
      <c r="G84">
        <v>0</v>
      </c>
      <c r="H84">
        <v>0</v>
      </c>
      <c r="I84">
        <v>0</v>
      </c>
      <c r="J84">
        <v>103.00684</v>
      </c>
      <c r="K84">
        <v>0</v>
      </c>
      <c r="L84">
        <v>383.44731999999999</v>
      </c>
      <c r="M84">
        <v>894.50386000000003</v>
      </c>
      <c r="N84">
        <v>839.28886</v>
      </c>
      <c r="O84">
        <v>1302.8548800000001</v>
      </c>
      <c r="Q84">
        <v>1</v>
      </c>
      <c r="R84">
        <v>14271</v>
      </c>
      <c r="S84">
        <v>561</v>
      </c>
      <c r="T84">
        <v>1456</v>
      </c>
      <c r="U84">
        <v>54</v>
      </c>
      <c r="V84">
        <v>126</v>
      </c>
      <c r="W84">
        <v>5</v>
      </c>
      <c r="X84">
        <v>0</v>
      </c>
      <c r="Y84">
        <v>0</v>
      </c>
      <c r="Z84">
        <v>0</v>
      </c>
      <c r="AA84">
        <v>0</v>
      </c>
      <c r="AB84">
        <v>0</v>
      </c>
      <c r="AC84">
        <v>0</v>
      </c>
      <c r="AD84">
        <v>0</v>
      </c>
      <c r="AE84">
        <v>0</v>
      </c>
      <c r="AG84" s="157">
        <v>1</v>
      </c>
      <c r="AH84">
        <v>14271</v>
      </c>
      <c r="AI84">
        <v>561</v>
      </c>
      <c r="AJ84">
        <v>1456</v>
      </c>
      <c r="AK84">
        <v>54</v>
      </c>
      <c r="AL84">
        <v>126</v>
      </c>
      <c r="AM84">
        <v>5</v>
      </c>
      <c r="AN84">
        <v>0</v>
      </c>
      <c r="AO84">
        <v>0</v>
      </c>
      <c r="AP84">
        <v>0</v>
      </c>
      <c r="AQ84">
        <v>0</v>
      </c>
      <c r="AR84">
        <v>0</v>
      </c>
      <c r="AS84">
        <v>0</v>
      </c>
      <c r="AT84">
        <v>0</v>
      </c>
      <c r="AU84">
        <v>0</v>
      </c>
    </row>
    <row r="85" spans="1:47" x14ac:dyDescent="0.25">
      <c r="A85">
        <v>2</v>
      </c>
      <c r="B85">
        <v>0</v>
      </c>
      <c r="C85">
        <v>128.68156999999999</v>
      </c>
      <c r="D85">
        <v>0</v>
      </c>
      <c r="E85">
        <v>0</v>
      </c>
      <c r="F85">
        <v>0</v>
      </c>
      <c r="G85">
        <v>0</v>
      </c>
      <c r="H85">
        <v>0</v>
      </c>
      <c r="I85">
        <v>0</v>
      </c>
      <c r="J85">
        <v>0</v>
      </c>
      <c r="K85">
        <v>0</v>
      </c>
      <c r="L85">
        <v>0</v>
      </c>
      <c r="M85">
        <v>0</v>
      </c>
      <c r="N85">
        <v>30.008050000000001</v>
      </c>
      <c r="O85">
        <v>0</v>
      </c>
      <c r="Q85">
        <v>2</v>
      </c>
      <c r="R85">
        <v>257</v>
      </c>
      <c r="S85">
        <v>164</v>
      </c>
      <c r="T85">
        <v>31</v>
      </c>
      <c r="U85">
        <v>17</v>
      </c>
      <c r="V85">
        <v>2</v>
      </c>
      <c r="W85">
        <v>1</v>
      </c>
      <c r="X85">
        <v>0</v>
      </c>
      <c r="Y85">
        <v>0</v>
      </c>
      <c r="Z85">
        <v>0</v>
      </c>
      <c r="AA85">
        <v>0</v>
      </c>
      <c r="AB85">
        <v>0</v>
      </c>
      <c r="AC85">
        <v>0</v>
      </c>
      <c r="AD85">
        <v>0</v>
      </c>
      <c r="AE85">
        <v>0</v>
      </c>
      <c r="AG85" s="157">
        <v>2</v>
      </c>
      <c r="AH85">
        <v>257</v>
      </c>
      <c r="AI85">
        <v>164</v>
      </c>
      <c r="AJ85">
        <v>31</v>
      </c>
      <c r="AK85">
        <v>17</v>
      </c>
      <c r="AL85">
        <v>2</v>
      </c>
      <c r="AM85">
        <v>1</v>
      </c>
      <c r="AN85">
        <v>0</v>
      </c>
      <c r="AO85">
        <v>0</v>
      </c>
      <c r="AP85">
        <v>0</v>
      </c>
      <c r="AQ85">
        <v>0</v>
      </c>
      <c r="AR85">
        <v>0</v>
      </c>
      <c r="AS85">
        <v>0</v>
      </c>
      <c r="AT85">
        <v>0</v>
      </c>
      <c r="AU85">
        <v>0</v>
      </c>
    </row>
    <row r="86" spans="1:47" x14ac:dyDescent="0.25">
      <c r="A86">
        <v>3</v>
      </c>
      <c r="B86">
        <v>0</v>
      </c>
      <c r="C86">
        <v>0</v>
      </c>
      <c r="D86">
        <v>30505.730029999999</v>
      </c>
      <c r="E86">
        <v>113.27288</v>
      </c>
      <c r="F86">
        <v>4977.51872</v>
      </c>
      <c r="G86">
        <v>0</v>
      </c>
      <c r="H86">
        <v>0</v>
      </c>
      <c r="I86">
        <v>0</v>
      </c>
      <c r="J86">
        <v>472.20012000000003</v>
      </c>
      <c r="K86">
        <v>8764.7661599999992</v>
      </c>
      <c r="L86">
        <v>1347.7502500000001</v>
      </c>
      <c r="M86">
        <v>842.79911000000004</v>
      </c>
      <c r="N86">
        <v>155.46614</v>
      </c>
      <c r="O86">
        <v>1302.8548800000001</v>
      </c>
      <c r="Q86">
        <v>3</v>
      </c>
      <c r="R86">
        <v>0</v>
      </c>
      <c r="S86">
        <v>0</v>
      </c>
      <c r="T86">
        <v>4565</v>
      </c>
      <c r="U86">
        <v>172</v>
      </c>
      <c r="V86">
        <v>311</v>
      </c>
      <c r="W86">
        <v>10</v>
      </c>
      <c r="X86">
        <v>0</v>
      </c>
      <c r="Y86">
        <v>0</v>
      </c>
      <c r="Z86">
        <v>0</v>
      </c>
      <c r="AA86">
        <v>110</v>
      </c>
      <c r="AB86">
        <v>0</v>
      </c>
      <c r="AC86">
        <v>0</v>
      </c>
      <c r="AD86">
        <v>18</v>
      </c>
      <c r="AE86">
        <v>0</v>
      </c>
      <c r="AG86" s="157">
        <v>3</v>
      </c>
      <c r="AH86">
        <v>0</v>
      </c>
      <c r="AI86">
        <v>0</v>
      </c>
      <c r="AJ86">
        <v>4565</v>
      </c>
      <c r="AK86">
        <v>172</v>
      </c>
      <c r="AL86">
        <v>311</v>
      </c>
      <c r="AM86">
        <v>10</v>
      </c>
      <c r="AN86">
        <v>0</v>
      </c>
      <c r="AO86">
        <v>0</v>
      </c>
      <c r="AP86">
        <v>0</v>
      </c>
      <c r="AQ86">
        <v>110</v>
      </c>
      <c r="AR86">
        <v>0</v>
      </c>
      <c r="AS86">
        <v>0</v>
      </c>
      <c r="AT86">
        <v>18</v>
      </c>
      <c r="AU86">
        <v>0</v>
      </c>
    </row>
    <row r="87" spans="1:47" x14ac:dyDescent="0.25">
      <c r="A87">
        <v>4</v>
      </c>
      <c r="B87">
        <v>0</v>
      </c>
      <c r="C87">
        <v>0</v>
      </c>
      <c r="D87">
        <v>0</v>
      </c>
      <c r="E87">
        <v>113.27288</v>
      </c>
      <c r="F87">
        <v>0</v>
      </c>
      <c r="G87">
        <v>115.26598</v>
      </c>
      <c r="H87">
        <v>0</v>
      </c>
      <c r="I87">
        <v>0</v>
      </c>
      <c r="J87">
        <v>0</v>
      </c>
      <c r="K87">
        <v>0</v>
      </c>
      <c r="L87">
        <v>0</v>
      </c>
      <c r="M87">
        <v>0</v>
      </c>
      <c r="N87">
        <v>0</v>
      </c>
      <c r="O87">
        <v>0</v>
      </c>
      <c r="Q87">
        <v>4</v>
      </c>
      <c r="R87">
        <v>0</v>
      </c>
      <c r="S87">
        <v>0</v>
      </c>
      <c r="T87">
        <v>121</v>
      </c>
      <c r="U87">
        <v>55</v>
      </c>
      <c r="V87">
        <v>4</v>
      </c>
      <c r="W87">
        <v>6</v>
      </c>
      <c r="X87">
        <v>0</v>
      </c>
      <c r="Y87">
        <v>0</v>
      </c>
      <c r="Z87">
        <v>0</v>
      </c>
      <c r="AA87">
        <v>2</v>
      </c>
      <c r="AB87">
        <v>0</v>
      </c>
      <c r="AC87">
        <v>0</v>
      </c>
      <c r="AD87">
        <v>11</v>
      </c>
      <c r="AE87">
        <v>0</v>
      </c>
      <c r="AG87" s="157">
        <v>4</v>
      </c>
      <c r="AH87">
        <v>0</v>
      </c>
      <c r="AI87">
        <v>0</v>
      </c>
      <c r="AJ87">
        <v>121</v>
      </c>
      <c r="AK87">
        <v>55</v>
      </c>
      <c r="AL87">
        <v>4</v>
      </c>
      <c r="AM87">
        <v>6</v>
      </c>
      <c r="AN87">
        <v>0</v>
      </c>
      <c r="AO87">
        <v>0</v>
      </c>
      <c r="AP87">
        <v>0</v>
      </c>
      <c r="AQ87">
        <v>2</v>
      </c>
      <c r="AR87">
        <v>0</v>
      </c>
      <c r="AS87">
        <v>0</v>
      </c>
      <c r="AT87">
        <v>11</v>
      </c>
      <c r="AU87">
        <v>0</v>
      </c>
    </row>
    <row r="88" spans="1:47" x14ac:dyDescent="0.25">
      <c r="A88">
        <v>5</v>
      </c>
      <c r="B88">
        <v>0</v>
      </c>
      <c r="C88">
        <v>0</v>
      </c>
      <c r="D88">
        <v>0</v>
      </c>
      <c r="E88">
        <v>0</v>
      </c>
      <c r="F88">
        <v>16047.56417</v>
      </c>
      <c r="G88">
        <v>400.74590000000001</v>
      </c>
      <c r="H88">
        <v>0</v>
      </c>
      <c r="I88">
        <v>0</v>
      </c>
      <c r="J88">
        <v>0</v>
      </c>
      <c r="K88">
        <v>2154.82692</v>
      </c>
      <c r="L88">
        <v>242.54972000000001</v>
      </c>
      <c r="M88">
        <v>0</v>
      </c>
      <c r="N88">
        <v>0</v>
      </c>
      <c r="O88">
        <v>0</v>
      </c>
      <c r="Q88">
        <v>5</v>
      </c>
      <c r="R88">
        <v>0</v>
      </c>
      <c r="S88">
        <v>0</v>
      </c>
      <c r="T88">
        <v>0</v>
      </c>
      <c r="U88">
        <v>0</v>
      </c>
      <c r="V88">
        <v>963</v>
      </c>
      <c r="W88">
        <v>23</v>
      </c>
      <c r="X88">
        <v>0</v>
      </c>
      <c r="Y88">
        <v>0</v>
      </c>
      <c r="Z88">
        <v>0</v>
      </c>
      <c r="AA88">
        <v>36</v>
      </c>
      <c r="AB88">
        <v>0</v>
      </c>
      <c r="AC88">
        <v>0</v>
      </c>
      <c r="AD88">
        <v>3</v>
      </c>
      <c r="AE88">
        <v>0</v>
      </c>
      <c r="AG88" s="157">
        <v>5</v>
      </c>
      <c r="AH88">
        <v>0</v>
      </c>
      <c r="AI88">
        <v>0</v>
      </c>
      <c r="AJ88">
        <v>0</v>
      </c>
      <c r="AK88">
        <v>0</v>
      </c>
      <c r="AL88">
        <v>963</v>
      </c>
      <c r="AM88">
        <v>23</v>
      </c>
      <c r="AN88">
        <v>0</v>
      </c>
      <c r="AO88">
        <v>0</v>
      </c>
      <c r="AP88">
        <v>0</v>
      </c>
      <c r="AQ88">
        <v>36</v>
      </c>
      <c r="AR88">
        <v>0</v>
      </c>
      <c r="AS88">
        <v>0</v>
      </c>
      <c r="AT88">
        <v>3</v>
      </c>
      <c r="AU88">
        <v>0</v>
      </c>
    </row>
    <row r="89" spans="1:47" x14ac:dyDescent="0.25">
      <c r="A89">
        <v>6</v>
      </c>
      <c r="B89">
        <v>0</v>
      </c>
      <c r="C89">
        <v>0</v>
      </c>
      <c r="D89">
        <v>0</v>
      </c>
      <c r="E89">
        <v>0</v>
      </c>
      <c r="F89">
        <v>0</v>
      </c>
      <c r="G89">
        <v>455.69385999999997</v>
      </c>
      <c r="H89">
        <v>0</v>
      </c>
      <c r="I89">
        <v>0</v>
      </c>
      <c r="J89">
        <v>0</v>
      </c>
      <c r="K89">
        <v>0</v>
      </c>
      <c r="L89">
        <v>0</v>
      </c>
      <c r="M89">
        <v>0</v>
      </c>
      <c r="N89">
        <v>0</v>
      </c>
      <c r="O89">
        <v>0</v>
      </c>
      <c r="Q89">
        <v>6</v>
      </c>
      <c r="R89">
        <v>0</v>
      </c>
      <c r="S89">
        <v>0</v>
      </c>
      <c r="T89">
        <v>0</v>
      </c>
      <c r="U89">
        <v>0</v>
      </c>
      <c r="V89">
        <v>18</v>
      </c>
      <c r="W89">
        <v>15</v>
      </c>
      <c r="X89">
        <v>0</v>
      </c>
      <c r="Y89">
        <v>0</v>
      </c>
      <c r="Z89">
        <v>0</v>
      </c>
      <c r="AA89">
        <v>0</v>
      </c>
      <c r="AB89">
        <v>0</v>
      </c>
      <c r="AC89">
        <v>0</v>
      </c>
      <c r="AD89">
        <v>0</v>
      </c>
      <c r="AE89">
        <v>0</v>
      </c>
      <c r="AG89" s="157">
        <v>6</v>
      </c>
      <c r="AH89">
        <v>0</v>
      </c>
      <c r="AI89">
        <v>0</v>
      </c>
      <c r="AJ89">
        <v>0</v>
      </c>
      <c r="AK89">
        <v>0</v>
      </c>
      <c r="AL89">
        <v>18</v>
      </c>
      <c r="AM89">
        <v>15</v>
      </c>
      <c r="AN89">
        <v>0</v>
      </c>
      <c r="AO89">
        <v>0</v>
      </c>
      <c r="AP89">
        <v>0</v>
      </c>
      <c r="AQ89">
        <v>0</v>
      </c>
      <c r="AR89">
        <v>0</v>
      </c>
      <c r="AS89">
        <v>0</v>
      </c>
      <c r="AT89">
        <v>0</v>
      </c>
      <c r="AU89">
        <v>0</v>
      </c>
    </row>
    <row r="90" spans="1:47" x14ac:dyDescent="0.25">
      <c r="A90">
        <v>7</v>
      </c>
      <c r="B90">
        <v>1740.8126999999999</v>
      </c>
      <c r="C90">
        <v>0</v>
      </c>
      <c r="D90">
        <v>2561.41167</v>
      </c>
      <c r="E90">
        <v>0</v>
      </c>
      <c r="F90">
        <v>1483.1484599999999</v>
      </c>
      <c r="G90">
        <v>0</v>
      </c>
      <c r="H90">
        <v>57341.931470000003</v>
      </c>
      <c r="I90">
        <v>0</v>
      </c>
      <c r="J90">
        <v>5437.4657900000002</v>
      </c>
      <c r="K90">
        <v>1365.99218</v>
      </c>
      <c r="L90">
        <v>804.63440000000003</v>
      </c>
      <c r="M90">
        <v>193.88213999999999</v>
      </c>
      <c r="N90">
        <v>1259.5625700000001</v>
      </c>
      <c r="O90">
        <v>0</v>
      </c>
      <c r="Q90">
        <v>7</v>
      </c>
      <c r="R90">
        <v>0</v>
      </c>
      <c r="S90">
        <v>0</v>
      </c>
      <c r="T90">
        <v>594</v>
      </c>
      <c r="U90">
        <v>5</v>
      </c>
      <c r="V90">
        <v>164</v>
      </c>
      <c r="W90">
        <v>0</v>
      </c>
      <c r="X90">
        <v>17028</v>
      </c>
      <c r="Y90">
        <v>0</v>
      </c>
      <c r="Z90">
        <v>0</v>
      </c>
      <c r="AA90">
        <v>1711</v>
      </c>
      <c r="AB90">
        <v>0</v>
      </c>
      <c r="AC90">
        <v>0</v>
      </c>
      <c r="AD90">
        <v>89</v>
      </c>
      <c r="AE90">
        <v>0</v>
      </c>
      <c r="AG90" s="157">
        <v>7</v>
      </c>
      <c r="AH90">
        <v>0</v>
      </c>
      <c r="AI90">
        <v>0</v>
      </c>
      <c r="AJ90">
        <v>594</v>
      </c>
      <c r="AK90">
        <v>5</v>
      </c>
      <c r="AL90">
        <v>164</v>
      </c>
      <c r="AM90">
        <v>0</v>
      </c>
      <c r="AN90">
        <v>17028</v>
      </c>
      <c r="AO90">
        <v>0</v>
      </c>
      <c r="AP90">
        <v>0</v>
      </c>
      <c r="AQ90">
        <v>1711</v>
      </c>
      <c r="AR90">
        <v>0</v>
      </c>
      <c r="AS90">
        <v>0</v>
      </c>
      <c r="AT90">
        <v>89</v>
      </c>
      <c r="AU90">
        <v>0</v>
      </c>
    </row>
    <row r="91" spans="1:47" x14ac:dyDescent="0.25">
      <c r="A91">
        <v>8</v>
      </c>
      <c r="B91">
        <v>0</v>
      </c>
      <c r="C91">
        <v>0</v>
      </c>
      <c r="D91">
        <v>84.101759999999999</v>
      </c>
      <c r="E91">
        <v>0</v>
      </c>
      <c r="F91">
        <v>0</v>
      </c>
      <c r="G91">
        <v>0</v>
      </c>
      <c r="H91">
        <v>0</v>
      </c>
      <c r="I91">
        <v>14569.525600000001</v>
      </c>
      <c r="J91">
        <v>128.11025000000001</v>
      </c>
      <c r="K91">
        <v>0</v>
      </c>
      <c r="L91">
        <v>0</v>
      </c>
      <c r="M91">
        <v>0</v>
      </c>
      <c r="N91">
        <v>0</v>
      </c>
      <c r="O91">
        <v>0</v>
      </c>
      <c r="Q91">
        <v>8</v>
      </c>
      <c r="R91">
        <v>0</v>
      </c>
      <c r="S91">
        <v>0</v>
      </c>
      <c r="T91">
        <v>0</v>
      </c>
      <c r="U91">
        <v>0</v>
      </c>
      <c r="V91">
        <v>0</v>
      </c>
      <c r="W91">
        <v>0</v>
      </c>
      <c r="X91">
        <v>0</v>
      </c>
      <c r="Y91">
        <v>3733</v>
      </c>
      <c r="Z91">
        <v>0</v>
      </c>
      <c r="AA91">
        <v>0</v>
      </c>
      <c r="AB91">
        <v>0</v>
      </c>
      <c r="AC91">
        <v>0</v>
      </c>
      <c r="AD91">
        <v>0</v>
      </c>
      <c r="AE91">
        <v>0</v>
      </c>
      <c r="AG91" s="157">
        <v>8</v>
      </c>
      <c r="AH91">
        <v>0</v>
      </c>
      <c r="AI91">
        <v>0</v>
      </c>
      <c r="AJ91">
        <v>0</v>
      </c>
      <c r="AK91">
        <v>0</v>
      </c>
      <c r="AL91">
        <v>0</v>
      </c>
      <c r="AM91">
        <v>0</v>
      </c>
      <c r="AN91">
        <v>0</v>
      </c>
      <c r="AO91">
        <v>3733</v>
      </c>
      <c r="AP91">
        <v>0</v>
      </c>
      <c r="AQ91">
        <v>0</v>
      </c>
      <c r="AR91">
        <v>0</v>
      </c>
      <c r="AS91">
        <v>0</v>
      </c>
      <c r="AT91">
        <v>0</v>
      </c>
      <c r="AU91">
        <v>0</v>
      </c>
    </row>
    <row r="92" spans="1:47" x14ac:dyDescent="0.25">
      <c r="A92">
        <v>9</v>
      </c>
      <c r="B92">
        <v>0</v>
      </c>
      <c r="C92">
        <v>0</v>
      </c>
      <c r="D92">
        <v>0</v>
      </c>
      <c r="E92">
        <v>0</v>
      </c>
      <c r="F92">
        <v>0</v>
      </c>
      <c r="G92">
        <v>0</v>
      </c>
      <c r="H92">
        <v>0</v>
      </c>
      <c r="I92">
        <v>0</v>
      </c>
      <c r="J92">
        <v>25066.101419999999</v>
      </c>
      <c r="K92">
        <v>454.34388000000001</v>
      </c>
      <c r="L92">
        <v>516.35648000000003</v>
      </c>
      <c r="M92">
        <v>556.48350000000005</v>
      </c>
      <c r="N92">
        <v>0</v>
      </c>
      <c r="O92">
        <v>0</v>
      </c>
      <c r="Q92">
        <v>9</v>
      </c>
      <c r="R92">
        <v>0</v>
      </c>
      <c r="S92">
        <v>0</v>
      </c>
      <c r="T92">
        <v>0</v>
      </c>
      <c r="U92">
        <v>0</v>
      </c>
      <c r="V92">
        <v>0</v>
      </c>
      <c r="W92">
        <v>0</v>
      </c>
      <c r="X92">
        <v>0</v>
      </c>
      <c r="Y92">
        <v>0</v>
      </c>
      <c r="Z92">
        <v>0</v>
      </c>
      <c r="AA92">
        <v>0</v>
      </c>
      <c r="AB92">
        <v>0</v>
      </c>
      <c r="AC92">
        <v>0</v>
      </c>
      <c r="AD92">
        <v>0</v>
      </c>
      <c r="AE92">
        <v>0</v>
      </c>
      <c r="AG92" s="157">
        <v>9</v>
      </c>
      <c r="AH92">
        <v>0</v>
      </c>
      <c r="AI92">
        <v>0</v>
      </c>
      <c r="AJ92">
        <v>0</v>
      </c>
      <c r="AK92">
        <v>0</v>
      </c>
      <c r="AL92">
        <v>0</v>
      </c>
      <c r="AM92">
        <v>0</v>
      </c>
      <c r="AN92">
        <v>0</v>
      </c>
      <c r="AO92">
        <v>0</v>
      </c>
      <c r="AP92">
        <v>0</v>
      </c>
      <c r="AQ92">
        <v>0</v>
      </c>
      <c r="AR92">
        <v>0</v>
      </c>
      <c r="AS92">
        <v>0</v>
      </c>
      <c r="AT92">
        <v>0</v>
      </c>
      <c r="AU92">
        <v>0</v>
      </c>
    </row>
    <row r="93" spans="1:47" x14ac:dyDescent="0.25">
      <c r="A93">
        <v>10</v>
      </c>
      <c r="B93">
        <v>0</v>
      </c>
      <c r="C93">
        <v>0</v>
      </c>
      <c r="D93">
        <v>0</v>
      </c>
      <c r="E93">
        <v>0</v>
      </c>
      <c r="F93">
        <v>0</v>
      </c>
      <c r="G93">
        <v>0</v>
      </c>
      <c r="H93">
        <v>0</v>
      </c>
      <c r="I93">
        <v>0</v>
      </c>
      <c r="J93">
        <v>0</v>
      </c>
      <c r="K93">
        <v>6197.9023100000004</v>
      </c>
      <c r="L93">
        <v>0</v>
      </c>
      <c r="M93">
        <v>132.71929</v>
      </c>
      <c r="N93">
        <v>0</v>
      </c>
      <c r="O93">
        <v>0</v>
      </c>
      <c r="Q93">
        <v>10</v>
      </c>
      <c r="R93">
        <v>0</v>
      </c>
      <c r="S93">
        <v>0</v>
      </c>
      <c r="T93">
        <v>0</v>
      </c>
      <c r="U93">
        <v>0</v>
      </c>
      <c r="V93">
        <v>0</v>
      </c>
      <c r="W93">
        <v>0</v>
      </c>
      <c r="X93">
        <v>0</v>
      </c>
      <c r="Y93">
        <v>0</v>
      </c>
      <c r="Z93">
        <v>0</v>
      </c>
      <c r="AA93">
        <v>4522</v>
      </c>
      <c r="AB93">
        <v>0</v>
      </c>
      <c r="AC93">
        <v>0</v>
      </c>
      <c r="AD93">
        <v>0</v>
      </c>
      <c r="AE93">
        <v>0</v>
      </c>
      <c r="AG93" s="157">
        <v>10</v>
      </c>
      <c r="AH93">
        <v>0</v>
      </c>
      <c r="AI93">
        <v>0</v>
      </c>
      <c r="AJ93">
        <v>0</v>
      </c>
      <c r="AK93">
        <v>0</v>
      </c>
      <c r="AL93">
        <v>0</v>
      </c>
      <c r="AM93">
        <v>0</v>
      </c>
      <c r="AN93">
        <v>0</v>
      </c>
      <c r="AO93">
        <v>0</v>
      </c>
      <c r="AP93">
        <v>0</v>
      </c>
      <c r="AQ93">
        <v>4522</v>
      </c>
      <c r="AR93">
        <v>0</v>
      </c>
      <c r="AS93">
        <v>0</v>
      </c>
      <c r="AT93">
        <v>0</v>
      </c>
      <c r="AU93">
        <v>0</v>
      </c>
    </row>
    <row r="94" spans="1:47" x14ac:dyDescent="0.25">
      <c r="A94">
        <v>11</v>
      </c>
      <c r="B94">
        <v>0</v>
      </c>
      <c r="C94">
        <v>0</v>
      </c>
      <c r="D94">
        <v>0</v>
      </c>
      <c r="E94">
        <v>0</v>
      </c>
      <c r="F94">
        <v>0</v>
      </c>
      <c r="G94">
        <v>0</v>
      </c>
      <c r="H94">
        <v>0</v>
      </c>
      <c r="I94">
        <v>0</v>
      </c>
      <c r="J94">
        <v>0</v>
      </c>
      <c r="K94">
        <v>0</v>
      </c>
      <c r="L94">
        <v>1312.4291000000001</v>
      </c>
      <c r="M94">
        <v>176.37178</v>
      </c>
      <c r="N94">
        <v>0</v>
      </c>
      <c r="O94">
        <v>0</v>
      </c>
      <c r="Q94">
        <v>11</v>
      </c>
      <c r="R94">
        <v>0</v>
      </c>
      <c r="S94">
        <v>0</v>
      </c>
      <c r="T94">
        <v>0</v>
      </c>
      <c r="U94">
        <v>0</v>
      </c>
      <c r="V94">
        <v>0</v>
      </c>
      <c r="W94">
        <v>0</v>
      </c>
      <c r="X94">
        <v>0</v>
      </c>
      <c r="Y94">
        <v>0</v>
      </c>
      <c r="Z94">
        <v>0</v>
      </c>
      <c r="AA94">
        <v>0</v>
      </c>
      <c r="AB94">
        <v>67</v>
      </c>
      <c r="AC94">
        <v>0</v>
      </c>
      <c r="AD94">
        <v>0</v>
      </c>
      <c r="AE94">
        <v>0</v>
      </c>
      <c r="AG94" s="157">
        <v>11</v>
      </c>
      <c r="AH94">
        <v>0</v>
      </c>
      <c r="AI94">
        <v>0</v>
      </c>
      <c r="AJ94">
        <v>0</v>
      </c>
      <c r="AK94">
        <v>0</v>
      </c>
      <c r="AL94">
        <v>0</v>
      </c>
      <c r="AM94">
        <v>0</v>
      </c>
      <c r="AN94">
        <v>0</v>
      </c>
      <c r="AO94">
        <v>0</v>
      </c>
      <c r="AP94">
        <v>0</v>
      </c>
      <c r="AQ94">
        <v>0</v>
      </c>
      <c r="AR94">
        <v>67</v>
      </c>
      <c r="AS94">
        <v>0</v>
      </c>
      <c r="AT94">
        <v>0</v>
      </c>
      <c r="AU94">
        <v>0</v>
      </c>
    </row>
    <row r="95" spans="1:47" x14ac:dyDescent="0.25">
      <c r="A95">
        <v>12</v>
      </c>
      <c r="B95">
        <v>0</v>
      </c>
      <c r="C95">
        <v>0</v>
      </c>
      <c r="D95">
        <v>0</v>
      </c>
      <c r="E95">
        <v>0</v>
      </c>
      <c r="F95">
        <v>0</v>
      </c>
      <c r="G95">
        <v>0</v>
      </c>
      <c r="H95">
        <v>0</v>
      </c>
      <c r="I95">
        <v>0</v>
      </c>
      <c r="J95">
        <v>0</v>
      </c>
      <c r="K95">
        <v>0</v>
      </c>
      <c r="L95">
        <v>44.190469999999998</v>
      </c>
      <c r="M95">
        <v>3011.0465600000002</v>
      </c>
      <c r="N95">
        <v>0</v>
      </c>
      <c r="O95">
        <v>0</v>
      </c>
      <c r="Q95">
        <v>12</v>
      </c>
      <c r="R95">
        <v>0</v>
      </c>
      <c r="S95">
        <v>0</v>
      </c>
      <c r="T95">
        <v>0</v>
      </c>
      <c r="U95">
        <v>0</v>
      </c>
      <c r="V95">
        <v>0</v>
      </c>
      <c r="W95">
        <v>0</v>
      </c>
      <c r="X95">
        <v>0</v>
      </c>
      <c r="Y95">
        <v>0</v>
      </c>
      <c r="Z95">
        <v>0</v>
      </c>
      <c r="AA95">
        <v>0</v>
      </c>
      <c r="AB95">
        <v>0</v>
      </c>
      <c r="AC95">
        <v>3</v>
      </c>
      <c r="AD95">
        <v>0</v>
      </c>
      <c r="AE95">
        <v>0</v>
      </c>
      <c r="AG95" s="157">
        <v>12</v>
      </c>
      <c r="AH95">
        <v>0</v>
      </c>
      <c r="AI95">
        <v>0</v>
      </c>
      <c r="AJ95">
        <v>0</v>
      </c>
      <c r="AK95">
        <v>0</v>
      </c>
      <c r="AL95">
        <v>0</v>
      </c>
      <c r="AM95">
        <v>0</v>
      </c>
      <c r="AN95">
        <v>0</v>
      </c>
      <c r="AO95">
        <v>0</v>
      </c>
      <c r="AP95">
        <v>0</v>
      </c>
      <c r="AQ95">
        <v>0</v>
      </c>
      <c r="AR95">
        <v>0</v>
      </c>
      <c r="AS95">
        <v>3</v>
      </c>
      <c r="AT95">
        <v>0</v>
      </c>
      <c r="AU95">
        <v>0</v>
      </c>
    </row>
    <row r="96" spans="1:47" x14ac:dyDescent="0.25">
      <c r="A96">
        <v>13</v>
      </c>
      <c r="B96">
        <v>0</v>
      </c>
      <c r="C96">
        <v>0</v>
      </c>
      <c r="D96">
        <v>0</v>
      </c>
      <c r="E96">
        <v>0</v>
      </c>
      <c r="F96">
        <v>0</v>
      </c>
      <c r="G96">
        <v>0</v>
      </c>
      <c r="H96">
        <v>0</v>
      </c>
      <c r="I96">
        <v>0</v>
      </c>
      <c r="J96">
        <v>930.02134999999998</v>
      </c>
      <c r="K96">
        <v>189.87280999999999</v>
      </c>
      <c r="L96">
        <v>0</v>
      </c>
      <c r="M96">
        <v>314.31333000000001</v>
      </c>
      <c r="N96">
        <v>2755.7189800000001</v>
      </c>
      <c r="O96">
        <v>0</v>
      </c>
      <c r="Q96">
        <v>13</v>
      </c>
      <c r="R96">
        <v>0</v>
      </c>
      <c r="S96">
        <v>0</v>
      </c>
      <c r="T96">
        <v>0</v>
      </c>
      <c r="U96">
        <v>0</v>
      </c>
      <c r="V96">
        <v>0</v>
      </c>
      <c r="W96">
        <v>0</v>
      </c>
      <c r="X96">
        <v>0</v>
      </c>
      <c r="Y96">
        <v>0</v>
      </c>
      <c r="Z96">
        <v>0</v>
      </c>
      <c r="AA96">
        <v>70</v>
      </c>
      <c r="AB96">
        <v>0</v>
      </c>
      <c r="AC96">
        <v>0</v>
      </c>
      <c r="AD96">
        <v>352</v>
      </c>
      <c r="AE96">
        <v>0</v>
      </c>
      <c r="AG96" s="157">
        <v>13</v>
      </c>
      <c r="AH96">
        <v>0</v>
      </c>
      <c r="AI96">
        <v>0</v>
      </c>
      <c r="AJ96">
        <v>0</v>
      </c>
      <c r="AK96">
        <v>0</v>
      </c>
      <c r="AL96">
        <v>0</v>
      </c>
      <c r="AM96">
        <v>0</v>
      </c>
      <c r="AN96">
        <v>0</v>
      </c>
      <c r="AO96">
        <v>0</v>
      </c>
      <c r="AP96">
        <v>0</v>
      </c>
      <c r="AQ96">
        <v>70</v>
      </c>
      <c r="AR96">
        <v>0</v>
      </c>
      <c r="AS96">
        <v>0</v>
      </c>
      <c r="AT96">
        <v>352</v>
      </c>
      <c r="AU96">
        <v>0</v>
      </c>
    </row>
    <row r="97" spans="1:47" x14ac:dyDescent="0.25">
      <c r="A97">
        <v>14</v>
      </c>
      <c r="B97">
        <v>0</v>
      </c>
      <c r="C97">
        <v>0</v>
      </c>
      <c r="D97">
        <v>0</v>
      </c>
      <c r="E97">
        <v>0</v>
      </c>
      <c r="F97">
        <v>0</v>
      </c>
      <c r="G97">
        <v>0</v>
      </c>
      <c r="H97">
        <v>0</v>
      </c>
      <c r="I97">
        <v>0</v>
      </c>
      <c r="J97">
        <v>0</v>
      </c>
      <c r="K97">
        <v>0</v>
      </c>
      <c r="L97">
        <v>0</v>
      </c>
      <c r="M97">
        <v>0</v>
      </c>
      <c r="N97">
        <v>0</v>
      </c>
      <c r="O97">
        <v>1857.1365800000001</v>
      </c>
      <c r="Q97">
        <v>14</v>
      </c>
      <c r="R97">
        <v>0</v>
      </c>
      <c r="S97">
        <v>0</v>
      </c>
      <c r="T97">
        <v>0</v>
      </c>
      <c r="U97">
        <v>0</v>
      </c>
      <c r="V97">
        <v>0</v>
      </c>
      <c r="W97">
        <v>0</v>
      </c>
      <c r="X97">
        <v>0</v>
      </c>
      <c r="Y97">
        <v>0</v>
      </c>
      <c r="Z97">
        <v>0</v>
      </c>
      <c r="AA97">
        <v>0</v>
      </c>
      <c r="AB97">
        <v>0</v>
      </c>
      <c r="AC97">
        <v>0</v>
      </c>
      <c r="AD97">
        <v>0</v>
      </c>
      <c r="AE97">
        <v>0</v>
      </c>
      <c r="AG97" s="157">
        <v>14</v>
      </c>
      <c r="AH97">
        <v>0</v>
      </c>
      <c r="AI97">
        <v>0</v>
      </c>
      <c r="AJ97">
        <v>0</v>
      </c>
      <c r="AK97">
        <v>0</v>
      </c>
      <c r="AL97">
        <v>0</v>
      </c>
      <c r="AM97">
        <v>0</v>
      </c>
      <c r="AN97">
        <v>0</v>
      </c>
      <c r="AO97">
        <v>0</v>
      </c>
      <c r="AP97">
        <v>0</v>
      </c>
      <c r="AQ97">
        <v>0</v>
      </c>
      <c r="AR97">
        <v>0</v>
      </c>
      <c r="AS97">
        <v>0</v>
      </c>
      <c r="AT97">
        <v>0</v>
      </c>
      <c r="AU97">
        <v>0</v>
      </c>
    </row>
    <row r="98" spans="1:47" x14ac:dyDescent="0.25">
      <c r="A98" t="s">
        <v>196</v>
      </c>
      <c r="Q98" t="s">
        <v>196</v>
      </c>
    </row>
    <row r="99" spans="1:47" x14ac:dyDescent="0.25">
      <c r="B99" t="s">
        <v>208</v>
      </c>
      <c r="C99" t="s">
        <v>209</v>
      </c>
      <c r="D99" t="s">
        <v>210</v>
      </c>
      <c r="E99" t="s">
        <v>211</v>
      </c>
      <c r="F99" t="s">
        <v>212</v>
      </c>
      <c r="G99" t="s">
        <v>213</v>
      </c>
      <c r="H99" t="s">
        <v>214</v>
      </c>
      <c r="I99" t="s">
        <v>215</v>
      </c>
      <c r="J99" t="s">
        <v>216</v>
      </c>
      <c r="K99" t="s">
        <v>400</v>
      </c>
      <c r="L99" t="s">
        <v>401</v>
      </c>
      <c r="M99" t="s">
        <v>402</v>
      </c>
      <c r="N99" t="s">
        <v>403</v>
      </c>
      <c r="O99" t="s">
        <v>404</v>
      </c>
      <c r="R99" t="s">
        <v>208</v>
      </c>
      <c r="S99" t="s">
        <v>209</v>
      </c>
      <c r="T99" t="s">
        <v>210</v>
      </c>
      <c r="U99" t="s">
        <v>211</v>
      </c>
      <c r="V99" t="s">
        <v>212</v>
      </c>
      <c r="W99" t="s">
        <v>213</v>
      </c>
      <c r="X99" t="s">
        <v>214</v>
      </c>
      <c r="Y99" t="s">
        <v>215</v>
      </c>
      <c r="Z99" t="s">
        <v>216</v>
      </c>
      <c r="AA99" t="s">
        <v>400</v>
      </c>
      <c r="AB99" t="s">
        <v>401</v>
      </c>
      <c r="AC99" t="s">
        <v>402</v>
      </c>
      <c r="AD99" t="s">
        <v>403</v>
      </c>
      <c r="AE99" t="s">
        <v>404</v>
      </c>
      <c r="AG99" s="157"/>
      <c r="AH99" t="s">
        <v>674</v>
      </c>
      <c r="AI99" t="s">
        <v>675</v>
      </c>
      <c r="AJ99" t="s">
        <v>676</v>
      </c>
      <c r="AK99" t="s">
        <v>677</v>
      </c>
      <c r="AL99" t="s">
        <v>678</v>
      </c>
      <c r="AM99" t="s">
        <v>679</v>
      </c>
      <c r="AN99" t="s">
        <v>680</v>
      </c>
      <c r="AO99" t="s">
        <v>681</v>
      </c>
      <c r="AP99" t="s">
        <v>682</v>
      </c>
      <c r="AQ99" t="s">
        <v>683</v>
      </c>
      <c r="AR99" t="s">
        <v>684</v>
      </c>
      <c r="AS99" t="s">
        <v>685</v>
      </c>
      <c r="AT99" t="s">
        <v>686</v>
      </c>
      <c r="AU99" t="s">
        <v>687</v>
      </c>
    </row>
    <row r="100" spans="1:47" x14ac:dyDescent="0.25">
      <c r="A100">
        <v>1</v>
      </c>
      <c r="B100">
        <v>0</v>
      </c>
      <c r="C100">
        <v>0</v>
      </c>
      <c r="D100">
        <v>170.39957999999999</v>
      </c>
      <c r="E100">
        <v>0</v>
      </c>
      <c r="F100">
        <v>447.71102000000002</v>
      </c>
      <c r="G100">
        <v>0</v>
      </c>
      <c r="H100">
        <v>0</v>
      </c>
      <c r="I100">
        <v>0</v>
      </c>
      <c r="J100">
        <v>0</v>
      </c>
      <c r="K100">
        <v>0</v>
      </c>
      <c r="L100">
        <v>0</v>
      </c>
      <c r="M100">
        <v>0</v>
      </c>
      <c r="N100">
        <v>0</v>
      </c>
      <c r="O100">
        <v>0</v>
      </c>
      <c r="Q100">
        <v>1</v>
      </c>
      <c r="R100">
        <v>0</v>
      </c>
      <c r="S100">
        <v>0</v>
      </c>
      <c r="T100">
        <v>0</v>
      </c>
      <c r="U100">
        <v>0</v>
      </c>
      <c r="V100">
        <v>0</v>
      </c>
      <c r="W100">
        <v>0</v>
      </c>
      <c r="X100">
        <v>0</v>
      </c>
      <c r="Y100">
        <v>0</v>
      </c>
      <c r="Z100">
        <v>0</v>
      </c>
      <c r="AA100">
        <v>0</v>
      </c>
      <c r="AB100">
        <v>0</v>
      </c>
      <c r="AC100">
        <v>0</v>
      </c>
      <c r="AD100">
        <v>0</v>
      </c>
      <c r="AE100">
        <v>0</v>
      </c>
      <c r="AG100" s="157">
        <v>1</v>
      </c>
      <c r="AH100">
        <v>0</v>
      </c>
      <c r="AI100">
        <v>0</v>
      </c>
      <c r="AJ100">
        <v>0</v>
      </c>
      <c r="AK100">
        <v>0</v>
      </c>
      <c r="AL100">
        <v>0</v>
      </c>
      <c r="AM100">
        <v>0</v>
      </c>
      <c r="AN100">
        <v>0</v>
      </c>
      <c r="AO100">
        <v>0</v>
      </c>
      <c r="AP100">
        <v>0</v>
      </c>
      <c r="AQ100">
        <v>0</v>
      </c>
      <c r="AR100">
        <v>0</v>
      </c>
      <c r="AS100">
        <v>0</v>
      </c>
      <c r="AT100">
        <v>0</v>
      </c>
      <c r="AU100">
        <v>0</v>
      </c>
    </row>
    <row r="101" spans="1:47" x14ac:dyDescent="0.25">
      <c r="A101">
        <v>2</v>
      </c>
      <c r="B101">
        <v>0</v>
      </c>
      <c r="C101">
        <v>0</v>
      </c>
      <c r="D101">
        <v>0</v>
      </c>
      <c r="E101">
        <v>0</v>
      </c>
      <c r="F101">
        <v>0</v>
      </c>
      <c r="G101">
        <v>0</v>
      </c>
      <c r="H101">
        <v>0</v>
      </c>
      <c r="I101">
        <v>0</v>
      </c>
      <c r="J101">
        <v>0</v>
      </c>
      <c r="K101">
        <v>0</v>
      </c>
      <c r="L101">
        <v>0</v>
      </c>
      <c r="M101">
        <v>0</v>
      </c>
      <c r="N101">
        <v>0</v>
      </c>
      <c r="O101">
        <v>0</v>
      </c>
      <c r="Q101">
        <v>2</v>
      </c>
      <c r="R101">
        <v>0</v>
      </c>
      <c r="S101">
        <v>0</v>
      </c>
      <c r="T101">
        <v>0</v>
      </c>
      <c r="U101">
        <v>0</v>
      </c>
      <c r="V101">
        <v>0</v>
      </c>
      <c r="W101">
        <v>0</v>
      </c>
      <c r="X101">
        <v>0</v>
      </c>
      <c r="Y101">
        <v>0</v>
      </c>
      <c r="Z101">
        <v>0</v>
      </c>
      <c r="AA101">
        <v>0</v>
      </c>
      <c r="AB101">
        <v>0</v>
      </c>
      <c r="AC101">
        <v>0</v>
      </c>
      <c r="AD101">
        <v>0</v>
      </c>
      <c r="AE101">
        <v>0</v>
      </c>
      <c r="AG101" s="157">
        <v>2</v>
      </c>
      <c r="AH101">
        <v>0</v>
      </c>
      <c r="AI101">
        <v>0</v>
      </c>
      <c r="AJ101">
        <v>0</v>
      </c>
      <c r="AK101">
        <v>0</v>
      </c>
      <c r="AL101">
        <v>0</v>
      </c>
      <c r="AM101">
        <v>0</v>
      </c>
      <c r="AN101">
        <v>0</v>
      </c>
      <c r="AO101">
        <v>0</v>
      </c>
      <c r="AP101">
        <v>0</v>
      </c>
      <c r="AQ101">
        <v>0</v>
      </c>
      <c r="AR101">
        <v>0</v>
      </c>
      <c r="AS101">
        <v>0</v>
      </c>
      <c r="AT101">
        <v>0</v>
      </c>
      <c r="AU101">
        <v>0</v>
      </c>
    </row>
    <row r="102" spans="1:47" x14ac:dyDescent="0.25">
      <c r="A102">
        <v>3</v>
      </c>
      <c r="B102">
        <v>0</v>
      </c>
      <c r="C102">
        <v>0</v>
      </c>
      <c r="D102">
        <v>173862.98947</v>
      </c>
      <c r="E102">
        <v>69.026229999999998</v>
      </c>
      <c r="F102">
        <v>12571.013580000001</v>
      </c>
      <c r="G102">
        <v>119.58606</v>
      </c>
      <c r="H102">
        <v>0</v>
      </c>
      <c r="I102">
        <v>0</v>
      </c>
      <c r="J102">
        <v>0</v>
      </c>
      <c r="K102">
        <v>0</v>
      </c>
      <c r="L102">
        <v>0</v>
      </c>
      <c r="M102">
        <v>0</v>
      </c>
      <c r="N102">
        <v>0</v>
      </c>
      <c r="O102">
        <v>0</v>
      </c>
      <c r="Q102">
        <v>3</v>
      </c>
      <c r="R102">
        <v>0</v>
      </c>
      <c r="S102">
        <v>0</v>
      </c>
      <c r="T102">
        <v>2497</v>
      </c>
      <c r="U102">
        <v>32</v>
      </c>
      <c r="V102">
        <v>32</v>
      </c>
      <c r="W102">
        <v>0</v>
      </c>
      <c r="X102">
        <v>0</v>
      </c>
      <c r="Y102">
        <v>0</v>
      </c>
      <c r="Z102">
        <v>0</v>
      </c>
      <c r="AA102">
        <v>48</v>
      </c>
      <c r="AB102">
        <v>0</v>
      </c>
      <c r="AC102">
        <v>0</v>
      </c>
      <c r="AD102">
        <v>1</v>
      </c>
      <c r="AE102">
        <v>0</v>
      </c>
      <c r="AG102" s="157">
        <v>3</v>
      </c>
      <c r="AH102">
        <v>0</v>
      </c>
      <c r="AI102">
        <v>0</v>
      </c>
      <c r="AJ102">
        <v>2497</v>
      </c>
      <c r="AK102">
        <v>32</v>
      </c>
      <c r="AL102">
        <v>32</v>
      </c>
      <c r="AM102">
        <v>0</v>
      </c>
      <c r="AN102">
        <v>0</v>
      </c>
      <c r="AO102">
        <v>0</v>
      </c>
      <c r="AP102">
        <v>0</v>
      </c>
      <c r="AQ102">
        <v>48</v>
      </c>
      <c r="AR102">
        <v>0</v>
      </c>
      <c r="AS102">
        <v>0</v>
      </c>
      <c r="AT102">
        <v>1</v>
      </c>
      <c r="AU102">
        <v>0</v>
      </c>
    </row>
    <row r="103" spans="1:47" x14ac:dyDescent="0.25">
      <c r="A103">
        <v>4</v>
      </c>
      <c r="B103">
        <v>0</v>
      </c>
      <c r="C103">
        <v>0</v>
      </c>
      <c r="D103">
        <v>0</v>
      </c>
      <c r="E103">
        <v>238.35292999999999</v>
      </c>
      <c r="F103">
        <v>0</v>
      </c>
      <c r="G103">
        <v>151.77033</v>
      </c>
      <c r="H103">
        <v>0</v>
      </c>
      <c r="I103">
        <v>0</v>
      </c>
      <c r="J103">
        <v>0</v>
      </c>
      <c r="K103">
        <v>0</v>
      </c>
      <c r="L103">
        <v>0</v>
      </c>
      <c r="M103">
        <v>0</v>
      </c>
      <c r="N103">
        <v>0</v>
      </c>
      <c r="O103">
        <v>0</v>
      </c>
      <c r="Q103">
        <v>4</v>
      </c>
      <c r="R103">
        <v>0</v>
      </c>
      <c r="S103">
        <v>0</v>
      </c>
      <c r="T103">
        <v>0</v>
      </c>
      <c r="U103">
        <v>12</v>
      </c>
      <c r="V103">
        <v>0</v>
      </c>
      <c r="W103">
        <v>0</v>
      </c>
      <c r="X103">
        <v>0</v>
      </c>
      <c r="Y103">
        <v>0</v>
      </c>
      <c r="Z103">
        <v>0</v>
      </c>
      <c r="AA103">
        <v>0</v>
      </c>
      <c r="AB103">
        <v>0</v>
      </c>
      <c r="AC103">
        <v>0</v>
      </c>
      <c r="AD103">
        <v>0</v>
      </c>
      <c r="AE103">
        <v>0</v>
      </c>
      <c r="AG103" s="157">
        <v>4</v>
      </c>
      <c r="AH103">
        <v>0</v>
      </c>
      <c r="AI103">
        <v>0</v>
      </c>
      <c r="AJ103">
        <v>0</v>
      </c>
      <c r="AK103">
        <v>12</v>
      </c>
      <c r="AL103">
        <v>0</v>
      </c>
      <c r="AM103">
        <v>0</v>
      </c>
      <c r="AN103">
        <v>0</v>
      </c>
      <c r="AO103">
        <v>0</v>
      </c>
      <c r="AP103">
        <v>0</v>
      </c>
      <c r="AQ103">
        <v>0</v>
      </c>
      <c r="AR103">
        <v>0</v>
      </c>
      <c r="AS103">
        <v>0</v>
      </c>
      <c r="AT103">
        <v>0</v>
      </c>
      <c r="AU103">
        <v>0</v>
      </c>
    </row>
    <row r="104" spans="1:47" x14ac:dyDescent="0.25">
      <c r="A104">
        <v>5</v>
      </c>
      <c r="B104">
        <v>0</v>
      </c>
      <c r="C104">
        <v>0</v>
      </c>
      <c r="D104">
        <v>0</v>
      </c>
      <c r="E104">
        <v>0</v>
      </c>
      <c r="F104">
        <v>161278.14903999999</v>
      </c>
      <c r="G104">
        <v>203.01643000000001</v>
      </c>
      <c r="H104">
        <v>0</v>
      </c>
      <c r="I104">
        <v>0</v>
      </c>
      <c r="J104">
        <v>0</v>
      </c>
      <c r="K104">
        <v>0</v>
      </c>
      <c r="L104">
        <v>0</v>
      </c>
      <c r="M104">
        <v>0</v>
      </c>
      <c r="N104">
        <v>0</v>
      </c>
      <c r="O104">
        <v>0</v>
      </c>
      <c r="Q104">
        <v>5</v>
      </c>
      <c r="R104">
        <v>0</v>
      </c>
      <c r="S104">
        <v>0</v>
      </c>
      <c r="T104">
        <v>0</v>
      </c>
      <c r="U104">
        <v>0</v>
      </c>
      <c r="V104">
        <v>1414</v>
      </c>
      <c r="W104">
        <v>36</v>
      </c>
      <c r="X104">
        <v>0</v>
      </c>
      <c r="Y104">
        <v>0</v>
      </c>
      <c r="Z104">
        <v>0</v>
      </c>
      <c r="AA104">
        <v>16</v>
      </c>
      <c r="AB104">
        <v>0</v>
      </c>
      <c r="AC104">
        <v>0</v>
      </c>
      <c r="AD104">
        <v>0</v>
      </c>
      <c r="AE104">
        <v>0</v>
      </c>
      <c r="AG104" s="157">
        <v>5</v>
      </c>
      <c r="AH104">
        <v>0</v>
      </c>
      <c r="AI104">
        <v>0</v>
      </c>
      <c r="AJ104">
        <v>0</v>
      </c>
      <c r="AK104">
        <v>0</v>
      </c>
      <c r="AL104">
        <v>1414</v>
      </c>
      <c r="AM104">
        <v>36</v>
      </c>
      <c r="AN104">
        <v>0</v>
      </c>
      <c r="AO104">
        <v>0</v>
      </c>
      <c r="AP104">
        <v>0</v>
      </c>
      <c r="AQ104">
        <v>16</v>
      </c>
      <c r="AR104">
        <v>0</v>
      </c>
      <c r="AS104">
        <v>0</v>
      </c>
      <c r="AT104">
        <v>0</v>
      </c>
      <c r="AU104">
        <v>0</v>
      </c>
    </row>
    <row r="105" spans="1:47" x14ac:dyDescent="0.25">
      <c r="A105">
        <v>6</v>
      </c>
      <c r="B105">
        <v>0</v>
      </c>
      <c r="C105">
        <v>0</v>
      </c>
      <c r="D105">
        <v>0</v>
      </c>
      <c r="E105">
        <v>0</v>
      </c>
      <c r="F105">
        <v>0</v>
      </c>
      <c r="G105">
        <v>1254.6169299999999</v>
      </c>
      <c r="H105">
        <v>0</v>
      </c>
      <c r="I105">
        <v>0</v>
      </c>
      <c r="J105">
        <v>0</v>
      </c>
      <c r="K105">
        <v>0</v>
      </c>
      <c r="L105">
        <v>0</v>
      </c>
      <c r="M105">
        <v>0</v>
      </c>
      <c r="N105">
        <v>0</v>
      </c>
      <c r="O105">
        <v>0</v>
      </c>
      <c r="Q105">
        <v>6</v>
      </c>
      <c r="R105">
        <v>0</v>
      </c>
      <c r="S105">
        <v>0</v>
      </c>
      <c r="T105">
        <v>0</v>
      </c>
      <c r="U105">
        <v>0</v>
      </c>
      <c r="V105">
        <v>3</v>
      </c>
      <c r="W105">
        <v>11</v>
      </c>
      <c r="X105">
        <v>0</v>
      </c>
      <c r="Y105">
        <v>0</v>
      </c>
      <c r="Z105">
        <v>0</v>
      </c>
      <c r="AA105">
        <v>2</v>
      </c>
      <c r="AB105">
        <v>0</v>
      </c>
      <c r="AC105">
        <v>0</v>
      </c>
      <c r="AD105">
        <v>0</v>
      </c>
      <c r="AE105">
        <v>0</v>
      </c>
      <c r="AG105" s="157">
        <v>6</v>
      </c>
      <c r="AH105">
        <v>0</v>
      </c>
      <c r="AI105">
        <v>0</v>
      </c>
      <c r="AJ105">
        <v>0</v>
      </c>
      <c r="AK105">
        <v>0</v>
      </c>
      <c r="AL105">
        <v>3</v>
      </c>
      <c r="AM105">
        <v>11</v>
      </c>
      <c r="AN105">
        <v>0</v>
      </c>
      <c r="AO105">
        <v>0</v>
      </c>
      <c r="AP105">
        <v>0</v>
      </c>
      <c r="AQ105">
        <v>2</v>
      </c>
      <c r="AR105">
        <v>0</v>
      </c>
      <c r="AS105">
        <v>0</v>
      </c>
      <c r="AT105">
        <v>0</v>
      </c>
      <c r="AU105">
        <v>0</v>
      </c>
    </row>
    <row r="106" spans="1:47" x14ac:dyDescent="0.25">
      <c r="A106">
        <v>7</v>
      </c>
      <c r="B106">
        <v>0</v>
      </c>
      <c r="C106">
        <v>0</v>
      </c>
      <c r="D106">
        <v>658.77457000000004</v>
      </c>
      <c r="E106">
        <v>0</v>
      </c>
      <c r="F106">
        <v>551.78228999999999</v>
      </c>
      <c r="G106">
        <v>0</v>
      </c>
      <c r="H106">
        <v>10754.081550000001</v>
      </c>
      <c r="I106">
        <v>0</v>
      </c>
      <c r="J106">
        <v>445.12522000000001</v>
      </c>
      <c r="K106">
        <v>725.95609999999999</v>
      </c>
      <c r="L106">
        <v>510.78593999999998</v>
      </c>
      <c r="M106">
        <v>0</v>
      </c>
      <c r="N106">
        <v>0</v>
      </c>
      <c r="O106">
        <v>0</v>
      </c>
      <c r="Q106">
        <v>7</v>
      </c>
      <c r="R106">
        <v>0</v>
      </c>
      <c r="S106">
        <v>0</v>
      </c>
      <c r="T106">
        <v>177</v>
      </c>
      <c r="U106">
        <v>0</v>
      </c>
      <c r="V106">
        <v>32</v>
      </c>
      <c r="W106">
        <v>0</v>
      </c>
      <c r="X106">
        <v>1085</v>
      </c>
      <c r="Y106">
        <v>0</v>
      </c>
      <c r="Z106">
        <v>0</v>
      </c>
      <c r="AA106">
        <v>47</v>
      </c>
      <c r="AB106">
        <v>0</v>
      </c>
      <c r="AC106">
        <v>0</v>
      </c>
      <c r="AD106">
        <v>2</v>
      </c>
      <c r="AE106">
        <v>0</v>
      </c>
      <c r="AG106" s="157">
        <v>7</v>
      </c>
      <c r="AH106">
        <v>0</v>
      </c>
      <c r="AI106">
        <v>0</v>
      </c>
      <c r="AJ106">
        <v>177</v>
      </c>
      <c r="AK106">
        <v>0</v>
      </c>
      <c r="AL106">
        <v>32</v>
      </c>
      <c r="AM106">
        <v>0</v>
      </c>
      <c r="AN106">
        <v>1085</v>
      </c>
      <c r="AO106">
        <v>0</v>
      </c>
      <c r="AP106">
        <v>0</v>
      </c>
      <c r="AQ106">
        <v>47</v>
      </c>
      <c r="AR106">
        <v>0</v>
      </c>
      <c r="AS106">
        <v>0</v>
      </c>
      <c r="AT106">
        <v>2</v>
      </c>
      <c r="AU106">
        <v>0</v>
      </c>
    </row>
    <row r="107" spans="1:47" x14ac:dyDescent="0.25">
      <c r="A107">
        <v>8</v>
      </c>
      <c r="B107">
        <v>0</v>
      </c>
      <c r="C107">
        <v>0</v>
      </c>
      <c r="D107">
        <v>0</v>
      </c>
      <c r="E107">
        <v>0</v>
      </c>
      <c r="F107">
        <v>0</v>
      </c>
      <c r="G107">
        <v>0</v>
      </c>
      <c r="H107">
        <v>0</v>
      </c>
      <c r="I107">
        <v>0</v>
      </c>
      <c r="J107">
        <v>0</v>
      </c>
      <c r="K107">
        <v>0</v>
      </c>
      <c r="L107">
        <v>0</v>
      </c>
      <c r="M107">
        <v>0</v>
      </c>
      <c r="N107">
        <v>0</v>
      </c>
      <c r="O107">
        <v>0</v>
      </c>
      <c r="Q107">
        <v>8</v>
      </c>
      <c r="R107">
        <v>0</v>
      </c>
      <c r="S107">
        <v>0</v>
      </c>
      <c r="T107">
        <v>0</v>
      </c>
      <c r="U107">
        <v>0</v>
      </c>
      <c r="V107">
        <v>0</v>
      </c>
      <c r="W107">
        <v>0</v>
      </c>
      <c r="X107">
        <v>0</v>
      </c>
      <c r="Y107">
        <v>5</v>
      </c>
      <c r="Z107">
        <v>0</v>
      </c>
      <c r="AA107">
        <v>0</v>
      </c>
      <c r="AB107">
        <v>0</v>
      </c>
      <c r="AC107">
        <v>0</v>
      </c>
      <c r="AD107">
        <v>0</v>
      </c>
      <c r="AE107">
        <v>0</v>
      </c>
      <c r="AG107" s="157">
        <v>8</v>
      </c>
      <c r="AH107">
        <v>0</v>
      </c>
      <c r="AI107">
        <v>0</v>
      </c>
      <c r="AJ107">
        <v>0</v>
      </c>
      <c r="AK107">
        <v>0</v>
      </c>
      <c r="AL107">
        <v>0</v>
      </c>
      <c r="AM107">
        <v>0</v>
      </c>
      <c r="AN107">
        <v>0</v>
      </c>
      <c r="AO107">
        <v>5</v>
      </c>
      <c r="AP107">
        <v>0</v>
      </c>
      <c r="AQ107">
        <v>0</v>
      </c>
      <c r="AR107">
        <v>0</v>
      </c>
      <c r="AS107">
        <v>0</v>
      </c>
      <c r="AT107">
        <v>0</v>
      </c>
      <c r="AU107">
        <v>0</v>
      </c>
    </row>
    <row r="108" spans="1:47" x14ac:dyDescent="0.25">
      <c r="A108">
        <v>9</v>
      </c>
      <c r="B108">
        <v>0</v>
      </c>
      <c r="C108">
        <v>0</v>
      </c>
      <c r="D108">
        <v>0</v>
      </c>
      <c r="E108">
        <v>0</v>
      </c>
      <c r="F108">
        <v>0</v>
      </c>
      <c r="G108">
        <v>0</v>
      </c>
      <c r="H108">
        <v>0</v>
      </c>
      <c r="I108">
        <v>0</v>
      </c>
      <c r="J108">
        <v>6967.78647</v>
      </c>
      <c r="K108">
        <v>1528.0536</v>
      </c>
      <c r="L108">
        <v>0</v>
      </c>
      <c r="M108">
        <v>0</v>
      </c>
      <c r="N108">
        <v>0</v>
      </c>
      <c r="O108">
        <v>0</v>
      </c>
      <c r="Q108">
        <v>9</v>
      </c>
      <c r="R108">
        <v>0</v>
      </c>
      <c r="S108">
        <v>0</v>
      </c>
      <c r="T108">
        <v>0</v>
      </c>
      <c r="U108">
        <v>0</v>
      </c>
      <c r="V108">
        <v>0</v>
      </c>
      <c r="W108">
        <v>0</v>
      </c>
      <c r="X108">
        <v>0</v>
      </c>
      <c r="Y108">
        <v>0</v>
      </c>
      <c r="Z108">
        <v>0</v>
      </c>
      <c r="AA108">
        <v>0</v>
      </c>
      <c r="AB108">
        <v>0</v>
      </c>
      <c r="AC108">
        <v>0</v>
      </c>
      <c r="AD108">
        <v>0</v>
      </c>
      <c r="AE108">
        <v>0</v>
      </c>
      <c r="AG108" s="157">
        <v>9</v>
      </c>
      <c r="AH108">
        <v>0</v>
      </c>
      <c r="AI108">
        <v>0</v>
      </c>
      <c r="AJ108">
        <v>0</v>
      </c>
      <c r="AK108">
        <v>0</v>
      </c>
      <c r="AL108">
        <v>0</v>
      </c>
      <c r="AM108">
        <v>0</v>
      </c>
      <c r="AN108">
        <v>0</v>
      </c>
      <c r="AO108">
        <v>0</v>
      </c>
      <c r="AP108">
        <v>0</v>
      </c>
      <c r="AQ108">
        <v>0</v>
      </c>
      <c r="AR108">
        <v>0</v>
      </c>
      <c r="AS108">
        <v>0</v>
      </c>
      <c r="AT108">
        <v>0</v>
      </c>
      <c r="AU108">
        <v>0</v>
      </c>
    </row>
    <row r="109" spans="1:47" x14ac:dyDescent="0.25">
      <c r="A109">
        <v>10</v>
      </c>
      <c r="B109">
        <v>0</v>
      </c>
      <c r="C109">
        <v>0</v>
      </c>
      <c r="D109">
        <v>0</v>
      </c>
      <c r="E109">
        <v>0</v>
      </c>
      <c r="F109">
        <v>0</v>
      </c>
      <c r="G109">
        <v>0</v>
      </c>
      <c r="H109">
        <v>0</v>
      </c>
      <c r="I109">
        <v>0</v>
      </c>
      <c r="J109">
        <v>0</v>
      </c>
      <c r="K109">
        <v>802.09749999999997</v>
      </c>
      <c r="L109">
        <v>0</v>
      </c>
      <c r="M109">
        <v>0</v>
      </c>
      <c r="N109">
        <v>0</v>
      </c>
      <c r="O109">
        <v>0</v>
      </c>
      <c r="Q109">
        <v>10</v>
      </c>
      <c r="R109">
        <v>0</v>
      </c>
      <c r="S109">
        <v>0</v>
      </c>
      <c r="T109">
        <v>0</v>
      </c>
      <c r="U109">
        <v>0</v>
      </c>
      <c r="V109">
        <v>0</v>
      </c>
      <c r="W109">
        <v>0</v>
      </c>
      <c r="X109">
        <v>0</v>
      </c>
      <c r="Y109">
        <v>0</v>
      </c>
      <c r="Z109">
        <v>0</v>
      </c>
      <c r="AA109">
        <v>1359</v>
      </c>
      <c r="AB109">
        <v>0</v>
      </c>
      <c r="AC109">
        <v>0</v>
      </c>
      <c r="AD109">
        <v>0</v>
      </c>
      <c r="AE109">
        <v>0</v>
      </c>
      <c r="AG109" s="157">
        <v>10</v>
      </c>
      <c r="AH109">
        <v>0</v>
      </c>
      <c r="AI109">
        <v>0</v>
      </c>
      <c r="AJ109">
        <v>0</v>
      </c>
      <c r="AK109">
        <v>0</v>
      </c>
      <c r="AL109">
        <v>0</v>
      </c>
      <c r="AM109">
        <v>0</v>
      </c>
      <c r="AN109">
        <v>0</v>
      </c>
      <c r="AO109">
        <v>0</v>
      </c>
      <c r="AP109">
        <v>0</v>
      </c>
      <c r="AQ109">
        <v>1359</v>
      </c>
      <c r="AR109">
        <v>0</v>
      </c>
      <c r="AS109">
        <v>0</v>
      </c>
      <c r="AT109">
        <v>0</v>
      </c>
      <c r="AU109">
        <v>0</v>
      </c>
    </row>
    <row r="110" spans="1:47" x14ac:dyDescent="0.25">
      <c r="A110">
        <v>11</v>
      </c>
      <c r="B110">
        <v>0</v>
      </c>
      <c r="C110">
        <v>0</v>
      </c>
      <c r="D110">
        <v>0</v>
      </c>
      <c r="E110">
        <v>0</v>
      </c>
      <c r="F110">
        <v>0</v>
      </c>
      <c r="G110">
        <v>0</v>
      </c>
      <c r="H110">
        <v>0</v>
      </c>
      <c r="I110">
        <v>0</v>
      </c>
      <c r="J110">
        <v>0</v>
      </c>
      <c r="K110">
        <v>0</v>
      </c>
      <c r="L110">
        <v>1021.57188</v>
      </c>
      <c r="M110">
        <v>0</v>
      </c>
      <c r="N110">
        <v>0</v>
      </c>
      <c r="O110">
        <v>0</v>
      </c>
      <c r="Q110">
        <v>11</v>
      </c>
      <c r="R110">
        <v>0</v>
      </c>
      <c r="S110">
        <v>0</v>
      </c>
      <c r="T110">
        <v>0</v>
      </c>
      <c r="U110">
        <v>0</v>
      </c>
      <c r="V110">
        <v>0</v>
      </c>
      <c r="W110">
        <v>0</v>
      </c>
      <c r="X110">
        <v>0</v>
      </c>
      <c r="Y110">
        <v>0</v>
      </c>
      <c r="Z110">
        <v>0</v>
      </c>
      <c r="AA110">
        <v>0</v>
      </c>
      <c r="AB110">
        <v>49</v>
      </c>
      <c r="AC110">
        <v>0</v>
      </c>
      <c r="AD110">
        <v>0</v>
      </c>
      <c r="AE110">
        <v>0</v>
      </c>
      <c r="AG110" s="157">
        <v>11</v>
      </c>
      <c r="AH110">
        <v>0</v>
      </c>
      <c r="AI110">
        <v>0</v>
      </c>
      <c r="AJ110">
        <v>0</v>
      </c>
      <c r="AK110">
        <v>0</v>
      </c>
      <c r="AL110">
        <v>0</v>
      </c>
      <c r="AM110">
        <v>0</v>
      </c>
      <c r="AN110">
        <v>0</v>
      </c>
      <c r="AO110">
        <v>0</v>
      </c>
      <c r="AP110">
        <v>0</v>
      </c>
      <c r="AQ110">
        <v>0</v>
      </c>
      <c r="AR110">
        <v>49</v>
      </c>
      <c r="AS110">
        <v>0</v>
      </c>
      <c r="AT110">
        <v>0</v>
      </c>
      <c r="AU110">
        <v>0</v>
      </c>
    </row>
    <row r="111" spans="1:47" x14ac:dyDescent="0.25">
      <c r="A111">
        <v>12</v>
      </c>
      <c r="B111">
        <v>0</v>
      </c>
      <c r="C111">
        <v>0</v>
      </c>
      <c r="D111">
        <v>0</v>
      </c>
      <c r="E111">
        <v>0</v>
      </c>
      <c r="F111">
        <v>0</v>
      </c>
      <c r="G111">
        <v>0</v>
      </c>
      <c r="H111">
        <v>0</v>
      </c>
      <c r="I111">
        <v>0</v>
      </c>
      <c r="J111">
        <v>0</v>
      </c>
      <c r="K111">
        <v>0</v>
      </c>
      <c r="L111">
        <v>0</v>
      </c>
      <c r="M111">
        <v>390.57393999999999</v>
      </c>
      <c r="N111">
        <v>0</v>
      </c>
      <c r="O111">
        <v>0</v>
      </c>
      <c r="Q111">
        <v>12</v>
      </c>
      <c r="R111">
        <v>0</v>
      </c>
      <c r="S111">
        <v>0</v>
      </c>
      <c r="T111">
        <v>0</v>
      </c>
      <c r="U111">
        <v>0</v>
      </c>
      <c r="V111">
        <v>0</v>
      </c>
      <c r="W111">
        <v>0</v>
      </c>
      <c r="X111">
        <v>0</v>
      </c>
      <c r="Y111">
        <v>0</v>
      </c>
      <c r="Z111">
        <v>0</v>
      </c>
      <c r="AA111">
        <v>0</v>
      </c>
      <c r="AB111">
        <v>0</v>
      </c>
      <c r="AC111">
        <v>0</v>
      </c>
      <c r="AD111">
        <v>0</v>
      </c>
      <c r="AE111">
        <v>0</v>
      </c>
      <c r="AG111" s="157">
        <v>12</v>
      </c>
      <c r="AH111">
        <v>0</v>
      </c>
      <c r="AI111">
        <v>0</v>
      </c>
      <c r="AJ111">
        <v>0</v>
      </c>
      <c r="AK111">
        <v>0</v>
      </c>
      <c r="AL111">
        <v>0</v>
      </c>
      <c r="AM111">
        <v>0</v>
      </c>
      <c r="AN111">
        <v>0</v>
      </c>
      <c r="AO111">
        <v>0</v>
      </c>
      <c r="AP111">
        <v>0</v>
      </c>
      <c r="AQ111">
        <v>0</v>
      </c>
      <c r="AR111">
        <v>0</v>
      </c>
      <c r="AS111">
        <v>0</v>
      </c>
      <c r="AT111">
        <v>0</v>
      </c>
      <c r="AU111">
        <v>0</v>
      </c>
    </row>
    <row r="112" spans="1:47" x14ac:dyDescent="0.25">
      <c r="A112">
        <v>13</v>
      </c>
      <c r="B112">
        <v>0</v>
      </c>
      <c r="C112">
        <v>0</v>
      </c>
      <c r="D112">
        <v>0</v>
      </c>
      <c r="E112">
        <v>0</v>
      </c>
      <c r="F112">
        <v>0</v>
      </c>
      <c r="G112">
        <v>0</v>
      </c>
      <c r="H112">
        <v>0</v>
      </c>
      <c r="I112">
        <v>0</v>
      </c>
      <c r="J112">
        <v>0</v>
      </c>
      <c r="K112">
        <v>0</v>
      </c>
      <c r="L112">
        <v>0</v>
      </c>
      <c r="M112">
        <v>0</v>
      </c>
      <c r="N112">
        <v>211.89824999999999</v>
      </c>
      <c r="O112">
        <v>0</v>
      </c>
      <c r="Q112">
        <v>13</v>
      </c>
      <c r="R112">
        <v>0</v>
      </c>
      <c r="S112">
        <v>0</v>
      </c>
      <c r="T112">
        <v>0</v>
      </c>
      <c r="U112">
        <v>0</v>
      </c>
      <c r="V112">
        <v>0</v>
      </c>
      <c r="W112">
        <v>0</v>
      </c>
      <c r="X112">
        <v>0</v>
      </c>
      <c r="Y112">
        <v>0</v>
      </c>
      <c r="Z112">
        <v>0</v>
      </c>
      <c r="AA112">
        <v>27</v>
      </c>
      <c r="AB112">
        <v>0</v>
      </c>
      <c r="AC112">
        <v>0</v>
      </c>
      <c r="AD112">
        <v>57</v>
      </c>
      <c r="AE112">
        <v>0</v>
      </c>
      <c r="AG112" s="157">
        <v>13</v>
      </c>
      <c r="AH112">
        <v>0</v>
      </c>
      <c r="AI112">
        <v>0</v>
      </c>
      <c r="AJ112">
        <v>0</v>
      </c>
      <c r="AK112">
        <v>0</v>
      </c>
      <c r="AL112">
        <v>0</v>
      </c>
      <c r="AM112">
        <v>0</v>
      </c>
      <c r="AN112">
        <v>0</v>
      </c>
      <c r="AO112">
        <v>0</v>
      </c>
      <c r="AP112">
        <v>0</v>
      </c>
      <c r="AQ112">
        <v>27</v>
      </c>
      <c r="AR112">
        <v>0</v>
      </c>
      <c r="AS112">
        <v>0</v>
      </c>
      <c r="AT112">
        <v>57</v>
      </c>
      <c r="AU112">
        <v>0</v>
      </c>
    </row>
    <row r="113" spans="1:47" x14ac:dyDescent="0.25">
      <c r="A113">
        <v>14</v>
      </c>
      <c r="B113">
        <v>0</v>
      </c>
      <c r="C113">
        <v>0</v>
      </c>
      <c r="D113">
        <v>0</v>
      </c>
      <c r="E113">
        <v>0</v>
      </c>
      <c r="F113">
        <v>0</v>
      </c>
      <c r="G113">
        <v>0</v>
      </c>
      <c r="H113">
        <v>0</v>
      </c>
      <c r="I113">
        <v>0</v>
      </c>
      <c r="J113">
        <v>0</v>
      </c>
      <c r="K113">
        <v>0</v>
      </c>
      <c r="L113">
        <v>0</v>
      </c>
      <c r="M113">
        <v>0</v>
      </c>
      <c r="N113">
        <v>0</v>
      </c>
      <c r="O113">
        <v>0</v>
      </c>
      <c r="Q113">
        <v>14</v>
      </c>
      <c r="R113">
        <v>0</v>
      </c>
      <c r="S113">
        <v>0</v>
      </c>
      <c r="T113">
        <v>0</v>
      </c>
      <c r="U113">
        <v>0</v>
      </c>
      <c r="V113">
        <v>0</v>
      </c>
      <c r="W113">
        <v>0</v>
      </c>
      <c r="X113">
        <v>0</v>
      </c>
      <c r="Y113">
        <v>0</v>
      </c>
      <c r="Z113">
        <v>0</v>
      </c>
      <c r="AA113">
        <v>0</v>
      </c>
      <c r="AB113">
        <v>0</v>
      </c>
      <c r="AC113">
        <v>0</v>
      </c>
      <c r="AD113">
        <v>0</v>
      </c>
      <c r="AE113">
        <v>0</v>
      </c>
      <c r="AG113" s="157">
        <v>14</v>
      </c>
      <c r="AH113">
        <v>0</v>
      </c>
      <c r="AI113">
        <v>0</v>
      </c>
      <c r="AJ113">
        <v>0</v>
      </c>
      <c r="AK113">
        <v>0</v>
      </c>
      <c r="AL113">
        <v>0</v>
      </c>
      <c r="AM113">
        <v>0</v>
      </c>
      <c r="AN113">
        <v>0</v>
      </c>
      <c r="AO113">
        <v>0</v>
      </c>
      <c r="AP113">
        <v>0</v>
      </c>
      <c r="AQ113">
        <v>0</v>
      </c>
      <c r="AR113">
        <v>0</v>
      </c>
      <c r="AS113">
        <v>0</v>
      </c>
      <c r="AT113">
        <v>0</v>
      </c>
      <c r="AU113">
        <v>0</v>
      </c>
    </row>
    <row r="114" spans="1:47" x14ac:dyDescent="0.25">
      <c r="A114" t="s">
        <v>197</v>
      </c>
      <c r="Q114" t="s">
        <v>197</v>
      </c>
    </row>
    <row r="115" spans="1:47" x14ac:dyDescent="0.25">
      <c r="B115" t="s">
        <v>208</v>
      </c>
      <c r="C115" t="s">
        <v>209</v>
      </c>
      <c r="D115" t="s">
        <v>210</v>
      </c>
      <c r="E115" t="s">
        <v>211</v>
      </c>
      <c r="F115" t="s">
        <v>212</v>
      </c>
      <c r="G115" t="s">
        <v>213</v>
      </c>
      <c r="H115" t="s">
        <v>214</v>
      </c>
      <c r="I115" t="s">
        <v>215</v>
      </c>
      <c r="J115" t="s">
        <v>216</v>
      </c>
      <c r="K115" t="s">
        <v>400</v>
      </c>
      <c r="L115" t="s">
        <v>401</v>
      </c>
      <c r="M115" t="s">
        <v>402</v>
      </c>
      <c r="N115" t="s">
        <v>403</v>
      </c>
      <c r="O115" t="s">
        <v>404</v>
      </c>
      <c r="R115" t="s">
        <v>208</v>
      </c>
      <c r="S115" t="s">
        <v>209</v>
      </c>
      <c r="T115" t="s">
        <v>210</v>
      </c>
      <c r="U115" t="s">
        <v>211</v>
      </c>
      <c r="V115" t="s">
        <v>212</v>
      </c>
      <c r="W115" t="s">
        <v>213</v>
      </c>
      <c r="X115" t="s">
        <v>214</v>
      </c>
      <c r="Y115" t="s">
        <v>215</v>
      </c>
      <c r="Z115" t="s">
        <v>216</v>
      </c>
      <c r="AA115" t="s">
        <v>400</v>
      </c>
      <c r="AB115" t="s">
        <v>401</v>
      </c>
      <c r="AC115" t="s">
        <v>402</v>
      </c>
      <c r="AD115" t="s">
        <v>403</v>
      </c>
      <c r="AE115" t="s">
        <v>404</v>
      </c>
      <c r="AH115" t="s">
        <v>674</v>
      </c>
      <c r="AI115" t="s">
        <v>675</v>
      </c>
      <c r="AJ115" t="s">
        <v>676</v>
      </c>
      <c r="AK115" t="s">
        <v>677</v>
      </c>
      <c r="AL115" t="s">
        <v>678</v>
      </c>
      <c r="AM115" t="s">
        <v>679</v>
      </c>
      <c r="AN115" t="s">
        <v>680</v>
      </c>
      <c r="AO115" t="s">
        <v>681</v>
      </c>
      <c r="AP115" t="s">
        <v>682</v>
      </c>
      <c r="AQ115" t="s">
        <v>683</v>
      </c>
      <c r="AR115" t="s">
        <v>684</v>
      </c>
      <c r="AS115" t="s">
        <v>685</v>
      </c>
      <c r="AT115" t="s">
        <v>686</v>
      </c>
      <c r="AU115" t="s">
        <v>687</v>
      </c>
    </row>
    <row r="116" spans="1:47" x14ac:dyDescent="0.25">
      <c r="A116">
        <v>1</v>
      </c>
      <c r="B116">
        <v>54.68186</v>
      </c>
      <c r="C116">
        <v>0</v>
      </c>
      <c r="D116">
        <v>39.599130000000002</v>
      </c>
      <c r="E116">
        <v>12.729279999999999</v>
      </c>
      <c r="F116">
        <v>344.31243000000001</v>
      </c>
      <c r="G116">
        <v>0</v>
      </c>
      <c r="H116">
        <v>0</v>
      </c>
      <c r="I116">
        <v>0</v>
      </c>
      <c r="J116">
        <v>0</v>
      </c>
      <c r="K116">
        <v>0</v>
      </c>
      <c r="L116">
        <v>0</v>
      </c>
      <c r="M116">
        <v>0</v>
      </c>
      <c r="N116">
        <v>0</v>
      </c>
      <c r="O116">
        <v>0</v>
      </c>
      <c r="Q116">
        <v>1</v>
      </c>
      <c r="R116">
        <v>0</v>
      </c>
      <c r="S116">
        <v>0</v>
      </c>
      <c r="T116">
        <v>0</v>
      </c>
      <c r="U116">
        <v>0</v>
      </c>
      <c r="V116">
        <v>0</v>
      </c>
      <c r="W116">
        <v>0</v>
      </c>
      <c r="X116">
        <v>0</v>
      </c>
      <c r="Y116">
        <v>0</v>
      </c>
      <c r="Z116">
        <v>0</v>
      </c>
      <c r="AA116">
        <v>0</v>
      </c>
      <c r="AB116">
        <v>0</v>
      </c>
      <c r="AC116">
        <v>0</v>
      </c>
      <c r="AD116">
        <v>0</v>
      </c>
      <c r="AE116">
        <v>0</v>
      </c>
      <c r="AG116">
        <v>1</v>
      </c>
      <c r="AH116">
        <v>0</v>
      </c>
      <c r="AI116">
        <v>0</v>
      </c>
      <c r="AJ116">
        <v>0</v>
      </c>
      <c r="AK116">
        <v>0</v>
      </c>
      <c r="AL116">
        <v>0</v>
      </c>
      <c r="AM116">
        <v>0</v>
      </c>
      <c r="AN116">
        <v>0</v>
      </c>
      <c r="AO116">
        <v>0</v>
      </c>
      <c r="AP116">
        <v>0</v>
      </c>
      <c r="AQ116">
        <v>0</v>
      </c>
      <c r="AR116">
        <v>0</v>
      </c>
      <c r="AS116">
        <v>0</v>
      </c>
      <c r="AT116">
        <v>0</v>
      </c>
      <c r="AU116">
        <v>0</v>
      </c>
    </row>
    <row r="117" spans="1:47" x14ac:dyDescent="0.25">
      <c r="A117">
        <v>2</v>
      </c>
      <c r="B117">
        <v>0</v>
      </c>
      <c r="C117">
        <v>0</v>
      </c>
      <c r="D117">
        <v>0</v>
      </c>
      <c r="E117">
        <v>0</v>
      </c>
      <c r="F117">
        <v>0</v>
      </c>
      <c r="G117">
        <v>0</v>
      </c>
      <c r="H117">
        <v>0</v>
      </c>
      <c r="I117">
        <v>0</v>
      </c>
      <c r="J117">
        <v>0</v>
      </c>
      <c r="K117">
        <v>0</v>
      </c>
      <c r="L117">
        <v>0</v>
      </c>
      <c r="M117">
        <v>0</v>
      </c>
      <c r="N117">
        <v>0</v>
      </c>
      <c r="O117">
        <v>0</v>
      </c>
      <c r="Q117">
        <v>2</v>
      </c>
      <c r="R117">
        <v>0</v>
      </c>
      <c r="S117">
        <v>0</v>
      </c>
      <c r="T117">
        <v>0</v>
      </c>
      <c r="U117">
        <v>0</v>
      </c>
      <c r="V117">
        <v>0</v>
      </c>
      <c r="W117">
        <v>0</v>
      </c>
      <c r="X117">
        <v>0</v>
      </c>
      <c r="Y117">
        <v>0</v>
      </c>
      <c r="Z117">
        <v>0</v>
      </c>
      <c r="AA117">
        <v>0</v>
      </c>
      <c r="AB117">
        <v>0</v>
      </c>
      <c r="AC117">
        <v>0</v>
      </c>
      <c r="AD117">
        <v>0</v>
      </c>
      <c r="AE117">
        <v>0</v>
      </c>
      <c r="AG117">
        <v>2</v>
      </c>
      <c r="AH117">
        <v>0</v>
      </c>
      <c r="AI117">
        <v>0</v>
      </c>
      <c r="AJ117">
        <v>0</v>
      </c>
      <c r="AK117">
        <v>0</v>
      </c>
      <c r="AL117">
        <v>0</v>
      </c>
      <c r="AM117">
        <v>0</v>
      </c>
      <c r="AN117">
        <v>0</v>
      </c>
      <c r="AO117">
        <v>0</v>
      </c>
      <c r="AP117">
        <v>0</v>
      </c>
      <c r="AQ117">
        <v>0</v>
      </c>
      <c r="AR117">
        <v>0</v>
      </c>
      <c r="AS117">
        <v>0</v>
      </c>
      <c r="AT117">
        <v>0</v>
      </c>
      <c r="AU117">
        <v>0</v>
      </c>
    </row>
    <row r="118" spans="1:47" x14ac:dyDescent="0.25">
      <c r="A118">
        <v>3</v>
      </c>
      <c r="B118">
        <v>0</v>
      </c>
      <c r="C118">
        <v>0</v>
      </c>
      <c r="D118">
        <v>108953.89004</v>
      </c>
      <c r="E118">
        <v>0</v>
      </c>
      <c r="F118">
        <v>15209.7605</v>
      </c>
      <c r="G118">
        <v>145.88488000000001</v>
      </c>
      <c r="H118">
        <v>0</v>
      </c>
      <c r="I118">
        <v>0</v>
      </c>
      <c r="J118">
        <v>0</v>
      </c>
      <c r="K118">
        <v>0</v>
      </c>
      <c r="L118">
        <v>133.93227999999999</v>
      </c>
      <c r="M118">
        <v>397.31376</v>
      </c>
      <c r="N118">
        <v>0</v>
      </c>
      <c r="O118">
        <v>0</v>
      </c>
      <c r="Q118">
        <v>3</v>
      </c>
      <c r="R118">
        <v>0</v>
      </c>
      <c r="S118">
        <v>0</v>
      </c>
      <c r="T118">
        <v>2016</v>
      </c>
      <c r="U118">
        <v>45</v>
      </c>
      <c r="V118">
        <v>47</v>
      </c>
      <c r="W118">
        <v>2</v>
      </c>
      <c r="X118">
        <v>0</v>
      </c>
      <c r="Y118">
        <v>0</v>
      </c>
      <c r="Z118">
        <v>0</v>
      </c>
      <c r="AA118">
        <v>36</v>
      </c>
      <c r="AB118">
        <v>0</v>
      </c>
      <c r="AC118">
        <v>0</v>
      </c>
      <c r="AD118">
        <v>0</v>
      </c>
      <c r="AE118">
        <v>0</v>
      </c>
      <c r="AG118">
        <v>3</v>
      </c>
      <c r="AH118">
        <v>0</v>
      </c>
      <c r="AI118">
        <v>0</v>
      </c>
      <c r="AJ118">
        <v>2016</v>
      </c>
      <c r="AK118">
        <v>45</v>
      </c>
      <c r="AL118">
        <v>47</v>
      </c>
      <c r="AM118">
        <v>2</v>
      </c>
      <c r="AN118">
        <v>0</v>
      </c>
      <c r="AO118">
        <v>0</v>
      </c>
      <c r="AP118">
        <v>0</v>
      </c>
      <c r="AQ118">
        <v>36</v>
      </c>
      <c r="AR118">
        <v>0</v>
      </c>
      <c r="AS118">
        <v>0</v>
      </c>
      <c r="AT118">
        <v>0</v>
      </c>
      <c r="AU118">
        <v>0</v>
      </c>
    </row>
    <row r="119" spans="1:47" x14ac:dyDescent="0.25">
      <c r="A119">
        <v>4</v>
      </c>
      <c r="B119">
        <v>0</v>
      </c>
      <c r="C119">
        <v>0</v>
      </c>
      <c r="D119">
        <v>0</v>
      </c>
      <c r="E119">
        <v>1492.9328700000001</v>
      </c>
      <c r="F119">
        <v>0</v>
      </c>
      <c r="G119">
        <v>13.45144</v>
      </c>
      <c r="H119">
        <v>0</v>
      </c>
      <c r="I119">
        <v>0</v>
      </c>
      <c r="J119">
        <v>0</v>
      </c>
      <c r="K119">
        <v>0</v>
      </c>
      <c r="L119">
        <v>0</v>
      </c>
      <c r="M119">
        <v>0</v>
      </c>
      <c r="N119">
        <v>0</v>
      </c>
      <c r="O119">
        <v>0</v>
      </c>
      <c r="Q119">
        <v>4</v>
      </c>
      <c r="R119">
        <v>0</v>
      </c>
      <c r="S119">
        <v>0</v>
      </c>
      <c r="T119">
        <v>0</v>
      </c>
      <c r="U119">
        <v>22</v>
      </c>
      <c r="V119">
        <v>0</v>
      </c>
      <c r="W119">
        <v>2</v>
      </c>
      <c r="X119">
        <v>0</v>
      </c>
      <c r="Y119">
        <v>0</v>
      </c>
      <c r="Z119">
        <v>0</v>
      </c>
      <c r="AA119">
        <v>0</v>
      </c>
      <c r="AB119">
        <v>0</v>
      </c>
      <c r="AC119">
        <v>0</v>
      </c>
      <c r="AD119">
        <v>0</v>
      </c>
      <c r="AE119">
        <v>0</v>
      </c>
      <c r="AG119">
        <v>4</v>
      </c>
      <c r="AH119">
        <v>0</v>
      </c>
      <c r="AI119">
        <v>0</v>
      </c>
      <c r="AJ119">
        <v>0</v>
      </c>
      <c r="AK119">
        <v>22</v>
      </c>
      <c r="AL119">
        <v>0</v>
      </c>
      <c r="AM119">
        <v>2</v>
      </c>
      <c r="AN119">
        <v>0</v>
      </c>
      <c r="AO119">
        <v>0</v>
      </c>
      <c r="AP119">
        <v>0</v>
      </c>
      <c r="AQ119">
        <v>0</v>
      </c>
      <c r="AR119">
        <v>0</v>
      </c>
      <c r="AS119">
        <v>0</v>
      </c>
      <c r="AT119">
        <v>0</v>
      </c>
      <c r="AU119">
        <v>0</v>
      </c>
    </row>
    <row r="120" spans="1:47" x14ac:dyDescent="0.25">
      <c r="A120">
        <v>5</v>
      </c>
      <c r="B120">
        <v>0</v>
      </c>
      <c r="C120">
        <v>0</v>
      </c>
      <c r="D120">
        <v>0</v>
      </c>
      <c r="E120">
        <v>0</v>
      </c>
      <c r="F120">
        <v>164371.74776</v>
      </c>
      <c r="G120">
        <v>666.58996999999999</v>
      </c>
      <c r="H120">
        <v>0</v>
      </c>
      <c r="I120">
        <v>0</v>
      </c>
      <c r="J120">
        <v>0</v>
      </c>
      <c r="K120">
        <v>0</v>
      </c>
      <c r="L120">
        <v>402.08407999999997</v>
      </c>
      <c r="M120">
        <v>0</v>
      </c>
      <c r="N120">
        <v>0</v>
      </c>
      <c r="O120">
        <v>0</v>
      </c>
      <c r="Q120">
        <v>5</v>
      </c>
      <c r="R120">
        <v>0</v>
      </c>
      <c r="S120">
        <v>0</v>
      </c>
      <c r="T120">
        <v>0</v>
      </c>
      <c r="U120">
        <v>0</v>
      </c>
      <c r="V120">
        <v>796</v>
      </c>
      <c r="W120">
        <v>44</v>
      </c>
      <c r="X120">
        <v>0</v>
      </c>
      <c r="Y120">
        <v>0</v>
      </c>
      <c r="Z120">
        <v>0</v>
      </c>
      <c r="AA120">
        <v>3</v>
      </c>
      <c r="AB120">
        <v>0</v>
      </c>
      <c r="AC120">
        <v>0</v>
      </c>
      <c r="AD120">
        <v>0</v>
      </c>
      <c r="AE120">
        <v>0</v>
      </c>
      <c r="AG120">
        <v>5</v>
      </c>
      <c r="AH120">
        <v>0</v>
      </c>
      <c r="AI120">
        <v>0</v>
      </c>
      <c r="AJ120">
        <v>0</v>
      </c>
      <c r="AK120">
        <v>0</v>
      </c>
      <c r="AL120">
        <v>796</v>
      </c>
      <c r="AM120">
        <v>44</v>
      </c>
      <c r="AN120">
        <v>0</v>
      </c>
      <c r="AO120">
        <v>0</v>
      </c>
      <c r="AP120">
        <v>0</v>
      </c>
      <c r="AQ120">
        <v>3</v>
      </c>
      <c r="AR120">
        <v>0</v>
      </c>
      <c r="AS120">
        <v>0</v>
      </c>
      <c r="AT120">
        <v>0</v>
      </c>
      <c r="AU120">
        <v>0</v>
      </c>
    </row>
    <row r="121" spans="1:47" x14ac:dyDescent="0.25">
      <c r="A121">
        <v>6</v>
      </c>
      <c r="B121">
        <v>0</v>
      </c>
      <c r="C121">
        <v>0</v>
      </c>
      <c r="D121">
        <v>0</v>
      </c>
      <c r="E121">
        <v>0</v>
      </c>
      <c r="F121">
        <v>0</v>
      </c>
      <c r="G121">
        <v>1427.4335699999999</v>
      </c>
      <c r="H121">
        <v>0</v>
      </c>
      <c r="I121">
        <v>0</v>
      </c>
      <c r="J121">
        <v>0</v>
      </c>
      <c r="K121">
        <v>0</v>
      </c>
      <c r="L121">
        <v>0</v>
      </c>
      <c r="M121">
        <v>0</v>
      </c>
      <c r="N121">
        <v>0</v>
      </c>
      <c r="O121">
        <v>0</v>
      </c>
      <c r="Q121">
        <v>6</v>
      </c>
      <c r="R121">
        <v>0</v>
      </c>
      <c r="S121">
        <v>0</v>
      </c>
      <c r="T121">
        <v>0</v>
      </c>
      <c r="U121">
        <v>0</v>
      </c>
      <c r="V121">
        <v>8</v>
      </c>
      <c r="W121">
        <v>12</v>
      </c>
      <c r="X121">
        <v>0</v>
      </c>
      <c r="Y121">
        <v>0</v>
      </c>
      <c r="Z121">
        <v>0</v>
      </c>
      <c r="AA121">
        <v>1</v>
      </c>
      <c r="AB121">
        <v>0</v>
      </c>
      <c r="AC121">
        <v>0</v>
      </c>
      <c r="AD121">
        <v>0</v>
      </c>
      <c r="AE121">
        <v>0</v>
      </c>
      <c r="AG121">
        <v>6</v>
      </c>
      <c r="AH121">
        <v>0</v>
      </c>
      <c r="AI121">
        <v>0</v>
      </c>
      <c r="AJ121">
        <v>0</v>
      </c>
      <c r="AK121">
        <v>0</v>
      </c>
      <c r="AL121">
        <v>8</v>
      </c>
      <c r="AM121">
        <v>12</v>
      </c>
      <c r="AN121">
        <v>0</v>
      </c>
      <c r="AO121">
        <v>0</v>
      </c>
      <c r="AP121">
        <v>0</v>
      </c>
      <c r="AQ121">
        <v>1</v>
      </c>
      <c r="AR121">
        <v>0</v>
      </c>
      <c r="AS121">
        <v>0</v>
      </c>
      <c r="AT121">
        <v>0</v>
      </c>
      <c r="AU121">
        <v>0</v>
      </c>
    </row>
    <row r="122" spans="1:47" x14ac:dyDescent="0.25">
      <c r="A122">
        <v>7</v>
      </c>
      <c r="B122">
        <v>0</v>
      </c>
      <c r="C122">
        <v>0</v>
      </c>
      <c r="D122">
        <v>516.18160999999998</v>
      </c>
      <c r="E122">
        <v>0</v>
      </c>
      <c r="F122">
        <v>1401.4105199999999</v>
      </c>
      <c r="G122">
        <v>0</v>
      </c>
      <c r="H122">
        <v>24414.44299</v>
      </c>
      <c r="I122">
        <v>0</v>
      </c>
      <c r="J122">
        <v>0</v>
      </c>
      <c r="K122">
        <v>0</v>
      </c>
      <c r="L122">
        <v>0</v>
      </c>
      <c r="M122">
        <v>0</v>
      </c>
      <c r="N122">
        <v>0</v>
      </c>
      <c r="O122">
        <v>0</v>
      </c>
      <c r="Q122">
        <v>7</v>
      </c>
      <c r="R122">
        <v>0</v>
      </c>
      <c r="S122">
        <v>0</v>
      </c>
      <c r="T122">
        <v>67</v>
      </c>
      <c r="U122">
        <v>0</v>
      </c>
      <c r="V122">
        <v>46</v>
      </c>
      <c r="W122">
        <v>0</v>
      </c>
      <c r="X122">
        <v>1153</v>
      </c>
      <c r="Y122">
        <v>0</v>
      </c>
      <c r="Z122">
        <v>0</v>
      </c>
      <c r="AA122">
        <v>15</v>
      </c>
      <c r="AB122">
        <v>0</v>
      </c>
      <c r="AC122">
        <v>0</v>
      </c>
      <c r="AD122">
        <v>0</v>
      </c>
      <c r="AE122">
        <v>0</v>
      </c>
      <c r="AG122">
        <v>7</v>
      </c>
      <c r="AH122">
        <v>0</v>
      </c>
      <c r="AI122">
        <v>0</v>
      </c>
      <c r="AJ122">
        <v>67</v>
      </c>
      <c r="AK122">
        <v>0</v>
      </c>
      <c r="AL122">
        <v>46</v>
      </c>
      <c r="AM122">
        <v>0</v>
      </c>
      <c r="AN122">
        <v>1153</v>
      </c>
      <c r="AO122">
        <v>0</v>
      </c>
      <c r="AP122">
        <v>0</v>
      </c>
      <c r="AQ122">
        <v>15</v>
      </c>
      <c r="AR122">
        <v>0</v>
      </c>
      <c r="AS122">
        <v>0</v>
      </c>
      <c r="AT122">
        <v>0</v>
      </c>
      <c r="AU122">
        <v>0</v>
      </c>
    </row>
    <row r="123" spans="1:47" x14ac:dyDescent="0.25">
      <c r="A123">
        <v>8</v>
      </c>
      <c r="B123">
        <v>0</v>
      </c>
      <c r="C123">
        <v>0</v>
      </c>
      <c r="D123">
        <v>0</v>
      </c>
      <c r="E123">
        <v>0</v>
      </c>
      <c r="F123">
        <v>0</v>
      </c>
      <c r="G123">
        <v>0</v>
      </c>
      <c r="H123">
        <v>0</v>
      </c>
      <c r="I123">
        <v>2862.3531800000001</v>
      </c>
      <c r="J123">
        <v>0</v>
      </c>
      <c r="K123">
        <v>0</v>
      </c>
      <c r="L123">
        <v>0</v>
      </c>
      <c r="M123">
        <v>0</v>
      </c>
      <c r="N123">
        <v>0</v>
      </c>
      <c r="O123">
        <v>0</v>
      </c>
      <c r="Q123">
        <v>8</v>
      </c>
      <c r="R123">
        <v>0</v>
      </c>
      <c r="S123">
        <v>0</v>
      </c>
      <c r="T123">
        <v>0</v>
      </c>
      <c r="U123">
        <v>0</v>
      </c>
      <c r="V123">
        <v>0</v>
      </c>
      <c r="W123">
        <v>0</v>
      </c>
      <c r="X123">
        <v>0</v>
      </c>
      <c r="Y123">
        <v>447</v>
      </c>
      <c r="Z123">
        <v>0</v>
      </c>
      <c r="AA123">
        <v>0</v>
      </c>
      <c r="AB123">
        <v>0</v>
      </c>
      <c r="AC123">
        <v>0</v>
      </c>
      <c r="AD123">
        <v>0</v>
      </c>
      <c r="AE123">
        <v>0</v>
      </c>
      <c r="AG123">
        <v>8</v>
      </c>
      <c r="AH123">
        <v>0</v>
      </c>
      <c r="AI123">
        <v>0</v>
      </c>
      <c r="AJ123">
        <v>0</v>
      </c>
      <c r="AK123">
        <v>0</v>
      </c>
      <c r="AL123">
        <v>0</v>
      </c>
      <c r="AM123">
        <v>0</v>
      </c>
      <c r="AN123">
        <v>0</v>
      </c>
      <c r="AO123">
        <v>447</v>
      </c>
      <c r="AP123">
        <v>0</v>
      </c>
      <c r="AQ123">
        <v>0</v>
      </c>
      <c r="AR123">
        <v>0</v>
      </c>
      <c r="AS123">
        <v>0</v>
      </c>
      <c r="AT123">
        <v>0</v>
      </c>
      <c r="AU123">
        <v>0</v>
      </c>
    </row>
    <row r="124" spans="1:47" x14ac:dyDescent="0.25">
      <c r="A124">
        <v>9</v>
      </c>
      <c r="B124">
        <v>0</v>
      </c>
      <c r="C124">
        <v>0</v>
      </c>
      <c r="D124">
        <v>0</v>
      </c>
      <c r="E124">
        <v>0</v>
      </c>
      <c r="F124">
        <v>0</v>
      </c>
      <c r="G124">
        <v>0</v>
      </c>
      <c r="H124">
        <v>0</v>
      </c>
      <c r="I124">
        <v>0</v>
      </c>
      <c r="J124">
        <v>6016.2818200000002</v>
      </c>
      <c r="K124">
        <v>0</v>
      </c>
      <c r="L124">
        <v>0</v>
      </c>
      <c r="M124">
        <v>0</v>
      </c>
      <c r="N124">
        <v>0</v>
      </c>
      <c r="O124">
        <v>0</v>
      </c>
      <c r="Q124">
        <v>9</v>
      </c>
      <c r="R124">
        <v>0</v>
      </c>
      <c r="S124">
        <v>0</v>
      </c>
      <c r="T124">
        <v>0</v>
      </c>
      <c r="U124">
        <v>0</v>
      </c>
      <c r="V124">
        <v>0</v>
      </c>
      <c r="W124">
        <v>0</v>
      </c>
      <c r="X124">
        <v>0</v>
      </c>
      <c r="Y124">
        <v>0</v>
      </c>
      <c r="Z124">
        <v>0</v>
      </c>
      <c r="AA124">
        <v>0</v>
      </c>
      <c r="AB124">
        <v>0</v>
      </c>
      <c r="AC124">
        <v>0</v>
      </c>
      <c r="AD124">
        <v>0</v>
      </c>
      <c r="AE124">
        <v>0</v>
      </c>
      <c r="AG124">
        <v>9</v>
      </c>
      <c r="AH124">
        <v>0</v>
      </c>
      <c r="AI124">
        <v>0</v>
      </c>
      <c r="AJ124">
        <v>0</v>
      </c>
      <c r="AK124">
        <v>0</v>
      </c>
      <c r="AL124">
        <v>0</v>
      </c>
      <c r="AM124">
        <v>0</v>
      </c>
      <c r="AN124">
        <v>0</v>
      </c>
      <c r="AO124">
        <v>0</v>
      </c>
      <c r="AP124">
        <v>0</v>
      </c>
      <c r="AQ124">
        <v>0</v>
      </c>
      <c r="AR124">
        <v>0</v>
      </c>
      <c r="AS124">
        <v>0</v>
      </c>
      <c r="AT124">
        <v>0</v>
      </c>
      <c r="AU124">
        <v>0</v>
      </c>
    </row>
    <row r="125" spans="1:47" x14ac:dyDescent="0.25">
      <c r="A125">
        <v>10</v>
      </c>
      <c r="B125">
        <v>0</v>
      </c>
      <c r="C125">
        <v>0</v>
      </c>
      <c r="D125">
        <v>0</v>
      </c>
      <c r="E125">
        <v>0</v>
      </c>
      <c r="F125">
        <v>0</v>
      </c>
      <c r="G125">
        <v>0</v>
      </c>
      <c r="H125">
        <v>0</v>
      </c>
      <c r="I125">
        <v>0</v>
      </c>
      <c r="J125">
        <v>0</v>
      </c>
      <c r="K125">
        <v>0</v>
      </c>
      <c r="L125">
        <v>0</v>
      </c>
      <c r="M125">
        <v>0</v>
      </c>
      <c r="N125">
        <v>0</v>
      </c>
      <c r="O125">
        <v>0</v>
      </c>
      <c r="Q125">
        <v>10</v>
      </c>
      <c r="R125">
        <v>0</v>
      </c>
      <c r="S125">
        <v>0</v>
      </c>
      <c r="T125">
        <v>0</v>
      </c>
      <c r="U125">
        <v>0</v>
      </c>
      <c r="V125">
        <v>0</v>
      </c>
      <c r="W125">
        <v>0</v>
      </c>
      <c r="X125">
        <v>0</v>
      </c>
      <c r="Y125">
        <v>0</v>
      </c>
      <c r="Z125">
        <v>0</v>
      </c>
      <c r="AA125">
        <v>649</v>
      </c>
      <c r="AB125">
        <v>0</v>
      </c>
      <c r="AC125">
        <v>0</v>
      </c>
      <c r="AD125">
        <v>0</v>
      </c>
      <c r="AE125">
        <v>0</v>
      </c>
      <c r="AG125">
        <v>10</v>
      </c>
      <c r="AH125">
        <v>0</v>
      </c>
      <c r="AI125">
        <v>0</v>
      </c>
      <c r="AJ125">
        <v>0</v>
      </c>
      <c r="AK125">
        <v>0</v>
      </c>
      <c r="AL125">
        <v>0</v>
      </c>
      <c r="AM125">
        <v>0</v>
      </c>
      <c r="AN125">
        <v>0</v>
      </c>
      <c r="AO125">
        <v>0</v>
      </c>
      <c r="AP125">
        <v>0</v>
      </c>
      <c r="AQ125">
        <v>649</v>
      </c>
      <c r="AR125">
        <v>0</v>
      </c>
      <c r="AS125">
        <v>0</v>
      </c>
      <c r="AT125">
        <v>0</v>
      </c>
      <c r="AU125">
        <v>0</v>
      </c>
    </row>
    <row r="126" spans="1:47" x14ac:dyDescent="0.25">
      <c r="A126">
        <v>11</v>
      </c>
      <c r="B126">
        <v>0</v>
      </c>
      <c r="C126">
        <v>0</v>
      </c>
      <c r="D126">
        <v>0</v>
      </c>
      <c r="E126">
        <v>0</v>
      </c>
      <c r="F126">
        <v>0</v>
      </c>
      <c r="G126">
        <v>0</v>
      </c>
      <c r="H126">
        <v>0</v>
      </c>
      <c r="I126">
        <v>0</v>
      </c>
      <c r="J126">
        <v>0</v>
      </c>
      <c r="K126">
        <v>0</v>
      </c>
      <c r="L126">
        <v>536.01635999999996</v>
      </c>
      <c r="M126">
        <v>0</v>
      </c>
      <c r="N126">
        <v>0</v>
      </c>
      <c r="O126">
        <v>0</v>
      </c>
      <c r="Q126">
        <v>11</v>
      </c>
      <c r="R126">
        <v>0</v>
      </c>
      <c r="S126">
        <v>0</v>
      </c>
      <c r="T126">
        <v>0</v>
      </c>
      <c r="U126">
        <v>0</v>
      </c>
      <c r="V126">
        <v>0</v>
      </c>
      <c r="W126">
        <v>0</v>
      </c>
      <c r="X126">
        <v>0</v>
      </c>
      <c r="Y126">
        <v>0</v>
      </c>
      <c r="Z126">
        <v>0</v>
      </c>
      <c r="AA126">
        <v>0</v>
      </c>
      <c r="AB126">
        <v>18</v>
      </c>
      <c r="AC126">
        <v>0</v>
      </c>
      <c r="AD126">
        <v>0</v>
      </c>
      <c r="AE126">
        <v>0</v>
      </c>
      <c r="AG126">
        <v>11</v>
      </c>
      <c r="AH126">
        <v>0</v>
      </c>
      <c r="AI126">
        <v>0</v>
      </c>
      <c r="AJ126">
        <v>0</v>
      </c>
      <c r="AK126">
        <v>0</v>
      </c>
      <c r="AL126">
        <v>0</v>
      </c>
      <c r="AM126">
        <v>0</v>
      </c>
      <c r="AN126">
        <v>0</v>
      </c>
      <c r="AO126">
        <v>0</v>
      </c>
      <c r="AP126">
        <v>0</v>
      </c>
      <c r="AQ126">
        <v>0</v>
      </c>
      <c r="AR126">
        <v>18</v>
      </c>
      <c r="AS126">
        <v>0</v>
      </c>
      <c r="AT126">
        <v>0</v>
      </c>
      <c r="AU126">
        <v>0</v>
      </c>
    </row>
    <row r="127" spans="1:47" x14ac:dyDescent="0.25">
      <c r="A127">
        <v>12</v>
      </c>
      <c r="B127">
        <v>0</v>
      </c>
      <c r="C127">
        <v>0</v>
      </c>
      <c r="D127">
        <v>0</v>
      </c>
      <c r="E127">
        <v>0</v>
      </c>
      <c r="F127">
        <v>0</v>
      </c>
      <c r="G127">
        <v>0</v>
      </c>
      <c r="H127">
        <v>0</v>
      </c>
      <c r="I127">
        <v>0</v>
      </c>
      <c r="J127">
        <v>0</v>
      </c>
      <c r="K127">
        <v>0</v>
      </c>
      <c r="L127">
        <v>0</v>
      </c>
      <c r="M127">
        <v>84.663349999999994</v>
      </c>
      <c r="N127">
        <v>0</v>
      </c>
      <c r="O127">
        <v>0</v>
      </c>
      <c r="Q127">
        <v>12</v>
      </c>
      <c r="R127">
        <v>0</v>
      </c>
      <c r="S127">
        <v>0</v>
      </c>
      <c r="T127">
        <v>0</v>
      </c>
      <c r="U127">
        <v>0</v>
      </c>
      <c r="V127">
        <v>0</v>
      </c>
      <c r="W127">
        <v>0</v>
      </c>
      <c r="X127">
        <v>0</v>
      </c>
      <c r="Y127">
        <v>0</v>
      </c>
      <c r="Z127">
        <v>0</v>
      </c>
      <c r="AA127">
        <v>0</v>
      </c>
      <c r="AB127">
        <v>0</v>
      </c>
      <c r="AC127">
        <v>1</v>
      </c>
      <c r="AD127">
        <v>0</v>
      </c>
      <c r="AE127">
        <v>0</v>
      </c>
      <c r="AG127">
        <v>12</v>
      </c>
      <c r="AH127">
        <v>0</v>
      </c>
      <c r="AI127">
        <v>0</v>
      </c>
      <c r="AJ127">
        <v>0</v>
      </c>
      <c r="AK127">
        <v>0</v>
      </c>
      <c r="AL127">
        <v>0</v>
      </c>
      <c r="AM127">
        <v>0</v>
      </c>
      <c r="AN127">
        <v>0</v>
      </c>
      <c r="AO127">
        <v>0</v>
      </c>
      <c r="AP127">
        <v>0</v>
      </c>
      <c r="AQ127">
        <v>0</v>
      </c>
      <c r="AR127">
        <v>0</v>
      </c>
      <c r="AS127">
        <v>1</v>
      </c>
      <c r="AT127">
        <v>0</v>
      </c>
      <c r="AU127">
        <v>0</v>
      </c>
    </row>
    <row r="128" spans="1:47" x14ac:dyDescent="0.25">
      <c r="A128">
        <v>13</v>
      </c>
      <c r="B128">
        <v>0</v>
      </c>
      <c r="C128">
        <v>0</v>
      </c>
      <c r="D128">
        <v>0</v>
      </c>
      <c r="E128">
        <v>0</v>
      </c>
      <c r="F128">
        <v>0</v>
      </c>
      <c r="G128">
        <v>0</v>
      </c>
      <c r="H128">
        <v>0</v>
      </c>
      <c r="I128">
        <v>0</v>
      </c>
      <c r="J128">
        <v>0</v>
      </c>
      <c r="K128">
        <v>0</v>
      </c>
      <c r="L128">
        <v>0</v>
      </c>
      <c r="M128">
        <v>0</v>
      </c>
      <c r="N128">
        <v>0</v>
      </c>
      <c r="O128">
        <v>0</v>
      </c>
      <c r="Q128">
        <v>13</v>
      </c>
      <c r="R128">
        <v>0</v>
      </c>
      <c r="S128">
        <v>0</v>
      </c>
      <c r="T128">
        <v>0</v>
      </c>
      <c r="U128">
        <v>0</v>
      </c>
      <c r="V128">
        <v>0</v>
      </c>
      <c r="W128">
        <v>0</v>
      </c>
      <c r="X128">
        <v>0</v>
      </c>
      <c r="Y128">
        <v>0</v>
      </c>
      <c r="Z128">
        <v>0</v>
      </c>
      <c r="AA128">
        <v>13</v>
      </c>
      <c r="AB128">
        <v>0</v>
      </c>
      <c r="AC128">
        <v>0</v>
      </c>
      <c r="AD128">
        <v>16</v>
      </c>
      <c r="AE128">
        <v>0</v>
      </c>
      <c r="AG128">
        <v>13</v>
      </c>
      <c r="AH128">
        <v>0</v>
      </c>
      <c r="AI128">
        <v>0</v>
      </c>
      <c r="AJ128">
        <v>0</v>
      </c>
      <c r="AK128">
        <v>0</v>
      </c>
      <c r="AL128">
        <v>0</v>
      </c>
      <c r="AM128">
        <v>0</v>
      </c>
      <c r="AN128">
        <v>0</v>
      </c>
      <c r="AO128">
        <v>0</v>
      </c>
      <c r="AP128">
        <v>0</v>
      </c>
      <c r="AQ128">
        <v>13</v>
      </c>
      <c r="AR128">
        <v>0</v>
      </c>
      <c r="AS128">
        <v>0</v>
      </c>
      <c r="AT128">
        <v>16</v>
      </c>
      <c r="AU128">
        <v>0</v>
      </c>
    </row>
    <row r="129" spans="1:47" x14ac:dyDescent="0.25">
      <c r="A129">
        <v>14</v>
      </c>
      <c r="B129">
        <v>0</v>
      </c>
      <c r="C129">
        <v>0</v>
      </c>
      <c r="D129">
        <v>0</v>
      </c>
      <c r="E129">
        <v>0</v>
      </c>
      <c r="F129">
        <v>0</v>
      </c>
      <c r="G129">
        <v>0</v>
      </c>
      <c r="H129">
        <v>0</v>
      </c>
      <c r="I129">
        <v>0</v>
      </c>
      <c r="J129">
        <v>0</v>
      </c>
      <c r="K129">
        <v>0</v>
      </c>
      <c r="L129">
        <v>0</v>
      </c>
      <c r="M129">
        <v>0</v>
      </c>
      <c r="N129">
        <v>0</v>
      </c>
      <c r="O129">
        <v>0</v>
      </c>
      <c r="Q129">
        <v>14</v>
      </c>
      <c r="R129">
        <v>0</v>
      </c>
      <c r="S129">
        <v>0</v>
      </c>
      <c r="T129">
        <v>0</v>
      </c>
      <c r="U129">
        <v>0</v>
      </c>
      <c r="V129">
        <v>0</v>
      </c>
      <c r="W129">
        <v>0</v>
      </c>
      <c r="X129">
        <v>0</v>
      </c>
      <c r="Y129">
        <v>0</v>
      </c>
      <c r="Z129">
        <v>0</v>
      </c>
      <c r="AA129">
        <v>0</v>
      </c>
      <c r="AB129">
        <v>0</v>
      </c>
      <c r="AC129">
        <v>0</v>
      </c>
      <c r="AD129">
        <v>0</v>
      </c>
      <c r="AE129">
        <v>0</v>
      </c>
      <c r="AG129">
        <v>14</v>
      </c>
      <c r="AH129">
        <v>0</v>
      </c>
      <c r="AI129">
        <v>0</v>
      </c>
      <c r="AJ129">
        <v>0</v>
      </c>
      <c r="AK129">
        <v>0</v>
      </c>
      <c r="AL129">
        <v>0</v>
      </c>
      <c r="AM129">
        <v>0</v>
      </c>
      <c r="AN129">
        <v>0</v>
      </c>
      <c r="AO129">
        <v>0</v>
      </c>
      <c r="AP129">
        <v>0</v>
      </c>
      <c r="AQ129">
        <v>0</v>
      </c>
      <c r="AR129">
        <v>0</v>
      </c>
      <c r="AS129">
        <v>0</v>
      </c>
      <c r="AT129">
        <v>0</v>
      </c>
      <c r="AU129">
        <v>0</v>
      </c>
    </row>
    <row r="130" spans="1:47" x14ac:dyDescent="0.25">
      <c r="A130" t="s">
        <v>219</v>
      </c>
      <c r="B130" s="29">
        <f>B4+B20+B36+B52+B68+B84+B100+B116</f>
        <v>577630.30171000003</v>
      </c>
      <c r="C130" s="29">
        <f>C4+C20+C36+C52+C68+C84+C100+C116</f>
        <v>20861.774149999997</v>
      </c>
      <c r="D130" s="29">
        <f>D4+D20+D36+D52+D68+D84+D100+D116</f>
        <v>89321.87775</v>
      </c>
      <c r="E130" s="29">
        <f t="shared" ref="E130:O130" si="0">E4+E20+E36+E52+E68+E84+E100+E116</f>
        <v>1742.3704400000001</v>
      </c>
      <c r="F130" s="29">
        <f t="shared" si="0"/>
        <v>34202.250840000001</v>
      </c>
      <c r="G130" s="29">
        <f t="shared" si="0"/>
        <v>462.80885000000001</v>
      </c>
      <c r="H130" s="29">
        <f t="shared" si="0"/>
        <v>0</v>
      </c>
      <c r="I130" s="29">
        <f t="shared" si="0"/>
        <v>3314.5039999999999</v>
      </c>
      <c r="J130" s="29">
        <f t="shared" si="0"/>
        <v>3743.0459599999999</v>
      </c>
      <c r="K130" s="29">
        <f t="shared" si="0"/>
        <v>289.83724999999998</v>
      </c>
      <c r="L130" s="29">
        <f t="shared" si="0"/>
        <v>713.11436000000003</v>
      </c>
      <c r="M130" s="29">
        <f t="shared" si="0"/>
        <v>40765.792460000004</v>
      </c>
      <c r="N130" s="29">
        <f t="shared" si="0"/>
        <v>3338.1806900000001</v>
      </c>
      <c r="O130" s="29">
        <f t="shared" si="0"/>
        <v>1302.8548800000001</v>
      </c>
      <c r="Q130" t="s">
        <v>219</v>
      </c>
    </row>
    <row r="131" spans="1:47" x14ac:dyDescent="0.25">
      <c r="B131" t="s">
        <v>208</v>
      </c>
      <c r="C131" t="s">
        <v>209</v>
      </c>
      <c r="D131" t="s">
        <v>210</v>
      </c>
      <c r="E131" t="s">
        <v>211</v>
      </c>
      <c r="F131" t="s">
        <v>212</v>
      </c>
      <c r="G131" t="s">
        <v>213</v>
      </c>
      <c r="H131" t="s">
        <v>214</v>
      </c>
      <c r="I131" t="s">
        <v>215</v>
      </c>
      <c r="J131" t="s">
        <v>216</v>
      </c>
      <c r="K131" t="s">
        <v>400</v>
      </c>
      <c r="L131" t="s">
        <v>401</v>
      </c>
      <c r="M131" t="s">
        <v>402</v>
      </c>
      <c r="N131" t="s">
        <v>403</v>
      </c>
      <c r="O131" t="s">
        <v>404</v>
      </c>
      <c r="R131" t="s">
        <v>208</v>
      </c>
      <c r="S131" t="s">
        <v>209</v>
      </c>
      <c r="T131" t="s">
        <v>210</v>
      </c>
      <c r="U131" t="s">
        <v>211</v>
      </c>
      <c r="V131" t="s">
        <v>212</v>
      </c>
      <c r="W131" t="s">
        <v>213</v>
      </c>
      <c r="X131" t="s">
        <v>214</v>
      </c>
      <c r="Y131" t="s">
        <v>215</v>
      </c>
      <c r="Z131" t="s">
        <v>216</v>
      </c>
      <c r="AA131" t="s">
        <v>400</v>
      </c>
      <c r="AB131" t="s">
        <v>401</v>
      </c>
      <c r="AC131" t="s">
        <v>402</v>
      </c>
      <c r="AD131" t="s">
        <v>403</v>
      </c>
      <c r="AE131" t="s">
        <v>404</v>
      </c>
      <c r="AG131" s="157"/>
      <c r="AH131" t="s">
        <v>674</v>
      </c>
      <c r="AI131" t="s">
        <v>675</v>
      </c>
      <c r="AJ131" t="s">
        <v>676</v>
      </c>
      <c r="AK131" t="s">
        <v>677</v>
      </c>
      <c r="AL131" t="s">
        <v>678</v>
      </c>
      <c r="AM131" t="s">
        <v>679</v>
      </c>
      <c r="AN131" t="s">
        <v>680</v>
      </c>
      <c r="AO131" t="s">
        <v>681</v>
      </c>
      <c r="AP131" t="s">
        <v>682</v>
      </c>
      <c r="AQ131" t="s">
        <v>683</v>
      </c>
      <c r="AR131" t="s">
        <v>684</v>
      </c>
      <c r="AS131" t="s">
        <v>685</v>
      </c>
      <c r="AT131" t="s">
        <v>686</v>
      </c>
      <c r="AU131" t="s">
        <v>687</v>
      </c>
    </row>
    <row r="132" spans="1:47" x14ac:dyDescent="0.25">
      <c r="A132">
        <v>1</v>
      </c>
      <c r="B132">
        <v>582332.09308999998</v>
      </c>
      <c r="C132">
        <v>20861.774150000001</v>
      </c>
      <c r="D132">
        <v>113769.95110000001</v>
      </c>
      <c r="E132">
        <v>1729.6411599999999</v>
      </c>
      <c r="F132">
        <v>40496.242400000003</v>
      </c>
      <c r="G132">
        <v>582.23632999999995</v>
      </c>
      <c r="H132">
        <v>0</v>
      </c>
      <c r="I132">
        <v>3314.5039999999999</v>
      </c>
      <c r="J132">
        <v>4514.1015799999996</v>
      </c>
      <c r="K132">
        <v>289.83724999999998</v>
      </c>
      <c r="L132">
        <v>713.11436000000003</v>
      </c>
      <c r="M132">
        <v>40765.792459999997</v>
      </c>
      <c r="N132">
        <v>3338.1806900000001</v>
      </c>
      <c r="O132">
        <v>1302.8548800000001</v>
      </c>
      <c r="Q132">
        <v>1</v>
      </c>
      <c r="R132">
        <v>98541</v>
      </c>
      <c r="S132">
        <v>5325</v>
      </c>
      <c r="T132">
        <v>7524</v>
      </c>
      <c r="U132">
        <v>365</v>
      </c>
      <c r="V132">
        <v>6586</v>
      </c>
      <c r="W132">
        <v>729</v>
      </c>
      <c r="X132">
        <v>0</v>
      </c>
      <c r="Y132">
        <v>0</v>
      </c>
      <c r="Z132">
        <v>0</v>
      </c>
      <c r="AA132">
        <v>0</v>
      </c>
      <c r="AB132">
        <v>0</v>
      </c>
      <c r="AC132">
        <v>0</v>
      </c>
      <c r="AD132">
        <v>0</v>
      </c>
      <c r="AE132">
        <v>0</v>
      </c>
      <c r="AG132" s="157">
        <v>1</v>
      </c>
      <c r="AH132">
        <v>98541</v>
      </c>
      <c r="AI132">
        <v>5325</v>
      </c>
      <c r="AJ132">
        <v>7524</v>
      </c>
      <c r="AK132">
        <v>365</v>
      </c>
      <c r="AL132">
        <v>6586</v>
      </c>
      <c r="AM132">
        <v>729</v>
      </c>
      <c r="AN132">
        <v>0</v>
      </c>
      <c r="AO132">
        <v>0</v>
      </c>
      <c r="AP132">
        <v>0</v>
      </c>
      <c r="AQ132">
        <v>0</v>
      </c>
      <c r="AR132">
        <v>0</v>
      </c>
      <c r="AS132">
        <v>0</v>
      </c>
      <c r="AT132">
        <v>0</v>
      </c>
      <c r="AU132">
        <v>0</v>
      </c>
    </row>
    <row r="133" spans="1:47" x14ac:dyDescent="0.25">
      <c r="A133">
        <v>2</v>
      </c>
      <c r="B133">
        <v>0</v>
      </c>
      <c r="C133">
        <v>21431.2199</v>
      </c>
      <c r="D133">
        <v>0</v>
      </c>
      <c r="E133">
        <v>662.54885999999999</v>
      </c>
      <c r="F133">
        <v>0</v>
      </c>
      <c r="G133">
        <v>190.23163</v>
      </c>
      <c r="H133">
        <v>0</v>
      </c>
      <c r="I133">
        <v>0</v>
      </c>
      <c r="J133">
        <v>0</v>
      </c>
      <c r="K133">
        <v>0</v>
      </c>
      <c r="L133">
        <v>0</v>
      </c>
      <c r="M133">
        <v>4392.0248700000002</v>
      </c>
      <c r="N133">
        <v>421.60663</v>
      </c>
      <c r="O133">
        <v>0</v>
      </c>
      <c r="Q133">
        <v>2</v>
      </c>
      <c r="R133">
        <v>670</v>
      </c>
      <c r="S133">
        <v>794</v>
      </c>
      <c r="T133">
        <v>84</v>
      </c>
      <c r="U133">
        <v>82</v>
      </c>
      <c r="V133">
        <v>121</v>
      </c>
      <c r="W133">
        <v>169</v>
      </c>
      <c r="X133">
        <v>0</v>
      </c>
      <c r="Y133">
        <v>0</v>
      </c>
      <c r="Z133">
        <v>0</v>
      </c>
      <c r="AA133">
        <v>0</v>
      </c>
      <c r="AB133">
        <v>0</v>
      </c>
      <c r="AC133">
        <v>0</v>
      </c>
      <c r="AD133">
        <v>0</v>
      </c>
      <c r="AE133">
        <v>0</v>
      </c>
      <c r="AG133" s="157">
        <v>2</v>
      </c>
      <c r="AH133">
        <v>670</v>
      </c>
      <c r="AI133">
        <v>794</v>
      </c>
      <c r="AJ133">
        <v>84</v>
      </c>
      <c r="AK133">
        <v>82</v>
      </c>
      <c r="AL133">
        <v>121</v>
      </c>
      <c r="AM133">
        <v>169</v>
      </c>
      <c r="AN133">
        <v>0</v>
      </c>
      <c r="AO133">
        <v>0</v>
      </c>
      <c r="AP133">
        <v>0</v>
      </c>
      <c r="AQ133">
        <v>0</v>
      </c>
      <c r="AR133">
        <v>0</v>
      </c>
      <c r="AS133">
        <v>0</v>
      </c>
      <c r="AT133">
        <v>0</v>
      </c>
      <c r="AU133">
        <v>0</v>
      </c>
    </row>
    <row r="134" spans="1:47" x14ac:dyDescent="0.25">
      <c r="A134">
        <v>3</v>
      </c>
      <c r="B134">
        <v>2278.8157500000002</v>
      </c>
      <c r="C134">
        <v>0</v>
      </c>
      <c r="D134">
        <v>209885.67194</v>
      </c>
      <c r="E134">
        <v>758.72910000000002</v>
      </c>
      <c r="F134">
        <v>52634.879269999998</v>
      </c>
      <c r="G134">
        <v>450.84420999999998</v>
      </c>
      <c r="H134">
        <v>0</v>
      </c>
      <c r="I134">
        <v>662.9008</v>
      </c>
      <c r="J134">
        <v>18350.00691</v>
      </c>
      <c r="K134">
        <v>12110.567160000001</v>
      </c>
      <c r="L134">
        <v>25792.08842</v>
      </c>
      <c r="M134">
        <v>17401.406289999999</v>
      </c>
      <c r="N134">
        <v>2245.30872</v>
      </c>
      <c r="O134">
        <v>4816.2346900000002</v>
      </c>
      <c r="Q134">
        <v>3</v>
      </c>
      <c r="R134">
        <v>0</v>
      </c>
      <c r="S134">
        <v>0</v>
      </c>
      <c r="T134">
        <v>20077</v>
      </c>
      <c r="U134">
        <v>782</v>
      </c>
      <c r="V134">
        <v>5625</v>
      </c>
      <c r="W134">
        <v>544</v>
      </c>
      <c r="X134">
        <v>0</v>
      </c>
      <c r="Y134">
        <v>0</v>
      </c>
      <c r="Z134">
        <v>0</v>
      </c>
      <c r="AA134">
        <v>3058</v>
      </c>
      <c r="AB134">
        <v>0</v>
      </c>
      <c r="AC134">
        <v>0</v>
      </c>
      <c r="AD134">
        <v>158</v>
      </c>
      <c r="AE134">
        <v>0</v>
      </c>
      <c r="AG134" s="157">
        <v>3</v>
      </c>
      <c r="AH134">
        <v>0</v>
      </c>
      <c r="AI134">
        <v>0</v>
      </c>
      <c r="AJ134">
        <v>20077</v>
      </c>
      <c r="AK134">
        <v>782</v>
      </c>
      <c r="AL134">
        <v>5625</v>
      </c>
      <c r="AM134">
        <v>544</v>
      </c>
      <c r="AN134">
        <v>0</v>
      </c>
      <c r="AO134">
        <v>0</v>
      </c>
      <c r="AP134">
        <v>0</v>
      </c>
      <c r="AQ134">
        <v>3058</v>
      </c>
      <c r="AR134">
        <v>0</v>
      </c>
      <c r="AS134">
        <v>0</v>
      </c>
      <c r="AT134">
        <v>158</v>
      </c>
      <c r="AU134">
        <v>0</v>
      </c>
    </row>
    <row r="135" spans="1:47" x14ac:dyDescent="0.25">
      <c r="A135">
        <v>4</v>
      </c>
      <c r="B135">
        <v>0</v>
      </c>
      <c r="C135">
        <v>0</v>
      </c>
      <c r="D135">
        <v>0</v>
      </c>
      <c r="E135">
        <v>280.50295999999997</v>
      </c>
      <c r="F135">
        <v>0</v>
      </c>
      <c r="G135">
        <v>419.81700000000001</v>
      </c>
      <c r="H135">
        <v>0</v>
      </c>
      <c r="I135">
        <v>0</v>
      </c>
      <c r="J135">
        <v>0</v>
      </c>
      <c r="K135">
        <v>0</v>
      </c>
      <c r="L135">
        <v>0</v>
      </c>
      <c r="M135">
        <v>47.197839999999999</v>
      </c>
      <c r="N135">
        <v>0</v>
      </c>
      <c r="O135">
        <v>0</v>
      </c>
      <c r="Q135">
        <v>4</v>
      </c>
      <c r="R135">
        <v>0</v>
      </c>
      <c r="S135">
        <v>0</v>
      </c>
      <c r="T135">
        <v>185</v>
      </c>
      <c r="U135">
        <v>197</v>
      </c>
      <c r="V135">
        <v>72</v>
      </c>
      <c r="W135">
        <v>156</v>
      </c>
      <c r="X135">
        <v>0</v>
      </c>
      <c r="Y135">
        <v>0</v>
      </c>
      <c r="Z135">
        <v>0</v>
      </c>
      <c r="AA135">
        <v>88</v>
      </c>
      <c r="AB135">
        <v>0</v>
      </c>
      <c r="AC135">
        <v>0</v>
      </c>
      <c r="AD135">
        <v>26</v>
      </c>
      <c r="AE135">
        <v>0</v>
      </c>
      <c r="AG135" s="157">
        <v>4</v>
      </c>
      <c r="AH135">
        <v>0</v>
      </c>
      <c r="AI135">
        <v>0</v>
      </c>
      <c r="AJ135">
        <v>185</v>
      </c>
      <c r="AK135">
        <v>197</v>
      </c>
      <c r="AL135">
        <v>72</v>
      </c>
      <c r="AM135">
        <v>156</v>
      </c>
      <c r="AN135">
        <v>0</v>
      </c>
      <c r="AO135">
        <v>0</v>
      </c>
      <c r="AP135">
        <v>0</v>
      </c>
      <c r="AQ135">
        <v>88</v>
      </c>
      <c r="AR135">
        <v>0</v>
      </c>
      <c r="AS135">
        <v>0</v>
      </c>
      <c r="AT135">
        <v>26</v>
      </c>
      <c r="AU135">
        <v>0</v>
      </c>
    </row>
    <row r="136" spans="1:47" x14ac:dyDescent="0.25">
      <c r="A136">
        <v>5</v>
      </c>
      <c r="B136">
        <v>217.97167999999999</v>
      </c>
      <c r="C136">
        <v>0</v>
      </c>
      <c r="D136">
        <v>0</v>
      </c>
      <c r="E136">
        <v>0</v>
      </c>
      <c r="F136">
        <v>163688.02825</v>
      </c>
      <c r="G136">
        <v>732.16263000000004</v>
      </c>
      <c r="H136">
        <v>0</v>
      </c>
      <c r="I136">
        <v>0</v>
      </c>
      <c r="J136">
        <v>4525.0755600000002</v>
      </c>
      <c r="K136">
        <v>2639.59663</v>
      </c>
      <c r="L136">
        <v>9811.5482400000001</v>
      </c>
      <c r="M136">
        <v>21703.739109999999</v>
      </c>
      <c r="N136">
        <v>750.03156000000001</v>
      </c>
      <c r="O136">
        <v>0</v>
      </c>
      <c r="Q136">
        <v>5</v>
      </c>
      <c r="R136">
        <v>0</v>
      </c>
      <c r="S136">
        <v>0</v>
      </c>
      <c r="T136">
        <v>0</v>
      </c>
      <c r="U136">
        <v>0</v>
      </c>
      <c r="V136">
        <v>17850</v>
      </c>
      <c r="W136">
        <v>1512</v>
      </c>
      <c r="X136">
        <v>0</v>
      </c>
      <c r="Y136">
        <v>0</v>
      </c>
      <c r="Z136">
        <v>0</v>
      </c>
      <c r="AA136">
        <v>634</v>
      </c>
      <c r="AB136">
        <v>0</v>
      </c>
      <c r="AC136">
        <v>0</v>
      </c>
      <c r="AD136">
        <v>36</v>
      </c>
      <c r="AE136">
        <v>0</v>
      </c>
      <c r="AG136" s="157">
        <v>5</v>
      </c>
      <c r="AH136">
        <v>0</v>
      </c>
      <c r="AI136">
        <v>0</v>
      </c>
      <c r="AJ136">
        <v>0</v>
      </c>
      <c r="AK136">
        <v>0</v>
      </c>
      <c r="AL136">
        <v>17850</v>
      </c>
      <c r="AM136">
        <v>1512</v>
      </c>
      <c r="AN136">
        <v>0</v>
      </c>
      <c r="AO136">
        <v>0</v>
      </c>
      <c r="AP136">
        <v>0</v>
      </c>
      <c r="AQ136">
        <v>634</v>
      </c>
      <c r="AR136">
        <v>0</v>
      </c>
      <c r="AS136">
        <v>0</v>
      </c>
      <c r="AT136">
        <v>36</v>
      </c>
      <c r="AU136">
        <v>0</v>
      </c>
    </row>
    <row r="137" spans="1:47" x14ac:dyDescent="0.25">
      <c r="A137">
        <v>6</v>
      </c>
      <c r="B137">
        <v>0</v>
      </c>
      <c r="C137">
        <v>0</v>
      </c>
      <c r="D137">
        <v>0</v>
      </c>
      <c r="E137">
        <v>0</v>
      </c>
      <c r="F137">
        <v>0</v>
      </c>
      <c r="G137">
        <v>526.49801000000002</v>
      </c>
      <c r="H137">
        <v>0</v>
      </c>
      <c r="I137">
        <v>0</v>
      </c>
      <c r="J137">
        <v>354.02075000000002</v>
      </c>
      <c r="K137">
        <v>0</v>
      </c>
      <c r="L137">
        <v>0</v>
      </c>
      <c r="M137">
        <v>0</v>
      </c>
      <c r="N137">
        <v>0</v>
      </c>
      <c r="O137">
        <v>0</v>
      </c>
      <c r="Q137">
        <v>6</v>
      </c>
      <c r="R137">
        <v>0</v>
      </c>
      <c r="S137">
        <v>0</v>
      </c>
      <c r="T137">
        <v>0</v>
      </c>
      <c r="U137">
        <v>0</v>
      </c>
      <c r="V137">
        <v>211</v>
      </c>
      <c r="W137">
        <v>414</v>
      </c>
      <c r="X137">
        <v>0</v>
      </c>
      <c r="Y137">
        <v>0</v>
      </c>
      <c r="Z137">
        <v>0</v>
      </c>
      <c r="AA137">
        <v>11</v>
      </c>
      <c r="AB137">
        <v>0</v>
      </c>
      <c r="AC137">
        <v>0</v>
      </c>
      <c r="AD137">
        <v>3</v>
      </c>
      <c r="AE137">
        <v>0</v>
      </c>
      <c r="AG137" s="157">
        <v>6</v>
      </c>
      <c r="AH137">
        <v>0</v>
      </c>
      <c r="AI137">
        <v>0</v>
      </c>
      <c r="AJ137">
        <v>0</v>
      </c>
      <c r="AK137">
        <v>0</v>
      </c>
      <c r="AL137">
        <v>211</v>
      </c>
      <c r="AM137">
        <v>414</v>
      </c>
      <c r="AN137">
        <v>0</v>
      </c>
      <c r="AO137">
        <v>0</v>
      </c>
      <c r="AP137">
        <v>0</v>
      </c>
      <c r="AQ137">
        <v>11</v>
      </c>
      <c r="AR137">
        <v>0</v>
      </c>
      <c r="AS137">
        <v>0</v>
      </c>
      <c r="AT137">
        <v>3</v>
      </c>
      <c r="AU137">
        <v>0</v>
      </c>
    </row>
    <row r="138" spans="1:47" x14ac:dyDescent="0.25">
      <c r="A138">
        <v>7</v>
      </c>
      <c r="B138">
        <v>38528.005129999998</v>
      </c>
      <c r="C138">
        <v>1359.25271</v>
      </c>
      <c r="D138">
        <v>30426.120620000002</v>
      </c>
      <c r="E138">
        <v>0</v>
      </c>
      <c r="F138">
        <v>11808.42858</v>
      </c>
      <c r="G138">
        <v>185.12353999999999</v>
      </c>
      <c r="H138">
        <v>249579.00821999999</v>
      </c>
      <c r="I138">
        <v>13861.119350000001</v>
      </c>
      <c r="J138">
        <v>145964.36248000001</v>
      </c>
      <c r="K138">
        <v>62379.036509999998</v>
      </c>
      <c r="L138">
        <v>43470.710359999997</v>
      </c>
      <c r="M138">
        <v>66885.214649999994</v>
      </c>
      <c r="N138">
        <v>4685.39048</v>
      </c>
      <c r="O138">
        <v>2013.8142399999999</v>
      </c>
      <c r="Q138">
        <v>7</v>
      </c>
      <c r="R138">
        <v>0</v>
      </c>
      <c r="S138">
        <v>0</v>
      </c>
      <c r="T138">
        <v>4749</v>
      </c>
      <c r="U138">
        <v>91</v>
      </c>
      <c r="V138">
        <v>2927</v>
      </c>
      <c r="W138">
        <v>187</v>
      </c>
      <c r="X138">
        <v>109938</v>
      </c>
      <c r="Y138">
        <v>0</v>
      </c>
      <c r="Z138">
        <v>0</v>
      </c>
      <c r="AA138">
        <v>26687</v>
      </c>
      <c r="AB138">
        <v>0</v>
      </c>
      <c r="AC138">
        <v>0</v>
      </c>
      <c r="AD138">
        <v>597</v>
      </c>
      <c r="AE138">
        <v>0</v>
      </c>
      <c r="AG138" s="157">
        <v>7</v>
      </c>
      <c r="AH138">
        <v>0</v>
      </c>
      <c r="AI138">
        <v>0</v>
      </c>
      <c r="AJ138">
        <v>4749</v>
      </c>
      <c r="AK138">
        <v>91</v>
      </c>
      <c r="AL138">
        <v>2927</v>
      </c>
      <c r="AM138">
        <v>187</v>
      </c>
      <c r="AN138">
        <v>109938</v>
      </c>
      <c r="AO138">
        <v>0</v>
      </c>
      <c r="AP138">
        <v>0</v>
      </c>
      <c r="AQ138">
        <v>26687</v>
      </c>
      <c r="AR138">
        <v>0</v>
      </c>
      <c r="AS138">
        <v>0</v>
      </c>
      <c r="AT138">
        <v>597</v>
      </c>
      <c r="AU138">
        <v>0</v>
      </c>
    </row>
    <row r="139" spans="1:47" x14ac:dyDescent="0.25">
      <c r="A139">
        <v>8</v>
      </c>
      <c r="B139">
        <v>829.06317000000001</v>
      </c>
      <c r="C139">
        <v>0</v>
      </c>
      <c r="D139">
        <v>84.101759999999999</v>
      </c>
      <c r="E139">
        <v>0</v>
      </c>
      <c r="F139">
        <v>0</v>
      </c>
      <c r="G139">
        <v>0</v>
      </c>
      <c r="H139">
        <v>0</v>
      </c>
      <c r="I139">
        <v>113433.72147999999</v>
      </c>
      <c r="J139">
        <v>2192.0786600000001</v>
      </c>
      <c r="K139">
        <v>532.33087999999998</v>
      </c>
      <c r="L139">
        <v>0</v>
      </c>
      <c r="M139">
        <v>802.04670999999996</v>
      </c>
      <c r="N139">
        <v>0</v>
      </c>
      <c r="O139">
        <v>0</v>
      </c>
      <c r="Q139">
        <v>8</v>
      </c>
      <c r="R139">
        <v>0</v>
      </c>
      <c r="S139">
        <v>0</v>
      </c>
      <c r="T139">
        <v>0</v>
      </c>
      <c r="U139">
        <v>0</v>
      </c>
      <c r="V139">
        <v>0</v>
      </c>
      <c r="W139">
        <v>0</v>
      </c>
      <c r="X139">
        <v>0</v>
      </c>
      <c r="Y139">
        <v>20253</v>
      </c>
      <c r="Z139">
        <v>0</v>
      </c>
      <c r="AA139">
        <v>0</v>
      </c>
      <c r="AB139">
        <v>0</v>
      </c>
      <c r="AC139">
        <v>0</v>
      </c>
      <c r="AD139">
        <v>0</v>
      </c>
      <c r="AE139">
        <v>0</v>
      </c>
      <c r="AG139" s="157">
        <v>8</v>
      </c>
      <c r="AH139">
        <v>0</v>
      </c>
      <c r="AI139">
        <v>0</v>
      </c>
      <c r="AJ139">
        <v>0</v>
      </c>
      <c r="AK139">
        <v>0</v>
      </c>
      <c r="AL139">
        <v>0</v>
      </c>
      <c r="AM139">
        <v>0</v>
      </c>
      <c r="AN139">
        <v>0</v>
      </c>
      <c r="AO139">
        <v>20253</v>
      </c>
      <c r="AP139">
        <v>0</v>
      </c>
      <c r="AQ139">
        <v>0</v>
      </c>
      <c r="AR139">
        <v>0</v>
      </c>
      <c r="AS139">
        <v>0</v>
      </c>
      <c r="AT139">
        <v>0</v>
      </c>
      <c r="AU139">
        <v>0</v>
      </c>
    </row>
    <row r="140" spans="1:47" x14ac:dyDescent="0.25">
      <c r="A140">
        <v>9</v>
      </c>
      <c r="B140">
        <v>767.89846</v>
      </c>
      <c r="C140">
        <v>0</v>
      </c>
      <c r="D140">
        <v>224.09737000000001</v>
      </c>
      <c r="E140">
        <v>0</v>
      </c>
      <c r="F140">
        <v>0</v>
      </c>
      <c r="G140">
        <v>0</v>
      </c>
      <c r="H140">
        <v>379.74561999999997</v>
      </c>
      <c r="I140">
        <v>257.36313999999999</v>
      </c>
      <c r="J140">
        <v>418913.79596999998</v>
      </c>
      <c r="K140">
        <v>12992.37311</v>
      </c>
      <c r="L140">
        <v>27300.148939999999</v>
      </c>
      <c r="M140">
        <v>11524.167079999999</v>
      </c>
      <c r="N140">
        <v>0</v>
      </c>
      <c r="O140">
        <v>168.20352</v>
      </c>
      <c r="Q140">
        <v>9</v>
      </c>
      <c r="R140">
        <v>0</v>
      </c>
      <c r="S140">
        <v>0</v>
      </c>
      <c r="T140">
        <v>0</v>
      </c>
      <c r="U140">
        <v>0</v>
      </c>
      <c r="V140">
        <v>0</v>
      </c>
      <c r="W140">
        <v>0</v>
      </c>
      <c r="X140">
        <v>0</v>
      </c>
      <c r="Y140">
        <v>0</v>
      </c>
      <c r="Z140">
        <v>0</v>
      </c>
      <c r="AA140">
        <v>0</v>
      </c>
      <c r="AB140">
        <v>0</v>
      </c>
      <c r="AC140">
        <v>0</v>
      </c>
      <c r="AD140">
        <v>0</v>
      </c>
      <c r="AE140">
        <v>0</v>
      </c>
      <c r="AG140" s="157">
        <v>9</v>
      </c>
      <c r="AH140">
        <v>0</v>
      </c>
      <c r="AI140">
        <v>0</v>
      </c>
      <c r="AJ140">
        <v>0</v>
      </c>
      <c r="AK140">
        <v>0</v>
      </c>
      <c r="AL140">
        <v>0</v>
      </c>
      <c r="AM140">
        <v>0</v>
      </c>
      <c r="AN140">
        <v>0</v>
      </c>
      <c r="AO140">
        <v>0</v>
      </c>
      <c r="AP140">
        <v>0</v>
      </c>
      <c r="AQ140">
        <v>0</v>
      </c>
      <c r="AR140">
        <v>0</v>
      </c>
      <c r="AS140">
        <v>0</v>
      </c>
      <c r="AT140">
        <v>0</v>
      </c>
      <c r="AU140">
        <v>0</v>
      </c>
    </row>
    <row r="141" spans="1:47" x14ac:dyDescent="0.25">
      <c r="A141">
        <v>10</v>
      </c>
      <c r="B141">
        <v>0</v>
      </c>
      <c r="C141">
        <v>0</v>
      </c>
      <c r="D141">
        <v>0</v>
      </c>
      <c r="E141">
        <v>0</v>
      </c>
      <c r="F141">
        <v>0</v>
      </c>
      <c r="G141">
        <v>0</v>
      </c>
      <c r="H141">
        <v>0</v>
      </c>
      <c r="I141">
        <v>0</v>
      </c>
      <c r="J141">
        <v>0</v>
      </c>
      <c r="K141">
        <v>167651.90779</v>
      </c>
      <c r="L141">
        <v>7047.4808499999999</v>
      </c>
      <c r="M141">
        <v>16887.9581</v>
      </c>
      <c r="N141">
        <v>0</v>
      </c>
      <c r="O141">
        <v>0</v>
      </c>
      <c r="Q141">
        <v>10</v>
      </c>
      <c r="R141">
        <v>0</v>
      </c>
      <c r="S141">
        <v>0</v>
      </c>
      <c r="T141">
        <v>0</v>
      </c>
      <c r="U141">
        <v>0</v>
      </c>
      <c r="V141">
        <v>0</v>
      </c>
      <c r="W141">
        <v>0</v>
      </c>
      <c r="X141">
        <v>0</v>
      </c>
      <c r="Y141">
        <v>0</v>
      </c>
      <c r="Z141">
        <v>0</v>
      </c>
      <c r="AA141">
        <v>76779</v>
      </c>
      <c r="AB141">
        <v>0</v>
      </c>
      <c r="AC141">
        <v>0</v>
      </c>
      <c r="AD141">
        <v>0</v>
      </c>
      <c r="AE141">
        <v>0</v>
      </c>
      <c r="AG141" s="157">
        <v>10</v>
      </c>
      <c r="AH141">
        <v>0</v>
      </c>
      <c r="AI141">
        <v>0</v>
      </c>
      <c r="AJ141">
        <v>0</v>
      </c>
      <c r="AK141">
        <v>0</v>
      </c>
      <c r="AL141">
        <v>0</v>
      </c>
      <c r="AM141">
        <v>0</v>
      </c>
      <c r="AN141">
        <v>0</v>
      </c>
      <c r="AO141">
        <v>0</v>
      </c>
      <c r="AP141">
        <v>0</v>
      </c>
      <c r="AQ141">
        <v>76779</v>
      </c>
      <c r="AR141">
        <v>0</v>
      </c>
      <c r="AS141">
        <v>0</v>
      </c>
      <c r="AT141">
        <v>0</v>
      </c>
      <c r="AU141">
        <v>0</v>
      </c>
    </row>
    <row r="142" spans="1:47" x14ac:dyDescent="0.25">
      <c r="A142">
        <v>11</v>
      </c>
      <c r="B142">
        <v>0</v>
      </c>
      <c r="C142">
        <v>0</v>
      </c>
      <c r="D142">
        <v>0</v>
      </c>
      <c r="E142">
        <v>0</v>
      </c>
      <c r="F142">
        <v>0</v>
      </c>
      <c r="G142">
        <v>0</v>
      </c>
      <c r="H142">
        <v>0</v>
      </c>
      <c r="I142">
        <v>0</v>
      </c>
      <c r="J142">
        <v>0</v>
      </c>
      <c r="K142">
        <v>1485.1572900000001</v>
      </c>
      <c r="L142">
        <v>58008.2552</v>
      </c>
      <c r="M142">
        <v>4478.8267599999999</v>
      </c>
      <c r="N142">
        <v>0</v>
      </c>
      <c r="O142">
        <v>964.85623999999996</v>
      </c>
      <c r="Q142">
        <v>11</v>
      </c>
      <c r="R142">
        <v>0</v>
      </c>
      <c r="S142">
        <v>0</v>
      </c>
      <c r="T142">
        <v>0</v>
      </c>
      <c r="U142">
        <v>0</v>
      </c>
      <c r="V142">
        <v>0</v>
      </c>
      <c r="W142">
        <v>0</v>
      </c>
      <c r="X142">
        <v>0</v>
      </c>
      <c r="Y142">
        <v>0</v>
      </c>
      <c r="Z142">
        <v>0</v>
      </c>
      <c r="AA142">
        <v>0</v>
      </c>
      <c r="AB142">
        <v>3008</v>
      </c>
      <c r="AC142">
        <v>0</v>
      </c>
      <c r="AD142">
        <v>0</v>
      </c>
      <c r="AE142">
        <v>0</v>
      </c>
      <c r="AG142" s="157">
        <v>11</v>
      </c>
      <c r="AH142">
        <v>0</v>
      </c>
      <c r="AI142">
        <v>0</v>
      </c>
      <c r="AJ142">
        <v>0</v>
      </c>
      <c r="AK142">
        <v>0</v>
      </c>
      <c r="AL142">
        <v>0</v>
      </c>
      <c r="AM142">
        <v>0</v>
      </c>
      <c r="AN142">
        <v>0</v>
      </c>
      <c r="AO142">
        <v>0</v>
      </c>
      <c r="AP142">
        <v>0</v>
      </c>
      <c r="AQ142">
        <v>0</v>
      </c>
      <c r="AR142">
        <v>3008</v>
      </c>
      <c r="AS142">
        <v>0</v>
      </c>
      <c r="AT142">
        <v>0</v>
      </c>
      <c r="AU142">
        <v>0</v>
      </c>
    </row>
    <row r="143" spans="1:47" x14ac:dyDescent="0.25">
      <c r="A143">
        <v>12</v>
      </c>
      <c r="B143">
        <v>0</v>
      </c>
      <c r="C143">
        <v>0</v>
      </c>
      <c r="D143">
        <v>0</v>
      </c>
      <c r="E143">
        <v>0</v>
      </c>
      <c r="F143">
        <v>0</v>
      </c>
      <c r="G143">
        <v>0</v>
      </c>
      <c r="H143">
        <v>0</v>
      </c>
      <c r="I143">
        <v>0</v>
      </c>
      <c r="J143">
        <v>0</v>
      </c>
      <c r="K143">
        <v>432.24617000000001</v>
      </c>
      <c r="L143">
        <v>44.190469999999998</v>
      </c>
      <c r="M143">
        <v>241550.39627999999</v>
      </c>
      <c r="N143">
        <v>0</v>
      </c>
      <c r="O143">
        <v>0</v>
      </c>
      <c r="Q143">
        <v>12</v>
      </c>
      <c r="R143">
        <v>0</v>
      </c>
      <c r="S143">
        <v>0</v>
      </c>
      <c r="T143">
        <v>0</v>
      </c>
      <c r="U143">
        <v>0</v>
      </c>
      <c r="V143">
        <v>0</v>
      </c>
      <c r="W143">
        <v>0</v>
      </c>
      <c r="X143">
        <v>0</v>
      </c>
      <c r="Y143">
        <v>0</v>
      </c>
      <c r="Z143">
        <v>0</v>
      </c>
      <c r="AA143">
        <v>0</v>
      </c>
      <c r="AB143">
        <v>0</v>
      </c>
      <c r="AC143">
        <v>6685</v>
      </c>
      <c r="AD143">
        <v>0</v>
      </c>
      <c r="AE143">
        <v>0</v>
      </c>
      <c r="AG143" s="157">
        <v>12</v>
      </c>
      <c r="AH143">
        <v>0</v>
      </c>
      <c r="AI143">
        <v>0</v>
      </c>
      <c r="AJ143">
        <v>0</v>
      </c>
      <c r="AK143">
        <v>0</v>
      </c>
      <c r="AL143">
        <v>0</v>
      </c>
      <c r="AM143">
        <v>0</v>
      </c>
      <c r="AN143">
        <v>0</v>
      </c>
      <c r="AO143">
        <v>0</v>
      </c>
      <c r="AP143">
        <v>0</v>
      </c>
      <c r="AQ143">
        <v>0</v>
      </c>
      <c r="AR143">
        <v>0</v>
      </c>
      <c r="AS143">
        <v>6685</v>
      </c>
      <c r="AT143">
        <v>0</v>
      </c>
      <c r="AU143">
        <v>0</v>
      </c>
    </row>
    <row r="144" spans="1:47" x14ac:dyDescent="0.25">
      <c r="A144">
        <v>13</v>
      </c>
      <c r="B144">
        <v>2573.1311099999998</v>
      </c>
      <c r="C144">
        <v>87.105360000000005</v>
      </c>
      <c r="D144">
        <v>524.46555999999998</v>
      </c>
      <c r="E144">
        <v>0</v>
      </c>
      <c r="F144">
        <v>0</v>
      </c>
      <c r="G144">
        <v>92.561769999999996</v>
      </c>
      <c r="H144">
        <v>0</v>
      </c>
      <c r="I144">
        <v>0</v>
      </c>
      <c r="J144">
        <v>6587.3516300000001</v>
      </c>
      <c r="K144">
        <v>3709.2003500000001</v>
      </c>
      <c r="L144">
        <v>5111.7754100000002</v>
      </c>
      <c r="M144">
        <v>2486.75911</v>
      </c>
      <c r="N144">
        <v>14047.80098</v>
      </c>
      <c r="O144">
        <v>84.101759999999999</v>
      </c>
      <c r="Q144">
        <v>13</v>
      </c>
      <c r="R144">
        <v>0</v>
      </c>
      <c r="S144">
        <v>0</v>
      </c>
      <c r="T144">
        <v>0</v>
      </c>
      <c r="U144">
        <v>0</v>
      </c>
      <c r="V144">
        <v>0</v>
      </c>
      <c r="W144">
        <v>0</v>
      </c>
      <c r="X144">
        <v>0</v>
      </c>
      <c r="Y144">
        <v>0</v>
      </c>
      <c r="Z144">
        <v>0</v>
      </c>
      <c r="AA144">
        <v>3059</v>
      </c>
      <c r="AB144">
        <v>0</v>
      </c>
      <c r="AC144">
        <v>0</v>
      </c>
      <c r="AD144">
        <v>1871</v>
      </c>
      <c r="AE144">
        <v>0</v>
      </c>
      <c r="AG144" s="157">
        <v>13</v>
      </c>
      <c r="AH144">
        <v>0</v>
      </c>
      <c r="AI144">
        <v>0</v>
      </c>
      <c r="AJ144">
        <v>0</v>
      </c>
      <c r="AK144">
        <v>0</v>
      </c>
      <c r="AL144">
        <v>0</v>
      </c>
      <c r="AM144">
        <v>0</v>
      </c>
      <c r="AN144">
        <v>0</v>
      </c>
      <c r="AO144">
        <v>0</v>
      </c>
      <c r="AP144">
        <v>0</v>
      </c>
      <c r="AQ144">
        <v>3059</v>
      </c>
      <c r="AR144">
        <v>0</v>
      </c>
      <c r="AS144">
        <v>0</v>
      </c>
      <c r="AT144">
        <v>1871</v>
      </c>
      <c r="AU144">
        <v>0</v>
      </c>
    </row>
    <row r="145" spans="1:47" x14ac:dyDescent="0.25">
      <c r="A145">
        <v>14</v>
      </c>
      <c r="B145">
        <v>0</v>
      </c>
      <c r="C145">
        <v>0</v>
      </c>
      <c r="D145">
        <v>566.77941999999996</v>
      </c>
      <c r="E145">
        <v>0</v>
      </c>
      <c r="F145">
        <v>0</v>
      </c>
      <c r="G145">
        <v>0</v>
      </c>
      <c r="H145">
        <v>0</v>
      </c>
      <c r="I145">
        <v>0</v>
      </c>
      <c r="J145">
        <v>0</v>
      </c>
      <c r="K145">
        <v>0</v>
      </c>
      <c r="L145">
        <v>0</v>
      </c>
      <c r="M145">
        <v>0</v>
      </c>
      <c r="N145">
        <v>0</v>
      </c>
      <c r="O145">
        <v>16879.377400000001</v>
      </c>
      <c r="Q145">
        <v>14</v>
      </c>
      <c r="R145">
        <v>0</v>
      </c>
      <c r="S145">
        <v>0</v>
      </c>
      <c r="T145">
        <v>0</v>
      </c>
      <c r="U145">
        <v>0</v>
      </c>
      <c r="V145">
        <v>0</v>
      </c>
      <c r="W145">
        <v>0</v>
      </c>
      <c r="X145">
        <v>0</v>
      </c>
      <c r="Y145">
        <v>0</v>
      </c>
      <c r="Z145">
        <v>0</v>
      </c>
      <c r="AA145">
        <v>0</v>
      </c>
      <c r="AB145">
        <v>0</v>
      </c>
      <c r="AC145">
        <v>0</v>
      </c>
      <c r="AD145">
        <v>0</v>
      </c>
      <c r="AE145">
        <v>1681</v>
      </c>
      <c r="AG145" s="157">
        <v>14</v>
      </c>
      <c r="AH145">
        <v>0</v>
      </c>
      <c r="AI145">
        <v>0</v>
      </c>
      <c r="AJ145">
        <v>0</v>
      </c>
      <c r="AK145">
        <v>0</v>
      </c>
      <c r="AL145">
        <v>0</v>
      </c>
      <c r="AM145">
        <v>0</v>
      </c>
      <c r="AN145">
        <v>0</v>
      </c>
      <c r="AO145">
        <v>0</v>
      </c>
      <c r="AP145">
        <v>0</v>
      </c>
      <c r="AQ145">
        <v>0</v>
      </c>
      <c r="AR145">
        <v>0</v>
      </c>
      <c r="AS145">
        <v>0</v>
      </c>
      <c r="AT145">
        <v>0</v>
      </c>
      <c r="AU145">
        <v>1681</v>
      </c>
    </row>
    <row r="146" spans="1:47" x14ac:dyDescent="0.25">
      <c r="A146" t="s">
        <v>547</v>
      </c>
      <c r="D146" s="89"/>
      <c r="Q146" t="s">
        <v>547</v>
      </c>
    </row>
    <row r="147" spans="1:47" x14ac:dyDescent="0.25">
      <c r="B147" t="s">
        <v>208</v>
      </c>
      <c r="C147" t="s">
        <v>209</v>
      </c>
      <c r="D147" t="s">
        <v>210</v>
      </c>
      <c r="E147" t="s">
        <v>211</v>
      </c>
      <c r="F147" t="s">
        <v>212</v>
      </c>
      <c r="G147" t="s">
        <v>213</v>
      </c>
      <c r="H147" t="s">
        <v>214</v>
      </c>
      <c r="I147" t="s">
        <v>215</v>
      </c>
      <c r="J147" t="s">
        <v>216</v>
      </c>
      <c r="K147" t="s">
        <v>400</v>
      </c>
      <c r="L147" t="s">
        <v>401</v>
      </c>
      <c r="M147" t="s">
        <v>402</v>
      </c>
      <c r="N147" t="s">
        <v>403</v>
      </c>
      <c r="O147" t="s">
        <v>404</v>
      </c>
      <c r="R147" t="s">
        <v>208</v>
      </c>
      <c r="S147" t="s">
        <v>209</v>
      </c>
      <c r="T147" t="s">
        <v>210</v>
      </c>
      <c r="U147" t="s">
        <v>211</v>
      </c>
      <c r="V147" t="s">
        <v>212</v>
      </c>
      <c r="W147" t="s">
        <v>213</v>
      </c>
      <c r="X147" t="s">
        <v>214</v>
      </c>
      <c r="Y147" t="s">
        <v>215</v>
      </c>
      <c r="Z147" t="s">
        <v>216</v>
      </c>
      <c r="AA147" t="s">
        <v>400</v>
      </c>
      <c r="AB147" t="s">
        <v>401</v>
      </c>
      <c r="AC147" t="s">
        <v>402</v>
      </c>
      <c r="AD147" t="s">
        <v>403</v>
      </c>
      <c r="AE147" t="s">
        <v>404</v>
      </c>
      <c r="AG147" s="157"/>
      <c r="AH147" t="s">
        <v>674</v>
      </c>
      <c r="AI147" t="s">
        <v>675</v>
      </c>
      <c r="AJ147" t="s">
        <v>676</v>
      </c>
      <c r="AK147" t="s">
        <v>677</v>
      </c>
      <c r="AL147" t="s">
        <v>678</v>
      </c>
      <c r="AM147" t="s">
        <v>679</v>
      </c>
      <c r="AN147" t="s">
        <v>680</v>
      </c>
      <c r="AO147" t="s">
        <v>681</v>
      </c>
      <c r="AP147" t="s">
        <v>682</v>
      </c>
      <c r="AQ147" t="s">
        <v>683</v>
      </c>
      <c r="AR147" t="s">
        <v>684</v>
      </c>
      <c r="AS147" t="s">
        <v>685</v>
      </c>
      <c r="AT147" t="s">
        <v>686</v>
      </c>
      <c r="AU147" t="s">
        <v>687</v>
      </c>
    </row>
    <row r="148" spans="1:47" x14ac:dyDescent="0.25">
      <c r="A148">
        <v>1</v>
      </c>
      <c r="B148">
        <v>0</v>
      </c>
      <c r="C148">
        <v>0</v>
      </c>
      <c r="D148">
        <v>24658.072059999999</v>
      </c>
      <c r="E148">
        <v>0</v>
      </c>
      <c r="F148">
        <v>7086.0150100000001</v>
      </c>
      <c r="G148">
        <v>119.42748</v>
      </c>
      <c r="H148">
        <v>0</v>
      </c>
      <c r="I148">
        <v>0</v>
      </c>
      <c r="J148">
        <v>771.05561999999998</v>
      </c>
      <c r="K148">
        <v>0</v>
      </c>
      <c r="L148">
        <v>0</v>
      </c>
      <c r="M148">
        <v>0</v>
      </c>
      <c r="N148">
        <v>0</v>
      </c>
      <c r="O148">
        <v>0</v>
      </c>
      <c r="Q148">
        <v>1</v>
      </c>
      <c r="R148">
        <v>0</v>
      </c>
      <c r="S148">
        <v>0</v>
      </c>
      <c r="T148">
        <v>2879</v>
      </c>
      <c r="U148">
        <v>116</v>
      </c>
      <c r="V148">
        <v>960</v>
      </c>
      <c r="W148">
        <v>65</v>
      </c>
      <c r="X148">
        <v>0</v>
      </c>
      <c r="Y148">
        <v>0</v>
      </c>
      <c r="Z148">
        <v>0</v>
      </c>
      <c r="AA148">
        <v>0</v>
      </c>
      <c r="AB148">
        <v>0</v>
      </c>
      <c r="AC148">
        <v>0</v>
      </c>
      <c r="AD148">
        <v>0</v>
      </c>
      <c r="AE148">
        <v>0</v>
      </c>
      <c r="AG148" s="157">
        <v>1</v>
      </c>
      <c r="AH148">
        <v>0</v>
      </c>
      <c r="AI148">
        <v>0</v>
      </c>
      <c r="AJ148">
        <v>2879</v>
      </c>
      <c r="AK148">
        <v>116</v>
      </c>
      <c r="AL148">
        <v>960</v>
      </c>
      <c r="AM148">
        <v>65</v>
      </c>
      <c r="AN148">
        <v>0</v>
      </c>
      <c r="AO148">
        <v>0</v>
      </c>
      <c r="AP148">
        <v>0</v>
      </c>
      <c r="AQ148">
        <v>0</v>
      </c>
      <c r="AR148">
        <v>0</v>
      </c>
      <c r="AS148">
        <v>0</v>
      </c>
      <c r="AT148">
        <v>0</v>
      </c>
      <c r="AU148">
        <v>0</v>
      </c>
    </row>
    <row r="149" spans="1:47" x14ac:dyDescent="0.25">
      <c r="A149">
        <v>2</v>
      </c>
      <c r="B149">
        <v>0</v>
      </c>
      <c r="C149">
        <v>0</v>
      </c>
      <c r="D149">
        <v>0</v>
      </c>
      <c r="E149">
        <v>0</v>
      </c>
      <c r="F149">
        <v>0</v>
      </c>
      <c r="G149">
        <v>119.42748</v>
      </c>
      <c r="H149">
        <v>0</v>
      </c>
      <c r="I149">
        <v>0</v>
      </c>
      <c r="J149">
        <v>0</v>
      </c>
      <c r="K149">
        <v>0</v>
      </c>
      <c r="L149">
        <v>0</v>
      </c>
      <c r="M149">
        <v>0</v>
      </c>
      <c r="N149">
        <v>0</v>
      </c>
      <c r="O149">
        <v>0</v>
      </c>
      <c r="Q149">
        <v>2</v>
      </c>
      <c r="R149">
        <v>0</v>
      </c>
      <c r="S149">
        <v>0</v>
      </c>
      <c r="T149">
        <v>28</v>
      </c>
      <c r="U149">
        <v>34</v>
      </c>
      <c r="V149">
        <v>11</v>
      </c>
      <c r="W149">
        <v>14</v>
      </c>
      <c r="X149">
        <v>0</v>
      </c>
      <c r="Y149">
        <v>0</v>
      </c>
      <c r="Z149">
        <v>0</v>
      </c>
      <c r="AA149">
        <v>0</v>
      </c>
      <c r="AB149">
        <v>0</v>
      </c>
      <c r="AC149">
        <v>0</v>
      </c>
      <c r="AD149">
        <v>0</v>
      </c>
      <c r="AE149">
        <v>0</v>
      </c>
      <c r="AG149" s="157">
        <v>2</v>
      </c>
      <c r="AH149">
        <v>0</v>
      </c>
      <c r="AI149">
        <v>0</v>
      </c>
      <c r="AJ149">
        <v>28</v>
      </c>
      <c r="AK149">
        <v>34</v>
      </c>
      <c r="AL149">
        <v>11</v>
      </c>
      <c r="AM149">
        <v>14</v>
      </c>
      <c r="AN149">
        <v>0</v>
      </c>
      <c r="AO149">
        <v>0</v>
      </c>
      <c r="AP149">
        <v>0</v>
      </c>
      <c r="AQ149">
        <v>0</v>
      </c>
      <c r="AR149">
        <v>0</v>
      </c>
      <c r="AS149">
        <v>0</v>
      </c>
      <c r="AT149">
        <v>0</v>
      </c>
      <c r="AU149">
        <v>0</v>
      </c>
    </row>
    <row r="150" spans="1:47" x14ac:dyDescent="0.25">
      <c r="A150">
        <v>3</v>
      </c>
      <c r="B150">
        <v>0</v>
      </c>
      <c r="C150">
        <v>0</v>
      </c>
      <c r="D150">
        <v>28563.216110000001</v>
      </c>
      <c r="E150">
        <v>0</v>
      </c>
      <c r="F150">
        <v>12285.08475</v>
      </c>
      <c r="G150">
        <v>119.42748</v>
      </c>
      <c r="H150">
        <v>0</v>
      </c>
      <c r="I150">
        <v>0</v>
      </c>
      <c r="J150">
        <v>0</v>
      </c>
      <c r="K150">
        <v>0</v>
      </c>
      <c r="L150">
        <v>0</v>
      </c>
      <c r="M150">
        <v>0</v>
      </c>
      <c r="N150">
        <v>0</v>
      </c>
      <c r="O150">
        <v>0</v>
      </c>
      <c r="Q150">
        <v>3</v>
      </c>
      <c r="R150">
        <v>0</v>
      </c>
      <c r="S150">
        <v>0</v>
      </c>
      <c r="T150">
        <v>3638</v>
      </c>
      <c r="U150">
        <v>129</v>
      </c>
      <c r="V150">
        <v>808</v>
      </c>
      <c r="W150">
        <v>41</v>
      </c>
      <c r="X150">
        <v>0</v>
      </c>
      <c r="Y150">
        <v>0</v>
      </c>
      <c r="Z150">
        <v>0</v>
      </c>
      <c r="AA150">
        <v>3</v>
      </c>
      <c r="AB150">
        <v>0</v>
      </c>
      <c r="AC150">
        <v>0</v>
      </c>
      <c r="AD150">
        <v>0</v>
      </c>
      <c r="AE150">
        <v>0</v>
      </c>
      <c r="AG150" s="157">
        <v>3</v>
      </c>
      <c r="AH150">
        <v>0</v>
      </c>
      <c r="AI150">
        <v>0</v>
      </c>
      <c r="AJ150">
        <v>3638</v>
      </c>
      <c r="AK150">
        <v>129</v>
      </c>
      <c r="AL150">
        <v>808</v>
      </c>
      <c r="AM150">
        <v>41</v>
      </c>
      <c r="AN150">
        <v>0</v>
      </c>
      <c r="AO150">
        <v>0</v>
      </c>
      <c r="AP150">
        <v>0</v>
      </c>
      <c r="AQ150">
        <v>3</v>
      </c>
      <c r="AR150">
        <v>0</v>
      </c>
      <c r="AS150">
        <v>0</v>
      </c>
      <c r="AT150">
        <v>0</v>
      </c>
      <c r="AU150">
        <v>0</v>
      </c>
    </row>
    <row r="151" spans="1:47" x14ac:dyDescent="0.25">
      <c r="A151">
        <v>4</v>
      </c>
      <c r="B151">
        <v>0</v>
      </c>
      <c r="C151">
        <v>0</v>
      </c>
      <c r="D151">
        <v>0</v>
      </c>
      <c r="E151">
        <v>0</v>
      </c>
      <c r="F151">
        <v>0</v>
      </c>
      <c r="G151">
        <v>0</v>
      </c>
      <c r="H151">
        <v>0</v>
      </c>
      <c r="I151">
        <v>0</v>
      </c>
      <c r="J151">
        <v>0</v>
      </c>
      <c r="K151">
        <v>0</v>
      </c>
      <c r="L151">
        <v>0</v>
      </c>
      <c r="M151">
        <v>0</v>
      </c>
      <c r="N151">
        <v>0</v>
      </c>
      <c r="O151">
        <v>0</v>
      </c>
      <c r="Q151">
        <v>4</v>
      </c>
      <c r="R151">
        <v>0</v>
      </c>
      <c r="S151">
        <v>0</v>
      </c>
      <c r="T151">
        <v>35</v>
      </c>
      <c r="U151">
        <v>36</v>
      </c>
      <c r="V151">
        <v>12</v>
      </c>
      <c r="W151">
        <v>13</v>
      </c>
      <c r="X151">
        <v>0</v>
      </c>
      <c r="Y151">
        <v>0</v>
      </c>
      <c r="Z151">
        <v>0</v>
      </c>
      <c r="AA151">
        <v>0</v>
      </c>
      <c r="AB151">
        <v>0</v>
      </c>
      <c r="AC151">
        <v>0</v>
      </c>
      <c r="AD151">
        <v>0</v>
      </c>
      <c r="AE151">
        <v>0</v>
      </c>
      <c r="AG151" s="157">
        <v>4</v>
      </c>
      <c r="AH151">
        <v>0</v>
      </c>
      <c r="AI151">
        <v>0</v>
      </c>
      <c r="AJ151">
        <v>35</v>
      </c>
      <c r="AK151">
        <v>36</v>
      </c>
      <c r="AL151">
        <v>12</v>
      </c>
      <c r="AM151">
        <v>13</v>
      </c>
      <c r="AN151">
        <v>0</v>
      </c>
      <c r="AO151">
        <v>0</v>
      </c>
      <c r="AP151">
        <v>0</v>
      </c>
      <c r="AQ151">
        <v>0</v>
      </c>
      <c r="AR151">
        <v>0</v>
      </c>
      <c r="AS151">
        <v>0</v>
      </c>
      <c r="AT151">
        <v>0</v>
      </c>
      <c r="AU151">
        <v>0</v>
      </c>
    </row>
    <row r="152" spans="1:47" x14ac:dyDescent="0.25">
      <c r="A152">
        <v>5</v>
      </c>
      <c r="B152">
        <v>0</v>
      </c>
      <c r="C152">
        <v>0</v>
      </c>
      <c r="D152">
        <v>0</v>
      </c>
      <c r="E152">
        <v>0</v>
      </c>
      <c r="F152">
        <v>20808.366760000001</v>
      </c>
      <c r="G152">
        <v>119.42748</v>
      </c>
      <c r="H152">
        <v>0</v>
      </c>
      <c r="I152">
        <v>0</v>
      </c>
      <c r="J152">
        <v>0</v>
      </c>
      <c r="K152">
        <v>0</v>
      </c>
      <c r="L152">
        <v>0</v>
      </c>
      <c r="M152">
        <v>0</v>
      </c>
      <c r="N152">
        <v>0</v>
      </c>
      <c r="O152">
        <v>0</v>
      </c>
      <c r="Q152">
        <v>5</v>
      </c>
      <c r="R152">
        <v>0</v>
      </c>
      <c r="S152">
        <v>0</v>
      </c>
      <c r="T152">
        <v>0</v>
      </c>
      <c r="U152">
        <v>0</v>
      </c>
      <c r="V152">
        <v>2494</v>
      </c>
      <c r="W152">
        <v>106</v>
      </c>
      <c r="X152">
        <v>0</v>
      </c>
      <c r="Y152">
        <v>0</v>
      </c>
      <c r="Z152">
        <v>0</v>
      </c>
      <c r="AA152">
        <v>1</v>
      </c>
      <c r="AB152">
        <v>0</v>
      </c>
      <c r="AC152">
        <v>0</v>
      </c>
      <c r="AD152">
        <v>0</v>
      </c>
      <c r="AE152">
        <v>0</v>
      </c>
      <c r="AG152" s="157">
        <v>5</v>
      </c>
      <c r="AH152">
        <v>0</v>
      </c>
      <c r="AI152">
        <v>0</v>
      </c>
      <c r="AJ152">
        <v>0</v>
      </c>
      <c r="AK152">
        <v>0</v>
      </c>
      <c r="AL152">
        <v>2494</v>
      </c>
      <c r="AM152">
        <v>106</v>
      </c>
      <c r="AN152">
        <v>0</v>
      </c>
      <c r="AO152">
        <v>0</v>
      </c>
      <c r="AP152">
        <v>0</v>
      </c>
      <c r="AQ152">
        <v>1</v>
      </c>
      <c r="AR152">
        <v>0</v>
      </c>
      <c r="AS152">
        <v>0</v>
      </c>
      <c r="AT152">
        <v>0</v>
      </c>
      <c r="AU152">
        <v>0</v>
      </c>
    </row>
    <row r="153" spans="1:47" x14ac:dyDescent="0.25">
      <c r="A153">
        <v>6</v>
      </c>
      <c r="B153">
        <v>0</v>
      </c>
      <c r="C153">
        <v>0</v>
      </c>
      <c r="D153">
        <v>0</v>
      </c>
      <c r="E153">
        <v>0</v>
      </c>
      <c r="F153">
        <v>0</v>
      </c>
      <c r="G153">
        <v>0</v>
      </c>
      <c r="H153">
        <v>0</v>
      </c>
      <c r="I153">
        <v>0</v>
      </c>
      <c r="J153">
        <v>0</v>
      </c>
      <c r="K153">
        <v>0</v>
      </c>
      <c r="L153">
        <v>0</v>
      </c>
      <c r="M153">
        <v>0</v>
      </c>
      <c r="N153">
        <v>0</v>
      </c>
      <c r="O153">
        <v>0</v>
      </c>
      <c r="Q153">
        <v>6</v>
      </c>
      <c r="R153">
        <v>0</v>
      </c>
      <c r="S153">
        <v>0</v>
      </c>
      <c r="T153">
        <v>0</v>
      </c>
      <c r="U153">
        <v>0</v>
      </c>
      <c r="V153">
        <v>22</v>
      </c>
      <c r="W153">
        <v>36</v>
      </c>
      <c r="X153">
        <v>0</v>
      </c>
      <c r="Y153">
        <v>0</v>
      </c>
      <c r="Z153">
        <v>0</v>
      </c>
      <c r="AA153">
        <v>0</v>
      </c>
      <c r="AB153">
        <v>0</v>
      </c>
      <c r="AC153">
        <v>0</v>
      </c>
      <c r="AD153">
        <v>0</v>
      </c>
      <c r="AE153">
        <v>0</v>
      </c>
      <c r="AG153" s="157">
        <v>6</v>
      </c>
      <c r="AH153">
        <v>0</v>
      </c>
      <c r="AI153">
        <v>0</v>
      </c>
      <c r="AJ153">
        <v>0</v>
      </c>
      <c r="AK153">
        <v>0</v>
      </c>
      <c r="AL153">
        <v>22</v>
      </c>
      <c r="AM153">
        <v>36</v>
      </c>
      <c r="AN153">
        <v>0</v>
      </c>
      <c r="AO153">
        <v>0</v>
      </c>
      <c r="AP153">
        <v>0</v>
      </c>
      <c r="AQ153">
        <v>0</v>
      </c>
      <c r="AR153">
        <v>0</v>
      </c>
      <c r="AS153">
        <v>0</v>
      </c>
      <c r="AT153">
        <v>0</v>
      </c>
      <c r="AU153">
        <v>0</v>
      </c>
    </row>
    <row r="154" spans="1:47" x14ac:dyDescent="0.25">
      <c r="A154">
        <v>7</v>
      </c>
      <c r="B154">
        <v>0</v>
      </c>
      <c r="C154">
        <v>0</v>
      </c>
      <c r="D154">
        <v>114.72986</v>
      </c>
      <c r="E154">
        <v>0</v>
      </c>
      <c r="F154">
        <v>0</v>
      </c>
      <c r="G154">
        <v>0</v>
      </c>
      <c r="H154">
        <v>11056.181689999999</v>
      </c>
      <c r="I154">
        <v>493.64591999999999</v>
      </c>
      <c r="J154">
        <v>1542.11124</v>
      </c>
      <c r="K154">
        <v>0</v>
      </c>
      <c r="L154">
        <v>0</v>
      </c>
      <c r="M154">
        <v>0</v>
      </c>
      <c r="N154">
        <v>0</v>
      </c>
      <c r="O154">
        <v>0</v>
      </c>
      <c r="Q154">
        <v>7</v>
      </c>
      <c r="R154">
        <v>0</v>
      </c>
      <c r="S154">
        <v>0</v>
      </c>
      <c r="T154">
        <v>819</v>
      </c>
      <c r="U154">
        <v>11</v>
      </c>
      <c r="V154">
        <v>390</v>
      </c>
      <c r="W154">
        <v>7</v>
      </c>
      <c r="X154">
        <v>5635</v>
      </c>
      <c r="Y154">
        <v>0</v>
      </c>
      <c r="Z154">
        <v>0</v>
      </c>
      <c r="AA154">
        <v>172</v>
      </c>
      <c r="AB154">
        <v>0</v>
      </c>
      <c r="AC154">
        <v>0</v>
      </c>
      <c r="AD154">
        <v>0</v>
      </c>
      <c r="AE154">
        <v>0</v>
      </c>
      <c r="AG154" s="157">
        <v>7</v>
      </c>
      <c r="AH154">
        <v>0</v>
      </c>
      <c r="AI154">
        <v>0</v>
      </c>
      <c r="AJ154">
        <v>819</v>
      </c>
      <c r="AK154">
        <v>11</v>
      </c>
      <c r="AL154">
        <v>390</v>
      </c>
      <c r="AM154">
        <v>7</v>
      </c>
      <c r="AN154">
        <v>5635</v>
      </c>
      <c r="AO154">
        <v>0</v>
      </c>
      <c r="AP154">
        <v>0</v>
      </c>
      <c r="AQ154">
        <v>172</v>
      </c>
      <c r="AR154">
        <v>0</v>
      </c>
      <c r="AS154">
        <v>0</v>
      </c>
      <c r="AT154">
        <v>0</v>
      </c>
      <c r="AU154">
        <v>0</v>
      </c>
    </row>
    <row r="155" spans="1:47" x14ac:dyDescent="0.25">
      <c r="A155">
        <v>8</v>
      </c>
      <c r="B155">
        <v>0</v>
      </c>
      <c r="C155">
        <v>0</v>
      </c>
      <c r="D155">
        <v>0</v>
      </c>
      <c r="E155">
        <v>0</v>
      </c>
      <c r="F155">
        <v>0</v>
      </c>
      <c r="G155">
        <v>0</v>
      </c>
      <c r="H155">
        <v>0</v>
      </c>
      <c r="I155">
        <v>493.64591999999999</v>
      </c>
      <c r="J155">
        <v>0</v>
      </c>
      <c r="K155">
        <v>0</v>
      </c>
      <c r="L155">
        <v>0</v>
      </c>
      <c r="M155">
        <v>0</v>
      </c>
      <c r="N155">
        <v>0</v>
      </c>
      <c r="O155">
        <v>0</v>
      </c>
      <c r="Q155">
        <v>8</v>
      </c>
      <c r="R155">
        <v>0</v>
      </c>
      <c r="S155">
        <v>0</v>
      </c>
      <c r="T155">
        <v>0</v>
      </c>
      <c r="U155">
        <v>0</v>
      </c>
      <c r="V155">
        <v>0</v>
      </c>
      <c r="W155">
        <v>0</v>
      </c>
      <c r="X155">
        <v>0</v>
      </c>
      <c r="Y155">
        <v>381</v>
      </c>
      <c r="Z155">
        <v>0</v>
      </c>
      <c r="AA155">
        <v>0</v>
      </c>
      <c r="AB155">
        <v>0</v>
      </c>
      <c r="AC155">
        <v>0</v>
      </c>
      <c r="AD155">
        <v>0</v>
      </c>
      <c r="AE155">
        <v>0</v>
      </c>
      <c r="AG155" s="157">
        <v>8</v>
      </c>
      <c r="AH155">
        <v>0</v>
      </c>
      <c r="AI155">
        <v>0</v>
      </c>
      <c r="AJ155">
        <v>0</v>
      </c>
      <c r="AK155">
        <v>0</v>
      </c>
      <c r="AL155">
        <v>0</v>
      </c>
      <c r="AM155">
        <v>0</v>
      </c>
      <c r="AN155">
        <v>0</v>
      </c>
      <c r="AO155">
        <v>381</v>
      </c>
      <c r="AP155">
        <v>0</v>
      </c>
      <c r="AQ155">
        <v>0</v>
      </c>
      <c r="AR155">
        <v>0</v>
      </c>
      <c r="AS155">
        <v>0</v>
      </c>
      <c r="AT155">
        <v>0</v>
      </c>
      <c r="AU155">
        <v>0</v>
      </c>
    </row>
    <row r="156" spans="1:47" x14ac:dyDescent="0.25">
      <c r="A156">
        <v>9</v>
      </c>
      <c r="B156">
        <v>0</v>
      </c>
      <c r="C156">
        <v>0</v>
      </c>
      <c r="D156">
        <v>0</v>
      </c>
      <c r="E156">
        <v>0</v>
      </c>
      <c r="F156">
        <v>0</v>
      </c>
      <c r="G156">
        <v>0</v>
      </c>
      <c r="H156">
        <v>0</v>
      </c>
      <c r="I156">
        <v>0</v>
      </c>
      <c r="J156">
        <v>6582.5260600000001</v>
      </c>
      <c r="K156">
        <v>0</v>
      </c>
      <c r="L156">
        <v>0</v>
      </c>
      <c r="M156">
        <v>0</v>
      </c>
      <c r="N156">
        <v>0</v>
      </c>
      <c r="O156">
        <v>0</v>
      </c>
      <c r="Q156">
        <v>9</v>
      </c>
      <c r="R156">
        <v>0</v>
      </c>
      <c r="S156">
        <v>0</v>
      </c>
      <c r="T156">
        <v>0</v>
      </c>
      <c r="U156">
        <v>0</v>
      </c>
      <c r="V156">
        <v>0</v>
      </c>
      <c r="W156">
        <v>0</v>
      </c>
      <c r="X156">
        <v>0</v>
      </c>
      <c r="Y156">
        <v>0</v>
      </c>
      <c r="Z156">
        <v>0</v>
      </c>
      <c r="AA156">
        <v>0</v>
      </c>
      <c r="AB156">
        <v>0</v>
      </c>
      <c r="AC156">
        <v>0</v>
      </c>
      <c r="AD156">
        <v>0</v>
      </c>
      <c r="AE156">
        <v>0</v>
      </c>
      <c r="AG156" s="157">
        <v>9</v>
      </c>
      <c r="AH156">
        <v>0</v>
      </c>
      <c r="AI156">
        <v>0</v>
      </c>
      <c r="AJ156">
        <v>0</v>
      </c>
      <c r="AK156">
        <v>0</v>
      </c>
      <c r="AL156">
        <v>0</v>
      </c>
      <c r="AM156">
        <v>0</v>
      </c>
      <c r="AN156">
        <v>0</v>
      </c>
      <c r="AO156">
        <v>0</v>
      </c>
      <c r="AP156">
        <v>0</v>
      </c>
      <c r="AQ156">
        <v>0</v>
      </c>
      <c r="AR156">
        <v>0</v>
      </c>
      <c r="AS156">
        <v>0</v>
      </c>
      <c r="AT156">
        <v>0</v>
      </c>
      <c r="AU156">
        <v>0</v>
      </c>
    </row>
    <row r="157" spans="1:47" x14ac:dyDescent="0.25">
      <c r="A157">
        <v>10</v>
      </c>
      <c r="B157">
        <v>0</v>
      </c>
      <c r="C157">
        <v>0</v>
      </c>
      <c r="D157">
        <v>0</v>
      </c>
      <c r="E157">
        <v>0</v>
      </c>
      <c r="F157">
        <v>0</v>
      </c>
      <c r="G157">
        <v>0</v>
      </c>
      <c r="H157">
        <v>0</v>
      </c>
      <c r="I157">
        <v>0</v>
      </c>
      <c r="J157">
        <v>0</v>
      </c>
      <c r="K157">
        <v>0</v>
      </c>
      <c r="L157">
        <v>0</v>
      </c>
      <c r="M157">
        <v>0</v>
      </c>
      <c r="N157">
        <v>0</v>
      </c>
      <c r="O157">
        <v>0</v>
      </c>
      <c r="Q157">
        <v>10</v>
      </c>
      <c r="R157">
        <v>0</v>
      </c>
      <c r="S157">
        <v>0</v>
      </c>
      <c r="T157">
        <v>0</v>
      </c>
      <c r="U157">
        <v>0</v>
      </c>
      <c r="V157">
        <v>0</v>
      </c>
      <c r="W157">
        <v>0</v>
      </c>
      <c r="X157">
        <v>0</v>
      </c>
      <c r="Y157">
        <v>0</v>
      </c>
      <c r="Z157">
        <v>0</v>
      </c>
      <c r="AA157">
        <v>452</v>
      </c>
      <c r="AB157">
        <v>0</v>
      </c>
      <c r="AC157">
        <v>0</v>
      </c>
      <c r="AD157">
        <v>0</v>
      </c>
      <c r="AE157">
        <v>0</v>
      </c>
      <c r="AG157" s="157">
        <v>10</v>
      </c>
      <c r="AH157">
        <v>0</v>
      </c>
      <c r="AI157">
        <v>0</v>
      </c>
      <c r="AJ157">
        <v>0</v>
      </c>
      <c r="AK157">
        <v>0</v>
      </c>
      <c r="AL157">
        <v>0</v>
      </c>
      <c r="AM157">
        <v>0</v>
      </c>
      <c r="AN157">
        <v>0</v>
      </c>
      <c r="AO157">
        <v>0</v>
      </c>
      <c r="AP157">
        <v>0</v>
      </c>
      <c r="AQ157">
        <v>452</v>
      </c>
      <c r="AR157">
        <v>0</v>
      </c>
      <c r="AS157">
        <v>0</v>
      </c>
      <c r="AT157">
        <v>0</v>
      </c>
      <c r="AU157">
        <v>0</v>
      </c>
    </row>
    <row r="158" spans="1:47" x14ac:dyDescent="0.25">
      <c r="A158">
        <v>11</v>
      </c>
      <c r="B158">
        <v>0</v>
      </c>
      <c r="C158">
        <v>0</v>
      </c>
      <c r="D158">
        <v>0</v>
      </c>
      <c r="E158">
        <v>0</v>
      </c>
      <c r="F158">
        <v>0</v>
      </c>
      <c r="G158">
        <v>0</v>
      </c>
      <c r="H158">
        <v>0</v>
      </c>
      <c r="I158">
        <v>0</v>
      </c>
      <c r="J158">
        <v>0</v>
      </c>
      <c r="K158">
        <v>0</v>
      </c>
      <c r="L158">
        <v>0</v>
      </c>
      <c r="M158">
        <v>0</v>
      </c>
      <c r="N158">
        <v>0</v>
      </c>
      <c r="O158">
        <v>0</v>
      </c>
      <c r="Q158">
        <v>11</v>
      </c>
      <c r="R158">
        <v>0</v>
      </c>
      <c r="S158">
        <v>0</v>
      </c>
      <c r="T158">
        <v>0</v>
      </c>
      <c r="U158">
        <v>0</v>
      </c>
      <c r="V158">
        <v>0</v>
      </c>
      <c r="W158">
        <v>0</v>
      </c>
      <c r="X158">
        <v>0</v>
      </c>
      <c r="Y158">
        <v>0</v>
      </c>
      <c r="Z158">
        <v>0</v>
      </c>
      <c r="AA158">
        <v>0</v>
      </c>
      <c r="AB158">
        <v>0</v>
      </c>
      <c r="AC158">
        <v>0</v>
      </c>
      <c r="AD158">
        <v>0</v>
      </c>
      <c r="AE158">
        <v>0</v>
      </c>
      <c r="AG158" s="157">
        <v>11</v>
      </c>
      <c r="AH158">
        <v>0</v>
      </c>
      <c r="AI158">
        <v>0</v>
      </c>
      <c r="AJ158">
        <v>0</v>
      </c>
      <c r="AK158">
        <v>0</v>
      </c>
      <c r="AL158">
        <v>0</v>
      </c>
      <c r="AM158">
        <v>0</v>
      </c>
      <c r="AN158">
        <v>0</v>
      </c>
      <c r="AO158">
        <v>0</v>
      </c>
      <c r="AP158">
        <v>0</v>
      </c>
      <c r="AQ158">
        <v>0</v>
      </c>
      <c r="AR158">
        <v>0</v>
      </c>
      <c r="AS158">
        <v>0</v>
      </c>
      <c r="AT158">
        <v>0</v>
      </c>
      <c r="AU158">
        <v>0</v>
      </c>
    </row>
    <row r="159" spans="1:47" x14ac:dyDescent="0.25">
      <c r="A159">
        <v>12</v>
      </c>
      <c r="B159">
        <v>0</v>
      </c>
      <c r="C159">
        <v>0</v>
      </c>
      <c r="D159">
        <v>0</v>
      </c>
      <c r="E159">
        <v>0</v>
      </c>
      <c r="F159">
        <v>0</v>
      </c>
      <c r="G159">
        <v>0</v>
      </c>
      <c r="H159">
        <v>0</v>
      </c>
      <c r="I159">
        <v>0</v>
      </c>
      <c r="J159">
        <v>0</v>
      </c>
      <c r="K159">
        <v>0</v>
      </c>
      <c r="L159">
        <v>0</v>
      </c>
      <c r="M159">
        <v>0</v>
      </c>
      <c r="N159">
        <v>0</v>
      </c>
      <c r="O159">
        <v>0</v>
      </c>
      <c r="Q159">
        <v>12</v>
      </c>
      <c r="R159">
        <v>0</v>
      </c>
      <c r="S159">
        <v>0</v>
      </c>
      <c r="T159">
        <v>0</v>
      </c>
      <c r="U159">
        <v>0</v>
      </c>
      <c r="V159">
        <v>0</v>
      </c>
      <c r="W159">
        <v>0</v>
      </c>
      <c r="X159">
        <v>0</v>
      </c>
      <c r="Y159">
        <v>0</v>
      </c>
      <c r="Z159">
        <v>0</v>
      </c>
      <c r="AA159">
        <v>0</v>
      </c>
      <c r="AB159">
        <v>0</v>
      </c>
      <c r="AC159">
        <v>0</v>
      </c>
      <c r="AD159">
        <v>0</v>
      </c>
      <c r="AE159">
        <v>0</v>
      </c>
      <c r="AG159" s="157">
        <v>12</v>
      </c>
      <c r="AH159">
        <v>0</v>
      </c>
      <c r="AI159">
        <v>0</v>
      </c>
      <c r="AJ159">
        <v>0</v>
      </c>
      <c r="AK159">
        <v>0</v>
      </c>
      <c r="AL159">
        <v>0</v>
      </c>
      <c r="AM159">
        <v>0</v>
      </c>
      <c r="AN159">
        <v>0</v>
      </c>
      <c r="AO159">
        <v>0</v>
      </c>
      <c r="AP159">
        <v>0</v>
      </c>
      <c r="AQ159">
        <v>0</v>
      </c>
      <c r="AR159">
        <v>0</v>
      </c>
      <c r="AS159">
        <v>0</v>
      </c>
      <c r="AT159">
        <v>0</v>
      </c>
      <c r="AU159">
        <v>0</v>
      </c>
    </row>
    <row r="160" spans="1:47" x14ac:dyDescent="0.25">
      <c r="A160">
        <v>13</v>
      </c>
      <c r="B160">
        <v>0</v>
      </c>
      <c r="C160">
        <v>0</v>
      </c>
      <c r="D160">
        <v>0</v>
      </c>
      <c r="E160">
        <v>0</v>
      </c>
      <c r="F160">
        <v>0</v>
      </c>
      <c r="G160">
        <v>0</v>
      </c>
      <c r="H160">
        <v>0</v>
      </c>
      <c r="I160">
        <v>0</v>
      </c>
      <c r="J160">
        <v>0</v>
      </c>
      <c r="K160">
        <v>0</v>
      </c>
      <c r="L160">
        <v>0</v>
      </c>
      <c r="M160">
        <v>0</v>
      </c>
      <c r="N160">
        <v>0</v>
      </c>
      <c r="O160">
        <v>0</v>
      </c>
      <c r="Q160">
        <v>13</v>
      </c>
      <c r="R160">
        <v>0</v>
      </c>
      <c r="S160">
        <v>0</v>
      </c>
      <c r="T160">
        <v>0</v>
      </c>
      <c r="U160">
        <v>0</v>
      </c>
      <c r="V160">
        <v>0</v>
      </c>
      <c r="W160">
        <v>0</v>
      </c>
      <c r="X160">
        <v>0</v>
      </c>
      <c r="Y160">
        <v>0</v>
      </c>
      <c r="Z160">
        <v>0</v>
      </c>
      <c r="AA160">
        <v>2</v>
      </c>
      <c r="AB160">
        <v>0</v>
      </c>
      <c r="AC160">
        <v>0</v>
      </c>
      <c r="AD160">
        <v>0</v>
      </c>
      <c r="AE160">
        <v>0</v>
      </c>
      <c r="AG160" s="157">
        <v>13</v>
      </c>
      <c r="AH160">
        <v>0</v>
      </c>
      <c r="AI160">
        <v>0</v>
      </c>
      <c r="AJ160">
        <v>0</v>
      </c>
      <c r="AK160">
        <v>0</v>
      </c>
      <c r="AL160">
        <v>0</v>
      </c>
      <c r="AM160">
        <v>0</v>
      </c>
      <c r="AN160">
        <v>0</v>
      </c>
      <c r="AO160">
        <v>0</v>
      </c>
      <c r="AP160">
        <v>0</v>
      </c>
      <c r="AQ160">
        <v>2</v>
      </c>
      <c r="AR160">
        <v>0</v>
      </c>
      <c r="AS160">
        <v>0</v>
      </c>
      <c r="AT160">
        <v>0</v>
      </c>
      <c r="AU160">
        <v>0</v>
      </c>
    </row>
    <row r="161" spans="1:47" x14ac:dyDescent="0.25">
      <c r="A161">
        <v>14</v>
      </c>
      <c r="B161">
        <v>0</v>
      </c>
      <c r="C161">
        <v>0</v>
      </c>
      <c r="D161">
        <v>0</v>
      </c>
      <c r="E161">
        <v>0</v>
      </c>
      <c r="F161">
        <v>0</v>
      </c>
      <c r="G161">
        <v>0</v>
      </c>
      <c r="H161">
        <v>0</v>
      </c>
      <c r="I161">
        <v>0</v>
      </c>
      <c r="J161">
        <v>0</v>
      </c>
      <c r="K161">
        <v>0</v>
      </c>
      <c r="L161">
        <v>0</v>
      </c>
      <c r="M161">
        <v>0</v>
      </c>
      <c r="N161">
        <v>0</v>
      </c>
      <c r="O161">
        <v>0</v>
      </c>
      <c r="Q161">
        <v>14</v>
      </c>
      <c r="R161">
        <v>0</v>
      </c>
      <c r="S161">
        <v>0</v>
      </c>
      <c r="T161">
        <v>0</v>
      </c>
      <c r="U161">
        <v>0</v>
      </c>
      <c r="V161">
        <v>0</v>
      </c>
      <c r="W161">
        <v>0</v>
      </c>
      <c r="X161">
        <v>0</v>
      </c>
      <c r="Y161">
        <v>0</v>
      </c>
      <c r="Z161">
        <v>0</v>
      </c>
      <c r="AA161">
        <v>0</v>
      </c>
      <c r="AB161">
        <v>0</v>
      </c>
      <c r="AC161">
        <v>0</v>
      </c>
      <c r="AD161">
        <v>0</v>
      </c>
      <c r="AE161">
        <v>0</v>
      </c>
      <c r="AG161" s="157">
        <v>14</v>
      </c>
      <c r="AH161">
        <v>0</v>
      </c>
      <c r="AI161">
        <v>0</v>
      </c>
      <c r="AJ161">
        <v>0</v>
      </c>
      <c r="AK161">
        <v>0</v>
      </c>
      <c r="AL161">
        <v>0</v>
      </c>
      <c r="AM161">
        <v>0</v>
      </c>
      <c r="AN161">
        <v>0</v>
      </c>
      <c r="AO161">
        <v>0</v>
      </c>
      <c r="AP161">
        <v>0</v>
      </c>
      <c r="AQ161">
        <v>0</v>
      </c>
      <c r="AR161">
        <v>0</v>
      </c>
      <c r="AS161">
        <v>0</v>
      </c>
      <c r="AT161">
        <v>0</v>
      </c>
      <c r="AU161">
        <v>0</v>
      </c>
    </row>
  </sheetData>
  <pageMargins left="0.7" right="0.7" top="0.75" bottom="0.75" header="0.3" footer="0.3"/>
  <pageSetup paperSize="0" orientation="portrait" horizontalDpi="0" verticalDpi="0" copie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FL186"/>
  <sheetViews>
    <sheetView zoomScale="80" zoomScaleNormal="80" workbookViewId="0">
      <pane ySplit="4" topLeftCell="A5" activePane="bottomLeft" state="frozen"/>
      <selection activeCell="Q1" sqref="Q1"/>
      <selection pane="bottomLeft"/>
    </sheetView>
  </sheetViews>
  <sheetFormatPr defaultRowHeight="15" x14ac:dyDescent="0.25"/>
  <cols>
    <col min="1" max="1" width="10.7109375" bestFit="1" customWidth="1"/>
    <col min="2" max="2" width="17.85546875" bestFit="1" customWidth="1"/>
    <col min="3" max="3" width="10.85546875" bestFit="1" customWidth="1"/>
    <col min="4" max="4" width="8.140625" bestFit="1" customWidth="1"/>
    <col min="5" max="5" width="9.85546875" bestFit="1" customWidth="1"/>
    <col min="6" max="6" width="8.140625" bestFit="1" customWidth="1"/>
    <col min="7" max="7" width="9.85546875" bestFit="1" customWidth="1"/>
    <col min="8" max="8" width="8.140625" bestFit="1" customWidth="1"/>
    <col min="9" max="9" width="9.85546875" bestFit="1" customWidth="1"/>
    <col min="10" max="10" width="8.140625" bestFit="1" customWidth="1"/>
    <col min="11" max="11" width="9.85546875" bestFit="1" customWidth="1"/>
    <col min="12" max="13" width="8.140625" bestFit="1" customWidth="1"/>
    <col min="14" max="14" width="7.28515625" bestFit="1" customWidth="1"/>
    <col min="15" max="15" width="8.140625" bestFit="1" customWidth="1"/>
    <col min="16" max="16" width="10.85546875" bestFit="1" customWidth="1"/>
    <col min="18" max="18" width="13" bestFit="1" customWidth="1"/>
    <col min="19" max="20" width="4.5703125" bestFit="1" customWidth="1"/>
    <col min="21" max="21" width="11.28515625" bestFit="1" customWidth="1"/>
    <col min="22" max="22" width="8.5703125" bestFit="1" customWidth="1"/>
    <col min="23" max="23" width="9.5703125" bestFit="1" customWidth="1"/>
    <col min="25" max="25" width="17.85546875" bestFit="1" customWidth="1"/>
    <col min="26" max="26" width="10.85546875" bestFit="1" customWidth="1"/>
    <col min="27" max="27" width="8.140625" bestFit="1" customWidth="1"/>
    <col min="28" max="28" width="9.85546875" bestFit="1" customWidth="1"/>
    <col min="29" max="29" width="8.140625" bestFit="1" customWidth="1"/>
    <col min="30" max="30" width="9.85546875" bestFit="1" customWidth="1"/>
    <col min="31" max="31" width="8.140625" bestFit="1" customWidth="1"/>
    <col min="32" max="32" width="22.42578125" bestFit="1" customWidth="1"/>
    <col min="33" max="33" width="8.140625" bestFit="1" customWidth="1"/>
    <col min="34" max="34" width="9.85546875" bestFit="1" customWidth="1"/>
    <col min="35" max="36" width="8.5703125" bestFit="1" customWidth="1"/>
    <col min="37" max="37" width="7.28515625" bestFit="1" customWidth="1"/>
    <col min="38" max="38" width="8.140625" bestFit="1" customWidth="1"/>
    <col min="39" max="39" width="10.85546875" bestFit="1" customWidth="1"/>
    <col min="41" max="41" width="17.28515625" bestFit="1" customWidth="1"/>
    <col min="42" max="42" width="10.85546875" bestFit="1" customWidth="1"/>
    <col min="43" max="44" width="9.85546875" bestFit="1" customWidth="1"/>
    <col min="45" max="45" width="8.140625" bestFit="1" customWidth="1"/>
    <col min="46" max="46" width="9.85546875" bestFit="1" customWidth="1"/>
    <col min="47" max="47" width="8.140625" bestFit="1" customWidth="1"/>
    <col min="48" max="48" width="22.42578125" bestFit="1" customWidth="1"/>
    <col min="49" max="49" width="8.140625" bestFit="1" customWidth="1"/>
    <col min="50" max="50" width="9.85546875" bestFit="1" customWidth="1"/>
    <col min="51" max="53" width="8.140625" bestFit="1" customWidth="1"/>
    <col min="54" max="54" width="9.85546875" bestFit="1" customWidth="1"/>
    <col min="55" max="55" width="10.85546875" bestFit="1" customWidth="1"/>
    <col min="57" max="57" width="17.85546875" bestFit="1" customWidth="1"/>
    <col min="58" max="58" width="8" bestFit="1" customWidth="1"/>
    <col min="59" max="59" width="7.42578125" bestFit="1" customWidth="1"/>
    <col min="60" max="60" width="8" bestFit="1" customWidth="1"/>
    <col min="61" max="61" width="7.7109375" bestFit="1" customWidth="1"/>
    <col min="62" max="62" width="8" bestFit="1" customWidth="1"/>
    <col min="63" max="63" width="7.7109375" bestFit="1" customWidth="1"/>
    <col min="64" max="65" width="7.42578125" bestFit="1" customWidth="1"/>
    <col min="66" max="66" width="8.7109375" bestFit="1" customWidth="1"/>
    <col min="67" max="69" width="7.42578125" bestFit="1" customWidth="1"/>
    <col min="70" max="70" width="7.7109375" bestFit="1" customWidth="1"/>
    <col min="71" max="71" width="7.42578125" bestFit="1" customWidth="1"/>
    <col min="73" max="73" width="17.85546875" bestFit="1" customWidth="1"/>
    <col min="74" max="74" width="8" bestFit="1" customWidth="1"/>
    <col min="75" max="75" width="7.42578125" bestFit="1" customWidth="1"/>
    <col min="76" max="76" width="8" bestFit="1" customWidth="1"/>
    <col min="77" max="77" width="7.7109375" bestFit="1" customWidth="1"/>
    <col min="78" max="78" width="8" bestFit="1" customWidth="1"/>
    <col min="79" max="79" width="7.7109375" bestFit="1" customWidth="1"/>
    <col min="80" max="81" width="7.42578125" bestFit="1" customWidth="1"/>
    <col min="82" max="82" width="8.7109375" bestFit="1" customWidth="1"/>
    <col min="83" max="83" width="8.5703125" bestFit="1" customWidth="1"/>
    <col min="84" max="85" width="7.42578125" bestFit="1" customWidth="1"/>
    <col min="86" max="86" width="7.7109375" bestFit="1" customWidth="1"/>
    <col min="87" max="87" width="7.42578125" bestFit="1" customWidth="1"/>
    <col min="89" max="89" width="17.85546875" bestFit="1" customWidth="1"/>
    <col min="90" max="90" width="6.5703125" bestFit="1" customWidth="1"/>
    <col min="91" max="91" width="6.7109375" bestFit="1" customWidth="1"/>
    <col min="92" max="92" width="8" bestFit="1" customWidth="1"/>
    <col min="93" max="93" width="7.7109375" bestFit="1" customWidth="1"/>
    <col min="94" max="94" width="8" bestFit="1" customWidth="1"/>
    <col min="95" max="95" width="7.7109375" bestFit="1" customWidth="1"/>
    <col min="96" max="96" width="6" bestFit="1" customWidth="1"/>
    <col min="97" max="97" width="4.85546875" bestFit="1" customWidth="1"/>
    <col min="98" max="98" width="8.7109375" bestFit="1" customWidth="1"/>
    <col min="99" max="100" width="5.28515625" bestFit="1" customWidth="1"/>
    <col min="101" max="101" width="6.7109375" bestFit="1" customWidth="1"/>
    <col min="102" max="102" width="8" bestFit="1" customWidth="1"/>
    <col min="103" max="103" width="9.5703125" bestFit="1" customWidth="1"/>
    <col min="119" max="119" width="10.140625" bestFit="1" customWidth="1"/>
  </cols>
  <sheetData>
    <row r="1" spans="1:168" ht="28.5" x14ac:dyDescent="0.45">
      <c r="A1" s="174" t="s">
        <v>371</v>
      </c>
      <c r="EG1" s="408" t="s">
        <v>570</v>
      </c>
      <c r="EH1" s="408"/>
      <c r="EI1" s="276">
        <v>1</v>
      </c>
    </row>
    <row r="3" spans="1:168" ht="28.5" x14ac:dyDescent="0.45">
      <c r="B3" s="406" t="s">
        <v>227</v>
      </c>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E3" s="406" t="s">
        <v>201</v>
      </c>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K3" s="407" t="s">
        <v>228</v>
      </c>
      <c r="CL3" s="407"/>
      <c r="CM3" s="407"/>
      <c r="CN3" s="407"/>
      <c r="CO3" s="407"/>
      <c r="CP3" s="407"/>
      <c r="CQ3" s="407"/>
      <c r="CR3" s="407"/>
      <c r="CS3" s="407"/>
      <c r="CT3" s="407"/>
      <c r="CU3" s="407"/>
      <c r="CV3" s="407"/>
      <c r="CW3" s="407"/>
      <c r="CX3" s="407"/>
      <c r="CY3" s="407"/>
      <c r="DA3" s="407" t="s">
        <v>578</v>
      </c>
      <c r="DB3" s="407"/>
      <c r="DC3" s="407"/>
      <c r="DD3" s="407"/>
      <c r="DE3" s="407"/>
      <c r="DF3" s="407"/>
      <c r="DG3" s="407"/>
      <c r="DH3" s="407"/>
      <c r="DI3" s="407"/>
      <c r="DJ3" s="407"/>
      <c r="DK3" s="407"/>
      <c r="DL3" s="407"/>
      <c r="DM3" s="407"/>
      <c r="DN3" s="407"/>
      <c r="DO3" s="407"/>
      <c r="DQ3" s="407" t="s">
        <v>567</v>
      </c>
      <c r="DR3" s="407"/>
      <c r="DS3" s="407"/>
      <c r="DT3" s="407"/>
      <c r="DU3" s="407"/>
      <c r="DV3" s="407"/>
      <c r="DW3" s="407"/>
      <c r="DX3" s="407"/>
      <c r="DY3" s="407"/>
      <c r="DZ3" s="407"/>
      <c r="EA3" s="407"/>
      <c r="EB3" s="407"/>
      <c r="EC3" s="407"/>
      <c r="ED3" s="407"/>
      <c r="EE3" s="407"/>
      <c r="EG3" s="407" t="s">
        <v>568</v>
      </c>
      <c r="EH3" s="407"/>
      <c r="EI3" s="407"/>
      <c r="EJ3" s="407"/>
      <c r="EK3" s="407"/>
      <c r="EL3" s="407"/>
      <c r="EM3" s="407"/>
      <c r="EN3" s="407"/>
      <c r="EO3" s="407"/>
      <c r="EP3" s="407"/>
      <c r="EQ3" s="407"/>
      <c r="ER3" s="407"/>
      <c r="ES3" s="407"/>
      <c r="ET3" s="407"/>
      <c r="EU3" s="407"/>
      <c r="EW3" s="407" t="s">
        <v>582</v>
      </c>
      <c r="EX3" s="407"/>
      <c r="EY3" s="407"/>
      <c r="EZ3" s="407"/>
      <c r="FA3" s="407"/>
      <c r="FB3" s="407"/>
      <c r="FC3" s="407"/>
      <c r="FD3" s="407"/>
      <c r="FE3" s="407"/>
      <c r="FF3" s="407"/>
      <c r="FG3" s="407"/>
      <c r="FH3" s="407"/>
      <c r="FI3" s="407"/>
      <c r="FJ3" s="407"/>
      <c r="FK3" s="407"/>
      <c r="FL3" s="407"/>
    </row>
    <row r="4" spans="1:168" ht="21" x14ac:dyDescent="0.35">
      <c r="B4" s="165" t="s">
        <v>191</v>
      </c>
      <c r="R4" s="409" t="s">
        <v>549</v>
      </c>
      <c r="S4" s="409"/>
      <c r="T4" s="409"/>
      <c r="U4" s="409" t="s">
        <v>550</v>
      </c>
      <c r="V4" s="409"/>
      <c r="W4" s="409"/>
      <c r="X4" s="295"/>
      <c r="Y4" s="165" t="s">
        <v>191</v>
      </c>
      <c r="AN4" s="295"/>
      <c r="AO4" s="165" t="s">
        <v>200</v>
      </c>
      <c r="BE4" s="165" t="s">
        <v>191</v>
      </c>
      <c r="BU4" s="165" t="s">
        <v>200</v>
      </c>
      <c r="CK4" s="165"/>
      <c r="EX4">
        <v>1</v>
      </c>
      <c r="EY4">
        <v>2</v>
      </c>
      <c r="EZ4">
        <v>3</v>
      </c>
      <c r="FA4">
        <v>4</v>
      </c>
      <c r="FB4">
        <v>5</v>
      </c>
      <c r="FC4">
        <v>6</v>
      </c>
      <c r="FD4">
        <v>7</v>
      </c>
      <c r="FE4">
        <v>8</v>
      </c>
      <c r="FG4">
        <v>9</v>
      </c>
      <c r="FH4">
        <v>10</v>
      </c>
      <c r="FI4">
        <v>11</v>
      </c>
      <c r="FJ4">
        <v>12</v>
      </c>
      <c r="FK4">
        <v>13</v>
      </c>
    </row>
    <row r="5" spans="1:168" x14ac:dyDescent="0.25">
      <c r="B5" t="s">
        <v>205</v>
      </c>
      <c r="C5" s="383" t="s">
        <v>206</v>
      </c>
      <c r="D5" s="383"/>
      <c r="E5" s="383"/>
      <c r="F5" s="383"/>
      <c r="G5" s="383"/>
      <c r="H5" s="383"/>
      <c r="I5" s="383"/>
      <c r="J5" s="383"/>
      <c r="K5" s="383"/>
      <c r="L5" s="383"/>
      <c r="M5" s="383"/>
      <c r="N5" s="383"/>
      <c r="O5" s="383"/>
      <c r="P5" s="383"/>
      <c r="R5" s="410"/>
      <c r="S5" s="410"/>
      <c r="T5" s="410"/>
      <c r="U5" s="409"/>
      <c r="V5" s="409"/>
      <c r="W5" s="409"/>
      <c r="X5" s="295"/>
      <c r="Y5" t="s">
        <v>205</v>
      </c>
      <c r="Z5" s="383" t="s">
        <v>206</v>
      </c>
      <c r="AA5" s="383"/>
      <c r="AB5" s="383"/>
      <c r="AC5" s="383"/>
      <c r="AD5" s="383"/>
      <c r="AE5" s="383"/>
      <c r="AF5" s="383"/>
      <c r="AG5" s="383"/>
      <c r="AH5" s="383"/>
      <c r="AI5" s="383"/>
      <c r="AJ5" s="383"/>
      <c r="AK5" s="383"/>
      <c r="AL5" s="383"/>
      <c r="AM5" s="383"/>
      <c r="AN5" s="295"/>
      <c r="AO5" t="s">
        <v>205</v>
      </c>
      <c r="AP5" s="383" t="s">
        <v>206</v>
      </c>
      <c r="AQ5" s="383"/>
      <c r="AR5" s="383"/>
      <c r="AS5" s="383"/>
      <c r="AT5" s="383"/>
      <c r="AU5" s="383"/>
      <c r="AV5" s="383"/>
      <c r="AW5" s="383"/>
      <c r="AX5" s="383"/>
      <c r="AY5" s="383"/>
      <c r="AZ5" s="383"/>
      <c r="BA5" s="383"/>
      <c r="BB5" s="383"/>
      <c r="BC5" s="383"/>
      <c r="BE5" t="s">
        <v>205</v>
      </c>
      <c r="BF5" s="383" t="s">
        <v>206</v>
      </c>
      <c r="BG5" s="383"/>
      <c r="BH5" s="383"/>
      <c r="BI5" s="383"/>
      <c r="BJ5" s="383"/>
      <c r="BK5" s="383"/>
      <c r="BL5" s="383"/>
      <c r="BM5" s="383"/>
      <c r="BN5" s="383"/>
      <c r="BO5" s="383"/>
      <c r="BP5" s="383"/>
      <c r="BQ5" s="383"/>
      <c r="BR5" s="383"/>
      <c r="BS5" s="383"/>
      <c r="BU5" t="s">
        <v>205</v>
      </c>
      <c r="BV5" s="383" t="s">
        <v>206</v>
      </c>
      <c r="BW5" s="383"/>
      <c r="BX5" s="383"/>
      <c r="BY5" s="383"/>
      <c r="BZ5" s="383"/>
      <c r="CA5" s="383"/>
      <c r="CB5" s="383"/>
      <c r="CC5" s="383"/>
      <c r="CD5" s="383"/>
      <c r="CE5" s="383"/>
      <c r="CF5" s="383"/>
      <c r="CG5" s="383"/>
      <c r="CH5" s="383"/>
      <c r="CI5" s="383"/>
      <c r="CK5" t="s">
        <v>205</v>
      </c>
      <c r="CL5" s="383" t="s">
        <v>206</v>
      </c>
      <c r="CM5" s="383"/>
      <c r="CN5" s="383"/>
      <c r="CO5" s="383"/>
      <c r="CP5" s="383"/>
      <c r="CQ5" s="383"/>
      <c r="CR5" s="383"/>
      <c r="CS5" s="383"/>
      <c r="CT5" s="383"/>
      <c r="CU5" s="383"/>
      <c r="CV5" s="383"/>
      <c r="CW5" s="383"/>
      <c r="CX5" s="383"/>
      <c r="CY5" s="383"/>
      <c r="DA5" t="s">
        <v>4</v>
      </c>
      <c r="DB5" s="383" t="s">
        <v>206</v>
      </c>
      <c r="DC5" s="383"/>
      <c r="DD5" s="383"/>
      <c r="DE5" s="383"/>
      <c r="DF5" s="383"/>
      <c r="DG5" s="383"/>
      <c r="DH5" s="383"/>
      <c r="DI5" s="383"/>
      <c r="DJ5" s="383"/>
      <c r="DK5" s="383"/>
      <c r="DL5" s="383"/>
      <c r="DM5" s="383"/>
      <c r="DN5" s="383"/>
      <c r="DO5" s="383"/>
      <c r="DQ5" t="s">
        <v>4</v>
      </c>
      <c r="DR5" s="390" t="s">
        <v>206</v>
      </c>
      <c r="DS5" s="390"/>
      <c r="DT5" s="390"/>
      <c r="DU5" s="390"/>
      <c r="DV5" s="390"/>
      <c r="DW5" s="390"/>
      <c r="DX5" s="390"/>
      <c r="DY5" s="390"/>
      <c r="DZ5" s="390"/>
      <c r="EA5" s="390"/>
      <c r="EB5" s="390"/>
      <c r="EC5" s="390"/>
      <c r="ED5" s="390"/>
      <c r="EE5" s="390"/>
      <c r="EG5" t="s">
        <v>4</v>
      </c>
      <c r="EH5" s="383" t="s">
        <v>206</v>
      </c>
      <c r="EI5" s="383"/>
      <c r="EJ5" s="383"/>
      <c r="EK5" s="383"/>
      <c r="EL5" s="383"/>
      <c r="EM5" s="383"/>
      <c r="EN5" s="383"/>
      <c r="EO5" s="383"/>
      <c r="EP5" s="383"/>
      <c r="EQ5" s="383"/>
      <c r="ER5" s="383"/>
      <c r="ES5" s="383"/>
      <c r="ET5" s="383"/>
      <c r="EU5" s="383"/>
      <c r="EW5" t="s">
        <v>4</v>
      </c>
      <c r="EX5" s="383" t="s">
        <v>207</v>
      </c>
      <c r="EY5" s="383"/>
      <c r="EZ5" s="383"/>
      <c r="FA5" s="383"/>
      <c r="FB5" s="383"/>
      <c r="FC5" s="383"/>
      <c r="FD5" s="383"/>
      <c r="FE5" s="383"/>
      <c r="FF5" s="383"/>
      <c r="FG5" s="383"/>
      <c r="FH5" s="383"/>
      <c r="FI5" s="383"/>
      <c r="FJ5" s="383"/>
      <c r="FK5" s="383"/>
      <c r="FL5" s="383"/>
    </row>
    <row r="6" spans="1:168" ht="35.450000000000003" customHeight="1" x14ac:dyDescent="0.25">
      <c r="B6" s="163" t="s">
        <v>207</v>
      </c>
      <c r="C6" s="164" t="s">
        <v>386</v>
      </c>
      <c r="D6" s="164" t="s">
        <v>387</v>
      </c>
      <c r="E6" s="164" t="s">
        <v>388</v>
      </c>
      <c r="F6" s="164" t="s">
        <v>389</v>
      </c>
      <c r="G6" s="164" t="s">
        <v>390</v>
      </c>
      <c r="H6" s="164" t="s">
        <v>391</v>
      </c>
      <c r="I6" s="164" t="s">
        <v>392</v>
      </c>
      <c r="J6" s="164" t="s">
        <v>393</v>
      </c>
      <c r="K6" s="164" t="s">
        <v>546</v>
      </c>
      <c r="L6" s="164" t="s">
        <v>396</v>
      </c>
      <c r="M6" s="164" t="s">
        <v>397</v>
      </c>
      <c r="N6" s="164" t="s">
        <v>398</v>
      </c>
      <c r="O6" s="164" t="s">
        <v>399</v>
      </c>
      <c r="P6" s="106" t="s">
        <v>29</v>
      </c>
      <c r="R6" s="164" t="s">
        <v>546</v>
      </c>
      <c r="S6" s="164" t="s">
        <v>396</v>
      </c>
      <c r="T6" s="164" t="s">
        <v>397</v>
      </c>
      <c r="U6" s="164" t="s">
        <v>546</v>
      </c>
      <c r="V6" s="164" t="s">
        <v>396</v>
      </c>
      <c r="W6" s="164" t="s">
        <v>397</v>
      </c>
      <c r="X6" s="296"/>
      <c r="Y6" s="163" t="s">
        <v>207</v>
      </c>
      <c r="Z6" s="164" t="s">
        <v>386</v>
      </c>
      <c r="AA6" s="164" t="s">
        <v>387</v>
      </c>
      <c r="AB6" s="164" t="s">
        <v>388</v>
      </c>
      <c r="AC6" s="164" t="s">
        <v>389</v>
      </c>
      <c r="AD6" s="164" t="s">
        <v>390</v>
      </c>
      <c r="AE6" s="164" t="s">
        <v>391</v>
      </c>
      <c r="AF6" s="164" t="s">
        <v>392</v>
      </c>
      <c r="AG6" s="164" t="s">
        <v>393</v>
      </c>
      <c r="AH6" s="164" t="s">
        <v>546</v>
      </c>
      <c r="AI6" s="164" t="s">
        <v>396</v>
      </c>
      <c r="AJ6" s="164" t="s">
        <v>397</v>
      </c>
      <c r="AK6" s="164" t="s">
        <v>398</v>
      </c>
      <c r="AL6" s="164" t="s">
        <v>399</v>
      </c>
      <c r="AM6" s="106" t="s">
        <v>29</v>
      </c>
      <c r="AN6" s="296"/>
      <c r="AO6" s="163" t="s">
        <v>207</v>
      </c>
      <c r="AP6" s="164" t="s">
        <v>386</v>
      </c>
      <c r="AQ6" s="164" t="s">
        <v>387</v>
      </c>
      <c r="AR6" s="164" t="s">
        <v>388</v>
      </c>
      <c r="AS6" s="164" t="s">
        <v>389</v>
      </c>
      <c r="AT6" s="164" t="s">
        <v>390</v>
      </c>
      <c r="AU6" s="164" t="s">
        <v>391</v>
      </c>
      <c r="AV6" s="164" t="s">
        <v>392</v>
      </c>
      <c r="AW6" s="164" t="s">
        <v>393</v>
      </c>
      <c r="AX6" s="164" t="s">
        <v>546</v>
      </c>
      <c r="AY6" s="164" t="s">
        <v>396</v>
      </c>
      <c r="AZ6" s="164" t="s">
        <v>397</v>
      </c>
      <c r="BA6" s="164" t="s">
        <v>398</v>
      </c>
      <c r="BB6" s="164" t="s">
        <v>399</v>
      </c>
      <c r="BC6" s="106" t="s">
        <v>29</v>
      </c>
      <c r="BE6" s="163" t="s">
        <v>207</v>
      </c>
      <c r="BF6" s="164" t="s">
        <v>538</v>
      </c>
      <c r="BG6" s="164"/>
      <c r="BH6" s="164" t="s">
        <v>576</v>
      </c>
      <c r="BI6" s="164"/>
      <c r="BJ6" s="164" t="s">
        <v>577</v>
      </c>
      <c r="BK6" s="164"/>
      <c r="BL6" s="164" t="s">
        <v>392</v>
      </c>
      <c r="BM6" s="164" t="s">
        <v>393</v>
      </c>
      <c r="BN6" s="164" t="s">
        <v>546</v>
      </c>
      <c r="BO6" s="164" t="s">
        <v>396</v>
      </c>
      <c r="BP6" s="164" t="s">
        <v>397</v>
      </c>
      <c r="BQ6" s="164" t="s">
        <v>398</v>
      </c>
      <c r="BR6" s="164" t="s">
        <v>399</v>
      </c>
      <c r="BS6" s="106" t="s">
        <v>29</v>
      </c>
      <c r="BU6" s="163" t="s">
        <v>207</v>
      </c>
      <c r="BV6" s="164" t="s">
        <v>538</v>
      </c>
      <c r="BW6" s="164"/>
      <c r="BX6" s="164" t="s">
        <v>576</v>
      </c>
      <c r="BY6" s="164"/>
      <c r="BZ6" s="164" t="s">
        <v>577</v>
      </c>
      <c r="CA6" s="164"/>
      <c r="CB6" s="164" t="s">
        <v>392</v>
      </c>
      <c r="CC6" s="164" t="s">
        <v>393</v>
      </c>
      <c r="CD6" s="164" t="s">
        <v>546</v>
      </c>
      <c r="CE6" s="164" t="s">
        <v>396</v>
      </c>
      <c r="CF6" s="164" t="s">
        <v>397</v>
      </c>
      <c r="CG6" s="164" t="s">
        <v>398</v>
      </c>
      <c r="CH6" s="164" t="s">
        <v>399</v>
      </c>
      <c r="CI6" s="106" t="s">
        <v>29</v>
      </c>
      <c r="CK6" s="163" t="s">
        <v>207</v>
      </c>
      <c r="CL6" s="164" t="s">
        <v>386</v>
      </c>
      <c r="CM6" s="164" t="s">
        <v>387</v>
      </c>
      <c r="CN6" s="164" t="s">
        <v>388</v>
      </c>
      <c r="CO6" s="164" t="s">
        <v>389</v>
      </c>
      <c r="CP6" s="164" t="s">
        <v>390</v>
      </c>
      <c r="CQ6" s="164" t="s">
        <v>391</v>
      </c>
      <c r="CR6" s="164" t="s">
        <v>392</v>
      </c>
      <c r="CS6" s="164" t="s">
        <v>393</v>
      </c>
      <c r="CT6" s="164" t="s">
        <v>546</v>
      </c>
      <c r="CU6" s="164" t="s">
        <v>396</v>
      </c>
      <c r="CV6" s="164" t="s">
        <v>397</v>
      </c>
      <c r="CW6" s="164" t="s">
        <v>398</v>
      </c>
      <c r="CX6" s="164" t="s">
        <v>399</v>
      </c>
      <c r="CY6" s="106" t="s">
        <v>29</v>
      </c>
      <c r="DA6" s="163" t="s">
        <v>207</v>
      </c>
      <c r="DB6" s="164" t="s">
        <v>538</v>
      </c>
      <c r="DC6" s="164"/>
      <c r="DD6" s="164" t="s">
        <v>576</v>
      </c>
      <c r="DE6" s="164"/>
      <c r="DF6" s="164" t="s">
        <v>577</v>
      </c>
      <c r="DG6" s="164"/>
      <c r="DH6" s="164" t="s">
        <v>392</v>
      </c>
      <c r="DI6" s="164" t="s">
        <v>393</v>
      </c>
      <c r="DJ6" s="164" t="s">
        <v>546</v>
      </c>
      <c r="DK6" s="164" t="s">
        <v>396</v>
      </c>
      <c r="DL6" s="164" t="s">
        <v>397</v>
      </c>
      <c r="DM6" s="164" t="s">
        <v>398</v>
      </c>
      <c r="DN6" s="164" t="s">
        <v>399</v>
      </c>
      <c r="DO6" s="106" t="s">
        <v>29</v>
      </c>
      <c r="DQ6" s="163" t="s">
        <v>207</v>
      </c>
      <c r="DR6" s="164" t="s">
        <v>538</v>
      </c>
      <c r="DS6" s="164"/>
      <c r="DT6" s="164" t="s">
        <v>576</v>
      </c>
      <c r="DU6" s="164"/>
      <c r="DV6" s="164" t="s">
        <v>577</v>
      </c>
      <c r="DW6" s="164"/>
      <c r="DX6" s="164" t="s">
        <v>392</v>
      </c>
      <c r="DY6" s="164" t="s">
        <v>393</v>
      </c>
      <c r="DZ6" s="164" t="s">
        <v>546</v>
      </c>
      <c r="EA6" s="164" t="s">
        <v>396</v>
      </c>
      <c r="EB6" s="164" t="s">
        <v>397</v>
      </c>
      <c r="EC6" s="164" t="s">
        <v>398</v>
      </c>
      <c r="ED6" s="164" t="s">
        <v>399</v>
      </c>
      <c r="EE6" s="106" t="s">
        <v>29</v>
      </c>
      <c r="EG6" s="163" t="s">
        <v>207</v>
      </c>
      <c r="EH6" s="164" t="s">
        <v>538</v>
      </c>
      <c r="EI6" s="164"/>
      <c r="EJ6" s="164" t="s">
        <v>576</v>
      </c>
      <c r="EK6" s="164"/>
      <c r="EL6" s="164" t="s">
        <v>577</v>
      </c>
      <c r="EM6" s="164"/>
      <c r="EN6" s="164" t="s">
        <v>392</v>
      </c>
      <c r="EO6" s="164" t="s">
        <v>393</v>
      </c>
      <c r="EP6" s="164" t="s">
        <v>546</v>
      </c>
      <c r="EQ6" s="164" t="s">
        <v>396</v>
      </c>
      <c r="ER6" s="164" t="s">
        <v>397</v>
      </c>
      <c r="ES6" s="164" t="s">
        <v>398</v>
      </c>
      <c r="ET6" s="164" t="s">
        <v>399</v>
      </c>
      <c r="EU6" s="106" t="s">
        <v>29</v>
      </c>
      <c r="EW6" s="163" t="s">
        <v>206</v>
      </c>
      <c r="EX6" s="164" t="s">
        <v>386</v>
      </c>
      <c r="EY6" s="164" t="s">
        <v>387</v>
      </c>
      <c r="EZ6" s="164" t="s">
        <v>388</v>
      </c>
      <c r="FA6" s="164" t="s">
        <v>389</v>
      </c>
      <c r="FB6" s="164" t="s">
        <v>390</v>
      </c>
      <c r="FC6" s="164" t="s">
        <v>391</v>
      </c>
      <c r="FD6" s="164" t="s">
        <v>392</v>
      </c>
      <c r="FE6" s="164" t="s">
        <v>393</v>
      </c>
      <c r="FF6" s="164"/>
      <c r="FG6" s="164" t="s">
        <v>546</v>
      </c>
      <c r="FH6" s="164" t="s">
        <v>396</v>
      </c>
      <c r="FI6" s="164" t="s">
        <v>397</v>
      </c>
      <c r="FJ6" s="164" t="s">
        <v>398</v>
      </c>
      <c r="FK6" s="164" t="s">
        <v>399</v>
      </c>
      <c r="FL6" s="106" t="s">
        <v>29</v>
      </c>
    </row>
    <row r="7" spans="1:168" x14ac:dyDescent="0.25">
      <c r="B7" s="107" t="s">
        <v>386</v>
      </c>
      <c r="C7" s="160">
        <f>TripMode_input!B4</f>
        <v>6534619.2145999996</v>
      </c>
      <c r="D7" s="160">
        <f>TripMode_input!C4</f>
        <v>204740.95705999999</v>
      </c>
      <c r="E7" s="160">
        <f>TripMode_input!D4</f>
        <v>469885.15370000002</v>
      </c>
      <c r="F7" s="160">
        <f>TripMode_input!E4</f>
        <v>13731.41912</v>
      </c>
      <c r="G7" s="160">
        <f>TripMode_input!F4</f>
        <v>270386.03220000002</v>
      </c>
      <c r="H7" s="160">
        <f>TripMode_input!G4</f>
        <v>9625.5622899999998</v>
      </c>
      <c r="I7" s="294"/>
      <c r="J7" s="294"/>
      <c r="K7" s="294"/>
      <c r="L7" s="294"/>
      <c r="M7" s="294"/>
      <c r="N7" s="294"/>
      <c r="O7" s="294"/>
      <c r="P7" s="161">
        <f t="shared" ref="P7:P19" si="0">SUM(C7:O7)</f>
        <v>7502988.338969999</v>
      </c>
      <c r="R7">
        <f>K7/K$15</f>
        <v>0</v>
      </c>
      <c r="S7">
        <f>L7/L$16</f>
        <v>0</v>
      </c>
      <c r="T7">
        <f>M7/M$17</f>
        <v>0</v>
      </c>
      <c r="Y7" s="107" t="s">
        <v>386</v>
      </c>
      <c r="Z7" s="160">
        <f>+C7</f>
        <v>6534619.2145999996</v>
      </c>
      <c r="AA7" s="160">
        <f t="shared" ref="AA7:AB10" si="1">+D7</f>
        <v>204740.95705999999</v>
      </c>
      <c r="AB7" s="160">
        <f t="shared" si="1"/>
        <v>469885.15370000002</v>
      </c>
      <c r="AC7" s="160">
        <f>+F7</f>
        <v>13731.41912</v>
      </c>
      <c r="AD7" s="160">
        <f t="shared" ref="AD7:AD12" si="2">+G7</f>
        <v>270386.03220000002</v>
      </c>
      <c r="AE7" s="160">
        <f t="shared" ref="AE7:AE12" si="3">+H7</f>
        <v>9625.5622899999998</v>
      </c>
      <c r="AF7" s="294"/>
      <c r="AG7" s="294"/>
      <c r="AH7" s="294"/>
      <c r="AI7" s="294"/>
      <c r="AJ7" s="294"/>
      <c r="AK7" s="294"/>
      <c r="AL7" s="294"/>
      <c r="AM7" s="161">
        <f t="shared" ref="AM7:AM19" si="4">SUM(Z7:AL7)</f>
        <v>7502988.338969999</v>
      </c>
      <c r="AO7" s="107" t="s">
        <v>386</v>
      </c>
      <c r="AP7" s="160">
        <f>TripMode_input!R4*Index!$B$2</f>
        <v>5945065</v>
      </c>
      <c r="AQ7" s="160">
        <f>TripMode_input!S4*Index!$B$2</f>
        <v>817250</v>
      </c>
      <c r="AR7" s="160">
        <f>TripMode_input!T4*Index!$B$2</f>
        <v>427415</v>
      </c>
      <c r="AS7" s="160">
        <f>TripMode_input!U4*Index!$B$2</f>
        <v>36700</v>
      </c>
      <c r="AT7" s="160">
        <f>TripMode_input!V4*Index!$B$2</f>
        <v>218585</v>
      </c>
      <c r="AU7" s="160">
        <f>TripMode_input!W4*Index!$B$2</f>
        <v>24185</v>
      </c>
      <c r="AV7" s="294">
        <f>TripMode_input!X4*Index!$B$2</f>
        <v>0</v>
      </c>
      <c r="AW7" s="294">
        <f>TripMode_input!Y4*Index!$B$2</f>
        <v>0</v>
      </c>
      <c r="AX7" s="294">
        <f>TripMode_input!AA4*Index!$B$2</f>
        <v>0</v>
      </c>
      <c r="AY7" s="294">
        <f>TripMode_input!AB4*Index!$B$2</f>
        <v>0</v>
      </c>
      <c r="AZ7" s="160">
        <f>TripMode_input!AC4*Index!$B$2</f>
        <v>0</v>
      </c>
      <c r="BA7" s="294">
        <f>TripMode_input!AD4*Index!$B$2</f>
        <v>0</v>
      </c>
      <c r="BB7" s="294">
        <f>TripMode_input!AE4*Index!$B$2</f>
        <v>0</v>
      </c>
      <c r="BC7" s="161">
        <f t="shared" ref="BC7:BC19" si="5">SUM(AP7:BB7)</f>
        <v>7469200</v>
      </c>
      <c r="BE7" s="107" t="s">
        <v>538</v>
      </c>
      <c r="BF7" s="166">
        <f>IF(Z$20+AA$20&gt;0,SUM(Z7:AA8)/(Z$20+AA$20),"")</f>
        <v>1</v>
      </c>
      <c r="BG7" s="166"/>
      <c r="BH7" s="166">
        <f>IF(AB$20+AC$20&gt;0,SUM(AB7:AC8)/(AB$20+AC$20),"")</f>
        <v>0.38379368818015286</v>
      </c>
      <c r="BI7" s="166"/>
      <c r="BJ7" s="166">
        <f>IF(AD$20+AE$20&gt;0,SUM(AD7:AE8)/(AD$20+AE$20),"")</f>
        <v>0.37434427730308695</v>
      </c>
      <c r="BK7" s="166"/>
      <c r="BL7" s="166">
        <f t="shared" ref="BL7:BS7" si="6">IF(AF$20&gt;0,(AF7+AF8)/AF$20,"")</f>
        <v>0</v>
      </c>
      <c r="BM7" s="166">
        <f t="shared" si="6"/>
        <v>0</v>
      </c>
      <c r="BN7" s="166">
        <f t="shared" si="6"/>
        <v>0</v>
      </c>
      <c r="BO7" s="166">
        <f t="shared" si="6"/>
        <v>0</v>
      </c>
      <c r="BP7" s="166">
        <f t="shared" si="6"/>
        <v>0</v>
      </c>
      <c r="BQ7" s="166">
        <f t="shared" si="6"/>
        <v>0</v>
      </c>
      <c r="BR7" s="166">
        <f t="shared" si="6"/>
        <v>0</v>
      </c>
      <c r="BS7" s="166">
        <f t="shared" si="6"/>
        <v>0.73980037789295228</v>
      </c>
      <c r="BU7" s="107" t="s">
        <v>538</v>
      </c>
      <c r="BV7" s="166">
        <f>IF(AP$20+AQ$20&gt;0,SUM(AP7:AQ8)/(AP$20+AQ$20),"")</f>
        <v>1</v>
      </c>
      <c r="BW7" s="166"/>
      <c r="BX7" s="166">
        <f>IF(AR$20+AS$20&gt;0,SUM(AR7:AS8)/(AR$20+AS$20),"")</f>
        <v>0.36950295249138054</v>
      </c>
      <c r="BY7" s="166"/>
      <c r="BZ7" s="166">
        <f>IF(AT$20+AU$20&gt;0,SUM(AT7:AU8)/(AT$20+AU$20),"")</f>
        <v>0.38801177209951104</v>
      </c>
      <c r="CA7" s="166"/>
      <c r="CB7" s="166">
        <f t="shared" ref="CB7:CI7" si="7">IF(AV$20&gt;0,(AV7+AV8)/AV$20,"")</f>
        <v>0</v>
      </c>
      <c r="CC7" s="166">
        <f t="shared" si="7"/>
        <v>0</v>
      </c>
      <c r="CD7" s="166">
        <f t="shared" si="7"/>
        <v>0</v>
      </c>
      <c r="CE7" s="166">
        <f t="shared" si="7"/>
        <v>0</v>
      </c>
      <c r="CF7" s="166">
        <f t="shared" si="7"/>
        <v>0</v>
      </c>
      <c r="CG7" s="166">
        <f t="shared" si="7"/>
        <v>0</v>
      </c>
      <c r="CH7" s="166" t="str">
        <f t="shared" si="7"/>
        <v/>
      </c>
      <c r="CI7" s="166">
        <f t="shared" si="7"/>
        <v>0.75463212148499692</v>
      </c>
      <c r="CK7" s="107" t="s">
        <v>386</v>
      </c>
      <c r="CL7" s="166">
        <f t="shared" ref="CL7:CO10" si="8">IF(OR(ISNA(BF7),BF7=0,BF7=""),"",(BV7-BF7)/BF7)</f>
        <v>0</v>
      </c>
      <c r="CM7" s="166" t="str">
        <f t="shared" si="8"/>
        <v/>
      </c>
      <c r="CN7" s="166">
        <f t="shared" si="8"/>
        <v>-3.7235463033629256E-2</v>
      </c>
      <c r="CO7" s="166" t="str">
        <f t="shared" si="8"/>
        <v/>
      </c>
      <c r="CP7" s="166"/>
      <c r="CQ7" s="166"/>
      <c r="CR7" s="166"/>
      <c r="CS7" s="166"/>
      <c r="CT7" s="166" t="str">
        <f t="shared" ref="CT7:CY10" si="9">IF(OR(ISNA(BN7),BN7=0,BN7=""),"",(CD7-BN7)/BN7)</f>
        <v/>
      </c>
      <c r="CU7" s="166" t="str">
        <f t="shared" si="9"/>
        <v/>
      </c>
      <c r="CV7" s="166" t="str">
        <f t="shared" si="9"/>
        <v/>
      </c>
      <c r="CW7" s="166" t="str">
        <f t="shared" si="9"/>
        <v/>
      </c>
      <c r="CX7" s="166" t="str">
        <f t="shared" si="9"/>
        <v/>
      </c>
      <c r="CY7" s="167">
        <f t="shared" si="9"/>
        <v>2.0048304968817911E-2</v>
      </c>
      <c r="DA7" s="107" t="s">
        <v>538</v>
      </c>
      <c r="DB7" s="314">
        <f>IFERROR(IF(BV7&gt;0,LN(BF7/BV7),0),0)</f>
        <v>0</v>
      </c>
      <c r="DC7" s="314"/>
      <c r="DD7" s="314">
        <f t="shared" ref="DD7:DD13" si="10">IFERROR(IF(BX7&gt;0,LN(BH7/BX7),0),0)</f>
        <v>3.7946406981357213E-2</v>
      </c>
      <c r="DE7" s="314"/>
      <c r="DF7" s="314">
        <f t="shared" ref="DF7:DF13" si="11">IFERROR(IF(BZ7&gt;0,LN(BJ7/BZ7),0),0)</f>
        <v>-3.585977808842903E-2</v>
      </c>
      <c r="DG7" s="314"/>
      <c r="DH7" s="315"/>
      <c r="DI7" s="315"/>
      <c r="DJ7" s="315"/>
      <c r="DK7" s="315"/>
      <c r="DL7" s="314">
        <f t="shared" ref="DL7:DL18" si="12">IFERROR(IF(CF7&gt;0,LN(BP7/CF7),0),0)</f>
        <v>0</v>
      </c>
      <c r="DM7" s="315"/>
      <c r="DN7" s="315"/>
      <c r="DO7" s="167"/>
      <c r="DQ7" s="107" t="s">
        <v>538</v>
      </c>
      <c r="DR7" s="314">
        <v>0</v>
      </c>
      <c r="DS7" s="314">
        <v>0</v>
      </c>
      <c r="DT7" s="314">
        <v>0</v>
      </c>
      <c r="DU7" s="314">
        <v>0</v>
      </c>
      <c r="DV7" s="314">
        <v>0</v>
      </c>
      <c r="DW7" s="314">
        <v>0</v>
      </c>
      <c r="DX7" s="315"/>
      <c r="DY7" s="315"/>
      <c r="DZ7" s="315"/>
      <c r="EA7" s="315"/>
      <c r="EB7" s="314">
        <v>0</v>
      </c>
      <c r="EC7" s="315"/>
      <c r="ED7" s="315"/>
      <c r="EE7" s="167"/>
      <c r="EG7" s="107" t="s">
        <v>538</v>
      </c>
      <c r="EH7" s="314">
        <v>0</v>
      </c>
      <c r="EI7" s="314">
        <v>0</v>
      </c>
      <c r="EJ7" s="314">
        <v>0</v>
      </c>
      <c r="EK7" s="314">
        <v>0</v>
      </c>
      <c r="EL7" s="314">
        <v>0</v>
      </c>
      <c r="EM7" s="314">
        <v>0</v>
      </c>
      <c r="EN7" s="315"/>
      <c r="EO7" s="315"/>
      <c r="EP7" s="315"/>
      <c r="EQ7" s="315"/>
      <c r="ER7" s="314">
        <f>EB7+(DL7-DL$17)*$EI$1</f>
        <v>0</v>
      </c>
      <c r="ES7" s="315"/>
      <c r="ET7" s="315"/>
      <c r="EU7" s="167"/>
      <c r="EW7" s="164" t="s">
        <v>386</v>
      </c>
      <c r="EX7" s="316">
        <f>INDEX($EH$7:$ET$19,EX$4,MATCH($EW7,$EW$7:$EW$19,0))</f>
        <v>0</v>
      </c>
      <c r="EY7" s="316">
        <f t="shared" ref="EY7:FJ18" si="13">INDEX($EH$7:$ET$19,EY$4,MATCH($EW7,$EW$7:$EW$19,0))</f>
        <v>0</v>
      </c>
      <c r="EZ7" s="316">
        <f t="shared" si="13"/>
        <v>0</v>
      </c>
      <c r="FA7" s="316">
        <f t="shared" si="13"/>
        <v>0</v>
      </c>
      <c r="FB7" s="316">
        <f t="shared" si="13"/>
        <v>0</v>
      </c>
      <c r="FC7" s="316">
        <f t="shared" si="13"/>
        <v>0</v>
      </c>
      <c r="FD7" s="316">
        <f t="shared" si="13"/>
        <v>0</v>
      </c>
      <c r="FE7" s="316">
        <f t="shared" si="13"/>
        <v>0</v>
      </c>
      <c r="FF7" s="316"/>
      <c r="FG7" s="316">
        <f t="shared" si="13"/>
        <v>0</v>
      </c>
      <c r="FH7" s="316">
        <f t="shared" si="13"/>
        <v>0</v>
      </c>
      <c r="FI7" s="316">
        <f t="shared" si="13"/>
        <v>0</v>
      </c>
      <c r="FJ7" s="316">
        <f t="shared" si="13"/>
        <v>0</v>
      </c>
      <c r="FK7" s="316"/>
      <c r="FL7" s="167"/>
    </row>
    <row r="8" spans="1:168" x14ac:dyDescent="0.25">
      <c r="B8" s="107" t="s">
        <v>387</v>
      </c>
      <c r="C8" s="160">
        <f>TripMode_input!B5</f>
        <v>0</v>
      </c>
      <c r="D8" s="160">
        <f>TripMode_input!C5</f>
        <v>295445.98726000002</v>
      </c>
      <c r="E8" s="160">
        <f>TripMode_input!D5</f>
        <v>0</v>
      </c>
      <c r="F8" s="160">
        <f>TripMode_input!E5</f>
        <v>24573.216980000001</v>
      </c>
      <c r="G8" s="160">
        <f>TripMode_input!F5</f>
        <v>0</v>
      </c>
      <c r="H8" s="160">
        <f>TripMode_input!G5</f>
        <v>6618.5677400000004</v>
      </c>
      <c r="I8" s="294"/>
      <c r="J8" s="294"/>
      <c r="K8" s="294"/>
      <c r="L8" s="294"/>
      <c r="M8" s="294"/>
      <c r="N8" s="294"/>
      <c r="O8" s="294"/>
      <c r="P8" s="162">
        <f t="shared" si="0"/>
        <v>326637.77198000008</v>
      </c>
      <c r="R8">
        <f t="shared" ref="R8:R19" si="14">K8/K$15</f>
        <v>0</v>
      </c>
      <c r="S8">
        <f t="shared" ref="S8:S19" si="15">L8/L$16</f>
        <v>0</v>
      </c>
      <c r="T8">
        <f t="shared" ref="T8:T19" si="16">M8/M$17</f>
        <v>0</v>
      </c>
      <c r="Y8" s="107" t="s">
        <v>387</v>
      </c>
      <c r="Z8" s="160">
        <f>+C8</f>
        <v>0</v>
      </c>
      <c r="AA8" s="160">
        <f t="shared" si="1"/>
        <v>295445.98726000002</v>
      </c>
      <c r="AB8" s="160">
        <f t="shared" si="1"/>
        <v>0</v>
      </c>
      <c r="AC8" s="160">
        <f>+F8</f>
        <v>24573.216980000001</v>
      </c>
      <c r="AD8" s="160">
        <f t="shared" si="2"/>
        <v>0</v>
      </c>
      <c r="AE8" s="160">
        <f t="shared" si="3"/>
        <v>6618.5677400000004</v>
      </c>
      <c r="AF8" s="294"/>
      <c r="AG8" s="294"/>
      <c r="AH8" s="294"/>
      <c r="AI8" s="294"/>
      <c r="AJ8" s="294"/>
      <c r="AK8" s="294"/>
      <c r="AL8" s="294"/>
      <c r="AM8" s="162">
        <f t="shared" si="4"/>
        <v>326637.77198000008</v>
      </c>
      <c r="AO8" s="107" t="s">
        <v>387</v>
      </c>
      <c r="AP8" s="160">
        <f>TripMode_input!R5*Index!$B$2</f>
        <v>110835</v>
      </c>
      <c r="AQ8" s="160">
        <f>TripMode_input!S5*Index!$B$2</f>
        <v>110715</v>
      </c>
      <c r="AR8" s="160">
        <f>TripMode_input!T5*Index!$B$2</f>
        <v>11865</v>
      </c>
      <c r="AS8" s="160">
        <f>TripMode_input!U5*Index!$B$2</f>
        <v>5220</v>
      </c>
      <c r="AT8" s="160">
        <f>TripMode_input!V5*Index!$B$2</f>
        <v>6130</v>
      </c>
      <c r="AU8" s="160">
        <f>TripMode_input!W5*Index!$B$2</f>
        <v>4235</v>
      </c>
      <c r="AV8" s="294">
        <f>TripMode_input!X5*Index!$B$2</f>
        <v>0</v>
      </c>
      <c r="AW8" s="294">
        <f>TripMode_input!Y5*Index!$B$2</f>
        <v>0</v>
      </c>
      <c r="AX8" s="294">
        <f>TripMode_input!AA5*Index!$B$2</f>
        <v>0</v>
      </c>
      <c r="AY8" s="294">
        <f>TripMode_input!AB5*Index!$B$2</f>
        <v>0</v>
      </c>
      <c r="AZ8" s="160">
        <f>TripMode_input!AC5*Index!$B$2</f>
        <v>0</v>
      </c>
      <c r="BA8" s="294">
        <f>TripMode_input!AD5*Index!$B$2</f>
        <v>0</v>
      </c>
      <c r="BB8" s="294">
        <f>TripMode_input!AE5*Index!$B$2</f>
        <v>0</v>
      </c>
      <c r="BC8" s="162">
        <f t="shared" si="5"/>
        <v>249000</v>
      </c>
      <c r="BE8" s="107"/>
      <c r="BF8" s="166"/>
      <c r="BG8" s="166"/>
      <c r="BH8" s="166"/>
      <c r="BI8" s="166"/>
      <c r="BJ8" s="166"/>
      <c r="BK8" s="166"/>
      <c r="BL8" s="166"/>
      <c r="BM8" s="166"/>
      <c r="BN8" s="166"/>
      <c r="BO8" s="166"/>
      <c r="BP8" s="166"/>
      <c r="BQ8" s="166"/>
      <c r="BR8" s="166"/>
      <c r="BS8" s="166"/>
      <c r="BU8" s="107"/>
      <c r="BV8" s="166"/>
      <c r="BW8" s="166"/>
      <c r="BX8" s="166"/>
      <c r="BY8" s="166"/>
      <c r="BZ8" s="166"/>
      <c r="CA8" s="166"/>
      <c r="CB8" s="166"/>
      <c r="CC8" s="166"/>
      <c r="CD8" s="166"/>
      <c r="CE8" s="166"/>
      <c r="CF8" s="166"/>
      <c r="CG8" s="166"/>
      <c r="CH8" s="166"/>
      <c r="CI8" s="166"/>
      <c r="CK8" s="107" t="s">
        <v>387</v>
      </c>
      <c r="CL8" s="166" t="str">
        <f t="shared" si="8"/>
        <v/>
      </c>
      <c r="CM8" s="166" t="str">
        <f t="shared" si="8"/>
        <v/>
      </c>
      <c r="CN8" s="166" t="str">
        <f t="shared" si="8"/>
        <v/>
      </c>
      <c r="CO8" s="166" t="str">
        <f t="shared" si="8"/>
        <v/>
      </c>
      <c r="CP8" s="166"/>
      <c r="CQ8" s="166"/>
      <c r="CR8" s="166"/>
      <c r="CS8" s="166"/>
      <c r="CT8" s="166" t="str">
        <f t="shared" si="9"/>
        <v/>
      </c>
      <c r="CU8" s="166" t="str">
        <f t="shared" si="9"/>
        <v/>
      </c>
      <c r="CV8" s="166" t="str">
        <f t="shared" si="9"/>
        <v/>
      </c>
      <c r="CW8" s="166" t="str">
        <f t="shared" si="9"/>
        <v/>
      </c>
      <c r="CX8" s="166" t="str">
        <f t="shared" si="9"/>
        <v/>
      </c>
      <c r="CY8" s="168" t="str">
        <f t="shared" si="9"/>
        <v/>
      </c>
      <c r="DA8" s="107"/>
      <c r="DB8" s="314"/>
      <c r="DC8" s="314"/>
      <c r="DD8" s="314"/>
      <c r="DE8" s="314"/>
      <c r="DF8" s="314"/>
      <c r="DG8" s="314"/>
      <c r="DH8" s="315"/>
      <c r="DI8" s="315"/>
      <c r="DJ8" s="315"/>
      <c r="DK8" s="315"/>
      <c r="DL8" s="314"/>
      <c r="DM8" s="315"/>
      <c r="DN8" s="315"/>
      <c r="DO8" s="168"/>
      <c r="DQ8" s="107"/>
      <c r="DR8" s="314">
        <v>0</v>
      </c>
      <c r="DS8" s="314">
        <v>0</v>
      </c>
      <c r="DT8" s="314">
        <v>0</v>
      </c>
      <c r="DU8" s="314">
        <v>0</v>
      </c>
      <c r="DV8" s="314">
        <v>0</v>
      </c>
      <c r="DW8" s="314">
        <v>0</v>
      </c>
      <c r="DX8" s="315"/>
      <c r="DY8" s="315"/>
      <c r="DZ8" s="315"/>
      <c r="EA8" s="315"/>
      <c r="EB8" s="314">
        <v>0</v>
      </c>
      <c r="EC8" s="315"/>
      <c r="ED8" s="315"/>
      <c r="EE8" s="168"/>
      <c r="EG8" s="107"/>
      <c r="EH8" s="314">
        <v>0</v>
      </c>
      <c r="EI8" s="314">
        <v>0</v>
      </c>
      <c r="EJ8" s="314">
        <v>0</v>
      </c>
      <c r="EK8" s="314">
        <v>0</v>
      </c>
      <c r="EL8" s="314">
        <v>0</v>
      </c>
      <c r="EM8" s="314">
        <v>0</v>
      </c>
      <c r="EN8" s="315"/>
      <c r="EO8" s="315"/>
      <c r="EP8" s="315"/>
      <c r="EQ8" s="315"/>
      <c r="ER8" s="314">
        <f>EB7+(DL7-DL$17)*$EI$1</f>
        <v>0</v>
      </c>
      <c r="ES8" s="315"/>
      <c r="ET8" s="315"/>
      <c r="EU8" s="168"/>
      <c r="EW8" s="164" t="s">
        <v>387</v>
      </c>
      <c r="EX8" s="316">
        <f t="shared" ref="EX8:EX18" si="17">INDEX($EH$7:$ET$19,EX$4,MATCH($EW8,$EW$7:$EW$19,0))</f>
        <v>0</v>
      </c>
      <c r="EY8" s="316">
        <f t="shared" si="13"/>
        <v>0</v>
      </c>
      <c r="EZ8" s="316">
        <f t="shared" si="13"/>
        <v>0</v>
      </c>
      <c r="FA8" s="316">
        <f t="shared" si="13"/>
        <v>0</v>
      </c>
      <c r="FB8" s="316">
        <f t="shared" si="13"/>
        <v>0</v>
      </c>
      <c r="FC8" s="316">
        <f t="shared" si="13"/>
        <v>0</v>
      </c>
      <c r="FD8" s="316">
        <f t="shared" si="13"/>
        <v>0</v>
      </c>
      <c r="FE8" s="316">
        <f t="shared" si="13"/>
        <v>0</v>
      </c>
      <c r="FF8" s="316"/>
      <c r="FG8" s="316">
        <f t="shared" si="13"/>
        <v>0</v>
      </c>
      <c r="FH8" s="316">
        <f t="shared" si="13"/>
        <v>0</v>
      </c>
      <c r="FI8" s="316">
        <f t="shared" si="13"/>
        <v>0</v>
      </c>
      <c r="FJ8" s="316">
        <f t="shared" si="13"/>
        <v>0</v>
      </c>
      <c r="FK8" s="316"/>
      <c r="FL8" s="168"/>
    </row>
    <row r="9" spans="1:168" x14ac:dyDescent="0.25">
      <c r="B9" s="107" t="s">
        <v>388</v>
      </c>
      <c r="C9" s="294"/>
      <c r="D9" s="294"/>
      <c r="E9" s="160">
        <f>TripMode_input!D6</f>
        <v>728374.65420999995</v>
      </c>
      <c r="F9" s="160">
        <f>TripMode_input!E6</f>
        <v>24501.52147</v>
      </c>
      <c r="G9" s="160">
        <f>TripMode_input!F6</f>
        <v>151256.07175999999</v>
      </c>
      <c r="H9" s="160">
        <f>TripMode_input!G6</f>
        <v>2868.9827599999999</v>
      </c>
      <c r="I9" s="294"/>
      <c r="J9" s="294"/>
      <c r="K9" s="160">
        <f>TripMode_input!K6+TripMode_input!J6</f>
        <v>27862.366909999997</v>
      </c>
      <c r="L9" s="294"/>
      <c r="M9" s="294"/>
      <c r="N9" s="160">
        <f>TripMode_input!N6</f>
        <v>3330.27954</v>
      </c>
      <c r="O9" s="294"/>
      <c r="P9" s="162">
        <f t="shared" si="0"/>
        <v>938193.87664999999</v>
      </c>
      <c r="R9">
        <f t="shared" si="14"/>
        <v>4.1305208641381951E-2</v>
      </c>
      <c r="S9">
        <f t="shared" si="15"/>
        <v>0</v>
      </c>
      <c r="T9">
        <f t="shared" si="16"/>
        <v>0</v>
      </c>
      <c r="Y9" s="107" t="s">
        <v>388</v>
      </c>
      <c r="Z9" s="294"/>
      <c r="AA9" s="294"/>
      <c r="AB9" s="160">
        <f t="shared" si="1"/>
        <v>728374.65420999995</v>
      </c>
      <c r="AC9" s="160">
        <f>+F9</f>
        <v>24501.52147</v>
      </c>
      <c r="AD9" s="160">
        <f t="shared" si="2"/>
        <v>151256.07175999999</v>
      </c>
      <c r="AE9" s="160">
        <f t="shared" si="3"/>
        <v>2868.9827599999999</v>
      </c>
      <c r="AF9" s="294"/>
      <c r="AG9" s="294"/>
      <c r="AH9" s="160">
        <f>AH15*R9</f>
        <v>29410.268377223274</v>
      </c>
      <c r="AI9" s="294"/>
      <c r="AJ9" s="294"/>
      <c r="AK9" s="160">
        <f>+N9</f>
        <v>3330.27954</v>
      </c>
      <c r="AL9" s="294"/>
      <c r="AM9" s="162">
        <f t="shared" si="4"/>
        <v>939741.77811722329</v>
      </c>
      <c r="AO9" s="107" t="s">
        <v>388</v>
      </c>
      <c r="AP9" s="294">
        <f>TripMode_input!R6*Index!$B$2</f>
        <v>0</v>
      </c>
      <c r="AQ9" s="294">
        <f>TripMode_input!S6*Index!$B$2</f>
        <v>0</v>
      </c>
      <c r="AR9" s="160">
        <f>TripMode_input!T6*Index!$B$2</f>
        <v>708115</v>
      </c>
      <c r="AS9" s="160">
        <f>TripMode_input!U6*Index!$B$2</f>
        <v>58155</v>
      </c>
      <c r="AT9" s="160">
        <f>TripMode_input!V6*Index!$B$2</f>
        <v>107945</v>
      </c>
      <c r="AU9" s="160">
        <f>TripMode_input!W6*Index!$B$2</f>
        <v>10160</v>
      </c>
      <c r="AV9" s="294">
        <f>TripMode_input!X6*Index!$B$2</f>
        <v>0</v>
      </c>
      <c r="AW9" s="294">
        <f>TripMode_input!Y6*Index!$B$2</f>
        <v>0</v>
      </c>
      <c r="AX9" s="160">
        <f>TripMode_input!AA6*Index!$B$2</f>
        <v>35105</v>
      </c>
      <c r="AY9" s="160">
        <f>TripMode_input!AB6*Index!$B$2</f>
        <v>0</v>
      </c>
      <c r="AZ9" s="160">
        <f>TripMode_input!AC6*Index!$B$2</f>
        <v>0</v>
      </c>
      <c r="BA9" s="160">
        <f>TripMode_input!AD6*Index!$B$2</f>
        <v>4445</v>
      </c>
      <c r="BB9" s="294">
        <f>TripMode_input!AE6*Index!$B$2</f>
        <v>0</v>
      </c>
      <c r="BC9" s="162">
        <f t="shared" si="5"/>
        <v>923925</v>
      </c>
      <c r="BE9" s="107" t="s">
        <v>576</v>
      </c>
      <c r="BF9" s="166">
        <f>IF(Z$20+AA$20&gt;0,SUM(Z9:AA10)/(Z$20+AA$20),"")</f>
        <v>0</v>
      </c>
      <c r="BG9" s="166"/>
      <c r="BH9" s="166">
        <f>IF(AB$20+AC$20&gt;0,SUM(AB9:AC10)/(AB$20+AC$20),"")</f>
        <v>0.58489366763153616</v>
      </c>
      <c r="BI9" s="166"/>
      <c r="BJ9" s="166">
        <f>IF(AD$20+AE$20&gt;0,SUM(AD9:AE10)/(AD$20+AE$20),"")</f>
        <v>0.20274331441332016</v>
      </c>
      <c r="BK9" s="166"/>
      <c r="BL9" s="166">
        <f t="shared" ref="BL9:BS9" si="18">IF(AF$20&gt;0,(AF9+AF10)/AF$20,"")</f>
        <v>0</v>
      </c>
      <c r="BM9" s="166">
        <f t="shared" si="18"/>
        <v>0</v>
      </c>
      <c r="BN9" s="166">
        <f t="shared" si="18"/>
        <v>3.3382805030800759E-2</v>
      </c>
      <c r="BO9" s="166">
        <f t="shared" si="18"/>
        <v>0</v>
      </c>
      <c r="BP9" s="166">
        <f t="shared" si="18"/>
        <v>0</v>
      </c>
      <c r="BQ9" s="166">
        <f t="shared" si="18"/>
        <v>0.1907937670392211</v>
      </c>
      <c r="BR9" s="166">
        <f t="shared" si="18"/>
        <v>0</v>
      </c>
      <c r="BS9" s="166">
        <f t="shared" si="18"/>
        <v>9.0939227463537428E-2</v>
      </c>
      <c r="BU9" s="107" t="s">
        <v>576</v>
      </c>
      <c r="BV9" s="166">
        <f>IF(AP$20+AQ$20&gt;0,SUM(AP9:AQ10)/(AP$20+AQ$20),"")</f>
        <v>0</v>
      </c>
      <c r="BW9" s="166"/>
      <c r="BX9" s="166">
        <f>IF(AR$20+AS$20&gt;0,SUM(AR9:AS10)/(AR$20+AS$20),"")</f>
        <v>0.59480607238019179</v>
      </c>
      <c r="BY9" s="166"/>
      <c r="BZ9" s="166">
        <f>IF(AT$20+AU$20&gt;0,SUM(AT9:AU10)/(AT$20+AU$20),"")</f>
        <v>0.18757951532059045</v>
      </c>
      <c r="CA9" s="166"/>
      <c r="CB9" s="166">
        <f t="shared" ref="CB9:CI9" si="19">IF(AV$20&gt;0,(AV9+AV10)/AV$20,"")</f>
        <v>0</v>
      </c>
      <c r="CC9" s="166">
        <f t="shared" si="19"/>
        <v>0</v>
      </c>
      <c r="CD9" s="166">
        <f t="shared" si="19"/>
        <v>5.3753762615829544E-2</v>
      </c>
      <c r="CE9" s="166">
        <f t="shared" si="19"/>
        <v>0</v>
      </c>
      <c r="CF9" s="166">
        <f t="shared" si="19"/>
        <v>0</v>
      </c>
      <c r="CG9" s="166">
        <f t="shared" si="19"/>
        <v>0.17856484043534404</v>
      </c>
      <c r="CH9" s="166" t="str">
        <f t="shared" si="19"/>
        <v/>
      </c>
      <c r="CI9" s="166">
        <f t="shared" si="19"/>
        <v>9.17360733258928E-2</v>
      </c>
      <c r="CK9" s="107" t="s">
        <v>388</v>
      </c>
      <c r="CL9" s="166" t="str">
        <f t="shared" si="8"/>
        <v/>
      </c>
      <c r="CM9" s="166" t="str">
        <f t="shared" si="8"/>
        <v/>
      </c>
      <c r="CN9" s="166">
        <f t="shared" si="8"/>
        <v>1.6947362054362525E-2</v>
      </c>
      <c r="CO9" s="166" t="str">
        <f t="shared" si="8"/>
        <v/>
      </c>
      <c r="CP9" s="166"/>
      <c r="CQ9" s="166"/>
      <c r="CR9" s="166"/>
      <c r="CS9" s="166"/>
      <c r="CT9" s="166">
        <f t="shared" si="9"/>
        <v>0.61022306442593577</v>
      </c>
      <c r="CU9" s="166" t="str">
        <f t="shared" si="9"/>
        <v/>
      </c>
      <c r="CV9" s="166" t="str">
        <f t="shared" si="9"/>
        <v/>
      </c>
      <c r="CW9" s="166">
        <f t="shared" si="9"/>
        <v>-6.4095000552943551E-2</v>
      </c>
      <c r="CX9" s="166" t="str">
        <f t="shared" si="9"/>
        <v/>
      </c>
      <c r="CY9" s="168">
        <f t="shared" si="9"/>
        <v>8.7623997320064283E-3</v>
      </c>
      <c r="DA9" s="107" t="s">
        <v>576</v>
      </c>
      <c r="DB9" s="315"/>
      <c r="DC9" s="315"/>
      <c r="DD9" s="314">
        <f t="shared" si="10"/>
        <v>-1.6805357668287748E-2</v>
      </c>
      <c r="DE9" s="314"/>
      <c r="DF9" s="314">
        <f t="shared" si="11"/>
        <v>7.7737880695239847E-2</v>
      </c>
      <c r="DG9" s="314"/>
      <c r="DH9" s="315"/>
      <c r="DI9" s="315"/>
      <c r="DJ9" s="314">
        <f t="shared" ref="DJ9:DJ18" si="20">IFERROR(IF(CD9&gt;0,LN(BN9/CD9),0),0)</f>
        <v>-0.47637271873217857</v>
      </c>
      <c r="DK9" s="314">
        <f t="shared" ref="DK9:DK18" si="21">IFERROR(IF(CE9&gt;0,LN(BO9/CE9),0),0)</f>
        <v>0</v>
      </c>
      <c r="DL9" s="314">
        <f t="shared" si="12"/>
        <v>0</v>
      </c>
      <c r="DM9" s="314">
        <f>IFERROR(IF(CG9&gt;0,LN(BQ9/CG9),0),0)</f>
        <v>6.6241303972892115E-2</v>
      </c>
      <c r="DN9" s="315"/>
      <c r="DO9" s="168"/>
      <c r="DQ9" s="107" t="s">
        <v>576</v>
      </c>
      <c r="DR9" s="315"/>
      <c r="DS9" s="315"/>
      <c r="DT9" s="314">
        <v>-2.0277507597787348E-3</v>
      </c>
      <c r="DU9" s="314">
        <v>-2.0277507597787348E-3</v>
      </c>
      <c r="DV9" s="314">
        <v>2.1962584419294717E-2</v>
      </c>
      <c r="DW9" s="314">
        <v>2.1962584419294717E-2</v>
      </c>
      <c r="DX9" s="315"/>
      <c r="DY9" s="315"/>
      <c r="DZ9" s="314">
        <v>0.49261557199639383</v>
      </c>
      <c r="EA9" s="314">
        <v>0</v>
      </c>
      <c r="EB9" s="314">
        <v>0</v>
      </c>
      <c r="EC9" s="314">
        <v>-0.29159887784914051</v>
      </c>
      <c r="ED9" s="315"/>
      <c r="EE9" s="168"/>
      <c r="EG9" s="107" t="s">
        <v>576</v>
      </c>
      <c r="EH9" s="315"/>
      <c r="EI9" s="315"/>
      <c r="EJ9" s="314">
        <f>DT9+(DD9-DD$7)*$EI$1</f>
        <v>-5.6779515409423692E-2</v>
      </c>
      <c r="EK9" s="314">
        <f>DT9+(DD9-DD$7)*$EI$1</f>
        <v>-5.6779515409423692E-2</v>
      </c>
      <c r="EL9" s="314">
        <f>DV9+(DF9-DF$7)*$EI$1</f>
        <v>0.13556024320296359</v>
      </c>
      <c r="EM9" s="314">
        <f>DV9+(DF9-DF$7)*$EI$1</f>
        <v>0.13556024320296359</v>
      </c>
      <c r="EN9" s="315"/>
      <c r="EO9" s="315"/>
      <c r="EP9" s="314">
        <f>DZ9+(DJ9-DJ$15)*$EI$1</f>
        <v>-9.8664937043637435E-2</v>
      </c>
      <c r="EQ9" s="314">
        <f>EA9+(DK9-DK$16)*$EI$1</f>
        <v>0</v>
      </c>
      <c r="ER9" s="314">
        <f>EB9+(DL9-DL$17)*$EI$1</f>
        <v>0</v>
      </c>
      <c r="ES9" s="314">
        <f>EC9+(DM9-DM$18)*$EI$1</f>
        <v>-0.20603205762563831</v>
      </c>
      <c r="ET9" s="315"/>
      <c r="EU9" s="168"/>
      <c r="EW9" s="164" t="s">
        <v>388</v>
      </c>
      <c r="EX9" s="316">
        <f t="shared" si="17"/>
        <v>0</v>
      </c>
      <c r="EY9" s="316">
        <f t="shared" si="13"/>
        <v>0</v>
      </c>
      <c r="EZ9" s="316">
        <f t="shared" si="13"/>
        <v>-5.6779515409423692E-2</v>
      </c>
      <c r="FA9" s="316">
        <f t="shared" si="13"/>
        <v>-5.6779515409423692E-2</v>
      </c>
      <c r="FB9" s="316">
        <f t="shared" si="13"/>
        <v>0</v>
      </c>
      <c r="FC9" s="316">
        <f t="shared" si="13"/>
        <v>0</v>
      </c>
      <c r="FD9" s="316">
        <f t="shared" si="13"/>
        <v>0.28490691161084303</v>
      </c>
      <c r="FE9" s="316">
        <f t="shared" si="13"/>
        <v>0</v>
      </c>
      <c r="FF9" s="316"/>
      <c r="FG9" s="316">
        <f t="shared" si="13"/>
        <v>0</v>
      </c>
      <c r="FH9" s="316">
        <f t="shared" si="13"/>
        <v>0</v>
      </c>
      <c r="FI9" s="316">
        <f t="shared" si="13"/>
        <v>0</v>
      </c>
      <c r="FJ9" s="316">
        <f t="shared" si="13"/>
        <v>0</v>
      </c>
      <c r="FK9" s="316"/>
      <c r="FL9" s="168"/>
    </row>
    <row r="10" spans="1:168" x14ac:dyDescent="0.25">
      <c r="B10" s="107" t="s">
        <v>389</v>
      </c>
      <c r="C10" s="294"/>
      <c r="D10" s="294"/>
      <c r="E10" s="160">
        <f>TripMode_input!D7</f>
        <v>0</v>
      </c>
      <c r="F10" s="160">
        <f>TripMode_input!E7</f>
        <v>21594.58599</v>
      </c>
      <c r="G10" s="160">
        <f>TripMode_input!F7</f>
        <v>0</v>
      </c>
      <c r="H10" s="160">
        <f>TripMode_input!G7</f>
        <v>1112.6574599999999</v>
      </c>
      <c r="I10" s="294"/>
      <c r="J10" s="294"/>
      <c r="K10" s="160">
        <f>TripMode_input!K7+TripMode_input!J7</f>
        <v>0</v>
      </c>
      <c r="L10" s="294"/>
      <c r="M10" s="294"/>
      <c r="N10" s="160">
        <f>TripMode_input!N7</f>
        <v>0</v>
      </c>
      <c r="O10" s="294"/>
      <c r="P10" s="162">
        <f t="shared" si="0"/>
        <v>22707.243449999998</v>
      </c>
      <c r="R10">
        <f t="shared" si="14"/>
        <v>0</v>
      </c>
      <c r="S10">
        <f t="shared" si="15"/>
        <v>0</v>
      </c>
      <c r="T10">
        <f t="shared" si="16"/>
        <v>0</v>
      </c>
      <c r="Y10" s="107" t="s">
        <v>389</v>
      </c>
      <c r="Z10" s="294"/>
      <c r="AA10" s="294"/>
      <c r="AB10" s="160">
        <f t="shared" si="1"/>
        <v>0</v>
      </c>
      <c r="AC10" s="160">
        <f>+F10</f>
        <v>21594.58599</v>
      </c>
      <c r="AD10" s="160">
        <f t="shared" si="2"/>
        <v>0</v>
      </c>
      <c r="AE10" s="160">
        <f t="shared" si="3"/>
        <v>1112.6574599999999</v>
      </c>
      <c r="AF10" s="294"/>
      <c r="AG10" s="294"/>
      <c r="AH10" s="160">
        <f>AH15*R10</f>
        <v>0</v>
      </c>
      <c r="AI10" s="294"/>
      <c r="AJ10" s="294"/>
      <c r="AK10" s="160">
        <f>+N10</f>
        <v>0</v>
      </c>
      <c r="AL10" s="294"/>
      <c r="AM10" s="162">
        <f t="shared" si="4"/>
        <v>22707.243449999998</v>
      </c>
      <c r="AO10" s="107" t="s">
        <v>389</v>
      </c>
      <c r="AP10" s="294">
        <f>TripMode_input!R7*Index!$B$2</f>
        <v>0</v>
      </c>
      <c r="AQ10" s="294">
        <f>TripMode_input!S7*Index!$B$2</f>
        <v>0</v>
      </c>
      <c r="AR10" s="160">
        <f>TripMode_input!T7*Index!$B$2</f>
        <v>0</v>
      </c>
      <c r="AS10" s="160">
        <f>TripMode_input!U7*Index!$B$2</f>
        <v>8340</v>
      </c>
      <c r="AT10" s="160">
        <f>TripMode_input!V7*Index!$B$2</f>
        <v>2580</v>
      </c>
      <c r="AU10" s="160">
        <f>TripMode_input!W7*Index!$B$2</f>
        <v>1690</v>
      </c>
      <c r="AV10" s="294">
        <f>TripMode_input!X7*Index!$B$2</f>
        <v>0</v>
      </c>
      <c r="AW10" s="294">
        <f>TripMode_input!Y7*Index!$B$2</f>
        <v>0</v>
      </c>
      <c r="AX10" s="160">
        <f>TripMode_input!AA7*Index!$B$2</f>
        <v>1325</v>
      </c>
      <c r="AY10" s="160">
        <f>TripMode_input!AB7*Index!$B$2</f>
        <v>0</v>
      </c>
      <c r="AZ10" s="160">
        <f>TripMode_input!AC7*Index!$B$2</f>
        <v>0</v>
      </c>
      <c r="BA10" s="160">
        <f>TripMode_input!AD7*Index!$B$2</f>
        <v>395</v>
      </c>
      <c r="BB10" s="294">
        <f>TripMode_input!AE7*Index!$B$2</f>
        <v>0</v>
      </c>
      <c r="BC10" s="162">
        <f t="shared" si="5"/>
        <v>14330</v>
      </c>
      <c r="BE10" s="107"/>
      <c r="BF10" s="166"/>
      <c r="BG10" s="166"/>
      <c r="BH10" s="166"/>
      <c r="BI10" s="166"/>
      <c r="BJ10" s="166"/>
      <c r="BK10" s="166"/>
      <c r="BL10" s="166"/>
      <c r="BM10" s="166"/>
      <c r="BN10" s="166"/>
      <c r="BO10" s="166"/>
      <c r="BP10" s="166"/>
      <c r="BQ10" s="166"/>
      <c r="BR10" s="166"/>
      <c r="BS10" s="166"/>
      <c r="BU10" s="107"/>
      <c r="BV10" s="166"/>
      <c r="BW10" s="166"/>
      <c r="BX10" s="166"/>
      <c r="BY10" s="166"/>
      <c r="BZ10" s="166"/>
      <c r="CA10" s="166"/>
      <c r="CB10" s="166"/>
      <c r="CC10" s="166"/>
      <c r="CD10" s="166"/>
      <c r="CE10" s="166"/>
      <c r="CF10" s="166"/>
      <c r="CG10" s="166"/>
      <c r="CH10" s="166"/>
      <c r="CI10" s="166"/>
      <c r="CK10" s="107" t="s">
        <v>389</v>
      </c>
      <c r="CL10" s="166" t="str">
        <f t="shared" si="8"/>
        <v/>
      </c>
      <c r="CM10" s="166" t="str">
        <f t="shared" si="8"/>
        <v/>
      </c>
      <c r="CN10" s="166" t="str">
        <f t="shared" si="8"/>
        <v/>
      </c>
      <c r="CO10" s="166" t="str">
        <f t="shared" si="8"/>
        <v/>
      </c>
      <c r="CP10" s="166"/>
      <c r="CQ10" s="166"/>
      <c r="CR10" s="166"/>
      <c r="CS10" s="166"/>
      <c r="CT10" s="166" t="str">
        <f t="shared" si="9"/>
        <v/>
      </c>
      <c r="CU10" s="166" t="str">
        <f t="shared" si="9"/>
        <v/>
      </c>
      <c r="CV10" s="166" t="str">
        <f t="shared" si="9"/>
        <v/>
      </c>
      <c r="CW10" s="166" t="str">
        <f t="shared" si="9"/>
        <v/>
      </c>
      <c r="CX10" s="166" t="str">
        <f t="shared" si="9"/>
        <v/>
      </c>
      <c r="CY10" s="168" t="str">
        <f t="shared" si="9"/>
        <v/>
      </c>
      <c r="DA10" s="107"/>
      <c r="DB10" s="315"/>
      <c r="DC10" s="315"/>
      <c r="DD10" s="314"/>
      <c r="DE10" s="314"/>
      <c r="DF10" s="314"/>
      <c r="DG10" s="314"/>
      <c r="DH10" s="315"/>
      <c r="DI10" s="315"/>
      <c r="DJ10" s="314"/>
      <c r="DK10" s="314"/>
      <c r="DL10" s="314"/>
      <c r="DM10" s="314"/>
      <c r="DN10" s="315"/>
      <c r="DO10" s="168"/>
      <c r="DQ10" s="107"/>
      <c r="DR10" s="315"/>
      <c r="DS10" s="315"/>
      <c r="DT10" s="314">
        <v>-2.0277507597787348E-3</v>
      </c>
      <c r="DU10" s="314">
        <v>-2.0277507597787348E-3</v>
      </c>
      <c r="DV10" s="314">
        <v>2.1962584419294717E-2</v>
      </c>
      <c r="DW10" s="314">
        <v>2.1962584419294717E-2</v>
      </c>
      <c r="DX10" s="315"/>
      <c r="DY10" s="315"/>
      <c r="DZ10" s="314">
        <v>0.49261557199639383</v>
      </c>
      <c r="EA10" s="314">
        <v>0</v>
      </c>
      <c r="EB10" s="314">
        <v>0</v>
      </c>
      <c r="EC10" s="314">
        <v>-0.29159887784914051</v>
      </c>
      <c r="ED10" s="315"/>
      <c r="EE10" s="168"/>
      <c r="EG10" s="107"/>
      <c r="EH10" s="315"/>
      <c r="EI10" s="315"/>
      <c r="EJ10" s="314">
        <f>DT9+(DD9-DD$7)*$EI$1</f>
        <v>-5.6779515409423692E-2</v>
      </c>
      <c r="EK10" s="314">
        <f>DT9+(DD9-DD$7)*$EI$1</f>
        <v>-5.6779515409423692E-2</v>
      </c>
      <c r="EL10" s="314">
        <f>DV9+(DF9-DF$7)*$EI$1</f>
        <v>0.13556024320296359</v>
      </c>
      <c r="EM10" s="314">
        <f>DV9+(DF9-DF$7)*$EI$1</f>
        <v>0.13556024320296359</v>
      </c>
      <c r="EN10" s="315"/>
      <c r="EO10" s="315"/>
      <c r="EP10" s="314">
        <f>DZ9+(DJ9-DJ$15)*$EI$1</f>
        <v>-9.8664937043637435E-2</v>
      </c>
      <c r="EQ10" s="314">
        <f>EA9+(DK9-DK$16)*$EI$1</f>
        <v>0</v>
      </c>
      <c r="ER10" s="314">
        <f>EB9+(DL9-DL$17)*$EI$1</f>
        <v>0</v>
      </c>
      <c r="ES10" s="314">
        <f>EC9+(DM9-DM$18)*$EI$1</f>
        <v>-0.20603205762563831</v>
      </c>
      <c r="ET10" s="315"/>
      <c r="EU10" s="168"/>
      <c r="EW10" s="164" t="s">
        <v>389</v>
      </c>
      <c r="EX10" s="316">
        <f t="shared" si="17"/>
        <v>0</v>
      </c>
      <c r="EY10" s="316">
        <f t="shared" si="13"/>
        <v>0</v>
      </c>
      <c r="EZ10" s="316">
        <f t="shared" si="13"/>
        <v>-5.6779515409423692E-2</v>
      </c>
      <c r="FA10" s="316">
        <f t="shared" si="13"/>
        <v>-5.6779515409423692E-2</v>
      </c>
      <c r="FB10" s="316">
        <f t="shared" si="13"/>
        <v>0</v>
      </c>
      <c r="FC10" s="316">
        <f t="shared" si="13"/>
        <v>0</v>
      </c>
      <c r="FD10" s="316">
        <f t="shared" si="13"/>
        <v>0.28490691161084303</v>
      </c>
      <c r="FE10" s="316">
        <f t="shared" si="13"/>
        <v>0</v>
      </c>
      <c r="FF10" s="316"/>
      <c r="FG10" s="316">
        <f t="shared" si="13"/>
        <v>0</v>
      </c>
      <c r="FH10" s="316">
        <f t="shared" si="13"/>
        <v>0</v>
      </c>
      <c r="FI10" s="316">
        <f t="shared" si="13"/>
        <v>0</v>
      </c>
      <c r="FJ10" s="316">
        <f t="shared" si="13"/>
        <v>0</v>
      </c>
      <c r="FK10" s="316"/>
      <c r="FL10" s="168"/>
    </row>
    <row r="11" spans="1:168" x14ac:dyDescent="0.25">
      <c r="B11" s="107" t="s">
        <v>390</v>
      </c>
      <c r="C11" s="294"/>
      <c r="D11" s="294"/>
      <c r="E11" s="294"/>
      <c r="F11" s="294"/>
      <c r="G11" s="160">
        <f>TripMode_input!F8</f>
        <v>303028.73699</v>
      </c>
      <c r="H11" s="160">
        <f>TripMode_input!G8</f>
        <v>6513.2703099999999</v>
      </c>
      <c r="I11" s="294"/>
      <c r="J11" s="294"/>
      <c r="K11" s="160">
        <f>TripMode_input!K8+TripMode_input!J8</f>
        <v>4341.0523999999996</v>
      </c>
      <c r="L11" s="294"/>
      <c r="M11" s="294"/>
      <c r="N11" s="160">
        <f>TripMode_input!N8</f>
        <v>750.03156000000001</v>
      </c>
      <c r="O11" s="294"/>
      <c r="P11" s="162">
        <f t="shared" si="0"/>
        <v>314633.09125999996</v>
      </c>
      <c r="R11">
        <f t="shared" si="14"/>
        <v>6.4354932832650672E-3</v>
      </c>
      <c r="S11">
        <f t="shared" si="15"/>
        <v>0</v>
      </c>
      <c r="T11">
        <f t="shared" si="16"/>
        <v>0</v>
      </c>
      <c r="Y11" s="107" t="s">
        <v>390</v>
      </c>
      <c r="Z11" s="294"/>
      <c r="AA11" s="294"/>
      <c r="AB11" s="294"/>
      <c r="AC11" s="294"/>
      <c r="AD11" s="160">
        <f t="shared" si="2"/>
        <v>303028.73699</v>
      </c>
      <c r="AE11" s="160">
        <f t="shared" si="3"/>
        <v>6513.2703099999999</v>
      </c>
      <c r="AF11" s="294"/>
      <c r="AG11" s="294"/>
      <c r="AH11" s="160">
        <f>AH15*R11</f>
        <v>4582.2207616455944</v>
      </c>
      <c r="AI11" s="294"/>
      <c r="AJ11" s="294"/>
      <c r="AK11" s="160">
        <f>+N11</f>
        <v>750.03156000000001</v>
      </c>
      <c r="AL11" s="294"/>
      <c r="AM11" s="162">
        <f t="shared" si="4"/>
        <v>314874.25962164556</v>
      </c>
      <c r="AO11" s="107" t="s">
        <v>390</v>
      </c>
      <c r="AP11" s="294">
        <f>TripMode_input!R8*Index!$B$2</f>
        <v>0</v>
      </c>
      <c r="AQ11" s="294">
        <f>TripMode_input!S8*Index!$B$2</f>
        <v>0</v>
      </c>
      <c r="AR11" s="294">
        <f>TripMode_input!T8*Index!$B$2</f>
        <v>0</v>
      </c>
      <c r="AS11" s="294">
        <f>TripMode_input!U8*Index!$B$2</f>
        <v>0</v>
      </c>
      <c r="AT11" s="160">
        <f>TripMode_input!V8*Index!$B$2</f>
        <v>232480</v>
      </c>
      <c r="AU11" s="160">
        <f>TripMode_input!W8*Index!$B$2</f>
        <v>22820</v>
      </c>
      <c r="AV11" s="294">
        <f>TripMode_input!X8*Index!$B$2</f>
        <v>0</v>
      </c>
      <c r="AW11" s="294">
        <f>TripMode_input!Y8*Index!$B$2</f>
        <v>0</v>
      </c>
      <c r="AX11" s="160">
        <f>TripMode_input!AA8*Index!$B$2</f>
        <v>4005</v>
      </c>
      <c r="AY11" s="160">
        <f>TripMode_input!AB8*Index!$B$2</f>
        <v>0</v>
      </c>
      <c r="AZ11" s="160">
        <f>TripMode_input!AC8*Index!$B$2</f>
        <v>0</v>
      </c>
      <c r="BA11" s="160">
        <f>TripMode_input!AD8*Index!$B$2</f>
        <v>1310</v>
      </c>
      <c r="BB11" s="294">
        <f>TripMode_input!AE8*Index!$B$2</f>
        <v>0</v>
      </c>
      <c r="BC11" s="162">
        <f t="shared" si="5"/>
        <v>260615</v>
      </c>
      <c r="BE11" s="107" t="s">
        <v>577</v>
      </c>
      <c r="BF11" s="166">
        <f>IF(Z$20+AA$20&gt;0,SUM(Z11:AA12)/(Z$20+AA$20),"")</f>
        <v>0</v>
      </c>
      <c r="BG11" s="166"/>
      <c r="BH11" s="166">
        <f>IF(AB$20+AC$20&gt;0,SUM(AB11:AC12)/(AB$20+AC$20),"")</f>
        <v>0</v>
      </c>
      <c r="BI11" s="166"/>
      <c r="BJ11" s="166">
        <f>IF(AD$20+AE$20&gt;0,SUM(AD11:AE12)/(AD$20+AE$20),"")</f>
        <v>0.4094840293637404</v>
      </c>
      <c r="BK11" s="166"/>
      <c r="BL11" s="166">
        <f t="shared" ref="BL11:BS11" si="22">IF(AF$20&gt;0,(AF11+AF12)/AF$20,"")</f>
        <v>0</v>
      </c>
      <c r="BM11" s="166">
        <f t="shared" si="22"/>
        <v>0</v>
      </c>
      <c r="BN11" s="166">
        <f t="shared" si="22"/>
        <v>5.2011556076981443E-3</v>
      </c>
      <c r="BO11" s="166">
        <f t="shared" si="22"/>
        <v>0</v>
      </c>
      <c r="BP11" s="166">
        <f t="shared" si="22"/>
        <v>0</v>
      </c>
      <c r="BQ11" s="166">
        <f t="shared" si="22"/>
        <v>4.2969770258596246E-2</v>
      </c>
      <c r="BR11" s="166">
        <f t="shared" si="22"/>
        <v>0</v>
      </c>
      <c r="BS11" s="166">
        <f t="shared" si="22"/>
        <v>3.0129022960046197E-2</v>
      </c>
      <c r="BU11" s="107" t="s">
        <v>577</v>
      </c>
      <c r="BV11" s="166">
        <f>IF(AP$20+AQ$20&gt;0,SUM(AP11:AQ12)/(AP$20+AQ$20),"")</f>
        <v>0</v>
      </c>
      <c r="BW11" s="166"/>
      <c r="BX11" s="166">
        <f>IF(AR$20+AS$20&gt;0,SUM(AR11:AS12)/(AR$20+AS$20),"")</f>
        <v>0</v>
      </c>
      <c r="BY11" s="166"/>
      <c r="BZ11" s="166">
        <f>IF(AT$20+AU$20&gt;0,SUM(AT11:AU12)/(AT$20+AU$20),"")</f>
        <v>0.40532503563819189</v>
      </c>
      <c r="CA11" s="166"/>
      <c r="CB11" s="166">
        <f t="shared" ref="CB11:CI11" si="23">IF(AV$20&gt;0,(AV11+AV12)/AV$20,"")</f>
        <v>0</v>
      </c>
      <c r="CC11" s="166">
        <f t="shared" si="23"/>
        <v>0</v>
      </c>
      <c r="CD11" s="166">
        <f t="shared" si="23"/>
        <v>6.1013397863424424E-3</v>
      </c>
      <c r="CE11" s="166">
        <f t="shared" si="23"/>
        <v>0</v>
      </c>
      <c r="CF11" s="166">
        <f t="shared" si="23"/>
        <v>0</v>
      </c>
      <c r="CG11" s="166">
        <f t="shared" si="23"/>
        <v>5.054418004058292E-2</v>
      </c>
      <c r="CH11" s="166" t="str">
        <f t="shared" si="23"/>
        <v/>
      </c>
      <c r="CI11" s="166">
        <f t="shared" si="23"/>
        <v>2.6392374091504842E-2</v>
      </c>
      <c r="CK11" s="107" t="s">
        <v>390</v>
      </c>
      <c r="CL11" s="166"/>
      <c r="CM11" s="166"/>
      <c r="CN11" s="166"/>
      <c r="CO11" s="166"/>
      <c r="CP11" s="166"/>
      <c r="CQ11" s="166"/>
      <c r="CR11" s="166"/>
      <c r="CS11" s="166"/>
      <c r="CT11" s="166"/>
      <c r="CU11" s="166"/>
      <c r="CV11" s="166"/>
      <c r="CW11" s="166"/>
      <c r="CX11" s="166"/>
      <c r="CY11" s="168"/>
      <c r="DA11" s="107" t="s">
        <v>577</v>
      </c>
      <c r="DB11" s="315"/>
      <c r="DC11" s="315"/>
      <c r="DD11" s="315"/>
      <c r="DE11" s="315"/>
      <c r="DF11" s="314">
        <f t="shared" si="11"/>
        <v>1.0208599838737661E-2</v>
      </c>
      <c r="DG11" s="314"/>
      <c r="DH11" s="315"/>
      <c r="DI11" s="315"/>
      <c r="DJ11" s="314">
        <f t="shared" si="20"/>
        <v>-0.1596275510207899</v>
      </c>
      <c r="DK11" s="314">
        <f t="shared" si="21"/>
        <v>0</v>
      </c>
      <c r="DL11" s="314">
        <f t="shared" si="12"/>
        <v>0</v>
      </c>
      <c r="DM11" s="314">
        <f>IFERROR(IF(CG11&gt;0,LN(BQ11/CG11),0),0)</f>
        <v>-0.16235095489075491</v>
      </c>
      <c r="DN11" s="315"/>
      <c r="DO11" s="168"/>
      <c r="DQ11" s="107" t="s">
        <v>577</v>
      </c>
      <c r="DR11" s="315"/>
      <c r="DS11" s="315"/>
      <c r="DT11" s="315"/>
      <c r="DU11" s="315"/>
      <c r="DV11" s="314">
        <v>0.12953265543210524</v>
      </c>
      <c r="DW11" s="314">
        <v>0.12953265543210524</v>
      </c>
      <c r="DX11" s="315"/>
      <c r="DY11" s="315"/>
      <c r="DZ11" s="314">
        <v>-7.4765332788142569E-2</v>
      </c>
      <c r="EA11" s="314">
        <v>0</v>
      </c>
      <c r="EB11" s="314">
        <v>0</v>
      </c>
      <c r="EC11" s="314">
        <v>-1.6053778630664555</v>
      </c>
      <c r="ED11" s="315"/>
      <c r="EE11" s="168"/>
      <c r="EG11" s="107" t="s">
        <v>577</v>
      </c>
      <c r="EH11" s="315"/>
      <c r="EI11" s="315"/>
      <c r="EJ11" s="315"/>
      <c r="EK11" s="315"/>
      <c r="EL11" s="314">
        <f>DV11+(DF11-DF$7)*$EI$1</f>
        <v>0.17560103335927194</v>
      </c>
      <c r="EM11" s="314">
        <f>DV11+(DF11-DF$7)*$EI$1</f>
        <v>0.17560103335927194</v>
      </c>
      <c r="EN11" s="315"/>
      <c r="EO11" s="315"/>
      <c r="EP11" s="314">
        <f>DZ11+(DJ11-DJ$15)*$EI$1</f>
        <v>-0.34930067411678511</v>
      </c>
      <c r="EQ11" s="314">
        <f>EA11+(DK11-DK$16)*$EI$1</f>
        <v>0</v>
      </c>
      <c r="ER11" s="314">
        <f>EB11+(DL11-DL$17)*$EI$1</f>
        <v>0</v>
      </c>
      <c r="ES11" s="314">
        <f>EC11+(DM11-DM$18)*$EI$1</f>
        <v>-1.7484033017066003</v>
      </c>
      <c r="ET11" s="315"/>
      <c r="EU11" s="168"/>
      <c r="EW11" s="164" t="s">
        <v>390</v>
      </c>
      <c r="EX11" s="316">
        <f t="shared" si="17"/>
        <v>0</v>
      </c>
      <c r="EY11" s="316">
        <f t="shared" si="13"/>
        <v>0</v>
      </c>
      <c r="EZ11" s="316">
        <f t="shared" si="13"/>
        <v>0.13556024320296359</v>
      </c>
      <c r="FA11" s="316">
        <f t="shared" si="13"/>
        <v>0.13556024320296359</v>
      </c>
      <c r="FB11" s="316">
        <f t="shared" si="13"/>
        <v>0.17560103335927194</v>
      </c>
      <c r="FC11" s="316">
        <f t="shared" si="13"/>
        <v>0.17560103335927194</v>
      </c>
      <c r="FD11" s="316">
        <f t="shared" si="13"/>
        <v>-2.5402077056389047</v>
      </c>
      <c r="FE11" s="316">
        <f t="shared" si="13"/>
        <v>0</v>
      </c>
      <c r="FF11" s="316"/>
      <c r="FG11" s="316">
        <f t="shared" si="13"/>
        <v>0</v>
      </c>
      <c r="FH11" s="316">
        <f t="shared" si="13"/>
        <v>0</v>
      </c>
      <c r="FI11" s="316">
        <f t="shared" si="13"/>
        <v>0</v>
      </c>
      <c r="FJ11" s="316">
        <f t="shared" si="13"/>
        <v>0</v>
      </c>
      <c r="FK11" s="316"/>
      <c r="FL11" s="168"/>
    </row>
    <row r="12" spans="1:168" x14ac:dyDescent="0.25">
      <c r="B12" s="107" t="s">
        <v>391</v>
      </c>
      <c r="C12" s="294"/>
      <c r="D12" s="294"/>
      <c r="E12" s="294"/>
      <c r="F12" s="294"/>
      <c r="G12" s="160">
        <f>TripMode_input!F9</f>
        <v>0</v>
      </c>
      <c r="H12" s="160">
        <f>TripMode_input!G9</f>
        <v>3994.1701800000001</v>
      </c>
      <c r="I12" s="294"/>
      <c r="J12" s="294"/>
      <c r="K12" s="160">
        <f>TripMode_input!K9+TripMode_input!J9</f>
        <v>0</v>
      </c>
      <c r="L12" s="294"/>
      <c r="M12" s="294"/>
      <c r="N12" s="160">
        <f>TripMode_input!N9</f>
        <v>0</v>
      </c>
      <c r="O12" s="294"/>
      <c r="P12" s="162">
        <f t="shared" si="0"/>
        <v>3994.1701800000001</v>
      </c>
      <c r="R12">
        <f t="shared" si="14"/>
        <v>0</v>
      </c>
      <c r="S12">
        <f t="shared" si="15"/>
        <v>0</v>
      </c>
      <c r="T12">
        <f t="shared" si="16"/>
        <v>0</v>
      </c>
      <c r="Y12" s="107" t="s">
        <v>391</v>
      </c>
      <c r="Z12" s="294"/>
      <c r="AA12" s="294"/>
      <c r="AB12" s="294"/>
      <c r="AC12" s="294"/>
      <c r="AD12" s="160">
        <f t="shared" si="2"/>
        <v>0</v>
      </c>
      <c r="AE12" s="160">
        <f t="shared" si="3"/>
        <v>3994.1701800000001</v>
      </c>
      <c r="AF12" s="294"/>
      <c r="AG12" s="294"/>
      <c r="AH12" s="160">
        <f>AH15*R12</f>
        <v>0</v>
      </c>
      <c r="AI12" s="294"/>
      <c r="AJ12" s="294"/>
      <c r="AK12" s="160">
        <f>+N12</f>
        <v>0</v>
      </c>
      <c r="AL12" s="294"/>
      <c r="AM12" s="162">
        <f t="shared" si="4"/>
        <v>3994.1701800000001</v>
      </c>
      <c r="AO12" s="107" t="s">
        <v>391</v>
      </c>
      <c r="AP12" s="294">
        <f>TripMode_input!R9*Index!$B$2</f>
        <v>0</v>
      </c>
      <c r="AQ12" s="294">
        <f>TripMode_input!S9*Index!$B$2</f>
        <v>0</v>
      </c>
      <c r="AR12" s="294">
        <f>TripMode_input!T9*Index!$B$2</f>
        <v>0</v>
      </c>
      <c r="AS12" s="294">
        <f>TripMode_input!U9*Index!$B$2</f>
        <v>0</v>
      </c>
      <c r="AT12" s="160">
        <f>TripMode_input!V9*Index!$B$2</f>
        <v>5435</v>
      </c>
      <c r="AU12" s="160">
        <f>TripMode_input!W9*Index!$B$2</f>
        <v>3695</v>
      </c>
      <c r="AV12" s="294">
        <f>TripMode_input!X9*Index!$B$2</f>
        <v>0</v>
      </c>
      <c r="AW12" s="294">
        <f>TripMode_input!Y9*Index!$B$2</f>
        <v>0</v>
      </c>
      <c r="AX12" s="160">
        <f>TripMode_input!AA9*Index!$B$2</f>
        <v>130</v>
      </c>
      <c r="AY12" s="160">
        <f>TripMode_input!AB9*Index!$B$2</f>
        <v>0</v>
      </c>
      <c r="AZ12" s="160">
        <f>TripMode_input!AC9*Index!$B$2</f>
        <v>0</v>
      </c>
      <c r="BA12" s="160">
        <f>TripMode_input!AD9*Index!$B$2</f>
        <v>60</v>
      </c>
      <c r="BB12" s="294">
        <f>TripMode_input!AE9*Index!$B$2</f>
        <v>0</v>
      </c>
      <c r="BC12" s="162">
        <f t="shared" si="5"/>
        <v>9320</v>
      </c>
      <c r="BE12" s="107"/>
      <c r="BF12" s="166"/>
      <c r="BG12" s="166"/>
      <c r="BH12" s="166"/>
      <c r="BI12" s="166"/>
      <c r="BJ12" s="166"/>
      <c r="BK12" s="166"/>
      <c r="BL12" s="166"/>
      <c r="BM12" s="166"/>
      <c r="BN12" s="166"/>
      <c r="BO12" s="166"/>
      <c r="BP12" s="166"/>
      <c r="BQ12" s="166"/>
      <c r="BR12" s="166"/>
      <c r="BS12" s="166"/>
      <c r="BU12" s="107"/>
      <c r="BV12" s="166"/>
      <c r="BW12" s="166"/>
      <c r="BX12" s="166"/>
      <c r="BY12" s="166"/>
      <c r="BZ12" s="166"/>
      <c r="CA12" s="166"/>
      <c r="CB12" s="166"/>
      <c r="CC12" s="166"/>
      <c r="CD12" s="166"/>
      <c r="CE12" s="166"/>
      <c r="CF12" s="166"/>
      <c r="CG12" s="166"/>
      <c r="CH12" s="166"/>
      <c r="CI12" s="166"/>
      <c r="CK12" s="107" t="s">
        <v>391</v>
      </c>
      <c r="CL12" s="166"/>
      <c r="CM12" s="166"/>
      <c r="CN12" s="166"/>
      <c r="CO12" s="166"/>
      <c r="CP12" s="166"/>
      <c r="CQ12" s="166"/>
      <c r="CR12" s="166"/>
      <c r="CS12" s="166"/>
      <c r="CT12" s="166"/>
      <c r="CU12" s="166"/>
      <c r="CV12" s="166"/>
      <c r="CW12" s="166"/>
      <c r="CX12" s="166"/>
      <c r="CY12" s="168"/>
      <c r="DA12" s="107"/>
      <c r="DB12" s="315"/>
      <c r="DC12" s="315"/>
      <c r="DD12" s="315"/>
      <c r="DE12" s="315"/>
      <c r="DF12" s="314"/>
      <c r="DG12" s="314"/>
      <c r="DH12" s="315"/>
      <c r="DI12" s="315"/>
      <c r="DJ12" s="314"/>
      <c r="DK12" s="314"/>
      <c r="DL12" s="314"/>
      <c r="DM12" s="314"/>
      <c r="DN12" s="315"/>
      <c r="DO12" s="168"/>
      <c r="DQ12" s="107"/>
      <c r="DR12" s="315"/>
      <c r="DS12" s="315"/>
      <c r="DT12" s="315"/>
      <c r="DU12" s="315"/>
      <c r="DV12" s="314">
        <v>0.12953265543210524</v>
      </c>
      <c r="DW12" s="314">
        <v>0.12953265543210524</v>
      </c>
      <c r="DX12" s="315"/>
      <c r="DY12" s="315"/>
      <c r="DZ12" s="314">
        <v>-7.4765332788142569E-2</v>
      </c>
      <c r="EA12" s="314">
        <v>0</v>
      </c>
      <c r="EB12" s="314">
        <v>0</v>
      </c>
      <c r="EC12" s="314">
        <v>-1.6053778630664555</v>
      </c>
      <c r="ED12" s="315"/>
      <c r="EE12" s="168"/>
      <c r="EG12" s="107"/>
      <c r="EH12" s="315"/>
      <c r="EI12" s="315"/>
      <c r="EJ12" s="315"/>
      <c r="EK12" s="315"/>
      <c r="EL12" s="314">
        <f>DV11+(DF11-DF$7)*$EI$1</f>
        <v>0.17560103335927194</v>
      </c>
      <c r="EM12" s="314">
        <f>DV11+(DF11-DF$7)*$EI$1</f>
        <v>0.17560103335927194</v>
      </c>
      <c r="EN12" s="315"/>
      <c r="EO12" s="315"/>
      <c r="EP12" s="314">
        <f>DZ11+(DJ11-DJ$15)*$EI$1</f>
        <v>-0.34930067411678511</v>
      </c>
      <c r="EQ12" s="314">
        <f>EA11+(DK11-DK$16)*$EI$1</f>
        <v>0</v>
      </c>
      <c r="ER12" s="314">
        <f>EB11+(DL11-DL$17)*$EI$1</f>
        <v>0</v>
      </c>
      <c r="ES12" s="314">
        <f>EC11+(DM11-DM$18)*$EI$1</f>
        <v>-1.7484033017066003</v>
      </c>
      <c r="ET12" s="315"/>
      <c r="EU12" s="168"/>
      <c r="EW12" s="164" t="s">
        <v>391</v>
      </c>
      <c r="EX12" s="316">
        <f t="shared" si="17"/>
        <v>0</v>
      </c>
      <c r="EY12" s="316">
        <f t="shared" si="13"/>
        <v>0</v>
      </c>
      <c r="EZ12" s="316">
        <f t="shared" si="13"/>
        <v>0.13556024320296359</v>
      </c>
      <c r="FA12" s="316">
        <f t="shared" si="13"/>
        <v>0.13556024320296359</v>
      </c>
      <c r="FB12" s="316">
        <f t="shared" si="13"/>
        <v>0.17560103335927194</v>
      </c>
      <c r="FC12" s="316">
        <f t="shared" si="13"/>
        <v>0.17560103335927194</v>
      </c>
      <c r="FD12" s="316">
        <f t="shared" si="13"/>
        <v>-2.5402077056389047</v>
      </c>
      <c r="FE12" s="316">
        <f t="shared" si="13"/>
        <v>0</v>
      </c>
      <c r="FF12" s="316"/>
      <c r="FG12" s="316">
        <f t="shared" si="13"/>
        <v>0</v>
      </c>
      <c r="FH12" s="316">
        <f t="shared" si="13"/>
        <v>0</v>
      </c>
      <c r="FI12" s="316">
        <f t="shared" si="13"/>
        <v>0</v>
      </c>
      <c r="FJ12" s="316">
        <f t="shared" si="13"/>
        <v>0</v>
      </c>
      <c r="FK12" s="316"/>
      <c r="FL12" s="168"/>
    </row>
    <row r="13" spans="1:168" x14ac:dyDescent="0.25">
      <c r="B13" s="107" t="s">
        <v>392</v>
      </c>
      <c r="C13" s="294"/>
      <c r="D13" s="294"/>
      <c r="E13" s="160">
        <f>TripMode_input!D10</f>
        <v>40584.579969999999</v>
      </c>
      <c r="F13" s="160">
        <f>TripMode_input!E10</f>
        <v>877.19118000000003</v>
      </c>
      <c r="G13" s="160">
        <f>TripMode_input!F10</f>
        <v>10281.92138</v>
      </c>
      <c r="H13" s="160">
        <f>TripMode_input!G10</f>
        <v>0</v>
      </c>
      <c r="I13" s="160">
        <f>TripMode_input!H10</f>
        <v>199320.90985</v>
      </c>
      <c r="J13" s="294"/>
      <c r="K13" s="160">
        <f>TripMode_input!K10+TripMode_input!J10</f>
        <v>121248.46316</v>
      </c>
      <c r="L13" s="294"/>
      <c r="M13" s="294"/>
      <c r="N13" s="160">
        <f>TripMode_input!N10</f>
        <v>2216.5180500000001</v>
      </c>
      <c r="O13" s="294"/>
      <c r="P13" s="162">
        <f t="shared" si="0"/>
        <v>374529.58358999999</v>
      </c>
      <c r="R13">
        <f t="shared" si="14"/>
        <v>0.17974758154782744</v>
      </c>
      <c r="S13">
        <f t="shared" si="15"/>
        <v>0</v>
      </c>
      <c r="T13">
        <f t="shared" si="16"/>
        <v>0</v>
      </c>
      <c r="Y13" s="107" t="s">
        <v>392</v>
      </c>
      <c r="Z13" s="294"/>
      <c r="AA13" s="294"/>
      <c r="AB13" s="160">
        <f>+E13</f>
        <v>40584.579969999999</v>
      </c>
      <c r="AC13" s="160">
        <f>+F13</f>
        <v>877.19118000000003</v>
      </c>
      <c r="AD13" s="160">
        <f>+G13</f>
        <v>10281.92138</v>
      </c>
      <c r="AE13" s="160">
        <f>+H13</f>
        <v>0</v>
      </c>
      <c r="AF13" s="160">
        <f>+I13</f>
        <v>199320.90985</v>
      </c>
      <c r="AG13" s="294"/>
      <c r="AH13" s="160">
        <f>AH15*R13</f>
        <v>127984.45492373532</v>
      </c>
      <c r="AI13" s="294"/>
      <c r="AJ13" s="294"/>
      <c r="AK13" s="160">
        <f>+N13</f>
        <v>2216.5180500000001</v>
      </c>
      <c r="AL13" s="294"/>
      <c r="AM13" s="162">
        <f t="shared" si="4"/>
        <v>381265.5753537353</v>
      </c>
      <c r="AO13" s="107" t="s">
        <v>392</v>
      </c>
      <c r="AP13" s="294">
        <f>TripMode_input!R10*Index!$B$2</f>
        <v>0</v>
      </c>
      <c r="AQ13" s="294">
        <f>TripMode_input!S10*Index!$B$2</f>
        <v>0</v>
      </c>
      <c r="AR13" s="160">
        <f>TripMode_input!T10*Index!$B$2</f>
        <v>45490</v>
      </c>
      <c r="AS13" s="160">
        <f>TripMode_input!U10*Index!$B$2</f>
        <v>990</v>
      </c>
      <c r="AT13" s="160">
        <f>TripMode_input!V10*Index!$B$2</f>
        <v>11665</v>
      </c>
      <c r="AU13" s="160">
        <f>TripMode_input!W10*Index!$B$2</f>
        <v>785</v>
      </c>
      <c r="AV13" s="160">
        <f>TripMode_input!X10*Index!$B$2</f>
        <v>298005</v>
      </c>
      <c r="AW13" s="294">
        <f>TripMode_input!Y10*Index!$B$2</f>
        <v>0</v>
      </c>
      <c r="AX13" s="160">
        <f>TripMode_input!AA10*Index!$B$2</f>
        <v>140360</v>
      </c>
      <c r="AY13" s="160">
        <f>TripMode_input!AB10*Index!$B$2</f>
        <v>0</v>
      </c>
      <c r="AZ13" s="160">
        <f>TripMode_input!AC10*Index!$B$2</f>
        <v>0</v>
      </c>
      <c r="BA13" s="160">
        <f>TripMode_input!AD10*Index!$B$2</f>
        <v>3230</v>
      </c>
      <c r="BB13" s="294">
        <f>TripMode_input!AE10*Index!$B$2</f>
        <v>0</v>
      </c>
      <c r="BC13" s="162">
        <f t="shared" si="5"/>
        <v>500525</v>
      </c>
      <c r="BE13" s="107" t="s">
        <v>392</v>
      </c>
      <c r="BF13" s="166">
        <f t="shared" ref="BF13:BF20" si="24">IF(Z$20&gt;0,Z13/Z$20,"")</f>
        <v>0</v>
      </c>
      <c r="BG13" s="166"/>
      <c r="BH13" s="166">
        <f t="shared" ref="BH13:BH20" si="25">IF(AB$20&gt;0,AB13/AB$20,"")</f>
        <v>3.2760030530913781E-2</v>
      </c>
      <c r="BI13" s="166"/>
      <c r="BJ13" s="166">
        <f t="shared" ref="BJ13:BJ20" si="26">IF(AD$20&gt;0,AD13/AD$20,"")</f>
        <v>1.3989907796799777E-2</v>
      </c>
      <c r="BK13" s="166"/>
      <c r="BL13" s="166">
        <f t="shared" ref="BL13:BS20" si="27">IF(AF$20&gt;0,AF13/AF$20,"")</f>
        <v>1</v>
      </c>
      <c r="BM13" s="166">
        <f t="shared" si="27"/>
        <v>0</v>
      </c>
      <c r="BN13" s="166">
        <f t="shared" si="27"/>
        <v>0.14527171431734293</v>
      </c>
      <c r="BO13" s="166">
        <f t="shared" si="27"/>
        <v>0</v>
      </c>
      <c r="BP13" s="166">
        <f t="shared" si="27"/>
        <v>0</v>
      </c>
      <c r="BQ13" s="166">
        <f t="shared" si="27"/>
        <v>0.12698568495241955</v>
      </c>
      <c r="BR13" s="166">
        <f t="shared" si="27"/>
        <v>0</v>
      </c>
      <c r="BS13" s="166">
        <f t="shared" si="27"/>
        <v>3.6024761939755484E-2</v>
      </c>
      <c r="BU13" s="107" t="s">
        <v>392</v>
      </c>
      <c r="BV13" s="166">
        <f t="shared" ref="BV13:BV20" si="28">IF(AP$20&gt;0,AP13/AP$20,"")</f>
        <v>0</v>
      </c>
      <c r="BW13" s="166">
        <f t="shared" ref="BW13:BW20" si="29">IF(AQ$20&gt;0,AQ13/AQ$20,"")</f>
        <v>0</v>
      </c>
      <c r="BX13" s="166">
        <f t="shared" ref="BX13:BX20" si="30">IF(AR$20&gt;0,AR13/AR$20,"")</f>
        <v>3.8134438776579467E-2</v>
      </c>
      <c r="BY13" s="166">
        <f t="shared" ref="BY13:BY20" si="31">IF(AS$20&gt;0,AS13/AS$20,"")</f>
        <v>9.0489465746538093E-3</v>
      </c>
      <c r="BZ13" s="166">
        <f t="shared" ref="BZ13:BZ20" si="32">IF(AT$20&gt;0,AT13/AT$20,"")</f>
        <v>1.9946308265791184E-2</v>
      </c>
      <c r="CA13" s="166">
        <f t="shared" ref="CA13:CA20" si="33">IF(AU$20&gt;0,AU13/AU$20,"")</f>
        <v>1.1617581767056386E-2</v>
      </c>
      <c r="CB13" s="166">
        <f t="shared" ref="CB13:CB20" si="34">IF(AV$20&gt;0,AV13/AV$20,"")</f>
        <v>1</v>
      </c>
      <c r="CC13" s="166">
        <f t="shared" ref="CC13:CC20" si="35">IF(AW$20&gt;0,AW13/AW$20,"")</f>
        <v>0</v>
      </c>
      <c r="CD13" s="166">
        <f t="shared" ref="CD13:CD20" si="36">IF(AX$20&gt;0,AX13/AX$20,"")</f>
        <v>0.20710617954317417</v>
      </c>
      <c r="CE13" s="166">
        <f t="shared" ref="CE13:CE20" si="37">IF(AY$20&gt;0,AY13/AY$20,"")</f>
        <v>0</v>
      </c>
      <c r="CF13" s="166">
        <f t="shared" ref="CF13:CF20" si="38">IF(AZ$20&gt;0,AZ13/AZ$20,"")</f>
        <v>0</v>
      </c>
      <c r="CG13" s="166">
        <f t="shared" ref="CG13:CG20" si="39">IF(BA$20&gt;0,BA13/BA$20,"")</f>
        <v>0.11916620549714074</v>
      </c>
      <c r="CH13" s="166" t="str">
        <f t="shared" ref="CH13:CH20" si="40">IF(BB$20&gt;0,BB13/BB$20,"")</f>
        <v/>
      </c>
      <c r="CI13" s="168">
        <f t="shared" ref="CI13:CI20" si="41">IF(BC$20&gt;0,BC13/BC$20,"")</f>
        <v>4.8937866679572714E-2</v>
      </c>
      <c r="CK13" s="107" t="s">
        <v>392</v>
      </c>
      <c r="CL13" s="166"/>
      <c r="CM13" s="166"/>
      <c r="CN13" s="166"/>
      <c r="CO13" s="166"/>
      <c r="CP13" s="166"/>
      <c r="CQ13" s="166"/>
      <c r="CR13" s="166"/>
      <c r="CS13" s="166"/>
      <c r="CT13" s="166"/>
      <c r="CU13" s="166"/>
      <c r="CV13" s="166"/>
      <c r="CW13" s="166"/>
      <c r="CX13" s="166"/>
      <c r="CY13" s="168"/>
      <c r="DA13" s="107" t="s">
        <v>392</v>
      </c>
      <c r="DB13" s="315"/>
      <c r="DC13" s="315"/>
      <c r="DD13" s="314">
        <f t="shared" si="10"/>
        <v>-0.15190858781222313</v>
      </c>
      <c r="DE13" s="314">
        <f>IFERROR(IF(BY13&gt;0,LN(BI13/BY13),0),0)</f>
        <v>0</v>
      </c>
      <c r="DF13" s="314">
        <f t="shared" si="11"/>
        <v>-0.35470787887316602</v>
      </c>
      <c r="DG13" s="314">
        <f>IFERROR(IF(CA13&gt;0,LN(BK13/CA13),0),0)</f>
        <v>0</v>
      </c>
      <c r="DH13" s="314">
        <f>IFERROR(IF(CB13&gt;0,LN(BL13/CB13),0),0)</f>
        <v>0</v>
      </c>
      <c r="DI13" s="315"/>
      <c r="DJ13" s="314">
        <f t="shared" si="20"/>
        <v>-0.35462572568795414</v>
      </c>
      <c r="DK13" s="314">
        <f t="shared" si="21"/>
        <v>0</v>
      </c>
      <c r="DL13" s="314">
        <f t="shared" si="12"/>
        <v>0</v>
      </c>
      <c r="DM13" s="314">
        <f>IFERROR(IF(CG13&gt;0,LN(BQ13/CG13),0),0)</f>
        <v>6.3555159691079915E-2</v>
      </c>
      <c r="DN13" s="315"/>
      <c r="DO13" s="168"/>
      <c r="DQ13" s="107" t="s">
        <v>392</v>
      </c>
      <c r="DR13" s="315"/>
      <c r="DS13" s="315"/>
      <c r="DT13" s="314">
        <v>0.47476190640442339</v>
      </c>
      <c r="DU13" s="314">
        <v>0.47476190640442339</v>
      </c>
      <c r="DV13" s="314">
        <v>-2.2213596048541677</v>
      </c>
      <c r="DW13" s="314">
        <v>-2.2213596048541677</v>
      </c>
      <c r="DX13" s="314">
        <v>0</v>
      </c>
      <c r="DY13" s="315"/>
      <c r="DZ13" s="314">
        <v>-1.6756971007855936</v>
      </c>
      <c r="EA13" s="314">
        <v>0</v>
      </c>
      <c r="EB13" s="314">
        <v>0</v>
      </c>
      <c r="EC13" s="314">
        <v>1.7559515384873421</v>
      </c>
      <c r="ED13" s="315"/>
      <c r="EE13" s="168"/>
      <c r="EG13" s="107" t="s">
        <v>392</v>
      </c>
      <c r="EH13" s="315"/>
      <c r="EI13" s="315"/>
      <c r="EJ13" s="314">
        <f>DT13+(DD13-DD$7)*$EI$1</f>
        <v>0.28490691161084303</v>
      </c>
      <c r="EK13" s="314">
        <f>DT13+(DD13-DD$7)*$EI$1</f>
        <v>0.28490691161084303</v>
      </c>
      <c r="EL13" s="314">
        <f>DV13+(DF13-DF$7)*$EI$1</f>
        <v>-2.5402077056389047</v>
      </c>
      <c r="EM13" s="314">
        <f>DV13+(DF13-DF$7)*$EI$1</f>
        <v>-2.5402077056389047</v>
      </c>
      <c r="EN13" s="314">
        <v>0</v>
      </c>
      <c r="EO13" s="315"/>
      <c r="EP13" s="314">
        <f>DZ13+(DJ13-DJ$15)*$EI$1</f>
        <v>-2.1452306167814004</v>
      </c>
      <c r="EQ13" s="314">
        <f>EA13+(DK13-DK$16)*$EI$1</f>
        <v>0</v>
      </c>
      <c r="ER13" s="314">
        <f>EB13+(DL13-DL$17)*$EI$1</f>
        <v>0</v>
      </c>
      <c r="ES13" s="314">
        <f>EC13+(DM13-DM$18)*$EI$1</f>
        <v>1.8388322144290321</v>
      </c>
      <c r="ET13" s="315"/>
      <c r="EU13" s="168"/>
      <c r="EW13" s="164" t="s">
        <v>392</v>
      </c>
      <c r="EX13" s="316">
        <f t="shared" si="17"/>
        <v>0</v>
      </c>
      <c r="EY13" s="316">
        <f t="shared" si="13"/>
        <v>0</v>
      </c>
      <c r="EZ13" s="316">
        <f t="shared" si="13"/>
        <v>0</v>
      </c>
      <c r="FA13" s="316">
        <f t="shared" si="13"/>
        <v>0</v>
      </c>
      <c r="FB13" s="316">
        <f t="shared" si="13"/>
        <v>0</v>
      </c>
      <c r="FC13" s="316">
        <f t="shared" si="13"/>
        <v>0</v>
      </c>
      <c r="FD13" s="316">
        <f t="shared" si="13"/>
        <v>0</v>
      </c>
      <c r="FE13" s="316">
        <f t="shared" si="13"/>
        <v>0</v>
      </c>
      <c r="FF13" s="316"/>
      <c r="FG13" s="316">
        <f t="shared" si="13"/>
        <v>0</v>
      </c>
      <c r="FH13" s="316">
        <f t="shared" si="13"/>
        <v>0</v>
      </c>
      <c r="FI13" s="316">
        <f t="shared" si="13"/>
        <v>0</v>
      </c>
      <c r="FJ13" s="316">
        <f t="shared" si="13"/>
        <v>0</v>
      </c>
      <c r="FK13" s="316"/>
      <c r="FL13" s="168"/>
    </row>
    <row r="14" spans="1:168" x14ac:dyDescent="0.25">
      <c r="B14" s="107" t="s">
        <v>393</v>
      </c>
      <c r="C14" s="294"/>
      <c r="D14" s="294"/>
      <c r="E14" s="294"/>
      <c r="F14" s="294"/>
      <c r="G14" s="294"/>
      <c r="H14" s="294"/>
      <c r="I14" s="294"/>
      <c r="J14" s="160">
        <f>TripMode_input!I11</f>
        <v>140170.81708000001</v>
      </c>
      <c r="K14" s="294"/>
      <c r="L14" s="294"/>
      <c r="M14" s="294"/>
      <c r="N14" s="294"/>
      <c r="O14" s="294"/>
      <c r="P14" s="162">
        <f t="shared" si="0"/>
        <v>140170.81708000001</v>
      </c>
      <c r="R14">
        <f t="shared" si="14"/>
        <v>0</v>
      </c>
      <c r="S14">
        <f t="shared" si="15"/>
        <v>0</v>
      </c>
      <c r="T14">
        <f t="shared" si="16"/>
        <v>0</v>
      </c>
      <c r="Y14" s="107" t="s">
        <v>393</v>
      </c>
      <c r="Z14" s="294"/>
      <c r="AA14" s="294"/>
      <c r="AB14" s="294"/>
      <c r="AC14" s="294"/>
      <c r="AD14" s="294"/>
      <c r="AE14" s="294"/>
      <c r="AF14" s="294"/>
      <c r="AG14" s="160">
        <f>+J14</f>
        <v>140170.81708000001</v>
      </c>
      <c r="AH14" s="294"/>
      <c r="AI14" s="294"/>
      <c r="AJ14" s="294"/>
      <c r="AK14" s="294"/>
      <c r="AL14" s="294"/>
      <c r="AM14" s="162">
        <f t="shared" si="4"/>
        <v>140170.81708000001</v>
      </c>
      <c r="AO14" s="107" t="s">
        <v>393</v>
      </c>
      <c r="AP14" s="294">
        <f>TripMode_input!R11*Index!$B$2</f>
        <v>0</v>
      </c>
      <c r="AQ14" s="294">
        <f>TripMode_input!S11*Index!$B$2</f>
        <v>0</v>
      </c>
      <c r="AR14" s="294">
        <f>TripMode_input!T11*Index!$B$2</f>
        <v>0</v>
      </c>
      <c r="AS14" s="294">
        <f>TripMode_input!U11*Index!$B$2</f>
        <v>0</v>
      </c>
      <c r="AT14" s="294">
        <f>TripMode_input!V11*Index!$B$2</f>
        <v>0</v>
      </c>
      <c r="AU14" s="294">
        <f>TripMode_input!W11*Index!$B$2</f>
        <v>0</v>
      </c>
      <c r="AV14" s="294">
        <f>TripMode_input!X11*Index!$B$2</f>
        <v>0</v>
      </c>
      <c r="AW14" s="160">
        <f>TripMode_input!Y11*Index!$B$2</f>
        <v>202190</v>
      </c>
      <c r="AX14" s="294">
        <f>TripMode_input!AA11*Index!$B$2</f>
        <v>0</v>
      </c>
      <c r="AY14" s="294">
        <f>TripMode_input!AB11*Index!$B$2</f>
        <v>0</v>
      </c>
      <c r="AZ14" s="294">
        <f>TripMode_input!AC11*Index!$B$2</f>
        <v>0</v>
      </c>
      <c r="BA14" s="294">
        <f>TripMode_input!AD11*Index!$B$2</f>
        <v>0</v>
      </c>
      <c r="BB14" s="294">
        <f>TripMode_input!AE11*Index!$B$2</f>
        <v>0</v>
      </c>
      <c r="BC14" s="162">
        <f t="shared" si="5"/>
        <v>202190</v>
      </c>
      <c r="BE14" s="107" t="s">
        <v>393</v>
      </c>
      <c r="BF14" s="166">
        <f t="shared" si="24"/>
        <v>0</v>
      </c>
      <c r="BG14" s="166"/>
      <c r="BH14" s="166">
        <f t="shared" si="25"/>
        <v>0</v>
      </c>
      <c r="BI14" s="166"/>
      <c r="BJ14" s="166">
        <f t="shared" si="26"/>
        <v>0</v>
      </c>
      <c r="BK14" s="166"/>
      <c r="BL14" s="166">
        <f t="shared" si="27"/>
        <v>0</v>
      </c>
      <c r="BM14" s="166">
        <f t="shared" si="27"/>
        <v>1</v>
      </c>
      <c r="BN14" s="166">
        <f t="shared" si="27"/>
        <v>0</v>
      </c>
      <c r="BO14" s="166">
        <f t="shared" si="27"/>
        <v>0</v>
      </c>
      <c r="BP14" s="166">
        <f t="shared" si="27"/>
        <v>0</v>
      </c>
      <c r="BQ14" s="166">
        <f t="shared" si="27"/>
        <v>0</v>
      </c>
      <c r="BR14" s="166">
        <f t="shared" si="27"/>
        <v>0</v>
      </c>
      <c r="BS14" s="166">
        <f t="shared" si="27"/>
        <v>1.3244364670277438E-2</v>
      </c>
      <c r="BU14" s="107" t="s">
        <v>393</v>
      </c>
      <c r="BV14" s="166">
        <f t="shared" si="28"/>
        <v>0</v>
      </c>
      <c r="BW14" s="166">
        <f t="shared" si="29"/>
        <v>0</v>
      </c>
      <c r="BX14" s="166">
        <f t="shared" si="30"/>
        <v>0</v>
      </c>
      <c r="BY14" s="166">
        <f t="shared" si="31"/>
        <v>0</v>
      </c>
      <c r="BZ14" s="166">
        <f t="shared" si="32"/>
        <v>0</v>
      </c>
      <c r="CA14" s="166">
        <f t="shared" si="33"/>
        <v>0</v>
      </c>
      <c r="CB14" s="166">
        <f t="shared" si="34"/>
        <v>0</v>
      </c>
      <c r="CC14" s="166">
        <f t="shared" si="35"/>
        <v>1</v>
      </c>
      <c r="CD14" s="166">
        <f t="shared" si="36"/>
        <v>0</v>
      </c>
      <c r="CE14" s="166">
        <f t="shared" si="37"/>
        <v>0</v>
      </c>
      <c r="CF14" s="166">
        <f t="shared" si="38"/>
        <v>0</v>
      </c>
      <c r="CG14" s="166">
        <f t="shared" si="39"/>
        <v>0</v>
      </c>
      <c r="CH14" s="166" t="str">
        <f t="shared" si="40"/>
        <v/>
      </c>
      <c r="CI14" s="168">
        <f t="shared" si="41"/>
        <v>1.9768737353664266E-2</v>
      </c>
      <c r="CK14" s="107" t="s">
        <v>393</v>
      </c>
      <c r="CL14" s="166"/>
      <c r="CM14" s="166"/>
      <c r="CN14" s="166"/>
      <c r="CO14" s="166"/>
      <c r="CP14" s="166"/>
      <c r="CQ14" s="166"/>
      <c r="CR14" s="166"/>
      <c r="CS14" s="166"/>
      <c r="CT14" s="166"/>
      <c r="CU14" s="166"/>
      <c r="CV14" s="166"/>
      <c r="CW14" s="166"/>
      <c r="CX14" s="166"/>
      <c r="CY14" s="168"/>
      <c r="DA14" s="107" t="s">
        <v>393</v>
      </c>
      <c r="DB14" s="315"/>
      <c r="DC14" s="315"/>
      <c r="DD14" s="315"/>
      <c r="DE14" s="315"/>
      <c r="DF14" s="315"/>
      <c r="DG14" s="315"/>
      <c r="DH14" s="315"/>
      <c r="DI14" s="314">
        <f>IFERROR(IF(CC14&gt;0,LN(BM14/CC14),0),0)</f>
        <v>0</v>
      </c>
      <c r="DJ14" s="315"/>
      <c r="DK14" s="315"/>
      <c r="DL14" s="315"/>
      <c r="DM14" s="315"/>
      <c r="DN14" s="315"/>
      <c r="DO14" s="168"/>
      <c r="DQ14" s="107" t="s">
        <v>393</v>
      </c>
      <c r="DR14" s="315"/>
      <c r="DS14" s="315"/>
      <c r="DT14" s="315"/>
      <c r="DU14" s="315"/>
      <c r="DV14" s="315"/>
      <c r="DW14" s="315"/>
      <c r="DX14" s="315"/>
      <c r="DY14" s="314">
        <v>0</v>
      </c>
      <c r="DZ14" s="315"/>
      <c r="EA14" s="315"/>
      <c r="EB14" s="315"/>
      <c r="EC14" s="315"/>
      <c r="ED14" s="315"/>
      <c r="EE14" s="168"/>
      <c r="EG14" s="107" t="s">
        <v>393</v>
      </c>
      <c r="EH14" s="315"/>
      <c r="EI14" s="315"/>
      <c r="EJ14" s="315"/>
      <c r="EK14" s="315"/>
      <c r="EL14" s="315"/>
      <c r="EM14" s="315"/>
      <c r="EN14" s="315"/>
      <c r="EO14" s="314">
        <v>0</v>
      </c>
      <c r="EP14" s="315"/>
      <c r="EQ14" s="315"/>
      <c r="ER14" s="315"/>
      <c r="ES14" s="315"/>
      <c r="ET14" s="315"/>
      <c r="EU14" s="168"/>
      <c r="EW14" s="164" t="s">
        <v>393</v>
      </c>
      <c r="EX14" s="316">
        <f t="shared" si="17"/>
        <v>0</v>
      </c>
      <c r="EY14" s="316">
        <f t="shared" si="13"/>
        <v>0</v>
      </c>
      <c r="EZ14" s="316">
        <f t="shared" si="13"/>
        <v>0</v>
      </c>
      <c r="FA14" s="316">
        <f t="shared" si="13"/>
        <v>0</v>
      </c>
      <c r="FB14" s="316">
        <f t="shared" si="13"/>
        <v>0</v>
      </c>
      <c r="FC14" s="316">
        <f t="shared" si="13"/>
        <v>0</v>
      </c>
      <c r="FD14" s="316">
        <f t="shared" si="13"/>
        <v>0</v>
      </c>
      <c r="FE14" s="316">
        <f t="shared" si="13"/>
        <v>0</v>
      </c>
      <c r="FF14" s="316"/>
      <c r="FG14" s="316">
        <f t="shared" si="13"/>
        <v>0</v>
      </c>
      <c r="FH14" s="316">
        <f t="shared" si="13"/>
        <v>0</v>
      </c>
      <c r="FI14" s="316">
        <f t="shared" si="13"/>
        <v>0</v>
      </c>
      <c r="FJ14" s="316">
        <f t="shared" si="13"/>
        <v>0</v>
      </c>
      <c r="FK14" s="316"/>
      <c r="FL14" s="168"/>
    </row>
    <row r="15" spans="1:168" x14ac:dyDescent="0.25">
      <c r="B15" s="107" t="s">
        <v>546</v>
      </c>
      <c r="C15" s="294"/>
      <c r="D15" s="294"/>
      <c r="E15" s="294"/>
      <c r="F15" s="294"/>
      <c r="G15" s="294"/>
      <c r="H15" s="294"/>
      <c r="I15" s="294"/>
      <c r="J15" s="294"/>
      <c r="K15" s="160">
        <f>TripMode_input!K12+TripMode_input!J12+TripMode_input!K13+TripMode_input!J13</f>
        <v>674548.50916999998</v>
      </c>
      <c r="L15" s="294"/>
      <c r="M15" s="294"/>
      <c r="N15" s="294"/>
      <c r="O15" s="294"/>
      <c r="P15" s="162">
        <f t="shared" si="0"/>
        <v>674548.50916999998</v>
      </c>
      <c r="R15">
        <f t="shared" si="14"/>
        <v>1</v>
      </c>
      <c r="S15">
        <f t="shared" si="15"/>
        <v>0</v>
      </c>
      <c r="T15">
        <f t="shared" si="16"/>
        <v>0</v>
      </c>
      <c r="U15" s="127">
        <f>+K15/K$159</f>
        <v>0.53617626679751373</v>
      </c>
      <c r="V15" s="127"/>
      <c r="W15" s="127"/>
      <c r="X15" s="127"/>
      <c r="Y15" s="107" t="s">
        <v>546</v>
      </c>
      <c r="Z15" s="294"/>
      <c r="AA15" s="294"/>
      <c r="AB15" s="294"/>
      <c r="AC15" s="294"/>
      <c r="AD15" s="294"/>
      <c r="AE15" s="294"/>
      <c r="AF15" s="294"/>
      <c r="AG15" s="294"/>
      <c r="AH15" s="160">
        <f>U15*U$159</f>
        <v>712023.23737346684</v>
      </c>
      <c r="AI15" s="294"/>
      <c r="AJ15" s="294"/>
      <c r="AK15" s="294"/>
      <c r="AL15" s="294"/>
      <c r="AM15" s="162">
        <f t="shared" si="4"/>
        <v>712023.23737346684</v>
      </c>
      <c r="AN15" s="127"/>
      <c r="AO15" s="107" t="s">
        <v>395</v>
      </c>
      <c r="AP15" s="294">
        <f>TripMode_input!R13*Index!$B$2</f>
        <v>0</v>
      </c>
      <c r="AQ15" s="294">
        <f>TripMode_input!S13*Index!$B$2</f>
        <v>0</v>
      </c>
      <c r="AR15" s="294">
        <f>TripMode_input!T13*Index!$B$2</f>
        <v>0</v>
      </c>
      <c r="AS15" s="294">
        <f>TripMode_input!U13*Index!$B$2</f>
        <v>0</v>
      </c>
      <c r="AT15" s="294">
        <f>TripMode_input!V13*Index!$B$2</f>
        <v>0</v>
      </c>
      <c r="AU15" s="294">
        <f>TripMode_input!W13*Index!$B$2</f>
        <v>0</v>
      </c>
      <c r="AV15" s="294">
        <f>TripMode_input!X13*Index!$B$2</f>
        <v>0</v>
      </c>
      <c r="AW15" s="294">
        <f>TripMode_input!Y13*Index!$B$2</f>
        <v>0</v>
      </c>
      <c r="AX15" s="160">
        <f>TripMode_input!AA13*Index!$B$2</f>
        <v>488275</v>
      </c>
      <c r="AY15" s="160">
        <f>TripMode_input!AB13*Index!$B$2</f>
        <v>0</v>
      </c>
      <c r="AZ15" s="160">
        <f>TripMode_input!AC13*Index!$B$2</f>
        <v>0</v>
      </c>
      <c r="BA15" s="294">
        <f>TripMode_input!AD13*Index!$B$2</f>
        <v>0</v>
      </c>
      <c r="BB15" s="294">
        <f>TripMode_input!AE13*Index!$B$2</f>
        <v>0</v>
      </c>
      <c r="BC15" s="162">
        <f t="shared" si="5"/>
        <v>488275</v>
      </c>
      <c r="BE15" s="107" t="s">
        <v>395</v>
      </c>
      <c r="BF15" s="166">
        <f t="shared" si="24"/>
        <v>0</v>
      </c>
      <c r="BG15" s="166"/>
      <c r="BH15" s="166">
        <f t="shared" si="25"/>
        <v>0</v>
      </c>
      <c r="BI15" s="166"/>
      <c r="BJ15" s="166">
        <f t="shared" si="26"/>
        <v>0</v>
      </c>
      <c r="BK15" s="166"/>
      <c r="BL15" s="166">
        <f t="shared" si="27"/>
        <v>0</v>
      </c>
      <c r="BM15" s="166">
        <f t="shared" si="27"/>
        <v>0</v>
      </c>
      <c r="BN15" s="166">
        <f t="shared" si="27"/>
        <v>0.80819843619809073</v>
      </c>
      <c r="BO15" s="166">
        <f t="shared" si="27"/>
        <v>0</v>
      </c>
      <c r="BP15" s="166">
        <f t="shared" si="27"/>
        <v>0</v>
      </c>
      <c r="BQ15" s="166">
        <f t="shared" si="27"/>
        <v>0</v>
      </c>
      <c r="BR15" s="166">
        <f t="shared" si="27"/>
        <v>0</v>
      </c>
      <c r="BS15" s="166">
        <f t="shared" si="27"/>
        <v>6.7277166573863484E-2</v>
      </c>
      <c r="BU15" s="107" t="s">
        <v>395</v>
      </c>
      <c r="BV15" s="166">
        <f t="shared" si="28"/>
        <v>0</v>
      </c>
      <c r="BW15" s="166">
        <f t="shared" si="29"/>
        <v>0</v>
      </c>
      <c r="BX15" s="166">
        <f t="shared" si="30"/>
        <v>0</v>
      </c>
      <c r="BY15" s="166">
        <f t="shared" si="31"/>
        <v>0</v>
      </c>
      <c r="BZ15" s="166">
        <f t="shared" si="32"/>
        <v>0</v>
      </c>
      <c r="CA15" s="166">
        <f t="shared" si="33"/>
        <v>0</v>
      </c>
      <c r="CB15" s="166">
        <f t="shared" si="34"/>
        <v>0</v>
      </c>
      <c r="CC15" s="166">
        <f t="shared" si="35"/>
        <v>0</v>
      </c>
      <c r="CD15" s="166">
        <f t="shared" si="36"/>
        <v>0.72046715457711152</v>
      </c>
      <c r="CE15" s="166">
        <f t="shared" si="37"/>
        <v>0</v>
      </c>
      <c r="CF15" s="166">
        <f t="shared" si="38"/>
        <v>0</v>
      </c>
      <c r="CG15" s="166">
        <f t="shared" si="39"/>
        <v>0</v>
      </c>
      <c r="CH15" s="166" t="str">
        <f t="shared" si="40"/>
        <v/>
      </c>
      <c r="CI15" s="168">
        <f t="shared" si="41"/>
        <v>4.7740146552057071E-2</v>
      </c>
      <c r="CK15" s="107" t="s">
        <v>395</v>
      </c>
      <c r="CL15" s="166" t="str">
        <f t="shared" ref="CL15:CO20" si="42">IF(OR(ISNA(BF15),BF15=0,BF15=""),"",(BV15-BF15)/BF15)</f>
        <v/>
      </c>
      <c r="CM15" s="166" t="str">
        <f t="shared" si="42"/>
        <v/>
      </c>
      <c r="CN15" s="166" t="str">
        <f t="shared" si="42"/>
        <v/>
      </c>
      <c r="CO15" s="166" t="str">
        <f t="shared" si="42"/>
        <v/>
      </c>
      <c r="CP15" s="166"/>
      <c r="CQ15" s="166"/>
      <c r="CR15" s="166"/>
      <c r="CS15" s="166"/>
      <c r="CT15" s="166">
        <f t="shared" ref="CT15:CY20" si="43">IF(OR(ISNA(BN15),BN15=0,BN15=""),"",(CD15-BN15)/BN15)</f>
        <v>-0.10855165970585487</v>
      </c>
      <c r="CU15" s="166" t="str">
        <f t="shared" si="43"/>
        <v/>
      </c>
      <c r="CV15" s="166" t="str">
        <f t="shared" si="43"/>
        <v/>
      </c>
      <c r="CW15" s="166" t="str">
        <f t="shared" si="43"/>
        <v/>
      </c>
      <c r="CX15" s="166" t="str">
        <f t="shared" si="43"/>
        <v/>
      </c>
      <c r="CY15" s="168">
        <f t="shared" si="43"/>
        <v>-0.29039599936713673</v>
      </c>
      <c r="DA15" s="107" t="s">
        <v>395</v>
      </c>
      <c r="DB15" s="315"/>
      <c r="DC15" s="315"/>
      <c r="DD15" s="315"/>
      <c r="DE15" s="315"/>
      <c r="DF15" s="315"/>
      <c r="DG15" s="315"/>
      <c r="DH15" s="315"/>
      <c r="DI15" s="315"/>
      <c r="DJ15" s="314">
        <f t="shared" si="20"/>
        <v>0.11490779030785266</v>
      </c>
      <c r="DK15" s="314">
        <f t="shared" si="21"/>
        <v>0</v>
      </c>
      <c r="DL15" s="314">
        <f t="shared" si="12"/>
        <v>0</v>
      </c>
      <c r="DM15" s="315"/>
      <c r="DN15" s="315"/>
      <c r="DO15" s="168"/>
      <c r="DQ15" s="107" t="s">
        <v>395</v>
      </c>
      <c r="DR15" s="315"/>
      <c r="DS15" s="315"/>
      <c r="DT15" s="315"/>
      <c r="DU15" s="315"/>
      <c r="DV15" s="315"/>
      <c r="DW15" s="315"/>
      <c r="DX15" s="315"/>
      <c r="DY15" s="315"/>
      <c r="DZ15" s="314">
        <v>0</v>
      </c>
      <c r="EA15" s="314">
        <v>0</v>
      </c>
      <c r="EB15" s="314">
        <v>0</v>
      </c>
      <c r="EC15" s="315"/>
      <c r="ED15" s="315"/>
      <c r="EE15" s="168"/>
      <c r="EG15" s="107" t="s">
        <v>581</v>
      </c>
      <c r="EH15" s="315"/>
      <c r="EI15" s="315"/>
      <c r="EJ15" s="315"/>
      <c r="EK15" s="315"/>
      <c r="EL15" s="315"/>
      <c r="EM15" s="315"/>
      <c r="EN15" s="315"/>
      <c r="EO15" s="315"/>
      <c r="EP15" s="314">
        <v>0</v>
      </c>
      <c r="EQ15" s="314">
        <f>EA15+(DK15-DK$16)*$EI$1</f>
        <v>0</v>
      </c>
      <c r="ER15" s="314">
        <f>EB15+(DL15-DL$17)*$EI$1</f>
        <v>0</v>
      </c>
      <c r="ES15" s="315"/>
      <c r="ET15" s="315"/>
      <c r="EU15" s="168"/>
      <c r="EW15" s="164" t="s">
        <v>546</v>
      </c>
      <c r="EX15" s="316">
        <f t="shared" si="17"/>
        <v>0</v>
      </c>
      <c r="EY15" s="316">
        <f t="shared" si="13"/>
        <v>0</v>
      </c>
      <c r="EZ15" s="316">
        <f t="shared" si="13"/>
        <v>-9.8664937043637435E-2</v>
      </c>
      <c r="FA15" s="316">
        <f t="shared" si="13"/>
        <v>-9.8664937043637435E-2</v>
      </c>
      <c r="FB15" s="316">
        <f t="shared" si="13"/>
        <v>-0.34930067411678511</v>
      </c>
      <c r="FC15" s="316">
        <f t="shared" si="13"/>
        <v>-0.34930067411678511</v>
      </c>
      <c r="FD15" s="316">
        <f t="shared" si="13"/>
        <v>-2.1452306167814004</v>
      </c>
      <c r="FE15" s="316">
        <f t="shared" si="13"/>
        <v>0</v>
      </c>
      <c r="FF15" s="316"/>
      <c r="FG15" s="316">
        <f t="shared" si="13"/>
        <v>0</v>
      </c>
      <c r="FH15" s="316">
        <f t="shared" si="13"/>
        <v>0</v>
      </c>
      <c r="FI15" s="316">
        <f t="shared" si="13"/>
        <v>0</v>
      </c>
      <c r="FJ15" s="316">
        <f t="shared" si="13"/>
        <v>-6.2876317584425365</v>
      </c>
      <c r="FK15" s="316"/>
      <c r="FL15" s="168"/>
    </row>
    <row r="16" spans="1:168" x14ac:dyDescent="0.25">
      <c r="B16" s="107" t="s">
        <v>396</v>
      </c>
      <c r="C16" s="294"/>
      <c r="D16" s="294"/>
      <c r="E16" s="294"/>
      <c r="F16" s="294"/>
      <c r="G16" s="294"/>
      <c r="H16" s="294"/>
      <c r="I16" s="294"/>
      <c r="J16" s="294"/>
      <c r="K16" s="294"/>
      <c r="L16" s="160">
        <f>TripMode_input!L14</f>
        <v>63455.44687</v>
      </c>
      <c r="M16" s="294"/>
      <c r="N16" s="294"/>
      <c r="O16" s="294"/>
      <c r="P16" s="162">
        <f t="shared" si="0"/>
        <v>63455.44687</v>
      </c>
      <c r="R16">
        <f t="shared" si="14"/>
        <v>0</v>
      </c>
      <c r="S16">
        <f t="shared" si="15"/>
        <v>1</v>
      </c>
      <c r="T16">
        <f t="shared" si="16"/>
        <v>0</v>
      </c>
      <c r="V16" s="127">
        <f>+L16/L$160</f>
        <v>0.62483513154830594</v>
      </c>
      <c r="W16" s="127"/>
      <c r="X16" s="127"/>
      <c r="Y16" s="107" t="s">
        <v>396</v>
      </c>
      <c r="Z16" s="294"/>
      <c r="AA16" s="294"/>
      <c r="AB16" s="294"/>
      <c r="AC16" s="294"/>
      <c r="AD16" s="294"/>
      <c r="AE16" s="294"/>
      <c r="AF16" s="294"/>
      <c r="AG16" s="294"/>
      <c r="AH16" s="294"/>
      <c r="AI16" s="160">
        <f>V16*V$160</f>
        <v>42771.298590036866</v>
      </c>
      <c r="AJ16" s="294"/>
      <c r="AK16" s="294"/>
      <c r="AL16" s="294"/>
      <c r="AM16" s="162">
        <f t="shared" si="4"/>
        <v>42771.298590036866</v>
      </c>
      <c r="AN16" s="127"/>
      <c r="AO16" s="107" t="s">
        <v>396</v>
      </c>
      <c r="AP16" s="294">
        <f>TripMode_input!R14*Index!$B$2</f>
        <v>0</v>
      </c>
      <c r="AQ16" s="294">
        <f>TripMode_input!S14*Index!$B$2</f>
        <v>0</v>
      </c>
      <c r="AR16" s="294">
        <f>TripMode_input!T14*Index!$B$2</f>
        <v>0</v>
      </c>
      <c r="AS16" s="294">
        <f>TripMode_input!U14*Index!$B$2</f>
        <v>0</v>
      </c>
      <c r="AT16" s="294">
        <f>TripMode_input!V14*Index!$B$2</f>
        <v>0</v>
      </c>
      <c r="AU16" s="294">
        <f>TripMode_input!W14*Index!$B$2</f>
        <v>0</v>
      </c>
      <c r="AV16" s="294">
        <f>TripMode_input!X14*Index!$B$2</f>
        <v>0</v>
      </c>
      <c r="AW16" s="294">
        <f>TripMode_input!Y14*Index!$B$2</f>
        <v>0</v>
      </c>
      <c r="AX16" s="294">
        <f>TripMode_input!AA14*Index!$B$2</f>
        <v>0</v>
      </c>
      <c r="AY16" s="160">
        <f>TripMode_input!AB14*Index!$B$2</f>
        <v>23460</v>
      </c>
      <c r="AZ16" s="294">
        <f>TripMode_input!AC14*Index!$B$2</f>
        <v>0</v>
      </c>
      <c r="BA16" s="294">
        <f>TripMode_input!AD14*Index!$B$2</f>
        <v>0</v>
      </c>
      <c r="BB16" s="294">
        <f>TripMode_input!AE14*Index!$B$2</f>
        <v>0</v>
      </c>
      <c r="BC16" s="162">
        <f t="shared" si="5"/>
        <v>23460</v>
      </c>
      <c r="BE16" s="107" t="s">
        <v>396</v>
      </c>
      <c r="BF16" s="166">
        <f t="shared" si="24"/>
        <v>0</v>
      </c>
      <c r="BG16" s="166"/>
      <c r="BH16" s="166">
        <f t="shared" si="25"/>
        <v>0</v>
      </c>
      <c r="BI16" s="166"/>
      <c r="BJ16" s="166">
        <f t="shared" si="26"/>
        <v>0</v>
      </c>
      <c r="BK16" s="166"/>
      <c r="BL16" s="166">
        <f t="shared" si="27"/>
        <v>0</v>
      </c>
      <c r="BM16" s="166">
        <f t="shared" si="27"/>
        <v>0</v>
      </c>
      <c r="BN16" s="166">
        <f t="shared" si="27"/>
        <v>0</v>
      </c>
      <c r="BO16" s="166">
        <f t="shared" si="27"/>
        <v>1</v>
      </c>
      <c r="BP16" s="166">
        <f t="shared" si="27"/>
        <v>0</v>
      </c>
      <c r="BQ16" s="166">
        <f t="shared" si="27"/>
        <v>0</v>
      </c>
      <c r="BR16" s="166">
        <f t="shared" si="27"/>
        <v>0</v>
      </c>
      <c r="BS16" s="166">
        <f t="shared" si="27"/>
        <v>4.0413453224322987E-3</v>
      </c>
      <c r="BU16" s="107" t="s">
        <v>396</v>
      </c>
      <c r="BV16" s="166">
        <f t="shared" si="28"/>
        <v>0</v>
      </c>
      <c r="BW16" s="166">
        <f t="shared" si="29"/>
        <v>0</v>
      </c>
      <c r="BX16" s="166">
        <f t="shared" si="30"/>
        <v>0</v>
      </c>
      <c r="BY16" s="166">
        <f t="shared" si="31"/>
        <v>0</v>
      </c>
      <c r="BZ16" s="166">
        <f t="shared" si="32"/>
        <v>0</v>
      </c>
      <c r="CA16" s="166">
        <f t="shared" si="33"/>
        <v>0</v>
      </c>
      <c r="CB16" s="166">
        <f t="shared" si="34"/>
        <v>0</v>
      </c>
      <c r="CC16" s="166">
        <f t="shared" si="35"/>
        <v>0</v>
      </c>
      <c r="CD16" s="166">
        <f t="shared" si="36"/>
        <v>0</v>
      </c>
      <c r="CE16" s="166">
        <f t="shared" si="37"/>
        <v>1</v>
      </c>
      <c r="CF16" s="166">
        <f t="shared" si="38"/>
        <v>0</v>
      </c>
      <c r="CG16" s="166">
        <f t="shared" si="39"/>
        <v>0</v>
      </c>
      <c r="CH16" s="166" t="str">
        <f t="shared" si="40"/>
        <v/>
      </c>
      <c r="CI16" s="168">
        <f t="shared" si="41"/>
        <v>2.2937562605319932E-3</v>
      </c>
      <c r="CK16" s="107" t="s">
        <v>396</v>
      </c>
      <c r="CL16" s="166" t="str">
        <f t="shared" si="42"/>
        <v/>
      </c>
      <c r="CM16" s="166" t="str">
        <f t="shared" si="42"/>
        <v/>
      </c>
      <c r="CN16" s="166" t="str">
        <f t="shared" si="42"/>
        <v/>
      </c>
      <c r="CO16" s="166" t="str">
        <f t="shared" si="42"/>
        <v/>
      </c>
      <c r="CP16" s="166"/>
      <c r="CQ16" s="166"/>
      <c r="CR16" s="166"/>
      <c r="CS16" s="166"/>
      <c r="CT16" s="166" t="str">
        <f t="shared" si="43"/>
        <v/>
      </c>
      <c r="CU16" s="166">
        <f t="shared" si="43"/>
        <v>0</v>
      </c>
      <c r="CV16" s="166" t="str">
        <f t="shared" si="43"/>
        <v/>
      </c>
      <c r="CW16" s="166" t="str">
        <f t="shared" si="43"/>
        <v/>
      </c>
      <c r="CX16" s="166" t="str">
        <f t="shared" si="43"/>
        <v/>
      </c>
      <c r="CY16" s="168">
        <f t="shared" si="43"/>
        <v>-0.43242755134038202</v>
      </c>
      <c r="DA16" s="107" t="s">
        <v>396</v>
      </c>
      <c r="DB16" s="315"/>
      <c r="DC16" s="315"/>
      <c r="DD16" s="315"/>
      <c r="DE16" s="315"/>
      <c r="DF16" s="315"/>
      <c r="DG16" s="315"/>
      <c r="DH16" s="315"/>
      <c r="DI16" s="315"/>
      <c r="DJ16" s="315"/>
      <c r="DK16" s="314">
        <f t="shared" si="21"/>
        <v>0</v>
      </c>
      <c r="DL16" s="315"/>
      <c r="DM16" s="315"/>
      <c r="DN16" s="315"/>
      <c r="DO16" s="168"/>
      <c r="DQ16" s="107" t="s">
        <v>396</v>
      </c>
      <c r="DR16" s="315"/>
      <c r="DS16" s="315"/>
      <c r="DT16" s="315"/>
      <c r="DU16" s="315"/>
      <c r="DV16" s="315"/>
      <c r="DW16" s="315"/>
      <c r="DX16" s="315"/>
      <c r="DY16" s="315"/>
      <c r="DZ16" s="315"/>
      <c r="EA16" s="314">
        <v>0</v>
      </c>
      <c r="EB16" s="315"/>
      <c r="EC16" s="315"/>
      <c r="ED16" s="315"/>
      <c r="EE16" s="168"/>
      <c r="EG16" s="107" t="s">
        <v>396</v>
      </c>
      <c r="EH16" s="315"/>
      <c r="EI16" s="315"/>
      <c r="EJ16" s="315"/>
      <c r="EK16" s="315"/>
      <c r="EL16" s="315"/>
      <c r="EM16" s="315"/>
      <c r="EN16" s="315"/>
      <c r="EO16" s="315"/>
      <c r="EP16" s="315"/>
      <c r="EQ16" s="314">
        <v>0</v>
      </c>
      <c r="ER16" s="315"/>
      <c r="ES16" s="315"/>
      <c r="ET16" s="315"/>
      <c r="EU16" s="168"/>
      <c r="EW16" s="164" t="s">
        <v>396</v>
      </c>
      <c r="EX16" s="316">
        <f t="shared" si="17"/>
        <v>0</v>
      </c>
      <c r="EY16" s="316">
        <f t="shared" si="13"/>
        <v>0</v>
      </c>
      <c r="EZ16" s="316">
        <f t="shared" si="13"/>
        <v>0</v>
      </c>
      <c r="FA16" s="316">
        <f t="shared" si="13"/>
        <v>0</v>
      </c>
      <c r="FB16" s="316">
        <f t="shared" si="13"/>
        <v>0</v>
      </c>
      <c r="FC16" s="316">
        <f t="shared" si="13"/>
        <v>0</v>
      </c>
      <c r="FD16" s="316">
        <f t="shared" si="13"/>
        <v>0</v>
      </c>
      <c r="FE16" s="316">
        <f t="shared" si="13"/>
        <v>0</v>
      </c>
      <c r="FF16" s="316"/>
      <c r="FG16" s="316">
        <f t="shared" si="13"/>
        <v>0</v>
      </c>
      <c r="FH16" s="316">
        <f t="shared" si="13"/>
        <v>0</v>
      </c>
      <c r="FI16" s="316">
        <f t="shared" si="13"/>
        <v>0</v>
      </c>
      <c r="FJ16" s="316">
        <f t="shared" si="13"/>
        <v>0</v>
      </c>
      <c r="FK16" s="316"/>
      <c r="FL16" s="168"/>
    </row>
    <row r="17" spans="2:168" x14ac:dyDescent="0.25">
      <c r="B17" s="107" t="s">
        <v>397</v>
      </c>
      <c r="C17" s="294"/>
      <c r="D17" s="294"/>
      <c r="E17" s="294"/>
      <c r="F17" s="294"/>
      <c r="G17" s="294"/>
      <c r="H17" s="294"/>
      <c r="I17" s="294"/>
      <c r="J17" s="294"/>
      <c r="K17" s="294"/>
      <c r="L17" s="294"/>
      <c r="M17" s="160">
        <f>TripMode_input!M15</f>
        <v>236533.95782000001</v>
      </c>
      <c r="N17" s="294"/>
      <c r="O17" s="294"/>
      <c r="P17" s="162">
        <f t="shared" si="0"/>
        <v>236533.95782000001</v>
      </c>
      <c r="R17">
        <f t="shared" si="14"/>
        <v>0</v>
      </c>
      <c r="S17">
        <f t="shared" si="15"/>
        <v>0</v>
      </c>
      <c r="T17">
        <f t="shared" si="16"/>
        <v>1</v>
      </c>
      <c r="W17" s="127">
        <f>+M17/M$161</f>
        <v>0.85709954195319926</v>
      </c>
      <c r="X17" s="127"/>
      <c r="Y17" s="107" t="s">
        <v>397</v>
      </c>
      <c r="Z17" s="294"/>
      <c r="AA17" s="294"/>
      <c r="AB17" s="294"/>
      <c r="AC17" s="294"/>
      <c r="AD17" s="294"/>
      <c r="AE17" s="294"/>
      <c r="AF17" s="294"/>
      <c r="AG17" s="294"/>
      <c r="AH17" s="294"/>
      <c r="AI17" s="294"/>
      <c r="AJ17" s="160">
        <f>W17*W$161</f>
        <v>170339.61344258563</v>
      </c>
      <c r="AK17" s="294"/>
      <c r="AL17" s="294"/>
      <c r="AM17" s="162">
        <f t="shared" si="4"/>
        <v>170339.61344258563</v>
      </c>
      <c r="AN17" s="127"/>
      <c r="AO17" s="107" t="s">
        <v>397</v>
      </c>
      <c r="AP17" s="294">
        <f>TripMode_input!R15*Index!$B$2</f>
        <v>0</v>
      </c>
      <c r="AQ17" s="294">
        <f>TripMode_input!S15*Index!$B$2</f>
        <v>0</v>
      </c>
      <c r="AR17" s="294">
        <f>TripMode_input!T15*Index!$B$2</f>
        <v>0</v>
      </c>
      <c r="AS17" s="294">
        <f>TripMode_input!U15*Index!$B$2</f>
        <v>0</v>
      </c>
      <c r="AT17" s="294">
        <f>TripMode_input!V15*Index!$B$2</f>
        <v>0</v>
      </c>
      <c r="AU17" s="294">
        <f>TripMode_input!W15*Index!$B$2</f>
        <v>0</v>
      </c>
      <c r="AV17" s="294">
        <f>TripMode_input!X15*Index!$B$2</f>
        <v>0</v>
      </c>
      <c r="AW17" s="294">
        <f>TripMode_input!Y15*Index!$B$2</f>
        <v>0</v>
      </c>
      <c r="AX17" s="294">
        <f>TripMode_input!AA15*Index!$B$2</f>
        <v>0</v>
      </c>
      <c r="AY17" s="294">
        <f>TripMode_input!AB15*Index!$B$2</f>
        <v>0</v>
      </c>
      <c r="AZ17" s="160">
        <f>TripMode_input!AC15*Index!$B$2</f>
        <v>60740</v>
      </c>
      <c r="BA17" s="294">
        <f>TripMode_input!AD15*Index!$B$2</f>
        <v>0</v>
      </c>
      <c r="BB17" s="294">
        <f>TripMode_input!AE15*Index!$B$2</f>
        <v>0</v>
      </c>
      <c r="BC17" s="162">
        <f t="shared" si="5"/>
        <v>60740</v>
      </c>
      <c r="BE17" s="107" t="s">
        <v>397</v>
      </c>
      <c r="BF17" s="166">
        <f t="shared" si="24"/>
        <v>0</v>
      </c>
      <c r="BG17" s="166"/>
      <c r="BH17" s="166">
        <f t="shared" si="25"/>
        <v>0</v>
      </c>
      <c r="BI17" s="166"/>
      <c r="BJ17" s="166">
        <f t="shared" si="26"/>
        <v>0</v>
      </c>
      <c r="BK17" s="166"/>
      <c r="BL17" s="166">
        <f t="shared" si="27"/>
        <v>0</v>
      </c>
      <c r="BM17" s="166">
        <f t="shared" si="27"/>
        <v>0</v>
      </c>
      <c r="BN17" s="166">
        <f t="shared" si="27"/>
        <v>0</v>
      </c>
      <c r="BO17" s="166">
        <f t="shared" si="27"/>
        <v>0</v>
      </c>
      <c r="BP17" s="166">
        <f t="shared" si="27"/>
        <v>1</v>
      </c>
      <c r="BQ17" s="166">
        <f t="shared" si="27"/>
        <v>0</v>
      </c>
      <c r="BR17" s="166">
        <f t="shared" si="27"/>
        <v>0</v>
      </c>
      <c r="BS17" s="166">
        <f t="shared" si="27"/>
        <v>1.6094933347931488E-2</v>
      </c>
      <c r="BU17" s="107" t="s">
        <v>397</v>
      </c>
      <c r="BV17" s="166">
        <f t="shared" si="28"/>
        <v>0</v>
      </c>
      <c r="BW17" s="166">
        <f t="shared" si="29"/>
        <v>0</v>
      </c>
      <c r="BX17" s="166">
        <f t="shared" si="30"/>
        <v>0</v>
      </c>
      <c r="BY17" s="166">
        <f t="shared" si="31"/>
        <v>0</v>
      </c>
      <c r="BZ17" s="166">
        <f t="shared" si="32"/>
        <v>0</v>
      </c>
      <c r="CA17" s="166">
        <f t="shared" si="33"/>
        <v>0</v>
      </c>
      <c r="CB17" s="166">
        <f t="shared" si="34"/>
        <v>0</v>
      </c>
      <c r="CC17" s="166">
        <f t="shared" si="35"/>
        <v>0</v>
      </c>
      <c r="CD17" s="166">
        <f t="shared" si="36"/>
        <v>0</v>
      </c>
      <c r="CE17" s="166">
        <f t="shared" si="37"/>
        <v>0</v>
      </c>
      <c r="CF17" s="166">
        <f t="shared" si="38"/>
        <v>1</v>
      </c>
      <c r="CG17" s="166">
        <f t="shared" si="39"/>
        <v>0</v>
      </c>
      <c r="CH17" s="166" t="str">
        <f t="shared" si="40"/>
        <v/>
      </c>
      <c r="CI17" s="168">
        <f t="shared" si="41"/>
        <v>5.9387363710448962E-3</v>
      </c>
      <c r="CK17" s="107" t="s">
        <v>397</v>
      </c>
      <c r="CL17" s="166" t="str">
        <f t="shared" si="42"/>
        <v/>
      </c>
      <c r="CM17" s="166" t="str">
        <f t="shared" si="42"/>
        <v/>
      </c>
      <c r="CN17" s="166" t="str">
        <f t="shared" si="42"/>
        <v/>
      </c>
      <c r="CO17" s="166" t="str">
        <f t="shared" si="42"/>
        <v/>
      </c>
      <c r="CP17" s="166"/>
      <c r="CQ17" s="166"/>
      <c r="CR17" s="166"/>
      <c r="CS17" s="166"/>
      <c r="CT17" s="166" t="str">
        <f t="shared" si="43"/>
        <v/>
      </c>
      <c r="CU17" s="166" t="str">
        <f t="shared" si="43"/>
        <v/>
      </c>
      <c r="CV17" s="166">
        <f t="shared" si="43"/>
        <v>0</v>
      </c>
      <c r="CW17" s="166" t="str">
        <f t="shared" si="43"/>
        <v/>
      </c>
      <c r="CX17" s="166" t="str">
        <f t="shared" si="43"/>
        <v/>
      </c>
      <c r="CY17" s="168">
        <f t="shared" si="43"/>
        <v>-0.63101826875175349</v>
      </c>
      <c r="DA17" s="107" t="s">
        <v>397</v>
      </c>
      <c r="DB17" s="315"/>
      <c r="DC17" s="315"/>
      <c r="DD17" s="315"/>
      <c r="DE17" s="315"/>
      <c r="DF17" s="315"/>
      <c r="DG17" s="315"/>
      <c r="DH17" s="315"/>
      <c r="DI17" s="315"/>
      <c r="DJ17" s="315"/>
      <c r="DK17" s="315"/>
      <c r="DL17" s="314">
        <f t="shared" si="12"/>
        <v>0</v>
      </c>
      <c r="DM17" s="315"/>
      <c r="DN17" s="315"/>
      <c r="DO17" s="168"/>
      <c r="DQ17" s="107" t="s">
        <v>397</v>
      </c>
      <c r="DR17" s="315"/>
      <c r="DS17" s="315"/>
      <c r="DT17" s="315"/>
      <c r="DU17" s="315"/>
      <c r="DV17" s="315"/>
      <c r="DW17" s="315"/>
      <c r="DX17" s="315"/>
      <c r="DY17" s="315"/>
      <c r="DZ17" s="315"/>
      <c r="EA17" s="315"/>
      <c r="EB17" s="314">
        <v>0</v>
      </c>
      <c r="EC17" s="315"/>
      <c r="ED17" s="315"/>
      <c r="EE17" s="168"/>
      <c r="EG17" s="107" t="s">
        <v>397</v>
      </c>
      <c r="EH17" s="315"/>
      <c r="EI17" s="315"/>
      <c r="EJ17" s="315"/>
      <c r="EK17" s="315"/>
      <c r="EL17" s="315"/>
      <c r="EM17" s="315"/>
      <c r="EN17" s="315"/>
      <c r="EO17" s="315"/>
      <c r="EP17" s="315"/>
      <c r="EQ17" s="315"/>
      <c r="ER17" s="314">
        <v>0</v>
      </c>
      <c r="ES17" s="315"/>
      <c r="ET17" s="315"/>
      <c r="EU17" s="168"/>
      <c r="EW17" s="164" t="s">
        <v>397</v>
      </c>
      <c r="EX17" s="316">
        <f t="shared" si="17"/>
        <v>0</v>
      </c>
      <c r="EY17" s="316">
        <f t="shared" si="13"/>
        <v>0</v>
      </c>
      <c r="EZ17" s="316">
        <f t="shared" si="13"/>
        <v>0</v>
      </c>
      <c r="FA17" s="316">
        <f t="shared" si="13"/>
        <v>0</v>
      </c>
      <c r="FB17" s="316">
        <f t="shared" si="13"/>
        <v>0</v>
      </c>
      <c r="FC17" s="316">
        <f t="shared" si="13"/>
        <v>0</v>
      </c>
      <c r="FD17" s="316">
        <f t="shared" si="13"/>
        <v>0</v>
      </c>
      <c r="FE17" s="316">
        <f t="shared" si="13"/>
        <v>0</v>
      </c>
      <c r="FF17" s="316"/>
      <c r="FG17" s="316">
        <f t="shared" si="13"/>
        <v>0</v>
      </c>
      <c r="FH17" s="316">
        <f t="shared" si="13"/>
        <v>0</v>
      </c>
      <c r="FI17" s="316">
        <f t="shared" si="13"/>
        <v>0</v>
      </c>
      <c r="FJ17" s="316">
        <f t="shared" si="13"/>
        <v>0</v>
      </c>
      <c r="FK17" s="316"/>
      <c r="FL17" s="168"/>
    </row>
    <row r="18" spans="2:168" x14ac:dyDescent="0.25">
      <c r="B18" s="107" t="s">
        <v>398</v>
      </c>
      <c r="C18" s="294"/>
      <c r="D18" s="294"/>
      <c r="E18" s="294"/>
      <c r="F18" s="294"/>
      <c r="G18" s="294"/>
      <c r="H18" s="294"/>
      <c r="I18" s="294"/>
      <c r="J18" s="294"/>
      <c r="K18" s="160">
        <f>TripMode_input!K16+TripMode_input!J16</f>
        <v>6631.8953799999999</v>
      </c>
      <c r="L18" s="294"/>
      <c r="M18" s="294"/>
      <c r="N18" s="160">
        <f>TripMode_input!N16</f>
        <v>11158.036340000001</v>
      </c>
      <c r="O18" s="294"/>
      <c r="P18" s="162">
        <f t="shared" si="0"/>
        <v>17789.93172</v>
      </c>
      <c r="R18">
        <f t="shared" si="14"/>
        <v>9.8316063112499248E-3</v>
      </c>
      <c r="S18">
        <f t="shared" si="15"/>
        <v>0</v>
      </c>
      <c r="T18">
        <f t="shared" si="16"/>
        <v>0</v>
      </c>
      <c r="Y18" s="107" t="s">
        <v>398</v>
      </c>
      <c r="Z18" s="294"/>
      <c r="AA18" s="294"/>
      <c r="AB18" s="294"/>
      <c r="AC18" s="294"/>
      <c r="AD18" s="294"/>
      <c r="AE18" s="294"/>
      <c r="AF18" s="294"/>
      <c r="AG18" s="294"/>
      <c r="AH18" s="160">
        <f>AH15*R18</f>
        <v>7000.3321543175798</v>
      </c>
      <c r="AI18" s="160">
        <f>AI16*S18</f>
        <v>0</v>
      </c>
      <c r="AJ18" s="160">
        <f>AJ17*T18</f>
        <v>0</v>
      </c>
      <c r="AK18" s="160">
        <f>N18</f>
        <v>11158.036340000001</v>
      </c>
      <c r="AL18" s="294"/>
      <c r="AM18" s="162">
        <f t="shared" si="4"/>
        <v>18158.368494317579</v>
      </c>
      <c r="AO18" s="107" t="s">
        <v>398</v>
      </c>
      <c r="AP18" s="294">
        <f>TripMode_input!R16*Index!$B$2</f>
        <v>0</v>
      </c>
      <c r="AQ18" s="294">
        <f>TripMode_input!S16*Index!$B$2</f>
        <v>0</v>
      </c>
      <c r="AR18" s="294">
        <f>TripMode_input!T16*Index!$B$2</f>
        <v>0</v>
      </c>
      <c r="AS18" s="294">
        <f>TripMode_input!U16*Index!$B$2</f>
        <v>0</v>
      </c>
      <c r="AT18" s="294">
        <f>TripMode_input!V16*Index!$B$2</f>
        <v>0</v>
      </c>
      <c r="AU18" s="294">
        <f>TripMode_input!W16*Index!$B$2</f>
        <v>0</v>
      </c>
      <c r="AV18" s="294">
        <f>TripMode_input!X16*Index!$B$2</f>
        <v>0</v>
      </c>
      <c r="AW18" s="294">
        <f>TripMode_input!Y16*Index!$B$2</f>
        <v>0</v>
      </c>
      <c r="AX18" s="160">
        <f>TripMode_input!AA16*Index!$B$2</f>
        <v>8520</v>
      </c>
      <c r="AY18" s="160">
        <f>TripMode_input!AB16*Index!$B$2</f>
        <v>0</v>
      </c>
      <c r="AZ18" s="160">
        <f>TripMode_input!AC16*Index!$B$2</f>
        <v>0</v>
      </c>
      <c r="BA18" s="160">
        <f>TripMode_input!AD16*Index!$B$2</f>
        <v>17665</v>
      </c>
      <c r="BB18" s="294">
        <f>TripMode_input!AE16*Index!$B$2</f>
        <v>0</v>
      </c>
      <c r="BC18" s="162">
        <f t="shared" si="5"/>
        <v>26185</v>
      </c>
      <c r="BE18" s="107" t="s">
        <v>398</v>
      </c>
      <c r="BF18" s="166">
        <f t="shared" si="24"/>
        <v>0</v>
      </c>
      <c r="BG18" s="166"/>
      <c r="BH18" s="166">
        <f t="shared" si="25"/>
        <v>0</v>
      </c>
      <c r="BI18" s="166"/>
      <c r="BJ18" s="166">
        <f t="shared" si="26"/>
        <v>0</v>
      </c>
      <c r="BK18" s="166"/>
      <c r="BL18" s="166">
        <f t="shared" si="27"/>
        <v>0</v>
      </c>
      <c r="BM18" s="166">
        <f t="shared" si="27"/>
        <v>0</v>
      </c>
      <c r="BN18" s="166">
        <f t="shared" si="27"/>
        <v>7.9458888460674677E-3</v>
      </c>
      <c r="BO18" s="166">
        <f t="shared" si="27"/>
        <v>0</v>
      </c>
      <c r="BP18" s="166">
        <f t="shared" si="27"/>
        <v>0</v>
      </c>
      <c r="BQ18" s="166">
        <f t="shared" si="27"/>
        <v>0.63925077774976313</v>
      </c>
      <c r="BR18" s="166">
        <f t="shared" si="27"/>
        <v>0</v>
      </c>
      <c r="BS18" s="166">
        <f t="shared" si="27"/>
        <v>1.7157355515646298E-3</v>
      </c>
      <c r="BU18" s="107" t="s">
        <v>398</v>
      </c>
      <c r="BV18" s="166">
        <f t="shared" si="28"/>
        <v>0</v>
      </c>
      <c r="BW18" s="166">
        <f t="shared" si="29"/>
        <v>0</v>
      </c>
      <c r="BX18" s="166">
        <f t="shared" si="30"/>
        <v>0</v>
      </c>
      <c r="BY18" s="166">
        <f t="shared" si="31"/>
        <v>0</v>
      </c>
      <c r="BZ18" s="166">
        <f t="shared" si="32"/>
        <v>0</v>
      </c>
      <c r="CA18" s="166">
        <f t="shared" si="33"/>
        <v>0</v>
      </c>
      <c r="CB18" s="166">
        <f t="shared" si="34"/>
        <v>0</v>
      </c>
      <c r="CC18" s="166">
        <f t="shared" si="35"/>
        <v>0</v>
      </c>
      <c r="CD18" s="166">
        <f t="shared" si="36"/>
        <v>1.2571563477542349E-2</v>
      </c>
      <c r="CE18" s="166">
        <f t="shared" si="37"/>
        <v>0</v>
      </c>
      <c r="CF18" s="166">
        <f t="shared" si="38"/>
        <v>0</v>
      </c>
      <c r="CG18" s="166">
        <f t="shared" si="39"/>
        <v>0.6517247740269323</v>
      </c>
      <c r="CH18" s="166" t="str">
        <f t="shared" si="40"/>
        <v/>
      </c>
      <c r="CI18" s="168">
        <f t="shared" si="41"/>
        <v>2.5601878807344517E-3</v>
      </c>
      <c r="CK18" s="107" t="s">
        <v>398</v>
      </c>
      <c r="CL18" s="166" t="str">
        <f t="shared" si="42"/>
        <v/>
      </c>
      <c r="CM18" s="166" t="str">
        <f t="shared" si="42"/>
        <v/>
      </c>
      <c r="CN18" s="166" t="str">
        <f t="shared" si="42"/>
        <v/>
      </c>
      <c r="CO18" s="166" t="str">
        <f t="shared" si="42"/>
        <v/>
      </c>
      <c r="CP18" s="166"/>
      <c r="CQ18" s="166"/>
      <c r="CR18" s="166"/>
      <c r="CS18" s="166"/>
      <c r="CT18" s="166">
        <f t="shared" si="43"/>
        <v>0.58214690906029887</v>
      </c>
      <c r="CU18" s="166" t="str">
        <f t="shared" si="43"/>
        <v/>
      </c>
      <c r="CV18" s="166" t="str">
        <f t="shared" si="43"/>
        <v/>
      </c>
      <c r="CW18" s="166">
        <f t="shared" si="43"/>
        <v>1.9513462808882418E-2</v>
      </c>
      <c r="CX18" s="166" t="str">
        <f t="shared" si="43"/>
        <v/>
      </c>
      <c r="CY18" s="168">
        <f t="shared" si="43"/>
        <v>0.49218093569241539</v>
      </c>
      <c r="DA18" s="107" t="s">
        <v>398</v>
      </c>
      <c r="DB18" s="315"/>
      <c r="DC18" s="315"/>
      <c r="DD18" s="315"/>
      <c r="DE18" s="315"/>
      <c r="DF18" s="315"/>
      <c r="DG18" s="315"/>
      <c r="DH18" s="315"/>
      <c r="DI18" s="315"/>
      <c r="DJ18" s="314">
        <f t="shared" si="20"/>
        <v>-0.4587827279039467</v>
      </c>
      <c r="DK18" s="314">
        <f t="shared" si="21"/>
        <v>0</v>
      </c>
      <c r="DL18" s="314">
        <f t="shared" si="12"/>
        <v>0</v>
      </c>
      <c r="DM18" s="314">
        <f>IFERROR(IF(CG18&gt;0,LN(BQ18/CG18),0),0)</f>
        <v>-1.9325516250610086E-2</v>
      </c>
      <c r="DN18" s="315"/>
      <c r="DO18" s="168"/>
      <c r="DQ18" s="107" t="s">
        <v>398</v>
      </c>
      <c r="DR18" s="315"/>
      <c r="DS18" s="315"/>
      <c r="DT18" s="315"/>
      <c r="DU18" s="315"/>
      <c r="DV18" s="315"/>
      <c r="DW18" s="315"/>
      <c r="DX18" s="315"/>
      <c r="DY18" s="315"/>
      <c r="DZ18" s="314">
        <v>-5.7139412402307368</v>
      </c>
      <c r="EA18" s="314">
        <v>0</v>
      </c>
      <c r="EB18" s="314">
        <v>0</v>
      </c>
      <c r="EC18" s="314">
        <v>0</v>
      </c>
      <c r="ED18" s="315"/>
      <c r="EE18" s="168"/>
      <c r="EG18" s="107" t="s">
        <v>398</v>
      </c>
      <c r="EH18" s="315"/>
      <c r="EI18" s="315"/>
      <c r="EJ18" s="315"/>
      <c r="EK18" s="315"/>
      <c r="EL18" s="315"/>
      <c r="EM18" s="315"/>
      <c r="EN18" s="315"/>
      <c r="EO18" s="315"/>
      <c r="EP18" s="314">
        <f>DZ18+(DJ18-DJ$15)*$EI$1</f>
        <v>-6.2876317584425365</v>
      </c>
      <c r="EQ18" s="314">
        <f>EA18+(DK18-DK$16)*$EI$1</f>
        <v>0</v>
      </c>
      <c r="ER18" s="314">
        <f>EB18+(DL18-DL$17)*$EI$1</f>
        <v>0</v>
      </c>
      <c r="ES18" s="314">
        <v>0</v>
      </c>
      <c r="ET18" s="315"/>
      <c r="EU18" s="168"/>
      <c r="EW18" s="164" t="s">
        <v>398</v>
      </c>
      <c r="EX18" s="316">
        <f t="shared" si="17"/>
        <v>0</v>
      </c>
      <c r="EY18" s="316">
        <f t="shared" si="13"/>
        <v>0</v>
      </c>
      <c r="EZ18" s="316">
        <f t="shared" si="13"/>
        <v>-0.20603205762563831</v>
      </c>
      <c r="FA18" s="316">
        <f t="shared" si="13"/>
        <v>-0.20603205762563831</v>
      </c>
      <c r="FB18" s="316">
        <f t="shared" si="13"/>
        <v>-1.7484033017066003</v>
      </c>
      <c r="FC18" s="316">
        <f t="shared" si="13"/>
        <v>-1.7484033017066003</v>
      </c>
      <c r="FD18" s="316">
        <f t="shared" si="13"/>
        <v>1.8388322144290321</v>
      </c>
      <c r="FE18" s="316">
        <f t="shared" si="13"/>
        <v>0</v>
      </c>
      <c r="FF18" s="316"/>
      <c r="FG18" s="316">
        <f t="shared" si="13"/>
        <v>0</v>
      </c>
      <c r="FH18" s="316">
        <f t="shared" si="13"/>
        <v>0</v>
      </c>
      <c r="FI18" s="316">
        <f t="shared" si="13"/>
        <v>0</v>
      </c>
      <c r="FJ18" s="316">
        <f t="shared" si="13"/>
        <v>0</v>
      </c>
      <c r="FK18" s="316"/>
      <c r="FL18" s="168"/>
    </row>
    <row r="19" spans="2:168" x14ac:dyDescent="0.25">
      <c r="B19" s="107" t="s">
        <v>399</v>
      </c>
      <c r="C19" s="294"/>
      <c r="D19" s="294"/>
      <c r="E19" s="294"/>
      <c r="F19" s="294"/>
      <c r="G19" s="294"/>
      <c r="H19" s="294"/>
      <c r="I19" s="294"/>
      <c r="J19" s="294"/>
      <c r="K19" s="294"/>
      <c r="L19" s="294"/>
      <c r="M19" s="294"/>
      <c r="N19" s="294"/>
      <c r="O19" s="160">
        <f>TripMode_input!O17</f>
        <v>7758.3350600000003</v>
      </c>
      <c r="P19" s="162">
        <f t="shared" si="0"/>
        <v>7758.3350600000003</v>
      </c>
      <c r="R19">
        <f t="shared" si="14"/>
        <v>0</v>
      </c>
      <c r="S19">
        <f t="shared" si="15"/>
        <v>0</v>
      </c>
      <c r="T19">
        <f t="shared" si="16"/>
        <v>0</v>
      </c>
      <c r="Y19" s="107" t="s">
        <v>399</v>
      </c>
      <c r="Z19" s="294"/>
      <c r="AA19" s="294"/>
      <c r="AB19" s="294"/>
      <c r="AC19" s="294"/>
      <c r="AD19" s="294"/>
      <c r="AE19" s="294"/>
      <c r="AF19" s="294"/>
      <c r="AG19" s="294"/>
      <c r="AH19" s="294"/>
      <c r="AI19" s="294"/>
      <c r="AJ19" s="294"/>
      <c r="AK19" s="294"/>
      <c r="AL19" s="160">
        <f>+O19</f>
        <v>7758.3350600000003</v>
      </c>
      <c r="AM19" s="162">
        <f t="shared" si="4"/>
        <v>7758.3350600000003</v>
      </c>
      <c r="AO19" s="107" t="s">
        <v>399</v>
      </c>
      <c r="AP19" s="294">
        <f>TripMode_input!R17*Index!$B$2</f>
        <v>0</v>
      </c>
      <c r="AQ19" s="294">
        <f>TripMode_input!S17*Index!$B$2</f>
        <v>0</v>
      </c>
      <c r="AR19" s="294">
        <f>TripMode_input!T17*Index!$B$2</f>
        <v>0</v>
      </c>
      <c r="AS19" s="294">
        <f>TripMode_input!U17*Index!$B$2</f>
        <v>0</v>
      </c>
      <c r="AT19" s="294">
        <f>TripMode_input!V17*Index!$B$2</f>
        <v>0</v>
      </c>
      <c r="AU19" s="294">
        <f>TripMode_input!W17*Index!$B$2</f>
        <v>0</v>
      </c>
      <c r="AV19" s="294">
        <f>TripMode_input!X17*Index!$B$2</f>
        <v>0</v>
      </c>
      <c r="AW19" s="294">
        <f>TripMode_input!Y17*Index!$B$2</f>
        <v>0</v>
      </c>
      <c r="AX19" s="294">
        <f>TripMode_input!AA17*Index!$B$2</f>
        <v>0</v>
      </c>
      <c r="AY19" s="294">
        <f>TripMode_input!AB17*Index!$B$2</f>
        <v>0</v>
      </c>
      <c r="AZ19" s="294">
        <f>TripMode_input!AC17*Index!$B$2</f>
        <v>0</v>
      </c>
      <c r="BA19" s="294">
        <f>TripMode_input!AD17*Index!$B$2</f>
        <v>0</v>
      </c>
      <c r="BB19" s="160">
        <f>TripMode_input!AE17*Index!$B$2</f>
        <v>0</v>
      </c>
      <c r="BC19" s="162">
        <f t="shared" si="5"/>
        <v>0</v>
      </c>
      <c r="BE19" s="107" t="s">
        <v>399</v>
      </c>
      <c r="BF19" s="166">
        <f t="shared" si="24"/>
        <v>0</v>
      </c>
      <c r="BG19" s="166"/>
      <c r="BH19" s="166">
        <f t="shared" si="25"/>
        <v>0</v>
      </c>
      <c r="BI19" s="166"/>
      <c r="BJ19" s="166">
        <f t="shared" si="26"/>
        <v>0</v>
      </c>
      <c r="BK19" s="166"/>
      <c r="BL19" s="166">
        <f t="shared" si="27"/>
        <v>0</v>
      </c>
      <c r="BM19" s="166">
        <f t="shared" si="27"/>
        <v>0</v>
      </c>
      <c r="BN19" s="166">
        <f t="shared" si="27"/>
        <v>0</v>
      </c>
      <c r="BO19" s="166">
        <f t="shared" si="27"/>
        <v>0</v>
      </c>
      <c r="BP19" s="166">
        <f t="shared" si="27"/>
        <v>0</v>
      </c>
      <c r="BQ19" s="166">
        <f t="shared" si="27"/>
        <v>0</v>
      </c>
      <c r="BR19" s="166">
        <f t="shared" si="27"/>
        <v>1</v>
      </c>
      <c r="BS19" s="166">
        <f t="shared" si="27"/>
        <v>7.3306427763914395E-4</v>
      </c>
      <c r="BU19" s="107" t="s">
        <v>399</v>
      </c>
      <c r="BV19" s="166">
        <f t="shared" si="28"/>
        <v>0</v>
      </c>
      <c r="BW19" s="166">
        <f t="shared" si="29"/>
        <v>0</v>
      </c>
      <c r="BX19" s="166">
        <f t="shared" si="30"/>
        <v>0</v>
      </c>
      <c r="BY19" s="166">
        <f t="shared" si="31"/>
        <v>0</v>
      </c>
      <c r="BZ19" s="166">
        <f t="shared" si="32"/>
        <v>0</v>
      </c>
      <c r="CA19" s="166">
        <f t="shared" si="33"/>
        <v>0</v>
      </c>
      <c r="CB19" s="166">
        <f t="shared" si="34"/>
        <v>0</v>
      </c>
      <c r="CC19" s="166">
        <f t="shared" si="35"/>
        <v>0</v>
      </c>
      <c r="CD19" s="166">
        <f t="shared" si="36"/>
        <v>0</v>
      </c>
      <c r="CE19" s="166">
        <f t="shared" si="37"/>
        <v>0</v>
      </c>
      <c r="CF19" s="166">
        <f t="shared" si="38"/>
        <v>0</v>
      </c>
      <c r="CG19" s="166">
        <f t="shared" si="39"/>
        <v>0</v>
      </c>
      <c r="CH19" s="166" t="str">
        <f t="shared" si="40"/>
        <v/>
      </c>
      <c r="CI19" s="168">
        <f t="shared" si="41"/>
        <v>0</v>
      </c>
      <c r="CK19" s="107" t="s">
        <v>399</v>
      </c>
      <c r="CL19" s="166" t="str">
        <f t="shared" si="42"/>
        <v/>
      </c>
      <c r="CM19" s="166" t="str">
        <f t="shared" si="42"/>
        <v/>
      </c>
      <c r="CN19" s="166" t="str">
        <f t="shared" si="42"/>
        <v/>
      </c>
      <c r="CO19" s="166" t="str">
        <f t="shared" si="42"/>
        <v/>
      </c>
      <c r="CP19" s="166"/>
      <c r="CQ19" s="166"/>
      <c r="CR19" s="166"/>
      <c r="CS19" s="166"/>
      <c r="CT19" s="166" t="str">
        <f t="shared" si="43"/>
        <v/>
      </c>
      <c r="CU19" s="166" t="str">
        <f t="shared" si="43"/>
        <v/>
      </c>
      <c r="CV19" s="166" t="str">
        <f t="shared" si="43"/>
        <v/>
      </c>
      <c r="CW19" s="166" t="str">
        <f t="shared" si="43"/>
        <v/>
      </c>
      <c r="CX19" s="166" t="e">
        <f t="shared" si="43"/>
        <v>#VALUE!</v>
      </c>
      <c r="CY19" s="168">
        <f t="shared" si="43"/>
        <v>-1</v>
      </c>
      <c r="DA19" s="107" t="s">
        <v>399</v>
      </c>
      <c r="DB19" s="315"/>
      <c r="DC19" s="315"/>
      <c r="DD19" s="315"/>
      <c r="DE19" s="315"/>
      <c r="DF19" s="315"/>
      <c r="DG19" s="315"/>
      <c r="DH19" s="315"/>
      <c r="DI19" s="315"/>
      <c r="DJ19" s="315"/>
      <c r="DK19" s="315"/>
      <c r="DL19" s="315"/>
      <c r="DM19" s="315"/>
      <c r="DN19" s="314">
        <f>IFERROR(IF(CH19&gt;0,LN(BR19/CH19),0),0)</f>
        <v>0</v>
      </c>
      <c r="DO19" s="168"/>
      <c r="DQ19" s="107" t="s">
        <v>399</v>
      </c>
      <c r="DR19" s="315"/>
      <c r="DS19" s="315"/>
      <c r="DT19" s="315"/>
      <c r="DU19" s="315"/>
      <c r="DV19" s="315"/>
      <c r="DW19" s="315"/>
      <c r="DX19" s="315"/>
      <c r="DY19" s="315"/>
      <c r="DZ19" s="315"/>
      <c r="EA19" s="315"/>
      <c r="EB19" s="315"/>
      <c r="EC19" s="315"/>
      <c r="ED19" s="314">
        <v>0</v>
      </c>
      <c r="EE19" s="168"/>
      <c r="EG19" s="107" t="s">
        <v>399</v>
      </c>
      <c r="EH19" s="315"/>
      <c r="EI19" s="315"/>
      <c r="EJ19" s="315"/>
      <c r="EK19" s="315"/>
      <c r="EL19" s="315"/>
      <c r="EM19" s="315"/>
      <c r="EN19" s="315"/>
      <c r="EO19" s="315"/>
      <c r="EP19" s="315"/>
      <c r="EQ19" s="315"/>
      <c r="ER19" s="315"/>
      <c r="ES19" s="315"/>
      <c r="ET19" s="314">
        <v>0</v>
      </c>
      <c r="EU19" s="168"/>
      <c r="EW19" s="164" t="s">
        <v>399</v>
      </c>
      <c r="EX19" s="316"/>
      <c r="EY19" s="316"/>
      <c r="EZ19" s="316"/>
      <c r="FA19" s="316"/>
      <c r="FB19" s="316"/>
      <c r="FC19" s="316"/>
      <c r="FD19" s="316"/>
      <c r="FE19" s="316"/>
      <c r="FF19" s="316"/>
      <c r="FG19" s="316"/>
      <c r="FH19" s="316"/>
      <c r="FI19" s="316"/>
      <c r="FJ19" s="316"/>
      <c r="FK19" s="316"/>
      <c r="FL19" s="168"/>
    </row>
    <row r="20" spans="2:168" ht="15.75" thickBot="1" x14ac:dyDescent="0.3">
      <c r="B20" s="108" t="s">
        <v>29</v>
      </c>
      <c r="C20" s="109">
        <f t="shared" ref="C20:P20" si="44">SUM(C7:C19)</f>
        <v>6534619.2145999996</v>
      </c>
      <c r="D20" s="110">
        <f t="shared" si="44"/>
        <v>500186.94432000001</v>
      </c>
      <c r="E20" s="110">
        <f t="shared" si="44"/>
        <v>1238844.3878800001</v>
      </c>
      <c r="F20" s="110">
        <f t="shared" si="44"/>
        <v>85277.934739999997</v>
      </c>
      <c r="G20" s="110">
        <f t="shared" si="44"/>
        <v>734952.76232999994</v>
      </c>
      <c r="H20" s="110">
        <f t="shared" si="44"/>
        <v>30733.210739999999</v>
      </c>
      <c r="I20" s="110">
        <f t="shared" si="44"/>
        <v>199320.90985</v>
      </c>
      <c r="J20" s="110">
        <f t="shared" si="44"/>
        <v>140170.81708000001</v>
      </c>
      <c r="K20" s="110">
        <f t="shared" si="44"/>
        <v>834632.28702000005</v>
      </c>
      <c r="L20" s="110">
        <f t="shared" si="44"/>
        <v>63455.44687</v>
      </c>
      <c r="M20" s="110">
        <f t="shared" si="44"/>
        <v>236533.95782000001</v>
      </c>
      <c r="N20" s="110">
        <f t="shared" si="44"/>
        <v>17454.86549</v>
      </c>
      <c r="O20" s="110">
        <f t="shared" si="44"/>
        <v>7758.3350600000003</v>
      </c>
      <c r="P20" s="112">
        <f t="shared" si="44"/>
        <v>10623941.073799999</v>
      </c>
      <c r="Y20" s="108" t="s">
        <v>29</v>
      </c>
      <c r="Z20" s="109">
        <f t="shared" ref="Z20:AM20" si="45">SUM(Z7:Z19)</f>
        <v>6534619.2145999996</v>
      </c>
      <c r="AA20" s="110">
        <f t="shared" si="45"/>
        <v>500186.94432000001</v>
      </c>
      <c r="AB20" s="110">
        <f t="shared" si="45"/>
        <v>1238844.3878800001</v>
      </c>
      <c r="AC20" s="110">
        <f t="shared" si="45"/>
        <v>85277.934739999997</v>
      </c>
      <c r="AD20" s="110">
        <f t="shared" si="45"/>
        <v>734952.76232999994</v>
      </c>
      <c r="AE20" s="110">
        <f t="shared" si="45"/>
        <v>30733.210739999999</v>
      </c>
      <c r="AF20" s="110">
        <f t="shared" si="45"/>
        <v>199320.90985</v>
      </c>
      <c r="AG20" s="110">
        <f t="shared" si="45"/>
        <v>140170.81708000001</v>
      </c>
      <c r="AH20" s="110">
        <f t="shared" si="45"/>
        <v>881000.51359038858</v>
      </c>
      <c r="AI20" s="110">
        <f t="shared" si="45"/>
        <v>42771.298590036866</v>
      </c>
      <c r="AJ20" s="110">
        <f t="shared" si="45"/>
        <v>170339.61344258563</v>
      </c>
      <c r="AK20" s="110">
        <f t="shared" si="45"/>
        <v>17454.86549</v>
      </c>
      <c r="AL20" s="110">
        <f t="shared" si="45"/>
        <v>7758.3350600000003</v>
      </c>
      <c r="AM20" s="112">
        <f t="shared" si="45"/>
        <v>10583430.807713011</v>
      </c>
      <c r="AO20" s="108" t="s">
        <v>29</v>
      </c>
      <c r="AP20" s="109">
        <f t="shared" ref="AP20:BC20" si="46">SUM(AP7:AP19)</f>
        <v>6055900</v>
      </c>
      <c r="AQ20" s="110">
        <f t="shared" si="46"/>
        <v>927965</v>
      </c>
      <c r="AR20" s="110">
        <f t="shared" si="46"/>
        <v>1192885</v>
      </c>
      <c r="AS20" s="110">
        <f t="shared" si="46"/>
        <v>109405</v>
      </c>
      <c r="AT20" s="110">
        <f t="shared" si="46"/>
        <v>584820</v>
      </c>
      <c r="AU20" s="110">
        <f t="shared" si="46"/>
        <v>67570</v>
      </c>
      <c r="AV20" s="110">
        <f t="shared" si="46"/>
        <v>298005</v>
      </c>
      <c r="AW20" s="110">
        <f t="shared" si="46"/>
        <v>202190</v>
      </c>
      <c r="AX20" s="110">
        <f t="shared" si="46"/>
        <v>677720</v>
      </c>
      <c r="AY20" s="110">
        <f t="shared" si="46"/>
        <v>23460</v>
      </c>
      <c r="AZ20" s="110">
        <f t="shared" si="46"/>
        <v>60740</v>
      </c>
      <c r="BA20" s="110">
        <f t="shared" si="46"/>
        <v>27105</v>
      </c>
      <c r="BB20" s="110">
        <f t="shared" si="46"/>
        <v>0</v>
      </c>
      <c r="BC20" s="112">
        <f t="shared" si="46"/>
        <v>10227765</v>
      </c>
      <c r="BE20" s="108" t="s">
        <v>29</v>
      </c>
      <c r="BF20" s="120">
        <f t="shared" si="24"/>
        <v>1</v>
      </c>
      <c r="BG20" s="120"/>
      <c r="BH20" s="120">
        <f t="shared" si="25"/>
        <v>1</v>
      </c>
      <c r="BI20" s="120"/>
      <c r="BJ20" s="120">
        <f t="shared" si="26"/>
        <v>1</v>
      </c>
      <c r="BK20" s="120"/>
      <c r="BL20" s="120">
        <f t="shared" si="27"/>
        <v>1</v>
      </c>
      <c r="BM20" s="120">
        <f t="shared" si="27"/>
        <v>1</v>
      </c>
      <c r="BN20" s="120">
        <f t="shared" si="27"/>
        <v>1</v>
      </c>
      <c r="BO20" s="120">
        <f t="shared" si="27"/>
        <v>1</v>
      </c>
      <c r="BP20" s="120">
        <f t="shared" si="27"/>
        <v>1</v>
      </c>
      <c r="BQ20" s="120">
        <f t="shared" si="27"/>
        <v>1</v>
      </c>
      <c r="BR20" s="120">
        <f t="shared" si="27"/>
        <v>1</v>
      </c>
      <c r="BS20" s="120">
        <f t="shared" si="27"/>
        <v>1</v>
      </c>
      <c r="BU20" s="108" t="s">
        <v>29</v>
      </c>
      <c r="BV20" s="120">
        <f t="shared" si="28"/>
        <v>1</v>
      </c>
      <c r="BW20" s="121">
        <f t="shared" si="29"/>
        <v>1</v>
      </c>
      <c r="BX20" s="121">
        <f t="shared" si="30"/>
        <v>1</v>
      </c>
      <c r="BY20" s="121">
        <f t="shared" si="31"/>
        <v>1</v>
      </c>
      <c r="BZ20" s="121">
        <f t="shared" si="32"/>
        <v>1</v>
      </c>
      <c r="CA20" s="121">
        <f t="shared" si="33"/>
        <v>1</v>
      </c>
      <c r="CB20" s="121">
        <f t="shared" si="34"/>
        <v>1</v>
      </c>
      <c r="CC20" s="121">
        <f t="shared" si="35"/>
        <v>1</v>
      </c>
      <c r="CD20" s="121">
        <f t="shared" si="36"/>
        <v>1</v>
      </c>
      <c r="CE20" s="121">
        <f t="shared" si="37"/>
        <v>1</v>
      </c>
      <c r="CF20" s="121">
        <f t="shared" si="38"/>
        <v>1</v>
      </c>
      <c r="CG20" s="121">
        <f t="shared" si="39"/>
        <v>1</v>
      </c>
      <c r="CH20" s="121" t="str">
        <f t="shared" si="40"/>
        <v/>
      </c>
      <c r="CI20" s="123">
        <f t="shared" si="41"/>
        <v>1</v>
      </c>
      <c r="CK20" s="108" t="s">
        <v>29</v>
      </c>
      <c r="CL20" s="120">
        <f t="shared" si="42"/>
        <v>0</v>
      </c>
      <c r="CM20" s="121" t="str">
        <f t="shared" si="42"/>
        <v/>
      </c>
      <c r="CN20" s="121">
        <f t="shared" si="42"/>
        <v>0</v>
      </c>
      <c r="CO20" s="121" t="str">
        <f t="shared" si="42"/>
        <v/>
      </c>
      <c r="CP20" s="121"/>
      <c r="CQ20" s="121"/>
      <c r="CR20" s="121"/>
      <c r="CS20" s="121"/>
      <c r="CT20" s="121">
        <f t="shared" si="43"/>
        <v>0</v>
      </c>
      <c r="CU20" s="121">
        <f t="shared" si="43"/>
        <v>0</v>
      </c>
      <c r="CV20" s="121">
        <f t="shared" si="43"/>
        <v>0</v>
      </c>
      <c r="CW20" s="121">
        <f t="shared" si="43"/>
        <v>0</v>
      </c>
      <c r="CX20" s="121" t="e">
        <f t="shared" si="43"/>
        <v>#VALUE!</v>
      </c>
      <c r="CY20" s="123">
        <f t="shared" si="43"/>
        <v>0</v>
      </c>
      <c r="DA20" s="108" t="s">
        <v>29</v>
      </c>
      <c r="DB20" s="120"/>
      <c r="DC20" s="121"/>
      <c r="DD20" s="121"/>
      <c r="DE20" s="121"/>
      <c r="DF20" s="121"/>
      <c r="DG20" s="121"/>
      <c r="DH20" s="121"/>
      <c r="DI20" s="121"/>
      <c r="DJ20" s="121"/>
      <c r="DK20" s="121"/>
      <c r="DL20" s="121"/>
      <c r="DM20" s="121"/>
      <c r="DN20" s="121"/>
      <c r="DO20" s="123"/>
      <c r="DQ20" s="108" t="s">
        <v>29</v>
      </c>
      <c r="DR20" s="120"/>
      <c r="DS20" s="121"/>
      <c r="DT20" s="121"/>
      <c r="DU20" s="121"/>
      <c r="DV20" s="121"/>
      <c r="DW20" s="121"/>
      <c r="DX20" s="121"/>
      <c r="DY20" s="121"/>
      <c r="DZ20" s="121"/>
      <c r="EA20" s="121"/>
      <c r="EB20" s="121"/>
      <c r="EC20" s="121"/>
      <c r="ED20" s="121"/>
      <c r="EE20" s="123"/>
      <c r="EG20" s="108" t="s">
        <v>29</v>
      </c>
      <c r="EH20" s="120"/>
      <c r="EI20" s="121"/>
      <c r="EJ20" s="121"/>
      <c r="EK20" s="121"/>
      <c r="EL20" s="121"/>
      <c r="EM20" s="121"/>
      <c r="EN20" s="121"/>
      <c r="EO20" s="121"/>
      <c r="EP20" s="121"/>
      <c r="EQ20" s="121"/>
      <c r="ER20" s="121"/>
      <c r="ES20" s="121"/>
      <c r="ET20" s="121"/>
      <c r="EU20" s="123"/>
      <c r="EW20" s="108" t="s">
        <v>29</v>
      </c>
      <c r="EX20" s="120"/>
      <c r="EY20" s="121"/>
      <c r="EZ20" s="121"/>
      <c r="FA20" s="121"/>
      <c r="FB20" s="121"/>
      <c r="FC20" s="121"/>
      <c r="FD20" s="121"/>
      <c r="FE20" s="121"/>
      <c r="FF20" s="121"/>
      <c r="FG20" s="121"/>
      <c r="FH20" s="121"/>
      <c r="FI20" s="121"/>
      <c r="FJ20" s="121"/>
      <c r="FK20" s="121"/>
      <c r="FL20" s="123"/>
    </row>
    <row r="21" spans="2:168" x14ac:dyDescent="0.25">
      <c r="B21" t="s">
        <v>217</v>
      </c>
      <c r="C21" s="383" t="s">
        <v>206</v>
      </c>
      <c r="D21" s="383"/>
      <c r="E21" s="383"/>
      <c r="F21" s="383"/>
      <c r="G21" s="383"/>
      <c r="H21" s="383"/>
      <c r="I21" s="383"/>
      <c r="J21" s="383"/>
      <c r="K21" s="383"/>
      <c r="L21" s="383"/>
      <c r="M21" s="383"/>
      <c r="N21" s="383"/>
      <c r="O21" s="383"/>
      <c r="P21" s="383"/>
      <c r="Y21" t="s">
        <v>217</v>
      </c>
      <c r="Z21" s="383" t="s">
        <v>206</v>
      </c>
      <c r="AA21" s="383"/>
      <c r="AB21" s="383"/>
      <c r="AC21" s="383"/>
      <c r="AD21" s="383"/>
      <c r="AE21" s="383"/>
      <c r="AF21" s="383"/>
      <c r="AG21" s="383"/>
      <c r="AH21" s="383"/>
      <c r="AI21" s="383"/>
      <c r="AJ21" s="383"/>
      <c r="AK21" s="383"/>
      <c r="AL21" s="383"/>
      <c r="AM21" s="383"/>
      <c r="AO21" t="s">
        <v>217</v>
      </c>
      <c r="AP21" s="383" t="s">
        <v>206</v>
      </c>
      <c r="AQ21" s="383"/>
      <c r="AR21" s="383"/>
      <c r="AS21" s="383"/>
      <c r="AT21" s="383"/>
      <c r="AU21" s="383"/>
      <c r="AV21" s="383"/>
      <c r="AW21" s="383"/>
      <c r="AX21" s="383"/>
      <c r="AY21" s="383"/>
      <c r="AZ21" s="383"/>
      <c r="BA21" s="383"/>
      <c r="BB21" s="383"/>
      <c r="BC21" s="383"/>
      <c r="BE21" t="s">
        <v>217</v>
      </c>
      <c r="BF21" s="383" t="s">
        <v>206</v>
      </c>
      <c r="BG21" s="383"/>
      <c r="BH21" s="383"/>
      <c r="BI21" s="383"/>
      <c r="BJ21" s="383"/>
      <c r="BK21" s="383"/>
      <c r="BL21" s="383"/>
      <c r="BM21" s="383"/>
      <c r="BN21" s="383"/>
      <c r="BO21" s="383"/>
      <c r="BP21" s="383"/>
      <c r="BQ21" s="383"/>
      <c r="BR21" s="383"/>
      <c r="BS21" s="383"/>
      <c r="BU21" t="s">
        <v>217</v>
      </c>
      <c r="BV21" s="383" t="s">
        <v>206</v>
      </c>
      <c r="BW21" s="383"/>
      <c r="BX21" s="383"/>
      <c r="BY21" s="383"/>
      <c r="BZ21" s="383"/>
      <c r="CA21" s="383"/>
      <c r="CB21" s="383"/>
      <c r="CC21" s="383"/>
      <c r="CD21" s="383"/>
      <c r="CE21" s="383"/>
      <c r="CF21" s="383"/>
      <c r="CG21" s="383"/>
      <c r="CH21" s="383"/>
      <c r="CI21" s="383"/>
      <c r="CK21" t="s">
        <v>217</v>
      </c>
      <c r="CL21" s="383" t="s">
        <v>206</v>
      </c>
      <c r="CM21" s="383"/>
      <c r="CN21" s="383"/>
      <c r="CO21" s="383"/>
      <c r="CP21" s="383"/>
      <c r="CQ21" s="383"/>
      <c r="CR21" s="383"/>
      <c r="CS21" s="383"/>
      <c r="CT21" s="383"/>
      <c r="CU21" s="383"/>
      <c r="CV21" s="383"/>
      <c r="CW21" s="383"/>
      <c r="CX21" s="383"/>
      <c r="CY21" s="383"/>
      <c r="DA21" t="s">
        <v>189</v>
      </c>
      <c r="DB21" s="383" t="s">
        <v>206</v>
      </c>
      <c r="DC21" s="383"/>
      <c r="DD21" s="383"/>
      <c r="DE21" s="383"/>
      <c r="DF21" s="383"/>
      <c r="DG21" s="383"/>
      <c r="DH21" s="383"/>
      <c r="DI21" s="383"/>
      <c r="DJ21" s="383"/>
      <c r="DK21" s="383"/>
      <c r="DL21" s="383"/>
      <c r="DM21" s="383"/>
      <c r="DN21" s="383"/>
      <c r="DO21" s="383"/>
      <c r="DQ21" t="s">
        <v>189</v>
      </c>
      <c r="DR21" s="411" t="s">
        <v>206</v>
      </c>
      <c r="DS21" s="411"/>
      <c r="DT21" s="411"/>
      <c r="DU21" s="411"/>
      <c r="DV21" s="411"/>
      <c r="DW21" s="411"/>
      <c r="DX21" s="411"/>
      <c r="DY21" s="411"/>
      <c r="DZ21" s="411"/>
      <c r="EA21" s="411"/>
      <c r="EB21" s="411"/>
      <c r="EC21" s="411"/>
      <c r="ED21" s="411"/>
      <c r="EE21" s="411"/>
      <c r="EG21" t="s">
        <v>189</v>
      </c>
      <c r="EH21" s="383" t="s">
        <v>206</v>
      </c>
      <c r="EI21" s="383"/>
      <c r="EJ21" s="383"/>
      <c r="EK21" s="383"/>
      <c r="EL21" s="383"/>
      <c r="EM21" s="383"/>
      <c r="EN21" s="383"/>
      <c r="EO21" s="383"/>
      <c r="EP21" s="383"/>
      <c r="EQ21" s="383"/>
      <c r="ER21" s="383"/>
      <c r="ES21" s="383"/>
      <c r="ET21" s="383"/>
      <c r="EU21" s="383"/>
      <c r="EW21" t="s">
        <v>189</v>
      </c>
      <c r="EX21" s="383" t="s">
        <v>207</v>
      </c>
      <c r="EY21" s="383"/>
      <c r="EZ21" s="383"/>
      <c r="FA21" s="383"/>
      <c r="FB21" s="383"/>
      <c r="FC21" s="383"/>
      <c r="FD21" s="383"/>
      <c r="FE21" s="383"/>
      <c r="FF21" s="383"/>
      <c r="FG21" s="383"/>
      <c r="FH21" s="383"/>
      <c r="FI21" s="383"/>
      <c r="FJ21" s="383"/>
      <c r="FK21" s="383"/>
      <c r="FL21" s="383"/>
    </row>
    <row r="22" spans="2:168" ht="35.450000000000003" customHeight="1" x14ac:dyDescent="0.25">
      <c r="B22" s="163" t="s">
        <v>207</v>
      </c>
      <c r="C22" s="164" t="s">
        <v>386</v>
      </c>
      <c r="D22" s="164" t="s">
        <v>387</v>
      </c>
      <c r="E22" s="164" t="s">
        <v>388</v>
      </c>
      <c r="F22" s="164" t="s">
        <v>389</v>
      </c>
      <c r="G22" s="164" t="s">
        <v>390</v>
      </c>
      <c r="H22" s="164" t="s">
        <v>391</v>
      </c>
      <c r="I22" s="164" t="s">
        <v>392</v>
      </c>
      <c r="J22" s="164" t="s">
        <v>393</v>
      </c>
      <c r="K22" s="164" t="s">
        <v>546</v>
      </c>
      <c r="L22" s="164" t="s">
        <v>396</v>
      </c>
      <c r="M22" s="164" t="s">
        <v>397</v>
      </c>
      <c r="N22" s="164" t="s">
        <v>398</v>
      </c>
      <c r="O22" s="164" t="s">
        <v>399</v>
      </c>
      <c r="P22" s="106" t="s">
        <v>29</v>
      </c>
      <c r="R22" s="164" t="s">
        <v>546</v>
      </c>
      <c r="S22" s="164" t="s">
        <v>396</v>
      </c>
      <c r="T22" s="164" t="s">
        <v>397</v>
      </c>
      <c r="U22" s="164" t="s">
        <v>546</v>
      </c>
      <c r="V22" s="164" t="s">
        <v>396</v>
      </c>
      <c r="W22" s="164" t="s">
        <v>397</v>
      </c>
      <c r="X22" s="296"/>
      <c r="Y22" s="163" t="s">
        <v>207</v>
      </c>
      <c r="Z22" s="164" t="s">
        <v>386</v>
      </c>
      <c r="AA22" s="164" t="s">
        <v>387</v>
      </c>
      <c r="AB22" s="164" t="s">
        <v>388</v>
      </c>
      <c r="AC22" s="164" t="s">
        <v>389</v>
      </c>
      <c r="AD22" s="164" t="s">
        <v>390</v>
      </c>
      <c r="AE22" s="164" t="s">
        <v>391</v>
      </c>
      <c r="AF22" s="164" t="s">
        <v>392</v>
      </c>
      <c r="AG22" s="164" t="s">
        <v>393</v>
      </c>
      <c r="AH22" s="164" t="s">
        <v>546</v>
      </c>
      <c r="AI22" s="164" t="s">
        <v>396</v>
      </c>
      <c r="AJ22" s="164" t="s">
        <v>397</v>
      </c>
      <c r="AK22" s="164" t="s">
        <v>398</v>
      </c>
      <c r="AL22" s="164" t="s">
        <v>399</v>
      </c>
      <c r="AM22" s="106" t="s">
        <v>29</v>
      </c>
      <c r="AN22" s="296"/>
      <c r="AO22" s="163" t="s">
        <v>207</v>
      </c>
      <c r="AP22" s="164" t="s">
        <v>386</v>
      </c>
      <c r="AQ22" s="164" t="s">
        <v>387</v>
      </c>
      <c r="AR22" s="164" t="s">
        <v>388</v>
      </c>
      <c r="AS22" s="164" t="s">
        <v>389</v>
      </c>
      <c r="AT22" s="164" t="s">
        <v>390</v>
      </c>
      <c r="AU22" s="164" t="s">
        <v>391</v>
      </c>
      <c r="AV22" s="164" t="s">
        <v>392</v>
      </c>
      <c r="AW22" s="164" t="s">
        <v>393</v>
      </c>
      <c r="AX22" s="164" t="s">
        <v>546</v>
      </c>
      <c r="AY22" s="164" t="s">
        <v>396</v>
      </c>
      <c r="AZ22" s="164" t="s">
        <v>397</v>
      </c>
      <c r="BA22" s="164" t="s">
        <v>398</v>
      </c>
      <c r="BB22" s="164" t="s">
        <v>399</v>
      </c>
      <c r="BC22" s="106" t="s">
        <v>29</v>
      </c>
      <c r="BE22" s="163" t="s">
        <v>207</v>
      </c>
      <c r="BF22" s="164" t="s">
        <v>538</v>
      </c>
      <c r="BG22" s="164"/>
      <c r="BH22" s="164" t="s">
        <v>576</v>
      </c>
      <c r="BI22" s="164"/>
      <c r="BJ22" s="164" t="s">
        <v>577</v>
      </c>
      <c r="BK22" s="164"/>
      <c r="BL22" s="164" t="s">
        <v>392</v>
      </c>
      <c r="BM22" s="164" t="s">
        <v>393</v>
      </c>
      <c r="BN22" s="164" t="s">
        <v>546</v>
      </c>
      <c r="BO22" s="164" t="s">
        <v>396</v>
      </c>
      <c r="BP22" s="164" t="s">
        <v>397</v>
      </c>
      <c r="BQ22" s="164" t="s">
        <v>398</v>
      </c>
      <c r="BR22" s="164" t="s">
        <v>399</v>
      </c>
      <c r="BS22" s="106" t="s">
        <v>29</v>
      </c>
      <c r="BU22" s="163" t="s">
        <v>207</v>
      </c>
      <c r="BV22" s="164" t="s">
        <v>538</v>
      </c>
      <c r="BW22" s="164"/>
      <c r="BX22" s="164" t="s">
        <v>576</v>
      </c>
      <c r="BY22" s="164"/>
      <c r="BZ22" s="164" t="s">
        <v>577</v>
      </c>
      <c r="CA22" s="164"/>
      <c r="CB22" s="164" t="s">
        <v>392</v>
      </c>
      <c r="CC22" s="164" t="s">
        <v>393</v>
      </c>
      <c r="CD22" s="164" t="s">
        <v>546</v>
      </c>
      <c r="CE22" s="164" t="s">
        <v>396</v>
      </c>
      <c r="CF22" s="164" t="s">
        <v>397</v>
      </c>
      <c r="CG22" s="164" t="s">
        <v>398</v>
      </c>
      <c r="CH22" s="164" t="s">
        <v>399</v>
      </c>
      <c r="CI22" s="106" t="s">
        <v>29</v>
      </c>
      <c r="CK22" s="163" t="s">
        <v>207</v>
      </c>
      <c r="CL22" s="164" t="s">
        <v>386</v>
      </c>
      <c r="CM22" s="164" t="s">
        <v>387</v>
      </c>
      <c r="CN22" s="164" t="s">
        <v>388</v>
      </c>
      <c r="CO22" s="164" t="s">
        <v>389</v>
      </c>
      <c r="CP22" s="164" t="s">
        <v>390</v>
      </c>
      <c r="CQ22" s="164" t="s">
        <v>391</v>
      </c>
      <c r="CR22" s="164" t="s">
        <v>392</v>
      </c>
      <c r="CS22" s="164" t="s">
        <v>393</v>
      </c>
      <c r="CT22" s="164" t="s">
        <v>546</v>
      </c>
      <c r="CU22" s="164" t="s">
        <v>396</v>
      </c>
      <c r="CV22" s="164" t="s">
        <v>397</v>
      </c>
      <c r="CW22" s="164" t="s">
        <v>398</v>
      </c>
      <c r="CX22" s="164" t="s">
        <v>399</v>
      </c>
      <c r="CY22" s="106" t="s">
        <v>29</v>
      </c>
      <c r="DA22" s="163" t="s">
        <v>207</v>
      </c>
      <c r="DB22" s="164" t="s">
        <v>538</v>
      </c>
      <c r="DC22" s="164"/>
      <c r="DD22" s="164" t="s">
        <v>576</v>
      </c>
      <c r="DE22" s="164"/>
      <c r="DF22" s="164" t="s">
        <v>577</v>
      </c>
      <c r="DG22" s="164"/>
      <c r="DH22" s="164" t="s">
        <v>392</v>
      </c>
      <c r="DI22" s="164" t="s">
        <v>393</v>
      </c>
      <c r="DJ22" s="164" t="s">
        <v>546</v>
      </c>
      <c r="DK22" s="164" t="s">
        <v>396</v>
      </c>
      <c r="DL22" s="164" t="s">
        <v>397</v>
      </c>
      <c r="DM22" s="164" t="s">
        <v>398</v>
      </c>
      <c r="DN22" s="164" t="s">
        <v>399</v>
      </c>
      <c r="DO22" s="106" t="s">
        <v>29</v>
      </c>
      <c r="DQ22" s="163" t="s">
        <v>207</v>
      </c>
      <c r="DR22" s="164" t="s">
        <v>538</v>
      </c>
      <c r="DS22" s="164"/>
      <c r="DT22" s="164" t="s">
        <v>576</v>
      </c>
      <c r="DU22" s="164"/>
      <c r="DV22" s="164" t="s">
        <v>577</v>
      </c>
      <c r="DW22" s="164"/>
      <c r="DX22" s="164" t="s">
        <v>392</v>
      </c>
      <c r="DY22" s="164" t="s">
        <v>393</v>
      </c>
      <c r="DZ22" s="164" t="s">
        <v>546</v>
      </c>
      <c r="EA22" s="164" t="s">
        <v>396</v>
      </c>
      <c r="EB22" s="164" t="s">
        <v>397</v>
      </c>
      <c r="EC22" s="164" t="s">
        <v>398</v>
      </c>
      <c r="ED22" s="164" t="s">
        <v>399</v>
      </c>
      <c r="EE22" s="106" t="s">
        <v>29</v>
      </c>
      <c r="EG22" s="163" t="s">
        <v>207</v>
      </c>
      <c r="EH22" s="164" t="s">
        <v>538</v>
      </c>
      <c r="EI22" s="164"/>
      <c r="EJ22" s="164" t="s">
        <v>576</v>
      </c>
      <c r="EK22" s="164"/>
      <c r="EL22" s="164" t="s">
        <v>577</v>
      </c>
      <c r="EM22" s="164"/>
      <c r="EN22" s="164" t="s">
        <v>392</v>
      </c>
      <c r="EO22" s="164" t="s">
        <v>393</v>
      </c>
      <c r="EP22" s="164" t="s">
        <v>546</v>
      </c>
      <c r="EQ22" s="164" t="s">
        <v>396</v>
      </c>
      <c r="ER22" s="164" t="s">
        <v>397</v>
      </c>
      <c r="ES22" s="164" t="s">
        <v>398</v>
      </c>
      <c r="ET22" s="164" t="s">
        <v>399</v>
      </c>
      <c r="EU22" s="106" t="s">
        <v>29</v>
      </c>
      <c r="EW22" s="163" t="s">
        <v>206</v>
      </c>
      <c r="EX22" s="164" t="s">
        <v>386</v>
      </c>
      <c r="EY22" s="164" t="s">
        <v>387</v>
      </c>
      <c r="EZ22" s="164" t="s">
        <v>388</v>
      </c>
      <c r="FA22" s="164" t="s">
        <v>389</v>
      </c>
      <c r="FB22" s="164" t="s">
        <v>390</v>
      </c>
      <c r="FC22" s="164" t="s">
        <v>391</v>
      </c>
      <c r="FD22" s="164" t="s">
        <v>392</v>
      </c>
      <c r="FE22" s="164" t="s">
        <v>393</v>
      </c>
      <c r="FF22" s="164"/>
      <c r="FG22" s="164" t="s">
        <v>546</v>
      </c>
      <c r="FH22" s="164" t="s">
        <v>396</v>
      </c>
      <c r="FI22" s="164" t="s">
        <v>397</v>
      </c>
      <c r="FJ22" s="164" t="s">
        <v>398</v>
      </c>
      <c r="FK22" s="164" t="s">
        <v>399</v>
      </c>
      <c r="FL22" s="106" t="s">
        <v>29</v>
      </c>
    </row>
    <row r="23" spans="2:168" x14ac:dyDescent="0.25">
      <c r="B23" s="107" t="s">
        <v>386</v>
      </c>
      <c r="C23" s="160">
        <f>TripMode_input!B20</f>
        <v>192682.14715999999</v>
      </c>
      <c r="D23" s="160">
        <f>TripMode_input!C20</f>
        <v>4659.2815199999995</v>
      </c>
      <c r="E23" s="160">
        <f>TripMode_input!D20</f>
        <v>5200.58565</v>
      </c>
      <c r="F23" s="160">
        <f>TripMode_input!E20</f>
        <v>2227.6537499999999</v>
      </c>
      <c r="G23" s="160">
        <f>TripMode_input!F20</f>
        <v>3607.6983</v>
      </c>
      <c r="H23" s="160">
        <f>TripMode_input!G20</f>
        <v>0</v>
      </c>
      <c r="I23" s="294"/>
      <c r="J23" s="294"/>
      <c r="K23" s="294"/>
      <c r="L23" s="294"/>
      <c r="M23" s="294"/>
      <c r="N23" s="294"/>
      <c r="O23" s="294"/>
      <c r="P23" s="161">
        <f t="shared" ref="P23:P35" si="47">SUM(C23:O23)</f>
        <v>208377.36637999996</v>
      </c>
      <c r="R23">
        <f>K23/K$31</f>
        <v>0</v>
      </c>
      <c r="S23">
        <f>L23/L$32</f>
        <v>0</v>
      </c>
      <c r="T23">
        <f>M23/M$33</f>
        <v>0</v>
      </c>
      <c r="Y23" s="107" t="s">
        <v>386</v>
      </c>
      <c r="Z23" s="160">
        <f t="shared" ref="Z23:AC24" si="48">+C23</f>
        <v>192682.14715999999</v>
      </c>
      <c r="AA23" s="160">
        <f t="shared" si="48"/>
        <v>4659.2815199999995</v>
      </c>
      <c r="AB23" s="160">
        <f t="shared" si="48"/>
        <v>5200.58565</v>
      </c>
      <c r="AC23" s="160">
        <f t="shared" si="48"/>
        <v>2227.6537499999999</v>
      </c>
      <c r="AD23" s="160">
        <f t="shared" ref="AD23:AD29" si="49">+G23</f>
        <v>3607.6983</v>
      </c>
      <c r="AE23" s="160">
        <f t="shared" ref="AE23:AE29" si="50">+H23</f>
        <v>0</v>
      </c>
      <c r="AF23" s="294"/>
      <c r="AG23" s="294"/>
      <c r="AH23" s="294"/>
      <c r="AI23" s="294"/>
      <c r="AJ23" s="294"/>
      <c r="AK23" s="294"/>
      <c r="AL23" s="294"/>
      <c r="AM23" s="161">
        <f t="shared" ref="AM23:AM35" si="51">SUM(Z23:AL23)</f>
        <v>208377.36637999996</v>
      </c>
      <c r="AO23" s="107" t="s">
        <v>386</v>
      </c>
      <c r="AP23" s="160">
        <f>TripMode_input!R20*Index!$B$2</f>
        <v>104215</v>
      </c>
      <c r="AQ23" s="160">
        <f>TripMode_input!S20*Index!$B$2</f>
        <v>16450</v>
      </c>
      <c r="AR23" s="160">
        <f>TripMode_input!T20*Index!$B$2</f>
        <v>9350</v>
      </c>
      <c r="AS23" s="160">
        <f>TripMode_input!U20*Index!$B$2</f>
        <v>875</v>
      </c>
      <c r="AT23" s="160">
        <f>TripMode_input!V20*Index!$B$2</f>
        <v>3185</v>
      </c>
      <c r="AU23" s="160">
        <f>TripMode_input!W20*Index!$B$2</f>
        <v>370</v>
      </c>
      <c r="AV23" s="294">
        <f>TripMode_input!X20*Index!$B$2</f>
        <v>0</v>
      </c>
      <c r="AW23" s="294">
        <f>TripMode_input!Y20*Index!$B$2</f>
        <v>0</v>
      </c>
      <c r="AX23" s="294">
        <f>TripMode_input!AA20*Index!$B$2</f>
        <v>0</v>
      </c>
      <c r="AY23" s="294">
        <f>TripMode_input!AB20*Index!$B$2</f>
        <v>0</v>
      </c>
      <c r="AZ23" s="160">
        <f>TripMode_input!AC20*Index!$B$2</f>
        <v>0</v>
      </c>
      <c r="BA23" s="294">
        <f>TripMode_input!AD20*Index!$B$2</f>
        <v>0</v>
      </c>
      <c r="BB23" s="294">
        <f>TripMode_input!AE20*Index!$B$2</f>
        <v>0</v>
      </c>
      <c r="BC23" s="161">
        <f t="shared" ref="BC23:BC35" si="52">SUM(AP23:BB23)</f>
        <v>134445</v>
      </c>
      <c r="BE23" s="107" t="s">
        <v>538</v>
      </c>
      <c r="BF23" s="166">
        <f>IF(Z$36+AA$36&gt;0,SUM(Z23:AA24)/(Z$36+AA$36),"")</f>
        <v>0.99999999999999989</v>
      </c>
      <c r="BG23" s="166"/>
      <c r="BH23" s="166">
        <f>IF(AB$36+AC$36&gt;0,SUM(AB23:AC24)/(AB$36+AC$36),"")</f>
        <v>0.11966880253364179</v>
      </c>
      <c r="BI23" s="166"/>
      <c r="BJ23" s="166">
        <f>IF(AD$36+AE$36&gt;0,SUM(AD23:AE24)/(AD$36+AE$36),"")</f>
        <v>0.25375521868576739</v>
      </c>
      <c r="BK23" s="166"/>
      <c r="BL23" s="166">
        <f t="shared" ref="BL23:BS23" si="53">IF(AF$36&gt;0,(AF23+AF24)/AF$36,"")</f>
        <v>0</v>
      </c>
      <c r="BM23" s="166">
        <f t="shared" si="53"/>
        <v>0</v>
      </c>
      <c r="BN23" s="166">
        <f t="shared" si="53"/>
        <v>0</v>
      </c>
      <c r="BO23" s="166">
        <f t="shared" si="53"/>
        <v>0</v>
      </c>
      <c r="BP23" s="166">
        <f t="shared" si="53"/>
        <v>0</v>
      </c>
      <c r="BQ23" s="166">
        <f t="shared" si="53"/>
        <v>0</v>
      </c>
      <c r="BR23" s="166">
        <f t="shared" si="53"/>
        <v>0</v>
      </c>
      <c r="BS23" s="166">
        <f t="shared" si="53"/>
        <v>0.48078915521368149</v>
      </c>
      <c r="BU23" s="107" t="s">
        <v>538</v>
      </c>
      <c r="BV23" s="166">
        <f>IF(AP$36+AQ$36&gt;0,SUM(AP23:AQ24)/(AP$36+AQ$36),"")</f>
        <v>1</v>
      </c>
      <c r="BW23" s="166"/>
      <c r="BX23" s="166">
        <f>IF(AR$36+AS$36&gt;0,SUM(AR23:AS24)/(AR$36+AS$36),"")</f>
        <v>0.24306025727826674</v>
      </c>
      <c r="BY23" s="166"/>
      <c r="BZ23" s="166">
        <f>IF(AT$36+AU$36&gt;0,SUM(AT23:AU24)/(AT$36+AU$36),"")</f>
        <v>0.44530321046373367</v>
      </c>
      <c r="CA23" s="166"/>
      <c r="CB23" s="166">
        <f t="shared" ref="CB23:CI23" si="54">IF(AV$36&gt;0,(AV23+AV24)/AV$36,"")</f>
        <v>0</v>
      </c>
      <c r="CC23" s="166">
        <f t="shared" si="54"/>
        <v>0</v>
      </c>
      <c r="CD23" s="166">
        <f t="shared" si="54"/>
        <v>0</v>
      </c>
      <c r="CE23" s="166">
        <f t="shared" si="54"/>
        <v>0</v>
      </c>
      <c r="CF23" s="166">
        <f t="shared" si="54"/>
        <v>0</v>
      </c>
      <c r="CG23" s="166">
        <f t="shared" si="54"/>
        <v>0</v>
      </c>
      <c r="CH23" s="166" t="str">
        <f t="shared" si="54"/>
        <v/>
      </c>
      <c r="CI23" s="166">
        <f t="shared" si="54"/>
        <v>0.42243280290839741</v>
      </c>
      <c r="CK23" s="107" t="s">
        <v>386</v>
      </c>
      <c r="CL23" s="166">
        <f t="shared" ref="CL23:CO26" si="55">IF(OR(ISNA(BF23),BF23=0,BF23=""),"",(BV23-BF23)/BF23)</f>
        <v>1.1102230246251565E-16</v>
      </c>
      <c r="CM23" s="166" t="str">
        <f t="shared" si="55"/>
        <v/>
      </c>
      <c r="CN23" s="166">
        <f t="shared" si="55"/>
        <v>1.0311079590684185</v>
      </c>
      <c r="CO23" s="166" t="str">
        <f t="shared" si="55"/>
        <v/>
      </c>
      <c r="CP23" s="166"/>
      <c r="CQ23" s="166"/>
      <c r="CR23" s="166"/>
      <c r="CS23" s="166"/>
      <c r="CT23" s="166" t="str">
        <f t="shared" ref="CT23:CY26" si="56">IF(OR(ISNA(BN23),BN23=0,BN23=""),"",(CD23-BN23)/BN23)</f>
        <v/>
      </c>
      <c r="CU23" s="166" t="str">
        <f t="shared" si="56"/>
        <v/>
      </c>
      <c r="CV23" s="166" t="str">
        <f t="shared" si="56"/>
        <v/>
      </c>
      <c r="CW23" s="166" t="str">
        <f t="shared" si="56"/>
        <v/>
      </c>
      <c r="CX23" s="166" t="str">
        <f t="shared" si="56"/>
        <v/>
      </c>
      <c r="CY23" s="167">
        <f t="shared" si="56"/>
        <v>-0.12137618262073369</v>
      </c>
      <c r="DA23" s="107" t="s">
        <v>538</v>
      </c>
      <c r="DB23" s="314">
        <f>IFERROR(IF(BV23&gt;0,LN(BF23/BV23),0),0)</f>
        <v>-1.1102230246251565E-16</v>
      </c>
      <c r="DC23" s="314"/>
      <c r="DD23" s="314">
        <f>IFERROR(IF(BX23&gt;0,LN(BH23/BX23),0),0)</f>
        <v>-0.70858143680760477</v>
      </c>
      <c r="DE23" s="314"/>
      <c r="DF23" s="314">
        <f>IFERROR(IF(BZ23&gt;0,LN(BJ23/BZ23),0),0)</f>
        <v>-0.562385325572619</v>
      </c>
      <c r="DG23" s="314"/>
      <c r="DH23" s="315"/>
      <c r="DI23" s="315"/>
      <c r="DJ23" s="315"/>
      <c r="DK23" s="315"/>
      <c r="DL23" s="315"/>
      <c r="DM23" s="315"/>
      <c r="DN23" s="315"/>
      <c r="DO23" s="167"/>
      <c r="DQ23" s="107" t="s">
        <v>538</v>
      </c>
      <c r="DR23" s="314">
        <v>0</v>
      </c>
      <c r="DS23" s="314">
        <v>0</v>
      </c>
      <c r="DT23" s="314">
        <v>0</v>
      </c>
      <c r="DU23" s="314">
        <v>0</v>
      </c>
      <c r="DV23" s="314">
        <v>0</v>
      </c>
      <c r="DW23" s="314">
        <v>0</v>
      </c>
      <c r="DX23" s="315"/>
      <c r="DY23" s="315"/>
      <c r="DZ23" s="315"/>
      <c r="EA23" s="315"/>
      <c r="EB23" s="315"/>
      <c r="EC23" s="315"/>
      <c r="ED23" s="315"/>
      <c r="EE23" s="167"/>
      <c r="EG23" s="107" t="s">
        <v>538</v>
      </c>
      <c r="EH23" s="314">
        <v>0</v>
      </c>
      <c r="EI23" s="314">
        <v>0</v>
      </c>
      <c r="EJ23" s="314">
        <v>0</v>
      </c>
      <c r="EK23" s="314">
        <v>0</v>
      </c>
      <c r="EL23" s="314">
        <v>0</v>
      </c>
      <c r="EM23" s="314">
        <v>0</v>
      </c>
      <c r="EN23" s="315"/>
      <c r="EO23" s="315"/>
      <c r="EP23" s="315"/>
      <c r="EQ23" s="315"/>
      <c r="ER23" s="315"/>
      <c r="ES23" s="315"/>
      <c r="ET23" s="315"/>
      <c r="EU23" s="167"/>
      <c r="EW23" s="164" t="s">
        <v>386</v>
      </c>
      <c r="EX23" s="316">
        <f>INDEX($EH$23:$ET$35,EX$4,MATCH($EW23,$EW$7:$EW$19,0))</f>
        <v>0</v>
      </c>
      <c r="EY23" s="316">
        <f t="shared" ref="EY23:FK34" si="57">INDEX($EH$23:$ET$35,EY$4,MATCH($EW23,$EW$7:$EW$19,0))</f>
        <v>0</v>
      </c>
      <c r="EZ23" s="316">
        <f t="shared" si="57"/>
        <v>0</v>
      </c>
      <c r="FA23" s="316">
        <f t="shared" si="57"/>
        <v>0</v>
      </c>
      <c r="FB23" s="316">
        <f t="shared" si="57"/>
        <v>0</v>
      </c>
      <c r="FC23" s="316">
        <f t="shared" si="57"/>
        <v>0</v>
      </c>
      <c r="FD23" s="316">
        <f t="shared" si="57"/>
        <v>0</v>
      </c>
      <c r="FE23" s="316">
        <f t="shared" si="57"/>
        <v>0</v>
      </c>
      <c r="FF23" s="316"/>
      <c r="FG23" s="316">
        <f t="shared" si="57"/>
        <v>0</v>
      </c>
      <c r="FH23" s="316">
        <f t="shared" si="57"/>
        <v>0</v>
      </c>
      <c r="FI23" s="316">
        <f t="shared" si="57"/>
        <v>0</v>
      </c>
      <c r="FJ23" s="316">
        <f t="shared" si="57"/>
        <v>0</v>
      </c>
      <c r="FK23" s="316">
        <f t="shared" si="57"/>
        <v>0</v>
      </c>
      <c r="FL23" s="167"/>
    </row>
    <row r="24" spans="2:168" x14ac:dyDescent="0.25">
      <c r="B24" s="107" t="s">
        <v>387</v>
      </c>
      <c r="C24" s="160">
        <f>TripMode_input!B21</f>
        <v>0</v>
      </c>
      <c r="D24" s="160">
        <f>TripMode_input!C21</f>
        <v>7141.0950899999998</v>
      </c>
      <c r="E24" s="160">
        <f>TripMode_input!D21</f>
        <v>0</v>
      </c>
      <c r="F24" s="160">
        <f>TripMode_input!E21</f>
        <v>742.55124999999998</v>
      </c>
      <c r="G24" s="160">
        <f>TripMode_input!F21</f>
        <v>0</v>
      </c>
      <c r="H24" s="160">
        <f>TripMode_input!G21</f>
        <v>1059.8390400000001</v>
      </c>
      <c r="I24" s="294"/>
      <c r="J24" s="294"/>
      <c r="K24" s="294"/>
      <c r="L24" s="294"/>
      <c r="M24" s="294"/>
      <c r="N24" s="294"/>
      <c r="O24" s="294"/>
      <c r="P24" s="162">
        <f t="shared" si="47"/>
        <v>8943.4853800000001</v>
      </c>
      <c r="R24">
        <f t="shared" ref="R24:R35" si="58">K24/K$31</f>
        <v>0</v>
      </c>
      <c r="S24">
        <f t="shared" ref="S24:S35" si="59">L24/L$32</f>
        <v>0</v>
      </c>
      <c r="T24">
        <f t="shared" ref="T24:T35" si="60">M24/M$33</f>
        <v>0</v>
      </c>
      <c r="Y24" s="107" t="s">
        <v>387</v>
      </c>
      <c r="Z24" s="160">
        <f t="shared" si="48"/>
        <v>0</v>
      </c>
      <c r="AA24" s="160">
        <f t="shared" si="48"/>
        <v>7141.0950899999998</v>
      </c>
      <c r="AB24" s="160">
        <f t="shared" si="48"/>
        <v>0</v>
      </c>
      <c r="AC24" s="160">
        <f t="shared" si="48"/>
        <v>742.55124999999998</v>
      </c>
      <c r="AD24" s="160">
        <f t="shared" si="49"/>
        <v>0</v>
      </c>
      <c r="AE24" s="160">
        <f t="shared" si="50"/>
        <v>1059.8390400000001</v>
      </c>
      <c r="AF24" s="294"/>
      <c r="AG24" s="294"/>
      <c r="AH24" s="294"/>
      <c r="AI24" s="294"/>
      <c r="AJ24" s="294"/>
      <c r="AK24" s="294"/>
      <c r="AL24" s="294"/>
      <c r="AM24" s="162">
        <f t="shared" si="51"/>
        <v>8943.4853800000001</v>
      </c>
      <c r="AO24" s="107" t="s">
        <v>387</v>
      </c>
      <c r="AP24" s="160">
        <f>TripMode_input!R21*Index!$B$2</f>
        <v>2765</v>
      </c>
      <c r="AQ24" s="160">
        <f>TripMode_input!S21*Index!$B$2</f>
        <v>3815</v>
      </c>
      <c r="AR24" s="160">
        <f>TripMode_input!T21*Index!$B$2</f>
        <v>365</v>
      </c>
      <c r="AS24" s="160">
        <f>TripMode_input!U21*Index!$B$2</f>
        <v>180</v>
      </c>
      <c r="AT24" s="160">
        <f>TripMode_input!V21*Index!$B$2</f>
        <v>130</v>
      </c>
      <c r="AU24" s="160">
        <f>TripMode_input!W21*Index!$B$2</f>
        <v>60</v>
      </c>
      <c r="AV24" s="294">
        <f>TripMode_input!X21*Index!$B$2</f>
        <v>0</v>
      </c>
      <c r="AW24" s="294">
        <f>TripMode_input!Y21*Index!$B$2</f>
        <v>0</v>
      </c>
      <c r="AX24" s="294">
        <f>TripMode_input!AA21*Index!$B$2</f>
        <v>0</v>
      </c>
      <c r="AY24" s="294">
        <f>TripMode_input!AB21*Index!$B$2</f>
        <v>0</v>
      </c>
      <c r="AZ24" s="160">
        <f>TripMode_input!AC21*Index!$B$2</f>
        <v>0</v>
      </c>
      <c r="BA24" s="294">
        <f>TripMode_input!AD21*Index!$B$2</f>
        <v>0</v>
      </c>
      <c r="BB24" s="294">
        <f>TripMode_input!AE21*Index!$B$2</f>
        <v>0</v>
      </c>
      <c r="BC24" s="162">
        <f t="shared" si="52"/>
        <v>7315</v>
      </c>
      <c r="BE24" s="107"/>
      <c r="BF24" s="166"/>
      <c r="BG24" s="166"/>
      <c r="BH24" s="166"/>
      <c r="BI24" s="166"/>
      <c r="BJ24" s="166"/>
      <c r="BK24" s="166"/>
      <c r="BL24" s="166"/>
      <c r="BM24" s="166"/>
      <c r="BN24" s="166"/>
      <c r="BO24" s="166"/>
      <c r="BP24" s="166"/>
      <c r="BQ24" s="166"/>
      <c r="BR24" s="166"/>
      <c r="BS24" s="166"/>
      <c r="BU24" s="107"/>
      <c r="BV24" s="166"/>
      <c r="BW24" s="166"/>
      <c r="BX24" s="166"/>
      <c r="BY24" s="166"/>
      <c r="BZ24" s="166"/>
      <c r="CA24" s="166"/>
      <c r="CB24" s="166"/>
      <c r="CC24" s="166"/>
      <c r="CD24" s="166"/>
      <c r="CE24" s="166"/>
      <c r="CF24" s="166"/>
      <c r="CG24" s="166"/>
      <c r="CH24" s="166"/>
      <c r="CI24" s="166"/>
      <c r="CK24" s="107" t="s">
        <v>387</v>
      </c>
      <c r="CL24" s="166" t="str">
        <f t="shared" si="55"/>
        <v/>
      </c>
      <c r="CM24" s="166" t="str">
        <f t="shared" si="55"/>
        <v/>
      </c>
      <c r="CN24" s="166" t="str">
        <f t="shared" si="55"/>
        <v/>
      </c>
      <c r="CO24" s="166" t="str">
        <f t="shared" si="55"/>
        <v/>
      </c>
      <c r="CP24" s="166"/>
      <c r="CQ24" s="166"/>
      <c r="CR24" s="166"/>
      <c r="CS24" s="166"/>
      <c r="CT24" s="166" t="str">
        <f t="shared" si="56"/>
        <v/>
      </c>
      <c r="CU24" s="166" t="str">
        <f t="shared" si="56"/>
        <v/>
      </c>
      <c r="CV24" s="166" t="str">
        <f t="shared" si="56"/>
        <v/>
      </c>
      <c r="CW24" s="166" t="str">
        <f t="shared" si="56"/>
        <v/>
      </c>
      <c r="CX24" s="166" t="str">
        <f t="shared" si="56"/>
        <v/>
      </c>
      <c r="CY24" s="168" t="str">
        <f t="shared" si="56"/>
        <v/>
      </c>
      <c r="DA24" s="107"/>
      <c r="DB24" s="314"/>
      <c r="DC24" s="314"/>
      <c r="DD24" s="314"/>
      <c r="DE24" s="314"/>
      <c r="DF24" s="314"/>
      <c r="DG24" s="314"/>
      <c r="DH24" s="315"/>
      <c r="DI24" s="315"/>
      <c r="DJ24" s="315"/>
      <c r="DK24" s="315"/>
      <c r="DL24" s="315"/>
      <c r="DM24" s="315"/>
      <c r="DN24" s="315"/>
      <c r="DO24" s="168"/>
      <c r="DQ24" s="107"/>
      <c r="DR24" s="314">
        <v>0</v>
      </c>
      <c r="DS24" s="314">
        <v>0</v>
      </c>
      <c r="DT24" s="314">
        <v>0</v>
      </c>
      <c r="DU24" s="314">
        <v>0</v>
      </c>
      <c r="DV24" s="314">
        <v>0</v>
      </c>
      <c r="DW24" s="314">
        <v>0</v>
      </c>
      <c r="DX24" s="315"/>
      <c r="DY24" s="315"/>
      <c r="DZ24" s="315"/>
      <c r="EA24" s="315"/>
      <c r="EB24" s="315"/>
      <c r="EC24" s="315"/>
      <c r="ED24" s="315"/>
      <c r="EE24" s="168"/>
      <c r="EG24" s="107"/>
      <c r="EH24" s="314">
        <v>0</v>
      </c>
      <c r="EI24" s="314">
        <v>0</v>
      </c>
      <c r="EJ24" s="314">
        <v>0</v>
      </c>
      <c r="EK24" s="314">
        <v>0</v>
      </c>
      <c r="EL24" s="314">
        <v>0</v>
      </c>
      <c r="EM24" s="314">
        <v>0</v>
      </c>
      <c r="EN24" s="315"/>
      <c r="EO24" s="315"/>
      <c r="EP24" s="315"/>
      <c r="EQ24" s="315"/>
      <c r="ER24" s="315"/>
      <c r="ES24" s="315"/>
      <c r="ET24" s="315"/>
      <c r="EU24" s="168"/>
      <c r="EW24" s="164" t="s">
        <v>387</v>
      </c>
      <c r="EX24" s="316">
        <f t="shared" ref="EX24:EX34" si="61">INDEX($EH$23:$ET$35,EX$4,MATCH($EW24,$EW$7:$EW$19,0))</f>
        <v>0</v>
      </c>
      <c r="EY24" s="316">
        <f t="shared" si="57"/>
        <v>0</v>
      </c>
      <c r="EZ24" s="316">
        <f t="shared" si="57"/>
        <v>0</v>
      </c>
      <c r="FA24" s="316">
        <f t="shared" si="57"/>
        <v>0</v>
      </c>
      <c r="FB24" s="316">
        <f t="shared" si="57"/>
        <v>0</v>
      </c>
      <c r="FC24" s="316">
        <f t="shared" si="57"/>
        <v>0</v>
      </c>
      <c r="FD24" s="316">
        <f t="shared" si="57"/>
        <v>0</v>
      </c>
      <c r="FE24" s="316">
        <f t="shared" si="57"/>
        <v>0</v>
      </c>
      <c r="FF24" s="316"/>
      <c r="FG24" s="316">
        <f t="shared" si="57"/>
        <v>0</v>
      </c>
      <c r="FH24" s="316">
        <f t="shared" si="57"/>
        <v>0</v>
      </c>
      <c r="FI24" s="316">
        <f t="shared" si="57"/>
        <v>0</v>
      </c>
      <c r="FJ24" s="316">
        <f t="shared" si="57"/>
        <v>0</v>
      </c>
      <c r="FK24" s="316">
        <f t="shared" si="57"/>
        <v>0</v>
      </c>
      <c r="FL24" s="168"/>
    </row>
    <row r="25" spans="2:168" x14ac:dyDescent="0.25">
      <c r="B25" s="107" t="s">
        <v>388</v>
      </c>
      <c r="C25" s="294"/>
      <c r="D25" s="294"/>
      <c r="E25" s="160">
        <f>TripMode_input!D22</f>
        <v>57976.7111</v>
      </c>
      <c r="F25" s="160">
        <f>TripMode_input!E22</f>
        <v>753.80551000000003</v>
      </c>
      <c r="G25" s="160">
        <f>TripMode_input!F22</f>
        <v>4008.43271</v>
      </c>
      <c r="H25" s="160">
        <f>TripMode_input!G22</f>
        <v>1059.8390400000001</v>
      </c>
      <c r="I25" s="294"/>
      <c r="J25" s="294"/>
      <c r="K25" s="160">
        <f>TripMode_input!K22+TripMode_input!J22</f>
        <v>931.28814999999997</v>
      </c>
      <c r="L25" s="294"/>
      <c r="M25" s="294"/>
      <c r="N25" s="160">
        <f>TripMode_input!N22</f>
        <v>0</v>
      </c>
      <c r="O25" s="294"/>
      <c r="P25" s="162">
        <f t="shared" si="47"/>
        <v>64730.076509999999</v>
      </c>
      <c r="R25">
        <f t="shared" si="58"/>
        <v>1.3152079384804517E-2</v>
      </c>
      <c r="S25">
        <f t="shared" si="59"/>
        <v>0</v>
      </c>
      <c r="T25">
        <f t="shared" si="60"/>
        <v>0</v>
      </c>
      <c r="Y25" s="107" t="s">
        <v>388</v>
      </c>
      <c r="Z25" s="294"/>
      <c r="AA25" s="294"/>
      <c r="AB25" s="160">
        <f>+E25</f>
        <v>57976.7111</v>
      </c>
      <c r="AC25" s="160">
        <f>+F25</f>
        <v>753.80551000000003</v>
      </c>
      <c r="AD25" s="160">
        <f t="shared" si="49"/>
        <v>4008.43271</v>
      </c>
      <c r="AE25" s="160">
        <f t="shared" si="50"/>
        <v>1059.8390400000001</v>
      </c>
      <c r="AF25" s="294"/>
      <c r="AG25" s="294"/>
      <c r="AH25" s="160">
        <f>AH31*R25</f>
        <v>983.02611965810797</v>
      </c>
      <c r="AI25" s="294"/>
      <c r="AJ25" s="294"/>
      <c r="AK25" s="160">
        <f>+N25</f>
        <v>0</v>
      </c>
      <c r="AL25" s="294"/>
      <c r="AM25" s="162">
        <f t="shared" si="51"/>
        <v>64781.814479658104</v>
      </c>
      <c r="AO25" s="107" t="s">
        <v>388</v>
      </c>
      <c r="AP25" s="294">
        <f>TripMode_input!R22*Index!$B$2</f>
        <v>0</v>
      </c>
      <c r="AQ25" s="294">
        <f>TripMode_input!S22*Index!$B$2</f>
        <v>0</v>
      </c>
      <c r="AR25" s="160">
        <f>TripMode_input!T22*Index!$B$2</f>
        <v>28035</v>
      </c>
      <c r="AS25" s="160">
        <f>TripMode_input!U22*Index!$B$2</f>
        <v>2565</v>
      </c>
      <c r="AT25" s="160">
        <f>TripMode_input!V22*Index!$B$2</f>
        <v>705</v>
      </c>
      <c r="AU25" s="160">
        <f>TripMode_input!W22*Index!$B$2</f>
        <v>75</v>
      </c>
      <c r="AV25" s="294">
        <f>TripMode_input!X22*Index!$B$2</f>
        <v>0</v>
      </c>
      <c r="AW25" s="294">
        <f>TripMode_input!Y22*Index!$B$2</f>
        <v>0</v>
      </c>
      <c r="AX25" s="160">
        <f>TripMode_input!AA22*Index!$B$2</f>
        <v>1075</v>
      </c>
      <c r="AY25" s="160">
        <f>TripMode_input!AB22*Index!$B$2</f>
        <v>0</v>
      </c>
      <c r="AZ25" s="160">
        <f>TripMode_input!AC22*Index!$B$2</f>
        <v>0</v>
      </c>
      <c r="BA25" s="160">
        <f>TripMode_input!AD22*Index!$B$2</f>
        <v>5755</v>
      </c>
      <c r="BB25" s="294">
        <f>TripMode_input!AE22*Index!$B$2</f>
        <v>0</v>
      </c>
      <c r="BC25" s="162">
        <f t="shared" si="52"/>
        <v>38210</v>
      </c>
      <c r="BE25" s="107" t="s">
        <v>576</v>
      </c>
      <c r="BF25" s="166">
        <f>IF(Z$36+AA$36&gt;0,SUM(Z25:AA26)/(Z$36+AA$36),"")</f>
        <v>0</v>
      </c>
      <c r="BG25" s="166"/>
      <c r="BH25" s="166">
        <f>IF(AB$36+AC$36&gt;0,SUM(AB25:AC26)/(AB$36+AC$36),"")</f>
        <v>0.8604925109097078</v>
      </c>
      <c r="BI25" s="166"/>
      <c r="BJ25" s="166">
        <f>IF(AD$36+AE$36&gt;0,SUM(AD25:AE26)/(AD$36+AE$36),"")</f>
        <v>0.27554153563132439</v>
      </c>
      <c r="BK25" s="166"/>
      <c r="BL25" s="166">
        <f t="shared" ref="BL25:BS25" si="62">IF(AF$36&gt;0,(AF25+AF26)/AF$36,"")</f>
        <v>0</v>
      </c>
      <c r="BM25" s="166">
        <f t="shared" si="62"/>
        <v>0</v>
      </c>
      <c r="BN25" s="166">
        <f t="shared" si="62"/>
        <v>1.0759444900560687E-2</v>
      </c>
      <c r="BO25" s="166">
        <f t="shared" si="62"/>
        <v>0</v>
      </c>
      <c r="BP25" s="166">
        <f t="shared" si="62"/>
        <v>0</v>
      </c>
      <c r="BQ25" s="166">
        <f t="shared" si="62"/>
        <v>0</v>
      </c>
      <c r="BR25" s="166">
        <f t="shared" si="62"/>
        <v>0</v>
      </c>
      <c r="BS25" s="166">
        <f t="shared" si="62"/>
        <v>0.14336965577333965</v>
      </c>
      <c r="BU25" s="107" t="s">
        <v>576</v>
      </c>
      <c r="BV25" s="166">
        <f>IF(AP$36+AQ$36&gt;0,SUM(AP25:AQ26)/(AP$36+AQ$36),"")</f>
        <v>0</v>
      </c>
      <c r="BW25" s="166"/>
      <c r="BX25" s="166">
        <f>IF(AR$36+AS$36&gt;0,SUM(AR25:AS26)/(AR$36+AS$36),"")</f>
        <v>0.73008350259535093</v>
      </c>
      <c r="BY25" s="166"/>
      <c r="BZ25" s="166">
        <f>IF(AT$36+AU$36&gt;0,SUM(AT25:AU26)/(AT$36+AU$36),"")</f>
        <v>9.8692033293697981E-2</v>
      </c>
      <c r="CA25" s="166"/>
      <c r="CB25" s="166">
        <f t="shared" ref="CB25:CI25" si="63">IF(AV$36&gt;0,(AV25+AV26)/AV$36,"")</f>
        <v>0</v>
      </c>
      <c r="CC25" s="166">
        <f t="shared" si="63"/>
        <v>0</v>
      </c>
      <c r="CD25" s="166">
        <f t="shared" si="63"/>
        <v>1.463903743315508E-2</v>
      </c>
      <c r="CE25" s="166">
        <f t="shared" si="63"/>
        <v>0</v>
      </c>
      <c r="CF25" s="166">
        <f t="shared" si="63"/>
        <v>0</v>
      </c>
      <c r="CG25" s="166">
        <f t="shared" si="63"/>
        <v>0.22430236665489225</v>
      </c>
      <c r="CH25" s="166" t="str">
        <f t="shared" si="63"/>
        <v/>
      </c>
      <c r="CI25" s="166">
        <f t="shared" si="63"/>
        <v>0.1210590619226414</v>
      </c>
      <c r="CK25" s="107" t="s">
        <v>388</v>
      </c>
      <c r="CL25" s="166" t="str">
        <f t="shared" si="55"/>
        <v/>
      </c>
      <c r="CM25" s="166" t="str">
        <f t="shared" si="55"/>
        <v/>
      </c>
      <c r="CN25" s="166">
        <f t="shared" si="55"/>
        <v>-0.15155159011958072</v>
      </c>
      <c r="CO25" s="166" t="str">
        <f t="shared" si="55"/>
        <v/>
      </c>
      <c r="CP25" s="166"/>
      <c r="CQ25" s="166"/>
      <c r="CR25" s="166"/>
      <c r="CS25" s="166"/>
      <c r="CT25" s="166">
        <f t="shared" si="56"/>
        <v>0.36057552861228215</v>
      </c>
      <c r="CU25" s="166" t="str">
        <f t="shared" si="56"/>
        <v/>
      </c>
      <c r="CV25" s="166" t="str">
        <f t="shared" si="56"/>
        <v/>
      </c>
      <c r="CW25" s="166" t="str">
        <f t="shared" si="56"/>
        <v/>
      </c>
      <c r="CX25" s="166" t="str">
        <f t="shared" si="56"/>
        <v/>
      </c>
      <c r="CY25" s="168">
        <f t="shared" si="56"/>
        <v>-0.15561587094810495</v>
      </c>
      <c r="DA25" s="107" t="s">
        <v>576</v>
      </c>
      <c r="DB25" s="315"/>
      <c r="DC25" s="315"/>
      <c r="DD25" s="314">
        <f>IFERROR(IF(BX25&gt;0,LN(BH25/BX25),0),0)</f>
        <v>0.16434599771153779</v>
      </c>
      <c r="DE25" s="314"/>
      <c r="DF25" s="314">
        <f>IFERROR(IF(BZ25&gt;0,LN(BJ25/BZ25),0),0)</f>
        <v>1.026734154965363</v>
      </c>
      <c r="DG25" s="314"/>
      <c r="DH25" s="315"/>
      <c r="DI25" s="315"/>
      <c r="DJ25" s="314">
        <f>IFERROR(IF(CD25&gt;0,LN(BN25/CD25),0),0)</f>
        <v>-0.30790779303452054</v>
      </c>
      <c r="DK25" s="315"/>
      <c r="DL25" s="315"/>
      <c r="DM25" s="314">
        <f>IFERROR(IF(CG25&gt;0,LN(BQ25/CG25),0),0)</f>
        <v>0</v>
      </c>
      <c r="DN25" s="315"/>
      <c r="DO25" s="168"/>
      <c r="DQ25" s="107" t="s">
        <v>576</v>
      </c>
      <c r="DR25" s="315"/>
      <c r="DS25" s="315"/>
      <c r="DT25" s="314">
        <v>1.9019038255313401</v>
      </c>
      <c r="DU25" s="314">
        <v>1.9019038255313401</v>
      </c>
      <c r="DV25" s="314">
        <v>1.2151522621663271</v>
      </c>
      <c r="DW25" s="314">
        <v>1.2151522621663271</v>
      </c>
      <c r="DX25" s="315"/>
      <c r="DY25" s="315"/>
      <c r="DZ25" s="314">
        <v>-7.1142630500164028</v>
      </c>
      <c r="EA25" s="315"/>
      <c r="EB25" s="315"/>
      <c r="EC25" s="314">
        <v>-1.9498494161952302</v>
      </c>
      <c r="ED25" s="315"/>
      <c r="EE25" s="168"/>
      <c r="EG25" s="107" t="s">
        <v>576</v>
      </c>
      <c r="EH25" s="315"/>
      <c r="EI25" s="315"/>
      <c r="EJ25" s="314">
        <f>DT25+(DD25-DD$23)*$EI$1</f>
        <v>2.7748312600504828</v>
      </c>
      <c r="EK25" s="314">
        <f>DT25+(DD25-DD$23)*$EI$1</f>
        <v>2.7748312600504828</v>
      </c>
      <c r="EL25" s="314">
        <f>DV25+(DF25-DF$23)*$EI$1</f>
        <v>2.8042717427043091</v>
      </c>
      <c r="EM25" s="314">
        <f>DV25+(DF25-DF$23)*$EI$1</f>
        <v>2.8042717427043091</v>
      </c>
      <c r="EN25" s="315"/>
      <c r="EO25" s="315"/>
      <c r="EP25" s="314">
        <f>DZ25+(DJ25-DJ$31)*$EI$1</f>
        <v>-7.885924263035867</v>
      </c>
      <c r="EQ25" s="315"/>
      <c r="ER25" s="315"/>
      <c r="ES25" s="314">
        <f>EC25+(DM25-DM$34)*$EI$1</f>
        <v>-2.5538386967483788</v>
      </c>
      <c r="ET25" s="315"/>
      <c r="EU25" s="168"/>
      <c r="EW25" s="164" t="s">
        <v>388</v>
      </c>
      <c r="EX25" s="316">
        <f t="shared" si="61"/>
        <v>0</v>
      </c>
      <c r="EY25" s="316">
        <f t="shared" si="57"/>
        <v>0</v>
      </c>
      <c r="EZ25" s="316">
        <f t="shared" si="57"/>
        <v>2.7748312600504828</v>
      </c>
      <c r="FA25" s="316">
        <f t="shared" si="57"/>
        <v>2.7748312600504828</v>
      </c>
      <c r="FB25" s="316">
        <f t="shared" si="57"/>
        <v>0</v>
      </c>
      <c r="FC25" s="316">
        <f t="shared" si="57"/>
        <v>0</v>
      </c>
      <c r="FD25" s="316">
        <f t="shared" si="57"/>
        <v>6.0237937711295313</v>
      </c>
      <c r="FE25" s="316">
        <f t="shared" si="57"/>
        <v>0</v>
      </c>
      <c r="FF25" s="316"/>
      <c r="FG25" s="316">
        <f t="shared" si="57"/>
        <v>0</v>
      </c>
      <c r="FH25" s="316">
        <f t="shared" si="57"/>
        <v>0</v>
      </c>
      <c r="FI25" s="316">
        <f t="shared" si="57"/>
        <v>0</v>
      </c>
      <c r="FJ25" s="316">
        <f t="shared" si="57"/>
        <v>0</v>
      </c>
      <c r="FK25" s="316">
        <f t="shared" si="57"/>
        <v>0</v>
      </c>
      <c r="FL25" s="168"/>
    </row>
    <row r="26" spans="2:168" x14ac:dyDescent="0.25">
      <c r="B26" s="107" t="s">
        <v>389</v>
      </c>
      <c r="C26" s="294"/>
      <c r="D26" s="294"/>
      <c r="E26" s="160">
        <f>TripMode_input!D23</f>
        <v>0</v>
      </c>
      <c r="F26" s="160">
        <f>TripMode_input!E23</f>
        <v>22.508520000000001</v>
      </c>
      <c r="G26" s="160">
        <f>TripMode_input!F23</f>
        <v>0</v>
      </c>
      <c r="H26" s="160">
        <f>TripMode_input!G23</f>
        <v>0</v>
      </c>
      <c r="I26" s="294"/>
      <c r="J26" s="294"/>
      <c r="K26" s="160">
        <f>TripMode_input!K23+TripMode_input!J23</f>
        <v>0</v>
      </c>
      <c r="L26" s="294"/>
      <c r="M26" s="294"/>
      <c r="N26" s="160">
        <f>TripMode_input!N23</f>
        <v>0</v>
      </c>
      <c r="O26" s="294"/>
      <c r="P26" s="162">
        <f t="shared" si="47"/>
        <v>22.508520000000001</v>
      </c>
      <c r="R26">
        <f t="shared" si="58"/>
        <v>0</v>
      </c>
      <c r="S26">
        <f t="shared" si="59"/>
        <v>0</v>
      </c>
      <c r="T26">
        <f t="shared" si="60"/>
        <v>0</v>
      </c>
      <c r="Y26" s="107" t="s">
        <v>389</v>
      </c>
      <c r="Z26" s="294"/>
      <c r="AA26" s="294"/>
      <c r="AB26" s="160">
        <f>+E26</f>
        <v>0</v>
      </c>
      <c r="AC26" s="160">
        <f>+F26</f>
        <v>22.508520000000001</v>
      </c>
      <c r="AD26" s="160">
        <f t="shared" si="49"/>
        <v>0</v>
      </c>
      <c r="AE26" s="160">
        <f t="shared" si="50"/>
        <v>0</v>
      </c>
      <c r="AF26" s="294"/>
      <c r="AG26" s="294"/>
      <c r="AH26" s="160">
        <f>AH31*R26</f>
        <v>0</v>
      </c>
      <c r="AI26" s="294"/>
      <c r="AJ26" s="294"/>
      <c r="AK26" s="160">
        <f>+N26</f>
        <v>0</v>
      </c>
      <c r="AL26" s="294"/>
      <c r="AM26" s="162">
        <f t="shared" si="51"/>
        <v>22.508520000000001</v>
      </c>
      <c r="AO26" s="107" t="s">
        <v>389</v>
      </c>
      <c r="AP26" s="294">
        <f>TripMode_input!R23*Index!$B$2</f>
        <v>0</v>
      </c>
      <c r="AQ26" s="294">
        <f>TripMode_input!S23*Index!$B$2</f>
        <v>0</v>
      </c>
      <c r="AR26" s="160">
        <f>TripMode_input!T23*Index!$B$2</f>
        <v>1090</v>
      </c>
      <c r="AS26" s="160">
        <f>TripMode_input!U23*Index!$B$2</f>
        <v>660</v>
      </c>
      <c r="AT26" s="160">
        <f>TripMode_input!V23*Index!$B$2</f>
        <v>45</v>
      </c>
      <c r="AU26" s="160">
        <f>TripMode_input!W23*Index!$B$2</f>
        <v>5</v>
      </c>
      <c r="AV26" s="294">
        <f>TripMode_input!X23*Index!$B$2</f>
        <v>0</v>
      </c>
      <c r="AW26" s="294">
        <f>TripMode_input!Y23*Index!$B$2</f>
        <v>0</v>
      </c>
      <c r="AX26" s="160">
        <f>TripMode_input!AA23*Index!$B$2</f>
        <v>20</v>
      </c>
      <c r="AY26" s="160">
        <f>TripMode_input!AB23*Index!$B$2</f>
        <v>0</v>
      </c>
      <c r="AZ26" s="160">
        <f>TripMode_input!AC23*Index!$B$2</f>
        <v>0</v>
      </c>
      <c r="BA26" s="160">
        <f>TripMode_input!AD23*Index!$B$2</f>
        <v>595</v>
      </c>
      <c r="BB26" s="294">
        <f>TripMode_input!AE23*Index!$B$2</f>
        <v>0</v>
      </c>
      <c r="BC26" s="162">
        <f t="shared" si="52"/>
        <v>2415</v>
      </c>
      <c r="BE26" s="107"/>
      <c r="BF26" s="166"/>
      <c r="BG26" s="166"/>
      <c r="BH26" s="166"/>
      <c r="BI26" s="166"/>
      <c r="BJ26" s="166"/>
      <c r="BK26" s="166"/>
      <c r="BL26" s="166"/>
      <c r="BM26" s="166"/>
      <c r="BN26" s="166"/>
      <c r="BO26" s="166"/>
      <c r="BP26" s="166"/>
      <c r="BQ26" s="166"/>
      <c r="BR26" s="166"/>
      <c r="BS26" s="166"/>
      <c r="BU26" s="107"/>
      <c r="BV26" s="166"/>
      <c r="BW26" s="166"/>
      <c r="BX26" s="166"/>
      <c r="BY26" s="166"/>
      <c r="BZ26" s="166"/>
      <c r="CA26" s="166"/>
      <c r="CB26" s="166"/>
      <c r="CC26" s="166"/>
      <c r="CD26" s="166"/>
      <c r="CE26" s="166"/>
      <c r="CF26" s="166"/>
      <c r="CG26" s="166"/>
      <c r="CH26" s="166"/>
      <c r="CI26" s="166"/>
      <c r="CK26" s="107" t="s">
        <v>389</v>
      </c>
      <c r="CL26" s="166" t="str">
        <f t="shared" si="55"/>
        <v/>
      </c>
      <c r="CM26" s="166" t="str">
        <f t="shared" si="55"/>
        <v/>
      </c>
      <c r="CN26" s="166" t="str">
        <f t="shared" si="55"/>
        <v/>
      </c>
      <c r="CO26" s="166" t="str">
        <f t="shared" si="55"/>
        <v/>
      </c>
      <c r="CP26" s="166"/>
      <c r="CQ26" s="166"/>
      <c r="CR26" s="166"/>
      <c r="CS26" s="166"/>
      <c r="CT26" s="166" t="str">
        <f t="shared" si="56"/>
        <v/>
      </c>
      <c r="CU26" s="166" t="str">
        <f t="shared" si="56"/>
        <v/>
      </c>
      <c r="CV26" s="166" t="str">
        <f t="shared" si="56"/>
        <v/>
      </c>
      <c r="CW26" s="166" t="str">
        <f t="shared" si="56"/>
        <v/>
      </c>
      <c r="CX26" s="166" t="str">
        <f t="shared" si="56"/>
        <v/>
      </c>
      <c r="CY26" s="168" t="str">
        <f t="shared" si="56"/>
        <v/>
      </c>
      <c r="DA26" s="107"/>
      <c r="DB26" s="315"/>
      <c r="DC26" s="315"/>
      <c r="DD26" s="314"/>
      <c r="DE26" s="314"/>
      <c r="DF26" s="314"/>
      <c r="DG26" s="314"/>
      <c r="DH26" s="315"/>
      <c r="DI26" s="315"/>
      <c r="DJ26" s="314"/>
      <c r="DK26" s="315"/>
      <c r="DL26" s="315"/>
      <c r="DM26" s="314"/>
      <c r="DN26" s="315"/>
      <c r="DO26" s="168"/>
      <c r="DQ26" s="107"/>
      <c r="DR26" s="315"/>
      <c r="DS26" s="315"/>
      <c r="DT26" s="314">
        <v>1.9019038255313401</v>
      </c>
      <c r="DU26" s="314">
        <v>1.9019038255313401</v>
      </c>
      <c r="DV26" s="314">
        <v>1.2151522621663271</v>
      </c>
      <c r="DW26" s="314">
        <v>1.2151522621663271</v>
      </c>
      <c r="DX26" s="315"/>
      <c r="DY26" s="315"/>
      <c r="DZ26" s="314">
        <v>-7.1142630500164028</v>
      </c>
      <c r="EA26" s="315"/>
      <c r="EB26" s="315"/>
      <c r="EC26" s="314">
        <v>-1.9498494161952302</v>
      </c>
      <c r="ED26" s="315"/>
      <c r="EE26" s="168"/>
      <c r="EG26" s="107"/>
      <c r="EH26" s="315"/>
      <c r="EI26" s="315"/>
      <c r="EJ26" s="314">
        <f>DT25+(DD25-DD$23)*$EI$1</f>
        <v>2.7748312600504828</v>
      </c>
      <c r="EK26" s="314">
        <f>DT25+(DD25-DD$23)*$EI$1</f>
        <v>2.7748312600504828</v>
      </c>
      <c r="EL26" s="314">
        <f>DV25+(DF25-DF$23)*$EI$1</f>
        <v>2.8042717427043091</v>
      </c>
      <c r="EM26" s="314">
        <f>DV25+(DF25-DF$23)*$EI$1</f>
        <v>2.8042717427043091</v>
      </c>
      <c r="EN26" s="315"/>
      <c r="EO26" s="315"/>
      <c r="EP26" s="314">
        <f>DZ25+(DJ25-DJ$31)*$EI$1</f>
        <v>-7.885924263035867</v>
      </c>
      <c r="EQ26" s="315"/>
      <c r="ER26" s="315"/>
      <c r="ES26" s="314">
        <f>EC25+(DM25-DM$34)*$EI$1</f>
        <v>-2.5538386967483788</v>
      </c>
      <c r="ET26" s="315"/>
      <c r="EU26" s="168"/>
      <c r="EW26" s="164" t="s">
        <v>389</v>
      </c>
      <c r="EX26" s="316">
        <f t="shared" si="61"/>
        <v>0</v>
      </c>
      <c r="EY26" s="316">
        <f t="shared" si="57"/>
        <v>0</v>
      </c>
      <c r="EZ26" s="316">
        <f t="shared" si="57"/>
        <v>2.7748312600504828</v>
      </c>
      <c r="FA26" s="316">
        <f t="shared" si="57"/>
        <v>2.7748312600504828</v>
      </c>
      <c r="FB26" s="316">
        <f t="shared" si="57"/>
        <v>0</v>
      </c>
      <c r="FC26" s="316">
        <f t="shared" si="57"/>
        <v>0</v>
      </c>
      <c r="FD26" s="316">
        <f t="shared" si="57"/>
        <v>6.0237937711295313</v>
      </c>
      <c r="FE26" s="316">
        <f t="shared" si="57"/>
        <v>0</v>
      </c>
      <c r="FF26" s="316"/>
      <c r="FG26" s="316">
        <f t="shared" si="57"/>
        <v>0</v>
      </c>
      <c r="FH26" s="316">
        <f t="shared" si="57"/>
        <v>0</v>
      </c>
      <c r="FI26" s="316">
        <f t="shared" si="57"/>
        <v>0</v>
      </c>
      <c r="FJ26" s="316">
        <f t="shared" si="57"/>
        <v>0</v>
      </c>
      <c r="FK26" s="316">
        <f t="shared" si="57"/>
        <v>0</v>
      </c>
      <c r="FL26" s="168"/>
    </row>
    <row r="27" spans="2:168" x14ac:dyDescent="0.25">
      <c r="B27" s="107" t="s">
        <v>390</v>
      </c>
      <c r="C27" s="294"/>
      <c r="D27" s="294"/>
      <c r="E27" s="294"/>
      <c r="F27" s="294"/>
      <c r="G27" s="160">
        <f>TripMode_input!F24</f>
        <v>7464.2771199999997</v>
      </c>
      <c r="H27" s="160">
        <f>TripMode_input!G24</f>
        <v>1059.8390400000001</v>
      </c>
      <c r="I27" s="294"/>
      <c r="J27" s="294"/>
      <c r="K27" s="160">
        <f>TripMode_input!K24+TripMode_input!J24</f>
        <v>169.00756000000001</v>
      </c>
      <c r="L27" s="294"/>
      <c r="M27" s="294"/>
      <c r="N27" s="160">
        <f>TripMode_input!N24</f>
        <v>0</v>
      </c>
      <c r="O27" s="294"/>
      <c r="P27" s="162">
        <f t="shared" si="47"/>
        <v>8693.1237199999996</v>
      </c>
      <c r="R27">
        <f t="shared" si="58"/>
        <v>2.3868024582425029E-3</v>
      </c>
      <c r="S27">
        <f t="shared" si="59"/>
        <v>0</v>
      </c>
      <c r="T27">
        <f t="shared" si="60"/>
        <v>0</v>
      </c>
      <c r="Y27" s="107" t="s">
        <v>390</v>
      </c>
      <c r="Z27" s="294"/>
      <c r="AA27" s="294"/>
      <c r="AB27" s="294"/>
      <c r="AC27" s="294"/>
      <c r="AD27" s="160">
        <f t="shared" si="49"/>
        <v>7464.2771199999997</v>
      </c>
      <c r="AE27" s="160">
        <f t="shared" si="50"/>
        <v>1059.8390400000001</v>
      </c>
      <c r="AF27" s="294"/>
      <c r="AG27" s="294"/>
      <c r="AH27" s="160">
        <f>AH31*R27</f>
        <v>178.39682154195228</v>
      </c>
      <c r="AI27" s="294"/>
      <c r="AJ27" s="294"/>
      <c r="AK27" s="160">
        <f>+N27</f>
        <v>0</v>
      </c>
      <c r="AL27" s="294"/>
      <c r="AM27" s="162">
        <f t="shared" si="51"/>
        <v>8702.5129815419514</v>
      </c>
      <c r="AO27" s="107" t="s">
        <v>390</v>
      </c>
      <c r="AP27" s="294">
        <f>TripMode_input!R24*Index!$B$2</f>
        <v>0</v>
      </c>
      <c r="AQ27" s="294">
        <f>TripMode_input!S24*Index!$B$2</f>
        <v>0</v>
      </c>
      <c r="AR27" s="294">
        <f>TripMode_input!T24*Index!$B$2</f>
        <v>0</v>
      </c>
      <c r="AS27" s="294">
        <f>TripMode_input!U24*Index!$B$2</f>
        <v>0</v>
      </c>
      <c r="AT27" s="160">
        <f>TripMode_input!V24*Index!$B$2</f>
        <v>3190</v>
      </c>
      <c r="AU27" s="160">
        <f>TripMode_input!W24*Index!$B$2</f>
        <v>360</v>
      </c>
      <c r="AV27" s="294">
        <f>TripMode_input!X24*Index!$B$2</f>
        <v>0</v>
      </c>
      <c r="AW27" s="294">
        <f>TripMode_input!Y24*Index!$B$2</f>
        <v>0</v>
      </c>
      <c r="AX27" s="160">
        <f>TripMode_input!AA24*Index!$B$2</f>
        <v>150</v>
      </c>
      <c r="AY27" s="160">
        <f>TripMode_input!AB24*Index!$B$2</f>
        <v>0</v>
      </c>
      <c r="AZ27" s="160">
        <f>TripMode_input!AC24*Index!$B$2</f>
        <v>0</v>
      </c>
      <c r="BA27" s="160">
        <f>TripMode_input!AD24*Index!$B$2</f>
        <v>5755</v>
      </c>
      <c r="BB27" s="294">
        <f>TripMode_input!AE24*Index!$B$2</f>
        <v>0</v>
      </c>
      <c r="BC27" s="162">
        <f t="shared" si="52"/>
        <v>9455</v>
      </c>
      <c r="BE27" s="107" t="s">
        <v>577</v>
      </c>
      <c r="BF27" s="166">
        <f>IF(Z$36+AA$36&gt;0,SUM(Z27:AA28)/(Z$36+AA$36),"")</f>
        <v>0</v>
      </c>
      <c r="BG27" s="166"/>
      <c r="BH27" s="166">
        <f>IF(AB$36+AC$36&gt;0,SUM(AB27:AC28)/(AB$36+AC$36),"")</f>
        <v>0</v>
      </c>
      <c r="BI27" s="166"/>
      <c r="BJ27" s="166">
        <f>IF(AD$36+AE$36&gt;0,SUM(AD27:AE28)/(AD$36+AE$36),"")</f>
        <v>0.46342188668675632</v>
      </c>
      <c r="BK27" s="166"/>
      <c r="BL27" s="166">
        <f t="shared" ref="BL27:BS27" si="64">IF(AF$36&gt;0,(AF27+AF28)/AF$36,"")</f>
        <v>0</v>
      </c>
      <c r="BM27" s="166">
        <f t="shared" si="64"/>
        <v>0</v>
      </c>
      <c r="BN27" s="166">
        <f t="shared" si="64"/>
        <v>1.952593866461422E-3</v>
      </c>
      <c r="BO27" s="166">
        <f t="shared" si="64"/>
        <v>0</v>
      </c>
      <c r="BP27" s="166">
        <f t="shared" si="64"/>
        <v>0</v>
      </c>
      <c r="BQ27" s="166">
        <f t="shared" si="64"/>
        <v>0</v>
      </c>
      <c r="BR27" s="166">
        <f t="shared" si="64"/>
        <v>0</v>
      </c>
      <c r="BS27" s="166">
        <f t="shared" si="64"/>
        <v>1.9252979319501137E-2</v>
      </c>
      <c r="BU27" s="107" t="s">
        <v>577</v>
      </c>
      <c r="BV27" s="166">
        <f>IF(AP$36+AQ$36&gt;0,SUM(AP27:AQ28)/(AP$36+AQ$36),"")</f>
        <v>0</v>
      </c>
      <c r="BW27" s="166"/>
      <c r="BX27" s="166">
        <f>IF(AR$36+AS$36&gt;0,SUM(AR27:AS28)/(AR$36+AS$36),"")</f>
        <v>0</v>
      </c>
      <c r="BY27" s="166"/>
      <c r="BZ27" s="166">
        <f>IF(AT$36+AU$36&gt;0,SUM(AT27:AU28)/(AT$36+AU$36),"")</f>
        <v>0.4536266349583829</v>
      </c>
      <c r="CA27" s="166"/>
      <c r="CB27" s="166">
        <f t="shared" ref="CB27:CI27" si="65">IF(AV$36&gt;0,(AV27+AV28)/AV$36,"")</f>
        <v>0</v>
      </c>
      <c r="CC27" s="166">
        <f t="shared" si="65"/>
        <v>0</v>
      </c>
      <c r="CD27" s="166">
        <f t="shared" si="65"/>
        <v>2.0053475935828879E-3</v>
      </c>
      <c r="CE27" s="166">
        <f t="shared" si="65"/>
        <v>0</v>
      </c>
      <c r="CF27" s="166">
        <f t="shared" si="65"/>
        <v>0</v>
      </c>
      <c r="CG27" s="166">
        <f t="shared" si="65"/>
        <v>0.22359590250794772</v>
      </c>
      <c r="CH27" s="166" t="str">
        <f t="shared" si="65"/>
        <v/>
      </c>
      <c r="CI27" s="166">
        <f t="shared" si="65"/>
        <v>3.0678228738303833E-2</v>
      </c>
      <c r="CK27" s="107" t="s">
        <v>390</v>
      </c>
      <c r="CL27" s="166"/>
      <c r="CM27" s="166"/>
      <c r="CN27" s="166"/>
      <c r="CO27" s="166"/>
      <c r="CP27" s="166"/>
      <c r="CQ27" s="166"/>
      <c r="CR27" s="166"/>
      <c r="CS27" s="166"/>
      <c r="CT27" s="166"/>
      <c r="CU27" s="166"/>
      <c r="CV27" s="166"/>
      <c r="CW27" s="166"/>
      <c r="CX27" s="166"/>
      <c r="CY27" s="168"/>
      <c r="DA27" s="107" t="s">
        <v>577</v>
      </c>
      <c r="DB27" s="315"/>
      <c r="DC27" s="315"/>
      <c r="DD27" s="315"/>
      <c r="DE27" s="315"/>
      <c r="DF27" s="314">
        <f>IFERROR(IF(BZ27&gt;0,LN(BJ27/BZ27),0),0)</f>
        <v>2.1363371806895542E-2</v>
      </c>
      <c r="DG27" s="314"/>
      <c r="DH27" s="315"/>
      <c r="DI27" s="315"/>
      <c r="DJ27" s="314">
        <f>IFERROR(IF(CD27&gt;0,LN(BN27/CD27),0),0)</f>
        <v>-2.6658732527434701E-2</v>
      </c>
      <c r="DK27" s="315"/>
      <c r="DL27" s="315"/>
      <c r="DM27" s="314">
        <f>IFERROR(IF(CG27&gt;0,LN(BQ27/CG27),0),0)</f>
        <v>0</v>
      </c>
      <c r="DN27" s="315"/>
      <c r="DO27" s="168"/>
      <c r="DQ27" s="107" t="s">
        <v>577</v>
      </c>
      <c r="DR27" s="315"/>
      <c r="DS27" s="315"/>
      <c r="DT27" s="315"/>
      <c r="DU27" s="315"/>
      <c r="DV27" s="314">
        <v>0.58152109487110881</v>
      </c>
      <c r="DW27" s="314">
        <v>0.58152109487110881</v>
      </c>
      <c r="DX27" s="315"/>
      <c r="DY27" s="315"/>
      <c r="DZ27" s="314">
        <v>-7.7010255157086105</v>
      </c>
      <c r="EA27" s="315"/>
      <c r="EB27" s="315"/>
      <c r="EC27" s="314">
        <v>-1.9498494161952302</v>
      </c>
      <c r="ED27" s="315"/>
      <c r="EE27" s="168"/>
      <c r="EG27" s="107" t="s">
        <v>577</v>
      </c>
      <c r="EH27" s="315"/>
      <c r="EI27" s="315"/>
      <c r="EJ27" s="315"/>
      <c r="EK27" s="315"/>
      <c r="EL27" s="314">
        <f>DV27+(DF27-DF$23)*$EI$1</f>
        <v>1.1652697922506232</v>
      </c>
      <c r="EM27" s="314">
        <f>DV27+(DF27-DF$23)*$EI$1</f>
        <v>1.1652697922506232</v>
      </c>
      <c r="EN27" s="315"/>
      <c r="EO27" s="315"/>
      <c r="EP27" s="314">
        <f>DZ27+(DJ27-DJ$31)*$EI$1</f>
        <v>-8.1914376682209884</v>
      </c>
      <c r="EQ27" s="315"/>
      <c r="ER27" s="315"/>
      <c r="ES27" s="314">
        <f>EC27+(DM27-DM$34)*$EI$1</f>
        <v>-2.5538386967483788</v>
      </c>
      <c r="ET27" s="315"/>
      <c r="EU27" s="168"/>
      <c r="EW27" s="164" t="s">
        <v>390</v>
      </c>
      <c r="EX27" s="316">
        <f t="shared" si="61"/>
        <v>0</v>
      </c>
      <c r="EY27" s="316">
        <f t="shared" si="57"/>
        <v>0</v>
      </c>
      <c r="EZ27" s="316">
        <f t="shared" si="57"/>
        <v>2.8042717427043091</v>
      </c>
      <c r="FA27" s="316">
        <f t="shared" si="57"/>
        <v>2.8042717427043091</v>
      </c>
      <c r="FB27" s="316">
        <f t="shared" si="57"/>
        <v>1.1652697922506232</v>
      </c>
      <c r="FC27" s="316">
        <f t="shared" si="57"/>
        <v>1.1652697922506232</v>
      </c>
      <c r="FD27" s="316">
        <f t="shared" si="57"/>
        <v>1.0019048826874253</v>
      </c>
      <c r="FE27" s="316">
        <f t="shared" si="57"/>
        <v>0</v>
      </c>
      <c r="FF27" s="316"/>
      <c r="FG27" s="316">
        <f t="shared" si="57"/>
        <v>0</v>
      </c>
      <c r="FH27" s="316">
        <f t="shared" si="57"/>
        <v>0</v>
      </c>
      <c r="FI27" s="316">
        <f t="shared" si="57"/>
        <v>0</v>
      </c>
      <c r="FJ27" s="316">
        <f t="shared" si="57"/>
        <v>0</v>
      </c>
      <c r="FK27" s="316">
        <f t="shared" si="57"/>
        <v>0</v>
      </c>
      <c r="FL27" s="168"/>
    </row>
    <row r="28" spans="2:168" x14ac:dyDescent="0.25">
      <c r="B28" s="107" t="s">
        <v>391</v>
      </c>
      <c r="C28" s="294"/>
      <c r="D28" s="294"/>
      <c r="E28" s="294"/>
      <c r="F28" s="294"/>
      <c r="G28" s="160">
        <f>TripMode_input!F25</f>
        <v>0</v>
      </c>
      <c r="H28" s="160">
        <f>TripMode_input!G25</f>
        <v>0</v>
      </c>
      <c r="I28" s="294"/>
      <c r="J28" s="294"/>
      <c r="K28" s="160">
        <f>TripMode_input!K25+TripMode_input!J25</f>
        <v>0</v>
      </c>
      <c r="L28" s="294"/>
      <c r="M28" s="294"/>
      <c r="N28" s="160">
        <f>TripMode_input!N25</f>
        <v>0</v>
      </c>
      <c r="O28" s="294"/>
      <c r="P28" s="162">
        <f t="shared" si="47"/>
        <v>0</v>
      </c>
      <c r="R28">
        <f t="shared" si="58"/>
        <v>0</v>
      </c>
      <c r="S28">
        <f t="shared" si="59"/>
        <v>0</v>
      </c>
      <c r="T28">
        <f t="shared" si="60"/>
        <v>0</v>
      </c>
      <c r="Y28" s="107" t="s">
        <v>391</v>
      </c>
      <c r="Z28" s="294"/>
      <c r="AA28" s="294"/>
      <c r="AB28" s="294"/>
      <c r="AC28" s="294"/>
      <c r="AD28" s="160">
        <f t="shared" si="49"/>
        <v>0</v>
      </c>
      <c r="AE28" s="160">
        <f t="shared" si="50"/>
        <v>0</v>
      </c>
      <c r="AF28" s="294"/>
      <c r="AG28" s="294"/>
      <c r="AH28" s="160">
        <f>AH31*R28</f>
        <v>0</v>
      </c>
      <c r="AI28" s="294"/>
      <c r="AJ28" s="294"/>
      <c r="AK28" s="160">
        <f>+N28</f>
        <v>0</v>
      </c>
      <c r="AL28" s="294"/>
      <c r="AM28" s="162">
        <f t="shared" si="51"/>
        <v>0</v>
      </c>
      <c r="AO28" s="107" t="s">
        <v>391</v>
      </c>
      <c r="AP28" s="294">
        <f>TripMode_input!R25*Index!$B$2</f>
        <v>0</v>
      </c>
      <c r="AQ28" s="294">
        <f>TripMode_input!S25*Index!$B$2</f>
        <v>0</v>
      </c>
      <c r="AR28" s="294">
        <f>TripMode_input!T25*Index!$B$2</f>
        <v>0</v>
      </c>
      <c r="AS28" s="294">
        <f>TripMode_input!U25*Index!$B$2</f>
        <v>0</v>
      </c>
      <c r="AT28" s="160">
        <f>TripMode_input!V25*Index!$B$2</f>
        <v>170</v>
      </c>
      <c r="AU28" s="160">
        <f>TripMode_input!W25*Index!$B$2</f>
        <v>95</v>
      </c>
      <c r="AV28" s="294">
        <f>TripMode_input!X25*Index!$B$2</f>
        <v>0</v>
      </c>
      <c r="AW28" s="294">
        <f>TripMode_input!Y25*Index!$B$2</f>
        <v>0</v>
      </c>
      <c r="AX28" s="160">
        <f>TripMode_input!AA25*Index!$B$2</f>
        <v>0</v>
      </c>
      <c r="AY28" s="160">
        <f>TripMode_input!AB25*Index!$B$2</f>
        <v>0</v>
      </c>
      <c r="AZ28" s="160">
        <f>TripMode_input!AC25*Index!$B$2</f>
        <v>0</v>
      </c>
      <c r="BA28" s="160">
        <f>TripMode_input!AD25*Index!$B$2</f>
        <v>575</v>
      </c>
      <c r="BB28" s="294">
        <f>TripMode_input!AE25*Index!$B$2</f>
        <v>0</v>
      </c>
      <c r="BC28" s="162">
        <f t="shared" si="52"/>
        <v>840</v>
      </c>
      <c r="BE28" s="107"/>
      <c r="BF28" s="166"/>
      <c r="BG28" s="166"/>
      <c r="BH28" s="166"/>
      <c r="BI28" s="166"/>
      <c r="BJ28" s="166"/>
      <c r="BK28" s="166"/>
      <c r="BL28" s="166"/>
      <c r="BM28" s="166"/>
      <c r="BN28" s="166"/>
      <c r="BO28" s="166"/>
      <c r="BP28" s="166"/>
      <c r="BQ28" s="166"/>
      <c r="BR28" s="166"/>
      <c r="BS28" s="166"/>
      <c r="BU28" s="107"/>
      <c r="BV28" s="166"/>
      <c r="BW28" s="166"/>
      <c r="BX28" s="166"/>
      <c r="BY28" s="166"/>
      <c r="BZ28" s="166"/>
      <c r="CA28" s="166"/>
      <c r="CB28" s="166"/>
      <c r="CC28" s="166"/>
      <c r="CD28" s="166"/>
      <c r="CE28" s="166"/>
      <c r="CF28" s="166"/>
      <c r="CG28" s="166"/>
      <c r="CH28" s="166"/>
      <c r="CI28" s="166"/>
      <c r="CK28" s="107" t="s">
        <v>391</v>
      </c>
      <c r="CL28" s="166"/>
      <c r="CM28" s="166"/>
      <c r="CN28" s="166"/>
      <c r="CO28" s="166"/>
      <c r="CP28" s="166"/>
      <c r="CQ28" s="166"/>
      <c r="CR28" s="166"/>
      <c r="CS28" s="166"/>
      <c r="CT28" s="166"/>
      <c r="CU28" s="166"/>
      <c r="CV28" s="166"/>
      <c r="CW28" s="166"/>
      <c r="CX28" s="166"/>
      <c r="CY28" s="168"/>
      <c r="DA28" s="107"/>
      <c r="DB28" s="315"/>
      <c r="DC28" s="315"/>
      <c r="DD28" s="315"/>
      <c r="DE28" s="315"/>
      <c r="DF28" s="314"/>
      <c r="DG28" s="314"/>
      <c r="DH28" s="315"/>
      <c r="DI28" s="315"/>
      <c r="DJ28" s="314"/>
      <c r="DK28" s="315"/>
      <c r="DL28" s="315"/>
      <c r="DM28" s="314"/>
      <c r="DN28" s="315"/>
      <c r="DO28" s="168"/>
      <c r="DQ28" s="107"/>
      <c r="DR28" s="315"/>
      <c r="DS28" s="315"/>
      <c r="DT28" s="315"/>
      <c r="DU28" s="315"/>
      <c r="DV28" s="314">
        <v>0.58152109487110881</v>
      </c>
      <c r="DW28" s="314">
        <v>0.58152109487110881</v>
      </c>
      <c r="DX28" s="315"/>
      <c r="DY28" s="315"/>
      <c r="DZ28" s="314">
        <v>-7.7010255157086105</v>
      </c>
      <c r="EA28" s="315"/>
      <c r="EB28" s="315"/>
      <c r="EC28" s="314">
        <v>-1.9498494161952302</v>
      </c>
      <c r="ED28" s="315"/>
      <c r="EE28" s="168"/>
      <c r="EG28" s="107"/>
      <c r="EH28" s="315"/>
      <c r="EI28" s="315"/>
      <c r="EJ28" s="315"/>
      <c r="EK28" s="315"/>
      <c r="EL28" s="314">
        <f>DV27+(DF27-DF$23)*$EI$1</f>
        <v>1.1652697922506232</v>
      </c>
      <c r="EM28" s="314">
        <f>DV27+(DF27-DF$23)*$EI$1</f>
        <v>1.1652697922506232</v>
      </c>
      <c r="EN28" s="315"/>
      <c r="EO28" s="315"/>
      <c r="EP28" s="314">
        <f>DZ27+(DJ27-DJ$31)*$EI$1</f>
        <v>-8.1914376682209884</v>
      </c>
      <c r="EQ28" s="315"/>
      <c r="ER28" s="315"/>
      <c r="ES28" s="314">
        <f>EC27+(DM27-DM$34)*$EI$1</f>
        <v>-2.5538386967483788</v>
      </c>
      <c r="ET28" s="315"/>
      <c r="EU28" s="168"/>
      <c r="EW28" s="164" t="s">
        <v>391</v>
      </c>
      <c r="EX28" s="316">
        <f t="shared" si="61"/>
        <v>0</v>
      </c>
      <c r="EY28" s="316">
        <f t="shared" si="57"/>
        <v>0</v>
      </c>
      <c r="EZ28" s="316">
        <f t="shared" si="57"/>
        <v>2.8042717427043091</v>
      </c>
      <c r="FA28" s="316">
        <f t="shared" si="57"/>
        <v>2.8042717427043091</v>
      </c>
      <c r="FB28" s="316">
        <f t="shared" si="57"/>
        <v>1.1652697922506232</v>
      </c>
      <c r="FC28" s="316">
        <f t="shared" si="57"/>
        <v>1.1652697922506232</v>
      </c>
      <c r="FD28" s="316">
        <f t="shared" si="57"/>
        <v>1.0019048826874253</v>
      </c>
      <c r="FE28" s="316">
        <f t="shared" si="57"/>
        <v>0</v>
      </c>
      <c r="FF28" s="316"/>
      <c r="FG28" s="316">
        <f t="shared" si="57"/>
        <v>0</v>
      </c>
      <c r="FH28" s="316">
        <f t="shared" si="57"/>
        <v>0</v>
      </c>
      <c r="FI28" s="316">
        <f t="shared" si="57"/>
        <v>0</v>
      </c>
      <c r="FJ28" s="316">
        <f t="shared" si="57"/>
        <v>0</v>
      </c>
      <c r="FK28" s="316">
        <f t="shared" si="57"/>
        <v>0</v>
      </c>
      <c r="FL28" s="168"/>
    </row>
    <row r="29" spans="2:168" x14ac:dyDescent="0.25">
      <c r="B29" s="107" t="s">
        <v>392</v>
      </c>
      <c r="C29" s="294"/>
      <c r="D29" s="294"/>
      <c r="E29" s="160">
        <f>TripMode_input!D26</f>
        <v>1354.5531599999999</v>
      </c>
      <c r="F29" s="160">
        <f>TripMode_input!E26</f>
        <v>0</v>
      </c>
      <c r="G29" s="160">
        <f>TripMode_input!F26</f>
        <v>133.93227999999999</v>
      </c>
      <c r="H29" s="160">
        <f>TripMode_input!G26</f>
        <v>0</v>
      </c>
      <c r="I29" s="160">
        <f>TripMode_input!H26</f>
        <v>36459.788619999999</v>
      </c>
      <c r="J29" s="294"/>
      <c r="K29" s="160">
        <f>TripMode_input!K26+TripMode_input!J26</f>
        <v>14645.91821</v>
      </c>
      <c r="L29" s="294"/>
      <c r="M29" s="294"/>
      <c r="N29" s="160">
        <f>TripMode_input!N26</f>
        <v>0</v>
      </c>
      <c r="O29" s="294"/>
      <c r="P29" s="162">
        <f t="shared" si="47"/>
        <v>52594.19227</v>
      </c>
      <c r="R29">
        <f t="shared" si="58"/>
        <v>0.20683638996294978</v>
      </c>
      <c r="S29">
        <f t="shared" si="59"/>
        <v>0</v>
      </c>
      <c r="T29">
        <f t="shared" si="60"/>
        <v>0</v>
      </c>
      <c r="Y29" s="107" t="s">
        <v>392</v>
      </c>
      <c r="Z29" s="294"/>
      <c r="AA29" s="294"/>
      <c r="AB29" s="160">
        <f>+E29</f>
        <v>1354.5531599999999</v>
      </c>
      <c r="AC29" s="160">
        <f>+F29</f>
        <v>0</v>
      </c>
      <c r="AD29" s="160">
        <f t="shared" si="49"/>
        <v>133.93227999999999</v>
      </c>
      <c r="AE29" s="160">
        <f t="shared" si="50"/>
        <v>0</v>
      </c>
      <c r="AF29" s="160">
        <f>+I29</f>
        <v>36459.788619999999</v>
      </c>
      <c r="AG29" s="294"/>
      <c r="AH29" s="160">
        <f>AH31*R29</f>
        <v>15459.576229769833</v>
      </c>
      <c r="AI29" s="294"/>
      <c r="AJ29" s="294"/>
      <c r="AK29" s="160">
        <f>+N29</f>
        <v>0</v>
      </c>
      <c r="AL29" s="294"/>
      <c r="AM29" s="162">
        <f t="shared" si="51"/>
        <v>53407.850289769827</v>
      </c>
      <c r="AO29" s="107" t="s">
        <v>392</v>
      </c>
      <c r="AP29" s="294">
        <f>TripMode_input!R26*Index!$B$2</f>
        <v>0</v>
      </c>
      <c r="AQ29" s="294">
        <f>TripMode_input!S26*Index!$B$2</f>
        <v>0</v>
      </c>
      <c r="AR29" s="160">
        <f>TripMode_input!T26*Index!$B$2</f>
        <v>1165</v>
      </c>
      <c r="AS29" s="160">
        <f>TripMode_input!U26*Index!$B$2</f>
        <v>25</v>
      </c>
      <c r="AT29" s="160">
        <f>TripMode_input!V26*Index!$B$2</f>
        <v>10</v>
      </c>
      <c r="AU29" s="160">
        <f>TripMode_input!W26*Index!$B$2</f>
        <v>10</v>
      </c>
      <c r="AV29" s="160">
        <f>TripMode_input!X26*Index!$B$2</f>
        <v>29940</v>
      </c>
      <c r="AW29" s="294">
        <f>TripMode_input!Y26*Index!$B$2</f>
        <v>0</v>
      </c>
      <c r="AX29" s="160">
        <f>TripMode_input!AA26*Index!$B$2</f>
        <v>11660</v>
      </c>
      <c r="AY29" s="160">
        <f>TripMode_input!AB26*Index!$B$2</f>
        <v>0</v>
      </c>
      <c r="AZ29" s="160">
        <f>TripMode_input!AC26*Index!$B$2</f>
        <v>0</v>
      </c>
      <c r="BA29" s="160">
        <f>TripMode_input!AD26*Index!$B$2</f>
        <v>155</v>
      </c>
      <c r="BB29" s="294">
        <f>TripMode_input!AE26*Index!$B$2</f>
        <v>0</v>
      </c>
      <c r="BC29" s="162">
        <f t="shared" si="52"/>
        <v>42965</v>
      </c>
      <c r="BE29" s="107" t="s">
        <v>392</v>
      </c>
      <c r="BF29" s="166">
        <f t="shared" ref="BF29:BS36" si="66">IF(Z$36&gt;0,Z29/Z$36,"")</f>
        <v>0</v>
      </c>
      <c r="BG29" s="166">
        <f t="shared" si="66"/>
        <v>0</v>
      </c>
      <c r="BH29" s="166">
        <f t="shared" si="66"/>
        <v>2.0990459159146085E-2</v>
      </c>
      <c r="BI29" s="166">
        <f t="shared" si="66"/>
        <v>0</v>
      </c>
      <c r="BJ29" s="166">
        <f t="shared" si="66"/>
        <v>8.8030290101810595E-3</v>
      </c>
      <c r="BK29" s="166">
        <f t="shared" si="66"/>
        <v>0</v>
      </c>
      <c r="BL29" s="166">
        <f t="shared" si="66"/>
        <v>1</v>
      </c>
      <c r="BM29" s="166">
        <f t="shared" si="66"/>
        <v>0</v>
      </c>
      <c r="BN29" s="166">
        <f t="shared" si="66"/>
        <v>0.16920858490319393</v>
      </c>
      <c r="BO29" s="166">
        <f t="shared" si="66"/>
        <v>0</v>
      </c>
      <c r="BP29" s="166">
        <f t="shared" si="66"/>
        <v>0</v>
      </c>
      <c r="BQ29" s="166">
        <f t="shared" si="66"/>
        <v>0</v>
      </c>
      <c r="BR29" s="166">
        <f t="shared" si="66"/>
        <v>0</v>
      </c>
      <c r="BS29" s="166">
        <f t="shared" si="66"/>
        <v>0.11815670247305501</v>
      </c>
      <c r="BU29" s="107" t="s">
        <v>392</v>
      </c>
      <c r="BV29" s="166">
        <f t="shared" ref="BV29:BV36" si="67">IF(AP$36&gt;0,AP29/AP$36,"")</f>
        <v>0</v>
      </c>
      <c r="BW29" s="166">
        <f t="shared" ref="BW29:BW36" si="68">IF(AQ$36&gt;0,AQ29/AQ$36,"")</f>
        <v>0</v>
      </c>
      <c r="BX29" s="166">
        <f t="shared" ref="BX29:BX36" si="69">IF(AR$36&gt;0,AR29/AR$36,"")</f>
        <v>2.9121359830021246E-2</v>
      </c>
      <c r="BY29" s="166">
        <f t="shared" ref="BY29:BY36" si="70">IF(AS$36&gt;0,AS29/AS$36,"")</f>
        <v>5.8072009291521487E-3</v>
      </c>
      <c r="BZ29" s="166">
        <f t="shared" ref="BZ29:BZ36" si="71">IF(AT$36&gt;0,AT29/AT$36,"")</f>
        <v>1.3449899125756557E-3</v>
      </c>
      <c r="CA29" s="166">
        <f t="shared" ref="CA29:CA36" si="72">IF(AU$36&gt;0,AU29/AU$36,"")</f>
        <v>1.0256410256410256E-2</v>
      </c>
      <c r="CB29" s="166">
        <f t="shared" ref="CB29:CB36" si="73">IF(AV$36&gt;0,AV29/AV$36,"")</f>
        <v>1</v>
      </c>
      <c r="CC29" s="166">
        <f t="shared" ref="CC29:CC36" si="74">IF(AW$36&gt;0,AW29/AW$36,"")</f>
        <v>0</v>
      </c>
      <c r="CD29" s="166">
        <f t="shared" ref="CD29:CD36" si="75">IF(AX$36&gt;0,AX29/AX$36,"")</f>
        <v>0.15588235294117647</v>
      </c>
      <c r="CE29" s="166">
        <f t="shared" ref="CE29:CE36" si="76">IF(AY$36&gt;0,AY29/AY$36,"")</f>
        <v>0</v>
      </c>
      <c r="CF29" s="166">
        <f t="shared" ref="CF29:CF36" si="77">IF(AZ$36&gt;0,AZ29/AZ$36,"")</f>
        <v>0</v>
      </c>
      <c r="CG29" s="166">
        <f t="shared" ref="CG29:CG36" si="78">IF(BA$36&gt;0,BA29/BA$36,"")</f>
        <v>5.4750971388202053E-3</v>
      </c>
      <c r="CH29" s="166" t="str">
        <f t="shared" ref="CH29:CH36" si="79">IF(BB$36&gt;0,BB29/BB$36,"")</f>
        <v/>
      </c>
      <c r="CI29" s="168">
        <f t="shared" ref="CI29:CI36" si="80">IF(BC$36&gt;0,BC29/BC$36,"")</f>
        <v>0.12803206388938554</v>
      </c>
      <c r="CK29" s="107" t="s">
        <v>392</v>
      </c>
      <c r="CL29" s="166"/>
      <c r="CM29" s="166"/>
      <c r="CN29" s="166"/>
      <c r="CO29" s="166"/>
      <c r="CP29" s="166"/>
      <c r="CQ29" s="166"/>
      <c r="CR29" s="166"/>
      <c r="CS29" s="166"/>
      <c r="CT29" s="166"/>
      <c r="CU29" s="166"/>
      <c r="CV29" s="166"/>
      <c r="CW29" s="166"/>
      <c r="CX29" s="166"/>
      <c r="CY29" s="168"/>
      <c r="DA29" s="107" t="s">
        <v>392</v>
      </c>
      <c r="DB29" s="315"/>
      <c r="DC29" s="315"/>
      <c r="DD29" s="314">
        <f>IFERROR(IF(BX29&gt;0,LN(BH29/BX29),0),0)</f>
        <v>-0.32740391096645488</v>
      </c>
      <c r="DE29" s="314">
        <f>IFERROR(IF(BY29&gt;0,LN(BI29/BY29),0),0)</f>
        <v>0</v>
      </c>
      <c r="DF29" s="314">
        <f>IFERROR(IF(BZ29&gt;0,LN(BJ29/BZ29),0),0)</f>
        <v>1.8787093548794338</v>
      </c>
      <c r="DG29" s="314">
        <f>IFERROR(IF(CA29&gt;0,LN(BK29/CA29),0),0)</f>
        <v>0</v>
      </c>
      <c r="DH29" s="314">
        <f>IFERROR(IF(CB29&gt;0,LN(BL29/CB29),0),0)</f>
        <v>0</v>
      </c>
      <c r="DI29" s="315"/>
      <c r="DJ29" s="314">
        <f t="shared" ref="DJ29:DJ34" si="81">IFERROR(IF(CD29&gt;0,LN(BN29/CD29),0),0)</f>
        <v>8.2030609159478018E-2</v>
      </c>
      <c r="DK29" s="315"/>
      <c r="DL29" s="315"/>
      <c r="DM29" s="314">
        <f>IFERROR(IF(CG29&gt;0,LN(BQ29/CG29),0),0)</f>
        <v>0</v>
      </c>
      <c r="DN29" s="315"/>
      <c r="DO29" s="168"/>
      <c r="DQ29" s="107" t="s">
        <v>392</v>
      </c>
      <c r="DR29" s="315"/>
      <c r="DS29" s="315"/>
      <c r="DT29" s="314">
        <v>5.642616245288381</v>
      </c>
      <c r="DU29" s="314">
        <v>5.642616245288381</v>
      </c>
      <c r="DV29" s="314">
        <v>-1.4391897977646273</v>
      </c>
      <c r="DW29" s="314">
        <v>-1.4391897977646273</v>
      </c>
      <c r="DX29" s="314">
        <v>0</v>
      </c>
      <c r="DY29" s="315"/>
      <c r="DZ29" s="314">
        <v>3.4592775153257773</v>
      </c>
      <c r="EA29" s="315"/>
      <c r="EB29" s="315"/>
      <c r="EC29" s="314">
        <v>-1.9498494161952302</v>
      </c>
      <c r="ED29" s="315"/>
      <c r="EE29" s="168"/>
      <c r="EG29" s="107" t="s">
        <v>392</v>
      </c>
      <c r="EH29" s="315"/>
      <c r="EI29" s="315"/>
      <c r="EJ29" s="314">
        <f>DT29+(DD29-DD$23)*$EI$1</f>
        <v>6.0237937711295313</v>
      </c>
      <c r="EK29" s="314">
        <f>DT29+(DD29-DD$23)*$EI$1</f>
        <v>6.0237937711295313</v>
      </c>
      <c r="EL29" s="314">
        <f>DV29+(DF29-DF$23)*$EI$1</f>
        <v>1.0019048826874253</v>
      </c>
      <c r="EM29" s="314">
        <f>DV29+(DF29-DF$23)*$EI$1</f>
        <v>1.0019048826874253</v>
      </c>
      <c r="EN29" s="314">
        <v>0</v>
      </c>
      <c r="EO29" s="315"/>
      <c r="EP29" s="314">
        <f>DZ29+(DJ29-DJ$31)*$EI$1</f>
        <v>3.077554704500312</v>
      </c>
      <c r="EQ29" s="315"/>
      <c r="ER29" s="315"/>
      <c r="ES29" s="314">
        <f>EC29+(DM29-DM$34)*$EI$1</f>
        <v>-2.5538386967483788</v>
      </c>
      <c r="ET29" s="315"/>
      <c r="EU29" s="168"/>
      <c r="EW29" s="164" t="s">
        <v>392</v>
      </c>
      <c r="EX29" s="316">
        <f t="shared" si="61"/>
        <v>0</v>
      </c>
      <c r="EY29" s="316">
        <f t="shared" si="57"/>
        <v>0</v>
      </c>
      <c r="EZ29" s="316">
        <f t="shared" si="57"/>
        <v>0</v>
      </c>
      <c r="FA29" s="316">
        <f t="shared" si="57"/>
        <v>0</v>
      </c>
      <c r="FB29" s="316">
        <f t="shared" si="57"/>
        <v>0</v>
      </c>
      <c r="FC29" s="316">
        <f t="shared" si="57"/>
        <v>0</v>
      </c>
      <c r="FD29" s="316">
        <f t="shared" si="57"/>
        <v>0</v>
      </c>
      <c r="FE29" s="316">
        <f t="shared" si="57"/>
        <v>0</v>
      </c>
      <c r="FF29" s="316"/>
      <c r="FG29" s="316">
        <f t="shared" si="57"/>
        <v>0</v>
      </c>
      <c r="FH29" s="316">
        <f t="shared" si="57"/>
        <v>0</v>
      </c>
      <c r="FI29" s="316">
        <f t="shared" si="57"/>
        <v>0</v>
      </c>
      <c r="FJ29" s="316">
        <f t="shared" si="57"/>
        <v>0</v>
      </c>
      <c r="FK29" s="316">
        <f t="shared" si="57"/>
        <v>0</v>
      </c>
      <c r="FL29" s="168"/>
    </row>
    <row r="30" spans="2:168" x14ac:dyDescent="0.25">
      <c r="B30" s="107" t="s">
        <v>393</v>
      </c>
      <c r="C30" s="294"/>
      <c r="D30" s="294"/>
      <c r="E30" s="294"/>
      <c r="F30" s="294"/>
      <c r="G30" s="294"/>
      <c r="H30" s="294"/>
      <c r="I30" s="294"/>
      <c r="J30" s="160">
        <f>TripMode_input!I27</f>
        <v>14886.48612</v>
      </c>
      <c r="K30" s="294"/>
      <c r="L30" s="294"/>
      <c r="M30" s="294"/>
      <c r="N30" s="294"/>
      <c r="O30" s="294"/>
      <c r="P30" s="162">
        <f t="shared" si="47"/>
        <v>14886.48612</v>
      </c>
      <c r="R30">
        <f t="shared" si="58"/>
        <v>0</v>
      </c>
      <c r="S30">
        <f t="shared" si="59"/>
        <v>0</v>
      </c>
      <c r="T30">
        <f t="shared" si="60"/>
        <v>0</v>
      </c>
      <c r="Y30" s="107" t="s">
        <v>393</v>
      </c>
      <c r="Z30" s="294"/>
      <c r="AA30" s="294"/>
      <c r="AB30" s="294"/>
      <c r="AC30" s="294"/>
      <c r="AD30" s="294"/>
      <c r="AE30" s="294"/>
      <c r="AF30" s="294"/>
      <c r="AG30" s="160">
        <f>+J30</f>
        <v>14886.48612</v>
      </c>
      <c r="AH30" s="294"/>
      <c r="AI30" s="294"/>
      <c r="AJ30" s="294"/>
      <c r="AK30" s="294"/>
      <c r="AL30" s="294"/>
      <c r="AM30" s="162">
        <f t="shared" si="51"/>
        <v>14886.48612</v>
      </c>
      <c r="AO30" s="107" t="s">
        <v>393</v>
      </c>
      <c r="AP30" s="294">
        <f>TripMode_input!R27*Index!$B$2</f>
        <v>0</v>
      </c>
      <c r="AQ30" s="294">
        <f>TripMode_input!S27*Index!$B$2</f>
        <v>0</v>
      </c>
      <c r="AR30" s="294">
        <f>TripMode_input!T27*Index!$B$2</f>
        <v>0</v>
      </c>
      <c r="AS30" s="294">
        <f>TripMode_input!U27*Index!$B$2</f>
        <v>0</v>
      </c>
      <c r="AT30" s="294">
        <f>TripMode_input!V27*Index!$B$2</f>
        <v>0</v>
      </c>
      <c r="AU30" s="294">
        <f>TripMode_input!W27*Index!$B$2</f>
        <v>0</v>
      </c>
      <c r="AV30" s="294">
        <f>TripMode_input!X27*Index!$B$2</f>
        <v>0</v>
      </c>
      <c r="AW30" s="160">
        <f>TripMode_input!Y27*Index!$B$2</f>
        <v>13075</v>
      </c>
      <c r="AX30" s="294">
        <f>TripMode_input!AA27*Index!$B$2</f>
        <v>0</v>
      </c>
      <c r="AY30" s="294">
        <f>TripMode_input!AB27*Index!$B$2</f>
        <v>0</v>
      </c>
      <c r="AZ30" s="294">
        <f>TripMode_input!AC27*Index!$B$2</f>
        <v>0</v>
      </c>
      <c r="BA30" s="294">
        <f>TripMode_input!AD27*Index!$B$2</f>
        <v>0</v>
      </c>
      <c r="BB30" s="294">
        <f>TripMode_input!AE27*Index!$B$2</f>
        <v>0</v>
      </c>
      <c r="BC30" s="162">
        <f t="shared" si="52"/>
        <v>13075</v>
      </c>
      <c r="BE30" s="107" t="s">
        <v>393</v>
      </c>
      <c r="BF30" s="166">
        <f t="shared" si="66"/>
        <v>0</v>
      </c>
      <c r="BG30" s="166">
        <f t="shared" si="66"/>
        <v>0</v>
      </c>
      <c r="BH30" s="166">
        <f t="shared" si="66"/>
        <v>0</v>
      </c>
      <c r="BI30" s="166">
        <f t="shared" si="66"/>
        <v>0</v>
      </c>
      <c r="BJ30" s="166">
        <f t="shared" si="66"/>
        <v>0</v>
      </c>
      <c r="BK30" s="166">
        <f t="shared" si="66"/>
        <v>0</v>
      </c>
      <c r="BL30" s="166">
        <f t="shared" si="66"/>
        <v>0</v>
      </c>
      <c r="BM30" s="166">
        <f t="shared" si="66"/>
        <v>1</v>
      </c>
      <c r="BN30" s="166">
        <f t="shared" si="66"/>
        <v>0</v>
      </c>
      <c r="BO30" s="166">
        <f t="shared" si="66"/>
        <v>0</v>
      </c>
      <c r="BP30" s="166">
        <f t="shared" si="66"/>
        <v>0</v>
      </c>
      <c r="BQ30" s="166">
        <f t="shared" si="66"/>
        <v>0</v>
      </c>
      <c r="BR30" s="166">
        <f t="shared" si="66"/>
        <v>0</v>
      </c>
      <c r="BS30" s="166">
        <f t="shared" si="66"/>
        <v>3.2934074331896941E-2</v>
      </c>
      <c r="BU30" s="107" t="s">
        <v>393</v>
      </c>
      <c r="BV30" s="166">
        <f t="shared" si="67"/>
        <v>0</v>
      </c>
      <c r="BW30" s="166">
        <f t="shared" si="68"/>
        <v>0</v>
      </c>
      <c r="BX30" s="166">
        <f t="shared" si="69"/>
        <v>0</v>
      </c>
      <c r="BY30" s="166">
        <f t="shared" si="70"/>
        <v>0</v>
      </c>
      <c r="BZ30" s="166">
        <f t="shared" si="71"/>
        <v>0</v>
      </c>
      <c r="CA30" s="166">
        <f t="shared" si="72"/>
        <v>0</v>
      </c>
      <c r="CB30" s="166">
        <f t="shared" si="73"/>
        <v>0</v>
      </c>
      <c r="CC30" s="166">
        <f t="shared" si="74"/>
        <v>1</v>
      </c>
      <c r="CD30" s="166">
        <f t="shared" si="75"/>
        <v>0</v>
      </c>
      <c r="CE30" s="166">
        <f t="shared" si="76"/>
        <v>0</v>
      </c>
      <c r="CF30" s="166">
        <f t="shared" si="77"/>
        <v>0</v>
      </c>
      <c r="CG30" s="166">
        <f t="shared" si="78"/>
        <v>0</v>
      </c>
      <c r="CH30" s="166" t="str">
        <f t="shared" si="79"/>
        <v/>
      </c>
      <c r="CI30" s="168">
        <f t="shared" si="80"/>
        <v>3.8962393468025505E-2</v>
      </c>
      <c r="CK30" s="107" t="s">
        <v>393</v>
      </c>
      <c r="CL30" s="166"/>
      <c r="CM30" s="166"/>
      <c r="CN30" s="166"/>
      <c r="CO30" s="166"/>
      <c r="CP30" s="166"/>
      <c r="CQ30" s="166"/>
      <c r="CR30" s="166"/>
      <c r="CS30" s="166"/>
      <c r="CT30" s="166"/>
      <c r="CU30" s="166"/>
      <c r="CV30" s="166"/>
      <c r="CW30" s="166"/>
      <c r="CX30" s="166"/>
      <c r="CY30" s="168"/>
      <c r="DA30" s="107" t="s">
        <v>393</v>
      </c>
      <c r="DB30" s="315"/>
      <c r="DC30" s="315"/>
      <c r="DD30" s="315"/>
      <c r="DE30" s="315"/>
      <c r="DF30" s="315"/>
      <c r="DG30" s="315"/>
      <c r="DH30" s="315"/>
      <c r="DI30" s="314">
        <f>IFERROR(IF(CC30&gt;0,LN(BM30/CC30),0),0)</f>
        <v>0</v>
      </c>
      <c r="DJ30" s="315"/>
      <c r="DK30" s="315"/>
      <c r="DL30" s="315"/>
      <c r="DM30" s="315"/>
      <c r="DN30" s="315"/>
      <c r="DO30" s="168"/>
      <c r="DQ30" s="107" t="s">
        <v>393</v>
      </c>
      <c r="DR30" s="315"/>
      <c r="DS30" s="315"/>
      <c r="DT30" s="315"/>
      <c r="DU30" s="315"/>
      <c r="DV30" s="315"/>
      <c r="DW30" s="315"/>
      <c r="DX30" s="315"/>
      <c r="DY30" s="314">
        <v>0</v>
      </c>
      <c r="DZ30" s="315"/>
      <c r="EA30" s="315"/>
      <c r="EB30" s="315"/>
      <c r="EC30" s="315"/>
      <c r="ED30" s="315"/>
      <c r="EE30" s="168"/>
      <c r="EG30" s="107" t="s">
        <v>393</v>
      </c>
      <c r="EH30" s="315"/>
      <c r="EI30" s="315"/>
      <c r="EJ30" s="315"/>
      <c r="EK30" s="315"/>
      <c r="EL30" s="315"/>
      <c r="EM30" s="315"/>
      <c r="EN30" s="315"/>
      <c r="EO30" s="314">
        <v>0</v>
      </c>
      <c r="EP30" s="315"/>
      <c r="EQ30" s="315"/>
      <c r="ER30" s="315"/>
      <c r="ES30" s="315"/>
      <c r="ET30" s="315"/>
      <c r="EU30" s="168"/>
      <c r="EW30" s="164" t="s">
        <v>393</v>
      </c>
      <c r="EX30" s="316">
        <f t="shared" si="61"/>
        <v>0</v>
      </c>
      <c r="EY30" s="316">
        <f t="shared" si="57"/>
        <v>0</v>
      </c>
      <c r="EZ30" s="316">
        <f t="shared" si="57"/>
        <v>0</v>
      </c>
      <c r="FA30" s="316">
        <f t="shared" si="57"/>
        <v>0</v>
      </c>
      <c r="FB30" s="316">
        <f t="shared" si="57"/>
        <v>0</v>
      </c>
      <c r="FC30" s="316">
        <f t="shared" si="57"/>
        <v>0</v>
      </c>
      <c r="FD30" s="316">
        <f t="shared" si="57"/>
        <v>0</v>
      </c>
      <c r="FE30" s="316">
        <f t="shared" si="57"/>
        <v>0</v>
      </c>
      <c r="FF30" s="316"/>
      <c r="FG30" s="316">
        <f t="shared" si="57"/>
        <v>0</v>
      </c>
      <c r="FH30" s="316">
        <f t="shared" si="57"/>
        <v>0</v>
      </c>
      <c r="FI30" s="316">
        <f t="shared" si="57"/>
        <v>0</v>
      </c>
      <c r="FJ30" s="316">
        <f t="shared" si="57"/>
        <v>0</v>
      </c>
      <c r="FK30" s="316">
        <f t="shared" si="57"/>
        <v>0</v>
      </c>
      <c r="FL30" s="168"/>
    </row>
    <row r="31" spans="2:168" x14ac:dyDescent="0.25">
      <c r="B31" s="107" t="s">
        <v>546</v>
      </c>
      <c r="C31" s="294"/>
      <c r="D31" s="294"/>
      <c r="E31" s="294"/>
      <c r="F31" s="294"/>
      <c r="G31" s="294"/>
      <c r="H31" s="294"/>
      <c r="I31" s="294"/>
      <c r="J31" s="294"/>
      <c r="K31" s="160">
        <f>TripMode_input!K29+TripMode_input!J29+TripMode_input!K28+TripMode_input!J28</f>
        <v>70809.194709999996</v>
      </c>
      <c r="L31" s="294"/>
      <c r="M31" s="294"/>
      <c r="N31" s="294"/>
      <c r="O31" s="294"/>
      <c r="P31" s="162">
        <f t="shared" si="47"/>
        <v>70809.194709999996</v>
      </c>
      <c r="R31">
        <f t="shared" si="58"/>
        <v>1</v>
      </c>
      <c r="S31">
        <f t="shared" si="59"/>
        <v>0</v>
      </c>
      <c r="T31">
        <f t="shared" si="60"/>
        <v>0</v>
      </c>
      <c r="U31" s="127">
        <f>+K31/K$159</f>
        <v>5.6283883454522315E-2</v>
      </c>
      <c r="V31" s="127"/>
      <c r="W31" s="127"/>
      <c r="X31" s="127"/>
      <c r="Y31" s="107" t="s">
        <v>546</v>
      </c>
      <c r="Z31" s="294"/>
      <c r="AA31" s="294"/>
      <c r="AB31" s="294"/>
      <c r="AC31" s="294"/>
      <c r="AD31" s="294"/>
      <c r="AE31" s="294"/>
      <c r="AF31" s="294"/>
      <c r="AG31" s="294"/>
      <c r="AH31" s="160">
        <f>U31*U$159</f>
        <v>74743.019023582252</v>
      </c>
      <c r="AI31" s="294"/>
      <c r="AJ31" s="294"/>
      <c r="AK31" s="294"/>
      <c r="AL31" s="294"/>
      <c r="AM31" s="162">
        <f t="shared" si="51"/>
        <v>74743.019023582252</v>
      </c>
      <c r="AN31" s="127"/>
      <c r="AO31" s="107" t="s">
        <v>395</v>
      </c>
      <c r="AP31" s="294">
        <f>TripMode_input!R29*Index!$B$2</f>
        <v>0</v>
      </c>
      <c r="AQ31" s="294">
        <f>TripMode_input!S29*Index!$B$2</f>
        <v>0</v>
      </c>
      <c r="AR31" s="294">
        <f>TripMode_input!T29*Index!$B$2</f>
        <v>0</v>
      </c>
      <c r="AS31" s="294">
        <f>TripMode_input!U29*Index!$B$2</f>
        <v>0</v>
      </c>
      <c r="AT31" s="294">
        <f>TripMode_input!V29*Index!$B$2</f>
        <v>0</v>
      </c>
      <c r="AU31" s="294">
        <f>TripMode_input!W29*Index!$B$2</f>
        <v>0</v>
      </c>
      <c r="AV31" s="294">
        <f>TripMode_input!X29*Index!$B$2</f>
        <v>0</v>
      </c>
      <c r="AW31" s="294">
        <f>TripMode_input!Y29*Index!$B$2</f>
        <v>0</v>
      </c>
      <c r="AX31" s="160">
        <f>TripMode_input!AA29*Index!$B$2</f>
        <v>38485</v>
      </c>
      <c r="AY31" s="160">
        <f>TripMode_input!AB29*Index!$B$2</f>
        <v>0</v>
      </c>
      <c r="AZ31" s="160">
        <f>TripMode_input!AC29*Index!$B$2</f>
        <v>0</v>
      </c>
      <c r="BA31" s="294">
        <f>TripMode_input!AD29*Index!$B$2</f>
        <v>0</v>
      </c>
      <c r="BB31" s="294">
        <f>TripMode_input!AE29*Index!$B$2</f>
        <v>0</v>
      </c>
      <c r="BC31" s="162">
        <f t="shared" si="52"/>
        <v>38485</v>
      </c>
      <c r="BE31" s="107" t="s">
        <v>395</v>
      </c>
      <c r="BF31" s="166">
        <f t="shared" si="66"/>
        <v>0</v>
      </c>
      <c r="BG31" s="166">
        <f t="shared" si="66"/>
        <v>0</v>
      </c>
      <c r="BH31" s="166">
        <f t="shared" si="66"/>
        <v>0</v>
      </c>
      <c r="BI31" s="166">
        <f t="shared" si="66"/>
        <v>0</v>
      </c>
      <c r="BJ31" s="166">
        <f t="shared" si="66"/>
        <v>0</v>
      </c>
      <c r="BK31" s="166">
        <f t="shared" si="66"/>
        <v>0</v>
      </c>
      <c r="BL31" s="166">
        <f t="shared" si="66"/>
        <v>0</v>
      </c>
      <c r="BM31" s="166">
        <f t="shared" si="66"/>
        <v>0</v>
      </c>
      <c r="BN31" s="166">
        <f t="shared" si="66"/>
        <v>0.81807937632978389</v>
      </c>
      <c r="BO31" s="166">
        <f t="shared" si="66"/>
        <v>0</v>
      </c>
      <c r="BP31" s="166">
        <f t="shared" si="66"/>
        <v>0</v>
      </c>
      <c r="BQ31" s="166">
        <f t="shared" si="66"/>
        <v>0</v>
      </c>
      <c r="BR31" s="166">
        <f t="shared" si="66"/>
        <v>0</v>
      </c>
      <c r="BS31" s="166">
        <f t="shared" si="66"/>
        <v>0.16535750105633693</v>
      </c>
      <c r="BU31" s="107" t="s">
        <v>395</v>
      </c>
      <c r="BV31" s="166">
        <f t="shared" si="67"/>
        <v>0</v>
      </c>
      <c r="BW31" s="166">
        <f t="shared" si="68"/>
        <v>0</v>
      </c>
      <c r="BX31" s="166">
        <f t="shared" si="69"/>
        <v>0</v>
      </c>
      <c r="BY31" s="166">
        <f t="shared" si="70"/>
        <v>0</v>
      </c>
      <c r="BZ31" s="166">
        <f t="shared" si="71"/>
        <v>0</v>
      </c>
      <c r="CA31" s="166">
        <f t="shared" si="72"/>
        <v>0</v>
      </c>
      <c r="CB31" s="166">
        <f t="shared" si="73"/>
        <v>0</v>
      </c>
      <c r="CC31" s="166">
        <f t="shared" si="74"/>
        <v>0</v>
      </c>
      <c r="CD31" s="166">
        <f t="shared" si="75"/>
        <v>0.51450534759358291</v>
      </c>
      <c r="CE31" s="166">
        <f t="shared" si="76"/>
        <v>0</v>
      </c>
      <c r="CF31" s="166">
        <f t="shared" si="77"/>
        <v>0</v>
      </c>
      <c r="CG31" s="166">
        <f t="shared" si="78"/>
        <v>0</v>
      </c>
      <c r="CH31" s="166" t="str">
        <f t="shared" si="79"/>
        <v/>
      </c>
      <c r="CI31" s="168">
        <f t="shared" si="80"/>
        <v>0.11468204302997795</v>
      </c>
      <c r="CK31" s="107" t="s">
        <v>395</v>
      </c>
      <c r="CL31" s="166" t="str">
        <f t="shared" ref="CL31:CO36" si="82">IF(OR(ISNA(BF31),BF31=0,BF31=""),"",(BV31-BF31)/BF31)</f>
        <v/>
      </c>
      <c r="CM31" s="166" t="str">
        <f t="shared" si="82"/>
        <v/>
      </c>
      <c r="CN31" s="166" t="str">
        <f t="shared" si="82"/>
        <v/>
      </c>
      <c r="CO31" s="166" t="str">
        <f t="shared" si="82"/>
        <v/>
      </c>
      <c r="CP31" s="166"/>
      <c r="CQ31" s="166"/>
      <c r="CR31" s="166"/>
      <c r="CS31" s="166"/>
      <c r="CT31" s="166">
        <f t="shared" ref="CT31:CY36" si="83">IF(OR(ISNA(BN31),BN31=0,BN31=""),"",(CD31-BN31)/BN31)</f>
        <v>-0.37108138588965517</v>
      </c>
      <c r="CU31" s="166" t="str">
        <f t="shared" si="83"/>
        <v/>
      </c>
      <c r="CV31" s="166" t="str">
        <f t="shared" si="83"/>
        <v/>
      </c>
      <c r="CW31" s="166" t="str">
        <f t="shared" si="83"/>
        <v/>
      </c>
      <c r="CX31" s="166" t="str">
        <f t="shared" si="83"/>
        <v/>
      </c>
      <c r="CY31" s="168">
        <f t="shared" si="83"/>
        <v>-0.30645998943279845</v>
      </c>
      <c r="DA31" s="107" t="s">
        <v>395</v>
      </c>
      <c r="DB31" s="315"/>
      <c r="DC31" s="315"/>
      <c r="DD31" s="315"/>
      <c r="DE31" s="315"/>
      <c r="DF31" s="315"/>
      <c r="DG31" s="315"/>
      <c r="DH31" s="315"/>
      <c r="DI31" s="315"/>
      <c r="DJ31" s="314">
        <f t="shared" si="81"/>
        <v>0.46375341998494346</v>
      </c>
      <c r="DK31" s="315"/>
      <c r="DL31" s="315"/>
      <c r="DM31" s="315"/>
      <c r="DN31" s="315"/>
      <c r="DO31" s="168"/>
      <c r="DQ31" s="107" t="s">
        <v>395</v>
      </c>
      <c r="DR31" s="315"/>
      <c r="DS31" s="315"/>
      <c r="DT31" s="315"/>
      <c r="DU31" s="315"/>
      <c r="DV31" s="315"/>
      <c r="DW31" s="315"/>
      <c r="DX31" s="315"/>
      <c r="DY31" s="315"/>
      <c r="DZ31" s="314">
        <v>0</v>
      </c>
      <c r="EA31" s="315"/>
      <c r="EB31" s="315"/>
      <c r="EC31" s="315"/>
      <c r="ED31" s="315"/>
      <c r="EE31" s="168"/>
      <c r="EG31" s="107" t="s">
        <v>395</v>
      </c>
      <c r="EH31" s="315"/>
      <c r="EI31" s="315"/>
      <c r="EJ31" s="315"/>
      <c r="EK31" s="315"/>
      <c r="EL31" s="315"/>
      <c r="EM31" s="315"/>
      <c r="EN31" s="315"/>
      <c r="EO31" s="315"/>
      <c r="EP31" s="314">
        <v>0</v>
      </c>
      <c r="EQ31" s="315"/>
      <c r="ER31" s="315"/>
      <c r="ES31" s="315"/>
      <c r="ET31" s="315"/>
      <c r="EU31" s="168"/>
      <c r="EW31" s="164" t="s">
        <v>546</v>
      </c>
      <c r="EX31" s="316">
        <f t="shared" si="61"/>
        <v>0</v>
      </c>
      <c r="EY31" s="316">
        <f t="shared" si="57"/>
        <v>0</v>
      </c>
      <c r="EZ31" s="316">
        <f t="shared" si="57"/>
        <v>-7.885924263035867</v>
      </c>
      <c r="FA31" s="316">
        <f t="shared" si="57"/>
        <v>-7.885924263035867</v>
      </c>
      <c r="FB31" s="316">
        <f t="shared" si="57"/>
        <v>-8.1914376682209884</v>
      </c>
      <c r="FC31" s="316">
        <f t="shared" si="57"/>
        <v>-8.1914376682209884</v>
      </c>
      <c r="FD31" s="316">
        <f t="shared" si="57"/>
        <v>3.077554704500312</v>
      </c>
      <c r="FE31" s="316">
        <f t="shared" si="57"/>
        <v>0</v>
      </c>
      <c r="FF31" s="316"/>
      <c r="FG31" s="316">
        <f t="shared" si="57"/>
        <v>0</v>
      </c>
      <c r="FH31" s="316">
        <f t="shared" si="57"/>
        <v>0</v>
      </c>
      <c r="FI31" s="316">
        <f t="shared" si="57"/>
        <v>0</v>
      </c>
      <c r="FJ31" s="316">
        <f t="shared" si="57"/>
        <v>-2.2014440590127768</v>
      </c>
      <c r="FK31" s="316">
        <f t="shared" si="57"/>
        <v>0</v>
      </c>
      <c r="FL31" s="168"/>
    </row>
    <row r="32" spans="2:168" x14ac:dyDescent="0.25">
      <c r="B32" s="107" t="s">
        <v>396</v>
      </c>
      <c r="C32" s="294"/>
      <c r="D32" s="294"/>
      <c r="E32" s="294"/>
      <c r="F32" s="294"/>
      <c r="G32" s="294"/>
      <c r="H32" s="294"/>
      <c r="I32" s="294"/>
      <c r="J32" s="294"/>
      <c r="K32" s="294"/>
      <c r="L32" s="160">
        <f>TripMode_input!L30</f>
        <v>4332.2475999999997</v>
      </c>
      <c r="M32" s="294"/>
      <c r="N32" s="294"/>
      <c r="O32" s="294"/>
      <c r="P32" s="162">
        <f t="shared" si="47"/>
        <v>4332.2475999999997</v>
      </c>
      <c r="R32">
        <f t="shared" si="58"/>
        <v>0</v>
      </c>
      <c r="S32">
        <f t="shared" si="59"/>
        <v>1</v>
      </c>
      <c r="T32">
        <f t="shared" si="60"/>
        <v>0</v>
      </c>
      <c r="V32" s="127">
        <f>+L32/L$160</f>
        <v>4.2658914759382147E-2</v>
      </c>
      <c r="W32" s="127"/>
      <c r="X32" s="127"/>
      <c r="Y32" s="107" t="s">
        <v>396</v>
      </c>
      <c r="Z32" s="294"/>
      <c r="AA32" s="294"/>
      <c r="AB32" s="294"/>
      <c r="AC32" s="294"/>
      <c r="AD32" s="294"/>
      <c r="AE32" s="294"/>
      <c r="AF32" s="294"/>
      <c r="AG32" s="294"/>
      <c r="AH32" s="294"/>
      <c r="AI32" s="160">
        <f>V32*V$160</f>
        <v>2920.0937792650452</v>
      </c>
      <c r="AJ32" s="294"/>
      <c r="AK32" s="294"/>
      <c r="AL32" s="294"/>
      <c r="AM32" s="162">
        <f t="shared" si="51"/>
        <v>2920.0937792650452</v>
      </c>
      <c r="AN32" s="127"/>
      <c r="AO32" s="107" t="s">
        <v>396</v>
      </c>
      <c r="AP32" s="294">
        <f>TripMode_input!R30*Index!$B$2</f>
        <v>0</v>
      </c>
      <c r="AQ32" s="294">
        <f>TripMode_input!S30*Index!$B$2</f>
        <v>0</v>
      </c>
      <c r="AR32" s="294">
        <f>TripMode_input!T30*Index!$B$2</f>
        <v>0</v>
      </c>
      <c r="AS32" s="294">
        <f>TripMode_input!U30*Index!$B$2</f>
        <v>0</v>
      </c>
      <c r="AT32" s="294">
        <f>TripMode_input!V30*Index!$B$2</f>
        <v>0</v>
      </c>
      <c r="AU32" s="294">
        <f>TripMode_input!W30*Index!$B$2</f>
        <v>0</v>
      </c>
      <c r="AV32" s="294">
        <f>TripMode_input!X30*Index!$B$2</f>
        <v>0</v>
      </c>
      <c r="AW32" s="294">
        <f>TripMode_input!Y30*Index!$B$2</f>
        <v>0</v>
      </c>
      <c r="AX32" s="294">
        <f>TripMode_input!AA30*Index!$B$2</f>
        <v>0</v>
      </c>
      <c r="AY32" s="160">
        <f>TripMode_input!AB30*Index!$B$2</f>
        <v>1620</v>
      </c>
      <c r="AZ32" s="294">
        <f>TripMode_input!AC30*Index!$B$2</f>
        <v>0</v>
      </c>
      <c r="BA32" s="294">
        <f>TripMode_input!AD30*Index!$B$2</f>
        <v>0</v>
      </c>
      <c r="BB32" s="294">
        <f>TripMode_input!AE30*Index!$B$2</f>
        <v>0</v>
      </c>
      <c r="BC32" s="162">
        <f t="shared" si="52"/>
        <v>1620</v>
      </c>
      <c r="BE32" s="107" t="s">
        <v>396</v>
      </c>
      <c r="BF32" s="166">
        <f t="shared" si="66"/>
        <v>0</v>
      </c>
      <c r="BG32" s="166">
        <f t="shared" si="66"/>
        <v>0</v>
      </c>
      <c r="BH32" s="166">
        <f t="shared" si="66"/>
        <v>0</v>
      </c>
      <c r="BI32" s="166">
        <f t="shared" si="66"/>
        <v>0</v>
      </c>
      <c r="BJ32" s="166">
        <f t="shared" si="66"/>
        <v>0</v>
      </c>
      <c r="BK32" s="166">
        <f t="shared" si="66"/>
        <v>0</v>
      </c>
      <c r="BL32" s="166">
        <f t="shared" si="66"/>
        <v>0</v>
      </c>
      <c r="BM32" s="166">
        <f t="shared" si="66"/>
        <v>0</v>
      </c>
      <c r="BN32" s="166">
        <f t="shared" si="66"/>
        <v>0</v>
      </c>
      <c r="BO32" s="166">
        <f t="shared" si="66"/>
        <v>1</v>
      </c>
      <c r="BP32" s="166">
        <f t="shared" si="66"/>
        <v>0</v>
      </c>
      <c r="BQ32" s="166">
        <f t="shared" si="66"/>
        <v>0</v>
      </c>
      <c r="BR32" s="166">
        <f t="shared" si="66"/>
        <v>0</v>
      </c>
      <c r="BS32" s="166">
        <f t="shared" si="66"/>
        <v>6.4602609915592937E-3</v>
      </c>
      <c r="BU32" s="107" t="s">
        <v>396</v>
      </c>
      <c r="BV32" s="166">
        <f t="shared" si="67"/>
        <v>0</v>
      </c>
      <c r="BW32" s="166">
        <f t="shared" si="68"/>
        <v>0</v>
      </c>
      <c r="BX32" s="166">
        <f t="shared" si="69"/>
        <v>0</v>
      </c>
      <c r="BY32" s="166">
        <f t="shared" si="70"/>
        <v>0</v>
      </c>
      <c r="BZ32" s="166">
        <f t="shared" si="71"/>
        <v>0</v>
      </c>
      <c r="CA32" s="166">
        <f t="shared" si="72"/>
        <v>0</v>
      </c>
      <c r="CB32" s="166">
        <f t="shared" si="73"/>
        <v>0</v>
      </c>
      <c r="CC32" s="166">
        <f t="shared" si="74"/>
        <v>0</v>
      </c>
      <c r="CD32" s="166">
        <f t="shared" si="75"/>
        <v>0</v>
      </c>
      <c r="CE32" s="166">
        <f t="shared" si="76"/>
        <v>1</v>
      </c>
      <c r="CF32" s="166">
        <f t="shared" si="77"/>
        <v>0</v>
      </c>
      <c r="CG32" s="166">
        <f t="shared" si="78"/>
        <v>0</v>
      </c>
      <c r="CH32" s="166" t="str">
        <f t="shared" si="79"/>
        <v/>
      </c>
      <c r="CI32" s="168">
        <f t="shared" si="80"/>
        <v>4.8274629000536386E-3</v>
      </c>
      <c r="CK32" s="107" t="s">
        <v>396</v>
      </c>
      <c r="CL32" s="166" t="str">
        <f t="shared" si="82"/>
        <v/>
      </c>
      <c r="CM32" s="166" t="str">
        <f t="shared" si="82"/>
        <v/>
      </c>
      <c r="CN32" s="166" t="str">
        <f t="shared" si="82"/>
        <v/>
      </c>
      <c r="CO32" s="166" t="str">
        <f t="shared" si="82"/>
        <v/>
      </c>
      <c r="CP32" s="166"/>
      <c r="CQ32" s="166"/>
      <c r="CR32" s="166"/>
      <c r="CS32" s="166"/>
      <c r="CT32" s="166" t="str">
        <f t="shared" si="83"/>
        <v/>
      </c>
      <c r="CU32" s="166">
        <f t="shared" si="83"/>
        <v>0</v>
      </c>
      <c r="CV32" s="166" t="str">
        <f t="shared" si="83"/>
        <v/>
      </c>
      <c r="CW32" s="166" t="str">
        <f t="shared" si="83"/>
        <v/>
      </c>
      <c r="CX32" s="166" t="str">
        <f t="shared" si="83"/>
        <v/>
      </c>
      <c r="CY32" s="168">
        <f t="shared" si="83"/>
        <v>-0.25274491133392296</v>
      </c>
      <c r="DA32" s="107" t="s">
        <v>396</v>
      </c>
      <c r="DB32" s="315"/>
      <c r="DC32" s="315"/>
      <c r="DD32" s="315"/>
      <c r="DE32" s="315"/>
      <c r="DF32" s="315"/>
      <c r="DG32" s="315"/>
      <c r="DH32" s="315"/>
      <c r="DI32" s="315"/>
      <c r="DJ32" s="315"/>
      <c r="DK32" s="314">
        <f>IFERROR(IF(CE32&gt;0,LN(BO32/CE32),0),0)</f>
        <v>0</v>
      </c>
      <c r="DL32" s="315"/>
      <c r="DM32" s="315"/>
      <c r="DN32" s="315"/>
      <c r="DO32" s="168"/>
      <c r="DQ32" s="107" t="s">
        <v>396</v>
      </c>
      <c r="DR32" s="315"/>
      <c r="DS32" s="315"/>
      <c r="DT32" s="315"/>
      <c r="DU32" s="315"/>
      <c r="DV32" s="315"/>
      <c r="DW32" s="315"/>
      <c r="DX32" s="315"/>
      <c r="DY32" s="315"/>
      <c r="DZ32" s="315"/>
      <c r="EA32" s="314">
        <v>0</v>
      </c>
      <c r="EB32" s="315"/>
      <c r="EC32" s="315"/>
      <c r="ED32" s="315"/>
      <c r="EE32" s="168"/>
      <c r="EG32" s="107" t="s">
        <v>396</v>
      </c>
      <c r="EH32" s="315"/>
      <c r="EI32" s="315"/>
      <c r="EJ32" s="315"/>
      <c r="EK32" s="315"/>
      <c r="EL32" s="315"/>
      <c r="EM32" s="315"/>
      <c r="EN32" s="315"/>
      <c r="EO32" s="315"/>
      <c r="EP32" s="315"/>
      <c r="EQ32" s="314">
        <v>0</v>
      </c>
      <c r="ER32" s="315"/>
      <c r="ES32" s="315"/>
      <c r="ET32" s="315"/>
      <c r="EU32" s="168"/>
      <c r="EW32" s="164" t="s">
        <v>396</v>
      </c>
      <c r="EX32" s="316">
        <f t="shared" si="61"/>
        <v>0</v>
      </c>
      <c r="EY32" s="316">
        <f t="shared" si="57"/>
        <v>0</v>
      </c>
      <c r="EZ32" s="316">
        <f t="shared" si="57"/>
        <v>0</v>
      </c>
      <c r="FA32" s="316">
        <f t="shared" si="57"/>
        <v>0</v>
      </c>
      <c r="FB32" s="316">
        <f t="shared" si="57"/>
        <v>0</v>
      </c>
      <c r="FC32" s="316">
        <f t="shared" si="57"/>
        <v>0</v>
      </c>
      <c r="FD32" s="316">
        <f t="shared" si="57"/>
        <v>0</v>
      </c>
      <c r="FE32" s="316">
        <f t="shared" si="57"/>
        <v>0</v>
      </c>
      <c r="FF32" s="316"/>
      <c r="FG32" s="316">
        <f t="shared" si="57"/>
        <v>0</v>
      </c>
      <c r="FH32" s="316">
        <f t="shared" si="57"/>
        <v>0</v>
      </c>
      <c r="FI32" s="316">
        <f t="shared" si="57"/>
        <v>0</v>
      </c>
      <c r="FJ32" s="316">
        <f t="shared" si="57"/>
        <v>0</v>
      </c>
      <c r="FK32" s="316">
        <f t="shared" si="57"/>
        <v>0</v>
      </c>
      <c r="FL32" s="168"/>
    </row>
    <row r="33" spans="2:168" x14ac:dyDescent="0.25">
      <c r="B33" s="107" t="s">
        <v>397</v>
      </c>
      <c r="C33" s="294"/>
      <c r="D33" s="294"/>
      <c r="E33" s="294"/>
      <c r="F33" s="294"/>
      <c r="G33" s="294"/>
      <c r="H33" s="294"/>
      <c r="I33" s="294"/>
      <c r="J33" s="294"/>
      <c r="K33" s="294"/>
      <c r="L33" s="294"/>
      <c r="M33" s="160">
        <f>TripMode_input!M31</f>
        <v>15258.03968</v>
      </c>
      <c r="N33" s="294"/>
      <c r="O33" s="294"/>
      <c r="P33" s="162">
        <f t="shared" si="47"/>
        <v>15258.03968</v>
      </c>
      <c r="R33">
        <f t="shared" si="58"/>
        <v>0</v>
      </c>
      <c r="S33">
        <f t="shared" si="59"/>
        <v>0</v>
      </c>
      <c r="T33">
        <f t="shared" si="60"/>
        <v>1</v>
      </c>
      <c r="W33" s="127">
        <f>+M33/M$161</f>
        <v>5.5288716010847408E-2</v>
      </c>
      <c r="X33" s="127"/>
      <c r="Y33" s="107" t="s">
        <v>397</v>
      </c>
      <c r="Z33" s="294"/>
      <c r="AA33" s="294"/>
      <c r="AB33" s="294"/>
      <c r="AC33" s="294"/>
      <c r="AD33" s="294"/>
      <c r="AE33" s="294"/>
      <c r="AF33" s="294"/>
      <c r="AG33" s="294"/>
      <c r="AH33" s="294"/>
      <c r="AI33" s="294"/>
      <c r="AJ33" s="160">
        <f>W33*W$161</f>
        <v>10988.056873257425</v>
      </c>
      <c r="AK33" s="294"/>
      <c r="AL33" s="294"/>
      <c r="AM33" s="162">
        <f t="shared" si="51"/>
        <v>10988.056873257425</v>
      </c>
      <c r="AN33" s="127"/>
      <c r="AO33" s="107" t="s">
        <v>397</v>
      </c>
      <c r="AP33" s="294">
        <f>TripMode_input!R31*Index!$B$2</f>
        <v>0</v>
      </c>
      <c r="AQ33" s="294">
        <f>TripMode_input!S31*Index!$B$2</f>
        <v>0</v>
      </c>
      <c r="AR33" s="294">
        <f>TripMode_input!T31*Index!$B$2</f>
        <v>0</v>
      </c>
      <c r="AS33" s="294">
        <f>TripMode_input!U31*Index!$B$2</f>
        <v>0</v>
      </c>
      <c r="AT33" s="294">
        <f>TripMode_input!V31*Index!$B$2</f>
        <v>0</v>
      </c>
      <c r="AU33" s="294">
        <f>TripMode_input!W31*Index!$B$2</f>
        <v>0</v>
      </c>
      <c r="AV33" s="294">
        <f>TripMode_input!X31*Index!$B$2</f>
        <v>0</v>
      </c>
      <c r="AW33" s="294">
        <f>TripMode_input!Y31*Index!$B$2</f>
        <v>0</v>
      </c>
      <c r="AX33" s="294">
        <f>TripMode_input!AA31*Index!$B$2</f>
        <v>0</v>
      </c>
      <c r="AY33" s="294">
        <f>TripMode_input!AB31*Index!$B$2</f>
        <v>0</v>
      </c>
      <c r="AZ33" s="160">
        <f>TripMode_input!AC31*Index!$B$2</f>
        <v>7870</v>
      </c>
      <c r="BA33" s="294">
        <f>TripMode_input!AD31*Index!$B$2</f>
        <v>0</v>
      </c>
      <c r="BB33" s="294">
        <f>TripMode_input!AE31*Index!$B$2</f>
        <v>0</v>
      </c>
      <c r="BC33" s="162">
        <f t="shared" si="52"/>
        <v>7870</v>
      </c>
      <c r="BE33" s="107" t="s">
        <v>397</v>
      </c>
      <c r="BF33" s="166">
        <f t="shared" si="66"/>
        <v>0</v>
      </c>
      <c r="BG33" s="166">
        <f t="shared" si="66"/>
        <v>0</v>
      </c>
      <c r="BH33" s="166">
        <f t="shared" si="66"/>
        <v>0</v>
      </c>
      <c r="BI33" s="166">
        <f t="shared" si="66"/>
        <v>0</v>
      </c>
      <c r="BJ33" s="166">
        <f t="shared" si="66"/>
        <v>0</v>
      </c>
      <c r="BK33" s="166">
        <f t="shared" si="66"/>
        <v>0</v>
      </c>
      <c r="BL33" s="166">
        <f t="shared" si="66"/>
        <v>0</v>
      </c>
      <c r="BM33" s="166">
        <f t="shared" si="66"/>
        <v>0</v>
      </c>
      <c r="BN33" s="166">
        <f t="shared" si="66"/>
        <v>0</v>
      </c>
      <c r="BO33" s="166">
        <f t="shared" si="66"/>
        <v>0</v>
      </c>
      <c r="BP33" s="166">
        <f t="shared" si="66"/>
        <v>1</v>
      </c>
      <c r="BQ33" s="166">
        <f t="shared" si="66"/>
        <v>0</v>
      </c>
      <c r="BR33" s="166">
        <f t="shared" si="66"/>
        <v>0</v>
      </c>
      <c r="BS33" s="166">
        <f t="shared" si="66"/>
        <v>2.4309395710300177E-2</v>
      </c>
      <c r="BU33" s="107" t="s">
        <v>397</v>
      </c>
      <c r="BV33" s="166">
        <f t="shared" si="67"/>
        <v>0</v>
      </c>
      <c r="BW33" s="166">
        <f t="shared" si="68"/>
        <v>0</v>
      </c>
      <c r="BX33" s="166">
        <f t="shared" si="69"/>
        <v>0</v>
      </c>
      <c r="BY33" s="166">
        <f t="shared" si="70"/>
        <v>0</v>
      </c>
      <c r="BZ33" s="166">
        <f t="shared" si="71"/>
        <v>0</v>
      </c>
      <c r="CA33" s="166">
        <f t="shared" si="72"/>
        <v>0</v>
      </c>
      <c r="CB33" s="166">
        <f t="shared" si="73"/>
        <v>0</v>
      </c>
      <c r="CC33" s="166">
        <f t="shared" si="74"/>
        <v>0</v>
      </c>
      <c r="CD33" s="166">
        <f t="shared" si="75"/>
        <v>0</v>
      </c>
      <c r="CE33" s="166">
        <f t="shared" si="76"/>
        <v>0</v>
      </c>
      <c r="CF33" s="166">
        <f t="shared" si="77"/>
        <v>1</v>
      </c>
      <c r="CG33" s="166">
        <f t="shared" si="78"/>
        <v>0</v>
      </c>
      <c r="CH33" s="166" t="str">
        <f t="shared" si="79"/>
        <v/>
      </c>
      <c r="CI33" s="168">
        <f t="shared" si="80"/>
        <v>2.3451933965075392E-2</v>
      </c>
      <c r="CK33" s="107" t="s">
        <v>397</v>
      </c>
      <c r="CL33" s="166" t="str">
        <f t="shared" si="82"/>
        <v/>
      </c>
      <c r="CM33" s="166" t="str">
        <f t="shared" si="82"/>
        <v/>
      </c>
      <c r="CN33" s="166" t="str">
        <f t="shared" si="82"/>
        <v/>
      </c>
      <c r="CO33" s="166" t="str">
        <f t="shared" si="82"/>
        <v/>
      </c>
      <c r="CP33" s="166"/>
      <c r="CQ33" s="166"/>
      <c r="CR33" s="166"/>
      <c r="CS33" s="166"/>
      <c r="CT33" s="166" t="str">
        <f t="shared" si="83"/>
        <v/>
      </c>
      <c r="CU33" s="166" t="str">
        <f t="shared" si="83"/>
        <v/>
      </c>
      <c r="CV33" s="166">
        <f t="shared" si="83"/>
        <v>0</v>
      </c>
      <c r="CW33" s="166" t="str">
        <f t="shared" si="83"/>
        <v/>
      </c>
      <c r="CX33" s="166" t="str">
        <f t="shared" si="83"/>
        <v/>
      </c>
      <c r="CY33" s="168">
        <f t="shared" si="83"/>
        <v>-3.52728531569984E-2</v>
      </c>
      <c r="DA33" s="107" t="s">
        <v>397</v>
      </c>
      <c r="DB33" s="315"/>
      <c r="DC33" s="315"/>
      <c r="DD33" s="315"/>
      <c r="DE33" s="315"/>
      <c r="DF33" s="315"/>
      <c r="DG33" s="315"/>
      <c r="DH33" s="315"/>
      <c r="DI33" s="315"/>
      <c r="DJ33" s="315"/>
      <c r="DK33" s="315"/>
      <c r="DL33" s="314">
        <f>IFERROR(IF(CF33&gt;0,LN(BP33/CF33),0),0)</f>
        <v>0</v>
      </c>
      <c r="DM33" s="315"/>
      <c r="DN33" s="315"/>
      <c r="DO33" s="168"/>
      <c r="DQ33" s="107" t="s">
        <v>397</v>
      </c>
      <c r="DR33" s="315"/>
      <c r="DS33" s="315"/>
      <c r="DT33" s="315"/>
      <c r="DU33" s="315"/>
      <c r="DV33" s="315"/>
      <c r="DW33" s="315"/>
      <c r="DX33" s="315"/>
      <c r="DY33" s="315"/>
      <c r="DZ33" s="315"/>
      <c r="EA33" s="315"/>
      <c r="EB33" s="314">
        <v>0</v>
      </c>
      <c r="EC33" s="315"/>
      <c r="ED33" s="315"/>
      <c r="EE33" s="168"/>
      <c r="EG33" s="107" t="s">
        <v>397</v>
      </c>
      <c r="EH33" s="315"/>
      <c r="EI33" s="315"/>
      <c r="EJ33" s="315"/>
      <c r="EK33" s="315"/>
      <c r="EL33" s="315"/>
      <c r="EM33" s="315"/>
      <c r="EN33" s="315"/>
      <c r="EO33" s="315"/>
      <c r="EP33" s="315"/>
      <c r="EQ33" s="315"/>
      <c r="ER33" s="314">
        <v>0</v>
      </c>
      <c r="ES33" s="315"/>
      <c r="ET33" s="315"/>
      <c r="EU33" s="168"/>
      <c r="EW33" s="164" t="s">
        <v>397</v>
      </c>
      <c r="EX33" s="316">
        <f t="shared" si="61"/>
        <v>0</v>
      </c>
      <c r="EY33" s="316">
        <f t="shared" si="57"/>
        <v>0</v>
      </c>
      <c r="EZ33" s="316">
        <f t="shared" si="57"/>
        <v>0</v>
      </c>
      <c r="FA33" s="316">
        <f t="shared" si="57"/>
        <v>0</v>
      </c>
      <c r="FB33" s="316">
        <f t="shared" si="57"/>
        <v>0</v>
      </c>
      <c r="FC33" s="316">
        <f t="shared" si="57"/>
        <v>0</v>
      </c>
      <c r="FD33" s="316">
        <f t="shared" si="57"/>
        <v>0</v>
      </c>
      <c r="FE33" s="316">
        <f t="shared" si="57"/>
        <v>0</v>
      </c>
      <c r="FF33" s="316"/>
      <c r="FG33" s="316">
        <f t="shared" si="57"/>
        <v>0</v>
      </c>
      <c r="FH33" s="316">
        <f t="shared" si="57"/>
        <v>0</v>
      </c>
      <c r="FI33" s="316">
        <f t="shared" si="57"/>
        <v>0</v>
      </c>
      <c r="FJ33" s="316">
        <f t="shared" si="57"/>
        <v>0</v>
      </c>
      <c r="FK33" s="316">
        <f t="shared" si="57"/>
        <v>0</v>
      </c>
      <c r="FL33" s="168"/>
    </row>
    <row r="34" spans="2:168" x14ac:dyDescent="0.25">
      <c r="B34" s="107" t="s">
        <v>398</v>
      </c>
      <c r="C34" s="294"/>
      <c r="D34" s="294"/>
      <c r="E34" s="294"/>
      <c r="F34" s="294"/>
      <c r="G34" s="294"/>
      <c r="H34" s="294"/>
      <c r="I34" s="294"/>
      <c r="J34" s="294"/>
      <c r="K34" s="160">
        <f>TripMode_input!K32+TripMode_input!J32</f>
        <v>0</v>
      </c>
      <c r="L34" s="294"/>
      <c r="M34" s="294"/>
      <c r="N34" s="160">
        <f>TripMode_input!N32</f>
        <v>2954.9135999999999</v>
      </c>
      <c r="O34" s="294"/>
      <c r="P34" s="162">
        <f t="shared" si="47"/>
        <v>2954.9135999999999</v>
      </c>
      <c r="R34">
        <f t="shared" si="58"/>
        <v>0</v>
      </c>
      <c r="S34">
        <f t="shared" si="59"/>
        <v>0</v>
      </c>
      <c r="T34">
        <f t="shared" si="60"/>
        <v>0</v>
      </c>
      <c r="Y34" s="107" t="s">
        <v>398</v>
      </c>
      <c r="Z34" s="294"/>
      <c r="AA34" s="294"/>
      <c r="AB34" s="294"/>
      <c r="AC34" s="294"/>
      <c r="AD34" s="294"/>
      <c r="AE34" s="294"/>
      <c r="AF34" s="294"/>
      <c r="AG34" s="294"/>
      <c r="AH34" s="160">
        <f>AH31*R34</f>
        <v>0</v>
      </c>
      <c r="AI34" s="160">
        <f>AI32*S34</f>
        <v>0</v>
      </c>
      <c r="AJ34" s="160">
        <f>AJ33*T34</f>
        <v>0</v>
      </c>
      <c r="AK34" s="160">
        <f>N34</f>
        <v>2954.9135999999999</v>
      </c>
      <c r="AL34" s="294"/>
      <c r="AM34" s="162">
        <f t="shared" si="51"/>
        <v>2954.9135999999999</v>
      </c>
      <c r="AO34" s="107" t="s">
        <v>398</v>
      </c>
      <c r="AP34" s="294">
        <f>TripMode_input!R32*Index!$B$2</f>
        <v>0</v>
      </c>
      <c r="AQ34" s="294">
        <f>TripMode_input!S32*Index!$B$2</f>
        <v>0</v>
      </c>
      <c r="AR34" s="294">
        <f>TripMode_input!T32*Index!$B$2</f>
        <v>0</v>
      </c>
      <c r="AS34" s="294">
        <f>TripMode_input!U32*Index!$B$2</f>
        <v>0</v>
      </c>
      <c r="AT34" s="294">
        <f>TripMode_input!V32*Index!$B$2</f>
        <v>0</v>
      </c>
      <c r="AU34" s="294">
        <f>TripMode_input!W32*Index!$B$2</f>
        <v>0</v>
      </c>
      <c r="AV34" s="294">
        <f>TripMode_input!X32*Index!$B$2</f>
        <v>0</v>
      </c>
      <c r="AW34" s="294">
        <f>TripMode_input!Y32*Index!$B$2</f>
        <v>0</v>
      </c>
      <c r="AX34" s="160">
        <f>TripMode_input!AA32*Index!$B$2</f>
        <v>23410</v>
      </c>
      <c r="AY34" s="160">
        <f>TripMode_input!AB32*Index!$B$2</f>
        <v>0</v>
      </c>
      <c r="AZ34" s="160">
        <f>TripMode_input!AC32*Index!$B$2</f>
        <v>0</v>
      </c>
      <c r="BA34" s="160">
        <f>TripMode_input!AD32*Index!$B$2</f>
        <v>15475</v>
      </c>
      <c r="BB34" s="294">
        <f>TripMode_input!AE32*Index!$B$2</f>
        <v>0</v>
      </c>
      <c r="BC34" s="162">
        <f t="shared" si="52"/>
        <v>38885</v>
      </c>
      <c r="BE34" s="107" t="s">
        <v>398</v>
      </c>
      <c r="BF34" s="166">
        <f t="shared" si="66"/>
        <v>0</v>
      </c>
      <c r="BG34" s="166">
        <f t="shared" si="66"/>
        <v>0</v>
      </c>
      <c r="BH34" s="166">
        <f t="shared" si="66"/>
        <v>0</v>
      </c>
      <c r="BI34" s="166">
        <f t="shared" si="66"/>
        <v>0</v>
      </c>
      <c r="BJ34" s="166">
        <f t="shared" si="66"/>
        <v>0</v>
      </c>
      <c r="BK34" s="166">
        <f t="shared" si="66"/>
        <v>0</v>
      </c>
      <c r="BL34" s="166">
        <f t="shared" si="66"/>
        <v>0</v>
      </c>
      <c r="BM34" s="166">
        <f t="shared" si="66"/>
        <v>0</v>
      </c>
      <c r="BN34" s="166">
        <f t="shared" si="66"/>
        <v>0</v>
      </c>
      <c r="BO34" s="166">
        <f t="shared" si="66"/>
        <v>0</v>
      </c>
      <c r="BP34" s="166">
        <f t="shared" si="66"/>
        <v>0</v>
      </c>
      <c r="BQ34" s="166">
        <f t="shared" si="66"/>
        <v>1</v>
      </c>
      <c r="BR34" s="166">
        <f t="shared" si="66"/>
        <v>0</v>
      </c>
      <c r="BS34" s="166">
        <f t="shared" si="66"/>
        <v>6.5372945208330459E-3</v>
      </c>
      <c r="BU34" s="107" t="s">
        <v>398</v>
      </c>
      <c r="BV34" s="166">
        <f t="shared" si="67"/>
        <v>0</v>
      </c>
      <c r="BW34" s="166">
        <f t="shared" si="68"/>
        <v>0</v>
      </c>
      <c r="BX34" s="166">
        <f t="shared" si="69"/>
        <v>0</v>
      </c>
      <c r="BY34" s="166">
        <f t="shared" si="70"/>
        <v>0</v>
      </c>
      <c r="BZ34" s="166">
        <f t="shared" si="71"/>
        <v>0</v>
      </c>
      <c r="CA34" s="166">
        <f t="shared" si="72"/>
        <v>0</v>
      </c>
      <c r="CB34" s="166">
        <f t="shared" si="73"/>
        <v>0</v>
      </c>
      <c r="CC34" s="166">
        <f t="shared" si="74"/>
        <v>0</v>
      </c>
      <c r="CD34" s="166">
        <f t="shared" si="75"/>
        <v>0.31296791443850269</v>
      </c>
      <c r="CE34" s="166">
        <f t="shared" si="76"/>
        <v>0</v>
      </c>
      <c r="CF34" s="166">
        <f t="shared" si="77"/>
        <v>0</v>
      </c>
      <c r="CG34" s="166">
        <f t="shared" si="78"/>
        <v>0.54662663369833986</v>
      </c>
      <c r="CH34" s="166" t="str">
        <f t="shared" si="79"/>
        <v/>
      </c>
      <c r="CI34" s="168">
        <f t="shared" si="80"/>
        <v>0.11587400917813934</v>
      </c>
      <c r="CK34" s="107" t="s">
        <v>398</v>
      </c>
      <c r="CL34" s="166" t="str">
        <f t="shared" si="82"/>
        <v/>
      </c>
      <c r="CM34" s="166" t="str">
        <f t="shared" si="82"/>
        <v/>
      </c>
      <c r="CN34" s="166" t="str">
        <f t="shared" si="82"/>
        <v/>
      </c>
      <c r="CO34" s="166" t="str">
        <f t="shared" si="82"/>
        <v/>
      </c>
      <c r="CP34" s="166"/>
      <c r="CQ34" s="166"/>
      <c r="CR34" s="166"/>
      <c r="CS34" s="166"/>
      <c r="CT34" s="166" t="str">
        <f t="shared" si="83"/>
        <v/>
      </c>
      <c r="CU34" s="166" t="str">
        <f t="shared" si="83"/>
        <v/>
      </c>
      <c r="CV34" s="166" t="str">
        <f t="shared" si="83"/>
        <v/>
      </c>
      <c r="CW34" s="166">
        <f t="shared" si="83"/>
        <v>-0.45337336630166014</v>
      </c>
      <c r="CX34" s="166" t="str">
        <f t="shared" si="83"/>
        <v/>
      </c>
      <c r="CY34" s="168">
        <f t="shared" si="83"/>
        <v>16.725070946225863</v>
      </c>
      <c r="DA34" s="107" t="s">
        <v>398</v>
      </c>
      <c r="DB34" s="315"/>
      <c r="DC34" s="315"/>
      <c r="DD34" s="315"/>
      <c r="DE34" s="315"/>
      <c r="DF34" s="315"/>
      <c r="DG34" s="315"/>
      <c r="DH34" s="315"/>
      <c r="DI34" s="315"/>
      <c r="DJ34" s="314">
        <f t="shared" si="81"/>
        <v>0</v>
      </c>
      <c r="DK34" s="314">
        <f>IFERROR(IF(CE34&gt;0,LN(BO34/CE34),0),0)</f>
        <v>0</v>
      </c>
      <c r="DL34" s="314">
        <f>IFERROR(IF(CF34&gt;0,LN(BP34/CF34),0),0)</f>
        <v>0</v>
      </c>
      <c r="DM34" s="314">
        <f>IFERROR(IF(CG34&gt;0,LN(BQ34/CG34),0),0)</f>
        <v>0.60398928055314838</v>
      </c>
      <c r="DN34" s="315"/>
      <c r="DO34" s="168"/>
      <c r="DQ34" s="107" t="s">
        <v>398</v>
      </c>
      <c r="DR34" s="315"/>
      <c r="DS34" s="315"/>
      <c r="DT34" s="315"/>
      <c r="DU34" s="315"/>
      <c r="DV34" s="315"/>
      <c r="DW34" s="315"/>
      <c r="DX34" s="315"/>
      <c r="DY34" s="315"/>
      <c r="DZ34" s="314">
        <v>-1.7376906390278335</v>
      </c>
      <c r="EA34" s="314">
        <v>0</v>
      </c>
      <c r="EB34" s="314">
        <v>0</v>
      </c>
      <c r="EC34" s="314">
        <v>0</v>
      </c>
      <c r="ED34" s="315"/>
      <c r="EE34" s="168"/>
      <c r="EG34" s="107" t="s">
        <v>398</v>
      </c>
      <c r="EH34" s="315"/>
      <c r="EI34" s="315"/>
      <c r="EJ34" s="315"/>
      <c r="EK34" s="315"/>
      <c r="EL34" s="315"/>
      <c r="EM34" s="315"/>
      <c r="EN34" s="315"/>
      <c r="EO34" s="315"/>
      <c r="EP34" s="314">
        <f>DZ34+(DJ34-DJ$31)*$EI$1</f>
        <v>-2.2014440590127768</v>
      </c>
      <c r="EQ34" s="314">
        <f>EA34+(DK34-DK$32)*$EI$1</f>
        <v>0</v>
      </c>
      <c r="ER34" s="314">
        <f>EB34+(DL34-DL$33)*$EI$1</f>
        <v>0</v>
      </c>
      <c r="ES34" s="314">
        <v>0</v>
      </c>
      <c r="ET34" s="315"/>
      <c r="EU34" s="168"/>
      <c r="EW34" s="164" t="s">
        <v>398</v>
      </c>
      <c r="EX34" s="316">
        <f t="shared" si="61"/>
        <v>0</v>
      </c>
      <c r="EY34" s="316">
        <f t="shared" si="57"/>
        <v>0</v>
      </c>
      <c r="EZ34" s="316">
        <f t="shared" si="57"/>
        <v>-2.5538386967483788</v>
      </c>
      <c r="FA34" s="316">
        <f t="shared" si="57"/>
        <v>-2.5538386967483788</v>
      </c>
      <c r="FB34" s="316">
        <f t="shared" si="57"/>
        <v>-2.5538386967483788</v>
      </c>
      <c r="FC34" s="316">
        <f t="shared" si="57"/>
        <v>-2.5538386967483788</v>
      </c>
      <c r="FD34" s="316">
        <f t="shared" si="57"/>
        <v>-2.5538386967483788</v>
      </c>
      <c r="FE34" s="316">
        <f t="shared" si="57"/>
        <v>0</v>
      </c>
      <c r="FF34" s="316"/>
      <c r="FG34" s="316">
        <f t="shared" si="57"/>
        <v>0</v>
      </c>
      <c r="FH34" s="316">
        <f t="shared" si="57"/>
        <v>0</v>
      </c>
      <c r="FI34" s="316">
        <f t="shared" si="57"/>
        <v>0</v>
      </c>
      <c r="FJ34" s="316">
        <f t="shared" si="57"/>
        <v>0</v>
      </c>
      <c r="FK34" s="316">
        <f t="shared" si="57"/>
        <v>0</v>
      </c>
      <c r="FL34" s="168"/>
    </row>
    <row r="35" spans="2:168" x14ac:dyDescent="0.25">
      <c r="B35" s="107" t="s">
        <v>399</v>
      </c>
      <c r="C35" s="294"/>
      <c r="D35" s="294"/>
      <c r="E35" s="294"/>
      <c r="F35" s="294"/>
      <c r="G35" s="294"/>
      <c r="H35" s="294"/>
      <c r="I35" s="294"/>
      <c r="J35" s="294"/>
      <c r="K35" s="294"/>
      <c r="L35" s="294"/>
      <c r="M35" s="294"/>
      <c r="N35" s="294"/>
      <c r="O35" s="160">
        <f>TripMode_input!O33</f>
        <v>1280.53171</v>
      </c>
      <c r="P35" s="162">
        <f t="shared" si="47"/>
        <v>1280.53171</v>
      </c>
      <c r="R35">
        <f t="shared" si="58"/>
        <v>0</v>
      </c>
      <c r="S35">
        <f t="shared" si="59"/>
        <v>0</v>
      </c>
      <c r="T35">
        <f t="shared" si="60"/>
        <v>0</v>
      </c>
      <c r="Y35" s="107" t="s">
        <v>399</v>
      </c>
      <c r="Z35" s="294"/>
      <c r="AA35" s="294"/>
      <c r="AB35" s="294"/>
      <c r="AC35" s="294"/>
      <c r="AD35" s="294"/>
      <c r="AE35" s="294"/>
      <c r="AF35" s="294"/>
      <c r="AG35" s="294"/>
      <c r="AH35" s="294"/>
      <c r="AI35" s="294"/>
      <c r="AJ35" s="294"/>
      <c r="AK35" s="294"/>
      <c r="AL35" s="160">
        <f>+O35</f>
        <v>1280.53171</v>
      </c>
      <c r="AM35" s="162">
        <f t="shared" si="51"/>
        <v>1280.53171</v>
      </c>
      <c r="AO35" s="107" t="s">
        <v>399</v>
      </c>
      <c r="AP35" s="294">
        <f>TripMode_input!R33*Index!$B$2</f>
        <v>0</v>
      </c>
      <c r="AQ35" s="294">
        <f>TripMode_input!S33*Index!$B$2</f>
        <v>0</v>
      </c>
      <c r="AR35" s="294">
        <f>TripMode_input!T33*Index!$B$2</f>
        <v>0</v>
      </c>
      <c r="AS35" s="294">
        <f>TripMode_input!U33*Index!$B$2</f>
        <v>0</v>
      </c>
      <c r="AT35" s="294">
        <f>TripMode_input!V33*Index!$B$2</f>
        <v>0</v>
      </c>
      <c r="AU35" s="294">
        <f>TripMode_input!W33*Index!$B$2</f>
        <v>0</v>
      </c>
      <c r="AV35" s="294">
        <f>TripMode_input!X33*Index!$B$2</f>
        <v>0</v>
      </c>
      <c r="AW35" s="294">
        <f>TripMode_input!Y33*Index!$B$2</f>
        <v>0</v>
      </c>
      <c r="AX35" s="294">
        <f>TripMode_input!AA33*Index!$B$2</f>
        <v>0</v>
      </c>
      <c r="AY35" s="294">
        <f>TripMode_input!AB33*Index!$B$2</f>
        <v>0</v>
      </c>
      <c r="AZ35" s="294">
        <f>TripMode_input!AC33*Index!$B$2</f>
        <v>0</v>
      </c>
      <c r="BA35" s="294">
        <f>TripMode_input!AD33*Index!$B$2</f>
        <v>0</v>
      </c>
      <c r="BB35" s="160">
        <f>TripMode_input!AE33*Index!$B$2</f>
        <v>0</v>
      </c>
      <c r="BC35" s="162">
        <f t="shared" si="52"/>
        <v>0</v>
      </c>
      <c r="BE35" s="107" t="s">
        <v>399</v>
      </c>
      <c r="BF35" s="166">
        <f t="shared" si="66"/>
        <v>0</v>
      </c>
      <c r="BG35" s="166">
        <f t="shared" si="66"/>
        <v>0</v>
      </c>
      <c r="BH35" s="166">
        <f t="shared" si="66"/>
        <v>0</v>
      </c>
      <c r="BI35" s="166">
        <f t="shared" si="66"/>
        <v>0</v>
      </c>
      <c r="BJ35" s="166">
        <f t="shared" si="66"/>
        <v>0</v>
      </c>
      <c r="BK35" s="166">
        <f t="shared" si="66"/>
        <v>0</v>
      </c>
      <c r="BL35" s="166">
        <f t="shared" si="66"/>
        <v>0</v>
      </c>
      <c r="BM35" s="166">
        <f t="shared" si="66"/>
        <v>0</v>
      </c>
      <c r="BN35" s="166">
        <f t="shared" si="66"/>
        <v>0</v>
      </c>
      <c r="BO35" s="166">
        <f t="shared" si="66"/>
        <v>0</v>
      </c>
      <c r="BP35" s="166">
        <f t="shared" si="66"/>
        <v>0</v>
      </c>
      <c r="BQ35" s="166">
        <f t="shared" si="66"/>
        <v>0</v>
      </c>
      <c r="BR35" s="166">
        <f t="shared" si="66"/>
        <v>1</v>
      </c>
      <c r="BS35" s="166">
        <f t="shared" si="66"/>
        <v>2.8329806094959838E-3</v>
      </c>
      <c r="BU35" s="107" t="s">
        <v>399</v>
      </c>
      <c r="BV35" s="166">
        <f t="shared" si="67"/>
        <v>0</v>
      </c>
      <c r="BW35" s="166">
        <f t="shared" si="68"/>
        <v>0</v>
      </c>
      <c r="BX35" s="166">
        <f t="shared" si="69"/>
        <v>0</v>
      </c>
      <c r="BY35" s="166">
        <f t="shared" si="70"/>
        <v>0</v>
      </c>
      <c r="BZ35" s="166">
        <f t="shared" si="71"/>
        <v>0</v>
      </c>
      <c r="CA35" s="166">
        <f t="shared" si="72"/>
        <v>0</v>
      </c>
      <c r="CB35" s="166">
        <f t="shared" si="73"/>
        <v>0</v>
      </c>
      <c r="CC35" s="166">
        <f t="shared" si="74"/>
        <v>0</v>
      </c>
      <c r="CD35" s="166">
        <f t="shared" si="75"/>
        <v>0</v>
      </c>
      <c r="CE35" s="166">
        <f t="shared" si="76"/>
        <v>0</v>
      </c>
      <c r="CF35" s="166">
        <f t="shared" si="77"/>
        <v>0</v>
      </c>
      <c r="CG35" s="166">
        <f t="shared" si="78"/>
        <v>0</v>
      </c>
      <c r="CH35" s="166" t="str">
        <f t="shared" si="79"/>
        <v/>
      </c>
      <c r="CI35" s="168">
        <f t="shared" si="80"/>
        <v>0</v>
      </c>
      <c r="CK35" s="107" t="s">
        <v>399</v>
      </c>
      <c r="CL35" s="166" t="str">
        <f t="shared" si="82"/>
        <v/>
      </c>
      <c r="CM35" s="166" t="str">
        <f t="shared" si="82"/>
        <v/>
      </c>
      <c r="CN35" s="166" t="str">
        <f t="shared" si="82"/>
        <v/>
      </c>
      <c r="CO35" s="166" t="str">
        <f t="shared" si="82"/>
        <v/>
      </c>
      <c r="CP35" s="166"/>
      <c r="CQ35" s="166"/>
      <c r="CR35" s="166"/>
      <c r="CS35" s="166"/>
      <c r="CT35" s="166" t="str">
        <f t="shared" si="83"/>
        <v/>
      </c>
      <c r="CU35" s="166" t="str">
        <f t="shared" si="83"/>
        <v/>
      </c>
      <c r="CV35" s="166" t="str">
        <f t="shared" si="83"/>
        <v/>
      </c>
      <c r="CW35" s="166" t="str">
        <f t="shared" si="83"/>
        <v/>
      </c>
      <c r="CX35" s="166" t="e">
        <f t="shared" si="83"/>
        <v>#VALUE!</v>
      </c>
      <c r="CY35" s="168">
        <f t="shared" si="83"/>
        <v>-1</v>
      </c>
      <c r="DA35" s="107" t="s">
        <v>399</v>
      </c>
      <c r="DB35" s="315"/>
      <c r="DC35" s="315"/>
      <c r="DD35" s="315"/>
      <c r="DE35" s="315"/>
      <c r="DF35" s="315"/>
      <c r="DG35" s="315"/>
      <c r="DH35" s="315"/>
      <c r="DI35" s="315"/>
      <c r="DJ35" s="315"/>
      <c r="DK35" s="315"/>
      <c r="DL35" s="315"/>
      <c r="DM35" s="315"/>
      <c r="DN35" s="314">
        <f>IFERROR(IF(CH35&gt;0,LN(BR35/CH35),0),0)</f>
        <v>0</v>
      </c>
      <c r="DO35" s="168"/>
      <c r="DQ35" s="107" t="s">
        <v>399</v>
      </c>
      <c r="DR35" s="315"/>
      <c r="DS35" s="315"/>
      <c r="DT35" s="315"/>
      <c r="DU35" s="315"/>
      <c r="DV35" s="315"/>
      <c r="DW35" s="315"/>
      <c r="DX35" s="315"/>
      <c r="DY35" s="315"/>
      <c r="DZ35" s="315"/>
      <c r="EA35" s="315"/>
      <c r="EB35" s="315"/>
      <c r="EC35" s="315"/>
      <c r="ED35" s="314">
        <v>0</v>
      </c>
      <c r="EE35" s="168"/>
      <c r="EG35" s="107" t="s">
        <v>399</v>
      </c>
      <c r="EH35" s="315"/>
      <c r="EI35" s="315"/>
      <c r="EJ35" s="315"/>
      <c r="EK35" s="315"/>
      <c r="EL35" s="315"/>
      <c r="EM35" s="315"/>
      <c r="EN35" s="315"/>
      <c r="EO35" s="315"/>
      <c r="EP35" s="315"/>
      <c r="EQ35" s="315"/>
      <c r="ER35" s="315"/>
      <c r="ES35" s="315"/>
      <c r="ET35" s="314">
        <v>0</v>
      </c>
      <c r="EU35" s="168"/>
      <c r="EW35" s="164" t="s">
        <v>399</v>
      </c>
      <c r="EX35" s="316"/>
      <c r="EY35" s="316"/>
      <c r="EZ35" s="316"/>
      <c r="FA35" s="316"/>
      <c r="FB35" s="316"/>
      <c r="FC35" s="316"/>
      <c r="FD35" s="316"/>
      <c r="FE35" s="316"/>
      <c r="FF35" s="316"/>
      <c r="FG35" s="316"/>
      <c r="FH35" s="316"/>
      <c r="FI35" s="316"/>
      <c r="FJ35" s="316"/>
      <c r="FK35" s="316"/>
      <c r="FL35" s="168"/>
    </row>
    <row r="36" spans="2:168" ht="15.75" thickBot="1" x14ac:dyDescent="0.3">
      <c r="B36" s="108" t="s">
        <v>29</v>
      </c>
      <c r="C36" s="109">
        <f t="shared" ref="C36:P36" si="84">SUM(C23:C35)</f>
        <v>192682.14715999999</v>
      </c>
      <c r="D36" s="110">
        <f t="shared" si="84"/>
        <v>11800.376609999999</v>
      </c>
      <c r="E36" s="110">
        <f t="shared" si="84"/>
        <v>64531.849910000004</v>
      </c>
      <c r="F36" s="110">
        <f t="shared" si="84"/>
        <v>3746.5190299999999</v>
      </c>
      <c r="G36" s="110">
        <f t="shared" si="84"/>
        <v>15214.340410000001</v>
      </c>
      <c r="H36" s="110">
        <f t="shared" si="84"/>
        <v>3179.5171200000004</v>
      </c>
      <c r="I36" s="110">
        <f t="shared" si="84"/>
        <v>36459.788619999999</v>
      </c>
      <c r="J36" s="110">
        <f t="shared" si="84"/>
        <v>14886.48612</v>
      </c>
      <c r="K36" s="110">
        <f t="shared" si="84"/>
        <v>86555.408629999991</v>
      </c>
      <c r="L36" s="110">
        <f t="shared" si="84"/>
        <v>4332.2475999999997</v>
      </c>
      <c r="M36" s="110">
        <f t="shared" si="84"/>
        <v>15258.03968</v>
      </c>
      <c r="N36" s="110">
        <f t="shared" si="84"/>
        <v>2954.9135999999999</v>
      </c>
      <c r="O36" s="110">
        <f t="shared" si="84"/>
        <v>1280.53171</v>
      </c>
      <c r="P36" s="112">
        <f t="shared" si="84"/>
        <v>452882.16619999998</v>
      </c>
      <c r="Y36" s="108" t="s">
        <v>29</v>
      </c>
      <c r="Z36" s="109">
        <f t="shared" ref="Z36:AM36" si="85">SUM(Z23:Z35)</f>
        <v>192682.14715999999</v>
      </c>
      <c r="AA36" s="110">
        <f t="shared" si="85"/>
        <v>11800.376609999999</v>
      </c>
      <c r="AB36" s="110">
        <f t="shared" si="85"/>
        <v>64531.849910000004</v>
      </c>
      <c r="AC36" s="110">
        <f t="shared" si="85"/>
        <v>3746.5190299999999</v>
      </c>
      <c r="AD36" s="110">
        <f t="shared" si="85"/>
        <v>15214.340410000001</v>
      </c>
      <c r="AE36" s="110">
        <f t="shared" si="85"/>
        <v>3179.5171200000004</v>
      </c>
      <c r="AF36" s="110">
        <f t="shared" si="85"/>
        <v>36459.788619999999</v>
      </c>
      <c r="AG36" s="110">
        <f t="shared" si="85"/>
        <v>14886.48612</v>
      </c>
      <c r="AH36" s="110">
        <f t="shared" si="85"/>
        <v>91364.018194552147</v>
      </c>
      <c r="AI36" s="110">
        <f t="shared" si="85"/>
        <v>2920.0937792650452</v>
      </c>
      <c r="AJ36" s="110">
        <f t="shared" si="85"/>
        <v>10988.056873257425</v>
      </c>
      <c r="AK36" s="110">
        <f t="shared" si="85"/>
        <v>2954.9135999999999</v>
      </c>
      <c r="AL36" s="110">
        <f t="shared" si="85"/>
        <v>1280.53171</v>
      </c>
      <c r="AM36" s="112">
        <f t="shared" si="85"/>
        <v>452008.6391370747</v>
      </c>
      <c r="AO36" s="108" t="s">
        <v>29</v>
      </c>
      <c r="AP36" s="109">
        <f t="shared" ref="AP36:BC36" si="86">SUM(AP23:AP35)</f>
        <v>106980</v>
      </c>
      <c r="AQ36" s="110">
        <f t="shared" si="86"/>
        <v>20265</v>
      </c>
      <c r="AR36" s="110">
        <f t="shared" si="86"/>
        <v>40005</v>
      </c>
      <c r="AS36" s="110">
        <f t="shared" si="86"/>
        <v>4305</v>
      </c>
      <c r="AT36" s="110">
        <f t="shared" si="86"/>
        <v>7435</v>
      </c>
      <c r="AU36" s="110">
        <f t="shared" si="86"/>
        <v>975</v>
      </c>
      <c r="AV36" s="110">
        <f t="shared" si="86"/>
        <v>29940</v>
      </c>
      <c r="AW36" s="110">
        <f t="shared" si="86"/>
        <v>13075</v>
      </c>
      <c r="AX36" s="110">
        <f t="shared" si="86"/>
        <v>74800</v>
      </c>
      <c r="AY36" s="110">
        <f t="shared" si="86"/>
        <v>1620</v>
      </c>
      <c r="AZ36" s="110">
        <f t="shared" si="86"/>
        <v>7870</v>
      </c>
      <c r="BA36" s="110">
        <f t="shared" si="86"/>
        <v>28310</v>
      </c>
      <c r="BB36" s="110">
        <f t="shared" si="86"/>
        <v>0</v>
      </c>
      <c r="BC36" s="112">
        <f t="shared" si="86"/>
        <v>335580</v>
      </c>
      <c r="BE36" s="108" t="s">
        <v>29</v>
      </c>
      <c r="BF36" s="120">
        <f t="shared" si="66"/>
        <v>1</v>
      </c>
      <c r="BG36" s="120">
        <f t="shared" si="66"/>
        <v>1</v>
      </c>
      <c r="BH36" s="120">
        <f t="shared" si="66"/>
        <v>1</v>
      </c>
      <c r="BI36" s="120">
        <f t="shared" si="66"/>
        <v>1</v>
      </c>
      <c r="BJ36" s="120">
        <f t="shared" si="66"/>
        <v>1</v>
      </c>
      <c r="BK36" s="120">
        <f t="shared" si="66"/>
        <v>1</v>
      </c>
      <c r="BL36" s="120">
        <f t="shared" si="66"/>
        <v>1</v>
      </c>
      <c r="BM36" s="120">
        <f t="shared" si="66"/>
        <v>1</v>
      </c>
      <c r="BN36" s="120">
        <f t="shared" si="66"/>
        <v>1</v>
      </c>
      <c r="BO36" s="120">
        <f t="shared" si="66"/>
        <v>1</v>
      </c>
      <c r="BP36" s="120">
        <f t="shared" si="66"/>
        <v>1</v>
      </c>
      <c r="BQ36" s="120">
        <f t="shared" si="66"/>
        <v>1</v>
      </c>
      <c r="BR36" s="120">
        <f t="shared" si="66"/>
        <v>1</v>
      </c>
      <c r="BS36" s="120">
        <f t="shared" si="66"/>
        <v>1</v>
      </c>
      <c r="BU36" s="108" t="s">
        <v>29</v>
      </c>
      <c r="BV36" s="120">
        <f t="shared" si="67"/>
        <v>1</v>
      </c>
      <c r="BW36" s="121">
        <f t="shared" si="68"/>
        <v>1</v>
      </c>
      <c r="BX36" s="121">
        <f t="shared" si="69"/>
        <v>1</v>
      </c>
      <c r="BY36" s="121">
        <f t="shared" si="70"/>
        <v>1</v>
      </c>
      <c r="BZ36" s="121">
        <f t="shared" si="71"/>
        <v>1</v>
      </c>
      <c r="CA36" s="121">
        <f t="shared" si="72"/>
        <v>1</v>
      </c>
      <c r="CB36" s="121">
        <f t="shared" si="73"/>
        <v>1</v>
      </c>
      <c r="CC36" s="121">
        <f t="shared" si="74"/>
        <v>1</v>
      </c>
      <c r="CD36" s="121">
        <f t="shared" si="75"/>
        <v>1</v>
      </c>
      <c r="CE36" s="121">
        <f t="shared" si="76"/>
        <v>1</v>
      </c>
      <c r="CF36" s="121">
        <f t="shared" si="77"/>
        <v>1</v>
      </c>
      <c r="CG36" s="121">
        <f t="shared" si="78"/>
        <v>1</v>
      </c>
      <c r="CH36" s="121" t="str">
        <f t="shared" si="79"/>
        <v/>
      </c>
      <c r="CI36" s="123">
        <f t="shared" si="80"/>
        <v>1</v>
      </c>
      <c r="CK36" s="108" t="s">
        <v>29</v>
      </c>
      <c r="CL36" s="120">
        <f t="shared" si="82"/>
        <v>0</v>
      </c>
      <c r="CM36" s="121">
        <f t="shared" si="82"/>
        <v>0</v>
      </c>
      <c r="CN36" s="121">
        <f t="shared" si="82"/>
        <v>0</v>
      </c>
      <c r="CO36" s="121">
        <f t="shared" si="82"/>
        <v>0</v>
      </c>
      <c r="CP36" s="121"/>
      <c r="CQ36" s="121"/>
      <c r="CR36" s="121"/>
      <c r="CS36" s="121"/>
      <c r="CT36" s="121">
        <f t="shared" si="83"/>
        <v>0</v>
      </c>
      <c r="CU36" s="121">
        <f t="shared" si="83"/>
        <v>0</v>
      </c>
      <c r="CV36" s="121">
        <f t="shared" si="83"/>
        <v>0</v>
      </c>
      <c r="CW36" s="121">
        <f t="shared" si="83"/>
        <v>0</v>
      </c>
      <c r="CX36" s="121" t="e">
        <f t="shared" si="83"/>
        <v>#VALUE!</v>
      </c>
      <c r="CY36" s="123">
        <f t="shared" si="83"/>
        <v>0</v>
      </c>
      <c r="DA36" s="108" t="s">
        <v>29</v>
      </c>
      <c r="DB36" s="120"/>
      <c r="DC36" s="121"/>
      <c r="DD36" s="121"/>
      <c r="DE36" s="121"/>
      <c r="DF36" s="121"/>
      <c r="DG36" s="121"/>
      <c r="DH36" s="121"/>
      <c r="DI36" s="121"/>
      <c r="DJ36" s="121"/>
      <c r="DK36" s="121"/>
      <c r="DL36" s="121"/>
      <c r="DM36" s="121"/>
      <c r="DN36" s="121"/>
      <c r="DO36" s="123"/>
      <c r="DQ36" s="108" t="s">
        <v>29</v>
      </c>
      <c r="DR36" s="120"/>
      <c r="DS36" s="121"/>
      <c r="DT36" s="121"/>
      <c r="DU36" s="121"/>
      <c r="DV36" s="121"/>
      <c r="DW36" s="121"/>
      <c r="DX36" s="121"/>
      <c r="DY36" s="121"/>
      <c r="DZ36" s="121"/>
      <c r="EA36" s="121"/>
      <c r="EB36" s="121"/>
      <c r="EC36" s="121"/>
      <c r="ED36" s="121"/>
      <c r="EE36" s="123"/>
      <c r="EG36" s="108" t="s">
        <v>29</v>
      </c>
      <c r="EH36" s="120"/>
      <c r="EI36" s="121"/>
      <c r="EJ36" s="121"/>
      <c r="EK36" s="121"/>
      <c r="EL36" s="121"/>
      <c r="EM36" s="121"/>
      <c r="EN36" s="121"/>
      <c r="EO36" s="121"/>
      <c r="EP36" s="121"/>
      <c r="EQ36" s="121"/>
      <c r="ER36" s="121"/>
      <c r="ES36" s="121"/>
      <c r="ET36" s="121"/>
      <c r="EU36" s="123"/>
      <c r="EW36" s="108" t="s">
        <v>29</v>
      </c>
      <c r="EX36" s="120"/>
      <c r="EY36" s="121"/>
      <c r="EZ36" s="121"/>
      <c r="FA36" s="121"/>
      <c r="FB36" s="121"/>
      <c r="FC36" s="121"/>
      <c r="FD36" s="121"/>
      <c r="FE36" s="121"/>
      <c r="FF36" s="121"/>
      <c r="FG36" s="121"/>
      <c r="FH36" s="121"/>
      <c r="FI36" s="121"/>
      <c r="FJ36" s="121"/>
      <c r="FK36" s="121"/>
      <c r="FL36" s="123"/>
    </row>
    <row r="37" spans="2:168" x14ac:dyDescent="0.25">
      <c r="B37" t="s">
        <v>218</v>
      </c>
      <c r="C37" s="383" t="s">
        <v>206</v>
      </c>
      <c r="D37" s="383"/>
      <c r="E37" s="383"/>
      <c r="F37" s="383"/>
      <c r="G37" s="383"/>
      <c r="H37" s="383"/>
      <c r="I37" s="383"/>
      <c r="J37" s="383"/>
      <c r="K37" s="383"/>
      <c r="L37" s="383"/>
      <c r="M37" s="383"/>
      <c r="N37" s="383"/>
      <c r="O37" s="383"/>
      <c r="P37" s="383"/>
      <c r="Y37" t="s">
        <v>218</v>
      </c>
      <c r="Z37" s="383" t="s">
        <v>206</v>
      </c>
      <c r="AA37" s="383"/>
      <c r="AB37" s="383"/>
      <c r="AC37" s="383"/>
      <c r="AD37" s="383"/>
      <c r="AE37" s="383"/>
      <c r="AF37" s="383"/>
      <c r="AG37" s="383"/>
      <c r="AH37" s="383"/>
      <c r="AI37" s="383"/>
      <c r="AJ37" s="383"/>
      <c r="AK37" s="383"/>
      <c r="AL37" s="383"/>
      <c r="AM37" s="383"/>
      <c r="AO37" t="s">
        <v>218</v>
      </c>
      <c r="AP37" s="383" t="s">
        <v>206</v>
      </c>
      <c r="AQ37" s="383"/>
      <c r="AR37" s="383"/>
      <c r="AS37" s="383"/>
      <c r="AT37" s="383"/>
      <c r="AU37" s="383"/>
      <c r="AV37" s="383"/>
      <c r="AW37" s="383"/>
      <c r="AX37" s="383"/>
      <c r="AY37" s="383"/>
      <c r="AZ37" s="383"/>
      <c r="BA37" s="383"/>
      <c r="BB37" s="383"/>
      <c r="BC37" s="383"/>
      <c r="BE37" t="s">
        <v>218</v>
      </c>
      <c r="BF37" s="383" t="s">
        <v>206</v>
      </c>
      <c r="BG37" s="383"/>
      <c r="BH37" s="383"/>
      <c r="BI37" s="383"/>
      <c r="BJ37" s="383"/>
      <c r="BK37" s="383"/>
      <c r="BL37" s="383"/>
      <c r="BM37" s="383"/>
      <c r="BN37" s="383"/>
      <c r="BO37" s="383"/>
      <c r="BP37" s="383"/>
      <c r="BQ37" s="383"/>
      <c r="BR37" s="383"/>
      <c r="BS37" s="383"/>
      <c r="BU37" t="s">
        <v>218</v>
      </c>
      <c r="BV37" s="383" t="s">
        <v>206</v>
      </c>
      <c r="BW37" s="383"/>
      <c r="BX37" s="383"/>
      <c r="BY37" s="383"/>
      <c r="BZ37" s="383"/>
      <c r="CA37" s="383"/>
      <c r="CB37" s="383"/>
      <c r="CC37" s="383"/>
      <c r="CD37" s="383"/>
      <c r="CE37" s="383"/>
      <c r="CF37" s="383"/>
      <c r="CG37" s="383"/>
      <c r="CH37" s="383"/>
      <c r="CI37" s="383"/>
      <c r="CK37" t="s">
        <v>218</v>
      </c>
      <c r="CL37" s="383" t="s">
        <v>206</v>
      </c>
      <c r="CM37" s="383"/>
      <c r="CN37" s="383"/>
      <c r="CO37" s="383"/>
      <c r="CP37" s="383"/>
      <c r="CQ37" s="383"/>
      <c r="CR37" s="383"/>
      <c r="CS37" s="383"/>
      <c r="CT37" s="383"/>
      <c r="CU37" s="383"/>
      <c r="CV37" s="383"/>
      <c r="CW37" s="383"/>
      <c r="CX37" s="383"/>
      <c r="CY37" s="383"/>
      <c r="DA37" t="s">
        <v>190</v>
      </c>
      <c r="DB37" s="383" t="s">
        <v>206</v>
      </c>
      <c r="DC37" s="383"/>
      <c r="DD37" s="383"/>
      <c r="DE37" s="383"/>
      <c r="DF37" s="383"/>
      <c r="DG37" s="383"/>
      <c r="DH37" s="383"/>
      <c r="DI37" s="383"/>
      <c r="DJ37" s="383"/>
      <c r="DK37" s="383"/>
      <c r="DL37" s="383"/>
      <c r="DM37" s="383"/>
      <c r="DN37" s="383"/>
      <c r="DO37" s="383"/>
      <c r="DQ37" t="s">
        <v>190</v>
      </c>
      <c r="DR37" s="383" t="s">
        <v>206</v>
      </c>
      <c r="DS37" s="383"/>
      <c r="DT37" s="383"/>
      <c r="DU37" s="383"/>
      <c r="DV37" s="383"/>
      <c r="DW37" s="383"/>
      <c r="DX37" s="383"/>
      <c r="DY37" s="383"/>
      <c r="DZ37" s="383"/>
      <c r="EA37" s="383"/>
      <c r="EB37" s="383"/>
      <c r="EC37" s="383"/>
      <c r="ED37" s="383"/>
      <c r="EE37" s="383"/>
      <c r="EG37" t="s">
        <v>190</v>
      </c>
      <c r="EH37" s="383" t="s">
        <v>206</v>
      </c>
      <c r="EI37" s="383"/>
      <c r="EJ37" s="383"/>
      <c r="EK37" s="383"/>
      <c r="EL37" s="383"/>
      <c r="EM37" s="383"/>
      <c r="EN37" s="383"/>
      <c r="EO37" s="383"/>
      <c r="EP37" s="383"/>
      <c r="EQ37" s="383"/>
      <c r="ER37" s="383"/>
      <c r="ES37" s="383"/>
      <c r="ET37" s="383"/>
      <c r="EU37" s="383"/>
      <c r="EW37" t="s">
        <v>190</v>
      </c>
      <c r="EX37" s="383" t="s">
        <v>207</v>
      </c>
      <c r="EY37" s="383"/>
      <c r="EZ37" s="383"/>
      <c r="FA37" s="383"/>
      <c r="FB37" s="383"/>
      <c r="FC37" s="383"/>
      <c r="FD37" s="383"/>
      <c r="FE37" s="383"/>
      <c r="FF37" s="383"/>
      <c r="FG37" s="383"/>
      <c r="FH37" s="383"/>
      <c r="FI37" s="383"/>
      <c r="FJ37" s="383"/>
      <c r="FK37" s="383"/>
      <c r="FL37" s="383"/>
    </row>
    <row r="38" spans="2:168" ht="35.450000000000003" customHeight="1" x14ac:dyDescent="0.25">
      <c r="B38" s="163" t="s">
        <v>207</v>
      </c>
      <c r="C38" s="164" t="s">
        <v>386</v>
      </c>
      <c r="D38" s="164" t="s">
        <v>387</v>
      </c>
      <c r="E38" s="164" t="s">
        <v>388</v>
      </c>
      <c r="F38" s="164" t="s">
        <v>389</v>
      </c>
      <c r="G38" s="164" t="s">
        <v>390</v>
      </c>
      <c r="H38" s="164" t="s">
        <v>391</v>
      </c>
      <c r="I38" s="164" t="s">
        <v>392</v>
      </c>
      <c r="J38" s="164" t="s">
        <v>393</v>
      </c>
      <c r="K38" s="164" t="s">
        <v>546</v>
      </c>
      <c r="L38" s="164" t="s">
        <v>396</v>
      </c>
      <c r="M38" s="164" t="s">
        <v>397</v>
      </c>
      <c r="N38" s="164" t="s">
        <v>398</v>
      </c>
      <c r="O38" s="164" t="s">
        <v>399</v>
      </c>
      <c r="P38" s="106" t="s">
        <v>29</v>
      </c>
      <c r="R38" s="164" t="s">
        <v>546</v>
      </c>
      <c r="S38" s="164" t="s">
        <v>396</v>
      </c>
      <c r="T38" s="164" t="s">
        <v>397</v>
      </c>
      <c r="U38" s="164" t="s">
        <v>546</v>
      </c>
      <c r="V38" s="164" t="s">
        <v>396</v>
      </c>
      <c r="W38" s="164" t="s">
        <v>397</v>
      </c>
      <c r="X38" s="296"/>
      <c r="Y38" s="163" t="s">
        <v>207</v>
      </c>
      <c r="Z38" s="164" t="s">
        <v>386</v>
      </c>
      <c r="AA38" s="164" t="s">
        <v>387</v>
      </c>
      <c r="AB38" s="164" t="s">
        <v>388</v>
      </c>
      <c r="AC38" s="164" t="s">
        <v>389</v>
      </c>
      <c r="AD38" s="164" t="s">
        <v>390</v>
      </c>
      <c r="AE38" s="164" t="s">
        <v>391</v>
      </c>
      <c r="AF38" s="164" t="s">
        <v>392</v>
      </c>
      <c r="AG38" s="164" t="s">
        <v>393</v>
      </c>
      <c r="AH38" s="164" t="s">
        <v>546</v>
      </c>
      <c r="AI38" s="164" t="s">
        <v>396</v>
      </c>
      <c r="AJ38" s="164" t="s">
        <v>397</v>
      </c>
      <c r="AK38" s="164" t="s">
        <v>398</v>
      </c>
      <c r="AL38" s="164" t="s">
        <v>399</v>
      </c>
      <c r="AM38" s="106" t="s">
        <v>29</v>
      </c>
      <c r="AN38" s="296"/>
      <c r="AO38" s="163" t="s">
        <v>207</v>
      </c>
      <c r="AP38" s="164" t="s">
        <v>386</v>
      </c>
      <c r="AQ38" s="164" t="s">
        <v>387</v>
      </c>
      <c r="AR38" s="164" t="s">
        <v>388</v>
      </c>
      <c r="AS38" s="164" t="s">
        <v>389</v>
      </c>
      <c r="AT38" s="164" t="s">
        <v>390</v>
      </c>
      <c r="AU38" s="164" t="s">
        <v>391</v>
      </c>
      <c r="AV38" s="164" t="s">
        <v>392</v>
      </c>
      <c r="AW38" s="164" t="s">
        <v>393</v>
      </c>
      <c r="AX38" s="164" t="s">
        <v>546</v>
      </c>
      <c r="AY38" s="164" t="s">
        <v>396</v>
      </c>
      <c r="AZ38" s="164" t="s">
        <v>397</v>
      </c>
      <c r="BA38" s="164" t="s">
        <v>398</v>
      </c>
      <c r="BB38" s="164" t="s">
        <v>399</v>
      </c>
      <c r="BC38" s="106" t="s">
        <v>29</v>
      </c>
      <c r="BE38" s="163" t="s">
        <v>207</v>
      </c>
      <c r="BF38" s="164" t="s">
        <v>538</v>
      </c>
      <c r="BG38" s="164"/>
      <c r="BH38" s="164" t="s">
        <v>576</v>
      </c>
      <c r="BI38" s="164"/>
      <c r="BJ38" s="164" t="s">
        <v>577</v>
      </c>
      <c r="BK38" s="164"/>
      <c r="BL38" s="164" t="s">
        <v>392</v>
      </c>
      <c r="BM38" s="164" t="s">
        <v>393</v>
      </c>
      <c r="BN38" s="164" t="s">
        <v>546</v>
      </c>
      <c r="BO38" s="164" t="s">
        <v>396</v>
      </c>
      <c r="BP38" s="164" t="s">
        <v>397</v>
      </c>
      <c r="BQ38" s="164" t="s">
        <v>398</v>
      </c>
      <c r="BR38" s="164" t="s">
        <v>399</v>
      </c>
      <c r="BS38" s="106" t="s">
        <v>29</v>
      </c>
      <c r="BU38" s="163" t="s">
        <v>207</v>
      </c>
      <c r="BV38" s="164" t="s">
        <v>538</v>
      </c>
      <c r="BW38" s="164"/>
      <c r="BX38" s="164" t="s">
        <v>576</v>
      </c>
      <c r="BY38" s="164"/>
      <c r="BZ38" s="164" t="s">
        <v>577</v>
      </c>
      <c r="CA38" s="164"/>
      <c r="CB38" s="164" t="s">
        <v>392</v>
      </c>
      <c r="CC38" s="164" t="s">
        <v>393</v>
      </c>
      <c r="CD38" s="164" t="s">
        <v>546</v>
      </c>
      <c r="CE38" s="164" t="s">
        <v>396</v>
      </c>
      <c r="CF38" s="164" t="s">
        <v>397</v>
      </c>
      <c r="CG38" s="164" t="s">
        <v>398</v>
      </c>
      <c r="CH38" s="164" t="s">
        <v>399</v>
      </c>
      <c r="CI38" s="106" t="s">
        <v>29</v>
      </c>
      <c r="CK38" s="163" t="s">
        <v>207</v>
      </c>
      <c r="CL38" s="164" t="s">
        <v>386</v>
      </c>
      <c r="CM38" s="164" t="s">
        <v>387</v>
      </c>
      <c r="CN38" s="164" t="s">
        <v>388</v>
      </c>
      <c r="CO38" s="164" t="s">
        <v>389</v>
      </c>
      <c r="CP38" s="164" t="s">
        <v>390</v>
      </c>
      <c r="CQ38" s="164" t="s">
        <v>391</v>
      </c>
      <c r="CR38" s="164" t="s">
        <v>392</v>
      </c>
      <c r="CS38" s="164" t="s">
        <v>393</v>
      </c>
      <c r="CT38" s="164" t="s">
        <v>546</v>
      </c>
      <c r="CU38" s="164" t="s">
        <v>396</v>
      </c>
      <c r="CV38" s="164" t="s">
        <v>397</v>
      </c>
      <c r="CW38" s="164" t="s">
        <v>398</v>
      </c>
      <c r="CX38" s="164" t="s">
        <v>399</v>
      </c>
      <c r="CY38" s="106" t="s">
        <v>29</v>
      </c>
      <c r="DA38" s="163" t="s">
        <v>207</v>
      </c>
      <c r="DB38" s="164" t="s">
        <v>538</v>
      </c>
      <c r="DC38" s="164"/>
      <c r="DD38" s="164" t="s">
        <v>576</v>
      </c>
      <c r="DE38" s="164"/>
      <c r="DF38" s="164" t="s">
        <v>577</v>
      </c>
      <c r="DG38" s="164"/>
      <c r="DH38" s="164" t="s">
        <v>392</v>
      </c>
      <c r="DI38" s="164" t="s">
        <v>393</v>
      </c>
      <c r="DJ38" s="164" t="s">
        <v>546</v>
      </c>
      <c r="DK38" s="164" t="s">
        <v>396</v>
      </c>
      <c r="DL38" s="164" t="s">
        <v>397</v>
      </c>
      <c r="DM38" s="164" t="s">
        <v>398</v>
      </c>
      <c r="DN38" s="164" t="s">
        <v>399</v>
      </c>
      <c r="DO38" s="106" t="s">
        <v>29</v>
      </c>
      <c r="DQ38" s="163" t="s">
        <v>207</v>
      </c>
      <c r="DR38" s="164" t="s">
        <v>538</v>
      </c>
      <c r="DS38" s="164"/>
      <c r="DT38" s="164" t="s">
        <v>576</v>
      </c>
      <c r="DU38" s="164"/>
      <c r="DV38" s="164" t="s">
        <v>577</v>
      </c>
      <c r="DW38" s="164"/>
      <c r="DX38" s="164" t="s">
        <v>392</v>
      </c>
      <c r="DY38" s="164" t="s">
        <v>393</v>
      </c>
      <c r="DZ38" s="164" t="s">
        <v>546</v>
      </c>
      <c r="EA38" s="164" t="s">
        <v>396</v>
      </c>
      <c r="EB38" s="164" t="s">
        <v>397</v>
      </c>
      <c r="EC38" s="164" t="s">
        <v>398</v>
      </c>
      <c r="ED38" s="164" t="s">
        <v>399</v>
      </c>
      <c r="EE38" s="106" t="s">
        <v>29</v>
      </c>
      <c r="EG38" s="163" t="s">
        <v>207</v>
      </c>
      <c r="EH38" s="164" t="s">
        <v>538</v>
      </c>
      <c r="EI38" s="164"/>
      <c r="EJ38" s="164" t="s">
        <v>576</v>
      </c>
      <c r="EK38" s="164"/>
      <c r="EL38" s="164" t="s">
        <v>577</v>
      </c>
      <c r="EM38" s="164"/>
      <c r="EN38" s="164" t="s">
        <v>392</v>
      </c>
      <c r="EO38" s="164" t="s">
        <v>393</v>
      </c>
      <c r="EP38" s="164" t="s">
        <v>546</v>
      </c>
      <c r="EQ38" s="164" t="s">
        <v>396</v>
      </c>
      <c r="ER38" s="164" t="s">
        <v>397</v>
      </c>
      <c r="ES38" s="164" t="s">
        <v>398</v>
      </c>
      <c r="ET38" s="164" t="s">
        <v>399</v>
      </c>
      <c r="EU38" s="106" t="s">
        <v>29</v>
      </c>
      <c r="EW38" s="163" t="s">
        <v>206</v>
      </c>
      <c r="EX38" s="164" t="s">
        <v>386</v>
      </c>
      <c r="EY38" s="164" t="s">
        <v>387</v>
      </c>
      <c r="EZ38" s="164" t="s">
        <v>388</v>
      </c>
      <c r="FA38" s="164" t="s">
        <v>389</v>
      </c>
      <c r="FB38" s="164" t="s">
        <v>390</v>
      </c>
      <c r="FC38" s="164" t="s">
        <v>391</v>
      </c>
      <c r="FD38" s="164" t="s">
        <v>392</v>
      </c>
      <c r="FE38" s="164" t="s">
        <v>393</v>
      </c>
      <c r="FF38" s="164"/>
      <c r="FG38" s="164" t="s">
        <v>546</v>
      </c>
      <c r="FH38" s="164" t="s">
        <v>396</v>
      </c>
      <c r="FI38" s="164" t="s">
        <v>397</v>
      </c>
      <c r="FJ38" s="164" t="s">
        <v>398</v>
      </c>
      <c r="FK38" s="164" t="s">
        <v>399</v>
      </c>
      <c r="FL38" s="106" t="s">
        <v>29</v>
      </c>
    </row>
    <row r="39" spans="2:168" x14ac:dyDescent="0.25">
      <c r="B39" s="107" t="s">
        <v>386</v>
      </c>
      <c r="C39" s="160">
        <f>TripMode_input!B36</f>
        <v>101292.82913</v>
      </c>
      <c r="D39" s="160">
        <f>TripMode_input!C36</f>
        <v>0</v>
      </c>
      <c r="E39" s="160">
        <f>TripMode_input!D36</f>
        <v>8265.8421099999996</v>
      </c>
      <c r="F39" s="160">
        <f>TripMode_input!E36</f>
        <v>0</v>
      </c>
      <c r="G39" s="160">
        <f>TripMode_input!F36</f>
        <v>5946.1005500000001</v>
      </c>
      <c r="H39" s="160">
        <f>TripMode_input!G36</f>
        <v>0</v>
      </c>
      <c r="I39" s="294"/>
      <c r="J39" s="294"/>
      <c r="K39" s="294"/>
      <c r="L39" s="294"/>
      <c r="M39" s="294"/>
      <c r="N39" s="294"/>
      <c r="O39" s="294"/>
      <c r="P39" s="161">
        <f t="shared" ref="P39:P51" si="87">SUM(C39:O39)</f>
        <v>115504.77179</v>
      </c>
      <c r="R39">
        <f>K39/K$47</f>
        <v>0</v>
      </c>
      <c r="S39">
        <f>L39/L$48</f>
        <v>0</v>
      </c>
      <c r="T39">
        <f>M39/M$49</f>
        <v>0</v>
      </c>
      <c r="Y39" s="107" t="s">
        <v>386</v>
      </c>
      <c r="Z39" s="160">
        <f t="shared" ref="Z39:AC40" si="88">+C39</f>
        <v>101292.82913</v>
      </c>
      <c r="AA39" s="160">
        <f t="shared" si="88"/>
        <v>0</v>
      </c>
      <c r="AB39" s="160">
        <f t="shared" si="88"/>
        <v>8265.8421099999996</v>
      </c>
      <c r="AC39" s="160">
        <f t="shared" si="88"/>
        <v>0</v>
      </c>
      <c r="AD39" s="160">
        <f t="shared" ref="AD39:AD45" si="89">+G39</f>
        <v>5946.1005500000001</v>
      </c>
      <c r="AE39" s="160">
        <f t="shared" ref="AE39:AE45" si="90">+H39</f>
        <v>0</v>
      </c>
      <c r="AF39" s="294"/>
      <c r="AG39" s="294"/>
      <c r="AH39" s="294"/>
      <c r="AI39" s="294"/>
      <c r="AJ39" s="294"/>
      <c r="AK39" s="294"/>
      <c r="AL39" s="294"/>
      <c r="AM39" s="161">
        <f t="shared" ref="AM39:AM51" si="91">SUM(Z39:AL39)</f>
        <v>115504.77179</v>
      </c>
      <c r="AO39" s="107" t="s">
        <v>386</v>
      </c>
      <c r="AP39" s="160">
        <f>TripMode_input!R36*Index!$B$2</f>
        <v>92680</v>
      </c>
      <c r="AQ39" s="160">
        <f>TripMode_input!S36*Index!$B$2</f>
        <v>10115</v>
      </c>
      <c r="AR39" s="160">
        <f>TripMode_input!T36*Index!$B$2</f>
        <v>10670</v>
      </c>
      <c r="AS39" s="160">
        <f>TripMode_input!U36*Index!$B$2</f>
        <v>280</v>
      </c>
      <c r="AT39" s="160">
        <f>TripMode_input!V36*Index!$B$2</f>
        <v>5170</v>
      </c>
      <c r="AU39" s="160">
        <f>TripMode_input!W36*Index!$B$2</f>
        <v>355</v>
      </c>
      <c r="AV39" s="294">
        <f>TripMode_input!X36*Index!$B$2</f>
        <v>0</v>
      </c>
      <c r="AW39" s="294">
        <f>TripMode_input!Y36*Index!$B$2</f>
        <v>0</v>
      </c>
      <c r="AX39" s="294">
        <f>TripMode_input!AA36*Index!$B$2</f>
        <v>0</v>
      </c>
      <c r="AY39" s="294">
        <f>TripMode_input!AB36*Index!$B$2</f>
        <v>0</v>
      </c>
      <c r="AZ39" s="160">
        <f>TripMode_input!AC36*Index!$B$2</f>
        <v>0</v>
      </c>
      <c r="BA39" s="294">
        <f>TripMode_input!AD36*Index!$B$2</f>
        <v>0</v>
      </c>
      <c r="BB39" s="294">
        <f>TripMode_input!AE36*Index!$B$2</f>
        <v>0</v>
      </c>
      <c r="BC39" s="161">
        <f t="shared" ref="BC39:BC51" si="92">SUM(AP39:BB39)</f>
        <v>119270</v>
      </c>
      <c r="BE39" s="107" t="s">
        <v>538</v>
      </c>
      <c r="BF39" s="166">
        <f>IF(Z$52+AA$52&gt;0,SUM(Z39:AA40)/(Z$52+AA$52),"")</f>
        <v>1</v>
      </c>
      <c r="BG39" s="166"/>
      <c r="BH39" s="166">
        <f>IF(AB$52+AC$52&gt;0,SUM(AB39:AC40)/(AB$52+AC$52),"")</f>
        <v>1.6907435735573306E-2</v>
      </c>
      <c r="BI39" s="166"/>
      <c r="BJ39" s="166">
        <f>IF(AD$52+AE$52&gt;0,SUM(AD39:AE40)/(AD$52+AE$52),"")</f>
        <v>5.3449755306123259E-3</v>
      </c>
      <c r="BK39" s="166"/>
      <c r="BL39" s="166">
        <f t="shared" ref="BL39:BS39" si="93">IF(AF$52&gt;0,(AF39+AF40)/AF$52,"")</f>
        <v>0</v>
      </c>
      <c r="BM39" s="166">
        <f t="shared" si="93"/>
        <v>0</v>
      </c>
      <c r="BN39" s="166">
        <f t="shared" si="93"/>
        <v>0</v>
      </c>
      <c r="BO39" s="166">
        <f t="shared" si="93"/>
        <v>0</v>
      </c>
      <c r="BP39" s="166">
        <f t="shared" si="93"/>
        <v>0</v>
      </c>
      <c r="BQ39" s="166">
        <f t="shared" si="93"/>
        <v>0</v>
      </c>
      <c r="BR39" s="166">
        <f t="shared" si="93"/>
        <v>0</v>
      </c>
      <c r="BS39" s="166">
        <f t="shared" si="93"/>
        <v>3.4646234036615861E-2</v>
      </c>
      <c r="BU39" s="107" t="s">
        <v>538</v>
      </c>
      <c r="BV39" s="166">
        <f>IF(AP$52+AQ$52&gt;0,SUM(AP39:AQ40)/(AP$52+AQ$52),"")</f>
        <v>1</v>
      </c>
      <c r="BW39" s="166"/>
      <c r="BX39" s="166">
        <f>IF(AR$52+AS$52&gt;0,SUM(AR39:AS40)/(AR$52+AS$52),"")</f>
        <v>2.0242443775963331E-2</v>
      </c>
      <c r="BY39" s="166"/>
      <c r="BZ39" s="166">
        <f>IF(AT$52+AU$52&gt;0,SUM(AT39:AU40)/(AT$52+AU$52),"")</f>
        <v>5.2107176518109604E-3</v>
      </c>
      <c r="CA39" s="166"/>
      <c r="CB39" s="166">
        <f t="shared" ref="CB39:CI39" si="94">IF(AV$52&gt;0,(AV39+AV40)/AV$52,"")</f>
        <v>0</v>
      </c>
      <c r="CC39" s="166">
        <f t="shared" si="94"/>
        <v>0</v>
      </c>
      <c r="CD39" s="166">
        <f t="shared" si="94"/>
        <v>0</v>
      </c>
      <c r="CE39" s="166">
        <f t="shared" si="94"/>
        <v>0</v>
      </c>
      <c r="CF39" s="166">
        <f t="shared" si="94"/>
        <v>0</v>
      </c>
      <c r="CG39" s="166">
        <f t="shared" si="94"/>
        <v>0</v>
      </c>
      <c r="CH39" s="166">
        <f t="shared" si="94"/>
        <v>0</v>
      </c>
      <c r="CI39" s="166">
        <f t="shared" si="94"/>
        <v>3.3068652922077058E-2</v>
      </c>
      <c r="CK39" s="107" t="s">
        <v>386</v>
      </c>
      <c r="CL39" s="166">
        <f t="shared" ref="CL39:CO42" si="95">IF(OR(ISNA(BF39),BF39=0,BF39=""),"",(BV39-BF39)/BF39)</f>
        <v>0</v>
      </c>
      <c r="CM39" s="166" t="str">
        <f t="shared" si="95"/>
        <v/>
      </c>
      <c r="CN39" s="166">
        <f t="shared" si="95"/>
        <v>0.19725096653025603</v>
      </c>
      <c r="CO39" s="166" t="str">
        <f t="shared" si="95"/>
        <v/>
      </c>
      <c r="CP39" s="166"/>
      <c r="CQ39" s="166"/>
      <c r="CR39" s="166"/>
      <c r="CS39" s="166"/>
      <c r="CT39" s="166" t="str">
        <f t="shared" ref="CT39:CY42" si="96">IF(OR(ISNA(BN39),BN39=0,BN39=""),"",(CD39-BN39)/BN39)</f>
        <v/>
      </c>
      <c r="CU39" s="166" t="str">
        <f t="shared" si="96"/>
        <v/>
      </c>
      <c r="CV39" s="166" t="str">
        <f t="shared" si="96"/>
        <v/>
      </c>
      <c r="CW39" s="166" t="str">
        <f t="shared" si="96"/>
        <v/>
      </c>
      <c r="CX39" s="166" t="str">
        <f t="shared" si="96"/>
        <v/>
      </c>
      <c r="CY39" s="167">
        <f t="shared" si="96"/>
        <v>-4.5533985392800194E-2</v>
      </c>
      <c r="DA39" s="107" t="s">
        <v>538</v>
      </c>
      <c r="DB39" s="314">
        <f>IFERROR(IF(BV39&gt;0,LN(BF39/BV39),0),0)</f>
        <v>0</v>
      </c>
      <c r="DC39" s="314"/>
      <c r="DD39" s="314">
        <f>IFERROR(IF(BX39&gt;0,LN(BH39/BX39),0),0)</f>
        <v>-0.18002806753217981</v>
      </c>
      <c r="DE39" s="314"/>
      <c r="DF39" s="314">
        <f>IFERROR(IF(BZ39&gt;0,LN(BJ39/BZ39),0),0)</f>
        <v>2.5439375122129557E-2</v>
      </c>
      <c r="DG39" s="314"/>
      <c r="DH39" s="315"/>
      <c r="DI39" s="315"/>
      <c r="DJ39" s="315"/>
      <c r="DK39" s="315"/>
      <c r="DL39" s="315"/>
      <c r="DM39" s="315"/>
      <c r="DN39" s="315"/>
      <c r="DO39" s="167"/>
      <c r="DQ39" s="107" t="s">
        <v>538</v>
      </c>
      <c r="DR39" s="314">
        <v>0</v>
      </c>
      <c r="DS39" s="314">
        <v>0</v>
      </c>
      <c r="DT39" s="314">
        <v>0</v>
      </c>
      <c r="DU39" s="314">
        <v>0</v>
      </c>
      <c r="DV39" s="314">
        <v>0</v>
      </c>
      <c r="DW39" s="314">
        <v>0</v>
      </c>
      <c r="DX39" s="315"/>
      <c r="DY39" s="315"/>
      <c r="DZ39" s="315"/>
      <c r="EA39" s="315"/>
      <c r="EB39" s="315"/>
      <c r="EC39" s="315"/>
      <c r="ED39" s="315"/>
      <c r="EE39" s="167"/>
      <c r="EG39" s="107" t="s">
        <v>538</v>
      </c>
      <c r="EH39" s="314">
        <v>0</v>
      </c>
      <c r="EI39" s="314">
        <v>0</v>
      </c>
      <c r="EJ39" s="314">
        <v>0</v>
      </c>
      <c r="EK39" s="314">
        <v>0</v>
      </c>
      <c r="EL39" s="314">
        <v>0</v>
      </c>
      <c r="EM39" s="314">
        <v>0</v>
      </c>
      <c r="EN39" s="315"/>
      <c r="EO39" s="315"/>
      <c r="EP39" s="315"/>
      <c r="EQ39" s="315"/>
      <c r="ER39" s="315"/>
      <c r="ES39" s="315"/>
      <c r="ET39" s="315"/>
      <c r="EU39" s="167"/>
      <c r="EW39" s="164" t="s">
        <v>386</v>
      </c>
      <c r="EX39" s="316">
        <f>INDEX($EH$39:$ET$51,EX$4,MATCH($EW39,$EW$7:$EW$19,0))</f>
        <v>0</v>
      </c>
      <c r="EY39" s="316">
        <f t="shared" ref="EY39:FK51" si="97">INDEX($EH$39:$ET$51,EY$4,MATCH($EW39,$EW$7:$EW$19,0))</f>
        <v>0</v>
      </c>
      <c r="EZ39" s="316">
        <f t="shared" si="97"/>
        <v>0</v>
      </c>
      <c r="FA39" s="316">
        <f t="shared" si="97"/>
        <v>0</v>
      </c>
      <c r="FB39" s="316">
        <f t="shared" si="97"/>
        <v>0</v>
      </c>
      <c r="FC39" s="316">
        <f t="shared" si="97"/>
        <v>0</v>
      </c>
      <c r="FD39" s="316">
        <f t="shared" si="97"/>
        <v>0</v>
      </c>
      <c r="FE39" s="316">
        <f t="shared" si="97"/>
        <v>0</v>
      </c>
      <c r="FF39" s="316"/>
      <c r="FG39" s="316">
        <f t="shared" si="97"/>
        <v>0</v>
      </c>
      <c r="FH39" s="316">
        <f t="shared" si="97"/>
        <v>0</v>
      </c>
      <c r="FI39" s="316">
        <f t="shared" si="97"/>
        <v>0</v>
      </c>
      <c r="FJ39" s="316">
        <f t="shared" si="97"/>
        <v>0</v>
      </c>
      <c r="FK39" s="316">
        <f t="shared" si="97"/>
        <v>0</v>
      </c>
      <c r="FL39" s="167"/>
    </row>
    <row r="40" spans="2:168" x14ac:dyDescent="0.25">
      <c r="B40" s="107" t="s">
        <v>387</v>
      </c>
      <c r="C40" s="160">
        <f>TripMode_input!B37</f>
        <v>0</v>
      </c>
      <c r="D40" s="160">
        <f>TripMode_input!C37</f>
        <v>0</v>
      </c>
      <c r="E40" s="160">
        <f>TripMode_input!D37</f>
        <v>0</v>
      </c>
      <c r="F40" s="160">
        <f>TripMode_input!E37</f>
        <v>0</v>
      </c>
      <c r="G40" s="160">
        <f>TripMode_input!F37</f>
        <v>0</v>
      </c>
      <c r="H40" s="160">
        <f>TripMode_input!G37</f>
        <v>0</v>
      </c>
      <c r="I40" s="294"/>
      <c r="J40" s="294"/>
      <c r="K40" s="294"/>
      <c r="L40" s="294"/>
      <c r="M40" s="294"/>
      <c r="N40" s="294"/>
      <c r="O40" s="294"/>
      <c r="P40" s="162">
        <f t="shared" si="87"/>
        <v>0</v>
      </c>
      <c r="R40">
        <f t="shared" ref="R40:R51" si="98">K40/K$47</f>
        <v>0</v>
      </c>
      <c r="S40">
        <f t="shared" ref="S40:S51" si="99">L40/L$48</f>
        <v>0</v>
      </c>
      <c r="T40">
        <f t="shared" ref="T40:T51" si="100">M40/M$49</f>
        <v>0</v>
      </c>
      <c r="Y40" s="107" t="s">
        <v>387</v>
      </c>
      <c r="Z40" s="160">
        <f t="shared" si="88"/>
        <v>0</v>
      </c>
      <c r="AA40" s="160">
        <f t="shared" si="88"/>
        <v>0</v>
      </c>
      <c r="AB40" s="160">
        <f t="shared" si="88"/>
        <v>0</v>
      </c>
      <c r="AC40" s="160">
        <f t="shared" si="88"/>
        <v>0</v>
      </c>
      <c r="AD40" s="160">
        <f t="shared" si="89"/>
        <v>0</v>
      </c>
      <c r="AE40" s="160">
        <f t="shared" si="90"/>
        <v>0</v>
      </c>
      <c r="AF40" s="294"/>
      <c r="AG40" s="294"/>
      <c r="AH40" s="294"/>
      <c r="AI40" s="294"/>
      <c r="AJ40" s="294"/>
      <c r="AK40" s="294"/>
      <c r="AL40" s="294"/>
      <c r="AM40" s="162">
        <f t="shared" si="91"/>
        <v>0</v>
      </c>
      <c r="AO40" s="107" t="s">
        <v>387</v>
      </c>
      <c r="AP40" s="160">
        <f>TripMode_input!R37*Index!$B$2</f>
        <v>1425</v>
      </c>
      <c r="AQ40" s="160">
        <f>TripMode_input!S37*Index!$B$2</f>
        <v>3025</v>
      </c>
      <c r="AR40" s="160">
        <f>TripMode_input!T37*Index!$B$2</f>
        <v>270</v>
      </c>
      <c r="AS40" s="160">
        <f>TripMode_input!U37*Index!$B$2</f>
        <v>85</v>
      </c>
      <c r="AT40" s="160">
        <f>TripMode_input!V37*Index!$B$2</f>
        <v>180</v>
      </c>
      <c r="AU40" s="160">
        <f>TripMode_input!W37*Index!$B$2</f>
        <v>100</v>
      </c>
      <c r="AV40" s="294">
        <f>TripMode_input!X37*Index!$B$2</f>
        <v>0</v>
      </c>
      <c r="AW40" s="294">
        <f>TripMode_input!Y37*Index!$B$2</f>
        <v>0</v>
      </c>
      <c r="AX40" s="294">
        <f>TripMode_input!AA37*Index!$B$2</f>
        <v>0</v>
      </c>
      <c r="AY40" s="294">
        <f>TripMode_input!AB37*Index!$B$2</f>
        <v>0</v>
      </c>
      <c r="AZ40" s="160">
        <f>TripMode_input!AC37*Index!$B$2</f>
        <v>0</v>
      </c>
      <c r="BA40" s="294">
        <f>TripMode_input!AD37*Index!$B$2</f>
        <v>0</v>
      </c>
      <c r="BB40" s="294">
        <f>TripMode_input!AE37*Index!$B$2</f>
        <v>0</v>
      </c>
      <c r="BC40" s="162">
        <f t="shared" si="92"/>
        <v>5085</v>
      </c>
      <c r="BE40" s="107"/>
      <c r="BF40" s="166"/>
      <c r="BG40" s="166"/>
      <c r="BH40" s="166"/>
      <c r="BI40" s="166"/>
      <c r="BJ40" s="166"/>
      <c r="BK40" s="166"/>
      <c r="BL40" s="166"/>
      <c r="BM40" s="166"/>
      <c r="BN40" s="166"/>
      <c r="BO40" s="166"/>
      <c r="BP40" s="166"/>
      <c r="BQ40" s="166"/>
      <c r="BR40" s="166"/>
      <c r="BS40" s="166"/>
      <c r="BU40" s="107"/>
      <c r="BV40" s="166"/>
      <c r="BW40" s="166"/>
      <c r="BX40" s="166"/>
      <c r="BY40" s="166"/>
      <c r="BZ40" s="166"/>
      <c r="CA40" s="166"/>
      <c r="CB40" s="166"/>
      <c r="CC40" s="166"/>
      <c r="CD40" s="166"/>
      <c r="CE40" s="166"/>
      <c r="CF40" s="166"/>
      <c r="CG40" s="166"/>
      <c r="CH40" s="166"/>
      <c r="CI40" s="166"/>
      <c r="CK40" s="107" t="s">
        <v>387</v>
      </c>
      <c r="CL40" s="166" t="str">
        <f t="shared" si="95"/>
        <v/>
      </c>
      <c r="CM40" s="166" t="str">
        <f t="shared" si="95"/>
        <v/>
      </c>
      <c r="CN40" s="166" t="str">
        <f t="shared" si="95"/>
        <v/>
      </c>
      <c r="CO40" s="166" t="str">
        <f t="shared" si="95"/>
        <v/>
      </c>
      <c r="CP40" s="166"/>
      <c r="CQ40" s="166"/>
      <c r="CR40" s="166"/>
      <c r="CS40" s="166"/>
      <c r="CT40" s="166" t="str">
        <f t="shared" si="96"/>
        <v/>
      </c>
      <c r="CU40" s="166" t="str">
        <f t="shared" si="96"/>
        <v/>
      </c>
      <c r="CV40" s="166" t="str">
        <f t="shared" si="96"/>
        <v/>
      </c>
      <c r="CW40" s="166" t="str">
        <f t="shared" si="96"/>
        <v/>
      </c>
      <c r="CX40" s="166" t="str">
        <f t="shared" si="96"/>
        <v/>
      </c>
      <c r="CY40" s="168" t="str">
        <f t="shared" si="96"/>
        <v/>
      </c>
      <c r="DA40" s="107"/>
      <c r="DB40" s="314"/>
      <c r="DC40" s="314"/>
      <c r="DD40" s="314"/>
      <c r="DE40" s="314"/>
      <c r="DF40" s="314"/>
      <c r="DG40" s="314"/>
      <c r="DH40" s="315"/>
      <c r="DI40" s="315"/>
      <c r="DJ40" s="315"/>
      <c r="DK40" s="315"/>
      <c r="DL40" s="315"/>
      <c r="DM40" s="315"/>
      <c r="DN40" s="315"/>
      <c r="DO40" s="168"/>
      <c r="DQ40" s="107"/>
      <c r="DR40" s="314">
        <v>0</v>
      </c>
      <c r="DS40" s="314">
        <v>0</v>
      </c>
      <c r="DT40" s="314">
        <v>0</v>
      </c>
      <c r="DU40" s="314">
        <v>0</v>
      </c>
      <c r="DV40" s="314">
        <v>0</v>
      </c>
      <c r="DW40" s="314">
        <v>0</v>
      </c>
      <c r="DX40" s="315"/>
      <c r="DY40" s="315"/>
      <c r="DZ40" s="315"/>
      <c r="EA40" s="315"/>
      <c r="EB40" s="315"/>
      <c r="EC40" s="315"/>
      <c r="ED40" s="315"/>
      <c r="EE40" s="168"/>
      <c r="EG40" s="107"/>
      <c r="EH40" s="314">
        <v>0</v>
      </c>
      <c r="EI40" s="314">
        <v>0</v>
      </c>
      <c r="EJ40" s="314">
        <v>0</v>
      </c>
      <c r="EK40" s="314">
        <v>0</v>
      </c>
      <c r="EL40" s="314">
        <v>0</v>
      </c>
      <c r="EM40" s="314">
        <v>0</v>
      </c>
      <c r="EN40" s="315"/>
      <c r="EO40" s="315"/>
      <c r="EP40" s="315"/>
      <c r="EQ40" s="315"/>
      <c r="ER40" s="315"/>
      <c r="ES40" s="315"/>
      <c r="ET40" s="315"/>
      <c r="EU40" s="168"/>
      <c r="EW40" s="164" t="s">
        <v>387</v>
      </c>
      <c r="EX40" s="316">
        <f t="shared" ref="EX40:EX51" si="101">INDEX($EH$39:$ET$51,EX$4,MATCH($EW40,$EW$7:$EW$19,0))</f>
        <v>0</v>
      </c>
      <c r="EY40" s="316">
        <f t="shared" si="97"/>
        <v>0</v>
      </c>
      <c r="EZ40" s="316">
        <f t="shared" si="97"/>
        <v>0</v>
      </c>
      <c r="FA40" s="316">
        <f t="shared" si="97"/>
        <v>0</v>
      </c>
      <c r="FB40" s="316">
        <f t="shared" si="97"/>
        <v>0</v>
      </c>
      <c r="FC40" s="316">
        <f t="shared" si="97"/>
        <v>0</v>
      </c>
      <c r="FD40" s="316">
        <f t="shared" si="97"/>
        <v>0</v>
      </c>
      <c r="FE40" s="316">
        <f t="shared" si="97"/>
        <v>0</v>
      </c>
      <c r="FF40" s="316"/>
      <c r="FG40" s="316">
        <f t="shared" si="97"/>
        <v>0</v>
      </c>
      <c r="FH40" s="316">
        <f t="shared" si="97"/>
        <v>0</v>
      </c>
      <c r="FI40" s="316">
        <f t="shared" si="97"/>
        <v>0</v>
      </c>
      <c r="FJ40" s="316">
        <f t="shared" si="97"/>
        <v>0</v>
      </c>
      <c r="FK40" s="316">
        <f t="shared" si="97"/>
        <v>0</v>
      </c>
      <c r="FL40" s="168"/>
    </row>
    <row r="41" spans="2:168" x14ac:dyDescent="0.25">
      <c r="B41" s="107" t="s">
        <v>388</v>
      </c>
      <c r="C41" s="294"/>
      <c r="D41" s="294"/>
      <c r="E41" s="160">
        <f>TripMode_input!D38</f>
        <v>431497.08321999997</v>
      </c>
      <c r="F41" s="160">
        <f>TripMode_input!E38</f>
        <v>1349.0287900000001</v>
      </c>
      <c r="G41" s="160">
        <f>TripMode_input!F38</f>
        <v>192665.41321</v>
      </c>
      <c r="H41" s="160">
        <f>TripMode_input!G38</f>
        <v>183.60119</v>
      </c>
      <c r="I41" s="294"/>
      <c r="J41" s="294"/>
      <c r="K41" s="160">
        <f>TripMode_input!J38+TripMode_input!K38</f>
        <v>6876.4383400000006</v>
      </c>
      <c r="L41" s="294"/>
      <c r="M41" s="294"/>
      <c r="N41" s="160">
        <f>TripMode_input!N38</f>
        <v>229.45972</v>
      </c>
      <c r="O41" s="294"/>
      <c r="P41" s="162">
        <f t="shared" si="87"/>
        <v>632801.02446999995</v>
      </c>
      <c r="R41">
        <f t="shared" si="98"/>
        <v>5.919996459936927E-2</v>
      </c>
      <c r="S41">
        <f t="shared" si="99"/>
        <v>0</v>
      </c>
      <c r="T41">
        <f t="shared" si="100"/>
        <v>0</v>
      </c>
      <c r="Y41" s="107" t="s">
        <v>388</v>
      </c>
      <c r="Z41" s="294"/>
      <c r="AA41" s="294"/>
      <c r="AB41" s="160">
        <f>+E41</f>
        <v>431497.08321999997</v>
      </c>
      <c r="AC41" s="160">
        <f>+F41</f>
        <v>1349.0287900000001</v>
      </c>
      <c r="AD41" s="160">
        <f t="shared" si="89"/>
        <v>192665.41321</v>
      </c>
      <c r="AE41" s="160">
        <f t="shared" si="90"/>
        <v>183.60119</v>
      </c>
      <c r="AF41" s="294"/>
      <c r="AG41" s="294"/>
      <c r="AH41" s="160">
        <f>AH47*R41</f>
        <v>7258.4607658096402</v>
      </c>
      <c r="AI41" s="294"/>
      <c r="AJ41" s="294"/>
      <c r="AK41" s="160">
        <f>+N41</f>
        <v>229.45972</v>
      </c>
      <c r="AL41" s="294"/>
      <c r="AM41" s="162">
        <f t="shared" si="91"/>
        <v>633183.04689580959</v>
      </c>
      <c r="AO41" s="107" t="s">
        <v>388</v>
      </c>
      <c r="AP41" s="294">
        <f>TripMode_input!R38*Index!$B$2</f>
        <v>0</v>
      </c>
      <c r="AQ41" s="294">
        <f>TripMode_input!S38*Index!$B$2</f>
        <v>0</v>
      </c>
      <c r="AR41" s="160">
        <f>TripMode_input!T38*Index!$B$2</f>
        <v>478050</v>
      </c>
      <c r="AS41" s="160">
        <f>TripMode_input!U38*Index!$B$2</f>
        <v>6160</v>
      </c>
      <c r="AT41" s="160">
        <f>TripMode_input!V38*Index!$B$2</f>
        <v>231165</v>
      </c>
      <c r="AU41" s="160">
        <f>TripMode_input!W38*Index!$B$2</f>
        <v>6950</v>
      </c>
      <c r="AV41" s="294">
        <f>TripMode_input!X38*Index!$B$2</f>
        <v>0</v>
      </c>
      <c r="AW41" s="294">
        <f>TripMode_input!Y38*Index!$B$2</f>
        <v>0</v>
      </c>
      <c r="AX41" s="160">
        <f>TripMode_input!AA38*Index!$B$2</f>
        <v>6330</v>
      </c>
      <c r="AY41" s="160">
        <f>TripMode_input!AB38*Index!$B$2</f>
        <v>0</v>
      </c>
      <c r="AZ41" s="160">
        <f>TripMode_input!AC38*Index!$B$2</f>
        <v>0</v>
      </c>
      <c r="BA41" s="160">
        <f>TripMode_input!AD38*Index!$B$2</f>
        <v>625</v>
      </c>
      <c r="BB41" s="294">
        <f>TripMode_input!AE38*Index!$B$2</f>
        <v>0</v>
      </c>
      <c r="BC41" s="162">
        <f t="shared" si="92"/>
        <v>729280</v>
      </c>
      <c r="BE41" s="107" t="s">
        <v>576</v>
      </c>
      <c r="BF41" s="166">
        <f>IF(Z$52+AA$52&gt;0,SUM(Z41:AA42)/(Z$52+AA$52),"")</f>
        <v>0</v>
      </c>
      <c r="BG41" s="166"/>
      <c r="BH41" s="166">
        <f>IF(AB$52+AC$52&gt;0,SUM(AB41:AC42)/(AB$52+AC$52),"")</f>
        <v>0.88773063371600924</v>
      </c>
      <c r="BI41" s="166"/>
      <c r="BJ41" s="166">
        <f>IF(AD$52+AE$52&gt;0,SUM(AD41:AE42)/(AD$52+AE$52),"")</f>
        <v>0.17360105814799337</v>
      </c>
      <c r="BK41" s="166"/>
      <c r="BL41" s="166">
        <f t="shared" ref="BL41:BS41" si="102">IF(AF$52&gt;0,(AF41+AF42)/AF$52,"")</f>
        <v>0</v>
      </c>
      <c r="BM41" s="166">
        <f t="shared" si="102"/>
        <v>0</v>
      </c>
      <c r="BN41" s="166">
        <f t="shared" si="102"/>
        <v>4.9657675424421219E-2</v>
      </c>
      <c r="BO41" s="166">
        <f t="shared" si="102"/>
        <v>0</v>
      </c>
      <c r="BP41" s="166">
        <f t="shared" si="102"/>
        <v>0</v>
      </c>
      <c r="BQ41" s="166">
        <f t="shared" si="102"/>
        <v>0.15869824730138646</v>
      </c>
      <c r="BR41" s="166">
        <f t="shared" si="102"/>
        <v>0</v>
      </c>
      <c r="BS41" s="166">
        <f t="shared" si="102"/>
        <v>0.19035562389336763</v>
      </c>
      <c r="BU41" s="107" t="s">
        <v>576</v>
      </c>
      <c r="BV41" s="166">
        <f>IF(AP$52+AQ$52&gt;0,SUM(AP41:AQ42)/(AP$52+AQ$52),"")</f>
        <v>0</v>
      </c>
      <c r="BW41" s="166"/>
      <c r="BX41" s="166">
        <f>IF(AR$52+AS$52&gt;0,SUM(AR41:AS42)/(AR$52+AS$52),"")</f>
        <v>0.88363952155851599</v>
      </c>
      <c r="BY41" s="166"/>
      <c r="BZ41" s="166">
        <f>IF(AT$52+AU$52&gt;0,SUM(AT41:AU42)/(AT$52+AU$52),"")</f>
        <v>0.21880077195817063</v>
      </c>
      <c r="CA41" s="166"/>
      <c r="CB41" s="166">
        <f t="shared" ref="CB41:CI41" si="103">IF(AV$52&gt;0,(AV41+AV42)/AV$52,"")</f>
        <v>0</v>
      </c>
      <c r="CC41" s="166">
        <f t="shared" si="103"/>
        <v>0</v>
      </c>
      <c r="CD41" s="166">
        <f t="shared" si="103"/>
        <v>6.1933390590705219E-2</v>
      </c>
      <c r="CE41" s="166">
        <f t="shared" si="103"/>
        <v>0</v>
      </c>
      <c r="CF41" s="166">
        <f t="shared" si="103"/>
        <v>0</v>
      </c>
      <c r="CG41" s="166">
        <f t="shared" si="103"/>
        <v>0.23393739703459637</v>
      </c>
      <c r="CH41" s="166">
        <f t="shared" si="103"/>
        <v>0</v>
      </c>
      <c r="CI41" s="166">
        <f t="shared" si="103"/>
        <v>0.19796516961795077</v>
      </c>
      <c r="CK41" s="107" t="s">
        <v>388</v>
      </c>
      <c r="CL41" s="166" t="str">
        <f t="shared" si="95"/>
        <v/>
      </c>
      <c r="CM41" s="166" t="str">
        <f t="shared" si="95"/>
        <v/>
      </c>
      <c r="CN41" s="166">
        <f t="shared" si="95"/>
        <v>-4.6085062316346985E-3</v>
      </c>
      <c r="CO41" s="166" t="str">
        <f t="shared" si="95"/>
        <v/>
      </c>
      <c r="CP41" s="166"/>
      <c r="CQ41" s="166"/>
      <c r="CR41" s="166"/>
      <c r="CS41" s="166"/>
      <c r="CT41" s="166">
        <f t="shared" si="96"/>
        <v>0.24720680260129352</v>
      </c>
      <c r="CU41" s="166" t="str">
        <f t="shared" si="96"/>
        <v/>
      </c>
      <c r="CV41" s="166" t="str">
        <f t="shared" si="96"/>
        <v/>
      </c>
      <c r="CW41" s="166">
        <f t="shared" si="96"/>
        <v>0.47410195772560743</v>
      </c>
      <c r="CX41" s="166" t="str">
        <f t="shared" si="96"/>
        <v/>
      </c>
      <c r="CY41" s="168">
        <f t="shared" si="96"/>
        <v>3.9975418476975562E-2</v>
      </c>
      <c r="DA41" s="107" t="s">
        <v>576</v>
      </c>
      <c r="DB41" s="315"/>
      <c r="DC41" s="315"/>
      <c r="DD41" s="314">
        <f>IFERROR(IF(BX41&gt;0,LN(BH41/BX41),0),0)</f>
        <v>4.6191581353205342E-3</v>
      </c>
      <c r="DE41" s="314"/>
      <c r="DF41" s="314">
        <f>IFERROR(IF(BZ41&gt;0,LN(BJ41/BZ41),0),0)</f>
        <v>-0.23140170115659037</v>
      </c>
      <c r="DG41" s="314"/>
      <c r="DH41" s="315"/>
      <c r="DI41" s="315"/>
      <c r="DJ41" s="314">
        <f>IFERROR(IF(CD41&gt;0,LN(BN41/CD41),0),0)</f>
        <v>-0.22090649304521895</v>
      </c>
      <c r="DK41" s="315"/>
      <c r="DL41" s="315"/>
      <c r="DM41" s="314">
        <f>IFERROR(IF(CG41&gt;0,LN(BQ41/CG41),0),0)</f>
        <v>-0.38804896215216683</v>
      </c>
      <c r="DN41" s="315"/>
      <c r="DO41" s="168"/>
      <c r="DQ41" s="107" t="s">
        <v>576</v>
      </c>
      <c r="DR41" s="315"/>
      <c r="DS41" s="315"/>
      <c r="DT41" s="314">
        <v>2.0754802391787055</v>
      </c>
      <c r="DU41" s="314">
        <v>2.0754802391787055</v>
      </c>
      <c r="DV41" s="314">
        <v>-0.10550722462033224</v>
      </c>
      <c r="DW41" s="314">
        <v>-0.10550722462033224</v>
      </c>
      <c r="DX41" s="315"/>
      <c r="DY41" s="315"/>
      <c r="DZ41" s="314">
        <v>6.608384785391479</v>
      </c>
      <c r="EA41" s="315"/>
      <c r="EB41" s="315"/>
      <c r="EC41" s="314">
        <v>-0.51176324263691075</v>
      </c>
      <c r="ED41" s="315"/>
      <c r="EE41" s="168"/>
      <c r="EG41" s="107" t="s">
        <v>576</v>
      </c>
      <c r="EH41" s="315"/>
      <c r="EI41" s="315"/>
      <c r="EJ41" s="314">
        <f>DT41+(DD41-DD$39)*$EI$1</f>
        <v>2.2601274648462057</v>
      </c>
      <c r="EK41" s="314">
        <f>DT41+(DD41-DD$39)*$EI$1</f>
        <v>2.2601274648462057</v>
      </c>
      <c r="EL41" s="314">
        <f>DV41+(DF41-DF$39)*$EI$1</f>
        <v>-0.36234830089905218</v>
      </c>
      <c r="EM41" s="314">
        <f>DV41+(DF41-DF$39)*$EI$1</f>
        <v>-0.36234830089905218</v>
      </c>
      <c r="EN41" s="315"/>
      <c r="EO41" s="315"/>
      <c r="EP41" s="314">
        <f>DZ41+(DJ41-DJ$47)*$EI$1</f>
        <v>6.3283800116812543</v>
      </c>
      <c r="EQ41" s="315"/>
      <c r="ER41" s="315"/>
      <c r="ES41" s="314">
        <f>EC41+(DM41-DM$50)*$EI$1</f>
        <v>-1.0285132270005624</v>
      </c>
      <c r="ET41" s="315"/>
      <c r="EU41" s="168"/>
      <c r="EW41" s="164" t="s">
        <v>388</v>
      </c>
      <c r="EX41" s="316">
        <f t="shared" si="101"/>
        <v>0</v>
      </c>
      <c r="EY41" s="316">
        <f t="shared" si="97"/>
        <v>0</v>
      </c>
      <c r="EZ41" s="316">
        <f t="shared" si="97"/>
        <v>2.2601274648462057</v>
      </c>
      <c r="FA41" s="316">
        <f t="shared" si="97"/>
        <v>2.2601274648462057</v>
      </c>
      <c r="FB41" s="316">
        <f t="shared" si="97"/>
        <v>0</v>
      </c>
      <c r="FC41" s="316">
        <f t="shared" si="97"/>
        <v>0</v>
      </c>
      <c r="FD41" s="316">
        <f t="shared" si="97"/>
        <v>2.7819375219255087</v>
      </c>
      <c r="FE41" s="316">
        <f t="shared" si="97"/>
        <v>0</v>
      </c>
      <c r="FF41" s="316"/>
      <c r="FG41" s="316">
        <f t="shared" si="97"/>
        <v>0</v>
      </c>
      <c r="FH41" s="316">
        <f t="shared" si="97"/>
        <v>0</v>
      </c>
      <c r="FI41" s="316">
        <f t="shared" si="97"/>
        <v>0</v>
      </c>
      <c r="FJ41" s="316">
        <f t="shared" si="97"/>
        <v>0</v>
      </c>
      <c r="FK41" s="316">
        <f t="shared" si="97"/>
        <v>0</v>
      </c>
      <c r="FL41" s="168"/>
    </row>
    <row r="42" spans="2:168" x14ac:dyDescent="0.25">
      <c r="B42" s="107" t="s">
        <v>389</v>
      </c>
      <c r="C42" s="294"/>
      <c r="D42" s="294"/>
      <c r="E42" s="160">
        <f>TripMode_input!D39</f>
        <v>0</v>
      </c>
      <c r="F42" s="160">
        <f>TripMode_input!E39</f>
        <v>1154.72462</v>
      </c>
      <c r="G42" s="160">
        <f>TripMode_input!F39</f>
        <v>0</v>
      </c>
      <c r="H42" s="160">
        <f>TripMode_input!G39</f>
        <v>276.16296</v>
      </c>
      <c r="I42" s="294"/>
      <c r="J42" s="294"/>
      <c r="K42" s="160">
        <f>TripMode_input!J39+TripMode_input!K39</f>
        <v>0</v>
      </c>
      <c r="L42" s="294"/>
      <c r="M42" s="294"/>
      <c r="N42" s="160">
        <f>TripMode_input!N39</f>
        <v>0</v>
      </c>
      <c r="O42" s="294"/>
      <c r="P42" s="162">
        <f t="shared" si="87"/>
        <v>1430.8875800000001</v>
      </c>
      <c r="R42">
        <f t="shared" si="98"/>
        <v>0</v>
      </c>
      <c r="S42">
        <f t="shared" si="99"/>
        <v>0</v>
      </c>
      <c r="T42">
        <f t="shared" si="100"/>
        <v>0</v>
      </c>
      <c r="Y42" s="107" t="s">
        <v>389</v>
      </c>
      <c r="Z42" s="294"/>
      <c r="AA42" s="294"/>
      <c r="AB42" s="160">
        <f>+E42</f>
        <v>0</v>
      </c>
      <c r="AC42" s="160">
        <f>+F42</f>
        <v>1154.72462</v>
      </c>
      <c r="AD42" s="160">
        <f t="shared" si="89"/>
        <v>0</v>
      </c>
      <c r="AE42" s="160">
        <f t="shared" si="90"/>
        <v>276.16296</v>
      </c>
      <c r="AF42" s="294"/>
      <c r="AG42" s="294"/>
      <c r="AH42" s="160">
        <f>AH47*R42</f>
        <v>0</v>
      </c>
      <c r="AI42" s="294"/>
      <c r="AJ42" s="294"/>
      <c r="AK42" s="160">
        <f>+N42</f>
        <v>0</v>
      </c>
      <c r="AL42" s="294"/>
      <c r="AM42" s="162">
        <f t="shared" si="91"/>
        <v>1430.8875800000001</v>
      </c>
      <c r="AO42" s="107" t="s">
        <v>389</v>
      </c>
      <c r="AP42" s="294">
        <f>TripMode_input!R39*Index!$B$2</f>
        <v>0</v>
      </c>
      <c r="AQ42" s="294">
        <f>TripMode_input!S39*Index!$B$2</f>
        <v>0</v>
      </c>
      <c r="AR42" s="160">
        <f>TripMode_input!T39*Index!$B$2</f>
        <v>7645</v>
      </c>
      <c r="AS42" s="160">
        <f>TripMode_input!U39*Index!$B$2</f>
        <v>1640</v>
      </c>
      <c r="AT42" s="160">
        <f>TripMode_input!V39*Index!$B$2</f>
        <v>3370</v>
      </c>
      <c r="AU42" s="160">
        <f>TripMode_input!W39*Index!$B$2</f>
        <v>2270</v>
      </c>
      <c r="AV42" s="294">
        <f>TripMode_input!X39*Index!$B$2</f>
        <v>0</v>
      </c>
      <c r="AW42" s="294">
        <f>TripMode_input!Y39*Index!$B$2</f>
        <v>0</v>
      </c>
      <c r="AX42" s="160">
        <f>TripMode_input!AA39*Index!$B$2</f>
        <v>160</v>
      </c>
      <c r="AY42" s="160">
        <f>TripMode_input!AB39*Index!$B$2</f>
        <v>0</v>
      </c>
      <c r="AZ42" s="160">
        <f>TripMode_input!AC39*Index!$B$2</f>
        <v>0</v>
      </c>
      <c r="BA42" s="160">
        <f>TripMode_input!AD39*Index!$B$2</f>
        <v>85</v>
      </c>
      <c r="BB42" s="294">
        <f>TripMode_input!AE39*Index!$B$2</f>
        <v>0</v>
      </c>
      <c r="BC42" s="162">
        <f t="shared" si="92"/>
        <v>15170</v>
      </c>
      <c r="BE42" s="107"/>
      <c r="BF42" s="166"/>
      <c r="BG42" s="166"/>
      <c r="BH42" s="166"/>
      <c r="BI42" s="166"/>
      <c r="BJ42" s="166"/>
      <c r="BK42" s="166"/>
      <c r="BL42" s="166"/>
      <c r="BM42" s="166"/>
      <c r="BN42" s="166"/>
      <c r="BO42" s="166"/>
      <c r="BP42" s="166"/>
      <c r="BQ42" s="166"/>
      <c r="BR42" s="166"/>
      <c r="BS42" s="166"/>
      <c r="BU42" s="107"/>
      <c r="BV42" s="166"/>
      <c r="BW42" s="166"/>
      <c r="BX42" s="166"/>
      <c r="BY42" s="166"/>
      <c r="BZ42" s="166"/>
      <c r="CA42" s="166"/>
      <c r="CB42" s="166"/>
      <c r="CC42" s="166"/>
      <c r="CD42" s="166"/>
      <c r="CE42" s="166"/>
      <c r="CF42" s="166"/>
      <c r="CG42" s="166"/>
      <c r="CH42" s="166"/>
      <c r="CI42" s="166"/>
      <c r="CK42" s="107" t="s">
        <v>389</v>
      </c>
      <c r="CL42" s="166" t="str">
        <f t="shared" si="95"/>
        <v/>
      </c>
      <c r="CM42" s="166" t="str">
        <f t="shared" si="95"/>
        <v/>
      </c>
      <c r="CN42" s="166" t="str">
        <f t="shared" si="95"/>
        <v/>
      </c>
      <c r="CO42" s="166" t="str">
        <f t="shared" si="95"/>
        <v/>
      </c>
      <c r="CP42" s="166"/>
      <c r="CQ42" s="166"/>
      <c r="CR42" s="166"/>
      <c r="CS42" s="166"/>
      <c r="CT42" s="166" t="str">
        <f t="shared" si="96"/>
        <v/>
      </c>
      <c r="CU42" s="166" t="str">
        <f t="shared" si="96"/>
        <v/>
      </c>
      <c r="CV42" s="166" t="str">
        <f t="shared" si="96"/>
        <v/>
      </c>
      <c r="CW42" s="166" t="str">
        <f t="shared" si="96"/>
        <v/>
      </c>
      <c r="CX42" s="166" t="str">
        <f t="shared" si="96"/>
        <v/>
      </c>
      <c r="CY42" s="168" t="str">
        <f t="shared" si="96"/>
        <v/>
      </c>
      <c r="DA42" s="107"/>
      <c r="DB42" s="315"/>
      <c r="DC42" s="315"/>
      <c r="DD42" s="314"/>
      <c r="DE42" s="314"/>
      <c r="DF42" s="314"/>
      <c r="DG42" s="314"/>
      <c r="DH42" s="315"/>
      <c r="DI42" s="315"/>
      <c r="DJ42" s="314"/>
      <c r="DK42" s="315"/>
      <c r="DL42" s="315"/>
      <c r="DM42" s="314"/>
      <c r="DN42" s="315"/>
      <c r="DO42" s="168"/>
      <c r="DQ42" s="107"/>
      <c r="DR42" s="315"/>
      <c r="DS42" s="315"/>
      <c r="DT42" s="314">
        <v>2.0754802391787055</v>
      </c>
      <c r="DU42" s="314">
        <v>2.0754802391787055</v>
      </c>
      <c r="DV42" s="314">
        <v>-0.10550722462033224</v>
      </c>
      <c r="DW42" s="314">
        <v>-0.10550722462033224</v>
      </c>
      <c r="DX42" s="315"/>
      <c r="DY42" s="315"/>
      <c r="DZ42" s="314">
        <v>6.608384785391479</v>
      </c>
      <c r="EA42" s="315"/>
      <c r="EB42" s="315"/>
      <c r="EC42" s="314">
        <v>-0.51176324263691075</v>
      </c>
      <c r="ED42" s="315"/>
      <c r="EE42" s="168"/>
      <c r="EG42" s="107"/>
      <c r="EH42" s="315"/>
      <c r="EI42" s="315"/>
      <c r="EJ42" s="314">
        <f>DT41+(DD41-DD$39)*$EI$1</f>
        <v>2.2601274648462057</v>
      </c>
      <c r="EK42" s="314">
        <f>DT41+(DD41-DD$39)*$EI$1</f>
        <v>2.2601274648462057</v>
      </c>
      <c r="EL42" s="314">
        <f>DV41+(DF41-DF$39)*$EI$1</f>
        <v>-0.36234830089905218</v>
      </c>
      <c r="EM42" s="314">
        <f>DV41+(DF41-DF$39)*$EI$1</f>
        <v>-0.36234830089905218</v>
      </c>
      <c r="EN42" s="315"/>
      <c r="EO42" s="315"/>
      <c r="EP42" s="314">
        <f>DZ41+(DJ41-DJ$47)*$EI$1</f>
        <v>6.3283800116812543</v>
      </c>
      <c r="EQ42" s="315"/>
      <c r="ER42" s="315"/>
      <c r="ES42" s="314">
        <f>EC41+(DM41-DM$50)*$EI$1</f>
        <v>-1.0285132270005624</v>
      </c>
      <c r="ET42" s="315"/>
      <c r="EU42" s="168"/>
      <c r="EW42" s="164" t="s">
        <v>389</v>
      </c>
      <c r="EX42" s="316">
        <f t="shared" si="101"/>
        <v>0</v>
      </c>
      <c r="EY42" s="316">
        <f t="shared" si="97"/>
        <v>0</v>
      </c>
      <c r="EZ42" s="316">
        <f t="shared" si="97"/>
        <v>2.2601274648462057</v>
      </c>
      <c r="FA42" s="316">
        <f t="shared" si="97"/>
        <v>2.2601274648462057</v>
      </c>
      <c r="FB42" s="316">
        <f t="shared" si="97"/>
        <v>0</v>
      </c>
      <c r="FC42" s="316">
        <f t="shared" si="97"/>
        <v>0</v>
      </c>
      <c r="FD42" s="316">
        <f t="shared" si="97"/>
        <v>2.7819375219255087</v>
      </c>
      <c r="FE42" s="316">
        <f t="shared" si="97"/>
        <v>0</v>
      </c>
      <c r="FF42" s="316"/>
      <c r="FG42" s="316">
        <f t="shared" si="97"/>
        <v>0</v>
      </c>
      <c r="FH42" s="316">
        <f t="shared" si="97"/>
        <v>0</v>
      </c>
      <c r="FI42" s="316">
        <f t="shared" si="97"/>
        <v>0</v>
      </c>
      <c r="FJ42" s="316">
        <f t="shared" si="97"/>
        <v>0</v>
      </c>
      <c r="FK42" s="316">
        <f t="shared" si="97"/>
        <v>0</v>
      </c>
      <c r="FL42" s="168"/>
    </row>
    <row r="43" spans="2:168" x14ac:dyDescent="0.25">
      <c r="B43" s="107" t="s">
        <v>390</v>
      </c>
      <c r="C43" s="294"/>
      <c r="D43" s="294"/>
      <c r="E43" s="294"/>
      <c r="F43" s="294"/>
      <c r="G43" s="160">
        <f>TripMode_input!F40</f>
        <v>833243.31449000002</v>
      </c>
      <c r="H43" s="160">
        <f>TripMode_input!G40</f>
        <v>5583.6349700000001</v>
      </c>
      <c r="I43" s="294"/>
      <c r="J43" s="294"/>
      <c r="K43" s="160">
        <f>TripMode_input!J40+TripMode_input!K40</f>
        <v>5264.9719999999998</v>
      </c>
      <c r="L43" s="294"/>
      <c r="M43" s="294"/>
      <c r="N43" s="160">
        <f>TripMode_input!N40</f>
        <v>0</v>
      </c>
      <c r="O43" s="294"/>
      <c r="P43" s="162">
        <f t="shared" si="87"/>
        <v>844091.92145999998</v>
      </c>
      <c r="R43">
        <f t="shared" si="98"/>
        <v>4.5326685211965471E-2</v>
      </c>
      <c r="S43">
        <f t="shared" si="99"/>
        <v>0</v>
      </c>
      <c r="T43">
        <f t="shared" si="100"/>
        <v>0</v>
      </c>
      <c r="Y43" s="107" t="s">
        <v>390</v>
      </c>
      <c r="Z43" s="294"/>
      <c r="AA43" s="294"/>
      <c r="AB43" s="294"/>
      <c r="AC43" s="294"/>
      <c r="AD43" s="160">
        <f t="shared" si="89"/>
        <v>833243.31449000002</v>
      </c>
      <c r="AE43" s="160">
        <f t="shared" si="90"/>
        <v>5583.6349700000001</v>
      </c>
      <c r="AF43" s="294"/>
      <c r="AG43" s="294"/>
      <c r="AH43" s="160">
        <f>AH47*R43</f>
        <v>5557.4689694790904</v>
      </c>
      <c r="AI43" s="294"/>
      <c r="AJ43" s="294"/>
      <c r="AK43" s="160">
        <f>+N43</f>
        <v>0</v>
      </c>
      <c r="AL43" s="294"/>
      <c r="AM43" s="162">
        <f t="shared" si="91"/>
        <v>844384.41842947912</v>
      </c>
      <c r="AO43" s="107" t="s">
        <v>390</v>
      </c>
      <c r="AP43" s="294">
        <f>TripMode_input!R40*Index!$B$2</f>
        <v>0</v>
      </c>
      <c r="AQ43" s="294">
        <f>TripMode_input!S40*Index!$B$2</f>
        <v>0</v>
      </c>
      <c r="AR43" s="294">
        <f>TripMode_input!T40*Index!$B$2</f>
        <v>0</v>
      </c>
      <c r="AS43" s="294">
        <f>TripMode_input!U40*Index!$B$2</f>
        <v>0</v>
      </c>
      <c r="AT43" s="160">
        <f>TripMode_input!V40*Index!$B$2</f>
        <v>749780</v>
      </c>
      <c r="AU43" s="160">
        <f>TripMode_input!W40*Index!$B$2</f>
        <v>23505</v>
      </c>
      <c r="AV43" s="294">
        <f>TripMode_input!X40*Index!$B$2</f>
        <v>0</v>
      </c>
      <c r="AW43" s="294">
        <f>TripMode_input!Y40*Index!$B$2</f>
        <v>0</v>
      </c>
      <c r="AX43" s="160">
        <f>TripMode_input!AA40*Index!$B$2</f>
        <v>5420</v>
      </c>
      <c r="AY43" s="160">
        <f>TripMode_input!AB40*Index!$B$2</f>
        <v>0</v>
      </c>
      <c r="AZ43" s="160">
        <f>TripMode_input!AC40*Index!$B$2</f>
        <v>0</v>
      </c>
      <c r="BA43" s="160">
        <f>TripMode_input!AD40*Index!$B$2</f>
        <v>5</v>
      </c>
      <c r="BB43" s="294">
        <f>TripMode_input!AE40*Index!$B$2</f>
        <v>0</v>
      </c>
      <c r="BC43" s="162">
        <f t="shared" si="92"/>
        <v>778710</v>
      </c>
      <c r="BE43" s="107" t="s">
        <v>577</v>
      </c>
      <c r="BF43" s="166">
        <f>IF(Z$52+AA$52&gt;0,SUM(Z43:AA44)/(Z$52+AA$52),"")</f>
        <v>0</v>
      </c>
      <c r="BG43" s="166"/>
      <c r="BH43" s="166">
        <f>IF(AB$52+AC$52&gt;0,SUM(AB43:AC44)/(AB$52+AC$52),"")</f>
        <v>0</v>
      </c>
      <c r="BI43" s="166"/>
      <c r="BJ43" s="166">
        <f>IF(AD$52+AE$52&gt;0,SUM(AD43:AE44)/(AD$52+AE$52),"")</f>
        <v>0.75726125276521528</v>
      </c>
      <c r="BK43" s="166"/>
      <c r="BL43" s="166">
        <f t="shared" ref="BL43:BS43" si="104">IF(AF$52&gt;0,(AF43+AF44)/AF$52,"")</f>
        <v>0</v>
      </c>
      <c r="BM43" s="166">
        <f t="shared" si="104"/>
        <v>0</v>
      </c>
      <c r="BN43" s="166">
        <f t="shared" si="104"/>
        <v>3.802059405867745E-2</v>
      </c>
      <c r="BO43" s="166">
        <f t="shared" si="104"/>
        <v>0</v>
      </c>
      <c r="BP43" s="166">
        <f t="shared" si="104"/>
        <v>0</v>
      </c>
      <c r="BQ43" s="166">
        <f t="shared" si="104"/>
        <v>0</v>
      </c>
      <c r="BR43" s="166">
        <f t="shared" si="104"/>
        <v>0</v>
      </c>
      <c r="BS43" s="166">
        <f t="shared" si="104"/>
        <v>0.2543571745586366</v>
      </c>
      <c r="BU43" s="107" t="s">
        <v>577</v>
      </c>
      <c r="BV43" s="166">
        <f>IF(AP$52+AQ$52&gt;0,SUM(AP43:AQ44)/(AP$52+AQ$52),"")</f>
        <v>0</v>
      </c>
      <c r="BW43" s="166"/>
      <c r="BX43" s="166">
        <f>IF(AR$52+AS$52&gt;0,SUM(AR43:AS44)/(AR$52+AS$52),"")</f>
        <v>0</v>
      </c>
      <c r="BY43" s="166"/>
      <c r="BZ43" s="166">
        <f>IF(AT$52+AU$52&gt;0,SUM(AT43:AU44)/(AT$52+AU$52),"")</f>
        <v>0.71047978097930975</v>
      </c>
      <c r="CA43" s="166"/>
      <c r="CB43" s="166">
        <f t="shared" ref="CB43:CI43" si="105">IF(AV$52&gt;0,(AV43+AV44)/AV$52,"")</f>
        <v>0</v>
      </c>
      <c r="CC43" s="166">
        <f t="shared" si="105"/>
        <v>0</v>
      </c>
      <c r="CD43" s="166">
        <f t="shared" si="105"/>
        <v>5.3010783471705313E-2</v>
      </c>
      <c r="CE43" s="166">
        <f t="shared" si="105"/>
        <v>0</v>
      </c>
      <c r="CF43" s="166">
        <f t="shared" si="105"/>
        <v>0</v>
      </c>
      <c r="CG43" s="166">
        <f t="shared" si="105"/>
        <v>1.6474464579901153E-3</v>
      </c>
      <c r="CH43" s="166">
        <f t="shared" si="105"/>
        <v>0</v>
      </c>
      <c r="CI43" s="166">
        <f t="shared" si="105"/>
        <v>0.21195795251176036</v>
      </c>
      <c r="CK43" s="107" t="s">
        <v>390</v>
      </c>
      <c r="CL43" s="166"/>
      <c r="CM43" s="166"/>
      <c r="CN43" s="166"/>
      <c r="CO43" s="166"/>
      <c r="CP43" s="166"/>
      <c r="CQ43" s="166"/>
      <c r="CR43" s="166"/>
      <c r="CS43" s="166"/>
      <c r="CT43" s="166"/>
      <c r="CU43" s="166"/>
      <c r="CV43" s="166"/>
      <c r="CW43" s="166"/>
      <c r="CX43" s="166"/>
      <c r="CY43" s="168"/>
      <c r="DA43" s="107" t="s">
        <v>577</v>
      </c>
      <c r="DB43" s="315"/>
      <c r="DC43" s="315"/>
      <c r="DD43" s="315"/>
      <c r="DE43" s="315"/>
      <c r="DF43" s="314">
        <f>IFERROR(IF(BZ43&gt;0,LN(BJ43/BZ43),0),0)</f>
        <v>6.3767820158074209E-2</v>
      </c>
      <c r="DG43" s="314"/>
      <c r="DH43" s="315"/>
      <c r="DI43" s="315"/>
      <c r="DJ43" s="314">
        <f>IFERROR(IF(CD43&gt;0,LN(BN43/CD43),0),0)</f>
        <v>-0.3323673927492049</v>
      </c>
      <c r="DK43" s="315"/>
      <c r="DL43" s="315"/>
      <c r="DM43" s="314">
        <f>IFERROR(IF(CG43&gt;0,LN(BQ43/CG43),0),0)</f>
        <v>0</v>
      </c>
      <c r="DN43" s="315"/>
      <c r="DO43" s="168"/>
      <c r="DQ43" s="107" t="s">
        <v>577</v>
      </c>
      <c r="DR43" s="315"/>
      <c r="DS43" s="315"/>
      <c r="DT43" s="315"/>
      <c r="DU43" s="315"/>
      <c r="DV43" s="314">
        <v>0.10117083977839281</v>
      </c>
      <c r="DW43" s="314">
        <v>0.10117083977839281</v>
      </c>
      <c r="DX43" s="315"/>
      <c r="DY43" s="315"/>
      <c r="DZ43" s="314">
        <v>5.1450090648318056</v>
      </c>
      <c r="EA43" s="315"/>
      <c r="EB43" s="315"/>
      <c r="EC43" s="314">
        <v>-3.9439776685969852</v>
      </c>
      <c r="ED43" s="315"/>
      <c r="EE43" s="168"/>
      <c r="EG43" s="107" t="s">
        <v>577</v>
      </c>
      <c r="EH43" s="315"/>
      <c r="EI43" s="315"/>
      <c r="EJ43" s="315"/>
      <c r="EK43" s="315"/>
      <c r="EL43" s="314">
        <f>DV43+(DF43-DF$39)*$EI$1</f>
        <v>0.13949928481433746</v>
      </c>
      <c r="EM43" s="314">
        <f>DV43+(DF43-DF$39)*$EI$1</f>
        <v>0.13949928481433746</v>
      </c>
      <c r="EN43" s="315"/>
      <c r="EO43" s="315"/>
      <c r="EP43" s="314">
        <f>DZ43+(DJ43-DJ$47)*$EI$1</f>
        <v>4.7535433914175949</v>
      </c>
      <c r="EQ43" s="315"/>
      <c r="ER43" s="315"/>
      <c r="ES43" s="314">
        <f>EC43+(DM43-DM$50)*$EI$1</f>
        <v>-4.0726786908084698</v>
      </c>
      <c r="ET43" s="315"/>
      <c r="EU43" s="168"/>
      <c r="EW43" s="164" t="s">
        <v>390</v>
      </c>
      <c r="EX43" s="316">
        <f t="shared" si="101"/>
        <v>0</v>
      </c>
      <c r="EY43" s="316">
        <f t="shared" si="97"/>
        <v>0</v>
      </c>
      <c r="EZ43" s="316">
        <f t="shared" si="97"/>
        <v>-0.36234830089905218</v>
      </c>
      <c r="FA43" s="316">
        <f t="shared" si="97"/>
        <v>-0.36234830089905218</v>
      </c>
      <c r="FB43" s="316">
        <f t="shared" si="97"/>
        <v>0.13949928481433746</v>
      </c>
      <c r="FC43" s="316">
        <f t="shared" si="97"/>
        <v>0.13949928481433746</v>
      </c>
      <c r="FD43" s="316">
        <f t="shared" si="97"/>
        <v>-1.0477345783190608</v>
      </c>
      <c r="FE43" s="316">
        <f t="shared" si="97"/>
        <v>0</v>
      </c>
      <c r="FF43" s="316"/>
      <c r="FG43" s="316">
        <f t="shared" si="97"/>
        <v>0</v>
      </c>
      <c r="FH43" s="316">
        <f t="shared" si="97"/>
        <v>0</v>
      </c>
      <c r="FI43" s="316">
        <f t="shared" si="97"/>
        <v>0</v>
      </c>
      <c r="FJ43" s="316">
        <f t="shared" si="97"/>
        <v>0</v>
      </c>
      <c r="FK43" s="316">
        <f t="shared" si="97"/>
        <v>0</v>
      </c>
      <c r="FL43" s="168"/>
    </row>
    <row r="44" spans="2:168" x14ac:dyDescent="0.25">
      <c r="B44" s="107" t="s">
        <v>391</v>
      </c>
      <c r="C44" s="294"/>
      <c r="D44" s="294"/>
      <c r="E44" s="294"/>
      <c r="F44" s="294"/>
      <c r="G44" s="160">
        <f>TripMode_input!F41</f>
        <v>0</v>
      </c>
      <c r="H44" s="160">
        <f>TripMode_input!G41</f>
        <v>3600.02252</v>
      </c>
      <c r="I44" s="294"/>
      <c r="J44" s="294"/>
      <c r="K44" s="160">
        <f>TripMode_input!J41+TripMode_input!K41</f>
        <v>0</v>
      </c>
      <c r="L44" s="294"/>
      <c r="M44" s="294"/>
      <c r="N44" s="160">
        <f>TripMode_input!N41</f>
        <v>0</v>
      </c>
      <c r="O44" s="294"/>
      <c r="P44" s="162">
        <f t="shared" si="87"/>
        <v>3600.02252</v>
      </c>
      <c r="R44">
        <f t="shared" si="98"/>
        <v>0</v>
      </c>
      <c r="S44">
        <f t="shared" si="99"/>
        <v>0</v>
      </c>
      <c r="T44">
        <f t="shared" si="100"/>
        <v>0</v>
      </c>
      <c r="Y44" s="107" t="s">
        <v>391</v>
      </c>
      <c r="Z44" s="294"/>
      <c r="AA44" s="294"/>
      <c r="AB44" s="294"/>
      <c r="AC44" s="294"/>
      <c r="AD44" s="160">
        <f t="shared" si="89"/>
        <v>0</v>
      </c>
      <c r="AE44" s="160">
        <f t="shared" si="90"/>
        <v>3600.02252</v>
      </c>
      <c r="AF44" s="294"/>
      <c r="AG44" s="294"/>
      <c r="AH44" s="160">
        <f>AH47*R44</f>
        <v>0</v>
      </c>
      <c r="AI44" s="294"/>
      <c r="AJ44" s="294"/>
      <c r="AK44" s="160">
        <f>+N44</f>
        <v>0</v>
      </c>
      <c r="AL44" s="294"/>
      <c r="AM44" s="162">
        <f t="shared" si="91"/>
        <v>3600.02252</v>
      </c>
      <c r="AO44" s="107" t="s">
        <v>391</v>
      </c>
      <c r="AP44" s="294">
        <f>TripMode_input!R41*Index!$B$2</f>
        <v>0</v>
      </c>
      <c r="AQ44" s="294">
        <f>TripMode_input!S41*Index!$B$2</f>
        <v>0</v>
      </c>
      <c r="AR44" s="294">
        <f>TripMode_input!T41*Index!$B$2</f>
        <v>0</v>
      </c>
      <c r="AS44" s="294">
        <f>TripMode_input!U41*Index!$B$2</f>
        <v>0</v>
      </c>
      <c r="AT44" s="160">
        <f>TripMode_input!V41*Index!$B$2</f>
        <v>11260</v>
      </c>
      <c r="AU44" s="160">
        <f>TripMode_input!W41*Index!$B$2</f>
        <v>6965</v>
      </c>
      <c r="AV44" s="294">
        <f>TripMode_input!X41*Index!$B$2</f>
        <v>0</v>
      </c>
      <c r="AW44" s="294">
        <f>TripMode_input!Y41*Index!$B$2</f>
        <v>0</v>
      </c>
      <c r="AX44" s="160">
        <f>TripMode_input!AA41*Index!$B$2</f>
        <v>135</v>
      </c>
      <c r="AY44" s="160">
        <f>TripMode_input!AB41*Index!$B$2</f>
        <v>0</v>
      </c>
      <c r="AZ44" s="160">
        <f>TripMode_input!AC41*Index!$B$2</f>
        <v>0</v>
      </c>
      <c r="BA44" s="160">
        <f>TripMode_input!AD41*Index!$B$2</f>
        <v>0</v>
      </c>
      <c r="BB44" s="294">
        <f>TripMode_input!AE41*Index!$B$2</f>
        <v>0</v>
      </c>
      <c r="BC44" s="162">
        <f t="shared" si="92"/>
        <v>18360</v>
      </c>
      <c r="BE44" s="107"/>
      <c r="BF44" s="166"/>
      <c r="BG44" s="166"/>
      <c r="BH44" s="166"/>
      <c r="BI44" s="166"/>
      <c r="BJ44" s="166"/>
      <c r="BK44" s="166"/>
      <c r="BL44" s="166"/>
      <c r="BM44" s="166"/>
      <c r="BN44" s="166"/>
      <c r="BO44" s="166"/>
      <c r="BP44" s="166"/>
      <c r="BQ44" s="166"/>
      <c r="BR44" s="166"/>
      <c r="BS44" s="166"/>
      <c r="BU44" s="107"/>
      <c r="BV44" s="166"/>
      <c r="BW44" s="166"/>
      <c r="BX44" s="166"/>
      <c r="BY44" s="166"/>
      <c r="BZ44" s="166"/>
      <c r="CA44" s="166"/>
      <c r="CB44" s="166"/>
      <c r="CC44" s="166"/>
      <c r="CD44" s="166"/>
      <c r="CE44" s="166"/>
      <c r="CF44" s="166"/>
      <c r="CG44" s="166"/>
      <c r="CH44" s="166"/>
      <c r="CI44" s="166"/>
      <c r="CK44" s="107" t="s">
        <v>391</v>
      </c>
      <c r="CL44" s="166"/>
      <c r="CM44" s="166"/>
      <c r="CN44" s="166"/>
      <c r="CO44" s="166"/>
      <c r="CP44" s="166"/>
      <c r="CQ44" s="166"/>
      <c r="CR44" s="166"/>
      <c r="CS44" s="166"/>
      <c r="CT44" s="166"/>
      <c r="CU44" s="166"/>
      <c r="CV44" s="166"/>
      <c r="CW44" s="166"/>
      <c r="CX44" s="166"/>
      <c r="CY44" s="168"/>
      <c r="DA44" s="107"/>
      <c r="DB44" s="315"/>
      <c r="DC44" s="315"/>
      <c r="DD44" s="315"/>
      <c r="DE44" s="315"/>
      <c r="DF44" s="314"/>
      <c r="DG44" s="314"/>
      <c r="DH44" s="315"/>
      <c r="DI44" s="315"/>
      <c r="DJ44" s="314"/>
      <c r="DK44" s="315"/>
      <c r="DL44" s="315"/>
      <c r="DM44" s="314"/>
      <c r="DN44" s="315"/>
      <c r="DO44" s="168"/>
      <c r="DQ44" s="107"/>
      <c r="DR44" s="315"/>
      <c r="DS44" s="315"/>
      <c r="DT44" s="315"/>
      <c r="DU44" s="315"/>
      <c r="DV44" s="314">
        <v>0.10117083977839281</v>
      </c>
      <c r="DW44" s="314">
        <v>0.10117083977839281</v>
      </c>
      <c r="DX44" s="315"/>
      <c r="DY44" s="315"/>
      <c r="DZ44" s="314">
        <v>5.1450090648318056</v>
      </c>
      <c r="EA44" s="315"/>
      <c r="EB44" s="315"/>
      <c r="EC44" s="314">
        <v>-3.9439776685969852</v>
      </c>
      <c r="ED44" s="315"/>
      <c r="EE44" s="168"/>
      <c r="EG44" s="107"/>
      <c r="EH44" s="315"/>
      <c r="EI44" s="315"/>
      <c r="EJ44" s="315"/>
      <c r="EK44" s="315"/>
      <c r="EL44" s="314">
        <f>DV43+(DF43-DF$39)*$EI$1</f>
        <v>0.13949928481433746</v>
      </c>
      <c r="EM44" s="314">
        <f>DV43+(DF43-DF$39)*$EI$1</f>
        <v>0.13949928481433746</v>
      </c>
      <c r="EN44" s="315"/>
      <c r="EO44" s="315"/>
      <c r="EP44" s="314">
        <f>DZ43+(DJ43-DJ$47)*$EI$1</f>
        <v>4.7535433914175949</v>
      </c>
      <c r="EQ44" s="315"/>
      <c r="ER44" s="315"/>
      <c r="ES44" s="314">
        <f>EC43+(DM43-DM$50)*$EI$1</f>
        <v>-4.0726786908084698</v>
      </c>
      <c r="ET44" s="315"/>
      <c r="EU44" s="168"/>
      <c r="EW44" s="164" t="s">
        <v>391</v>
      </c>
      <c r="EX44" s="316">
        <f t="shared" si="101"/>
        <v>0</v>
      </c>
      <c r="EY44" s="316">
        <f t="shared" si="97"/>
        <v>0</v>
      </c>
      <c r="EZ44" s="316">
        <f t="shared" si="97"/>
        <v>-0.36234830089905218</v>
      </c>
      <c r="FA44" s="316">
        <f t="shared" si="97"/>
        <v>-0.36234830089905218</v>
      </c>
      <c r="FB44" s="316">
        <f t="shared" si="97"/>
        <v>0.13949928481433746</v>
      </c>
      <c r="FC44" s="316">
        <f t="shared" si="97"/>
        <v>0.13949928481433746</v>
      </c>
      <c r="FD44" s="316">
        <f t="shared" si="97"/>
        <v>-1.0477345783190608</v>
      </c>
      <c r="FE44" s="316">
        <f t="shared" si="97"/>
        <v>0</v>
      </c>
      <c r="FF44" s="316"/>
      <c r="FG44" s="316">
        <f t="shared" si="97"/>
        <v>0</v>
      </c>
      <c r="FH44" s="316">
        <f t="shared" si="97"/>
        <v>0</v>
      </c>
      <c r="FI44" s="316">
        <f t="shared" si="97"/>
        <v>0</v>
      </c>
      <c r="FJ44" s="316">
        <f t="shared" si="97"/>
        <v>0</v>
      </c>
      <c r="FK44" s="316">
        <f t="shared" si="97"/>
        <v>0</v>
      </c>
      <c r="FL44" s="168"/>
    </row>
    <row r="45" spans="2:168" x14ac:dyDescent="0.25">
      <c r="B45" s="107" t="s">
        <v>392</v>
      </c>
      <c r="C45" s="294"/>
      <c r="D45" s="294"/>
      <c r="E45" s="160">
        <f>TripMode_input!D42</f>
        <v>46621.301630000002</v>
      </c>
      <c r="F45" s="160">
        <f>TripMode_input!E42</f>
        <v>0</v>
      </c>
      <c r="G45" s="160">
        <f>TripMode_input!F42</f>
        <v>70967.18909</v>
      </c>
      <c r="H45" s="160">
        <f>TripMode_input!G42</f>
        <v>0</v>
      </c>
      <c r="I45" s="160">
        <f>TripMode_input!H42</f>
        <v>484593.74177000002</v>
      </c>
      <c r="J45" s="294"/>
      <c r="K45" s="160">
        <f>TripMode_input!J42+TripMode_input!K42</f>
        <v>10055.70486</v>
      </c>
      <c r="L45" s="294"/>
      <c r="M45" s="294"/>
      <c r="N45" s="160">
        <f>TripMode_input!N42</f>
        <v>0</v>
      </c>
      <c r="O45" s="294"/>
      <c r="P45" s="162">
        <f t="shared" si="87"/>
        <v>612237.93735000014</v>
      </c>
      <c r="R45">
        <f t="shared" si="98"/>
        <v>8.6570596913649558E-2</v>
      </c>
      <c r="S45">
        <f t="shared" si="99"/>
        <v>0</v>
      </c>
      <c r="T45">
        <f t="shared" si="100"/>
        <v>0</v>
      </c>
      <c r="Y45" s="107" t="s">
        <v>392</v>
      </c>
      <c r="Z45" s="294"/>
      <c r="AA45" s="294"/>
      <c r="AB45" s="160">
        <f>+E45</f>
        <v>46621.301630000002</v>
      </c>
      <c r="AC45" s="160">
        <f>+F45</f>
        <v>0</v>
      </c>
      <c r="AD45" s="160">
        <f t="shared" si="89"/>
        <v>70967.18909</v>
      </c>
      <c r="AE45" s="160">
        <f t="shared" si="90"/>
        <v>0</v>
      </c>
      <c r="AF45" s="160">
        <f>+I45</f>
        <v>484593.74177000002</v>
      </c>
      <c r="AG45" s="294"/>
      <c r="AH45" s="160">
        <f>AH47*R45</f>
        <v>10614.352312925897</v>
      </c>
      <c r="AI45" s="294"/>
      <c r="AJ45" s="294"/>
      <c r="AK45" s="160">
        <f>+N45</f>
        <v>0</v>
      </c>
      <c r="AL45" s="294"/>
      <c r="AM45" s="162">
        <f t="shared" si="91"/>
        <v>612796.58480292594</v>
      </c>
      <c r="AO45" s="107" t="s">
        <v>392</v>
      </c>
      <c r="AP45" s="294">
        <f>TripMode_input!R42*Index!$B$2</f>
        <v>0</v>
      </c>
      <c r="AQ45" s="294">
        <f>TripMode_input!S42*Index!$B$2</f>
        <v>0</v>
      </c>
      <c r="AR45" s="160">
        <f>TripMode_input!T42*Index!$B$2</f>
        <v>53580</v>
      </c>
      <c r="AS45" s="160">
        <f>TripMode_input!U42*Index!$B$2</f>
        <v>100</v>
      </c>
      <c r="AT45" s="160">
        <f>TripMode_input!V42*Index!$B$2</f>
        <v>72600</v>
      </c>
      <c r="AU45" s="160">
        <f>TripMode_input!W42*Index!$B$2</f>
        <v>380</v>
      </c>
      <c r="AV45" s="160">
        <f>TripMode_input!X42*Index!$B$2</f>
        <v>645360</v>
      </c>
      <c r="AW45" s="294">
        <f>TripMode_input!Y42*Index!$B$2</f>
        <v>0</v>
      </c>
      <c r="AX45" s="160">
        <f>TripMode_input!AA42*Index!$B$2</f>
        <v>9725</v>
      </c>
      <c r="AY45" s="160">
        <f>TripMode_input!AB42*Index!$B$2</f>
        <v>0</v>
      </c>
      <c r="AZ45" s="160">
        <f>TripMode_input!AC42*Index!$B$2</f>
        <v>0</v>
      </c>
      <c r="BA45" s="160">
        <f>TripMode_input!AD42*Index!$B$2</f>
        <v>75</v>
      </c>
      <c r="BB45" s="294">
        <f>TripMode_input!AE42*Index!$B$2</f>
        <v>0</v>
      </c>
      <c r="BC45" s="162">
        <f t="shared" si="92"/>
        <v>781820</v>
      </c>
      <c r="BE45" s="107" t="s">
        <v>392</v>
      </c>
      <c r="BF45" s="166">
        <f t="shared" ref="BF45:BS52" si="106">IF(Z$52&gt;0,Z45/Z$52,"")</f>
        <v>0</v>
      </c>
      <c r="BG45" s="166" t="str">
        <f t="shared" si="106"/>
        <v/>
      </c>
      <c r="BH45" s="166">
        <f t="shared" si="106"/>
        <v>9.5852823849557345E-2</v>
      </c>
      <c r="BI45" s="166">
        <f t="shared" si="106"/>
        <v>0</v>
      </c>
      <c r="BJ45" s="166">
        <f t="shared" si="106"/>
        <v>6.4350537053270318E-2</v>
      </c>
      <c r="BK45" s="166">
        <f t="shared" si="106"/>
        <v>0</v>
      </c>
      <c r="BL45" s="166">
        <f t="shared" si="106"/>
        <v>1</v>
      </c>
      <c r="BM45" s="166">
        <f t="shared" si="106"/>
        <v>0</v>
      </c>
      <c r="BN45" s="166">
        <f t="shared" si="106"/>
        <v>7.2616506309232026E-2</v>
      </c>
      <c r="BO45" s="166">
        <f t="shared" si="106"/>
        <v>0</v>
      </c>
      <c r="BP45" s="166">
        <f t="shared" si="106"/>
        <v>0</v>
      </c>
      <c r="BQ45" s="166">
        <f t="shared" si="106"/>
        <v>0</v>
      </c>
      <c r="BR45" s="166">
        <f t="shared" si="106"/>
        <v>0</v>
      </c>
      <c r="BS45" s="166">
        <f t="shared" si="106"/>
        <v>0.18381140073175059</v>
      </c>
      <c r="BU45" s="107" t="s">
        <v>392</v>
      </c>
      <c r="BV45" s="166">
        <f t="shared" ref="BV45:BV52" si="107">IF(AP$52&gt;0,AP45/AP$52,"")</f>
        <v>0</v>
      </c>
      <c r="BW45" s="166">
        <f t="shared" ref="BW45:BW52" si="108">IF(AQ$52&gt;0,AQ45/AQ$52,"")</f>
        <v>0</v>
      </c>
      <c r="BX45" s="166">
        <f t="shared" ref="BX45:BX52" si="109">IF(AR$52&gt;0,AR45/AR$52,"")</f>
        <v>9.7380115045936591E-2</v>
      </c>
      <c r="BY45" s="166">
        <f t="shared" ref="BY45:BY52" si="110">IF(AS$52&gt;0,AS45/AS$52,"")</f>
        <v>1.2099213551119177E-2</v>
      </c>
      <c r="BZ45" s="166">
        <f t="shared" ref="BZ45:BZ52" si="111">IF(AT$52&gt;0,AT45/AT$52,"")</f>
        <v>6.7627675182226774E-2</v>
      </c>
      <c r="CA45" s="166">
        <f t="shared" ref="CA45:CA52" si="112">IF(AU$52&gt;0,AU45/AU$52,"")</f>
        <v>9.3769278223318937E-3</v>
      </c>
      <c r="CB45" s="166">
        <f t="shared" ref="CB45:CB52" si="113">IF(AV$52&gt;0,AV45/AV$52,"")</f>
        <v>1</v>
      </c>
      <c r="CC45" s="166">
        <f t="shared" ref="CC45:CC52" si="114">IF(AW$52&gt;0,AW45/AW$52,"")</f>
        <v>0</v>
      </c>
      <c r="CD45" s="166">
        <f t="shared" ref="CD45:CD52" si="115">IF(AX$52&gt;0,AX45/AX$52,"")</f>
        <v>9.280465693291344E-2</v>
      </c>
      <c r="CE45" s="166">
        <f t="shared" ref="CE45:CE52" si="116">IF(AY$52&gt;0,AY45/AY$52,"")</f>
        <v>0</v>
      </c>
      <c r="CF45" s="166">
        <f t="shared" ref="CF45:CF52" si="117">IF(AZ$52&gt;0,AZ45/AZ$52,"")</f>
        <v>0</v>
      </c>
      <c r="CG45" s="166">
        <f t="shared" ref="CG45:CG52" si="118">IF(BA$52&gt;0,BA45/BA$52,"")</f>
        <v>2.4711696869851731E-2</v>
      </c>
      <c r="CH45" s="166">
        <f t="shared" ref="CH45:CH52" si="119">IF(BB$52&gt;0,BB45/BB$52,"")</f>
        <v>0</v>
      </c>
      <c r="CI45" s="168">
        <f t="shared" ref="CI45:CI52" si="120">IF(BC$52&gt;0,BC45/BC$52,"")</f>
        <v>0.20790265150205689</v>
      </c>
      <c r="CK45" s="107" t="s">
        <v>392</v>
      </c>
      <c r="CL45" s="166"/>
      <c r="CM45" s="166"/>
      <c r="CN45" s="166"/>
      <c r="CO45" s="166"/>
      <c r="CP45" s="166"/>
      <c r="CQ45" s="166"/>
      <c r="CR45" s="166"/>
      <c r="CS45" s="166"/>
      <c r="CT45" s="166"/>
      <c r="CU45" s="166"/>
      <c r="CV45" s="166"/>
      <c r="CW45" s="166"/>
      <c r="CX45" s="166"/>
      <c r="CY45" s="168"/>
      <c r="DA45" s="107" t="s">
        <v>392</v>
      </c>
      <c r="DB45" s="315"/>
      <c r="DC45" s="315"/>
      <c r="DD45" s="314">
        <f>IFERROR(IF(BX45&gt;0,LN(BH45/BX45),0),0)</f>
        <v>-1.5808101975968773E-2</v>
      </c>
      <c r="DE45" s="314">
        <f>IFERROR(IF(BY45&gt;0,LN(BI45/BY45),0),0)</f>
        <v>0</v>
      </c>
      <c r="DF45" s="314">
        <f>IFERROR(IF(BZ45&gt;0,LN(BJ45/BZ45),0),0)</f>
        <v>-4.9672015632475371E-2</v>
      </c>
      <c r="DG45" s="314">
        <f>IFERROR(IF(CA45&gt;0,LN(BK45/CA45),0),0)</f>
        <v>0</v>
      </c>
      <c r="DH45" s="314">
        <f>IFERROR(IF(CB45&gt;0,LN(BL45/CB45),0),0)</f>
        <v>0</v>
      </c>
      <c r="DI45" s="315"/>
      <c r="DJ45" s="314">
        <f t="shared" ref="DJ45:DJ50" si="121">IFERROR(IF(CD45&gt;0,LN(BN45/CD45),0),0)</f>
        <v>-0.24530456538003523</v>
      </c>
      <c r="DK45" s="315"/>
      <c r="DL45" s="315"/>
      <c r="DM45" s="314">
        <f>IFERROR(IF(CG45&gt;0,LN(BQ45/CG45),0),0)</f>
        <v>0</v>
      </c>
      <c r="DN45" s="315"/>
      <c r="DO45" s="168"/>
      <c r="DQ45" s="107" t="s">
        <v>392</v>
      </c>
      <c r="DR45" s="315"/>
      <c r="DS45" s="315"/>
      <c r="DT45" s="314">
        <v>2.6177175563692976</v>
      </c>
      <c r="DU45" s="314">
        <v>2.6177175563692976</v>
      </c>
      <c r="DV45" s="314">
        <v>-0.97262318756445598</v>
      </c>
      <c r="DW45" s="314">
        <v>-0.97262318756445598</v>
      </c>
      <c r="DX45" s="314">
        <v>0</v>
      </c>
      <c r="DY45" s="315"/>
      <c r="DZ45" s="314">
        <v>-2.3239690321892681</v>
      </c>
      <c r="EA45" s="315"/>
      <c r="EB45" s="315"/>
      <c r="EC45" s="314">
        <v>-3.9439776685969852</v>
      </c>
      <c r="ED45" s="315"/>
      <c r="EE45" s="168"/>
      <c r="EG45" s="107" t="s">
        <v>392</v>
      </c>
      <c r="EH45" s="315"/>
      <c r="EI45" s="315"/>
      <c r="EJ45" s="314">
        <f>DT45+(DD45-DD$39)*$EI$1</f>
        <v>2.7819375219255087</v>
      </c>
      <c r="EK45" s="314">
        <f>DT45+(DD45-DD$39)*$EI$1</f>
        <v>2.7819375219255087</v>
      </c>
      <c r="EL45" s="314">
        <f>DV45+(DF45-DF$39)*$EI$1</f>
        <v>-1.0477345783190608</v>
      </c>
      <c r="EM45" s="314">
        <f>DV45+(DF45-DF$39)*$EI$1</f>
        <v>-1.0477345783190608</v>
      </c>
      <c r="EN45" s="314">
        <v>0</v>
      </c>
      <c r="EO45" s="315"/>
      <c r="EP45" s="314">
        <f>DZ45+(DJ45-DJ$47)*$EI$1</f>
        <v>-2.6283718782343088</v>
      </c>
      <c r="EQ45" s="315"/>
      <c r="ER45" s="315"/>
      <c r="ES45" s="314">
        <f>EC45+(DM45-DM$50)*$EI$1</f>
        <v>-4.0726786908084698</v>
      </c>
      <c r="ET45" s="315"/>
      <c r="EU45" s="168"/>
      <c r="EW45" s="164" t="s">
        <v>392</v>
      </c>
      <c r="EX45" s="316">
        <f t="shared" si="101"/>
        <v>0</v>
      </c>
      <c r="EY45" s="316">
        <f t="shared" si="97"/>
        <v>0</v>
      </c>
      <c r="EZ45" s="316">
        <f t="shared" si="97"/>
        <v>0</v>
      </c>
      <c r="FA45" s="316">
        <f t="shared" si="97"/>
        <v>0</v>
      </c>
      <c r="FB45" s="316">
        <f t="shared" si="97"/>
        <v>0</v>
      </c>
      <c r="FC45" s="316">
        <f t="shared" si="97"/>
        <v>0</v>
      </c>
      <c r="FD45" s="316">
        <f t="shared" si="97"/>
        <v>0</v>
      </c>
      <c r="FE45" s="316">
        <f t="shared" si="97"/>
        <v>0</v>
      </c>
      <c r="FF45" s="316"/>
      <c r="FG45" s="316">
        <f t="shared" si="97"/>
        <v>0</v>
      </c>
      <c r="FH45" s="316">
        <f t="shared" si="97"/>
        <v>0</v>
      </c>
      <c r="FI45" s="316">
        <f t="shared" si="97"/>
        <v>0</v>
      </c>
      <c r="FJ45" s="316">
        <f t="shared" si="97"/>
        <v>0</v>
      </c>
      <c r="FK45" s="316">
        <f t="shared" si="97"/>
        <v>0</v>
      </c>
      <c r="FL45" s="168"/>
    </row>
    <row r="46" spans="2:168" x14ac:dyDescent="0.25">
      <c r="B46" s="107" t="s">
        <v>393</v>
      </c>
      <c r="C46" s="294"/>
      <c r="D46" s="294"/>
      <c r="E46" s="294"/>
      <c r="F46" s="294"/>
      <c r="G46" s="294"/>
      <c r="H46" s="294"/>
      <c r="I46" s="294"/>
      <c r="J46" s="160">
        <f>TripMode_input!I43</f>
        <v>32200.538100000002</v>
      </c>
      <c r="K46" s="294"/>
      <c r="L46" s="294"/>
      <c r="M46" s="294"/>
      <c r="N46" s="294"/>
      <c r="O46" s="294"/>
      <c r="P46" s="162">
        <f t="shared" si="87"/>
        <v>32200.538100000002</v>
      </c>
      <c r="R46">
        <f t="shared" si="98"/>
        <v>0</v>
      </c>
      <c r="S46">
        <f t="shared" si="99"/>
        <v>0</v>
      </c>
      <c r="T46">
        <f t="shared" si="100"/>
        <v>0</v>
      </c>
      <c r="Y46" s="107" t="s">
        <v>393</v>
      </c>
      <c r="Z46" s="294"/>
      <c r="AA46" s="294"/>
      <c r="AB46" s="294"/>
      <c r="AC46" s="294"/>
      <c r="AD46" s="294"/>
      <c r="AE46" s="294"/>
      <c r="AF46" s="294"/>
      <c r="AG46" s="160">
        <f>+J46</f>
        <v>32200.538100000002</v>
      </c>
      <c r="AH46" s="294"/>
      <c r="AI46" s="294"/>
      <c r="AJ46" s="294"/>
      <c r="AK46" s="294"/>
      <c r="AL46" s="294"/>
      <c r="AM46" s="162">
        <f t="shared" si="91"/>
        <v>32200.538100000002</v>
      </c>
      <c r="AO46" s="107" t="s">
        <v>393</v>
      </c>
      <c r="AP46" s="294">
        <f>TripMode_input!R43*Index!$B$2</f>
        <v>0</v>
      </c>
      <c r="AQ46" s="294">
        <f>TripMode_input!S43*Index!$B$2</f>
        <v>0</v>
      </c>
      <c r="AR46" s="294">
        <f>TripMode_input!T43*Index!$B$2</f>
        <v>0</v>
      </c>
      <c r="AS46" s="294">
        <f>TripMode_input!U43*Index!$B$2</f>
        <v>0</v>
      </c>
      <c r="AT46" s="294">
        <f>TripMode_input!V43*Index!$B$2</f>
        <v>0</v>
      </c>
      <c r="AU46" s="294">
        <f>TripMode_input!W43*Index!$B$2</f>
        <v>0</v>
      </c>
      <c r="AV46" s="294">
        <f>TripMode_input!X43*Index!$B$2</f>
        <v>0</v>
      </c>
      <c r="AW46" s="160">
        <f>TripMode_input!Y43*Index!$B$2</f>
        <v>40660</v>
      </c>
      <c r="AX46" s="294">
        <f>TripMode_input!AA43*Index!$B$2</f>
        <v>0</v>
      </c>
      <c r="AY46" s="294">
        <f>TripMode_input!AB43*Index!$B$2</f>
        <v>0</v>
      </c>
      <c r="AZ46" s="294">
        <f>TripMode_input!AC43*Index!$B$2</f>
        <v>0</v>
      </c>
      <c r="BA46" s="294">
        <f>TripMode_input!AD43*Index!$B$2</f>
        <v>0</v>
      </c>
      <c r="BB46" s="294">
        <f>TripMode_input!AE43*Index!$B$2</f>
        <v>0</v>
      </c>
      <c r="BC46" s="162">
        <f t="shared" si="92"/>
        <v>40660</v>
      </c>
      <c r="BE46" s="107" t="s">
        <v>393</v>
      </c>
      <c r="BF46" s="166">
        <f t="shared" si="106"/>
        <v>0</v>
      </c>
      <c r="BG46" s="166" t="str">
        <f t="shared" si="106"/>
        <v/>
      </c>
      <c r="BH46" s="166">
        <f t="shared" si="106"/>
        <v>0</v>
      </c>
      <c r="BI46" s="166">
        <f t="shared" si="106"/>
        <v>0</v>
      </c>
      <c r="BJ46" s="166">
        <f t="shared" si="106"/>
        <v>0</v>
      </c>
      <c r="BK46" s="166">
        <f t="shared" si="106"/>
        <v>0</v>
      </c>
      <c r="BL46" s="166">
        <f t="shared" si="106"/>
        <v>0</v>
      </c>
      <c r="BM46" s="166">
        <f t="shared" si="106"/>
        <v>1</v>
      </c>
      <c r="BN46" s="166">
        <f t="shared" si="106"/>
        <v>0</v>
      </c>
      <c r="BO46" s="166">
        <f t="shared" si="106"/>
        <v>0</v>
      </c>
      <c r="BP46" s="166">
        <f t="shared" si="106"/>
        <v>0</v>
      </c>
      <c r="BQ46" s="166">
        <f t="shared" si="106"/>
        <v>0</v>
      </c>
      <c r="BR46" s="166">
        <f t="shared" si="106"/>
        <v>0</v>
      </c>
      <c r="BS46" s="166">
        <f t="shared" si="106"/>
        <v>9.6587124655412113E-3</v>
      </c>
      <c r="BU46" s="107" t="s">
        <v>393</v>
      </c>
      <c r="BV46" s="166">
        <f t="shared" si="107"/>
        <v>0</v>
      </c>
      <c r="BW46" s="166">
        <f t="shared" si="108"/>
        <v>0</v>
      </c>
      <c r="BX46" s="166">
        <f t="shared" si="109"/>
        <v>0</v>
      </c>
      <c r="BY46" s="166">
        <f t="shared" si="110"/>
        <v>0</v>
      </c>
      <c r="BZ46" s="166">
        <f t="shared" si="111"/>
        <v>0</v>
      </c>
      <c r="CA46" s="166">
        <f t="shared" si="112"/>
        <v>0</v>
      </c>
      <c r="CB46" s="166">
        <f t="shared" si="113"/>
        <v>0</v>
      </c>
      <c r="CC46" s="166">
        <f t="shared" si="114"/>
        <v>1</v>
      </c>
      <c r="CD46" s="166">
        <f t="shared" si="115"/>
        <v>0</v>
      </c>
      <c r="CE46" s="166">
        <f t="shared" si="116"/>
        <v>0</v>
      </c>
      <c r="CF46" s="166">
        <f t="shared" si="117"/>
        <v>0</v>
      </c>
      <c r="CG46" s="166">
        <f t="shared" si="118"/>
        <v>0</v>
      </c>
      <c r="CH46" s="166">
        <f t="shared" si="119"/>
        <v>0</v>
      </c>
      <c r="CI46" s="168">
        <f t="shared" si="120"/>
        <v>1.0812363216691353E-2</v>
      </c>
      <c r="CK46" s="107" t="s">
        <v>393</v>
      </c>
      <c r="CL46" s="166"/>
      <c r="CM46" s="166"/>
      <c r="CN46" s="166"/>
      <c r="CO46" s="166"/>
      <c r="CP46" s="166"/>
      <c r="CQ46" s="166"/>
      <c r="CR46" s="166"/>
      <c r="CS46" s="166"/>
      <c r="CT46" s="166"/>
      <c r="CU46" s="166"/>
      <c r="CV46" s="166"/>
      <c r="CW46" s="166"/>
      <c r="CX46" s="166"/>
      <c r="CY46" s="168"/>
      <c r="DA46" s="107" t="s">
        <v>393</v>
      </c>
      <c r="DB46" s="315"/>
      <c r="DC46" s="315"/>
      <c r="DD46" s="315"/>
      <c r="DE46" s="315"/>
      <c r="DF46" s="315"/>
      <c r="DG46" s="315"/>
      <c r="DH46" s="315"/>
      <c r="DI46" s="314">
        <f>IFERROR(IF(CC46&gt;0,LN(BM46/CC46),0),0)</f>
        <v>0</v>
      </c>
      <c r="DJ46" s="315"/>
      <c r="DK46" s="315"/>
      <c r="DL46" s="315"/>
      <c r="DM46" s="315"/>
      <c r="DN46" s="315"/>
      <c r="DO46" s="168"/>
      <c r="DQ46" s="107" t="s">
        <v>393</v>
      </c>
      <c r="DR46" s="315"/>
      <c r="DS46" s="315"/>
      <c r="DT46" s="315"/>
      <c r="DU46" s="315"/>
      <c r="DV46" s="315"/>
      <c r="DW46" s="315"/>
      <c r="DX46" s="315"/>
      <c r="DY46" s="314">
        <v>0</v>
      </c>
      <c r="DZ46" s="315"/>
      <c r="EA46" s="315"/>
      <c r="EB46" s="315"/>
      <c r="EC46" s="315"/>
      <c r="ED46" s="315"/>
      <c r="EE46" s="168"/>
      <c r="EG46" s="107" t="s">
        <v>393</v>
      </c>
      <c r="EH46" s="315"/>
      <c r="EI46" s="315"/>
      <c r="EJ46" s="315"/>
      <c r="EK46" s="315"/>
      <c r="EL46" s="315"/>
      <c r="EM46" s="315"/>
      <c r="EN46" s="315"/>
      <c r="EO46" s="314">
        <v>0</v>
      </c>
      <c r="EP46" s="315"/>
      <c r="EQ46" s="315"/>
      <c r="ER46" s="315"/>
      <c r="ES46" s="315"/>
      <c r="ET46" s="315"/>
      <c r="EU46" s="168"/>
      <c r="EW46" s="164" t="s">
        <v>393</v>
      </c>
      <c r="EX46" s="316">
        <f t="shared" si="101"/>
        <v>0</v>
      </c>
      <c r="EY46" s="316">
        <f t="shared" si="97"/>
        <v>0</v>
      </c>
      <c r="EZ46" s="316">
        <f t="shared" si="97"/>
        <v>0</v>
      </c>
      <c r="FA46" s="316">
        <f t="shared" si="97"/>
        <v>0</v>
      </c>
      <c r="FB46" s="316">
        <f t="shared" si="97"/>
        <v>0</v>
      </c>
      <c r="FC46" s="316">
        <f t="shared" si="97"/>
        <v>0</v>
      </c>
      <c r="FD46" s="316">
        <f t="shared" si="97"/>
        <v>0</v>
      </c>
      <c r="FE46" s="316">
        <f t="shared" si="97"/>
        <v>0</v>
      </c>
      <c r="FF46" s="316"/>
      <c r="FG46" s="316">
        <f t="shared" si="97"/>
        <v>0</v>
      </c>
      <c r="FH46" s="316">
        <f t="shared" si="97"/>
        <v>0</v>
      </c>
      <c r="FI46" s="316">
        <f t="shared" si="97"/>
        <v>0</v>
      </c>
      <c r="FJ46" s="316">
        <f t="shared" si="97"/>
        <v>0</v>
      </c>
      <c r="FK46" s="316">
        <f t="shared" si="97"/>
        <v>0</v>
      </c>
      <c r="FL46" s="168"/>
    </row>
    <row r="47" spans="2:168" x14ac:dyDescent="0.25">
      <c r="B47" s="107" t="s">
        <v>546</v>
      </c>
      <c r="C47" s="294"/>
      <c r="D47" s="294"/>
      <c r="E47" s="294"/>
      <c r="F47" s="294"/>
      <c r="G47" s="294"/>
      <c r="H47" s="294"/>
      <c r="I47" s="294"/>
      <c r="J47" s="294"/>
      <c r="K47" s="160">
        <f>TripMode_input!J45+TripMode_input!K45+TripMode_input!J44+TripMode_input!K44</f>
        <v>116156.1225</v>
      </c>
      <c r="L47" s="294"/>
      <c r="M47" s="294"/>
      <c r="N47" s="294"/>
      <c r="O47" s="294"/>
      <c r="P47" s="162">
        <f t="shared" si="87"/>
        <v>116156.1225</v>
      </c>
      <c r="R47">
        <f t="shared" si="98"/>
        <v>1</v>
      </c>
      <c r="S47">
        <f t="shared" si="99"/>
        <v>0</v>
      </c>
      <c r="T47">
        <f t="shared" si="100"/>
        <v>0</v>
      </c>
      <c r="U47" s="127">
        <f>+K47/K$159</f>
        <v>9.2328654323700868E-2</v>
      </c>
      <c r="V47" s="127"/>
      <c r="W47" s="127"/>
      <c r="X47" s="127"/>
      <c r="Y47" s="107" t="s">
        <v>546</v>
      </c>
      <c r="Z47" s="294"/>
      <c r="AA47" s="294"/>
      <c r="AB47" s="294"/>
      <c r="AC47" s="294"/>
      <c r="AD47" s="294"/>
      <c r="AE47" s="294"/>
      <c r="AF47" s="294"/>
      <c r="AG47" s="294"/>
      <c r="AH47" s="160">
        <f>U47*U$159</f>
        <v>122609.20787589412</v>
      </c>
      <c r="AI47" s="294"/>
      <c r="AJ47" s="294"/>
      <c r="AK47" s="294"/>
      <c r="AL47" s="294"/>
      <c r="AM47" s="162">
        <f t="shared" si="91"/>
        <v>122609.20787589412</v>
      </c>
      <c r="AN47" s="127"/>
      <c r="AO47" s="107" t="s">
        <v>395</v>
      </c>
      <c r="AP47" s="294">
        <f>TripMode_input!R45*Index!$B$2</f>
        <v>0</v>
      </c>
      <c r="AQ47" s="294">
        <f>TripMode_input!S45*Index!$B$2</f>
        <v>0</v>
      </c>
      <c r="AR47" s="294">
        <f>TripMode_input!T45*Index!$B$2</f>
        <v>0</v>
      </c>
      <c r="AS47" s="294">
        <f>TripMode_input!U45*Index!$B$2</f>
        <v>0</v>
      </c>
      <c r="AT47" s="294">
        <f>TripMode_input!V45*Index!$B$2</f>
        <v>0</v>
      </c>
      <c r="AU47" s="294">
        <f>TripMode_input!W45*Index!$B$2</f>
        <v>0</v>
      </c>
      <c r="AV47" s="294">
        <f>TripMode_input!X45*Index!$B$2</f>
        <v>0</v>
      </c>
      <c r="AW47" s="294">
        <f>TripMode_input!Y45*Index!$B$2</f>
        <v>0</v>
      </c>
      <c r="AX47" s="160">
        <f>TripMode_input!AA45*Index!$B$2</f>
        <v>82855</v>
      </c>
      <c r="AY47" s="160">
        <f>TripMode_input!AB45*Index!$B$2</f>
        <v>0</v>
      </c>
      <c r="AZ47" s="160">
        <f>TripMode_input!AC45*Index!$B$2</f>
        <v>0</v>
      </c>
      <c r="BA47" s="294">
        <f>TripMode_input!AD45*Index!$B$2</f>
        <v>0</v>
      </c>
      <c r="BB47" s="294">
        <f>TripMode_input!AE45*Index!$B$2</f>
        <v>0</v>
      </c>
      <c r="BC47" s="162">
        <f t="shared" si="92"/>
        <v>82855</v>
      </c>
      <c r="BE47" s="107" t="s">
        <v>395</v>
      </c>
      <c r="BF47" s="166">
        <f t="shared" si="106"/>
        <v>0</v>
      </c>
      <c r="BG47" s="166" t="str">
        <f t="shared" si="106"/>
        <v/>
      </c>
      <c r="BH47" s="166">
        <f t="shared" si="106"/>
        <v>0</v>
      </c>
      <c r="BI47" s="166">
        <f t="shared" si="106"/>
        <v>0</v>
      </c>
      <c r="BJ47" s="166">
        <f t="shared" si="106"/>
        <v>0</v>
      </c>
      <c r="BK47" s="166">
        <f t="shared" si="106"/>
        <v>0</v>
      </c>
      <c r="BL47" s="166">
        <f t="shared" si="106"/>
        <v>0</v>
      </c>
      <c r="BM47" s="166">
        <f t="shared" si="106"/>
        <v>0</v>
      </c>
      <c r="BN47" s="166">
        <f t="shared" si="106"/>
        <v>0.83881258646817303</v>
      </c>
      <c r="BO47" s="166">
        <f t="shared" si="106"/>
        <v>0</v>
      </c>
      <c r="BP47" s="166">
        <f t="shared" si="106"/>
        <v>0</v>
      </c>
      <c r="BQ47" s="166">
        <f t="shared" si="106"/>
        <v>0</v>
      </c>
      <c r="BR47" s="166">
        <f t="shared" si="106"/>
        <v>0</v>
      </c>
      <c r="BS47" s="166">
        <f t="shared" si="106"/>
        <v>3.677724517594419E-2</v>
      </c>
      <c r="BU47" s="107" t="s">
        <v>395</v>
      </c>
      <c r="BV47" s="166">
        <f t="shared" si="107"/>
        <v>0</v>
      </c>
      <c r="BW47" s="166">
        <f t="shared" si="108"/>
        <v>0</v>
      </c>
      <c r="BX47" s="166">
        <f t="shared" si="109"/>
        <v>0</v>
      </c>
      <c r="BY47" s="166">
        <f t="shared" si="110"/>
        <v>0</v>
      </c>
      <c r="BZ47" s="166">
        <f t="shared" si="111"/>
        <v>0</v>
      </c>
      <c r="CA47" s="166">
        <f t="shared" si="112"/>
        <v>0</v>
      </c>
      <c r="CB47" s="166">
        <f t="shared" si="113"/>
        <v>0</v>
      </c>
      <c r="CC47" s="166">
        <f t="shared" si="114"/>
        <v>0</v>
      </c>
      <c r="CD47" s="166">
        <f t="shared" si="115"/>
        <v>0.79067659127779366</v>
      </c>
      <c r="CE47" s="166">
        <f t="shared" si="116"/>
        <v>0</v>
      </c>
      <c r="CF47" s="166">
        <f t="shared" si="117"/>
        <v>0</v>
      </c>
      <c r="CG47" s="166">
        <f t="shared" si="118"/>
        <v>0</v>
      </c>
      <c r="CH47" s="166">
        <f t="shared" si="119"/>
        <v>0</v>
      </c>
      <c r="CI47" s="168">
        <f t="shared" si="120"/>
        <v>2.2032915748129909E-2</v>
      </c>
      <c r="CK47" s="107" t="s">
        <v>395</v>
      </c>
      <c r="CL47" s="166" t="str">
        <f t="shared" ref="CL47:CO52" si="122">IF(OR(ISNA(BF47),BF47=0,BF47=""),"",(BV47-BF47)/BF47)</f>
        <v/>
      </c>
      <c r="CM47" s="166" t="str">
        <f t="shared" si="122"/>
        <v/>
      </c>
      <c r="CN47" s="166" t="str">
        <f t="shared" si="122"/>
        <v/>
      </c>
      <c r="CO47" s="166" t="str">
        <f t="shared" si="122"/>
        <v/>
      </c>
      <c r="CP47" s="166"/>
      <c r="CQ47" s="166"/>
      <c r="CR47" s="166"/>
      <c r="CS47" s="166"/>
      <c r="CT47" s="166">
        <f t="shared" ref="CT47:CY52" si="123">IF(OR(ISNA(BN47),BN47=0,BN47=""),"",(CD47-BN47)/BN47)</f>
        <v>-5.7385876138383127E-2</v>
      </c>
      <c r="CU47" s="166" t="str">
        <f t="shared" si="123"/>
        <v/>
      </c>
      <c r="CV47" s="166" t="str">
        <f t="shared" si="123"/>
        <v/>
      </c>
      <c r="CW47" s="166" t="str">
        <f t="shared" si="123"/>
        <v/>
      </c>
      <c r="CX47" s="166" t="str">
        <f t="shared" si="123"/>
        <v/>
      </c>
      <c r="CY47" s="168">
        <f t="shared" si="123"/>
        <v>-0.40090902288294483</v>
      </c>
      <c r="DA47" s="107" t="s">
        <v>395</v>
      </c>
      <c r="DB47" s="315"/>
      <c r="DC47" s="315"/>
      <c r="DD47" s="315"/>
      <c r="DE47" s="315"/>
      <c r="DF47" s="315"/>
      <c r="DG47" s="315"/>
      <c r="DH47" s="315"/>
      <c r="DI47" s="315"/>
      <c r="DJ47" s="314">
        <f t="shared" si="121"/>
        <v>5.9098280665005734E-2</v>
      </c>
      <c r="DK47" s="315"/>
      <c r="DL47" s="315"/>
      <c r="DM47" s="315"/>
      <c r="DN47" s="315"/>
      <c r="DO47" s="168"/>
      <c r="DQ47" s="107" t="s">
        <v>395</v>
      </c>
      <c r="DR47" s="315"/>
      <c r="DS47" s="315"/>
      <c r="DT47" s="315"/>
      <c r="DU47" s="315"/>
      <c r="DV47" s="315"/>
      <c r="DW47" s="315"/>
      <c r="DX47" s="315"/>
      <c r="DY47" s="315"/>
      <c r="DZ47" s="314">
        <v>0</v>
      </c>
      <c r="EA47" s="315"/>
      <c r="EB47" s="315"/>
      <c r="EC47" s="315"/>
      <c r="ED47" s="315"/>
      <c r="EE47" s="168"/>
      <c r="EG47" s="107" t="s">
        <v>395</v>
      </c>
      <c r="EH47" s="315"/>
      <c r="EI47" s="315"/>
      <c r="EJ47" s="315"/>
      <c r="EK47" s="315"/>
      <c r="EL47" s="315"/>
      <c r="EM47" s="315"/>
      <c r="EN47" s="315"/>
      <c r="EO47" s="315"/>
      <c r="EP47" s="314">
        <v>0</v>
      </c>
      <c r="EQ47" s="315"/>
      <c r="ER47" s="315"/>
      <c r="ES47" s="315"/>
      <c r="ET47" s="315"/>
      <c r="EU47" s="168"/>
      <c r="EW47" s="164" t="s">
        <v>546</v>
      </c>
      <c r="EX47" s="316">
        <f t="shared" si="101"/>
        <v>0</v>
      </c>
      <c r="EY47" s="316">
        <f t="shared" si="97"/>
        <v>0</v>
      </c>
      <c r="EZ47" s="316">
        <f t="shared" si="97"/>
        <v>6.3283800116812543</v>
      </c>
      <c r="FA47" s="316">
        <f t="shared" si="97"/>
        <v>6.3283800116812543</v>
      </c>
      <c r="FB47" s="316">
        <f t="shared" si="97"/>
        <v>4.7535433914175949</v>
      </c>
      <c r="FC47" s="316">
        <f t="shared" si="97"/>
        <v>4.7535433914175949</v>
      </c>
      <c r="FD47" s="316">
        <f t="shared" si="97"/>
        <v>-2.6283718782343088</v>
      </c>
      <c r="FE47" s="316">
        <f t="shared" si="97"/>
        <v>0</v>
      </c>
      <c r="FF47" s="316"/>
      <c r="FG47" s="316">
        <f t="shared" si="97"/>
        <v>0</v>
      </c>
      <c r="FH47" s="316">
        <f t="shared" si="97"/>
        <v>0</v>
      </c>
      <c r="FI47" s="316">
        <f t="shared" si="97"/>
        <v>0</v>
      </c>
      <c r="FJ47" s="316">
        <f t="shared" si="97"/>
        <v>-7.7318992410096978</v>
      </c>
      <c r="FK47" s="316">
        <f t="shared" si="97"/>
        <v>0</v>
      </c>
      <c r="FL47" s="168"/>
    </row>
    <row r="48" spans="2:168" x14ac:dyDescent="0.25">
      <c r="B48" s="107" t="s">
        <v>396</v>
      </c>
      <c r="C48" s="294"/>
      <c r="D48" s="294"/>
      <c r="E48" s="294"/>
      <c r="F48" s="294"/>
      <c r="G48" s="294"/>
      <c r="H48" s="294"/>
      <c r="I48" s="294"/>
      <c r="J48" s="294"/>
      <c r="K48" s="294"/>
      <c r="L48" s="160">
        <f>TripMode_input!L46</f>
        <v>10057.609920000001</v>
      </c>
      <c r="M48" s="294"/>
      <c r="N48" s="294"/>
      <c r="O48" s="294"/>
      <c r="P48" s="162">
        <f t="shared" si="87"/>
        <v>10057.609920000001</v>
      </c>
      <c r="R48">
        <f t="shared" si="98"/>
        <v>0</v>
      </c>
      <c r="S48">
        <f t="shared" si="99"/>
        <v>1</v>
      </c>
      <c r="T48">
        <f t="shared" si="100"/>
        <v>0</v>
      </c>
      <c r="V48" s="127">
        <f>+L48/L$160</f>
        <v>9.9035596271181803E-2</v>
      </c>
      <c r="W48" s="127"/>
      <c r="X48" s="127"/>
      <c r="Y48" s="107" t="s">
        <v>396</v>
      </c>
      <c r="Z48" s="294"/>
      <c r="AA48" s="294"/>
      <c r="AB48" s="294"/>
      <c r="AC48" s="294"/>
      <c r="AD48" s="294"/>
      <c r="AE48" s="294"/>
      <c r="AF48" s="294"/>
      <c r="AG48" s="294"/>
      <c r="AH48" s="294"/>
      <c r="AI48" s="160">
        <f>V48*V$160</f>
        <v>6779.1979760497552</v>
      </c>
      <c r="AJ48" s="294"/>
      <c r="AK48" s="294"/>
      <c r="AL48" s="294"/>
      <c r="AM48" s="162">
        <f t="shared" si="91"/>
        <v>6779.1979760497552</v>
      </c>
      <c r="AN48" s="127"/>
      <c r="AO48" s="107" t="s">
        <v>396</v>
      </c>
      <c r="AP48" s="294">
        <f>TripMode_input!R46*Index!$B$2</f>
        <v>0</v>
      </c>
      <c r="AQ48" s="294">
        <f>TripMode_input!S46*Index!$B$2</f>
        <v>0</v>
      </c>
      <c r="AR48" s="294">
        <f>TripMode_input!T46*Index!$B$2</f>
        <v>0</v>
      </c>
      <c r="AS48" s="294">
        <f>TripMode_input!U46*Index!$B$2</f>
        <v>0</v>
      </c>
      <c r="AT48" s="294">
        <f>TripMode_input!V46*Index!$B$2</f>
        <v>0</v>
      </c>
      <c r="AU48" s="294">
        <f>TripMode_input!W46*Index!$B$2</f>
        <v>0</v>
      </c>
      <c r="AV48" s="294">
        <f>TripMode_input!X46*Index!$B$2</f>
        <v>0</v>
      </c>
      <c r="AW48" s="294">
        <f>TripMode_input!Y46*Index!$B$2</f>
        <v>0</v>
      </c>
      <c r="AX48" s="294">
        <f>TripMode_input!AA46*Index!$B$2</f>
        <v>0</v>
      </c>
      <c r="AY48" s="160">
        <f>TripMode_input!AB46*Index!$B$2</f>
        <v>5970</v>
      </c>
      <c r="AZ48" s="294">
        <f>TripMode_input!AC46*Index!$B$2</f>
        <v>0</v>
      </c>
      <c r="BA48" s="294">
        <f>TripMode_input!AD46*Index!$B$2</f>
        <v>0</v>
      </c>
      <c r="BB48" s="294">
        <f>TripMode_input!AE46*Index!$B$2</f>
        <v>0</v>
      </c>
      <c r="BC48" s="162">
        <f t="shared" si="92"/>
        <v>5970</v>
      </c>
      <c r="BE48" s="107" t="s">
        <v>396</v>
      </c>
      <c r="BF48" s="166">
        <f t="shared" si="106"/>
        <v>0</v>
      </c>
      <c r="BG48" s="166" t="str">
        <f t="shared" si="106"/>
        <v/>
      </c>
      <c r="BH48" s="166">
        <f t="shared" si="106"/>
        <v>0</v>
      </c>
      <c r="BI48" s="166">
        <f t="shared" si="106"/>
        <v>0</v>
      </c>
      <c r="BJ48" s="166">
        <f t="shared" si="106"/>
        <v>0</v>
      </c>
      <c r="BK48" s="166">
        <f t="shared" si="106"/>
        <v>0</v>
      </c>
      <c r="BL48" s="166">
        <f t="shared" si="106"/>
        <v>0</v>
      </c>
      <c r="BM48" s="166">
        <f t="shared" si="106"/>
        <v>0</v>
      </c>
      <c r="BN48" s="166">
        <f t="shared" si="106"/>
        <v>0</v>
      </c>
      <c r="BO48" s="166">
        <f t="shared" si="106"/>
        <v>1</v>
      </c>
      <c r="BP48" s="166">
        <f t="shared" si="106"/>
        <v>0</v>
      </c>
      <c r="BQ48" s="166">
        <f t="shared" si="106"/>
        <v>0</v>
      </c>
      <c r="BR48" s="166">
        <f t="shared" si="106"/>
        <v>0</v>
      </c>
      <c r="BS48" s="166">
        <f t="shared" si="106"/>
        <v>2.0334543414864087E-3</v>
      </c>
      <c r="BU48" s="107" t="s">
        <v>396</v>
      </c>
      <c r="BV48" s="166">
        <f t="shared" si="107"/>
        <v>0</v>
      </c>
      <c r="BW48" s="166">
        <f t="shared" si="108"/>
        <v>0</v>
      </c>
      <c r="BX48" s="166">
        <f t="shared" si="109"/>
        <v>0</v>
      </c>
      <c r="BY48" s="166">
        <f t="shared" si="110"/>
        <v>0</v>
      </c>
      <c r="BZ48" s="166">
        <f t="shared" si="111"/>
        <v>0</v>
      </c>
      <c r="CA48" s="166">
        <f t="shared" si="112"/>
        <v>0</v>
      </c>
      <c r="CB48" s="166">
        <f t="shared" si="113"/>
        <v>0</v>
      </c>
      <c r="CC48" s="166">
        <f t="shared" si="114"/>
        <v>0</v>
      </c>
      <c r="CD48" s="166">
        <f t="shared" si="115"/>
        <v>0</v>
      </c>
      <c r="CE48" s="166">
        <f t="shared" si="116"/>
        <v>1</v>
      </c>
      <c r="CF48" s="166">
        <f t="shared" si="117"/>
        <v>0</v>
      </c>
      <c r="CG48" s="166">
        <f t="shared" si="118"/>
        <v>0</v>
      </c>
      <c r="CH48" s="166">
        <f t="shared" si="119"/>
        <v>0</v>
      </c>
      <c r="CI48" s="168">
        <f t="shared" si="120"/>
        <v>1.5875506247822768E-3</v>
      </c>
      <c r="CK48" s="107" t="s">
        <v>396</v>
      </c>
      <c r="CL48" s="166" t="str">
        <f t="shared" si="122"/>
        <v/>
      </c>
      <c r="CM48" s="166" t="str">
        <f t="shared" si="122"/>
        <v/>
      </c>
      <c r="CN48" s="166" t="str">
        <f t="shared" si="122"/>
        <v/>
      </c>
      <c r="CO48" s="166" t="str">
        <f t="shared" si="122"/>
        <v/>
      </c>
      <c r="CP48" s="166"/>
      <c r="CQ48" s="166"/>
      <c r="CR48" s="166"/>
      <c r="CS48" s="166"/>
      <c r="CT48" s="166" t="str">
        <f t="shared" si="123"/>
        <v/>
      </c>
      <c r="CU48" s="166">
        <f t="shared" si="123"/>
        <v>0</v>
      </c>
      <c r="CV48" s="166" t="str">
        <f t="shared" si="123"/>
        <v/>
      </c>
      <c r="CW48" s="166" t="str">
        <f t="shared" si="123"/>
        <v/>
      </c>
      <c r="CX48" s="166" t="str">
        <f t="shared" si="123"/>
        <v/>
      </c>
      <c r="CY48" s="168">
        <f t="shared" si="123"/>
        <v>-0.21928385978816051</v>
      </c>
      <c r="DA48" s="107" t="s">
        <v>396</v>
      </c>
      <c r="DB48" s="315"/>
      <c r="DC48" s="315"/>
      <c r="DD48" s="315"/>
      <c r="DE48" s="315"/>
      <c r="DF48" s="315"/>
      <c r="DG48" s="315"/>
      <c r="DH48" s="315"/>
      <c r="DI48" s="315"/>
      <c r="DJ48" s="315"/>
      <c r="DK48" s="314">
        <f>IFERROR(IF(CE48&gt;0,LN(BO48/CE48),0),0)</f>
        <v>0</v>
      </c>
      <c r="DL48" s="315"/>
      <c r="DM48" s="315"/>
      <c r="DN48" s="315"/>
      <c r="DO48" s="168"/>
      <c r="DQ48" s="107" t="s">
        <v>396</v>
      </c>
      <c r="DR48" s="315"/>
      <c r="DS48" s="315"/>
      <c r="DT48" s="315"/>
      <c r="DU48" s="315"/>
      <c r="DV48" s="315"/>
      <c r="DW48" s="315"/>
      <c r="DX48" s="315"/>
      <c r="DY48" s="315"/>
      <c r="DZ48" s="315"/>
      <c r="EA48" s="314">
        <v>0</v>
      </c>
      <c r="EB48" s="315"/>
      <c r="EC48" s="315"/>
      <c r="ED48" s="315"/>
      <c r="EE48" s="168"/>
      <c r="EG48" s="107" t="s">
        <v>396</v>
      </c>
      <c r="EH48" s="315"/>
      <c r="EI48" s="315"/>
      <c r="EJ48" s="315"/>
      <c r="EK48" s="315"/>
      <c r="EL48" s="315"/>
      <c r="EM48" s="315"/>
      <c r="EN48" s="315"/>
      <c r="EO48" s="315"/>
      <c r="EP48" s="315"/>
      <c r="EQ48" s="314">
        <v>0</v>
      </c>
      <c r="ER48" s="315"/>
      <c r="ES48" s="315"/>
      <c r="ET48" s="315"/>
      <c r="EU48" s="168"/>
      <c r="EW48" s="164" t="s">
        <v>396</v>
      </c>
      <c r="EX48" s="316">
        <f t="shared" si="101"/>
        <v>0</v>
      </c>
      <c r="EY48" s="316">
        <f t="shared" si="97"/>
        <v>0</v>
      </c>
      <c r="EZ48" s="316">
        <f t="shared" si="97"/>
        <v>0</v>
      </c>
      <c r="FA48" s="316">
        <f t="shared" si="97"/>
        <v>0</v>
      </c>
      <c r="FB48" s="316">
        <f t="shared" si="97"/>
        <v>0</v>
      </c>
      <c r="FC48" s="316">
        <f t="shared" si="97"/>
        <v>0</v>
      </c>
      <c r="FD48" s="316">
        <f t="shared" si="97"/>
        <v>0</v>
      </c>
      <c r="FE48" s="316">
        <f t="shared" si="97"/>
        <v>0</v>
      </c>
      <c r="FF48" s="316"/>
      <c r="FG48" s="316">
        <f t="shared" si="97"/>
        <v>0</v>
      </c>
      <c r="FH48" s="316">
        <f t="shared" si="97"/>
        <v>0</v>
      </c>
      <c r="FI48" s="316">
        <f t="shared" si="97"/>
        <v>0</v>
      </c>
      <c r="FJ48" s="316">
        <f t="shared" si="97"/>
        <v>0</v>
      </c>
      <c r="FK48" s="316">
        <f t="shared" si="97"/>
        <v>0</v>
      </c>
      <c r="FL48" s="168"/>
    </row>
    <row r="49" spans="2:168" x14ac:dyDescent="0.25">
      <c r="B49" s="107" t="s">
        <v>397</v>
      </c>
      <c r="C49" s="294"/>
      <c r="D49" s="294"/>
      <c r="E49" s="294"/>
      <c r="F49" s="294"/>
      <c r="G49" s="294"/>
      <c r="H49" s="294"/>
      <c r="I49" s="294"/>
      <c r="J49" s="294"/>
      <c r="K49" s="294"/>
      <c r="L49" s="294"/>
      <c r="M49" s="160">
        <f>TripMode_input!M47</f>
        <v>1037.2506800000001</v>
      </c>
      <c r="N49" s="294"/>
      <c r="O49" s="294"/>
      <c r="P49" s="162">
        <f t="shared" si="87"/>
        <v>1037.2506800000001</v>
      </c>
      <c r="R49">
        <f t="shared" si="98"/>
        <v>0</v>
      </c>
      <c r="S49">
        <f t="shared" si="99"/>
        <v>0</v>
      </c>
      <c r="T49">
        <f t="shared" si="100"/>
        <v>1</v>
      </c>
      <c r="W49" s="127">
        <f>+M49/M$161</f>
        <v>3.7585600431849424E-3</v>
      </c>
      <c r="X49" s="127"/>
      <c r="Y49" s="107" t="s">
        <v>397</v>
      </c>
      <c r="Z49" s="294"/>
      <c r="AA49" s="294"/>
      <c r="AB49" s="294"/>
      <c r="AC49" s="294"/>
      <c r="AD49" s="294"/>
      <c r="AE49" s="294"/>
      <c r="AF49" s="294"/>
      <c r="AG49" s="294"/>
      <c r="AH49" s="294"/>
      <c r="AI49" s="294"/>
      <c r="AJ49" s="160">
        <f>W49*W$161</f>
        <v>746.97469024178986</v>
      </c>
      <c r="AK49" s="294"/>
      <c r="AL49" s="294"/>
      <c r="AM49" s="162">
        <f t="shared" si="91"/>
        <v>746.97469024178986</v>
      </c>
      <c r="AN49" s="127"/>
      <c r="AO49" s="107" t="s">
        <v>397</v>
      </c>
      <c r="AP49" s="294">
        <f>TripMode_input!R47*Index!$B$2</f>
        <v>0</v>
      </c>
      <c r="AQ49" s="294">
        <f>TripMode_input!S47*Index!$B$2</f>
        <v>0</v>
      </c>
      <c r="AR49" s="294">
        <f>TripMode_input!T47*Index!$B$2</f>
        <v>0</v>
      </c>
      <c r="AS49" s="294">
        <f>TripMode_input!U47*Index!$B$2</f>
        <v>0</v>
      </c>
      <c r="AT49" s="294">
        <f>TripMode_input!V47*Index!$B$2</f>
        <v>0</v>
      </c>
      <c r="AU49" s="294">
        <f>TripMode_input!W47*Index!$B$2</f>
        <v>0</v>
      </c>
      <c r="AV49" s="294">
        <f>TripMode_input!X47*Index!$B$2</f>
        <v>0</v>
      </c>
      <c r="AW49" s="294">
        <f>TripMode_input!Y47*Index!$B$2</f>
        <v>0</v>
      </c>
      <c r="AX49" s="294">
        <f>TripMode_input!AA47*Index!$B$2</f>
        <v>0</v>
      </c>
      <c r="AY49" s="294">
        <f>TripMode_input!AB47*Index!$B$2</f>
        <v>0</v>
      </c>
      <c r="AZ49" s="160">
        <f>TripMode_input!AC47*Index!$B$2</f>
        <v>370</v>
      </c>
      <c r="BA49" s="294">
        <f>TripMode_input!AD47*Index!$B$2</f>
        <v>0</v>
      </c>
      <c r="BB49" s="294">
        <f>TripMode_input!AE47*Index!$B$2</f>
        <v>0</v>
      </c>
      <c r="BC49" s="162">
        <f t="shared" si="92"/>
        <v>370</v>
      </c>
      <c r="BE49" s="107" t="s">
        <v>397</v>
      </c>
      <c r="BF49" s="166">
        <f t="shared" si="106"/>
        <v>0</v>
      </c>
      <c r="BG49" s="166" t="str">
        <f t="shared" si="106"/>
        <v/>
      </c>
      <c r="BH49" s="166">
        <f t="shared" si="106"/>
        <v>0</v>
      </c>
      <c r="BI49" s="166">
        <f t="shared" si="106"/>
        <v>0</v>
      </c>
      <c r="BJ49" s="166">
        <f t="shared" si="106"/>
        <v>0</v>
      </c>
      <c r="BK49" s="166">
        <f t="shared" si="106"/>
        <v>0</v>
      </c>
      <c r="BL49" s="166">
        <f t="shared" si="106"/>
        <v>0</v>
      </c>
      <c r="BM49" s="166">
        <f t="shared" si="106"/>
        <v>0</v>
      </c>
      <c r="BN49" s="166">
        <f t="shared" si="106"/>
        <v>0</v>
      </c>
      <c r="BO49" s="166">
        <f t="shared" si="106"/>
        <v>0</v>
      </c>
      <c r="BP49" s="166">
        <f t="shared" si="106"/>
        <v>1</v>
      </c>
      <c r="BQ49" s="166">
        <f t="shared" si="106"/>
        <v>0</v>
      </c>
      <c r="BR49" s="166">
        <f t="shared" si="106"/>
        <v>0</v>
      </c>
      <c r="BS49" s="166">
        <f t="shared" si="106"/>
        <v>2.2405879459766421E-4</v>
      </c>
      <c r="BU49" s="107" t="s">
        <v>397</v>
      </c>
      <c r="BV49" s="166">
        <f t="shared" si="107"/>
        <v>0</v>
      </c>
      <c r="BW49" s="166">
        <f t="shared" si="108"/>
        <v>0</v>
      </c>
      <c r="BX49" s="166">
        <f t="shared" si="109"/>
        <v>0</v>
      </c>
      <c r="BY49" s="166">
        <f t="shared" si="110"/>
        <v>0</v>
      </c>
      <c r="BZ49" s="166">
        <f t="shared" si="111"/>
        <v>0</v>
      </c>
      <c r="CA49" s="166">
        <f t="shared" si="112"/>
        <v>0</v>
      </c>
      <c r="CB49" s="166">
        <f t="shared" si="113"/>
        <v>0</v>
      </c>
      <c r="CC49" s="166">
        <f t="shared" si="114"/>
        <v>0</v>
      </c>
      <c r="CD49" s="166">
        <f t="shared" si="115"/>
        <v>0</v>
      </c>
      <c r="CE49" s="166">
        <f t="shared" si="116"/>
        <v>0</v>
      </c>
      <c r="CF49" s="166">
        <f t="shared" si="117"/>
        <v>1</v>
      </c>
      <c r="CG49" s="166">
        <f t="shared" si="118"/>
        <v>0</v>
      </c>
      <c r="CH49" s="166">
        <f t="shared" si="119"/>
        <v>0</v>
      </c>
      <c r="CI49" s="168">
        <f t="shared" si="120"/>
        <v>9.8390909743625198E-5</v>
      </c>
      <c r="CK49" s="107" t="s">
        <v>397</v>
      </c>
      <c r="CL49" s="166" t="str">
        <f t="shared" si="122"/>
        <v/>
      </c>
      <c r="CM49" s="166" t="str">
        <f t="shared" si="122"/>
        <v/>
      </c>
      <c r="CN49" s="166" t="str">
        <f t="shared" si="122"/>
        <v/>
      </c>
      <c r="CO49" s="166" t="str">
        <f t="shared" si="122"/>
        <v/>
      </c>
      <c r="CP49" s="166"/>
      <c r="CQ49" s="166"/>
      <c r="CR49" s="166"/>
      <c r="CS49" s="166"/>
      <c r="CT49" s="166" t="str">
        <f t="shared" si="123"/>
        <v/>
      </c>
      <c r="CU49" s="166" t="str">
        <f t="shared" si="123"/>
        <v/>
      </c>
      <c r="CV49" s="166">
        <f t="shared" si="123"/>
        <v>0</v>
      </c>
      <c r="CW49" s="166" t="str">
        <f t="shared" si="123"/>
        <v/>
      </c>
      <c r="CX49" s="166" t="str">
        <f t="shared" si="123"/>
        <v/>
      </c>
      <c r="CY49" s="168">
        <f t="shared" si="123"/>
        <v>-0.56087012821655646</v>
      </c>
      <c r="DA49" s="107" t="s">
        <v>397</v>
      </c>
      <c r="DB49" s="315"/>
      <c r="DC49" s="315"/>
      <c r="DD49" s="315"/>
      <c r="DE49" s="315"/>
      <c r="DF49" s="315"/>
      <c r="DG49" s="315"/>
      <c r="DH49" s="315"/>
      <c r="DI49" s="315"/>
      <c r="DJ49" s="315"/>
      <c r="DK49" s="315"/>
      <c r="DL49" s="314">
        <f>IFERROR(IF(CF49&gt;0,LN(BP49/CF49),0),0)</f>
        <v>0</v>
      </c>
      <c r="DM49" s="315"/>
      <c r="DN49" s="315"/>
      <c r="DO49" s="168"/>
      <c r="DQ49" s="107" t="s">
        <v>397</v>
      </c>
      <c r="DR49" s="315"/>
      <c r="DS49" s="315"/>
      <c r="DT49" s="315"/>
      <c r="DU49" s="315"/>
      <c r="DV49" s="315"/>
      <c r="DW49" s="315"/>
      <c r="DX49" s="315"/>
      <c r="DY49" s="315"/>
      <c r="DZ49" s="315"/>
      <c r="EA49" s="315"/>
      <c r="EB49" s="314">
        <v>0</v>
      </c>
      <c r="EC49" s="315"/>
      <c r="ED49" s="315"/>
      <c r="EE49" s="168"/>
      <c r="EG49" s="107" t="s">
        <v>397</v>
      </c>
      <c r="EH49" s="315"/>
      <c r="EI49" s="315"/>
      <c r="EJ49" s="315"/>
      <c r="EK49" s="315"/>
      <c r="EL49" s="315"/>
      <c r="EM49" s="315"/>
      <c r="EN49" s="315"/>
      <c r="EO49" s="315"/>
      <c r="EP49" s="315"/>
      <c r="EQ49" s="315"/>
      <c r="ER49" s="314">
        <v>0</v>
      </c>
      <c r="ES49" s="315"/>
      <c r="ET49" s="315"/>
      <c r="EU49" s="168"/>
      <c r="EW49" s="164" t="s">
        <v>397</v>
      </c>
      <c r="EX49" s="316">
        <f t="shared" si="101"/>
        <v>0</v>
      </c>
      <c r="EY49" s="316">
        <f t="shared" si="97"/>
        <v>0</v>
      </c>
      <c r="EZ49" s="316">
        <f t="shared" si="97"/>
        <v>0</v>
      </c>
      <c r="FA49" s="316">
        <f t="shared" si="97"/>
        <v>0</v>
      </c>
      <c r="FB49" s="316">
        <f t="shared" si="97"/>
        <v>0</v>
      </c>
      <c r="FC49" s="316">
        <f t="shared" si="97"/>
        <v>0</v>
      </c>
      <c r="FD49" s="316">
        <f t="shared" si="97"/>
        <v>0</v>
      </c>
      <c r="FE49" s="316">
        <f t="shared" si="97"/>
        <v>0</v>
      </c>
      <c r="FF49" s="316"/>
      <c r="FG49" s="316">
        <f t="shared" si="97"/>
        <v>0</v>
      </c>
      <c r="FH49" s="316">
        <f t="shared" si="97"/>
        <v>0</v>
      </c>
      <c r="FI49" s="316">
        <f t="shared" si="97"/>
        <v>0</v>
      </c>
      <c r="FJ49" s="316">
        <f t="shared" si="97"/>
        <v>0</v>
      </c>
      <c r="FK49" s="316">
        <f t="shared" si="97"/>
        <v>0</v>
      </c>
      <c r="FL49" s="168"/>
    </row>
    <row r="50" spans="2:168" x14ac:dyDescent="0.25">
      <c r="B50" s="107" t="s">
        <v>398</v>
      </c>
      <c r="C50" s="294"/>
      <c r="D50" s="294"/>
      <c r="E50" s="294"/>
      <c r="F50" s="294"/>
      <c r="G50" s="294"/>
      <c r="H50" s="294"/>
      <c r="I50" s="294"/>
      <c r="J50" s="294"/>
      <c r="K50" s="160">
        <f>TripMode_input!J48+TripMode_input!K48</f>
        <v>123.60966000000001</v>
      </c>
      <c r="L50" s="294"/>
      <c r="M50" s="294"/>
      <c r="N50" s="160">
        <f>TripMode_input!N48</f>
        <v>1216.4272000000001</v>
      </c>
      <c r="O50" s="294"/>
      <c r="P50" s="162">
        <f t="shared" si="87"/>
        <v>1340.0368600000002</v>
      </c>
      <c r="R50">
        <f t="shared" si="98"/>
        <v>1.064168270596326E-3</v>
      </c>
      <c r="S50">
        <f t="shared" si="99"/>
        <v>0</v>
      </c>
      <c r="T50">
        <f t="shared" si="100"/>
        <v>0</v>
      </c>
      <c r="Y50" s="107" t="s">
        <v>398</v>
      </c>
      <c r="Z50" s="294"/>
      <c r="AA50" s="294"/>
      <c r="AB50" s="294"/>
      <c r="AC50" s="294"/>
      <c r="AD50" s="294"/>
      <c r="AE50" s="294"/>
      <c r="AF50" s="294"/>
      <c r="AG50" s="294"/>
      <c r="AH50" s="160">
        <f>AH47*R50</f>
        <v>130.47682870447568</v>
      </c>
      <c r="AI50" s="160">
        <f>AI48*S50</f>
        <v>0</v>
      </c>
      <c r="AJ50" s="160">
        <f>AJ49*T50</f>
        <v>0</v>
      </c>
      <c r="AK50" s="160">
        <f>N50</f>
        <v>1216.4272000000001</v>
      </c>
      <c r="AL50" s="294"/>
      <c r="AM50" s="162">
        <f t="shared" si="91"/>
        <v>1346.9040287044759</v>
      </c>
      <c r="AO50" s="107" t="s">
        <v>398</v>
      </c>
      <c r="AP50" s="294">
        <f>TripMode_input!R48*Index!$B$2</f>
        <v>0</v>
      </c>
      <c r="AQ50" s="294">
        <f>TripMode_input!S48*Index!$B$2</f>
        <v>0</v>
      </c>
      <c r="AR50" s="294">
        <f>TripMode_input!T48*Index!$B$2</f>
        <v>0</v>
      </c>
      <c r="AS50" s="294">
        <f>TripMode_input!U48*Index!$B$2</f>
        <v>0</v>
      </c>
      <c r="AT50" s="294">
        <f>TripMode_input!V48*Index!$B$2</f>
        <v>0</v>
      </c>
      <c r="AU50" s="294">
        <f>TripMode_input!W48*Index!$B$2</f>
        <v>0</v>
      </c>
      <c r="AV50" s="294">
        <f>TripMode_input!X48*Index!$B$2</f>
        <v>0</v>
      </c>
      <c r="AW50" s="294">
        <f>TripMode_input!Y48*Index!$B$2</f>
        <v>0</v>
      </c>
      <c r="AX50" s="160">
        <f>TripMode_input!AA48*Index!$B$2</f>
        <v>165</v>
      </c>
      <c r="AY50" s="160">
        <f>TripMode_input!AB48*Index!$B$2</f>
        <v>0</v>
      </c>
      <c r="AZ50" s="160">
        <f>TripMode_input!AC48*Index!$B$2</f>
        <v>0</v>
      </c>
      <c r="BA50" s="160">
        <f>TripMode_input!AD48*Index!$B$2</f>
        <v>2245</v>
      </c>
      <c r="BB50" s="294">
        <f>TripMode_input!AE48*Index!$B$2</f>
        <v>0</v>
      </c>
      <c r="BC50" s="162">
        <f t="shared" si="92"/>
        <v>2410</v>
      </c>
      <c r="BE50" s="107" t="s">
        <v>398</v>
      </c>
      <c r="BF50" s="166">
        <f t="shared" si="106"/>
        <v>0</v>
      </c>
      <c r="BG50" s="166" t="str">
        <f t="shared" si="106"/>
        <v/>
      </c>
      <c r="BH50" s="166">
        <f t="shared" si="106"/>
        <v>0</v>
      </c>
      <c r="BI50" s="166">
        <f t="shared" si="106"/>
        <v>0</v>
      </c>
      <c r="BJ50" s="166">
        <f t="shared" si="106"/>
        <v>0</v>
      </c>
      <c r="BK50" s="166">
        <f t="shared" si="106"/>
        <v>0</v>
      </c>
      <c r="BL50" s="166">
        <f t="shared" si="106"/>
        <v>0</v>
      </c>
      <c r="BM50" s="166">
        <f t="shared" si="106"/>
        <v>0</v>
      </c>
      <c r="BN50" s="166">
        <f t="shared" si="106"/>
        <v>8.9263773949626679E-4</v>
      </c>
      <c r="BO50" s="166">
        <f t="shared" si="106"/>
        <v>0</v>
      </c>
      <c r="BP50" s="166">
        <f t="shared" si="106"/>
        <v>0</v>
      </c>
      <c r="BQ50" s="166">
        <f t="shared" si="106"/>
        <v>0.84130175269861351</v>
      </c>
      <c r="BR50" s="166">
        <f t="shared" si="106"/>
        <v>0</v>
      </c>
      <c r="BS50" s="166">
        <f t="shared" si="106"/>
        <v>4.0401060042954989E-4</v>
      </c>
      <c r="BU50" s="107" t="s">
        <v>398</v>
      </c>
      <c r="BV50" s="166">
        <f t="shared" si="107"/>
        <v>0</v>
      </c>
      <c r="BW50" s="166">
        <f t="shared" si="108"/>
        <v>0</v>
      </c>
      <c r="BX50" s="166">
        <f t="shared" si="109"/>
        <v>0</v>
      </c>
      <c r="BY50" s="166">
        <f t="shared" si="110"/>
        <v>0</v>
      </c>
      <c r="BZ50" s="166">
        <f t="shared" si="111"/>
        <v>0</v>
      </c>
      <c r="CA50" s="166">
        <f t="shared" si="112"/>
        <v>0</v>
      </c>
      <c r="CB50" s="166">
        <f t="shared" si="113"/>
        <v>0</v>
      </c>
      <c r="CC50" s="166">
        <f t="shared" si="114"/>
        <v>0</v>
      </c>
      <c r="CD50" s="166">
        <f t="shared" si="115"/>
        <v>1.5745777268823362E-3</v>
      </c>
      <c r="CE50" s="166">
        <f t="shared" si="116"/>
        <v>0</v>
      </c>
      <c r="CF50" s="166">
        <f t="shared" si="117"/>
        <v>0</v>
      </c>
      <c r="CG50" s="166">
        <f t="shared" si="118"/>
        <v>0.73970345963756179</v>
      </c>
      <c r="CH50" s="166">
        <f t="shared" si="119"/>
        <v>0</v>
      </c>
      <c r="CI50" s="168">
        <f t="shared" si="120"/>
        <v>6.4087052022199112E-4</v>
      </c>
      <c r="CK50" s="107" t="s">
        <v>398</v>
      </c>
      <c r="CL50" s="166" t="str">
        <f t="shared" si="122"/>
        <v/>
      </c>
      <c r="CM50" s="166" t="str">
        <f t="shared" si="122"/>
        <v/>
      </c>
      <c r="CN50" s="166" t="str">
        <f t="shared" si="122"/>
        <v/>
      </c>
      <c r="CO50" s="166" t="str">
        <f t="shared" si="122"/>
        <v/>
      </c>
      <c r="CP50" s="166"/>
      <c r="CQ50" s="166"/>
      <c r="CR50" s="166"/>
      <c r="CS50" s="166"/>
      <c r="CT50" s="166">
        <f t="shared" si="123"/>
        <v>0.7639605152375718</v>
      </c>
      <c r="CU50" s="166" t="str">
        <f t="shared" si="123"/>
        <v/>
      </c>
      <c r="CV50" s="166" t="str">
        <f t="shared" si="123"/>
        <v/>
      </c>
      <c r="CW50" s="166">
        <f t="shared" si="123"/>
        <v>-0.1207632014733816</v>
      </c>
      <c r="CX50" s="166" t="str">
        <f t="shared" si="123"/>
        <v/>
      </c>
      <c r="CY50" s="168">
        <f t="shared" si="123"/>
        <v>0.58627154718368368</v>
      </c>
      <c r="DA50" s="107" t="s">
        <v>398</v>
      </c>
      <c r="DB50" s="315"/>
      <c r="DC50" s="315"/>
      <c r="DD50" s="315"/>
      <c r="DE50" s="315"/>
      <c r="DF50" s="315"/>
      <c r="DG50" s="315"/>
      <c r="DH50" s="315"/>
      <c r="DI50" s="315"/>
      <c r="DJ50" s="314">
        <f t="shared" si="121"/>
        <v>-0.56756157368191174</v>
      </c>
      <c r="DK50" s="314">
        <f>IFERROR(IF(CE50&gt;0,LN(BO50/CE50),0),0)</f>
        <v>0</v>
      </c>
      <c r="DL50" s="314">
        <f>IFERROR(IF(CF50&gt;0,LN(BP50/CF50),0),0)</f>
        <v>0</v>
      </c>
      <c r="DM50" s="314">
        <f>IFERROR(IF(CG50&gt;0,LN(BQ50/CG50),0),0)</f>
        <v>0.12870102221148472</v>
      </c>
      <c r="DN50" s="315"/>
      <c r="DO50" s="168"/>
      <c r="DQ50" s="107" t="s">
        <v>398</v>
      </c>
      <c r="DR50" s="315"/>
      <c r="DS50" s="315"/>
      <c r="DT50" s="315"/>
      <c r="DU50" s="315"/>
      <c r="DV50" s="315"/>
      <c r="DW50" s="315"/>
      <c r="DX50" s="315"/>
      <c r="DY50" s="315"/>
      <c r="DZ50" s="314">
        <v>-7.1052393866627801</v>
      </c>
      <c r="EA50" s="314">
        <v>0</v>
      </c>
      <c r="EB50" s="314">
        <v>0</v>
      </c>
      <c r="EC50" s="314">
        <v>0</v>
      </c>
      <c r="ED50" s="315"/>
      <c r="EE50" s="168"/>
      <c r="EG50" s="107" t="s">
        <v>398</v>
      </c>
      <c r="EH50" s="315"/>
      <c r="EI50" s="315"/>
      <c r="EJ50" s="315"/>
      <c r="EK50" s="315"/>
      <c r="EL50" s="315"/>
      <c r="EM50" s="315"/>
      <c r="EN50" s="315"/>
      <c r="EO50" s="315"/>
      <c r="EP50" s="314">
        <f>DZ50+(DJ50-DJ$47)*$EI$1</f>
        <v>-7.7318992410096978</v>
      </c>
      <c r="EQ50" s="314">
        <f>EA50+(DK50-DK$48)*$EI$1</f>
        <v>0</v>
      </c>
      <c r="ER50" s="314">
        <f>EB50+(DL50-DL$49)*$EI$1</f>
        <v>0</v>
      </c>
      <c r="ES50" s="314">
        <v>0</v>
      </c>
      <c r="ET50" s="315"/>
      <c r="EU50" s="168"/>
      <c r="EW50" s="164" t="s">
        <v>398</v>
      </c>
      <c r="EX50" s="316">
        <f t="shared" si="101"/>
        <v>0</v>
      </c>
      <c r="EY50" s="316">
        <f t="shared" si="97"/>
        <v>0</v>
      </c>
      <c r="EZ50" s="316">
        <f t="shared" si="97"/>
        <v>-1.0285132270005624</v>
      </c>
      <c r="FA50" s="316">
        <f t="shared" si="97"/>
        <v>-1.0285132270005624</v>
      </c>
      <c r="FB50" s="316">
        <f t="shared" si="97"/>
        <v>-4.0726786908084698</v>
      </c>
      <c r="FC50" s="316">
        <f t="shared" si="97"/>
        <v>-4.0726786908084698</v>
      </c>
      <c r="FD50" s="316">
        <f t="shared" si="97"/>
        <v>-4.0726786908084698</v>
      </c>
      <c r="FE50" s="316">
        <f t="shared" si="97"/>
        <v>0</v>
      </c>
      <c r="FF50" s="316"/>
      <c r="FG50" s="316">
        <f t="shared" si="97"/>
        <v>0</v>
      </c>
      <c r="FH50" s="316">
        <f t="shared" si="97"/>
        <v>0</v>
      </c>
      <c r="FI50" s="316">
        <f t="shared" si="97"/>
        <v>0</v>
      </c>
      <c r="FJ50" s="316">
        <f t="shared" si="97"/>
        <v>0</v>
      </c>
      <c r="FK50" s="316">
        <f t="shared" si="97"/>
        <v>0</v>
      </c>
      <c r="FL50" s="168"/>
    </row>
    <row r="51" spans="2:168" x14ac:dyDescent="0.25">
      <c r="B51" s="107" t="s">
        <v>399</v>
      </c>
      <c r="C51" s="294"/>
      <c r="D51" s="294"/>
      <c r="E51" s="294"/>
      <c r="F51" s="294"/>
      <c r="G51" s="294"/>
      <c r="H51" s="294"/>
      <c r="I51" s="294"/>
      <c r="J51" s="294"/>
      <c r="K51" s="294"/>
      <c r="L51" s="294"/>
      <c r="M51" s="294"/>
      <c r="N51" s="294"/>
      <c r="O51" s="160">
        <f>TripMode_input!O49</f>
        <v>959250.83302999998</v>
      </c>
      <c r="P51" s="162">
        <f t="shared" si="87"/>
        <v>959250.83302999998</v>
      </c>
      <c r="R51">
        <f t="shared" si="98"/>
        <v>0</v>
      </c>
      <c r="S51">
        <f t="shared" si="99"/>
        <v>0</v>
      </c>
      <c r="T51">
        <f t="shared" si="100"/>
        <v>0</v>
      </c>
      <c r="Y51" s="107" t="s">
        <v>399</v>
      </c>
      <c r="Z51" s="294"/>
      <c r="AA51" s="294"/>
      <c r="AB51" s="294"/>
      <c r="AC51" s="294"/>
      <c r="AD51" s="294"/>
      <c r="AE51" s="294"/>
      <c r="AF51" s="294"/>
      <c r="AG51" s="294"/>
      <c r="AH51" s="294"/>
      <c r="AI51" s="294"/>
      <c r="AJ51" s="294"/>
      <c r="AK51" s="294"/>
      <c r="AL51" s="160">
        <f>+O51</f>
        <v>959250.83302999998</v>
      </c>
      <c r="AM51" s="162">
        <f t="shared" si="91"/>
        <v>959250.83302999998</v>
      </c>
      <c r="AO51" s="107" t="s">
        <v>399</v>
      </c>
      <c r="AP51" s="294">
        <f>TripMode_input!R49*Index!$B$2</f>
        <v>0</v>
      </c>
      <c r="AQ51" s="294">
        <f>TripMode_input!S49*Index!$B$2</f>
        <v>0</v>
      </c>
      <c r="AR51" s="294">
        <f>TripMode_input!T49*Index!$B$2</f>
        <v>0</v>
      </c>
      <c r="AS51" s="294">
        <f>TripMode_input!U49*Index!$B$2</f>
        <v>0</v>
      </c>
      <c r="AT51" s="294">
        <f>TripMode_input!V49*Index!$B$2</f>
        <v>0</v>
      </c>
      <c r="AU51" s="294">
        <f>TripMode_input!W49*Index!$B$2</f>
        <v>0</v>
      </c>
      <c r="AV51" s="294">
        <f>TripMode_input!X49*Index!$B$2</f>
        <v>0</v>
      </c>
      <c r="AW51" s="294">
        <f>TripMode_input!Y49*Index!$B$2</f>
        <v>0</v>
      </c>
      <c r="AX51" s="294">
        <f>TripMode_input!AA49*Index!$B$2</f>
        <v>0</v>
      </c>
      <c r="AY51" s="294">
        <f>TripMode_input!AB49*Index!$B$2</f>
        <v>0</v>
      </c>
      <c r="AZ51" s="294">
        <f>TripMode_input!AC49*Index!$B$2</f>
        <v>0</v>
      </c>
      <c r="BA51" s="294">
        <f>TripMode_input!AD49*Index!$B$2</f>
        <v>0</v>
      </c>
      <c r="BB51" s="160">
        <f>TripMode_input!AE49*Index!$B$2</f>
        <v>1180550</v>
      </c>
      <c r="BC51" s="162">
        <f t="shared" si="92"/>
        <v>1180550</v>
      </c>
      <c r="BE51" s="107" t="s">
        <v>399</v>
      </c>
      <c r="BF51" s="166">
        <f t="shared" si="106"/>
        <v>0</v>
      </c>
      <c r="BG51" s="166" t="str">
        <f t="shared" si="106"/>
        <v/>
      </c>
      <c r="BH51" s="166">
        <f t="shared" si="106"/>
        <v>0</v>
      </c>
      <c r="BI51" s="166">
        <f t="shared" si="106"/>
        <v>0</v>
      </c>
      <c r="BJ51" s="166">
        <f t="shared" si="106"/>
        <v>0</v>
      </c>
      <c r="BK51" s="166">
        <f t="shared" si="106"/>
        <v>0</v>
      </c>
      <c r="BL51" s="166">
        <f t="shared" si="106"/>
        <v>0</v>
      </c>
      <c r="BM51" s="166">
        <f t="shared" si="106"/>
        <v>0</v>
      </c>
      <c r="BN51" s="166">
        <f t="shared" si="106"/>
        <v>0</v>
      </c>
      <c r="BO51" s="166">
        <f t="shared" si="106"/>
        <v>0</v>
      </c>
      <c r="BP51" s="166">
        <f t="shared" si="106"/>
        <v>0</v>
      </c>
      <c r="BQ51" s="166">
        <f t="shared" si="106"/>
        <v>0</v>
      </c>
      <c r="BR51" s="166">
        <f t="shared" si="106"/>
        <v>1</v>
      </c>
      <c r="BS51" s="166">
        <f t="shared" si="106"/>
        <v>0.28773208540163037</v>
      </c>
      <c r="BU51" s="107" t="s">
        <v>399</v>
      </c>
      <c r="BV51" s="166">
        <f t="shared" si="107"/>
        <v>0</v>
      </c>
      <c r="BW51" s="166">
        <f t="shared" si="108"/>
        <v>0</v>
      </c>
      <c r="BX51" s="166">
        <f t="shared" si="109"/>
        <v>0</v>
      </c>
      <c r="BY51" s="166">
        <f t="shared" si="110"/>
        <v>0</v>
      </c>
      <c r="BZ51" s="166">
        <f t="shared" si="111"/>
        <v>0</v>
      </c>
      <c r="CA51" s="166">
        <f t="shared" si="112"/>
        <v>0</v>
      </c>
      <c r="CB51" s="166">
        <f t="shared" si="113"/>
        <v>0</v>
      </c>
      <c r="CC51" s="166">
        <f t="shared" si="114"/>
        <v>0</v>
      </c>
      <c r="CD51" s="166">
        <f t="shared" si="115"/>
        <v>0</v>
      </c>
      <c r="CE51" s="166">
        <f t="shared" si="116"/>
        <v>0</v>
      </c>
      <c r="CF51" s="166">
        <f t="shared" si="117"/>
        <v>0</v>
      </c>
      <c r="CG51" s="166">
        <f t="shared" si="118"/>
        <v>0</v>
      </c>
      <c r="CH51" s="166">
        <f t="shared" si="119"/>
        <v>1</v>
      </c>
      <c r="CI51" s="168">
        <f t="shared" si="120"/>
        <v>0.31393348242658575</v>
      </c>
      <c r="CK51" s="107" t="s">
        <v>399</v>
      </c>
      <c r="CL51" s="166" t="str">
        <f t="shared" si="122"/>
        <v/>
      </c>
      <c r="CM51" s="166" t="str">
        <f t="shared" si="122"/>
        <v/>
      </c>
      <c r="CN51" s="166" t="str">
        <f t="shared" si="122"/>
        <v/>
      </c>
      <c r="CO51" s="166" t="str">
        <f t="shared" si="122"/>
        <v/>
      </c>
      <c r="CP51" s="166"/>
      <c r="CQ51" s="166"/>
      <c r="CR51" s="166"/>
      <c r="CS51" s="166"/>
      <c r="CT51" s="166" t="str">
        <f t="shared" si="123"/>
        <v/>
      </c>
      <c r="CU51" s="166" t="str">
        <f t="shared" si="123"/>
        <v/>
      </c>
      <c r="CV51" s="166" t="str">
        <f t="shared" si="123"/>
        <v/>
      </c>
      <c r="CW51" s="166" t="str">
        <f t="shared" si="123"/>
        <v/>
      </c>
      <c r="CX51" s="166">
        <f t="shared" si="123"/>
        <v>0</v>
      </c>
      <c r="CY51" s="168">
        <f t="shared" si="123"/>
        <v>9.1061784049499411E-2</v>
      </c>
      <c r="DA51" s="107" t="s">
        <v>399</v>
      </c>
      <c r="DB51" s="315"/>
      <c r="DC51" s="315"/>
      <c r="DD51" s="315"/>
      <c r="DE51" s="315"/>
      <c r="DF51" s="315"/>
      <c r="DG51" s="315"/>
      <c r="DH51" s="315"/>
      <c r="DI51" s="315"/>
      <c r="DJ51" s="315"/>
      <c r="DK51" s="315"/>
      <c r="DL51" s="315"/>
      <c r="DM51" s="315"/>
      <c r="DN51" s="314">
        <f>IFERROR(IF(CH51&gt;0,LN(BR51/CH51),0),0)</f>
        <v>0</v>
      </c>
      <c r="DO51" s="168"/>
      <c r="DQ51" s="107" t="s">
        <v>399</v>
      </c>
      <c r="DR51" s="315"/>
      <c r="DS51" s="315"/>
      <c r="DT51" s="315"/>
      <c r="DU51" s="315"/>
      <c r="DV51" s="315"/>
      <c r="DW51" s="315"/>
      <c r="DX51" s="315"/>
      <c r="DY51" s="315"/>
      <c r="DZ51" s="315"/>
      <c r="EA51" s="315"/>
      <c r="EB51" s="315"/>
      <c r="EC51" s="315"/>
      <c r="ED51" s="314">
        <v>0</v>
      </c>
      <c r="EE51" s="168"/>
      <c r="EG51" s="107" t="s">
        <v>399</v>
      </c>
      <c r="EH51" s="315"/>
      <c r="EI51" s="315"/>
      <c r="EJ51" s="315"/>
      <c r="EK51" s="315"/>
      <c r="EL51" s="315"/>
      <c r="EM51" s="315"/>
      <c r="EN51" s="315"/>
      <c r="EO51" s="315"/>
      <c r="EP51" s="315"/>
      <c r="EQ51" s="315"/>
      <c r="ER51" s="315"/>
      <c r="ES51" s="315"/>
      <c r="ET51" s="314">
        <v>0</v>
      </c>
      <c r="EU51" s="168"/>
      <c r="EW51" s="164" t="s">
        <v>399</v>
      </c>
      <c r="EX51" s="316">
        <f t="shared" si="101"/>
        <v>0</v>
      </c>
      <c r="EY51" s="316">
        <f t="shared" si="97"/>
        <v>0</v>
      </c>
      <c r="EZ51" s="316">
        <f t="shared" si="97"/>
        <v>0</v>
      </c>
      <c r="FA51" s="316">
        <f t="shared" si="97"/>
        <v>0</v>
      </c>
      <c r="FB51" s="316">
        <f t="shared" si="97"/>
        <v>0</v>
      </c>
      <c r="FC51" s="316">
        <f t="shared" si="97"/>
        <v>0</v>
      </c>
      <c r="FD51" s="316">
        <f t="shared" si="97"/>
        <v>0</v>
      </c>
      <c r="FE51" s="316">
        <f t="shared" si="97"/>
        <v>0</v>
      </c>
      <c r="FF51" s="316"/>
      <c r="FG51" s="316">
        <f t="shared" si="97"/>
        <v>0</v>
      </c>
      <c r="FH51" s="316">
        <f t="shared" si="97"/>
        <v>0</v>
      </c>
      <c r="FI51" s="316">
        <f t="shared" si="97"/>
        <v>0</v>
      </c>
      <c r="FJ51" s="316">
        <f t="shared" si="97"/>
        <v>0</v>
      </c>
      <c r="FK51" s="316">
        <f t="shared" si="97"/>
        <v>0</v>
      </c>
      <c r="FL51" s="168"/>
    </row>
    <row r="52" spans="2:168" ht="15.75" thickBot="1" x14ac:dyDescent="0.3">
      <c r="B52" s="108" t="s">
        <v>29</v>
      </c>
      <c r="C52" s="109">
        <f t="shared" ref="C52:P52" si="124">SUM(C39:C51)</f>
        <v>101292.82913</v>
      </c>
      <c r="D52" s="110">
        <f t="shared" si="124"/>
        <v>0</v>
      </c>
      <c r="E52" s="110">
        <f t="shared" si="124"/>
        <v>486384.22696</v>
      </c>
      <c r="F52" s="110">
        <f t="shared" si="124"/>
        <v>2503.7534100000003</v>
      </c>
      <c r="G52" s="110">
        <f t="shared" si="124"/>
        <v>1102822.01734</v>
      </c>
      <c r="H52" s="110">
        <f t="shared" si="124"/>
        <v>9643.4216400000005</v>
      </c>
      <c r="I52" s="110">
        <f t="shared" si="124"/>
        <v>484593.74177000002</v>
      </c>
      <c r="J52" s="110">
        <f t="shared" si="124"/>
        <v>32200.538100000002</v>
      </c>
      <c r="K52" s="110">
        <f t="shared" si="124"/>
        <v>138476.84735999999</v>
      </c>
      <c r="L52" s="110">
        <f t="shared" si="124"/>
        <v>10057.609920000001</v>
      </c>
      <c r="M52" s="110">
        <f t="shared" si="124"/>
        <v>1037.2506800000001</v>
      </c>
      <c r="N52" s="110">
        <f t="shared" si="124"/>
        <v>1445.8869200000001</v>
      </c>
      <c r="O52" s="110">
        <f t="shared" si="124"/>
        <v>959250.83302999998</v>
      </c>
      <c r="P52" s="112">
        <f t="shared" si="124"/>
        <v>3329708.9562600004</v>
      </c>
      <c r="Y52" s="108" t="s">
        <v>29</v>
      </c>
      <c r="Z52" s="109">
        <f t="shared" ref="Z52:AM52" si="125">SUM(Z39:Z51)</f>
        <v>101292.82913</v>
      </c>
      <c r="AA52" s="110">
        <f t="shared" si="125"/>
        <v>0</v>
      </c>
      <c r="AB52" s="110">
        <f t="shared" si="125"/>
        <v>486384.22696</v>
      </c>
      <c r="AC52" s="110">
        <f t="shared" si="125"/>
        <v>2503.7534100000003</v>
      </c>
      <c r="AD52" s="110">
        <f t="shared" si="125"/>
        <v>1102822.01734</v>
      </c>
      <c r="AE52" s="110">
        <f t="shared" si="125"/>
        <v>9643.4216400000005</v>
      </c>
      <c r="AF52" s="110">
        <f t="shared" si="125"/>
        <v>484593.74177000002</v>
      </c>
      <c r="AG52" s="110">
        <f t="shared" si="125"/>
        <v>32200.538100000002</v>
      </c>
      <c r="AH52" s="110">
        <f t="shared" si="125"/>
        <v>146169.96675281323</v>
      </c>
      <c r="AI52" s="110">
        <f t="shared" si="125"/>
        <v>6779.1979760497552</v>
      </c>
      <c r="AJ52" s="110">
        <f t="shared" si="125"/>
        <v>746.97469024178986</v>
      </c>
      <c r="AK52" s="110">
        <f t="shared" si="125"/>
        <v>1445.8869200000001</v>
      </c>
      <c r="AL52" s="110">
        <f t="shared" si="125"/>
        <v>959250.83302999998</v>
      </c>
      <c r="AM52" s="112">
        <f t="shared" si="125"/>
        <v>3333833.3877191045</v>
      </c>
      <c r="AO52" s="108" t="s">
        <v>29</v>
      </c>
      <c r="AP52" s="109">
        <f t="shared" ref="AP52:BC52" si="126">SUM(AP39:AP51)</f>
        <v>94105</v>
      </c>
      <c r="AQ52" s="110">
        <f t="shared" si="126"/>
        <v>13140</v>
      </c>
      <c r="AR52" s="110">
        <f t="shared" si="126"/>
        <v>550215</v>
      </c>
      <c r="AS52" s="110">
        <f t="shared" si="126"/>
        <v>8265</v>
      </c>
      <c r="AT52" s="110">
        <f t="shared" si="126"/>
        <v>1073525</v>
      </c>
      <c r="AU52" s="110">
        <f t="shared" si="126"/>
        <v>40525</v>
      </c>
      <c r="AV52" s="110">
        <f t="shared" si="126"/>
        <v>645360</v>
      </c>
      <c r="AW52" s="110">
        <f t="shared" si="126"/>
        <v>40660</v>
      </c>
      <c r="AX52" s="110">
        <f t="shared" si="126"/>
        <v>104790</v>
      </c>
      <c r="AY52" s="110">
        <f t="shared" si="126"/>
        <v>5970</v>
      </c>
      <c r="AZ52" s="110">
        <f t="shared" si="126"/>
        <v>370</v>
      </c>
      <c r="BA52" s="110">
        <f t="shared" si="126"/>
        <v>3035</v>
      </c>
      <c r="BB52" s="110">
        <f t="shared" si="126"/>
        <v>1180550</v>
      </c>
      <c r="BC52" s="112">
        <f t="shared" si="126"/>
        <v>3760510</v>
      </c>
      <c r="BE52" s="108" t="s">
        <v>29</v>
      </c>
      <c r="BF52" s="120">
        <f t="shared" si="106"/>
        <v>1</v>
      </c>
      <c r="BG52" s="120" t="str">
        <f t="shared" si="106"/>
        <v/>
      </c>
      <c r="BH52" s="120">
        <f t="shared" si="106"/>
        <v>1</v>
      </c>
      <c r="BI52" s="120">
        <f t="shared" si="106"/>
        <v>1</v>
      </c>
      <c r="BJ52" s="120">
        <f t="shared" si="106"/>
        <v>1</v>
      </c>
      <c r="BK52" s="120">
        <f t="shared" si="106"/>
        <v>1</v>
      </c>
      <c r="BL52" s="120">
        <f t="shared" si="106"/>
        <v>1</v>
      </c>
      <c r="BM52" s="120">
        <f t="shared" si="106"/>
        <v>1</v>
      </c>
      <c r="BN52" s="120">
        <f t="shared" si="106"/>
        <v>1</v>
      </c>
      <c r="BO52" s="120">
        <f t="shared" si="106"/>
        <v>1</v>
      </c>
      <c r="BP52" s="120">
        <f t="shared" si="106"/>
        <v>1</v>
      </c>
      <c r="BQ52" s="120">
        <f t="shared" si="106"/>
        <v>1</v>
      </c>
      <c r="BR52" s="120">
        <f t="shared" si="106"/>
        <v>1</v>
      </c>
      <c r="BS52" s="120">
        <f t="shared" si="106"/>
        <v>1</v>
      </c>
      <c r="BU52" s="108" t="s">
        <v>29</v>
      </c>
      <c r="BV52" s="120">
        <f t="shared" si="107"/>
        <v>1</v>
      </c>
      <c r="BW52" s="121">
        <f t="shared" si="108"/>
        <v>1</v>
      </c>
      <c r="BX52" s="121">
        <f t="shared" si="109"/>
        <v>1</v>
      </c>
      <c r="BY52" s="121">
        <f t="shared" si="110"/>
        <v>1</v>
      </c>
      <c r="BZ52" s="121">
        <f t="shared" si="111"/>
        <v>1</v>
      </c>
      <c r="CA52" s="121">
        <f t="shared" si="112"/>
        <v>1</v>
      </c>
      <c r="CB52" s="121">
        <f t="shared" si="113"/>
        <v>1</v>
      </c>
      <c r="CC52" s="121">
        <f t="shared" si="114"/>
        <v>1</v>
      </c>
      <c r="CD52" s="121">
        <f t="shared" si="115"/>
        <v>1</v>
      </c>
      <c r="CE52" s="121">
        <f t="shared" si="116"/>
        <v>1</v>
      </c>
      <c r="CF52" s="121">
        <f t="shared" si="117"/>
        <v>1</v>
      </c>
      <c r="CG52" s="121">
        <f t="shared" si="118"/>
        <v>1</v>
      </c>
      <c r="CH52" s="121">
        <f t="shared" si="119"/>
        <v>1</v>
      </c>
      <c r="CI52" s="123">
        <f t="shared" si="120"/>
        <v>1</v>
      </c>
      <c r="CK52" s="108" t="s">
        <v>29</v>
      </c>
      <c r="CL52" s="120">
        <f t="shared" si="122"/>
        <v>0</v>
      </c>
      <c r="CM52" s="121" t="str">
        <f t="shared" si="122"/>
        <v/>
      </c>
      <c r="CN52" s="121">
        <f t="shared" si="122"/>
        <v>0</v>
      </c>
      <c r="CO52" s="121">
        <f t="shared" si="122"/>
        <v>0</v>
      </c>
      <c r="CP52" s="121"/>
      <c r="CQ52" s="121"/>
      <c r="CR52" s="121"/>
      <c r="CS52" s="121"/>
      <c r="CT52" s="121">
        <f t="shared" si="123"/>
        <v>0</v>
      </c>
      <c r="CU52" s="121">
        <f t="shared" si="123"/>
        <v>0</v>
      </c>
      <c r="CV52" s="121">
        <f t="shared" si="123"/>
        <v>0</v>
      </c>
      <c r="CW52" s="121">
        <f t="shared" si="123"/>
        <v>0</v>
      </c>
      <c r="CX52" s="121">
        <f t="shared" si="123"/>
        <v>0</v>
      </c>
      <c r="CY52" s="123">
        <f t="shared" si="123"/>
        <v>0</v>
      </c>
      <c r="DA52" s="108" t="s">
        <v>29</v>
      </c>
      <c r="DB52" s="120"/>
      <c r="DC52" s="121"/>
      <c r="DD52" s="121"/>
      <c r="DE52" s="121"/>
      <c r="DF52" s="121"/>
      <c r="DG52" s="121"/>
      <c r="DH52" s="121"/>
      <c r="DI52" s="121"/>
      <c r="DJ52" s="121"/>
      <c r="DK52" s="121"/>
      <c r="DL52" s="121"/>
      <c r="DM52" s="121"/>
      <c r="DN52" s="121"/>
      <c r="DO52" s="123"/>
      <c r="DQ52" s="108" t="s">
        <v>29</v>
      </c>
      <c r="DR52" s="120"/>
      <c r="DS52" s="121"/>
      <c r="DT52" s="121"/>
      <c r="DU52" s="121"/>
      <c r="DV52" s="121"/>
      <c r="DW52" s="121"/>
      <c r="DX52" s="121"/>
      <c r="DY52" s="121"/>
      <c r="DZ52" s="121"/>
      <c r="EA52" s="121"/>
      <c r="EB52" s="121"/>
      <c r="EC52" s="121"/>
      <c r="ED52" s="121"/>
      <c r="EE52" s="123"/>
      <c r="EG52" s="108" t="s">
        <v>29</v>
      </c>
      <c r="EH52" s="120"/>
      <c r="EI52" s="121"/>
      <c r="EJ52" s="121"/>
      <c r="EK52" s="121"/>
      <c r="EL52" s="121"/>
      <c r="EM52" s="121"/>
      <c r="EN52" s="121"/>
      <c r="EO52" s="121"/>
      <c r="EP52" s="121"/>
      <c r="EQ52" s="121"/>
      <c r="ER52" s="121"/>
      <c r="ES52" s="121"/>
      <c r="ET52" s="121"/>
      <c r="EU52" s="123"/>
      <c r="EW52" s="108" t="s">
        <v>29</v>
      </c>
      <c r="EX52" s="120"/>
      <c r="EY52" s="121"/>
      <c r="EZ52" s="121"/>
      <c r="FA52" s="121"/>
      <c r="FB52" s="121"/>
      <c r="FC52" s="121"/>
      <c r="FD52" s="121"/>
      <c r="FE52" s="121"/>
      <c r="FF52" s="121"/>
      <c r="FG52" s="121"/>
      <c r="FH52" s="121"/>
      <c r="FI52" s="121"/>
      <c r="FJ52" s="121"/>
      <c r="FK52" s="121"/>
      <c r="FL52" s="123"/>
    </row>
    <row r="53" spans="2:168" x14ac:dyDescent="0.25">
      <c r="B53" t="s">
        <v>548</v>
      </c>
      <c r="C53" s="383" t="s">
        <v>206</v>
      </c>
      <c r="D53" s="383"/>
      <c r="E53" s="383"/>
      <c r="F53" s="383"/>
      <c r="G53" s="383"/>
      <c r="H53" s="383"/>
      <c r="I53" s="383"/>
      <c r="J53" s="383"/>
      <c r="K53" s="383"/>
      <c r="L53" s="383"/>
      <c r="M53" s="383"/>
      <c r="N53" s="383"/>
      <c r="O53" s="383"/>
      <c r="P53" s="383"/>
      <c r="Y53" t="s">
        <v>548</v>
      </c>
      <c r="Z53" s="383" t="s">
        <v>206</v>
      </c>
      <c r="AA53" s="383"/>
      <c r="AB53" s="383"/>
      <c r="AC53" s="383"/>
      <c r="AD53" s="383"/>
      <c r="AE53" s="383"/>
      <c r="AF53" s="383"/>
      <c r="AG53" s="383"/>
      <c r="AH53" s="383"/>
      <c r="AI53" s="383"/>
      <c r="AJ53" s="383"/>
      <c r="AK53" s="383"/>
      <c r="AL53" s="383"/>
      <c r="AM53" s="383"/>
      <c r="AO53" t="s">
        <v>548</v>
      </c>
      <c r="AP53" s="383" t="s">
        <v>206</v>
      </c>
      <c r="AQ53" s="383"/>
      <c r="AR53" s="383"/>
      <c r="AS53" s="383"/>
      <c r="AT53" s="383"/>
      <c r="AU53" s="383"/>
      <c r="AV53" s="383"/>
      <c r="AW53" s="383"/>
      <c r="AX53" s="383"/>
      <c r="AY53" s="383"/>
      <c r="AZ53" s="383"/>
      <c r="BA53" s="383"/>
      <c r="BB53" s="383"/>
      <c r="BC53" s="383"/>
      <c r="BE53" t="s">
        <v>548</v>
      </c>
      <c r="BF53" s="383" t="s">
        <v>206</v>
      </c>
      <c r="BG53" s="383"/>
      <c r="BH53" s="383"/>
      <c r="BI53" s="383"/>
      <c r="BJ53" s="383"/>
      <c r="BK53" s="383"/>
      <c r="BL53" s="383"/>
      <c r="BM53" s="383"/>
      <c r="BN53" s="383"/>
      <c r="BO53" s="383"/>
      <c r="BP53" s="383"/>
      <c r="BQ53" s="383"/>
      <c r="BR53" s="383"/>
      <c r="BS53" s="383"/>
      <c r="BU53" t="s">
        <v>548</v>
      </c>
      <c r="BV53" s="383" t="s">
        <v>206</v>
      </c>
      <c r="BW53" s="383"/>
      <c r="BX53" s="383"/>
      <c r="BY53" s="383"/>
      <c r="BZ53" s="383"/>
      <c r="CA53" s="383"/>
      <c r="CB53" s="383"/>
      <c r="CC53" s="383"/>
      <c r="CD53" s="383"/>
      <c r="CE53" s="383"/>
      <c r="CF53" s="383"/>
      <c r="CG53" s="383"/>
      <c r="CH53" s="383"/>
      <c r="CI53" s="383"/>
      <c r="CK53" t="s">
        <v>548</v>
      </c>
      <c r="CL53" s="383" t="s">
        <v>206</v>
      </c>
      <c r="CM53" s="383"/>
      <c r="CN53" s="383"/>
      <c r="CO53" s="383"/>
      <c r="CP53" s="383"/>
      <c r="CQ53" s="383"/>
      <c r="CR53" s="383"/>
      <c r="CS53" s="383"/>
      <c r="CT53" s="383"/>
      <c r="CU53" s="383"/>
      <c r="CV53" s="383"/>
      <c r="CW53" s="383"/>
      <c r="CX53" s="383"/>
      <c r="CY53" s="383"/>
      <c r="DA53" t="s">
        <v>579</v>
      </c>
      <c r="DB53" s="383" t="s">
        <v>206</v>
      </c>
      <c r="DC53" s="383"/>
      <c r="DD53" s="383"/>
      <c r="DE53" s="383"/>
      <c r="DF53" s="383"/>
      <c r="DG53" s="383"/>
      <c r="DH53" s="383"/>
      <c r="DI53" s="383"/>
      <c r="DJ53" s="383"/>
      <c r="DK53" s="383"/>
      <c r="DL53" s="383"/>
      <c r="DM53" s="383"/>
      <c r="DN53" s="383"/>
      <c r="DO53" s="383"/>
      <c r="DQ53" t="s">
        <v>579</v>
      </c>
      <c r="DR53" s="383" t="s">
        <v>206</v>
      </c>
      <c r="DS53" s="383"/>
      <c r="DT53" s="383"/>
      <c r="DU53" s="383"/>
      <c r="DV53" s="383"/>
      <c r="DW53" s="383"/>
      <c r="DX53" s="383"/>
      <c r="DY53" s="383"/>
      <c r="DZ53" s="383"/>
      <c r="EA53" s="383"/>
      <c r="EB53" s="383"/>
      <c r="EC53" s="383"/>
      <c r="ED53" s="383"/>
      <c r="EE53" s="383"/>
      <c r="EG53" t="s">
        <v>579</v>
      </c>
      <c r="EH53" s="383" t="s">
        <v>206</v>
      </c>
      <c r="EI53" s="383"/>
      <c r="EJ53" s="383"/>
      <c r="EK53" s="383"/>
      <c r="EL53" s="383"/>
      <c r="EM53" s="383"/>
      <c r="EN53" s="383"/>
      <c r="EO53" s="383"/>
      <c r="EP53" s="383"/>
      <c r="EQ53" s="383"/>
      <c r="ER53" s="383"/>
      <c r="ES53" s="383"/>
      <c r="ET53" s="383"/>
      <c r="EU53" s="383"/>
      <c r="EW53" t="s">
        <v>579</v>
      </c>
      <c r="EX53" s="383" t="s">
        <v>207</v>
      </c>
      <c r="EY53" s="383"/>
      <c r="EZ53" s="383"/>
      <c r="FA53" s="383"/>
      <c r="FB53" s="383"/>
      <c r="FC53" s="383"/>
      <c r="FD53" s="383"/>
      <c r="FE53" s="383"/>
      <c r="FF53" s="383"/>
      <c r="FG53" s="383"/>
      <c r="FH53" s="383"/>
      <c r="FI53" s="383"/>
      <c r="FJ53" s="383"/>
      <c r="FK53" s="383"/>
      <c r="FL53" s="383"/>
    </row>
    <row r="54" spans="2:168" ht="35.450000000000003" customHeight="1" x14ac:dyDescent="0.25">
      <c r="B54" s="163" t="s">
        <v>207</v>
      </c>
      <c r="C54" s="164" t="s">
        <v>386</v>
      </c>
      <c r="D54" s="164" t="s">
        <v>387</v>
      </c>
      <c r="E54" s="164" t="s">
        <v>388</v>
      </c>
      <c r="F54" s="164" t="s">
        <v>389</v>
      </c>
      <c r="G54" s="164" t="s">
        <v>390</v>
      </c>
      <c r="H54" s="164" t="s">
        <v>391</v>
      </c>
      <c r="I54" s="164" t="s">
        <v>392</v>
      </c>
      <c r="J54" s="164" t="s">
        <v>393</v>
      </c>
      <c r="K54" s="164" t="s">
        <v>546</v>
      </c>
      <c r="L54" s="164" t="s">
        <v>396</v>
      </c>
      <c r="M54" s="164" t="s">
        <v>397</v>
      </c>
      <c r="N54" s="164" t="s">
        <v>398</v>
      </c>
      <c r="O54" s="164" t="s">
        <v>399</v>
      </c>
      <c r="P54" s="106" t="s">
        <v>29</v>
      </c>
      <c r="R54" s="164" t="s">
        <v>546</v>
      </c>
      <c r="S54" s="164" t="s">
        <v>396</v>
      </c>
      <c r="T54" s="164" t="s">
        <v>397</v>
      </c>
      <c r="U54" s="164" t="s">
        <v>546</v>
      </c>
      <c r="V54" s="164" t="s">
        <v>396</v>
      </c>
      <c r="W54" s="164" t="s">
        <v>397</v>
      </c>
      <c r="X54" s="296"/>
      <c r="Y54" s="163" t="s">
        <v>207</v>
      </c>
      <c r="Z54" s="164" t="s">
        <v>386</v>
      </c>
      <c r="AA54" s="164" t="s">
        <v>387</v>
      </c>
      <c r="AB54" s="164" t="s">
        <v>388</v>
      </c>
      <c r="AC54" s="164" t="s">
        <v>389</v>
      </c>
      <c r="AD54" s="164" t="s">
        <v>390</v>
      </c>
      <c r="AE54" s="164" t="s">
        <v>391</v>
      </c>
      <c r="AF54" s="164" t="s">
        <v>392</v>
      </c>
      <c r="AG54" s="164" t="s">
        <v>393</v>
      </c>
      <c r="AH54" s="164" t="s">
        <v>546</v>
      </c>
      <c r="AI54" s="164" t="s">
        <v>396</v>
      </c>
      <c r="AJ54" s="164" t="s">
        <v>397</v>
      </c>
      <c r="AK54" s="164" t="s">
        <v>398</v>
      </c>
      <c r="AL54" s="164" t="s">
        <v>399</v>
      </c>
      <c r="AM54" s="106" t="s">
        <v>29</v>
      </c>
      <c r="AN54" s="296"/>
      <c r="AO54" s="163" t="s">
        <v>207</v>
      </c>
      <c r="AP54" s="164" t="s">
        <v>386</v>
      </c>
      <c r="AQ54" s="164" t="s">
        <v>387</v>
      </c>
      <c r="AR54" s="164" t="s">
        <v>388</v>
      </c>
      <c r="AS54" s="164" t="s">
        <v>389</v>
      </c>
      <c r="AT54" s="164" t="s">
        <v>390</v>
      </c>
      <c r="AU54" s="164" t="s">
        <v>391</v>
      </c>
      <c r="AV54" s="164" t="s">
        <v>392</v>
      </c>
      <c r="AW54" s="164" t="s">
        <v>393</v>
      </c>
      <c r="AX54" s="164" t="s">
        <v>546</v>
      </c>
      <c r="AY54" s="164" t="s">
        <v>396</v>
      </c>
      <c r="AZ54" s="164" t="s">
        <v>397</v>
      </c>
      <c r="BA54" s="164" t="s">
        <v>398</v>
      </c>
      <c r="BB54" s="164" t="s">
        <v>399</v>
      </c>
      <c r="BC54" s="106" t="s">
        <v>29</v>
      </c>
      <c r="BE54" s="163" t="s">
        <v>207</v>
      </c>
      <c r="BF54" s="164" t="s">
        <v>538</v>
      </c>
      <c r="BG54" s="164"/>
      <c r="BH54" s="164" t="s">
        <v>576</v>
      </c>
      <c r="BI54" s="164"/>
      <c r="BJ54" s="164" t="s">
        <v>577</v>
      </c>
      <c r="BK54" s="164"/>
      <c r="BL54" s="164" t="s">
        <v>392</v>
      </c>
      <c r="BM54" s="164" t="s">
        <v>393</v>
      </c>
      <c r="BN54" s="164" t="s">
        <v>546</v>
      </c>
      <c r="BO54" s="164" t="s">
        <v>396</v>
      </c>
      <c r="BP54" s="164" t="s">
        <v>397</v>
      </c>
      <c r="BQ54" s="164" t="s">
        <v>398</v>
      </c>
      <c r="BR54" s="164" t="s">
        <v>399</v>
      </c>
      <c r="BS54" s="106" t="s">
        <v>29</v>
      </c>
      <c r="BU54" s="163" t="s">
        <v>207</v>
      </c>
      <c r="BV54" s="164" t="s">
        <v>538</v>
      </c>
      <c r="BW54" s="164"/>
      <c r="BX54" s="164" t="s">
        <v>576</v>
      </c>
      <c r="BY54" s="164"/>
      <c r="BZ54" s="164" t="s">
        <v>577</v>
      </c>
      <c r="CA54" s="164"/>
      <c r="CB54" s="164" t="s">
        <v>392</v>
      </c>
      <c r="CC54" s="164" t="s">
        <v>393</v>
      </c>
      <c r="CD54" s="164" t="s">
        <v>546</v>
      </c>
      <c r="CE54" s="164" t="s">
        <v>396</v>
      </c>
      <c r="CF54" s="164" t="s">
        <v>397</v>
      </c>
      <c r="CG54" s="164" t="s">
        <v>398</v>
      </c>
      <c r="CH54" s="164" t="s">
        <v>399</v>
      </c>
      <c r="CI54" s="106" t="s">
        <v>29</v>
      </c>
      <c r="CK54" s="163" t="s">
        <v>207</v>
      </c>
      <c r="CL54" s="164" t="s">
        <v>386</v>
      </c>
      <c r="CM54" s="164" t="s">
        <v>387</v>
      </c>
      <c r="CN54" s="164" t="s">
        <v>388</v>
      </c>
      <c r="CO54" s="164" t="s">
        <v>389</v>
      </c>
      <c r="CP54" s="164" t="s">
        <v>390</v>
      </c>
      <c r="CQ54" s="164" t="s">
        <v>391</v>
      </c>
      <c r="CR54" s="164" t="s">
        <v>392</v>
      </c>
      <c r="CS54" s="164" t="s">
        <v>393</v>
      </c>
      <c r="CT54" s="164" t="s">
        <v>546</v>
      </c>
      <c r="CU54" s="164" t="s">
        <v>396</v>
      </c>
      <c r="CV54" s="164" t="s">
        <v>397</v>
      </c>
      <c r="CW54" s="164" t="s">
        <v>398</v>
      </c>
      <c r="CX54" s="164" t="s">
        <v>399</v>
      </c>
      <c r="CY54" s="106" t="s">
        <v>29</v>
      </c>
      <c r="DA54" s="163" t="s">
        <v>207</v>
      </c>
      <c r="DB54" s="164" t="s">
        <v>538</v>
      </c>
      <c r="DC54" s="164"/>
      <c r="DD54" s="164" t="s">
        <v>576</v>
      </c>
      <c r="DE54" s="164"/>
      <c r="DF54" s="164" t="s">
        <v>577</v>
      </c>
      <c r="DG54" s="164"/>
      <c r="DH54" s="164" t="s">
        <v>392</v>
      </c>
      <c r="DI54" s="164" t="s">
        <v>393</v>
      </c>
      <c r="DJ54" s="164" t="s">
        <v>546</v>
      </c>
      <c r="DK54" s="164" t="s">
        <v>396</v>
      </c>
      <c r="DL54" s="164" t="s">
        <v>397</v>
      </c>
      <c r="DM54" s="164" t="s">
        <v>398</v>
      </c>
      <c r="DN54" s="164" t="s">
        <v>399</v>
      </c>
      <c r="DO54" s="106" t="s">
        <v>29</v>
      </c>
      <c r="DQ54" s="163" t="s">
        <v>207</v>
      </c>
      <c r="DR54" s="164" t="s">
        <v>538</v>
      </c>
      <c r="DS54" s="164"/>
      <c r="DT54" s="164" t="s">
        <v>576</v>
      </c>
      <c r="DU54" s="164"/>
      <c r="DV54" s="164" t="s">
        <v>577</v>
      </c>
      <c r="DW54" s="164"/>
      <c r="DX54" s="164" t="s">
        <v>392</v>
      </c>
      <c r="DY54" s="164" t="s">
        <v>393</v>
      </c>
      <c r="DZ54" s="164" t="s">
        <v>546</v>
      </c>
      <c r="EA54" s="164" t="s">
        <v>396</v>
      </c>
      <c r="EB54" s="164" t="s">
        <v>397</v>
      </c>
      <c r="EC54" s="164" t="s">
        <v>398</v>
      </c>
      <c r="ED54" s="164" t="s">
        <v>399</v>
      </c>
      <c r="EE54" s="106" t="s">
        <v>29</v>
      </c>
      <c r="EG54" s="163" t="s">
        <v>207</v>
      </c>
      <c r="EH54" s="164" t="s">
        <v>538</v>
      </c>
      <c r="EI54" s="164"/>
      <c r="EJ54" s="164" t="s">
        <v>576</v>
      </c>
      <c r="EK54" s="164"/>
      <c r="EL54" s="164" t="s">
        <v>577</v>
      </c>
      <c r="EM54" s="164"/>
      <c r="EN54" s="164" t="s">
        <v>392</v>
      </c>
      <c r="EO54" s="164" t="s">
        <v>393</v>
      </c>
      <c r="EP54" s="164" t="s">
        <v>546</v>
      </c>
      <c r="EQ54" s="164" t="s">
        <v>396</v>
      </c>
      <c r="ER54" s="164" t="s">
        <v>397</v>
      </c>
      <c r="ES54" s="164" t="s">
        <v>398</v>
      </c>
      <c r="ET54" s="164" t="s">
        <v>399</v>
      </c>
      <c r="EU54" s="106" t="s">
        <v>29</v>
      </c>
      <c r="EW54" s="163" t="s">
        <v>206</v>
      </c>
      <c r="EX54" s="164" t="s">
        <v>386</v>
      </c>
      <c r="EY54" s="164" t="s">
        <v>387</v>
      </c>
      <c r="EZ54" s="164" t="s">
        <v>388</v>
      </c>
      <c r="FA54" s="164" t="s">
        <v>389</v>
      </c>
      <c r="FB54" s="164" t="s">
        <v>390</v>
      </c>
      <c r="FC54" s="164" t="s">
        <v>391</v>
      </c>
      <c r="FD54" s="164" t="s">
        <v>392</v>
      </c>
      <c r="FE54" s="164" t="s">
        <v>393</v>
      </c>
      <c r="FF54" s="164"/>
      <c r="FG54" s="164" t="s">
        <v>546</v>
      </c>
      <c r="FH54" s="164" t="s">
        <v>396</v>
      </c>
      <c r="FI54" s="164" t="s">
        <v>397</v>
      </c>
      <c r="FJ54" s="164" t="s">
        <v>398</v>
      </c>
      <c r="FK54" s="164" t="s">
        <v>399</v>
      </c>
      <c r="FL54" s="106" t="s">
        <v>29</v>
      </c>
    </row>
    <row r="55" spans="2:168" x14ac:dyDescent="0.25">
      <c r="B55" s="107" t="s">
        <v>386</v>
      </c>
      <c r="C55" s="160">
        <f>TripMode_input!B148</f>
        <v>0</v>
      </c>
      <c r="D55" s="160">
        <f>TripMode_input!C148</f>
        <v>0</v>
      </c>
      <c r="E55" s="160">
        <f>TripMode_input!D148</f>
        <v>438707.17473000003</v>
      </c>
      <c r="F55" s="160">
        <f>TripMode_input!E148</f>
        <v>102.29367999999999</v>
      </c>
      <c r="G55" s="160">
        <f>TripMode_input!F148</f>
        <v>179608.65805999999</v>
      </c>
      <c r="H55" s="160">
        <f>TripMode_input!G148</f>
        <v>268.62398999999999</v>
      </c>
      <c r="I55" s="294"/>
      <c r="J55" s="294"/>
      <c r="K55" s="294"/>
      <c r="L55" s="294"/>
      <c r="M55" s="294"/>
      <c r="N55" s="294"/>
      <c r="O55" s="294"/>
      <c r="P55" s="161">
        <f t="shared" ref="P55:P67" si="127">SUM(C55:O55)</f>
        <v>618686.75046000001</v>
      </c>
      <c r="R55">
        <f>IF(K$63&gt;0,K55/K$63,0)</f>
        <v>0</v>
      </c>
      <c r="S55">
        <f>IF(L$64&gt;0,L55/L$64,0)</f>
        <v>0</v>
      </c>
      <c r="T55">
        <f>IF(M$65&gt;0,M55/M$65,0)</f>
        <v>0</v>
      </c>
      <c r="Y55" s="107" t="s">
        <v>386</v>
      </c>
      <c r="Z55" s="160">
        <f t="shared" ref="Z55:AC56" si="128">+C55</f>
        <v>0</v>
      </c>
      <c r="AA55" s="160">
        <f t="shared" si="128"/>
        <v>0</v>
      </c>
      <c r="AB55" s="160">
        <f t="shared" si="128"/>
        <v>438707.17473000003</v>
      </c>
      <c r="AC55" s="160">
        <f t="shared" si="128"/>
        <v>102.29367999999999</v>
      </c>
      <c r="AD55" s="160">
        <f t="shared" ref="AD55:AD61" si="129">+G55</f>
        <v>179608.65805999999</v>
      </c>
      <c r="AE55" s="160">
        <f t="shared" ref="AE55:AE61" si="130">+H55</f>
        <v>268.62398999999999</v>
      </c>
      <c r="AF55" s="294"/>
      <c r="AG55" s="294"/>
      <c r="AH55" s="294"/>
      <c r="AI55" s="294"/>
      <c r="AJ55" s="294"/>
      <c r="AK55" s="294"/>
      <c r="AL55" s="294"/>
      <c r="AM55" s="161">
        <f t="shared" ref="AM55:AM67" si="131">SUM(Z55:AL55)</f>
        <v>618686.75046000001</v>
      </c>
      <c r="AO55" s="107" t="s">
        <v>386</v>
      </c>
      <c r="AP55" s="160">
        <f>TripMode_input!R148</f>
        <v>0</v>
      </c>
      <c r="AQ55" s="160">
        <f>TripMode_input!S148</f>
        <v>0</v>
      </c>
      <c r="AR55" s="160">
        <f>TripMode_input!T148</f>
        <v>102032</v>
      </c>
      <c r="AS55" s="160">
        <f>TripMode_input!U148</f>
        <v>2125</v>
      </c>
      <c r="AT55" s="160">
        <f>TripMode_input!V148</f>
        <v>63426</v>
      </c>
      <c r="AU55" s="160">
        <f>TripMode_input!W148</f>
        <v>1503</v>
      </c>
      <c r="AV55" s="294">
        <f>TripMode_input!X148</f>
        <v>0</v>
      </c>
      <c r="AW55" s="294">
        <f>TripMode_input!Y148</f>
        <v>0</v>
      </c>
      <c r="AX55" s="294">
        <f>TripMode_input!Z148+TripMode_input!AA148</f>
        <v>0</v>
      </c>
      <c r="AY55" s="294">
        <f>TripMode_input!AB148</f>
        <v>0</v>
      </c>
      <c r="AZ55" s="160">
        <f>TripMode_input!AC148</f>
        <v>0</v>
      </c>
      <c r="BA55" s="294">
        <f>TripMode_input!AD148</f>
        <v>0</v>
      </c>
      <c r="BB55" s="294">
        <f>TripMode_input!AE148</f>
        <v>0</v>
      </c>
      <c r="BC55" s="161">
        <f t="shared" ref="BC55:BC67" si="132">SUM(AP55:BB55)</f>
        <v>169086</v>
      </c>
      <c r="BE55" s="107" t="s">
        <v>538</v>
      </c>
      <c r="BF55" s="166" t="str">
        <f>IF(Z$68+AA$68&gt;0,SUM(Z55:AA56)/(Z$68+AA$68),"")</f>
        <v/>
      </c>
      <c r="BG55" s="166"/>
      <c r="BH55" s="166">
        <f>IF(AB$68+AC$68&gt;0,SUM(AB55:AC56)/(AB$68+AC$68),"")</f>
        <v>0.47214902535831998</v>
      </c>
      <c r="BI55" s="166"/>
      <c r="BJ55" s="166">
        <f>IF(AD$68+AE$68&gt;0,SUM(AD55:AE56)/(AD$68+AE$68),"")</f>
        <v>0.13057670220064047</v>
      </c>
      <c r="BK55" s="166"/>
      <c r="BL55" s="166">
        <f t="shared" ref="BL55:BS55" si="133">IF(AF$68&gt;0,(AF55+AF56)/AF$68,"")</f>
        <v>0</v>
      </c>
      <c r="BM55" s="166">
        <f t="shared" si="133"/>
        <v>0</v>
      </c>
      <c r="BN55" s="166">
        <f t="shared" si="133"/>
        <v>0</v>
      </c>
      <c r="BO55" s="166" t="str">
        <f t="shared" si="133"/>
        <v/>
      </c>
      <c r="BP55" s="166" t="str">
        <f t="shared" si="133"/>
        <v/>
      </c>
      <c r="BQ55" s="166" t="str">
        <f t="shared" si="133"/>
        <v/>
      </c>
      <c r="BR55" s="166" t="str">
        <f t="shared" si="133"/>
        <v/>
      </c>
      <c r="BS55" s="166">
        <f t="shared" si="133"/>
        <v>0.23789401373503299</v>
      </c>
      <c r="BU55" s="107" t="s">
        <v>538</v>
      </c>
      <c r="BV55" s="166" t="str">
        <f>IF(AP$68+AQ$68&gt;0,SUM(AP55:AQ56)/(AP$68+AQ$68),"")</f>
        <v/>
      </c>
      <c r="BW55" s="166"/>
      <c r="BX55" s="166">
        <f>IF(AR$68+AS$68&gt;0,SUM(AR55:AS56)/(AR$68+AS$68),"")</f>
        <v>0.45385864697740391</v>
      </c>
      <c r="BY55" s="166"/>
      <c r="BZ55" s="166">
        <f>IF(AT$68+AU$68&gt;0,SUM(AT55:AU56)/(AT$68+AU$68),"")</f>
        <v>0.24014730022225772</v>
      </c>
      <c r="CA55" s="166"/>
      <c r="CB55" s="166">
        <f t="shared" ref="CB55:CI55" si="134">IF(AV$68&gt;0,(AV55+AV56)/AV$68,"")</f>
        <v>0</v>
      </c>
      <c r="CC55" s="166">
        <f t="shared" si="134"/>
        <v>0</v>
      </c>
      <c r="CD55" s="166">
        <f t="shared" si="134"/>
        <v>0</v>
      </c>
      <c r="CE55" s="166" t="str">
        <f t="shared" si="134"/>
        <v/>
      </c>
      <c r="CF55" s="166" t="str">
        <f t="shared" si="134"/>
        <v/>
      </c>
      <c r="CG55" s="166" t="str">
        <f t="shared" si="134"/>
        <v/>
      </c>
      <c r="CH55" s="166" t="str">
        <f t="shared" si="134"/>
        <v/>
      </c>
      <c r="CI55" s="166">
        <f t="shared" si="134"/>
        <v>0.28177683290557481</v>
      </c>
      <c r="CK55" s="107" t="s">
        <v>386</v>
      </c>
      <c r="CL55" s="166" t="str">
        <f t="shared" ref="CL55:CO58" si="135">IF(OR(ISNA(BF55),BF55=0,BF55=""),"",(BV55-BF55)/BF55)</f>
        <v/>
      </c>
      <c r="CM55" s="166" t="str">
        <f t="shared" si="135"/>
        <v/>
      </c>
      <c r="CN55" s="166">
        <f t="shared" si="135"/>
        <v>-3.8738570660047995E-2</v>
      </c>
      <c r="CO55" s="166" t="str">
        <f t="shared" si="135"/>
        <v/>
      </c>
      <c r="CP55" s="166"/>
      <c r="CQ55" s="166"/>
      <c r="CR55" s="166"/>
      <c r="CS55" s="166"/>
      <c r="CT55" s="166" t="str">
        <f t="shared" ref="CT55:CY58" si="136">IF(OR(ISNA(BN55),BN55=0,BN55=""),"",(CD55-BN55)/BN55)</f>
        <v/>
      </c>
      <c r="CU55" s="166" t="str">
        <f t="shared" si="136"/>
        <v/>
      </c>
      <c r="CV55" s="166" t="str">
        <f t="shared" si="136"/>
        <v/>
      </c>
      <c r="CW55" s="166" t="str">
        <f t="shared" si="136"/>
        <v/>
      </c>
      <c r="CX55" s="166" t="str">
        <f t="shared" si="136"/>
        <v/>
      </c>
      <c r="CY55" s="167">
        <f t="shared" si="136"/>
        <v>0.1844637386269779</v>
      </c>
      <c r="DA55" s="107" t="s">
        <v>538</v>
      </c>
      <c r="DB55" s="314">
        <f>IFERROR(IF(BV55&gt;0,LN(BF55/BV55),0),0)</f>
        <v>0</v>
      </c>
      <c r="DC55" s="314"/>
      <c r="DD55" s="314">
        <f>IFERROR(IF(BX55&gt;0,LN(BH55/BX55),0),0)</f>
        <v>3.9508868152395432E-2</v>
      </c>
      <c r="DE55" s="314"/>
      <c r="DF55" s="314">
        <f>IFERROR(IF(BZ55&gt;0,LN(BJ55/BZ55),0),0)</f>
        <v>-0.6092916755715978</v>
      </c>
      <c r="DG55" s="314"/>
      <c r="DH55" s="315"/>
      <c r="DI55" s="315"/>
      <c r="DJ55" s="315"/>
      <c r="DK55" s="315"/>
      <c r="DL55" s="315"/>
      <c r="DM55" s="315"/>
      <c r="DN55" s="315"/>
      <c r="DO55" s="167"/>
      <c r="DQ55" s="107" t="s">
        <v>538</v>
      </c>
      <c r="DR55" s="314">
        <v>0</v>
      </c>
      <c r="DS55" s="314">
        <v>0</v>
      </c>
      <c r="DT55" s="314">
        <v>0</v>
      </c>
      <c r="DU55" s="314">
        <v>0</v>
      </c>
      <c r="DV55" s="314">
        <v>0</v>
      </c>
      <c r="DW55" s="314">
        <v>0</v>
      </c>
      <c r="DX55" s="315"/>
      <c r="DY55" s="315"/>
      <c r="DZ55" s="315"/>
      <c r="EA55" s="315"/>
      <c r="EB55" s="315"/>
      <c r="EC55" s="315"/>
      <c r="ED55" s="315"/>
      <c r="EE55" s="167"/>
      <c r="EG55" s="107" t="s">
        <v>538</v>
      </c>
      <c r="EH55" s="314">
        <v>0</v>
      </c>
      <c r="EI55" s="314">
        <v>0</v>
      </c>
      <c r="EJ55" s="314">
        <v>0</v>
      </c>
      <c r="EK55" s="314">
        <v>0</v>
      </c>
      <c r="EL55" s="314">
        <v>0</v>
      </c>
      <c r="EM55" s="314">
        <v>0</v>
      </c>
      <c r="EN55" s="315"/>
      <c r="EO55" s="315"/>
      <c r="EP55" s="315"/>
      <c r="EQ55" s="315"/>
      <c r="ER55" s="315"/>
      <c r="ES55" s="315"/>
      <c r="ET55" s="315"/>
      <c r="EU55" s="167"/>
      <c r="EW55" s="164" t="s">
        <v>386</v>
      </c>
      <c r="EX55" s="316">
        <f>INDEX($EH$55:$ET$67,EX$4,MATCH($EW55,$EW$7:$EW$19,0))</f>
        <v>0</v>
      </c>
      <c r="EY55" s="316">
        <f t="shared" ref="EY55:FK67" si="137">INDEX($EH$55:$ET$67,EY$4,MATCH($EW55,$EW$7:$EW$19,0))</f>
        <v>0</v>
      </c>
      <c r="EZ55" s="316">
        <f t="shared" si="137"/>
        <v>0</v>
      </c>
      <c r="FA55" s="316">
        <f t="shared" si="137"/>
        <v>0</v>
      </c>
      <c r="FB55" s="316">
        <f t="shared" si="137"/>
        <v>0</v>
      </c>
      <c r="FC55" s="316">
        <f t="shared" si="137"/>
        <v>0</v>
      </c>
      <c r="FD55" s="316">
        <f t="shared" si="137"/>
        <v>0</v>
      </c>
      <c r="FE55" s="316">
        <f t="shared" si="137"/>
        <v>0</v>
      </c>
      <c r="FF55" s="316"/>
      <c r="FG55" s="316">
        <f t="shared" si="137"/>
        <v>0</v>
      </c>
      <c r="FH55" s="316">
        <f t="shared" si="137"/>
        <v>0</v>
      </c>
      <c r="FI55" s="316">
        <f t="shared" si="137"/>
        <v>0</v>
      </c>
      <c r="FJ55" s="316">
        <f t="shared" si="137"/>
        <v>0</v>
      </c>
      <c r="FK55" s="316">
        <f t="shared" si="137"/>
        <v>0</v>
      </c>
      <c r="FL55" s="167"/>
    </row>
    <row r="56" spans="2:168" x14ac:dyDescent="0.25">
      <c r="B56" s="107" t="s">
        <v>387</v>
      </c>
      <c r="C56" s="160">
        <f>TripMode_input!B149</f>
        <v>0</v>
      </c>
      <c r="D56" s="160">
        <f>TripMode_input!C149</f>
        <v>0</v>
      </c>
      <c r="E56" s="160">
        <f>TripMode_input!D149</f>
        <v>0</v>
      </c>
      <c r="F56" s="160">
        <f>TripMode_input!E149</f>
        <v>163.97425999999999</v>
      </c>
      <c r="G56" s="160">
        <f>TripMode_input!F149</f>
        <v>0</v>
      </c>
      <c r="H56" s="160">
        <f>TripMode_input!G149</f>
        <v>329.89438000000001</v>
      </c>
      <c r="I56" s="294"/>
      <c r="J56" s="294"/>
      <c r="K56" s="294"/>
      <c r="L56" s="294"/>
      <c r="M56" s="294"/>
      <c r="N56" s="294"/>
      <c r="O56" s="294"/>
      <c r="P56" s="162">
        <f t="shared" si="127"/>
        <v>493.86864000000003</v>
      </c>
      <c r="R56">
        <f t="shared" ref="R56:R67" si="138">IF(K$63&gt;0,K56/K$63,0)</f>
        <v>0</v>
      </c>
      <c r="S56">
        <f t="shared" ref="S56:S67" si="139">IF(L$64&gt;0,L56/L$64,0)</f>
        <v>0</v>
      </c>
      <c r="T56">
        <f t="shared" ref="T56:T67" si="140">IF(M$65&gt;0,M56/M$65,0)</f>
        <v>0</v>
      </c>
      <c r="Y56" s="107" t="s">
        <v>387</v>
      </c>
      <c r="Z56" s="160">
        <f t="shared" si="128"/>
        <v>0</v>
      </c>
      <c r="AA56" s="160">
        <f t="shared" si="128"/>
        <v>0</v>
      </c>
      <c r="AB56" s="160">
        <f t="shared" si="128"/>
        <v>0</v>
      </c>
      <c r="AC56" s="160">
        <f t="shared" si="128"/>
        <v>163.97425999999999</v>
      </c>
      <c r="AD56" s="160">
        <f t="shared" si="129"/>
        <v>0</v>
      </c>
      <c r="AE56" s="160">
        <f t="shared" si="130"/>
        <v>329.89438000000001</v>
      </c>
      <c r="AF56" s="294"/>
      <c r="AG56" s="294"/>
      <c r="AH56" s="294"/>
      <c r="AI56" s="294"/>
      <c r="AJ56" s="294"/>
      <c r="AK56" s="294"/>
      <c r="AL56" s="294"/>
      <c r="AM56" s="162">
        <f t="shared" si="131"/>
        <v>493.86864000000003</v>
      </c>
      <c r="AO56" s="107" t="s">
        <v>387</v>
      </c>
      <c r="AP56" s="160">
        <f>TripMode_input!R149</f>
        <v>0</v>
      </c>
      <c r="AQ56" s="160">
        <f>TripMode_input!S149</f>
        <v>0</v>
      </c>
      <c r="AR56" s="160">
        <f>TripMode_input!T149</f>
        <v>1276</v>
      </c>
      <c r="AS56" s="160">
        <f>TripMode_input!U149</f>
        <v>479</v>
      </c>
      <c r="AT56" s="160">
        <f>TripMode_input!V149</f>
        <v>896</v>
      </c>
      <c r="AU56" s="160">
        <f>TripMode_input!W149</f>
        <v>301</v>
      </c>
      <c r="AV56" s="294">
        <f>TripMode_input!X149</f>
        <v>0</v>
      </c>
      <c r="AW56" s="294">
        <f>TripMode_input!Y149</f>
        <v>0</v>
      </c>
      <c r="AX56" s="294">
        <f>TripMode_input!Z149+TripMode_input!AA149</f>
        <v>0</v>
      </c>
      <c r="AY56" s="294">
        <f>TripMode_input!AB149</f>
        <v>0</v>
      </c>
      <c r="AZ56" s="160">
        <f>TripMode_input!AC149</f>
        <v>0</v>
      </c>
      <c r="BA56" s="294">
        <f>TripMode_input!AD149</f>
        <v>0</v>
      </c>
      <c r="BB56" s="294">
        <f>TripMode_input!AE149</f>
        <v>0</v>
      </c>
      <c r="BC56" s="162">
        <f t="shared" si="132"/>
        <v>2952</v>
      </c>
      <c r="BE56" s="107"/>
      <c r="BF56" s="166"/>
      <c r="BG56" s="166"/>
      <c r="BH56" s="166"/>
      <c r="BI56" s="166"/>
      <c r="BJ56" s="166"/>
      <c r="BK56" s="166"/>
      <c r="BL56" s="166"/>
      <c r="BM56" s="166"/>
      <c r="BN56" s="166"/>
      <c r="BO56" s="166"/>
      <c r="BP56" s="166"/>
      <c r="BQ56" s="166"/>
      <c r="BR56" s="166"/>
      <c r="BS56" s="166"/>
      <c r="BU56" s="107"/>
      <c r="BV56" s="166"/>
      <c r="BW56" s="166"/>
      <c r="BX56" s="166"/>
      <c r="BY56" s="166"/>
      <c r="BZ56" s="166"/>
      <c r="CA56" s="166"/>
      <c r="CB56" s="166"/>
      <c r="CC56" s="166"/>
      <c r="CD56" s="166"/>
      <c r="CE56" s="166"/>
      <c r="CF56" s="166"/>
      <c r="CG56" s="166"/>
      <c r="CH56" s="166"/>
      <c r="CI56" s="166"/>
      <c r="CK56" s="107" t="s">
        <v>387</v>
      </c>
      <c r="CL56" s="166" t="str">
        <f t="shared" si="135"/>
        <v/>
      </c>
      <c r="CM56" s="166" t="str">
        <f t="shared" si="135"/>
        <v/>
      </c>
      <c r="CN56" s="166" t="str">
        <f t="shared" si="135"/>
        <v/>
      </c>
      <c r="CO56" s="166" t="str">
        <f t="shared" si="135"/>
        <v/>
      </c>
      <c r="CP56" s="166"/>
      <c r="CQ56" s="166"/>
      <c r="CR56" s="166"/>
      <c r="CS56" s="166"/>
      <c r="CT56" s="166" t="str">
        <f t="shared" si="136"/>
        <v/>
      </c>
      <c r="CU56" s="166" t="str">
        <f t="shared" si="136"/>
        <v/>
      </c>
      <c r="CV56" s="166" t="str">
        <f t="shared" si="136"/>
        <v/>
      </c>
      <c r="CW56" s="166" t="str">
        <f t="shared" si="136"/>
        <v/>
      </c>
      <c r="CX56" s="166" t="str">
        <f t="shared" si="136"/>
        <v/>
      </c>
      <c r="CY56" s="168" t="str">
        <f t="shared" si="136"/>
        <v/>
      </c>
      <c r="DA56" s="107"/>
      <c r="DB56" s="314"/>
      <c r="DC56" s="314"/>
      <c r="DD56" s="314"/>
      <c r="DE56" s="314"/>
      <c r="DF56" s="314"/>
      <c r="DG56" s="314"/>
      <c r="DH56" s="315"/>
      <c r="DI56" s="315"/>
      <c r="DJ56" s="315"/>
      <c r="DK56" s="315"/>
      <c r="DL56" s="315"/>
      <c r="DM56" s="315"/>
      <c r="DN56" s="315"/>
      <c r="DO56" s="168"/>
      <c r="DQ56" s="107"/>
      <c r="DR56" s="314">
        <v>0</v>
      </c>
      <c r="DS56" s="314">
        <v>0</v>
      </c>
      <c r="DT56" s="314">
        <v>0</v>
      </c>
      <c r="DU56" s="314">
        <v>0</v>
      </c>
      <c r="DV56" s="314">
        <v>0</v>
      </c>
      <c r="DW56" s="314">
        <v>0</v>
      </c>
      <c r="DX56" s="315"/>
      <c r="DY56" s="315"/>
      <c r="DZ56" s="315"/>
      <c r="EA56" s="315"/>
      <c r="EB56" s="315"/>
      <c r="EC56" s="315"/>
      <c r="ED56" s="315"/>
      <c r="EE56" s="168"/>
      <c r="EG56" s="107"/>
      <c r="EH56" s="314">
        <v>0</v>
      </c>
      <c r="EI56" s="314">
        <v>0</v>
      </c>
      <c r="EJ56" s="314">
        <v>0</v>
      </c>
      <c r="EK56" s="314">
        <v>0</v>
      </c>
      <c r="EL56" s="314">
        <v>0</v>
      </c>
      <c r="EM56" s="314">
        <v>0</v>
      </c>
      <c r="EN56" s="315"/>
      <c r="EO56" s="315"/>
      <c r="EP56" s="315"/>
      <c r="EQ56" s="315"/>
      <c r="ER56" s="315"/>
      <c r="ES56" s="315"/>
      <c r="ET56" s="315"/>
      <c r="EU56" s="168"/>
      <c r="EW56" s="164" t="s">
        <v>387</v>
      </c>
      <c r="EX56" s="316">
        <f t="shared" ref="EX56:EX67" si="141">INDEX($EH$55:$ET$67,EX$4,MATCH($EW56,$EW$7:$EW$19,0))</f>
        <v>0</v>
      </c>
      <c r="EY56" s="316">
        <f t="shared" si="137"/>
        <v>0</v>
      </c>
      <c r="EZ56" s="316">
        <f t="shared" si="137"/>
        <v>0</v>
      </c>
      <c r="FA56" s="316">
        <f t="shared" si="137"/>
        <v>0</v>
      </c>
      <c r="FB56" s="316">
        <f t="shared" si="137"/>
        <v>0</v>
      </c>
      <c r="FC56" s="316">
        <f t="shared" si="137"/>
        <v>0</v>
      </c>
      <c r="FD56" s="316">
        <f t="shared" si="137"/>
        <v>0</v>
      </c>
      <c r="FE56" s="316">
        <f t="shared" si="137"/>
        <v>0</v>
      </c>
      <c r="FF56" s="316"/>
      <c r="FG56" s="316">
        <f t="shared" si="137"/>
        <v>0</v>
      </c>
      <c r="FH56" s="316">
        <f t="shared" si="137"/>
        <v>0</v>
      </c>
      <c r="FI56" s="316">
        <f t="shared" si="137"/>
        <v>0</v>
      </c>
      <c r="FJ56" s="316">
        <f t="shared" si="137"/>
        <v>0</v>
      </c>
      <c r="FK56" s="316">
        <f t="shared" si="137"/>
        <v>0</v>
      </c>
      <c r="FL56" s="168"/>
    </row>
    <row r="57" spans="2:168" x14ac:dyDescent="0.25">
      <c r="B57" s="107" t="s">
        <v>388</v>
      </c>
      <c r="C57" s="294"/>
      <c r="D57" s="294"/>
      <c r="E57" s="160">
        <f>TripMode_input!D150</f>
        <v>487718.53811999998</v>
      </c>
      <c r="F57" s="160">
        <f>TripMode_input!E150</f>
        <v>0</v>
      </c>
      <c r="G57" s="160">
        <f>TripMode_input!F150</f>
        <v>348411.28759999998</v>
      </c>
      <c r="H57" s="160">
        <f>TripMode_input!G150</f>
        <v>805.16638999999998</v>
      </c>
      <c r="I57" s="294"/>
      <c r="J57" s="294"/>
      <c r="K57" s="160">
        <f>TripMode_input!J150+TripMode_input!K150</f>
        <v>146.35839999999999</v>
      </c>
      <c r="L57" s="294"/>
      <c r="M57" s="294"/>
      <c r="N57" s="160">
        <f>TripMode_input!N150</f>
        <v>0</v>
      </c>
      <c r="O57" s="294"/>
      <c r="P57" s="162">
        <f t="shared" si="127"/>
        <v>837081.35051000002</v>
      </c>
      <c r="R57">
        <f t="shared" si="138"/>
        <v>1.1512535792030088E-2</v>
      </c>
      <c r="S57">
        <f t="shared" si="139"/>
        <v>0</v>
      </c>
      <c r="T57">
        <f t="shared" si="140"/>
        <v>0</v>
      </c>
      <c r="Y57" s="107" t="s">
        <v>388</v>
      </c>
      <c r="Z57" s="294"/>
      <c r="AA57" s="294"/>
      <c r="AB57" s="160">
        <f>+E57</f>
        <v>487718.53811999998</v>
      </c>
      <c r="AC57" s="160">
        <f>+F57</f>
        <v>0</v>
      </c>
      <c r="AD57" s="160">
        <f t="shared" si="129"/>
        <v>348411.28759999998</v>
      </c>
      <c r="AE57" s="160">
        <f t="shared" si="130"/>
        <v>805.16638999999998</v>
      </c>
      <c r="AF57" s="294"/>
      <c r="AG57" s="294"/>
      <c r="AH57" s="160">
        <f>AH63*R57</f>
        <v>154.48938122037657</v>
      </c>
      <c r="AI57" s="294"/>
      <c r="AJ57" s="294"/>
      <c r="AK57" s="160">
        <f>+N57</f>
        <v>0</v>
      </c>
      <c r="AL57" s="294"/>
      <c r="AM57" s="162">
        <f t="shared" si="131"/>
        <v>837089.48149122042</v>
      </c>
      <c r="AO57" s="107" t="s">
        <v>388</v>
      </c>
      <c r="AP57" s="294">
        <f>TripMode_input!R150</f>
        <v>0</v>
      </c>
      <c r="AQ57" s="294">
        <f>TripMode_input!S150</f>
        <v>0</v>
      </c>
      <c r="AR57" s="160">
        <f>TripMode_input!T150</f>
        <v>118436</v>
      </c>
      <c r="AS57" s="160">
        <f>TripMode_input!U150</f>
        <v>2377</v>
      </c>
      <c r="AT57" s="160">
        <f>TripMode_input!V150</f>
        <v>47130</v>
      </c>
      <c r="AU57" s="160">
        <f>TripMode_input!W150</f>
        <v>1022</v>
      </c>
      <c r="AV57" s="294">
        <f>TripMode_input!X150</f>
        <v>0</v>
      </c>
      <c r="AW57" s="294">
        <f>TripMode_input!Y150</f>
        <v>0</v>
      </c>
      <c r="AX57" s="160">
        <f>TripMode_input!Z150+TripMode_input!AA150</f>
        <v>31</v>
      </c>
      <c r="AY57" s="160">
        <f>TripMode_input!AB150</f>
        <v>0</v>
      </c>
      <c r="AZ57" s="160">
        <f>TripMode_input!AC150</f>
        <v>0</v>
      </c>
      <c r="BA57" s="160">
        <f>TripMode_input!AD150</f>
        <v>0</v>
      </c>
      <c r="BB57" s="294">
        <f>TripMode_input!AE150</f>
        <v>0</v>
      </c>
      <c r="BC57" s="162">
        <f t="shared" si="132"/>
        <v>168996</v>
      </c>
      <c r="BE57" s="107" t="s">
        <v>576</v>
      </c>
      <c r="BF57" s="166" t="str">
        <f>IF(Z$68+AA$68&gt;0,SUM(Z57:AA58)/(Z$68+AA$68),"")</f>
        <v/>
      </c>
      <c r="BG57" s="166"/>
      <c r="BH57" s="166">
        <f>IF(AB$68+AC$68&gt;0,SUM(AB57:AC58)/(AB$68+AC$68),"")</f>
        <v>0.52495903486049655</v>
      </c>
      <c r="BI57" s="166"/>
      <c r="BJ57" s="166">
        <f>IF(AD$68+AE$68&gt;0,SUM(AD57:AE58)/(AD$68+AE$68),"")</f>
        <v>0.25526573885697867</v>
      </c>
      <c r="BK57" s="166"/>
      <c r="BL57" s="166">
        <f t="shared" ref="BL57:BS57" si="142">IF(AF$68&gt;0,(AF57+AF58)/AF$68,"")</f>
        <v>0</v>
      </c>
      <c r="BM57" s="166">
        <f t="shared" si="142"/>
        <v>0</v>
      </c>
      <c r="BN57" s="166">
        <f t="shared" si="142"/>
        <v>8.7477671164014059E-3</v>
      </c>
      <c r="BO57" s="166" t="str">
        <f t="shared" si="142"/>
        <v/>
      </c>
      <c r="BP57" s="166" t="str">
        <f t="shared" si="142"/>
        <v/>
      </c>
      <c r="BQ57" s="166" t="str">
        <f t="shared" si="142"/>
        <v/>
      </c>
      <c r="BR57" s="166" t="str">
        <f t="shared" si="142"/>
        <v/>
      </c>
      <c r="BS57" s="166">
        <f t="shared" si="142"/>
        <v>0.32293283088642216</v>
      </c>
      <c r="BU57" s="107" t="s">
        <v>576</v>
      </c>
      <c r="BV57" s="166" t="str">
        <f>IF(AP$68+AQ$68&gt;0,SUM(AP57:AQ58)/(AP$68+AQ$68),"")</f>
        <v/>
      </c>
      <c r="BW57" s="166"/>
      <c r="BX57" s="166">
        <f>IF(AR$68+AS$68&gt;0,SUM(AR57:AS58)/(AR$68+AS$68),"")</f>
        <v>0.52627925213940752</v>
      </c>
      <c r="BY57" s="166"/>
      <c r="BZ57" s="166">
        <f>IF(AT$68+AU$68&gt;0,SUM(AT57:AU58)/(AT$68+AU$68),"")</f>
        <v>0.17791150365345226</v>
      </c>
      <c r="CA57" s="166"/>
      <c r="CB57" s="166">
        <f t="shared" ref="CB57:CI57" si="143">IF(AV$68&gt;0,(AV57+AV58)/AV$68,"")</f>
        <v>0</v>
      </c>
      <c r="CC57" s="166">
        <f t="shared" si="143"/>
        <v>0</v>
      </c>
      <c r="CD57" s="166">
        <f t="shared" si="143"/>
        <v>1.9183168316831683E-2</v>
      </c>
      <c r="CE57" s="166" t="str">
        <f t="shared" si="143"/>
        <v/>
      </c>
      <c r="CF57" s="166" t="str">
        <f t="shared" si="143"/>
        <v/>
      </c>
      <c r="CG57" s="166" t="str">
        <f t="shared" si="143"/>
        <v/>
      </c>
      <c r="CH57" s="166" t="str">
        <f t="shared" si="143"/>
        <v/>
      </c>
      <c r="CI57" s="166">
        <f t="shared" si="143"/>
        <v>0.28143943054343074</v>
      </c>
      <c r="CK57" s="107" t="s">
        <v>388</v>
      </c>
      <c r="CL57" s="166" t="str">
        <f t="shared" si="135"/>
        <v/>
      </c>
      <c r="CM57" s="166" t="str">
        <f t="shared" si="135"/>
        <v/>
      </c>
      <c r="CN57" s="166">
        <f t="shared" si="135"/>
        <v>2.5148958132738849E-3</v>
      </c>
      <c r="CO57" s="166" t="str">
        <f t="shared" si="135"/>
        <v/>
      </c>
      <c r="CP57" s="166"/>
      <c r="CQ57" s="166"/>
      <c r="CR57" s="166"/>
      <c r="CS57" s="166"/>
      <c r="CT57" s="166">
        <f t="shared" si="136"/>
        <v>1.1929216977969936</v>
      </c>
      <c r="CU57" s="166" t="str">
        <f t="shared" si="136"/>
        <v/>
      </c>
      <c r="CV57" s="166" t="str">
        <f t="shared" si="136"/>
        <v/>
      </c>
      <c r="CW57" s="166" t="str">
        <f t="shared" si="136"/>
        <v/>
      </c>
      <c r="CX57" s="166" t="str">
        <f t="shared" si="136"/>
        <v/>
      </c>
      <c r="CY57" s="168">
        <f t="shared" si="136"/>
        <v>-0.1284892596057691</v>
      </c>
      <c r="DA57" s="107" t="s">
        <v>576</v>
      </c>
      <c r="DB57" s="315"/>
      <c r="DC57" s="315"/>
      <c r="DD57" s="314">
        <f>IFERROR(IF(BX57&gt;0,LN(BH57/BX57),0),0)</f>
        <v>-2.5117387548057018E-3</v>
      </c>
      <c r="DE57" s="314"/>
      <c r="DF57" s="314">
        <f>IFERROR(IF(BZ57&gt;0,LN(BJ57/BZ57),0),0)</f>
        <v>0.36101885952443757</v>
      </c>
      <c r="DG57" s="314"/>
      <c r="DH57" s="315"/>
      <c r="DI57" s="315"/>
      <c r="DJ57" s="314">
        <f>IFERROR(IF(CD57&gt;0,LN(BN57/CD57),0),0)</f>
        <v>-0.78523476327936725</v>
      </c>
      <c r="DK57" s="315"/>
      <c r="DL57" s="315"/>
      <c r="DM57" s="314">
        <f>IFERROR(IF(CG57&gt;0,LN(BQ57/CG57),0),0)</f>
        <v>0</v>
      </c>
      <c r="DN57" s="315"/>
      <c r="DO57" s="168"/>
      <c r="DQ57" s="107" t="s">
        <v>576</v>
      </c>
      <c r="DR57" s="315"/>
      <c r="DS57" s="315"/>
      <c r="DT57" s="314">
        <v>-1.908205968513446</v>
      </c>
      <c r="DU57" s="314">
        <v>-1.908205968513446</v>
      </c>
      <c r="DV57" s="314">
        <v>3.4633684310227406</v>
      </c>
      <c r="DW57" s="314">
        <v>3.4633684310227406</v>
      </c>
      <c r="DX57" s="315"/>
      <c r="DY57" s="315"/>
      <c r="DZ57" s="314">
        <v>-4.9065537005520623</v>
      </c>
      <c r="EA57" s="315"/>
      <c r="EB57" s="315"/>
      <c r="EC57" s="314">
        <v>0</v>
      </c>
      <c r="ED57" s="315"/>
      <c r="EE57" s="168"/>
      <c r="EG57" s="107" t="s">
        <v>576</v>
      </c>
      <c r="EH57" s="315"/>
      <c r="EI57" s="315"/>
      <c r="EJ57" s="314">
        <f>DT57+(DD57-DD$55)*$EI$1</f>
        <v>-1.9502265754206471</v>
      </c>
      <c r="EK57" s="314">
        <f>DT57+(DD57-DD$55)*$EI$1</f>
        <v>-1.9502265754206471</v>
      </c>
      <c r="EL57" s="314">
        <f>DV57+(DF57-DF$55)*$EI$1</f>
        <v>4.4336789661187757</v>
      </c>
      <c r="EM57" s="314">
        <f>DV57+(DF57-DF$55)*$EI$1</f>
        <v>4.4336789661187757</v>
      </c>
      <c r="EN57" s="315"/>
      <c r="EO57" s="315"/>
      <c r="EP57" s="314">
        <f>DZ57+(DJ57-DJ$63)*$EI$1</f>
        <v>-5.6917884638314291</v>
      </c>
      <c r="EQ57" s="315"/>
      <c r="ER57" s="315"/>
      <c r="ES57" s="314">
        <f>EC57+(DM57-DM$66)*$EI$14</f>
        <v>0</v>
      </c>
      <c r="ET57" s="315"/>
      <c r="EU57" s="168"/>
      <c r="EW57" s="164" t="s">
        <v>388</v>
      </c>
      <c r="EX57" s="316">
        <f t="shared" si="141"/>
        <v>0</v>
      </c>
      <c r="EY57" s="316">
        <f t="shared" si="137"/>
        <v>0</v>
      </c>
      <c r="EZ57" s="316">
        <f t="shared" si="137"/>
        <v>-1.9502265754206471</v>
      </c>
      <c r="FA57" s="316">
        <f t="shared" si="137"/>
        <v>-1.9502265754206471</v>
      </c>
      <c r="FB57" s="316">
        <f t="shared" si="137"/>
        <v>0</v>
      </c>
      <c r="FC57" s="316">
        <f t="shared" si="137"/>
        <v>0</v>
      </c>
      <c r="FD57" s="316">
        <f t="shared" si="137"/>
        <v>-2.8893304299548026</v>
      </c>
      <c r="FE57" s="316">
        <f t="shared" si="137"/>
        <v>0</v>
      </c>
      <c r="FF57" s="316"/>
      <c r="FG57" s="316">
        <f t="shared" si="137"/>
        <v>0</v>
      </c>
      <c r="FH57" s="316">
        <f t="shared" si="137"/>
        <v>0</v>
      </c>
      <c r="FI57" s="316">
        <f t="shared" si="137"/>
        <v>0</v>
      </c>
      <c r="FJ57" s="316">
        <f t="shared" si="137"/>
        <v>0</v>
      </c>
      <c r="FK57" s="316">
        <f t="shared" si="137"/>
        <v>0</v>
      </c>
      <c r="FL57" s="168"/>
    </row>
    <row r="58" spans="2:168" x14ac:dyDescent="0.25">
      <c r="B58" s="107" t="s">
        <v>389</v>
      </c>
      <c r="C58" s="294"/>
      <c r="D58" s="294"/>
      <c r="E58" s="160">
        <f>TripMode_input!D151</f>
        <v>0</v>
      </c>
      <c r="F58" s="160">
        <f>TripMode_input!E151</f>
        <v>354.21521999999999</v>
      </c>
      <c r="G58" s="160">
        <f>TripMode_input!F151</f>
        <v>0</v>
      </c>
      <c r="H58" s="160">
        <f>TripMode_input!G151</f>
        <v>3072.40967</v>
      </c>
      <c r="I58" s="294"/>
      <c r="J58" s="294"/>
      <c r="K58" s="160">
        <f>TripMode_input!J151+TripMode_input!K151</f>
        <v>0</v>
      </c>
      <c r="L58" s="294"/>
      <c r="M58" s="294"/>
      <c r="N58" s="160">
        <f>TripMode_input!N151</f>
        <v>0</v>
      </c>
      <c r="O58" s="294"/>
      <c r="P58" s="162">
        <f t="shared" si="127"/>
        <v>3426.6248900000001</v>
      </c>
      <c r="R58">
        <f t="shared" si="138"/>
        <v>0</v>
      </c>
      <c r="S58">
        <f t="shared" si="139"/>
        <v>0</v>
      </c>
      <c r="T58">
        <f t="shared" si="140"/>
        <v>0</v>
      </c>
      <c r="Y58" s="107" t="s">
        <v>389</v>
      </c>
      <c r="Z58" s="294"/>
      <c r="AA58" s="294"/>
      <c r="AB58" s="160">
        <f>+E58</f>
        <v>0</v>
      </c>
      <c r="AC58" s="160">
        <f>+F58</f>
        <v>354.21521999999999</v>
      </c>
      <c r="AD58" s="160">
        <f t="shared" si="129"/>
        <v>0</v>
      </c>
      <c r="AE58" s="160">
        <f t="shared" si="130"/>
        <v>3072.40967</v>
      </c>
      <c r="AF58" s="294"/>
      <c r="AG58" s="294"/>
      <c r="AH58" s="160">
        <f>AH63*R58</f>
        <v>0</v>
      </c>
      <c r="AI58" s="294"/>
      <c r="AJ58" s="294"/>
      <c r="AK58" s="160">
        <f>+N58</f>
        <v>0</v>
      </c>
      <c r="AL58" s="294"/>
      <c r="AM58" s="162">
        <f t="shared" si="131"/>
        <v>3426.6248900000001</v>
      </c>
      <c r="AO58" s="107" t="s">
        <v>389</v>
      </c>
      <c r="AP58" s="294">
        <f>TripMode_input!R151</f>
        <v>0</v>
      </c>
      <c r="AQ58" s="294">
        <f>TripMode_input!S151</f>
        <v>0</v>
      </c>
      <c r="AR58" s="160">
        <f>TripMode_input!T151</f>
        <v>1450</v>
      </c>
      <c r="AS58" s="160">
        <f>TripMode_input!U151</f>
        <v>549</v>
      </c>
      <c r="AT58" s="160">
        <f>TripMode_input!V151</f>
        <v>612</v>
      </c>
      <c r="AU58" s="160">
        <f>TripMode_input!W151</f>
        <v>225</v>
      </c>
      <c r="AV58" s="294">
        <f>TripMode_input!X151</f>
        <v>0</v>
      </c>
      <c r="AW58" s="294">
        <f>TripMode_input!Y151</f>
        <v>0</v>
      </c>
      <c r="AX58" s="160">
        <f>TripMode_input!Z151+TripMode_input!AA151</f>
        <v>0</v>
      </c>
      <c r="AY58" s="160">
        <f>TripMode_input!AB151</f>
        <v>0</v>
      </c>
      <c r="AZ58" s="160">
        <f>TripMode_input!AC151</f>
        <v>0</v>
      </c>
      <c r="BA58" s="160">
        <f>TripMode_input!AD151</f>
        <v>0</v>
      </c>
      <c r="BB58" s="294">
        <f>TripMode_input!AE151</f>
        <v>0</v>
      </c>
      <c r="BC58" s="162">
        <f t="shared" si="132"/>
        <v>2836</v>
      </c>
      <c r="BE58" s="107"/>
      <c r="BF58" s="166"/>
      <c r="BG58" s="166"/>
      <c r="BH58" s="166"/>
      <c r="BI58" s="166"/>
      <c r="BJ58" s="166"/>
      <c r="BK58" s="166"/>
      <c r="BL58" s="166"/>
      <c r="BM58" s="166"/>
      <c r="BN58" s="166"/>
      <c r="BO58" s="166"/>
      <c r="BP58" s="166"/>
      <c r="BQ58" s="166"/>
      <c r="BR58" s="166"/>
      <c r="BS58" s="166"/>
      <c r="BU58" s="107"/>
      <c r="BV58" s="166"/>
      <c r="BW58" s="166"/>
      <c r="BX58" s="166"/>
      <c r="BY58" s="166"/>
      <c r="BZ58" s="166"/>
      <c r="CA58" s="166"/>
      <c r="CB58" s="166"/>
      <c r="CC58" s="166"/>
      <c r="CD58" s="166"/>
      <c r="CE58" s="166"/>
      <c r="CF58" s="166"/>
      <c r="CG58" s="166"/>
      <c r="CH58" s="166"/>
      <c r="CI58" s="166"/>
      <c r="CK58" s="107" t="s">
        <v>389</v>
      </c>
      <c r="CL58" s="166" t="str">
        <f t="shared" si="135"/>
        <v/>
      </c>
      <c r="CM58" s="166" t="str">
        <f t="shared" si="135"/>
        <v/>
      </c>
      <c r="CN58" s="166" t="str">
        <f t="shared" si="135"/>
        <v/>
      </c>
      <c r="CO58" s="166" t="str">
        <f t="shared" si="135"/>
        <v/>
      </c>
      <c r="CP58" s="166"/>
      <c r="CQ58" s="166"/>
      <c r="CR58" s="166"/>
      <c r="CS58" s="166"/>
      <c r="CT58" s="166" t="str">
        <f t="shared" si="136"/>
        <v/>
      </c>
      <c r="CU58" s="166" t="str">
        <f t="shared" si="136"/>
        <v/>
      </c>
      <c r="CV58" s="166" t="str">
        <f t="shared" si="136"/>
        <v/>
      </c>
      <c r="CW58" s="166" t="str">
        <f t="shared" si="136"/>
        <v/>
      </c>
      <c r="CX58" s="166" t="str">
        <f t="shared" si="136"/>
        <v/>
      </c>
      <c r="CY58" s="168" t="str">
        <f t="shared" si="136"/>
        <v/>
      </c>
      <c r="DA58" s="107"/>
      <c r="DB58" s="315"/>
      <c r="DC58" s="315"/>
      <c r="DD58" s="314"/>
      <c r="DE58" s="314"/>
      <c r="DF58" s="314"/>
      <c r="DG58" s="314"/>
      <c r="DH58" s="315"/>
      <c r="DI58" s="315"/>
      <c r="DJ58" s="314"/>
      <c r="DK58" s="315"/>
      <c r="DL58" s="315"/>
      <c r="DM58" s="314"/>
      <c r="DN58" s="315"/>
      <c r="DO58" s="168"/>
      <c r="DQ58" s="107"/>
      <c r="DR58" s="315"/>
      <c r="DS58" s="315"/>
      <c r="DT58" s="314">
        <v>-1.908205968513446</v>
      </c>
      <c r="DU58" s="314">
        <v>-1.908205968513446</v>
      </c>
      <c r="DV58" s="314">
        <v>3.4633684310227406</v>
      </c>
      <c r="DW58" s="314">
        <v>3.4633684310227406</v>
      </c>
      <c r="DX58" s="315"/>
      <c r="DY58" s="315"/>
      <c r="DZ58" s="314">
        <v>-4.9065537005520623</v>
      </c>
      <c r="EA58" s="315"/>
      <c r="EB58" s="315"/>
      <c r="EC58" s="314">
        <v>0</v>
      </c>
      <c r="ED58" s="315"/>
      <c r="EE58" s="168"/>
      <c r="EG58" s="107"/>
      <c r="EH58" s="315"/>
      <c r="EI58" s="315"/>
      <c r="EJ58" s="314">
        <f>DT57+(DD57-DD$55)*$EI$1</f>
        <v>-1.9502265754206471</v>
      </c>
      <c r="EK58" s="314">
        <f>DT57+(DD57-DD$55)*$EI$1</f>
        <v>-1.9502265754206471</v>
      </c>
      <c r="EL58" s="314">
        <f>DV57+(DF57-DF$55)*$EI$1</f>
        <v>4.4336789661187757</v>
      </c>
      <c r="EM58" s="314">
        <f>DV57+(DF57-DF$55)*$EI$1</f>
        <v>4.4336789661187757</v>
      </c>
      <c r="EN58" s="315"/>
      <c r="EO58" s="315"/>
      <c r="EP58" s="314">
        <f>DZ57+(DJ57-DJ$63)*$EI$1</f>
        <v>-5.6917884638314291</v>
      </c>
      <c r="EQ58" s="315"/>
      <c r="ER58" s="315"/>
      <c r="ES58" s="314">
        <f>EC57+(DM57-DM$66)*$EI$14</f>
        <v>0</v>
      </c>
      <c r="ET58" s="315"/>
      <c r="EU58" s="168"/>
      <c r="EW58" s="164" t="s">
        <v>389</v>
      </c>
      <c r="EX58" s="316">
        <f t="shared" si="141"/>
        <v>0</v>
      </c>
      <c r="EY58" s="316">
        <f t="shared" si="137"/>
        <v>0</v>
      </c>
      <c r="EZ58" s="316">
        <f t="shared" si="137"/>
        <v>-1.9502265754206471</v>
      </c>
      <c r="FA58" s="316">
        <f t="shared" si="137"/>
        <v>-1.9502265754206471</v>
      </c>
      <c r="FB58" s="316">
        <f t="shared" si="137"/>
        <v>0</v>
      </c>
      <c r="FC58" s="316">
        <f t="shared" si="137"/>
        <v>0</v>
      </c>
      <c r="FD58" s="316">
        <f t="shared" si="137"/>
        <v>-2.8893304299548026</v>
      </c>
      <c r="FE58" s="316">
        <f t="shared" si="137"/>
        <v>0</v>
      </c>
      <c r="FF58" s="316"/>
      <c r="FG58" s="316">
        <f t="shared" si="137"/>
        <v>0</v>
      </c>
      <c r="FH58" s="316">
        <f t="shared" si="137"/>
        <v>0</v>
      </c>
      <c r="FI58" s="316">
        <f t="shared" si="137"/>
        <v>0</v>
      </c>
      <c r="FJ58" s="316">
        <f t="shared" si="137"/>
        <v>0</v>
      </c>
      <c r="FK58" s="316">
        <f t="shared" si="137"/>
        <v>0</v>
      </c>
      <c r="FL58" s="168"/>
    </row>
    <row r="59" spans="2:168" x14ac:dyDescent="0.25">
      <c r="B59" s="107" t="s">
        <v>390</v>
      </c>
      <c r="C59" s="294"/>
      <c r="D59" s="294"/>
      <c r="E59" s="294"/>
      <c r="F59" s="294"/>
      <c r="G59" s="160">
        <f>TripMode_input!F152</f>
        <v>831291.12346999999</v>
      </c>
      <c r="H59" s="160">
        <f>TripMode_input!G152</f>
        <v>882.61325999999997</v>
      </c>
      <c r="I59" s="294"/>
      <c r="J59" s="294"/>
      <c r="K59" s="160">
        <f>TripMode_input!J152+TripMode_input!K152</f>
        <v>942.79116999999997</v>
      </c>
      <c r="L59" s="294"/>
      <c r="M59" s="294"/>
      <c r="N59" s="160">
        <f>TripMode_input!N152</f>
        <v>0</v>
      </c>
      <c r="O59" s="294"/>
      <c r="P59" s="162">
        <f t="shared" si="127"/>
        <v>833116.52789999999</v>
      </c>
      <c r="R59">
        <f t="shared" si="138"/>
        <v>7.4159850675020525E-2</v>
      </c>
      <c r="S59">
        <f t="shared" si="139"/>
        <v>0</v>
      </c>
      <c r="T59">
        <f t="shared" si="140"/>
        <v>0</v>
      </c>
      <c r="Y59" s="107" t="s">
        <v>390</v>
      </c>
      <c r="Z59" s="294"/>
      <c r="AA59" s="294"/>
      <c r="AB59" s="294"/>
      <c r="AC59" s="294"/>
      <c r="AD59" s="160">
        <f t="shared" si="129"/>
        <v>831291.12346999999</v>
      </c>
      <c r="AE59" s="160">
        <f t="shared" si="130"/>
        <v>882.61325999999997</v>
      </c>
      <c r="AF59" s="294"/>
      <c r="AG59" s="294"/>
      <c r="AH59" s="160">
        <f>AH63*R59</f>
        <v>995.1681931022398</v>
      </c>
      <c r="AI59" s="294"/>
      <c r="AJ59" s="294"/>
      <c r="AK59" s="160">
        <f>+N59</f>
        <v>0</v>
      </c>
      <c r="AL59" s="294"/>
      <c r="AM59" s="162">
        <f t="shared" si="131"/>
        <v>833168.90492310224</v>
      </c>
      <c r="AO59" s="107" t="s">
        <v>390</v>
      </c>
      <c r="AP59" s="294">
        <f>TripMode_input!R152</f>
        <v>0</v>
      </c>
      <c r="AQ59" s="294">
        <f>TripMode_input!S152</f>
        <v>0</v>
      </c>
      <c r="AR59" s="294">
        <f>TripMode_input!T152</f>
        <v>0</v>
      </c>
      <c r="AS59" s="294">
        <f>TripMode_input!U152</f>
        <v>0</v>
      </c>
      <c r="AT59" s="160">
        <f>TripMode_input!V152</f>
        <v>150965</v>
      </c>
      <c r="AU59" s="160">
        <f>TripMode_input!W152</f>
        <v>3317</v>
      </c>
      <c r="AV59" s="294">
        <f>TripMode_input!X152</f>
        <v>0</v>
      </c>
      <c r="AW59" s="294">
        <f>TripMode_input!Y152</f>
        <v>0</v>
      </c>
      <c r="AX59" s="160">
        <f>TripMode_input!Z152+TripMode_input!AA152</f>
        <v>16</v>
      </c>
      <c r="AY59" s="160">
        <f>TripMode_input!AB152</f>
        <v>0</v>
      </c>
      <c r="AZ59" s="160">
        <f>TripMode_input!AC152</f>
        <v>0</v>
      </c>
      <c r="BA59" s="160">
        <f>TripMode_input!AD152</f>
        <v>0</v>
      </c>
      <c r="BB59" s="294">
        <f>TripMode_input!AE152</f>
        <v>0</v>
      </c>
      <c r="BC59" s="162">
        <f t="shared" si="132"/>
        <v>154298</v>
      </c>
      <c r="BE59" s="107" t="s">
        <v>577</v>
      </c>
      <c r="BF59" s="166" t="str">
        <f>IF(Z$68+AA$68&gt;0,SUM(Z59:AA60)/(Z$68+AA$68),"")</f>
        <v/>
      </c>
      <c r="BG59" s="166"/>
      <c r="BH59" s="166">
        <f>IF(AB$68+AC$68&gt;0,SUM(AB59:AC60)/(AB$68+AC$68),"")</f>
        <v>0</v>
      </c>
      <c r="BI59" s="166"/>
      <c r="BJ59" s="166">
        <f>IF(AD$68+AE$68&gt;0,SUM(AD59:AE60)/(AD$68+AE$68),"")</f>
        <v>0.60677694141404381</v>
      </c>
      <c r="BK59" s="166"/>
      <c r="BL59" s="166">
        <f t="shared" ref="BL59:BS59" si="144">IF(AF$68&gt;0,(AF59+AF60)/AF$68,"")</f>
        <v>0</v>
      </c>
      <c r="BM59" s="166">
        <f t="shared" si="144"/>
        <v>0</v>
      </c>
      <c r="BN59" s="166">
        <f t="shared" si="144"/>
        <v>5.6350148638954836E-2</v>
      </c>
      <c r="BO59" s="166" t="str">
        <f t="shared" si="144"/>
        <v/>
      </c>
      <c r="BP59" s="166" t="str">
        <f t="shared" si="144"/>
        <v/>
      </c>
      <c r="BQ59" s="166" t="str">
        <f t="shared" si="144"/>
        <v/>
      </c>
      <c r="BR59" s="166" t="str">
        <f t="shared" si="144"/>
        <v/>
      </c>
      <c r="BS59" s="166">
        <f t="shared" si="144"/>
        <v>0.32211980043062172</v>
      </c>
      <c r="BU59" s="107" t="s">
        <v>577</v>
      </c>
      <c r="BV59" s="166" t="str">
        <f>IF(AP$68+AQ$68&gt;0,SUM(AP59:AQ60)/(AP$68+AQ$68),"")</f>
        <v/>
      </c>
      <c r="BW59" s="166"/>
      <c r="BX59" s="166">
        <f>IF(AR$68+AS$68&gt;0,SUM(AR59:AS60)/(AR$68+AS$68),"")</f>
        <v>0</v>
      </c>
      <c r="BY59" s="166"/>
      <c r="BZ59" s="166">
        <f>IF(AT$68+AU$68&gt;0,SUM(AT59:AU60)/(AT$68+AU$68),"")</f>
        <v>0.56958991269483872</v>
      </c>
      <c r="CA59" s="166"/>
      <c r="CB59" s="166">
        <f t="shared" ref="CB59:CI59" si="145">IF(AV$68&gt;0,(AV59+AV60)/AV$68,"")</f>
        <v>0</v>
      </c>
      <c r="CC59" s="166">
        <f t="shared" si="145"/>
        <v>0</v>
      </c>
      <c r="CD59" s="166">
        <f t="shared" si="145"/>
        <v>9.9009900990099011E-3</v>
      </c>
      <c r="CE59" s="166" t="str">
        <f t="shared" si="145"/>
        <v/>
      </c>
      <c r="CF59" s="166" t="str">
        <f t="shared" si="145"/>
        <v/>
      </c>
      <c r="CG59" s="166" t="str">
        <f t="shared" si="145"/>
        <v/>
      </c>
      <c r="CH59" s="166" t="str">
        <f t="shared" si="145"/>
        <v/>
      </c>
      <c r="CI59" s="166">
        <f t="shared" si="145"/>
        <v>0.25691060639066282</v>
      </c>
      <c r="CK59" s="107" t="s">
        <v>390</v>
      </c>
      <c r="CL59" s="166"/>
      <c r="CM59" s="166"/>
      <c r="CN59" s="166"/>
      <c r="CO59" s="166"/>
      <c r="CP59" s="166"/>
      <c r="CQ59" s="166"/>
      <c r="CR59" s="166"/>
      <c r="CS59" s="166"/>
      <c r="CT59" s="166"/>
      <c r="CU59" s="166"/>
      <c r="CV59" s="166"/>
      <c r="CW59" s="166"/>
      <c r="CX59" s="166"/>
      <c r="CY59" s="168"/>
      <c r="DA59" s="107" t="s">
        <v>577</v>
      </c>
      <c r="DB59" s="315"/>
      <c r="DC59" s="315"/>
      <c r="DD59" s="315"/>
      <c r="DE59" s="315"/>
      <c r="DF59" s="314">
        <f>IFERROR(IF(BZ59&gt;0,LN(BJ59/BZ59),0),0)</f>
        <v>6.3244595959227531E-2</v>
      </c>
      <c r="DG59" s="314"/>
      <c r="DH59" s="315"/>
      <c r="DI59" s="315"/>
      <c r="DJ59" s="314">
        <f>IFERROR(IF(CD59&gt;0,LN(BN59/CD59),0),0)</f>
        <v>1.7389501161223486</v>
      </c>
      <c r="DK59" s="315"/>
      <c r="DL59" s="315"/>
      <c r="DM59" s="314">
        <f>IFERROR(IF(CG59&gt;0,LN(BQ59/CG59),0),0)</f>
        <v>0</v>
      </c>
      <c r="DN59" s="315"/>
      <c r="DO59" s="168"/>
      <c r="DQ59" s="107" t="s">
        <v>577</v>
      </c>
      <c r="DR59" s="315"/>
      <c r="DS59" s="315"/>
      <c r="DT59" s="315"/>
      <c r="DU59" s="315"/>
      <c r="DV59" s="314">
        <v>1.2616990591840596</v>
      </c>
      <c r="DW59" s="314">
        <v>1.2616990591840596</v>
      </c>
      <c r="DX59" s="315"/>
      <c r="DY59" s="315"/>
      <c r="DZ59" s="314">
        <v>7.191434770462001</v>
      </c>
      <c r="EA59" s="315"/>
      <c r="EB59" s="315"/>
      <c r="EC59" s="314">
        <v>0</v>
      </c>
      <c r="ED59" s="315"/>
      <c r="EE59" s="168"/>
      <c r="EG59" s="107" t="s">
        <v>577</v>
      </c>
      <c r="EH59" s="315"/>
      <c r="EI59" s="315"/>
      <c r="EJ59" s="315"/>
      <c r="EK59" s="315"/>
      <c r="EL59" s="314">
        <f>DV59+(DF59-DF$55)*$EI$1</f>
        <v>1.934235330714885</v>
      </c>
      <c r="EM59" s="314">
        <f>DV59+(DF59-DF$55)*$EI$1</f>
        <v>1.934235330714885</v>
      </c>
      <c r="EN59" s="315"/>
      <c r="EO59" s="315"/>
      <c r="EP59" s="314">
        <f>DZ59+(DJ59-DJ$63)*$EI$1</f>
        <v>8.9303848865843491</v>
      </c>
      <c r="EQ59" s="315"/>
      <c r="ER59" s="315"/>
      <c r="ES59" s="314">
        <f>EC59+(DM59-DM$66)*$EI$14</f>
        <v>0</v>
      </c>
      <c r="ET59" s="315"/>
      <c r="EU59" s="168"/>
      <c r="EW59" s="164" t="s">
        <v>390</v>
      </c>
      <c r="EX59" s="316">
        <f t="shared" si="141"/>
        <v>0</v>
      </c>
      <c r="EY59" s="316">
        <f t="shared" si="137"/>
        <v>0</v>
      </c>
      <c r="EZ59" s="316">
        <f t="shared" si="137"/>
        <v>4.4336789661187757</v>
      </c>
      <c r="FA59" s="316">
        <f t="shared" si="137"/>
        <v>4.4336789661187757</v>
      </c>
      <c r="FB59" s="316">
        <f t="shared" si="137"/>
        <v>1.934235330714885</v>
      </c>
      <c r="FC59" s="316">
        <f t="shared" si="137"/>
        <v>1.934235330714885</v>
      </c>
      <c r="FD59" s="316">
        <f t="shared" si="137"/>
        <v>11.900911681396947</v>
      </c>
      <c r="FE59" s="316">
        <f t="shared" si="137"/>
        <v>0</v>
      </c>
      <c r="FF59" s="316"/>
      <c r="FG59" s="316">
        <f t="shared" si="137"/>
        <v>0</v>
      </c>
      <c r="FH59" s="316">
        <f t="shared" si="137"/>
        <v>0</v>
      </c>
      <c r="FI59" s="316">
        <f t="shared" si="137"/>
        <v>0</v>
      </c>
      <c r="FJ59" s="316">
        <f t="shared" si="137"/>
        <v>0</v>
      </c>
      <c r="FK59" s="316">
        <f t="shared" si="137"/>
        <v>0</v>
      </c>
      <c r="FL59" s="168"/>
    </row>
    <row r="60" spans="2:168" x14ac:dyDescent="0.25">
      <c r="B60" s="107" t="s">
        <v>391</v>
      </c>
      <c r="C60" s="294"/>
      <c r="D60" s="294"/>
      <c r="E60" s="294"/>
      <c r="F60" s="294"/>
      <c r="G60" s="160">
        <f>TripMode_input!F153</f>
        <v>0</v>
      </c>
      <c r="H60" s="160">
        <f>TripMode_input!G153</f>
        <v>5231.0796899999996</v>
      </c>
      <c r="I60" s="294"/>
      <c r="J60" s="294"/>
      <c r="K60" s="160">
        <f>TripMode_input!J153+TripMode_input!K153</f>
        <v>0</v>
      </c>
      <c r="L60" s="294"/>
      <c r="M60" s="294"/>
      <c r="N60" s="160">
        <f>TripMode_input!N153</f>
        <v>0</v>
      </c>
      <c r="O60" s="294"/>
      <c r="P60" s="162">
        <f t="shared" si="127"/>
        <v>5231.0796899999996</v>
      </c>
      <c r="R60">
        <f t="shared" si="138"/>
        <v>0</v>
      </c>
      <c r="S60">
        <f t="shared" si="139"/>
        <v>0</v>
      </c>
      <c r="T60">
        <f t="shared" si="140"/>
        <v>0</v>
      </c>
      <c r="Y60" s="107" t="s">
        <v>391</v>
      </c>
      <c r="Z60" s="294"/>
      <c r="AA60" s="294"/>
      <c r="AB60" s="294"/>
      <c r="AC60" s="294"/>
      <c r="AD60" s="160">
        <f t="shared" si="129"/>
        <v>0</v>
      </c>
      <c r="AE60" s="160">
        <f t="shared" si="130"/>
        <v>5231.0796899999996</v>
      </c>
      <c r="AF60" s="294"/>
      <c r="AG60" s="294"/>
      <c r="AH60" s="160">
        <f>AH63*R60</f>
        <v>0</v>
      </c>
      <c r="AI60" s="294"/>
      <c r="AJ60" s="294"/>
      <c r="AK60" s="160">
        <f>+N60</f>
        <v>0</v>
      </c>
      <c r="AL60" s="294"/>
      <c r="AM60" s="162">
        <f t="shared" si="131"/>
        <v>5231.0796899999996</v>
      </c>
      <c r="AO60" s="107" t="s">
        <v>391</v>
      </c>
      <c r="AP60" s="294">
        <f>TripMode_input!R153</f>
        <v>0</v>
      </c>
      <c r="AQ60" s="294">
        <f>TripMode_input!S153</f>
        <v>0</v>
      </c>
      <c r="AR60" s="294">
        <f>TripMode_input!T153</f>
        <v>0</v>
      </c>
      <c r="AS60" s="294">
        <f>TripMode_input!U153</f>
        <v>0</v>
      </c>
      <c r="AT60" s="160">
        <f>TripMode_input!V153</f>
        <v>1866</v>
      </c>
      <c r="AU60" s="160">
        <f>TripMode_input!W153</f>
        <v>692</v>
      </c>
      <c r="AV60" s="294">
        <f>TripMode_input!X153</f>
        <v>0</v>
      </c>
      <c r="AW60" s="294">
        <f>TripMode_input!Y153</f>
        <v>0</v>
      </c>
      <c r="AX60" s="160">
        <f>TripMode_input!Z153+TripMode_input!AA153</f>
        <v>0</v>
      </c>
      <c r="AY60" s="160">
        <f>TripMode_input!AB153</f>
        <v>0</v>
      </c>
      <c r="AZ60" s="160">
        <f>TripMode_input!AC153</f>
        <v>0</v>
      </c>
      <c r="BA60" s="160">
        <f>TripMode_input!AD153</f>
        <v>0</v>
      </c>
      <c r="BB60" s="294">
        <f>TripMode_input!AE153</f>
        <v>0</v>
      </c>
      <c r="BC60" s="162">
        <f t="shared" si="132"/>
        <v>2558</v>
      </c>
      <c r="BE60" s="107"/>
      <c r="BF60" s="166"/>
      <c r="BG60" s="166"/>
      <c r="BH60" s="166"/>
      <c r="BI60" s="166"/>
      <c r="BJ60" s="166"/>
      <c r="BK60" s="166"/>
      <c r="BL60" s="166"/>
      <c r="BM60" s="166"/>
      <c r="BN60" s="166"/>
      <c r="BO60" s="166"/>
      <c r="BP60" s="166"/>
      <c r="BQ60" s="166"/>
      <c r="BR60" s="166"/>
      <c r="BS60" s="166"/>
      <c r="BU60" s="107"/>
      <c r="BV60" s="166"/>
      <c r="BW60" s="166"/>
      <c r="BX60" s="166"/>
      <c r="BY60" s="166"/>
      <c r="BZ60" s="166"/>
      <c r="CA60" s="166"/>
      <c r="CB60" s="166"/>
      <c r="CC60" s="166"/>
      <c r="CD60" s="166"/>
      <c r="CE60" s="166"/>
      <c r="CF60" s="166"/>
      <c r="CG60" s="166"/>
      <c r="CH60" s="166"/>
      <c r="CI60" s="166"/>
      <c r="CK60" s="107" t="s">
        <v>391</v>
      </c>
      <c r="CL60" s="166"/>
      <c r="CM60" s="166"/>
      <c r="CN60" s="166"/>
      <c r="CO60" s="166"/>
      <c r="CP60" s="166"/>
      <c r="CQ60" s="166"/>
      <c r="CR60" s="166"/>
      <c r="CS60" s="166"/>
      <c r="CT60" s="166"/>
      <c r="CU60" s="166"/>
      <c r="CV60" s="166"/>
      <c r="CW60" s="166"/>
      <c r="CX60" s="166"/>
      <c r="CY60" s="168"/>
      <c r="DA60" s="107"/>
      <c r="DB60" s="315"/>
      <c r="DC60" s="315"/>
      <c r="DD60" s="315"/>
      <c r="DE60" s="315"/>
      <c r="DF60" s="314"/>
      <c r="DG60" s="314"/>
      <c r="DH60" s="315"/>
      <c r="DI60" s="315"/>
      <c r="DJ60" s="314"/>
      <c r="DK60" s="315"/>
      <c r="DL60" s="315"/>
      <c r="DM60" s="314"/>
      <c r="DN60" s="315"/>
      <c r="DO60" s="168"/>
      <c r="DQ60" s="107"/>
      <c r="DR60" s="315"/>
      <c r="DS60" s="315"/>
      <c r="DT60" s="315"/>
      <c r="DU60" s="315"/>
      <c r="DV60" s="314">
        <v>1.2616990591840596</v>
      </c>
      <c r="DW60" s="314">
        <v>1.2616990591840596</v>
      </c>
      <c r="DX60" s="315"/>
      <c r="DY60" s="315"/>
      <c r="DZ60" s="314">
        <v>7.191434770462001</v>
      </c>
      <c r="EA60" s="315"/>
      <c r="EB60" s="315"/>
      <c r="EC60" s="314">
        <v>0</v>
      </c>
      <c r="ED60" s="315"/>
      <c r="EE60" s="168"/>
      <c r="EG60" s="107"/>
      <c r="EH60" s="315"/>
      <c r="EI60" s="315"/>
      <c r="EJ60" s="315"/>
      <c r="EK60" s="315"/>
      <c r="EL60" s="314">
        <f>DV59+(DF59-DF$55)*$EI$1</f>
        <v>1.934235330714885</v>
      </c>
      <c r="EM60" s="314">
        <f>DV59+(DF59-DF$55)*$EI$1</f>
        <v>1.934235330714885</v>
      </c>
      <c r="EN60" s="315"/>
      <c r="EO60" s="315"/>
      <c r="EP60" s="314">
        <f>DZ59+(DJ59-DJ$63)*$EI$1</f>
        <v>8.9303848865843491</v>
      </c>
      <c r="EQ60" s="315"/>
      <c r="ER60" s="315"/>
      <c r="ES60" s="314">
        <f>EC59+(DM59-DM$66)*$EI$14</f>
        <v>0</v>
      </c>
      <c r="ET60" s="315"/>
      <c r="EU60" s="168"/>
      <c r="EW60" s="164" t="s">
        <v>391</v>
      </c>
      <c r="EX60" s="316">
        <f t="shared" si="141"/>
        <v>0</v>
      </c>
      <c r="EY60" s="316">
        <f t="shared" si="137"/>
        <v>0</v>
      </c>
      <c r="EZ60" s="316">
        <f t="shared" si="137"/>
        <v>4.4336789661187757</v>
      </c>
      <c r="FA60" s="316">
        <f t="shared" si="137"/>
        <v>4.4336789661187757</v>
      </c>
      <c r="FB60" s="316">
        <f t="shared" si="137"/>
        <v>1.934235330714885</v>
      </c>
      <c r="FC60" s="316">
        <f t="shared" si="137"/>
        <v>1.934235330714885</v>
      </c>
      <c r="FD60" s="316">
        <f t="shared" si="137"/>
        <v>11.900911681396947</v>
      </c>
      <c r="FE60" s="316">
        <f t="shared" si="137"/>
        <v>0</v>
      </c>
      <c r="FF60" s="316"/>
      <c r="FG60" s="316">
        <f t="shared" si="137"/>
        <v>0</v>
      </c>
      <c r="FH60" s="316">
        <f t="shared" si="137"/>
        <v>0</v>
      </c>
      <c r="FI60" s="316">
        <f t="shared" si="137"/>
        <v>0</v>
      </c>
      <c r="FJ60" s="316">
        <f t="shared" si="137"/>
        <v>0</v>
      </c>
      <c r="FK60" s="316">
        <f t="shared" si="137"/>
        <v>0</v>
      </c>
      <c r="FL60" s="168"/>
    </row>
    <row r="61" spans="2:168" x14ac:dyDescent="0.25">
      <c r="B61" s="107" t="s">
        <v>392</v>
      </c>
      <c r="C61" s="294"/>
      <c r="D61" s="294"/>
      <c r="E61" s="160">
        <f>TripMode_input!D154</f>
        <v>2688.7374399999999</v>
      </c>
      <c r="F61" s="160">
        <f>TripMode_input!E154</f>
        <v>0</v>
      </c>
      <c r="G61" s="160">
        <f>TripMode_input!F154</f>
        <v>10185.892449999999</v>
      </c>
      <c r="H61" s="160">
        <f>TripMode_input!G154</f>
        <v>0</v>
      </c>
      <c r="I61" s="160">
        <f>TripMode_input!H154</f>
        <v>267033.64922999998</v>
      </c>
      <c r="J61" s="294"/>
      <c r="K61" s="160">
        <f>TripMode_input!J154+TripMode_input!K154</f>
        <v>2928.83484</v>
      </c>
      <c r="L61" s="294"/>
      <c r="M61" s="294"/>
      <c r="N61" s="160">
        <f>TripMode_input!N154</f>
        <v>0</v>
      </c>
      <c r="O61" s="294"/>
      <c r="P61" s="162">
        <f t="shared" si="127"/>
        <v>282837.11395999999</v>
      </c>
      <c r="R61">
        <f t="shared" si="138"/>
        <v>0.23038182929332868</v>
      </c>
      <c r="S61">
        <f t="shared" si="139"/>
        <v>0</v>
      </c>
      <c r="T61">
        <f t="shared" si="140"/>
        <v>0</v>
      </c>
      <c r="Y61" s="107" t="s">
        <v>392</v>
      </c>
      <c r="Z61" s="294"/>
      <c r="AA61" s="294"/>
      <c r="AB61" s="160">
        <f>+E61</f>
        <v>2688.7374399999999</v>
      </c>
      <c r="AC61" s="160">
        <f>+F61</f>
        <v>0</v>
      </c>
      <c r="AD61" s="160">
        <f t="shared" si="129"/>
        <v>10185.892449999999</v>
      </c>
      <c r="AE61" s="160">
        <f t="shared" si="130"/>
        <v>0</v>
      </c>
      <c r="AF61" s="160">
        <f>+I61</f>
        <v>267033.64922999998</v>
      </c>
      <c r="AG61" s="294"/>
      <c r="AH61" s="160">
        <f>AH63*R61</f>
        <v>3091.5470661627937</v>
      </c>
      <c r="AI61" s="294"/>
      <c r="AJ61" s="294"/>
      <c r="AK61" s="160">
        <f>+N61</f>
        <v>0</v>
      </c>
      <c r="AL61" s="294"/>
      <c r="AM61" s="162">
        <f t="shared" si="131"/>
        <v>282999.82618616277</v>
      </c>
      <c r="AO61" s="107" t="s">
        <v>392</v>
      </c>
      <c r="AP61" s="294">
        <f>TripMode_input!R154</f>
        <v>0</v>
      </c>
      <c r="AQ61" s="294">
        <f>TripMode_input!S154</f>
        <v>0</v>
      </c>
      <c r="AR61" s="160">
        <f>TripMode_input!T154</f>
        <v>4618</v>
      </c>
      <c r="AS61" s="160">
        <f>TripMode_input!U154</f>
        <v>17</v>
      </c>
      <c r="AT61" s="160">
        <f>TripMode_input!V154</f>
        <v>3390</v>
      </c>
      <c r="AU61" s="160">
        <f>TripMode_input!W154</f>
        <v>11</v>
      </c>
      <c r="AV61" s="160">
        <f>TripMode_input!X154</f>
        <v>98261</v>
      </c>
      <c r="AW61" s="294">
        <f>TripMode_input!Y154</f>
        <v>0</v>
      </c>
      <c r="AX61" s="160">
        <f>TripMode_input!Z154+TripMode_input!AA154</f>
        <v>391</v>
      </c>
      <c r="AY61" s="160">
        <f>TripMode_input!AB154</f>
        <v>0</v>
      </c>
      <c r="AZ61" s="160">
        <f>TripMode_input!AC154</f>
        <v>0</v>
      </c>
      <c r="BA61" s="160">
        <f>TripMode_input!AD154</f>
        <v>0</v>
      </c>
      <c r="BB61" s="294">
        <f>TripMode_input!AE154</f>
        <v>0</v>
      </c>
      <c r="BC61" s="162">
        <f t="shared" si="132"/>
        <v>106688</v>
      </c>
      <c r="BE61" s="107" t="s">
        <v>392</v>
      </c>
      <c r="BF61" s="166" t="str">
        <f t="shared" ref="BF61:BS68" si="146">IF(Z$68&gt;0,Z61/Z$68,"")</f>
        <v/>
      </c>
      <c r="BG61" s="166" t="str">
        <f t="shared" si="146"/>
        <v/>
      </c>
      <c r="BH61" s="166">
        <f t="shared" si="146"/>
        <v>2.8938710824708163E-3</v>
      </c>
      <c r="BI61" s="166">
        <f t="shared" si="146"/>
        <v>0</v>
      </c>
      <c r="BJ61" s="166">
        <f t="shared" si="146"/>
        <v>7.4376889732186424E-3</v>
      </c>
      <c r="BK61" s="166">
        <f t="shared" si="146"/>
        <v>0</v>
      </c>
      <c r="BL61" s="166">
        <f t="shared" si="146"/>
        <v>1</v>
      </c>
      <c r="BM61" s="166">
        <f t="shared" si="146"/>
        <v>0</v>
      </c>
      <c r="BN61" s="166">
        <f t="shared" si="146"/>
        <v>0.1750549685069171</v>
      </c>
      <c r="BO61" s="166" t="str">
        <f t="shared" si="146"/>
        <v/>
      </c>
      <c r="BP61" s="166" t="str">
        <f t="shared" si="146"/>
        <v/>
      </c>
      <c r="BQ61" s="166" t="str">
        <f t="shared" si="146"/>
        <v/>
      </c>
      <c r="BR61" s="166" t="str">
        <f t="shared" si="146"/>
        <v/>
      </c>
      <c r="BS61" s="166">
        <f t="shared" si="146"/>
        <v>0.10873073617129783</v>
      </c>
      <c r="BU61" s="107" t="s">
        <v>392</v>
      </c>
      <c r="BV61" s="166">
        <f t="shared" ref="BV61:BV68" si="147">IF(AP$52&gt;0,AP61/AP$52,"")</f>
        <v>0</v>
      </c>
      <c r="BW61" s="166">
        <f t="shared" ref="BW61:BW68" si="148">IF(AQ$52&gt;0,AQ61/AQ$52,"")</f>
        <v>0</v>
      </c>
      <c r="BX61" s="166">
        <f t="shared" ref="BX61:BX68" si="149">IF(AR$52&gt;0,AR61/AR$52,"")</f>
        <v>8.3930827040338777E-3</v>
      </c>
      <c r="BY61" s="166">
        <f t="shared" ref="BY61:BY68" si="150">IF(AS$52&gt;0,AS61/AS$52,"")</f>
        <v>2.0568663036902601E-3</v>
      </c>
      <c r="BZ61" s="166">
        <f t="shared" ref="BZ61:BZ68" si="151">IF(AT$52&gt;0,AT61/AT$52,"")</f>
        <v>3.1578211965254651E-3</v>
      </c>
      <c r="CA61" s="166">
        <f t="shared" ref="CA61:CA68" si="152">IF(AU$52&gt;0,AU61/AU$52,"")</f>
        <v>2.7143738433066009E-4</v>
      </c>
      <c r="CB61" s="166">
        <f t="shared" ref="CB61:CB68" si="153">IF(AV$52&gt;0,AV61/AV$52,"")</f>
        <v>0.15225765464237015</v>
      </c>
      <c r="CC61" s="166">
        <f t="shared" ref="CC61:CC68" si="154">IF(AW$52&gt;0,AW61/AW$52,"")</f>
        <v>0</v>
      </c>
      <c r="CD61" s="166">
        <f t="shared" ref="CD61:CD68" si="155">IF(AX$52&gt;0,AX61/AX$52,"")</f>
        <v>3.7312720679454148E-3</v>
      </c>
      <c r="CE61" s="166">
        <f t="shared" ref="CE61:CE68" si="156">IF(AY$52&gt;0,AY61/AY$52,"")</f>
        <v>0</v>
      </c>
      <c r="CF61" s="166">
        <f t="shared" ref="CF61:CF68" si="157">IF(AZ$52&gt;0,AZ61/AZ$52,"")</f>
        <v>0</v>
      </c>
      <c r="CG61" s="166">
        <f t="shared" ref="CG61:CG68" si="158">IF(BA$52&gt;0,BA61/BA$52,"")</f>
        <v>0</v>
      </c>
      <c r="CH61" s="166">
        <f t="shared" ref="CH61:CH68" si="159">IF(BB$52&gt;0,BB61/BB$52,"")</f>
        <v>0</v>
      </c>
      <c r="CI61" s="168">
        <f t="shared" ref="CI61:CI68" si="160">IF(BC$52&gt;0,BC61/BC$52,"")</f>
        <v>2.8370619942507797E-2</v>
      </c>
      <c r="CK61" s="107" t="s">
        <v>392</v>
      </c>
      <c r="CL61" s="166"/>
      <c r="CM61" s="166"/>
      <c r="CN61" s="166"/>
      <c r="CO61" s="166"/>
      <c r="CP61" s="166"/>
      <c r="CQ61" s="166"/>
      <c r="CR61" s="166"/>
      <c r="CS61" s="166"/>
      <c r="CT61" s="166"/>
      <c r="CU61" s="166"/>
      <c r="CV61" s="166"/>
      <c r="CW61" s="166"/>
      <c r="CX61" s="166"/>
      <c r="CY61" s="168"/>
      <c r="DA61" s="107" t="s">
        <v>392</v>
      </c>
      <c r="DB61" s="315"/>
      <c r="DC61" s="315"/>
      <c r="DD61" s="314">
        <f>IFERROR(IF(BX61&gt;0,LN(BH61/BX61),0),0)</f>
        <v>-1.0648127982505506</v>
      </c>
      <c r="DE61" s="314">
        <f>IFERROR(IF(BY61&gt;0,LN(BI61/BY61),0),0)</f>
        <v>0</v>
      </c>
      <c r="DF61" s="314">
        <f>IFERROR(IF(BZ61&gt;0,LN(BJ61/BZ61),0),0)</f>
        <v>0.85667788369525733</v>
      </c>
      <c r="DG61" s="314">
        <f>IFERROR(IF(CA61&gt;0,LN(BK61/CA61),0),0)</f>
        <v>0</v>
      </c>
      <c r="DH61" s="314">
        <f>IFERROR(IF(CB61&gt;0,LN(BL61/CB61),0),0)</f>
        <v>1.8821810968587898</v>
      </c>
      <c r="DI61" s="315"/>
      <c r="DJ61" s="314">
        <f t="shared" ref="DJ61:DJ66" si="161">IFERROR(IF(CD61&gt;0,LN(BN61/CD61),0),0)</f>
        <v>3.8483508178579258</v>
      </c>
      <c r="DK61" s="315"/>
      <c r="DL61" s="315"/>
      <c r="DM61" s="314">
        <f>IFERROR(IF(CG61&gt;0,LN(BQ61/CG61),0),0)</f>
        <v>0</v>
      </c>
      <c r="DN61" s="315"/>
      <c r="DO61" s="168"/>
      <c r="DQ61" s="107" t="s">
        <v>392</v>
      </c>
      <c r="DR61" s="315"/>
      <c r="DS61" s="315"/>
      <c r="DT61" s="314">
        <v>-1.7850087635518568</v>
      </c>
      <c r="DU61" s="314">
        <v>-1.7850087635518568</v>
      </c>
      <c r="DV61" s="314">
        <v>10.434942122130092</v>
      </c>
      <c r="DW61" s="314">
        <v>10.434942122130092</v>
      </c>
      <c r="DX61" s="314">
        <v>0</v>
      </c>
      <c r="DY61" s="315"/>
      <c r="DZ61" s="314">
        <v>25.245308867327331</v>
      </c>
      <c r="EA61" s="315"/>
      <c r="EB61" s="315"/>
      <c r="EC61" s="314">
        <v>0</v>
      </c>
      <c r="ED61" s="315"/>
      <c r="EE61" s="168"/>
      <c r="EG61" s="107" t="s">
        <v>392</v>
      </c>
      <c r="EH61" s="315"/>
      <c r="EI61" s="315"/>
      <c r="EJ61" s="314">
        <f>DT61+(DD61-DD$55)*$EI$1</f>
        <v>-2.8893304299548026</v>
      </c>
      <c r="EK61" s="314">
        <f>DT61+(DD61-DD$55)*$EI$1</f>
        <v>-2.8893304299548026</v>
      </c>
      <c r="EL61" s="314">
        <f>DV61+(DF61-DF$55)*$EI$1</f>
        <v>11.900911681396947</v>
      </c>
      <c r="EM61" s="314">
        <f>DV61+(DF61-DF$55)*$EI$1</f>
        <v>11.900911681396947</v>
      </c>
      <c r="EN61" s="314">
        <v>0</v>
      </c>
      <c r="EO61" s="315"/>
      <c r="EP61" s="314">
        <f>DZ61+(DJ61-DJ$63)*$EI$1</f>
        <v>29.093659685185258</v>
      </c>
      <c r="EQ61" s="315"/>
      <c r="ER61" s="315"/>
      <c r="ES61" s="314">
        <f>EC61+(DM61-DM$66)*$EI$14</f>
        <v>0</v>
      </c>
      <c r="ET61" s="315"/>
      <c r="EU61" s="168"/>
      <c r="EW61" s="164" t="s">
        <v>392</v>
      </c>
      <c r="EX61" s="316">
        <f t="shared" si="141"/>
        <v>0</v>
      </c>
      <c r="EY61" s="316">
        <f t="shared" si="137"/>
        <v>0</v>
      </c>
      <c r="EZ61" s="316">
        <f t="shared" si="137"/>
        <v>0</v>
      </c>
      <c r="FA61" s="316">
        <f t="shared" si="137"/>
        <v>0</v>
      </c>
      <c r="FB61" s="316">
        <f t="shared" si="137"/>
        <v>0</v>
      </c>
      <c r="FC61" s="316">
        <f t="shared" si="137"/>
        <v>0</v>
      </c>
      <c r="FD61" s="316">
        <f t="shared" si="137"/>
        <v>0</v>
      </c>
      <c r="FE61" s="316">
        <f t="shared" si="137"/>
        <v>0</v>
      </c>
      <c r="FF61" s="316"/>
      <c r="FG61" s="316">
        <f t="shared" si="137"/>
        <v>0</v>
      </c>
      <c r="FH61" s="316">
        <f t="shared" si="137"/>
        <v>0</v>
      </c>
      <c r="FI61" s="316">
        <f t="shared" si="137"/>
        <v>0</v>
      </c>
      <c r="FJ61" s="316">
        <f t="shared" si="137"/>
        <v>0</v>
      </c>
      <c r="FK61" s="316">
        <f t="shared" si="137"/>
        <v>0</v>
      </c>
      <c r="FL61" s="168"/>
    </row>
    <row r="62" spans="2:168" x14ac:dyDescent="0.25">
      <c r="B62" s="107" t="s">
        <v>393</v>
      </c>
      <c r="C62" s="294"/>
      <c r="D62" s="294"/>
      <c r="E62" s="294"/>
      <c r="F62" s="294"/>
      <c r="G62" s="294"/>
      <c r="H62" s="294"/>
      <c r="I62" s="294"/>
      <c r="J62" s="160">
        <f>TripMode_input!I155</f>
        <v>8242.5337600000003</v>
      </c>
      <c r="K62" s="294"/>
      <c r="L62" s="294"/>
      <c r="M62" s="294"/>
      <c r="N62" s="294"/>
      <c r="O62" s="294"/>
      <c r="P62" s="162">
        <f t="shared" si="127"/>
        <v>8242.5337600000003</v>
      </c>
      <c r="R62">
        <f t="shared" si="138"/>
        <v>0</v>
      </c>
      <c r="S62">
        <f t="shared" si="139"/>
        <v>0</v>
      </c>
      <c r="T62">
        <f t="shared" si="140"/>
        <v>0</v>
      </c>
      <c r="Y62" s="107" t="s">
        <v>393</v>
      </c>
      <c r="Z62" s="294"/>
      <c r="AA62" s="294"/>
      <c r="AB62" s="294"/>
      <c r="AC62" s="294"/>
      <c r="AD62" s="294"/>
      <c r="AE62" s="294"/>
      <c r="AF62" s="294"/>
      <c r="AG62" s="160">
        <f>+J62</f>
        <v>8242.5337600000003</v>
      </c>
      <c r="AH62" s="294"/>
      <c r="AI62" s="294"/>
      <c r="AJ62" s="294"/>
      <c r="AK62" s="294"/>
      <c r="AL62" s="294"/>
      <c r="AM62" s="162">
        <f t="shared" si="131"/>
        <v>8242.5337600000003</v>
      </c>
      <c r="AO62" s="107" t="s">
        <v>393</v>
      </c>
      <c r="AP62" s="294">
        <f>TripMode_input!R155</f>
        <v>0</v>
      </c>
      <c r="AQ62" s="294">
        <f>TripMode_input!S155</f>
        <v>0</v>
      </c>
      <c r="AR62" s="294">
        <f>TripMode_input!T155</f>
        <v>0</v>
      </c>
      <c r="AS62" s="294">
        <f>TripMode_input!U155</f>
        <v>0</v>
      </c>
      <c r="AT62" s="294">
        <f>TripMode_input!V155</f>
        <v>0</v>
      </c>
      <c r="AU62" s="294">
        <f>TripMode_input!W155</f>
        <v>0</v>
      </c>
      <c r="AV62" s="294">
        <f>TripMode_input!X155</f>
        <v>0</v>
      </c>
      <c r="AW62" s="160">
        <f>TripMode_input!Y155</f>
        <v>1955</v>
      </c>
      <c r="AX62" s="294">
        <f>TripMode_input!Z155+TripMode_input!AA155</f>
        <v>0</v>
      </c>
      <c r="AY62" s="294">
        <f>TripMode_input!AB155</f>
        <v>0</v>
      </c>
      <c r="AZ62" s="294">
        <f>TripMode_input!AC155</f>
        <v>0</v>
      </c>
      <c r="BA62" s="294">
        <f>TripMode_input!AD155</f>
        <v>0</v>
      </c>
      <c r="BB62" s="294">
        <f>TripMode_input!AE155</f>
        <v>0</v>
      </c>
      <c r="BC62" s="162">
        <f t="shared" si="132"/>
        <v>1955</v>
      </c>
      <c r="BE62" s="107" t="s">
        <v>393</v>
      </c>
      <c r="BF62" s="166" t="str">
        <f t="shared" si="146"/>
        <v/>
      </c>
      <c r="BG62" s="166" t="str">
        <f t="shared" si="146"/>
        <v/>
      </c>
      <c r="BH62" s="166">
        <f t="shared" si="146"/>
        <v>0</v>
      </c>
      <c r="BI62" s="166">
        <f t="shared" si="146"/>
        <v>0</v>
      </c>
      <c r="BJ62" s="166">
        <f t="shared" si="146"/>
        <v>0</v>
      </c>
      <c r="BK62" s="166">
        <f t="shared" si="146"/>
        <v>0</v>
      </c>
      <c r="BL62" s="166">
        <f t="shared" si="146"/>
        <v>0</v>
      </c>
      <c r="BM62" s="166">
        <f t="shared" si="146"/>
        <v>1</v>
      </c>
      <c r="BN62" s="166">
        <f t="shared" si="146"/>
        <v>0</v>
      </c>
      <c r="BO62" s="166" t="str">
        <f t="shared" si="146"/>
        <v/>
      </c>
      <c r="BP62" s="166" t="str">
        <f t="shared" si="146"/>
        <v/>
      </c>
      <c r="BQ62" s="166" t="str">
        <f t="shared" si="146"/>
        <v/>
      </c>
      <c r="BR62" s="166" t="str">
        <f t="shared" si="146"/>
        <v/>
      </c>
      <c r="BS62" s="166">
        <f t="shared" si="146"/>
        <v>3.1668456328027097E-3</v>
      </c>
      <c r="BU62" s="107" t="s">
        <v>393</v>
      </c>
      <c r="BV62" s="166">
        <f t="shared" si="147"/>
        <v>0</v>
      </c>
      <c r="BW62" s="166">
        <f t="shared" si="148"/>
        <v>0</v>
      </c>
      <c r="BX62" s="166">
        <f t="shared" si="149"/>
        <v>0</v>
      </c>
      <c r="BY62" s="166">
        <f t="shared" si="150"/>
        <v>0</v>
      </c>
      <c r="BZ62" s="166">
        <f t="shared" si="151"/>
        <v>0</v>
      </c>
      <c r="CA62" s="166">
        <f t="shared" si="152"/>
        <v>0</v>
      </c>
      <c r="CB62" s="166">
        <f t="shared" si="153"/>
        <v>0</v>
      </c>
      <c r="CC62" s="166">
        <f t="shared" si="154"/>
        <v>4.808165272995573E-2</v>
      </c>
      <c r="CD62" s="166">
        <f t="shared" si="155"/>
        <v>0</v>
      </c>
      <c r="CE62" s="166">
        <f t="shared" si="156"/>
        <v>0</v>
      </c>
      <c r="CF62" s="166">
        <f t="shared" si="157"/>
        <v>0</v>
      </c>
      <c r="CG62" s="166">
        <f t="shared" si="158"/>
        <v>0</v>
      </c>
      <c r="CH62" s="166">
        <f t="shared" si="159"/>
        <v>0</v>
      </c>
      <c r="CI62" s="168">
        <f t="shared" si="160"/>
        <v>5.1987629337510075E-4</v>
      </c>
      <c r="CK62" s="107" t="s">
        <v>393</v>
      </c>
      <c r="CL62" s="166"/>
      <c r="CM62" s="166"/>
      <c r="CN62" s="166"/>
      <c r="CO62" s="166"/>
      <c r="CP62" s="166"/>
      <c r="CQ62" s="166"/>
      <c r="CR62" s="166"/>
      <c r="CS62" s="166"/>
      <c r="CT62" s="166"/>
      <c r="CU62" s="166"/>
      <c r="CV62" s="166"/>
      <c r="CW62" s="166"/>
      <c r="CX62" s="166"/>
      <c r="CY62" s="168"/>
      <c r="DA62" s="107" t="s">
        <v>393</v>
      </c>
      <c r="DB62" s="315"/>
      <c r="DC62" s="315"/>
      <c r="DD62" s="315"/>
      <c r="DE62" s="315"/>
      <c r="DF62" s="315"/>
      <c r="DG62" s="315"/>
      <c r="DH62" s="315"/>
      <c r="DI62" s="314">
        <f>IFERROR(IF(CC62&gt;0,LN(BM62/CC62),0),0)</f>
        <v>3.0348546147628714</v>
      </c>
      <c r="DJ62" s="315"/>
      <c r="DK62" s="315"/>
      <c r="DL62" s="315"/>
      <c r="DM62" s="315"/>
      <c r="DN62" s="315"/>
      <c r="DO62" s="168"/>
      <c r="DQ62" s="107" t="s">
        <v>393</v>
      </c>
      <c r="DR62" s="315"/>
      <c r="DS62" s="315"/>
      <c r="DT62" s="315"/>
      <c r="DU62" s="315"/>
      <c r="DV62" s="315"/>
      <c r="DW62" s="315"/>
      <c r="DX62" s="315"/>
      <c r="DY62" s="314">
        <v>0</v>
      </c>
      <c r="DZ62" s="315"/>
      <c r="EA62" s="315"/>
      <c r="EB62" s="315"/>
      <c r="EC62" s="315"/>
      <c r="ED62" s="315"/>
      <c r="EE62" s="168"/>
      <c r="EG62" s="107" t="s">
        <v>393</v>
      </c>
      <c r="EH62" s="315"/>
      <c r="EI62" s="315"/>
      <c r="EJ62" s="315"/>
      <c r="EK62" s="315"/>
      <c r="EL62" s="315"/>
      <c r="EM62" s="315"/>
      <c r="EN62" s="315"/>
      <c r="EO62" s="314">
        <v>0</v>
      </c>
      <c r="EP62" s="315"/>
      <c r="EQ62" s="315"/>
      <c r="ER62" s="315"/>
      <c r="ES62" s="315"/>
      <c r="ET62" s="315"/>
      <c r="EU62" s="168"/>
      <c r="EW62" s="164" t="s">
        <v>393</v>
      </c>
      <c r="EX62" s="316">
        <f t="shared" si="141"/>
        <v>0</v>
      </c>
      <c r="EY62" s="316">
        <f t="shared" si="137"/>
        <v>0</v>
      </c>
      <c r="EZ62" s="316">
        <f t="shared" si="137"/>
        <v>0</v>
      </c>
      <c r="FA62" s="316">
        <f t="shared" si="137"/>
        <v>0</v>
      </c>
      <c r="FB62" s="316">
        <f t="shared" si="137"/>
        <v>0</v>
      </c>
      <c r="FC62" s="316">
        <f t="shared" si="137"/>
        <v>0</v>
      </c>
      <c r="FD62" s="316">
        <f t="shared" si="137"/>
        <v>0</v>
      </c>
      <c r="FE62" s="316">
        <f t="shared" si="137"/>
        <v>0</v>
      </c>
      <c r="FF62" s="316"/>
      <c r="FG62" s="316">
        <f t="shared" si="137"/>
        <v>0</v>
      </c>
      <c r="FH62" s="316">
        <f t="shared" si="137"/>
        <v>0</v>
      </c>
      <c r="FI62" s="316">
        <f t="shared" si="137"/>
        <v>0</v>
      </c>
      <c r="FJ62" s="316">
        <f t="shared" si="137"/>
        <v>0</v>
      </c>
      <c r="FK62" s="316">
        <f t="shared" si="137"/>
        <v>0</v>
      </c>
      <c r="FL62" s="168"/>
    </row>
    <row r="63" spans="2:168" x14ac:dyDescent="0.25">
      <c r="B63" s="107" t="s">
        <v>546</v>
      </c>
      <c r="C63" s="294"/>
      <c r="D63" s="294"/>
      <c r="E63" s="294"/>
      <c r="F63" s="294"/>
      <c r="G63" s="294"/>
      <c r="H63" s="294"/>
      <c r="I63" s="294"/>
      <c r="J63" s="294"/>
      <c r="K63" s="160">
        <f>TripMode_input!J156+TripMode_input!K156+TripMode_input!J155+TripMode_input!K155</f>
        <v>12712.95939</v>
      </c>
      <c r="L63" s="294"/>
      <c r="M63" s="294"/>
      <c r="N63" s="294"/>
      <c r="O63" s="294"/>
      <c r="P63" s="162">
        <f t="shared" si="127"/>
        <v>12712.95939</v>
      </c>
      <c r="R63">
        <f t="shared" si="138"/>
        <v>1</v>
      </c>
      <c r="S63">
        <f t="shared" si="139"/>
        <v>0</v>
      </c>
      <c r="T63">
        <f t="shared" si="140"/>
        <v>0</v>
      </c>
      <c r="U63" s="127">
        <f>+K63/K$159</f>
        <v>1.0105110326410534E-2</v>
      </c>
      <c r="V63" s="127"/>
      <c r="W63" s="127"/>
      <c r="X63" s="127"/>
      <c r="Y63" s="107" t="s">
        <v>546</v>
      </c>
      <c r="Z63" s="294"/>
      <c r="AA63" s="294"/>
      <c r="AB63" s="294"/>
      <c r="AC63" s="294"/>
      <c r="AD63" s="294"/>
      <c r="AE63" s="294"/>
      <c r="AF63" s="294"/>
      <c r="AG63" s="294"/>
      <c r="AH63" s="160">
        <f>U63*U$159</f>
        <v>13419.23135017106</v>
      </c>
      <c r="AI63" s="294"/>
      <c r="AJ63" s="294"/>
      <c r="AK63" s="294"/>
      <c r="AL63" s="294"/>
      <c r="AM63" s="162">
        <f t="shared" si="131"/>
        <v>13419.23135017106</v>
      </c>
      <c r="AN63" s="127"/>
      <c r="AO63" s="107" t="s">
        <v>395</v>
      </c>
      <c r="AP63" s="294">
        <f>TripMode_input!R156</f>
        <v>0</v>
      </c>
      <c r="AQ63" s="294">
        <f>TripMode_input!S156</f>
        <v>0</v>
      </c>
      <c r="AR63" s="294">
        <f>TripMode_input!T156</f>
        <v>0</v>
      </c>
      <c r="AS63" s="294">
        <f>TripMode_input!U156</f>
        <v>0</v>
      </c>
      <c r="AT63" s="294">
        <f>TripMode_input!V156</f>
        <v>0</v>
      </c>
      <c r="AU63" s="294">
        <f>TripMode_input!W156</f>
        <v>0</v>
      </c>
      <c r="AV63" s="294">
        <f>TripMode_input!X156</f>
        <v>0</v>
      </c>
      <c r="AW63" s="294">
        <f>TripMode_input!Y156</f>
        <v>0</v>
      </c>
      <c r="AX63" s="160">
        <f>TripMode_input!Z156+TripMode_input!AA156</f>
        <v>0</v>
      </c>
      <c r="AY63" s="160">
        <f>TripMode_input!AB156</f>
        <v>0</v>
      </c>
      <c r="AZ63" s="160">
        <f>TripMode_input!AC156</f>
        <v>0</v>
      </c>
      <c r="BA63" s="294">
        <f>TripMode_input!AD156</f>
        <v>0</v>
      </c>
      <c r="BB63" s="294">
        <f>TripMode_input!AE156</f>
        <v>0</v>
      </c>
      <c r="BC63" s="162">
        <f t="shared" si="132"/>
        <v>0</v>
      </c>
      <c r="BE63" s="107" t="s">
        <v>395</v>
      </c>
      <c r="BF63" s="166" t="str">
        <f t="shared" si="146"/>
        <v/>
      </c>
      <c r="BG63" s="166" t="str">
        <f t="shared" si="146"/>
        <v/>
      </c>
      <c r="BH63" s="166">
        <f t="shared" si="146"/>
        <v>0</v>
      </c>
      <c r="BI63" s="166">
        <f t="shared" si="146"/>
        <v>0</v>
      </c>
      <c r="BJ63" s="166">
        <f t="shared" si="146"/>
        <v>0</v>
      </c>
      <c r="BK63" s="166">
        <f t="shared" si="146"/>
        <v>0</v>
      </c>
      <c r="BL63" s="166">
        <f t="shared" si="146"/>
        <v>0</v>
      </c>
      <c r="BM63" s="166">
        <f t="shared" si="146"/>
        <v>0</v>
      </c>
      <c r="BN63" s="166">
        <f t="shared" si="146"/>
        <v>0.75984711573772656</v>
      </c>
      <c r="BO63" s="166" t="str">
        <f t="shared" si="146"/>
        <v/>
      </c>
      <c r="BP63" s="166" t="str">
        <f t="shared" si="146"/>
        <v/>
      </c>
      <c r="BQ63" s="166" t="str">
        <f t="shared" si="146"/>
        <v/>
      </c>
      <c r="BR63" s="166" t="str">
        <f t="shared" si="146"/>
        <v/>
      </c>
      <c r="BS63" s="166">
        <f t="shared" si="146"/>
        <v>5.155773143822517E-3</v>
      </c>
      <c r="BU63" s="107" t="s">
        <v>395</v>
      </c>
      <c r="BV63" s="166">
        <f t="shared" si="147"/>
        <v>0</v>
      </c>
      <c r="BW63" s="166">
        <f t="shared" si="148"/>
        <v>0</v>
      </c>
      <c r="BX63" s="166">
        <f t="shared" si="149"/>
        <v>0</v>
      </c>
      <c r="BY63" s="166">
        <f t="shared" si="150"/>
        <v>0</v>
      </c>
      <c r="BZ63" s="166">
        <f t="shared" si="151"/>
        <v>0</v>
      </c>
      <c r="CA63" s="166">
        <f t="shared" si="152"/>
        <v>0</v>
      </c>
      <c r="CB63" s="166">
        <f t="shared" si="153"/>
        <v>0</v>
      </c>
      <c r="CC63" s="166">
        <f t="shared" si="154"/>
        <v>0</v>
      </c>
      <c r="CD63" s="166">
        <f t="shared" si="155"/>
        <v>0</v>
      </c>
      <c r="CE63" s="166">
        <f t="shared" si="156"/>
        <v>0</v>
      </c>
      <c r="CF63" s="166">
        <f t="shared" si="157"/>
        <v>0</v>
      </c>
      <c r="CG63" s="166">
        <f t="shared" si="158"/>
        <v>0</v>
      </c>
      <c r="CH63" s="166">
        <f t="shared" si="159"/>
        <v>0</v>
      </c>
      <c r="CI63" s="168">
        <f t="shared" si="160"/>
        <v>0</v>
      </c>
      <c r="CK63" s="107" t="s">
        <v>395</v>
      </c>
      <c r="CL63" s="166" t="str">
        <f t="shared" ref="CL63:CL68" si="162">IF(OR(ISNA(BF63),BF63=0,BF63=""),"",(BV63-BF63)/BF63)</f>
        <v/>
      </c>
      <c r="CM63" s="166" t="str">
        <f t="shared" ref="CM63:CM68" si="163">IF(OR(ISNA(BG63),BG63=0,BG63=""),"",(BW63-BG63)/BG63)</f>
        <v/>
      </c>
      <c r="CN63" s="166" t="str">
        <f t="shared" ref="CN63:CN68" si="164">IF(OR(ISNA(BH63),BH63=0,BH63=""),"",(BX63-BH63)/BH63)</f>
        <v/>
      </c>
      <c r="CO63" s="166" t="str">
        <f t="shared" ref="CO63:CO68" si="165">IF(OR(ISNA(BI63),BI63=0,BI63=""),"",(BY63-BI63)/BI63)</f>
        <v/>
      </c>
      <c r="CP63" s="166"/>
      <c r="CQ63" s="166"/>
      <c r="CR63" s="166"/>
      <c r="CS63" s="166"/>
      <c r="CT63" s="166">
        <f t="shared" ref="CT63:CT68" si="166">IF(OR(ISNA(BN63),BN63=0,BN63=""),"",(CD63-BN63)/BN63)</f>
        <v>-1</v>
      </c>
      <c r="CU63" s="166" t="str">
        <f t="shared" ref="CU63:CU68" si="167">IF(OR(ISNA(BO63),BO63=0,BO63=""),"",(CE63-BO63)/BO63)</f>
        <v/>
      </c>
      <c r="CV63" s="166" t="str">
        <f t="shared" ref="CV63:CV68" si="168">IF(OR(ISNA(BP63),BP63=0,BP63=""),"",(CF63-BP63)/BP63)</f>
        <v/>
      </c>
      <c r="CW63" s="166" t="str">
        <f t="shared" ref="CW63:CW68" si="169">IF(OR(ISNA(BQ63),BQ63=0,BQ63=""),"",(CG63-BQ63)/BQ63)</f>
        <v/>
      </c>
      <c r="CX63" s="166" t="str">
        <f t="shared" ref="CX63:CX68" si="170">IF(OR(ISNA(BR63),BR63=0,BR63=""),"",(CH63-BR63)/BR63)</f>
        <v/>
      </c>
      <c r="CY63" s="168">
        <f t="shared" ref="CY63:CY68" si="171">IF(OR(ISNA(BS63),BS63=0,BS63=""),"",(CI63-BS63)/BS63)</f>
        <v>-1</v>
      </c>
      <c r="DA63" s="107" t="s">
        <v>395</v>
      </c>
      <c r="DB63" s="315"/>
      <c r="DC63" s="315"/>
      <c r="DD63" s="315"/>
      <c r="DE63" s="315"/>
      <c r="DF63" s="315"/>
      <c r="DG63" s="315"/>
      <c r="DH63" s="315"/>
      <c r="DI63" s="315"/>
      <c r="DJ63" s="314">
        <f t="shared" si="161"/>
        <v>0</v>
      </c>
      <c r="DK63" s="315"/>
      <c r="DL63" s="315"/>
      <c r="DM63" s="315"/>
      <c r="DN63" s="315"/>
      <c r="DO63" s="168"/>
      <c r="DQ63" s="107" t="s">
        <v>395</v>
      </c>
      <c r="DR63" s="315"/>
      <c r="DS63" s="315"/>
      <c r="DT63" s="315"/>
      <c r="DU63" s="315"/>
      <c r="DV63" s="315"/>
      <c r="DW63" s="315"/>
      <c r="DX63" s="315"/>
      <c r="DY63" s="315"/>
      <c r="DZ63" s="314">
        <v>0</v>
      </c>
      <c r="EA63" s="315"/>
      <c r="EB63" s="315"/>
      <c r="EC63" s="315"/>
      <c r="ED63" s="315"/>
      <c r="EE63" s="168"/>
      <c r="EG63" s="107" t="s">
        <v>395</v>
      </c>
      <c r="EH63" s="315"/>
      <c r="EI63" s="315"/>
      <c r="EJ63" s="315"/>
      <c r="EK63" s="315"/>
      <c r="EL63" s="315"/>
      <c r="EM63" s="315"/>
      <c r="EN63" s="315"/>
      <c r="EO63" s="315"/>
      <c r="EP63" s="314">
        <v>0</v>
      </c>
      <c r="EQ63" s="315"/>
      <c r="ER63" s="315"/>
      <c r="ES63" s="315"/>
      <c r="ET63" s="315"/>
      <c r="EU63" s="168"/>
      <c r="EW63" s="164" t="s">
        <v>546</v>
      </c>
      <c r="EX63" s="316">
        <f t="shared" si="141"/>
        <v>0</v>
      </c>
      <c r="EY63" s="316">
        <f t="shared" si="137"/>
        <v>0</v>
      </c>
      <c r="EZ63" s="316">
        <f t="shared" si="137"/>
        <v>-5.6917884638314291</v>
      </c>
      <c r="FA63" s="316">
        <f t="shared" si="137"/>
        <v>-5.6917884638314291</v>
      </c>
      <c r="FB63" s="316">
        <f t="shared" si="137"/>
        <v>8.9303848865843491</v>
      </c>
      <c r="FC63" s="316">
        <f t="shared" si="137"/>
        <v>8.9303848865843491</v>
      </c>
      <c r="FD63" s="316">
        <f t="shared" si="137"/>
        <v>29.093659685185258</v>
      </c>
      <c r="FE63" s="316">
        <f t="shared" si="137"/>
        <v>0</v>
      </c>
      <c r="FF63" s="316"/>
      <c r="FG63" s="316">
        <f t="shared" si="137"/>
        <v>0</v>
      </c>
      <c r="FH63" s="316">
        <f t="shared" si="137"/>
        <v>0</v>
      </c>
      <c r="FI63" s="316">
        <f t="shared" si="137"/>
        <v>0</v>
      </c>
      <c r="FJ63" s="316">
        <f t="shared" si="137"/>
        <v>0</v>
      </c>
      <c r="FK63" s="316">
        <f t="shared" si="137"/>
        <v>0</v>
      </c>
      <c r="FL63" s="168"/>
    </row>
    <row r="64" spans="2:168" x14ac:dyDescent="0.25">
      <c r="B64" s="107" t="s">
        <v>396</v>
      </c>
      <c r="C64" s="294"/>
      <c r="D64" s="294"/>
      <c r="E64" s="294"/>
      <c r="F64" s="294"/>
      <c r="G64" s="294"/>
      <c r="H64" s="294"/>
      <c r="I64" s="294"/>
      <c r="J64" s="294"/>
      <c r="K64" s="294"/>
      <c r="L64" s="160">
        <f>TripMode_input!L157</f>
        <v>0</v>
      </c>
      <c r="M64" s="294"/>
      <c r="N64" s="294"/>
      <c r="O64" s="294"/>
      <c r="P64" s="162">
        <f t="shared" si="127"/>
        <v>0</v>
      </c>
      <c r="R64">
        <f t="shared" si="138"/>
        <v>0</v>
      </c>
      <c r="S64">
        <f t="shared" si="139"/>
        <v>0</v>
      </c>
      <c r="T64">
        <f t="shared" si="140"/>
        <v>0</v>
      </c>
      <c r="V64" s="127">
        <f>+L64/L$160</f>
        <v>0</v>
      </c>
      <c r="W64" s="127"/>
      <c r="X64" s="127"/>
      <c r="Y64" s="107" t="s">
        <v>396</v>
      </c>
      <c r="Z64" s="294"/>
      <c r="AA64" s="294"/>
      <c r="AB64" s="294"/>
      <c r="AC64" s="294"/>
      <c r="AD64" s="294"/>
      <c r="AE64" s="294"/>
      <c r="AF64" s="294"/>
      <c r="AG64" s="294"/>
      <c r="AH64" s="294"/>
      <c r="AI64" s="160">
        <f>V64*V$160</f>
        <v>0</v>
      </c>
      <c r="AJ64" s="294"/>
      <c r="AK64" s="294"/>
      <c r="AL64" s="294"/>
      <c r="AM64" s="162">
        <f t="shared" si="131"/>
        <v>0</v>
      </c>
      <c r="AN64" s="127"/>
      <c r="AO64" s="107" t="s">
        <v>396</v>
      </c>
      <c r="AP64" s="294">
        <f>TripMode_input!R157</f>
        <v>0</v>
      </c>
      <c r="AQ64" s="294">
        <f>TripMode_input!S157</f>
        <v>0</v>
      </c>
      <c r="AR64" s="294">
        <f>TripMode_input!T157</f>
        <v>0</v>
      </c>
      <c r="AS64" s="294">
        <f>TripMode_input!U157</f>
        <v>0</v>
      </c>
      <c r="AT64" s="294">
        <f>TripMode_input!V157</f>
        <v>0</v>
      </c>
      <c r="AU64" s="294">
        <f>TripMode_input!W157</f>
        <v>0</v>
      </c>
      <c r="AV64" s="294">
        <f>TripMode_input!X157</f>
        <v>0</v>
      </c>
      <c r="AW64" s="294">
        <f>TripMode_input!Y157</f>
        <v>0</v>
      </c>
      <c r="AX64" s="294">
        <f>TripMode_input!Z157+TripMode_input!AA157</f>
        <v>1175</v>
      </c>
      <c r="AY64" s="160">
        <f>TripMode_input!AB157</f>
        <v>0</v>
      </c>
      <c r="AZ64" s="294">
        <f>TripMode_input!AC157</f>
        <v>0</v>
      </c>
      <c r="BA64" s="294">
        <f>TripMode_input!AD157</f>
        <v>0</v>
      </c>
      <c r="BB64" s="294">
        <f>TripMode_input!AE157</f>
        <v>0</v>
      </c>
      <c r="BC64" s="162">
        <f t="shared" si="132"/>
        <v>1175</v>
      </c>
      <c r="BE64" s="107" t="s">
        <v>396</v>
      </c>
      <c r="BF64" s="166" t="str">
        <f t="shared" si="146"/>
        <v/>
      </c>
      <c r="BG64" s="166" t="str">
        <f t="shared" si="146"/>
        <v/>
      </c>
      <c r="BH64" s="166">
        <f t="shared" si="146"/>
        <v>0</v>
      </c>
      <c r="BI64" s="166">
        <f t="shared" si="146"/>
        <v>0</v>
      </c>
      <c r="BJ64" s="166">
        <f t="shared" si="146"/>
        <v>0</v>
      </c>
      <c r="BK64" s="166">
        <f t="shared" si="146"/>
        <v>0</v>
      </c>
      <c r="BL64" s="166">
        <f t="shared" si="146"/>
        <v>0</v>
      </c>
      <c r="BM64" s="166">
        <f t="shared" si="146"/>
        <v>0</v>
      </c>
      <c r="BN64" s="166">
        <f t="shared" si="146"/>
        <v>0</v>
      </c>
      <c r="BO64" s="166" t="str">
        <f t="shared" si="146"/>
        <v/>
      </c>
      <c r="BP64" s="166" t="str">
        <f t="shared" si="146"/>
        <v/>
      </c>
      <c r="BQ64" s="166" t="str">
        <f t="shared" si="146"/>
        <v/>
      </c>
      <c r="BR64" s="166" t="str">
        <f t="shared" si="146"/>
        <v/>
      </c>
      <c r="BS64" s="166">
        <f t="shared" si="146"/>
        <v>0</v>
      </c>
      <c r="BU64" s="107" t="s">
        <v>396</v>
      </c>
      <c r="BV64" s="166">
        <f t="shared" si="147"/>
        <v>0</v>
      </c>
      <c r="BW64" s="166">
        <f t="shared" si="148"/>
        <v>0</v>
      </c>
      <c r="BX64" s="166">
        <f t="shared" si="149"/>
        <v>0</v>
      </c>
      <c r="BY64" s="166">
        <f t="shared" si="150"/>
        <v>0</v>
      </c>
      <c r="BZ64" s="166">
        <f t="shared" si="151"/>
        <v>0</v>
      </c>
      <c r="CA64" s="166">
        <f t="shared" si="152"/>
        <v>0</v>
      </c>
      <c r="CB64" s="166">
        <f t="shared" si="153"/>
        <v>0</v>
      </c>
      <c r="CC64" s="166">
        <f t="shared" si="154"/>
        <v>0</v>
      </c>
      <c r="CD64" s="166">
        <f t="shared" si="155"/>
        <v>1.121290199446512E-2</v>
      </c>
      <c r="CE64" s="166">
        <f t="shared" si="156"/>
        <v>0</v>
      </c>
      <c r="CF64" s="166">
        <f t="shared" si="157"/>
        <v>0</v>
      </c>
      <c r="CG64" s="166">
        <f t="shared" si="158"/>
        <v>0</v>
      </c>
      <c r="CH64" s="166">
        <f t="shared" si="159"/>
        <v>0</v>
      </c>
      <c r="CI64" s="168">
        <f t="shared" si="160"/>
        <v>3.1245761878043139E-4</v>
      </c>
      <c r="CK64" s="107" t="s">
        <v>396</v>
      </c>
      <c r="CL64" s="166" t="str">
        <f t="shared" si="162"/>
        <v/>
      </c>
      <c r="CM64" s="166" t="str">
        <f t="shared" si="163"/>
        <v/>
      </c>
      <c r="CN64" s="166" t="str">
        <f t="shared" si="164"/>
        <v/>
      </c>
      <c r="CO64" s="166" t="str">
        <f t="shared" si="165"/>
        <v/>
      </c>
      <c r="CP64" s="166"/>
      <c r="CQ64" s="166"/>
      <c r="CR64" s="166"/>
      <c r="CS64" s="166"/>
      <c r="CT64" s="166" t="str">
        <f t="shared" si="166"/>
        <v/>
      </c>
      <c r="CU64" s="166" t="str">
        <f t="shared" si="167"/>
        <v/>
      </c>
      <c r="CV64" s="166" t="str">
        <f t="shared" si="168"/>
        <v/>
      </c>
      <c r="CW64" s="166" t="str">
        <f t="shared" si="169"/>
        <v/>
      </c>
      <c r="CX64" s="166" t="str">
        <f t="shared" si="170"/>
        <v/>
      </c>
      <c r="CY64" s="168" t="str">
        <f t="shared" si="171"/>
        <v/>
      </c>
      <c r="DA64" s="107" t="s">
        <v>396</v>
      </c>
      <c r="DB64" s="315"/>
      <c r="DC64" s="315"/>
      <c r="DD64" s="315"/>
      <c r="DE64" s="315"/>
      <c r="DF64" s="315"/>
      <c r="DG64" s="315"/>
      <c r="DH64" s="315"/>
      <c r="DI64" s="315"/>
      <c r="DJ64" s="315"/>
      <c r="DK64" s="314">
        <f>IFERROR(IF(CE64&gt;0,LN(BO64/CE64),0),0)</f>
        <v>0</v>
      </c>
      <c r="DL64" s="315"/>
      <c r="DM64" s="315"/>
      <c r="DN64" s="315"/>
      <c r="DO64" s="168"/>
      <c r="DQ64" s="107" t="s">
        <v>396</v>
      </c>
      <c r="DR64" s="315"/>
      <c r="DS64" s="315"/>
      <c r="DT64" s="315"/>
      <c r="DU64" s="315"/>
      <c r="DV64" s="315"/>
      <c r="DW64" s="315"/>
      <c r="DX64" s="315"/>
      <c r="DY64" s="315"/>
      <c r="DZ64" s="315"/>
      <c r="EA64" s="314">
        <v>0</v>
      </c>
      <c r="EB64" s="315"/>
      <c r="EC64" s="315"/>
      <c r="ED64" s="315"/>
      <c r="EE64" s="168"/>
      <c r="EG64" s="107" t="s">
        <v>396</v>
      </c>
      <c r="EH64" s="315"/>
      <c r="EI64" s="315"/>
      <c r="EJ64" s="315"/>
      <c r="EK64" s="315"/>
      <c r="EL64" s="315"/>
      <c r="EM64" s="315"/>
      <c r="EN64" s="315"/>
      <c r="EO64" s="315"/>
      <c r="EP64" s="315"/>
      <c r="EQ64" s="314">
        <v>0</v>
      </c>
      <c r="ER64" s="315"/>
      <c r="ES64" s="315"/>
      <c r="ET64" s="315"/>
      <c r="EU64" s="168"/>
      <c r="EW64" s="164" t="s">
        <v>396</v>
      </c>
      <c r="EX64" s="316">
        <f t="shared" si="141"/>
        <v>0</v>
      </c>
      <c r="EY64" s="316">
        <f t="shared" si="137"/>
        <v>0</v>
      </c>
      <c r="EZ64" s="316">
        <f t="shared" si="137"/>
        <v>0</v>
      </c>
      <c r="FA64" s="316">
        <f t="shared" si="137"/>
        <v>0</v>
      </c>
      <c r="FB64" s="316">
        <f t="shared" si="137"/>
        <v>0</v>
      </c>
      <c r="FC64" s="316">
        <f t="shared" si="137"/>
        <v>0</v>
      </c>
      <c r="FD64" s="316">
        <f t="shared" si="137"/>
        <v>0</v>
      </c>
      <c r="FE64" s="316">
        <f t="shared" si="137"/>
        <v>0</v>
      </c>
      <c r="FF64" s="316"/>
      <c r="FG64" s="316">
        <f t="shared" si="137"/>
        <v>0</v>
      </c>
      <c r="FH64" s="316">
        <f t="shared" si="137"/>
        <v>0</v>
      </c>
      <c r="FI64" s="316">
        <f t="shared" si="137"/>
        <v>0</v>
      </c>
      <c r="FJ64" s="316">
        <f t="shared" si="137"/>
        <v>0</v>
      </c>
      <c r="FK64" s="316">
        <f t="shared" si="137"/>
        <v>0</v>
      </c>
      <c r="FL64" s="168"/>
    </row>
    <row r="65" spans="2:168" x14ac:dyDescent="0.25">
      <c r="B65" s="107" t="s">
        <v>397</v>
      </c>
      <c r="C65" s="294"/>
      <c r="D65" s="294"/>
      <c r="E65" s="294"/>
      <c r="F65" s="294"/>
      <c r="G65" s="294"/>
      <c r="H65" s="294"/>
      <c r="I65" s="294"/>
      <c r="J65" s="294"/>
      <c r="K65" s="294"/>
      <c r="L65" s="294"/>
      <c r="M65" s="160">
        <f>TripMode_input!M158</f>
        <v>0</v>
      </c>
      <c r="N65" s="294"/>
      <c r="O65" s="294"/>
      <c r="P65" s="162">
        <f t="shared" si="127"/>
        <v>0</v>
      </c>
      <c r="R65">
        <f t="shared" si="138"/>
        <v>0</v>
      </c>
      <c r="S65">
        <f t="shared" si="139"/>
        <v>0</v>
      </c>
      <c r="T65">
        <f t="shared" si="140"/>
        <v>0</v>
      </c>
      <c r="W65" s="127">
        <f>+M65/M$161</f>
        <v>0</v>
      </c>
      <c r="X65" s="127"/>
      <c r="Y65" s="107" t="s">
        <v>397</v>
      </c>
      <c r="Z65" s="294"/>
      <c r="AA65" s="294"/>
      <c r="AB65" s="294"/>
      <c r="AC65" s="294"/>
      <c r="AD65" s="294"/>
      <c r="AE65" s="294"/>
      <c r="AF65" s="294"/>
      <c r="AG65" s="294"/>
      <c r="AH65" s="294"/>
      <c r="AI65" s="294"/>
      <c r="AJ65" s="160">
        <f>W65*W$161</f>
        <v>0</v>
      </c>
      <c r="AK65" s="294"/>
      <c r="AL65" s="294"/>
      <c r="AM65" s="162">
        <f t="shared" si="131"/>
        <v>0</v>
      </c>
      <c r="AN65" s="127"/>
      <c r="AO65" s="107" t="s">
        <v>397</v>
      </c>
      <c r="AP65" s="294">
        <f>TripMode_input!R158</f>
        <v>0</v>
      </c>
      <c r="AQ65" s="294">
        <f>TripMode_input!S158</f>
        <v>0</v>
      </c>
      <c r="AR65" s="294">
        <f>TripMode_input!T158</f>
        <v>0</v>
      </c>
      <c r="AS65" s="294">
        <f>TripMode_input!U158</f>
        <v>0</v>
      </c>
      <c r="AT65" s="294">
        <f>TripMode_input!V158</f>
        <v>0</v>
      </c>
      <c r="AU65" s="294">
        <f>TripMode_input!W158</f>
        <v>0</v>
      </c>
      <c r="AV65" s="294">
        <f>TripMode_input!X158</f>
        <v>0</v>
      </c>
      <c r="AW65" s="294">
        <f>TripMode_input!Y158</f>
        <v>0</v>
      </c>
      <c r="AX65" s="294">
        <f>TripMode_input!Z158+TripMode_input!AA158</f>
        <v>0</v>
      </c>
      <c r="AY65" s="294">
        <f>TripMode_input!AB158</f>
        <v>0</v>
      </c>
      <c r="AZ65" s="160">
        <f>TripMode_input!AC158</f>
        <v>0</v>
      </c>
      <c r="BA65" s="294">
        <f>TripMode_input!AD158</f>
        <v>0</v>
      </c>
      <c r="BB65" s="294">
        <f>TripMode_input!AE158</f>
        <v>0</v>
      </c>
      <c r="BC65" s="162">
        <f t="shared" si="132"/>
        <v>0</v>
      </c>
      <c r="BE65" s="107" t="s">
        <v>397</v>
      </c>
      <c r="BF65" s="166" t="str">
        <f t="shared" si="146"/>
        <v/>
      </c>
      <c r="BG65" s="166" t="str">
        <f t="shared" si="146"/>
        <v/>
      </c>
      <c r="BH65" s="166">
        <f t="shared" si="146"/>
        <v>0</v>
      </c>
      <c r="BI65" s="166">
        <f t="shared" si="146"/>
        <v>0</v>
      </c>
      <c r="BJ65" s="166">
        <f t="shared" si="146"/>
        <v>0</v>
      </c>
      <c r="BK65" s="166">
        <f t="shared" si="146"/>
        <v>0</v>
      </c>
      <c r="BL65" s="166">
        <f t="shared" si="146"/>
        <v>0</v>
      </c>
      <c r="BM65" s="166">
        <f t="shared" si="146"/>
        <v>0</v>
      </c>
      <c r="BN65" s="166">
        <f t="shared" si="146"/>
        <v>0</v>
      </c>
      <c r="BO65" s="166" t="str">
        <f t="shared" si="146"/>
        <v/>
      </c>
      <c r="BP65" s="166" t="str">
        <f t="shared" si="146"/>
        <v/>
      </c>
      <c r="BQ65" s="166" t="str">
        <f t="shared" si="146"/>
        <v/>
      </c>
      <c r="BR65" s="166" t="str">
        <f t="shared" si="146"/>
        <v/>
      </c>
      <c r="BS65" s="166">
        <f t="shared" si="146"/>
        <v>0</v>
      </c>
      <c r="BU65" s="107" t="s">
        <v>397</v>
      </c>
      <c r="BV65" s="166">
        <f t="shared" si="147"/>
        <v>0</v>
      </c>
      <c r="BW65" s="166">
        <f t="shared" si="148"/>
        <v>0</v>
      </c>
      <c r="BX65" s="166">
        <f t="shared" si="149"/>
        <v>0</v>
      </c>
      <c r="BY65" s="166">
        <f t="shared" si="150"/>
        <v>0</v>
      </c>
      <c r="BZ65" s="166">
        <f t="shared" si="151"/>
        <v>0</v>
      </c>
      <c r="CA65" s="166">
        <f t="shared" si="152"/>
        <v>0</v>
      </c>
      <c r="CB65" s="166">
        <f t="shared" si="153"/>
        <v>0</v>
      </c>
      <c r="CC65" s="166">
        <f t="shared" si="154"/>
        <v>0</v>
      </c>
      <c r="CD65" s="166">
        <f t="shared" si="155"/>
        <v>0</v>
      </c>
      <c r="CE65" s="166">
        <f t="shared" si="156"/>
        <v>0</v>
      </c>
      <c r="CF65" s="166">
        <f t="shared" si="157"/>
        <v>0</v>
      </c>
      <c r="CG65" s="166">
        <f t="shared" si="158"/>
        <v>0</v>
      </c>
      <c r="CH65" s="166">
        <f t="shared" si="159"/>
        <v>0</v>
      </c>
      <c r="CI65" s="168">
        <f t="shared" si="160"/>
        <v>0</v>
      </c>
      <c r="CK65" s="107" t="s">
        <v>397</v>
      </c>
      <c r="CL65" s="166" t="str">
        <f t="shared" si="162"/>
        <v/>
      </c>
      <c r="CM65" s="166" t="str">
        <f t="shared" si="163"/>
        <v/>
      </c>
      <c r="CN65" s="166" t="str">
        <f t="shared" si="164"/>
        <v/>
      </c>
      <c r="CO65" s="166" t="str">
        <f t="shared" si="165"/>
        <v/>
      </c>
      <c r="CP65" s="166"/>
      <c r="CQ65" s="166"/>
      <c r="CR65" s="166"/>
      <c r="CS65" s="166"/>
      <c r="CT65" s="166" t="str">
        <f t="shared" si="166"/>
        <v/>
      </c>
      <c r="CU65" s="166" t="str">
        <f t="shared" si="167"/>
        <v/>
      </c>
      <c r="CV65" s="166" t="str">
        <f t="shared" si="168"/>
        <v/>
      </c>
      <c r="CW65" s="166" t="str">
        <f t="shared" si="169"/>
        <v/>
      </c>
      <c r="CX65" s="166" t="str">
        <f t="shared" si="170"/>
        <v/>
      </c>
      <c r="CY65" s="168" t="str">
        <f t="shared" si="171"/>
        <v/>
      </c>
      <c r="DA65" s="107" t="s">
        <v>397</v>
      </c>
      <c r="DB65" s="315"/>
      <c r="DC65" s="315"/>
      <c r="DD65" s="315"/>
      <c r="DE65" s="315"/>
      <c r="DF65" s="315"/>
      <c r="DG65" s="315"/>
      <c r="DH65" s="315"/>
      <c r="DI65" s="315"/>
      <c r="DJ65" s="315"/>
      <c r="DK65" s="315"/>
      <c r="DL65" s="314">
        <f>IFERROR(IF(CF65&gt;0,LN(BP65/CF65),0),0)</f>
        <v>0</v>
      </c>
      <c r="DM65" s="315"/>
      <c r="DN65" s="315"/>
      <c r="DO65" s="168"/>
      <c r="DQ65" s="107" t="s">
        <v>397</v>
      </c>
      <c r="DR65" s="315"/>
      <c r="DS65" s="315"/>
      <c r="DT65" s="315"/>
      <c r="DU65" s="315"/>
      <c r="DV65" s="315"/>
      <c r="DW65" s="315"/>
      <c r="DX65" s="315"/>
      <c r="DY65" s="315"/>
      <c r="DZ65" s="315"/>
      <c r="EA65" s="315"/>
      <c r="EB65" s="314">
        <v>0</v>
      </c>
      <c r="EC65" s="315"/>
      <c r="ED65" s="315"/>
      <c r="EE65" s="168"/>
      <c r="EG65" s="107" t="s">
        <v>397</v>
      </c>
      <c r="EH65" s="315"/>
      <c r="EI65" s="315"/>
      <c r="EJ65" s="315"/>
      <c r="EK65" s="315"/>
      <c r="EL65" s="315"/>
      <c r="EM65" s="315"/>
      <c r="EN65" s="315"/>
      <c r="EO65" s="315"/>
      <c r="EP65" s="315"/>
      <c r="EQ65" s="315"/>
      <c r="ER65" s="314">
        <v>0</v>
      </c>
      <c r="ES65" s="315"/>
      <c r="ET65" s="315"/>
      <c r="EU65" s="168"/>
      <c r="EW65" s="164" t="s">
        <v>397</v>
      </c>
      <c r="EX65" s="316">
        <f t="shared" si="141"/>
        <v>0</v>
      </c>
      <c r="EY65" s="316">
        <f t="shared" si="137"/>
        <v>0</v>
      </c>
      <c r="EZ65" s="316">
        <f t="shared" si="137"/>
        <v>0</v>
      </c>
      <c r="FA65" s="316">
        <f t="shared" si="137"/>
        <v>0</v>
      </c>
      <c r="FB65" s="316">
        <f t="shared" si="137"/>
        <v>0</v>
      </c>
      <c r="FC65" s="316">
        <f t="shared" si="137"/>
        <v>0</v>
      </c>
      <c r="FD65" s="316">
        <f t="shared" si="137"/>
        <v>0</v>
      </c>
      <c r="FE65" s="316">
        <f t="shared" si="137"/>
        <v>0</v>
      </c>
      <c r="FF65" s="316"/>
      <c r="FG65" s="316">
        <f t="shared" si="137"/>
        <v>0</v>
      </c>
      <c r="FH65" s="316">
        <f t="shared" si="137"/>
        <v>0</v>
      </c>
      <c r="FI65" s="316">
        <f t="shared" si="137"/>
        <v>0</v>
      </c>
      <c r="FJ65" s="316">
        <f t="shared" si="137"/>
        <v>0</v>
      </c>
      <c r="FK65" s="316">
        <f t="shared" si="137"/>
        <v>0</v>
      </c>
      <c r="FL65" s="168"/>
    </row>
    <row r="66" spans="2:168" x14ac:dyDescent="0.25">
      <c r="B66" s="107" t="s">
        <v>398</v>
      </c>
      <c r="C66" s="294"/>
      <c r="D66" s="294"/>
      <c r="E66" s="294"/>
      <c r="F66" s="294"/>
      <c r="G66" s="294"/>
      <c r="H66" s="294"/>
      <c r="I66" s="294"/>
      <c r="J66" s="294"/>
      <c r="K66" s="160">
        <f>TripMode_input!J159+TripMode_input!K159</f>
        <v>0</v>
      </c>
      <c r="L66" s="294"/>
      <c r="M66" s="294"/>
      <c r="N66" s="160">
        <f>TripMode_input!N159</f>
        <v>0</v>
      </c>
      <c r="O66" s="294"/>
      <c r="P66" s="162">
        <f t="shared" si="127"/>
        <v>0</v>
      </c>
      <c r="R66">
        <f t="shared" si="138"/>
        <v>0</v>
      </c>
      <c r="S66">
        <f t="shared" si="139"/>
        <v>0</v>
      </c>
      <c r="T66">
        <f t="shared" si="140"/>
        <v>0</v>
      </c>
      <c r="Y66" s="107" t="s">
        <v>398</v>
      </c>
      <c r="Z66" s="294"/>
      <c r="AA66" s="294"/>
      <c r="AB66" s="294"/>
      <c r="AC66" s="294"/>
      <c r="AD66" s="294"/>
      <c r="AE66" s="294"/>
      <c r="AF66" s="294"/>
      <c r="AG66" s="294"/>
      <c r="AH66" s="160">
        <f>AH63*R66</f>
        <v>0</v>
      </c>
      <c r="AI66" s="160">
        <f>AI64*S66</f>
        <v>0</v>
      </c>
      <c r="AJ66" s="160">
        <f>AJ65*T66</f>
        <v>0</v>
      </c>
      <c r="AK66" s="160">
        <f>N66</f>
        <v>0</v>
      </c>
      <c r="AL66" s="294"/>
      <c r="AM66" s="162">
        <f t="shared" si="131"/>
        <v>0</v>
      </c>
      <c r="AO66" s="107" t="s">
        <v>398</v>
      </c>
      <c r="AP66" s="294">
        <f>TripMode_input!R159</f>
        <v>0</v>
      </c>
      <c r="AQ66" s="294">
        <f>TripMode_input!S159</f>
        <v>0</v>
      </c>
      <c r="AR66" s="294">
        <f>TripMode_input!T159</f>
        <v>0</v>
      </c>
      <c r="AS66" s="294">
        <f>TripMode_input!U159</f>
        <v>0</v>
      </c>
      <c r="AT66" s="294">
        <f>TripMode_input!V159</f>
        <v>0</v>
      </c>
      <c r="AU66" s="294">
        <f>TripMode_input!W159</f>
        <v>0</v>
      </c>
      <c r="AV66" s="294">
        <f>TripMode_input!X159</f>
        <v>0</v>
      </c>
      <c r="AW66" s="294">
        <f>TripMode_input!Y159</f>
        <v>0</v>
      </c>
      <c r="AX66" s="160">
        <f>TripMode_input!Z159+TripMode_input!AA159</f>
        <v>0</v>
      </c>
      <c r="AY66" s="160">
        <f>TripMode_input!AB159</f>
        <v>0</v>
      </c>
      <c r="AZ66" s="160">
        <f>TripMode_input!AC159</f>
        <v>0</v>
      </c>
      <c r="BA66" s="160">
        <f>TripMode_input!AD159</f>
        <v>0</v>
      </c>
      <c r="BB66" s="294">
        <f>TripMode_input!AE159</f>
        <v>0</v>
      </c>
      <c r="BC66" s="162">
        <f t="shared" si="132"/>
        <v>0</v>
      </c>
      <c r="BE66" s="107" t="s">
        <v>398</v>
      </c>
      <c r="BF66" s="166" t="str">
        <f t="shared" si="146"/>
        <v/>
      </c>
      <c r="BG66" s="166" t="str">
        <f t="shared" si="146"/>
        <v/>
      </c>
      <c r="BH66" s="166">
        <f t="shared" si="146"/>
        <v>0</v>
      </c>
      <c r="BI66" s="166">
        <f t="shared" si="146"/>
        <v>0</v>
      </c>
      <c r="BJ66" s="166">
        <f t="shared" si="146"/>
        <v>0</v>
      </c>
      <c r="BK66" s="166">
        <f t="shared" si="146"/>
        <v>0</v>
      </c>
      <c r="BL66" s="166">
        <f t="shared" si="146"/>
        <v>0</v>
      </c>
      <c r="BM66" s="166">
        <f t="shared" si="146"/>
        <v>0</v>
      </c>
      <c r="BN66" s="166">
        <f t="shared" si="146"/>
        <v>0</v>
      </c>
      <c r="BO66" s="166" t="str">
        <f t="shared" si="146"/>
        <v/>
      </c>
      <c r="BP66" s="166" t="str">
        <f t="shared" si="146"/>
        <v/>
      </c>
      <c r="BQ66" s="166" t="str">
        <f t="shared" si="146"/>
        <v/>
      </c>
      <c r="BR66" s="166" t="str">
        <f t="shared" si="146"/>
        <v/>
      </c>
      <c r="BS66" s="166">
        <f t="shared" si="146"/>
        <v>0</v>
      </c>
      <c r="BU66" s="107" t="s">
        <v>398</v>
      </c>
      <c r="BV66" s="166">
        <f t="shared" si="147"/>
        <v>0</v>
      </c>
      <c r="BW66" s="166">
        <f t="shared" si="148"/>
        <v>0</v>
      </c>
      <c r="BX66" s="166">
        <f t="shared" si="149"/>
        <v>0</v>
      </c>
      <c r="BY66" s="166">
        <f t="shared" si="150"/>
        <v>0</v>
      </c>
      <c r="BZ66" s="166">
        <f t="shared" si="151"/>
        <v>0</v>
      </c>
      <c r="CA66" s="166">
        <f t="shared" si="152"/>
        <v>0</v>
      </c>
      <c r="CB66" s="166">
        <f t="shared" si="153"/>
        <v>0</v>
      </c>
      <c r="CC66" s="166">
        <f t="shared" si="154"/>
        <v>0</v>
      </c>
      <c r="CD66" s="166">
        <f t="shared" si="155"/>
        <v>0</v>
      </c>
      <c r="CE66" s="166">
        <f t="shared" si="156"/>
        <v>0</v>
      </c>
      <c r="CF66" s="166">
        <f t="shared" si="157"/>
        <v>0</v>
      </c>
      <c r="CG66" s="166">
        <f t="shared" si="158"/>
        <v>0</v>
      </c>
      <c r="CH66" s="166">
        <f t="shared" si="159"/>
        <v>0</v>
      </c>
      <c r="CI66" s="168">
        <f t="shared" si="160"/>
        <v>0</v>
      </c>
      <c r="CK66" s="107" t="s">
        <v>398</v>
      </c>
      <c r="CL66" s="166" t="str">
        <f t="shared" si="162"/>
        <v/>
      </c>
      <c r="CM66" s="166" t="str">
        <f t="shared" si="163"/>
        <v/>
      </c>
      <c r="CN66" s="166" t="str">
        <f t="shared" si="164"/>
        <v/>
      </c>
      <c r="CO66" s="166" t="str">
        <f t="shared" si="165"/>
        <v/>
      </c>
      <c r="CP66" s="166"/>
      <c r="CQ66" s="166"/>
      <c r="CR66" s="166"/>
      <c r="CS66" s="166"/>
      <c r="CT66" s="166" t="str">
        <f t="shared" si="166"/>
        <v/>
      </c>
      <c r="CU66" s="166" t="str">
        <f t="shared" si="167"/>
        <v/>
      </c>
      <c r="CV66" s="166" t="str">
        <f t="shared" si="168"/>
        <v/>
      </c>
      <c r="CW66" s="166" t="str">
        <f t="shared" si="169"/>
        <v/>
      </c>
      <c r="CX66" s="166" t="str">
        <f t="shared" si="170"/>
        <v/>
      </c>
      <c r="CY66" s="168" t="str">
        <f t="shared" si="171"/>
        <v/>
      </c>
      <c r="DA66" s="107" t="s">
        <v>398</v>
      </c>
      <c r="DB66" s="315"/>
      <c r="DC66" s="315"/>
      <c r="DD66" s="315"/>
      <c r="DE66" s="315"/>
      <c r="DF66" s="315"/>
      <c r="DG66" s="315"/>
      <c r="DH66" s="315"/>
      <c r="DI66" s="315"/>
      <c r="DJ66" s="314">
        <f t="shared" si="161"/>
        <v>0</v>
      </c>
      <c r="DK66" s="314">
        <f>IFERROR(IF(CE66&gt;0,LN(BO66/CE66),0),0)</f>
        <v>0</v>
      </c>
      <c r="DL66" s="314">
        <f>IFERROR(IF(CF66&gt;0,LN(BP66/CF66),0),0)</f>
        <v>0</v>
      </c>
      <c r="DM66" s="314">
        <f>IFERROR(IF(CG66&gt;0,LN(BQ66/CG66),0),0)</f>
        <v>0</v>
      </c>
      <c r="DN66" s="315"/>
      <c r="DO66" s="168"/>
      <c r="DQ66" s="107" t="s">
        <v>398</v>
      </c>
      <c r="DR66" s="315"/>
      <c r="DS66" s="315"/>
      <c r="DT66" s="315"/>
      <c r="DU66" s="315"/>
      <c r="DV66" s="315"/>
      <c r="DW66" s="315"/>
      <c r="DX66" s="315"/>
      <c r="DY66" s="315"/>
      <c r="DZ66" s="314">
        <v>0</v>
      </c>
      <c r="EA66" s="314">
        <v>0</v>
      </c>
      <c r="EB66" s="314">
        <v>0</v>
      </c>
      <c r="EC66" s="314">
        <v>0</v>
      </c>
      <c r="ED66" s="315"/>
      <c r="EE66" s="168"/>
      <c r="EG66" s="107" t="s">
        <v>398</v>
      </c>
      <c r="EH66" s="315"/>
      <c r="EI66" s="315"/>
      <c r="EJ66" s="315"/>
      <c r="EK66" s="315"/>
      <c r="EL66" s="315"/>
      <c r="EM66" s="315"/>
      <c r="EN66" s="315"/>
      <c r="EO66" s="315"/>
      <c r="EP66" s="314">
        <f>DZ66+(DJ66-DJ$63)*$EI$1</f>
        <v>0</v>
      </c>
      <c r="EQ66" s="314">
        <f>EA66+(DK66-DK$64)*$EI$1</f>
        <v>0</v>
      </c>
      <c r="ER66" s="314">
        <f>EB66+(DL66-DL$65)*$EI$1</f>
        <v>0</v>
      </c>
      <c r="ES66" s="314">
        <v>0</v>
      </c>
      <c r="ET66" s="315"/>
      <c r="EU66" s="168"/>
      <c r="EW66" s="164" t="s">
        <v>398</v>
      </c>
      <c r="EX66" s="316">
        <f t="shared" si="141"/>
        <v>0</v>
      </c>
      <c r="EY66" s="316">
        <f t="shared" si="137"/>
        <v>0</v>
      </c>
      <c r="EZ66" s="316">
        <f t="shared" si="137"/>
        <v>0</v>
      </c>
      <c r="FA66" s="316">
        <f t="shared" si="137"/>
        <v>0</v>
      </c>
      <c r="FB66" s="316">
        <f t="shared" si="137"/>
        <v>0</v>
      </c>
      <c r="FC66" s="316">
        <f t="shared" si="137"/>
        <v>0</v>
      </c>
      <c r="FD66" s="316">
        <f t="shared" si="137"/>
        <v>0</v>
      </c>
      <c r="FE66" s="316">
        <f t="shared" si="137"/>
        <v>0</v>
      </c>
      <c r="FF66" s="316"/>
      <c r="FG66" s="316">
        <f t="shared" si="137"/>
        <v>0</v>
      </c>
      <c r="FH66" s="316">
        <f t="shared" si="137"/>
        <v>0</v>
      </c>
      <c r="FI66" s="316">
        <f t="shared" si="137"/>
        <v>0</v>
      </c>
      <c r="FJ66" s="316">
        <f t="shared" si="137"/>
        <v>0</v>
      </c>
      <c r="FK66" s="316">
        <f t="shared" si="137"/>
        <v>0</v>
      </c>
      <c r="FL66" s="168"/>
    </row>
    <row r="67" spans="2:168" x14ac:dyDescent="0.25">
      <c r="B67" s="107" t="s">
        <v>399</v>
      </c>
      <c r="C67" s="294"/>
      <c r="D67" s="294"/>
      <c r="E67" s="294"/>
      <c r="F67" s="294"/>
      <c r="G67" s="294"/>
      <c r="H67" s="294"/>
      <c r="I67" s="294"/>
      <c r="J67" s="294"/>
      <c r="K67" s="294"/>
      <c r="L67" s="294"/>
      <c r="M67" s="294"/>
      <c r="N67" s="294"/>
      <c r="O67" s="160">
        <f>TripMode_input!O160</f>
        <v>0</v>
      </c>
      <c r="P67" s="162">
        <f t="shared" si="127"/>
        <v>0</v>
      </c>
      <c r="R67">
        <f t="shared" si="138"/>
        <v>0</v>
      </c>
      <c r="S67">
        <f t="shared" si="139"/>
        <v>0</v>
      </c>
      <c r="T67">
        <f t="shared" si="140"/>
        <v>0</v>
      </c>
      <c r="Y67" s="107" t="s">
        <v>399</v>
      </c>
      <c r="Z67" s="294"/>
      <c r="AA67" s="294"/>
      <c r="AB67" s="294"/>
      <c r="AC67" s="294"/>
      <c r="AD67" s="294"/>
      <c r="AE67" s="294"/>
      <c r="AF67" s="294"/>
      <c r="AG67" s="294"/>
      <c r="AH67" s="294"/>
      <c r="AI67" s="294"/>
      <c r="AJ67" s="294"/>
      <c r="AK67" s="294"/>
      <c r="AL67" s="160">
        <f>+O67</f>
        <v>0</v>
      </c>
      <c r="AM67" s="162">
        <f t="shared" si="131"/>
        <v>0</v>
      </c>
      <c r="AO67" s="107" t="s">
        <v>399</v>
      </c>
      <c r="AP67" s="294">
        <f>TripMode_input!R160</f>
        <v>0</v>
      </c>
      <c r="AQ67" s="294">
        <f>TripMode_input!S160</f>
        <v>0</v>
      </c>
      <c r="AR67" s="294">
        <f>TripMode_input!T160</f>
        <v>0</v>
      </c>
      <c r="AS67" s="294">
        <f>TripMode_input!U160</f>
        <v>0</v>
      </c>
      <c r="AT67" s="294">
        <f>TripMode_input!V160</f>
        <v>0</v>
      </c>
      <c r="AU67" s="294">
        <f>TripMode_input!W160</f>
        <v>0</v>
      </c>
      <c r="AV67" s="294">
        <f>TripMode_input!X160</f>
        <v>0</v>
      </c>
      <c r="AW67" s="294">
        <f>TripMode_input!Y160</f>
        <v>0</v>
      </c>
      <c r="AX67" s="294">
        <f>TripMode_input!Z160+TripMode_input!AA160</f>
        <v>3</v>
      </c>
      <c r="AY67" s="294">
        <f>TripMode_input!AB160</f>
        <v>0</v>
      </c>
      <c r="AZ67" s="294">
        <f>TripMode_input!AC160</f>
        <v>0</v>
      </c>
      <c r="BA67" s="294">
        <f>TripMode_input!AD160</f>
        <v>0</v>
      </c>
      <c r="BB67" s="160">
        <f>TripMode_input!AE160</f>
        <v>0</v>
      </c>
      <c r="BC67" s="162">
        <f t="shared" si="132"/>
        <v>3</v>
      </c>
      <c r="BE67" s="107" t="s">
        <v>399</v>
      </c>
      <c r="BF67" s="166" t="str">
        <f t="shared" si="146"/>
        <v/>
      </c>
      <c r="BG67" s="166" t="str">
        <f t="shared" si="146"/>
        <v/>
      </c>
      <c r="BH67" s="166">
        <f t="shared" si="146"/>
        <v>0</v>
      </c>
      <c r="BI67" s="166">
        <f t="shared" si="146"/>
        <v>0</v>
      </c>
      <c r="BJ67" s="166">
        <f t="shared" si="146"/>
        <v>0</v>
      </c>
      <c r="BK67" s="166">
        <f t="shared" si="146"/>
        <v>0</v>
      </c>
      <c r="BL67" s="166">
        <f t="shared" si="146"/>
        <v>0</v>
      </c>
      <c r="BM67" s="166">
        <f t="shared" si="146"/>
        <v>0</v>
      </c>
      <c r="BN67" s="166">
        <f t="shared" si="146"/>
        <v>0</v>
      </c>
      <c r="BO67" s="166" t="str">
        <f t="shared" si="146"/>
        <v/>
      </c>
      <c r="BP67" s="166" t="str">
        <f t="shared" si="146"/>
        <v/>
      </c>
      <c r="BQ67" s="166" t="str">
        <f t="shared" si="146"/>
        <v/>
      </c>
      <c r="BR67" s="166" t="str">
        <f t="shared" si="146"/>
        <v/>
      </c>
      <c r="BS67" s="166">
        <f t="shared" si="146"/>
        <v>0</v>
      </c>
      <c r="BU67" s="107" t="s">
        <v>399</v>
      </c>
      <c r="BV67" s="166">
        <f t="shared" si="147"/>
        <v>0</v>
      </c>
      <c r="BW67" s="166">
        <f t="shared" si="148"/>
        <v>0</v>
      </c>
      <c r="BX67" s="166">
        <f t="shared" si="149"/>
        <v>0</v>
      </c>
      <c r="BY67" s="166">
        <f t="shared" si="150"/>
        <v>0</v>
      </c>
      <c r="BZ67" s="166">
        <f t="shared" si="151"/>
        <v>0</v>
      </c>
      <c r="CA67" s="166">
        <f t="shared" si="152"/>
        <v>0</v>
      </c>
      <c r="CB67" s="166">
        <f t="shared" si="153"/>
        <v>0</v>
      </c>
      <c r="CC67" s="166">
        <f t="shared" si="154"/>
        <v>0</v>
      </c>
      <c r="CD67" s="166">
        <f t="shared" si="155"/>
        <v>2.8628685943315201E-5</v>
      </c>
      <c r="CE67" s="166">
        <f t="shared" si="156"/>
        <v>0</v>
      </c>
      <c r="CF67" s="166">
        <f t="shared" si="157"/>
        <v>0</v>
      </c>
      <c r="CG67" s="166">
        <f t="shared" si="158"/>
        <v>0</v>
      </c>
      <c r="CH67" s="166">
        <f t="shared" si="159"/>
        <v>0</v>
      </c>
      <c r="CI67" s="168">
        <f t="shared" si="160"/>
        <v>7.9776413305642058E-7</v>
      </c>
      <c r="CK67" s="107" t="s">
        <v>399</v>
      </c>
      <c r="CL67" s="166" t="str">
        <f t="shared" si="162"/>
        <v/>
      </c>
      <c r="CM67" s="166" t="str">
        <f t="shared" si="163"/>
        <v/>
      </c>
      <c r="CN67" s="166" t="str">
        <f t="shared" si="164"/>
        <v/>
      </c>
      <c r="CO67" s="166" t="str">
        <f t="shared" si="165"/>
        <v/>
      </c>
      <c r="CP67" s="166"/>
      <c r="CQ67" s="166"/>
      <c r="CR67" s="166"/>
      <c r="CS67" s="166"/>
      <c r="CT67" s="166" t="str">
        <f t="shared" si="166"/>
        <v/>
      </c>
      <c r="CU67" s="166" t="str">
        <f t="shared" si="167"/>
        <v/>
      </c>
      <c r="CV67" s="166" t="str">
        <f t="shared" si="168"/>
        <v/>
      </c>
      <c r="CW67" s="166" t="str">
        <f t="shared" si="169"/>
        <v/>
      </c>
      <c r="CX67" s="166" t="str">
        <f t="shared" si="170"/>
        <v/>
      </c>
      <c r="CY67" s="168" t="str">
        <f t="shared" si="171"/>
        <v/>
      </c>
      <c r="DA67" s="107" t="s">
        <v>399</v>
      </c>
      <c r="DB67" s="315"/>
      <c r="DC67" s="315"/>
      <c r="DD67" s="315"/>
      <c r="DE67" s="315"/>
      <c r="DF67" s="315"/>
      <c r="DG67" s="315"/>
      <c r="DH67" s="315"/>
      <c r="DI67" s="315"/>
      <c r="DJ67" s="315"/>
      <c r="DK67" s="315"/>
      <c r="DL67" s="315"/>
      <c r="DM67" s="315"/>
      <c r="DN67" s="314">
        <f>IFERROR(IF(CH67&gt;0,LN(BR67/CH67),0),0)</f>
        <v>0</v>
      </c>
      <c r="DO67" s="168"/>
      <c r="DQ67" s="107" t="s">
        <v>399</v>
      </c>
      <c r="DR67" s="315"/>
      <c r="DS67" s="315"/>
      <c r="DT67" s="315"/>
      <c r="DU67" s="315"/>
      <c r="DV67" s="315"/>
      <c r="DW67" s="315"/>
      <c r="DX67" s="315"/>
      <c r="DY67" s="315"/>
      <c r="DZ67" s="315"/>
      <c r="EA67" s="315"/>
      <c r="EB67" s="315"/>
      <c r="EC67" s="315"/>
      <c r="ED67" s="314">
        <v>0</v>
      </c>
      <c r="EE67" s="168"/>
      <c r="EG67" s="107" t="s">
        <v>399</v>
      </c>
      <c r="EH67" s="315"/>
      <c r="EI67" s="315"/>
      <c r="EJ67" s="315"/>
      <c r="EK67" s="315"/>
      <c r="EL67" s="315"/>
      <c r="EM67" s="315"/>
      <c r="EN67" s="315"/>
      <c r="EO67" s="315"/>
      <c r="EP67" s="315"/>
      <c r="EQ67" s="315"/>
      <c r="ER67" s="315"/>
      <c r="ES67" s="315"/>
      <c r="ET67" s="314">
        <v>0</v>
      </c>
      <c r="EU67" s="168"/>
      <c r="EW67" s="164" t="s">
        <v>399</v>
      </c>
      <c r="EX67" s="316">
        <f t="shared" si="141"/>
        <v>0</v>
      </c>
      <c r="EY67" s="316">
        <f t="shared" si="137"/>
        <v>0</v>
      </c>
      <c r="EZ67" s="316">
        <f t="shared" si="137"/>
        <v>0</v>
      </c>
      <c r="FA67" s="316">
        <f t="shared" si="137"/>
        <v>0</v>
      </c>
      <c r="FB67" s="316">
        <f t="shared" si="137"/>
        <v>0</v>
      </c>
      <c r="FC67" s="316">
        <f t="shared" si="137"/>
        <v>0</v>
      </c>
      <c r="FD67" s="316">
        <f t="shared" si="137"/>
        <v>0</v>
      </c>
      <c r="FE67" s="316">
        <f t="shared" si="137"/>
        <v>0</v>
      </c>
      <c r="FF67" s="316"/>
      <c r="FG67" s="316">
        <f t="shared" si="137"/>
        <v>0</v>
      </c>
      <c r="FH67" s="316">
        <f t="shared" si="137"/>
        <v>0</v>
      </c>
      <c r="FI67" s="316">
        <f t="shared" si="137"/>
        <v>0</v>
      </c>
      <c r="FJ67" s="316">
        <f t="shared" si="137"/>
        <v>0</v>
      </c>
      <c r="FK67" s="316">
        <f t="shared" si="137"/>
        <v>0</v>
      </c>
      <c r="FL67" s="168"/>
    </row>
    <row r="68" spans="2:168" ht="15.75" thickBot="1" x14ac:dyDescent="0.3">
      <c r="B68" s="108" t="s">
        <v>29</v>
      </c>
      <c r="C68" s="109">
        <f t="shared" ref="C68:P68" si="172">SUM(C55:C67)</f>
        <v>0</v>
      </c>
      <c r="D68" s="110">
        <f t="shared" si="172"/>
        <v>0</v>
      </c>
      <c r="E68" s="110">
        <f t="shared" si="172"/>
        <v>929114.45029000007</v>
      </c>
      <c r="F68" s="110">
        <f t="shared" si="172"/>
        <v>620.48316</v>
      </c>
      <c r="G68" s="110">
        <f t="shared" si="172"/>
        <v>1369496.9615799999</v>
      </c>
      <c r="H68" s="110">
        <f t="shared" si="172"/>
        <v>10589.78738</v>
      </c>
      <c r="I68" s="110">
        <f t="shared" si="172"/>
        <v>267033.64922999998</v>
      </c>
      <c r="J68" s="110">
        <f t="shared" si="172"/>
        <v>8242.5337600000003</v>
      </c>
      <c r="K68" s="110">
        <f t="shared" si="172"/>
        <v>16730.943800000001</v>
      </c>
      <c r="L68" s="110">
        <f t="shared" si="172"/>
        <v>0</v>
      </c>
      <c r="M68" s="110">
        <f t="shared" si="172"/>
        <v>0</v>
      </c>
      <c r="N68" s="110">
        <f t="shared" si="172"/>
        <v>0</v>
      </c>
      <c r="O68" s="110">
        <f t="shared" si="172"/>
        <v>0</v>
      </c>
      <c r="P68" s="112">
        <f t="shared" si="172"/>
        <v>2601828.8092000005</v>
      </c>
      <c r="Y68" s="108" t="s">
        <v>29</v>
      </c>
      <c r="Z68" s="109">
        <f t="shared" ref="Z68:AM68" si="173">SUM(Z55:Z67)</f>
        <v>0</v>
      </c>
      <c r="AA68" s="110">
        <f t="shared" si="173"/>
        <v>0</v>
      </c>
      <c r="AB68" s="110">
        <f t="shared" si="173"/>
        <v>929114.45029000007</v>
      </c>
      <c r="AC68" s="110">
        <f t="shared" si="173"/>
        <v>620.48316</v>
      </c>
      <c r="AD68" s="110">
        <f t="shared" si="173"/>
        <v>1369496.9615799999</v>
      </c>
      <c r="AE68" s="110">
        <f t="shared" si="173"/>
        <v>10589.78738</v>
      </c>
      <c r="AF68" s="110">
        <f t="shared" si="173"/>
        <v>267033.64922999998</v>
      </c>
      <c r="AG68" s="110">
        <f t="shared" si="173"/>
        <v>8242.5337600000003</v>
      </c>
      <c r="AH68" s="110">
        <f t="shared" si="173"/>
        <v>17660.435990656471</v>
      </c>
      <c r="AI68" s="110">
        <f t="shared" si="173"/>
        <v>0</v>
      </c>
      <c r="AJ68" s="110">
        <f t="shared" si="173"/>
        <v>0</v>
      </c>
      <c r="AK68" s="110">
        <f t="shared" si="173"/>
        <v>0</v>
      </c>
      <c r="AL68" s="110">
        <f t="shared" si="173"/>
        <v>0</v>
      </c>
      <c r="AM68" s="112">
        <f t="shared" si="173"/>
        <v>2602758.3013906567</v>
      </c>
      <c r="AO68" s="108" t="s">
        <v>29</v>
      </c>
      <c r="AP68" s="109">
        <f t="shared" ref="AP68:BC68" si="174">SUM(AP55:AP67)</f>
        <v>0</v>
      </c>
      <c r="AQ68" s="110">
        <f t="shared" si="174"/>
        <v>0</v>
      </c>
      <c r="AR68" s="110">
        <f t="shared" si="174"/>
        <v>227812</v>
      </c>
      <c r="AS68" s="110">
        <f t="shared" si="174"/>
        <v>5547</v>
      </c>
      <c r="AT68" s="110">
        <f t="shared" si="174"/>
        <v>268285</v>
      </c>
      <c r="AU68" s="110">
        <f t="shared" si="174"/>
        <v>7071</v>
      </c>
      <c r="AV68" s="110">
        <f t="shared" si="174"/>
        <v>98261</v>
      </c>
      <c r="AW68" s="110">
        <f t="shared" si="174"/>
        <v>1955</v>
      </c>
      <c r="AX68" s="110">
        <f t="shared" si="174"/>
        <v>1616</v>
      </c>
      <c r="AY68" s="110">
        <f t="shared" si="174"/>
        <v>0</v>
      </c>
      <c r="AZ68" s="110">
        <f t="shared" si="174"/>
        <v>0</v>
      </c>
      <c r="BA68" s="110">
        <f t="shared" si="174"/>
        <v>0</v>
      </c>
      <c r="BB68" s="110">
        <f t="shared" si="174"/>
        <v>0</v>
      </c>
      <c r="BC68" s="112">
        <f t="shared" si="174"/>
        <v>610547</v>
      </c>
      <c r="BE68" s="108" t="s">
        <v>29</v>
      </c>
      <c r="BF68" s="120" t="str">
        <f t="shared" si="146"/>
        <v/>
      </c>
      <c r="BG68" s="120" t="str">
        <f t="shared" si="146"/>
        <v/>
      </c>
      <c r="BH68" s="120">
        <f t="shared" si="146"/>
        <v>1</v>
      </c>
      <c r="BI68" s="120">
        <f t="shared" si="146"/>
        <v>1</v>
      </c>
      <c r="BJ68" s="120">
        <f t="shared" si="146"/>
        <v>1</v>
      </c>
      <c r="BK68" s="120">
        <f t="shared" si="146"/>
        <v>1</v>
      </c>
      <c r="BL68" s="120">
        <f t="shared" si="146"/>
        <v>1</v>
      </c>
      <c r="BM68" s="120">
        <f t="shared" si="146"/>
        <v>1</v>
      </c>
      <c r="BN68" s="120">
        <f t="shared" si="146"/>
        <v>1</v>
      </c>
      <c r="BO68" s="120" t="str">
        <f t="shared" si="146"/>
        <v/>
      </c>
      <c r="BP68" s="120" t="str">
        <f t="shared" si="146"/>
        <v/>
      </c>
      <c r="BQ68" s="120" t="str">
        <f t="shared" si="146"/>
        <v/>
      </c>
      <c r="BR68" s="120" t="str">
        <f t="shared" si="146"/>
        <v/>
      </c>
      <c r="BS68" s="120">
        <f t="shared" si="146"/>
        <v>1</v>
      </c>
      <c r="BU68" s="108" t="s">
        <v>29</v>
      </c>
      <c r="BV68" s="120">
        <f t="shared" si="147"/>
        <v>0</v>
      </c>
      <c r="BW68" s="121">
        <f t="shared" si="148"/>
        <v>0</v>
      </c>
      <c r="BX68" s="121">
        <f t="shared" si="149"/>
        <v>0.41404178366638494</v>
      </c>
      <c r="BY68" s="121">
        <f t="shared" si="150"/>
        <v>0.6711433756805808</v>
      </c>
      <c r="BZ68" s="121">
        <f t="shared" si="151"/>
        <v>0.24991034209729629</v>
      </c>
      <c r="CA68" s="121">
        <f t="shared" si="152"/>
        <v>0.17448488587291794</v>
      </c>
      <c r="CB68" s="121">
        <f t="shared" si="153"/>
        <v>0.15225765464237015</v>
      </c>
      <c r="CC68" s="121">
        <f t="shared" si="154"/>
        <v>4.808165272995573E-2</v>
      </c>
      <c r="CD68" s="121">
        <f t="shared" si="155"/>
        <v>1.5421318828132455E-2</v>
      </c>
      <c r="CE68" s="121">
        <f t="shared" si="156"/>
        <v>0</v>
      </c>
      <c r="CF68" s="121">
        <f t="shared" si="157"/>
        <v>0</v>
      </c>
      <c r="CG68" s="121">
        <f t="shared" si="158"/>
        <v>0</v>
      </c>
      <c r="CH68" s="121">
        <f t="shared" si="159"/>
        <v>0</v>
      </c>
      <c r="CI68" s="123">
        <f t="shared" si="160"/>
        <v>0.1623574993817328</v>
      </c>
      <c r="CK68" s="108" t="s">
        <v>29</v>
      </c>
      <c r="CL68" s="120" t="str">
        <f t="shared" si="162"/>
        <v/>
      </c>
      <c r="CM68" s="121" t="str">
        <f t="shared" si="163"/>
        <v/>
      </c>
      <c r="CN68" s="121">
        <f t="shared" si="164"/>
        <v>-0.585958216333615</v>
      </c>
      <c r="CO68" s="121">
        <f t="shared" si="165"/>
        <v>-0.3288566243194192</v>
      </c>
      <c r="CP68" s="121"/>
      <c r="CQ68" s="121"/>
      <c r="CR68" s="121"/>
      <c r="CS68" s="121"/>
      <c r="CT68" s="121">
        <f t="shared" si="166"/>
        <v>-0.98457868117186753</v>
      </c>
      <c r="CU68" s="121" t="str">
        <f t="shared" si="167"/>
        <v/>
      </c>
      <c r="CV68" s="121" t="str">
        <f t="shared" si="168"/>
        <v/>
      </c>
      <c r="CW68" s="121" t="str">
        <f t="shared" si="169"/>
        <v/>
      </c>
      <c r="CX68" s="121" t="str">
        <f t="shared" si="170"/>
        <v/>
      </c>
      <c r="CY68" s="123">
        <f t="shared" si="171"/>
        <v>-0.83764250061826717</v>
      </c>
      <c r="DA68" s="108" t="s">
        <v>29</v>
      </c>
      <c r="DB68" s="120"/>
      <c r="DC68" s="121"/>
      <c r="DD68" s="121"/>
      <c r="DE68" s="121"/>
      <c r="DF68" s="121"/>
      <c r="DG68" s="121"/>
      <c r="DH68" s="121"/>
      <c r="DI68" s="121"/>
      <c r="DJ68" s="121"/>
      <c r="DK68" s="121"/>
      <c r="DL68" s="121"/>
      <c r="DM68" s="121"/>
      <c r="DN68" s="121"/>
      <c r="DO68" s="123"/>
      <c r="DQ68" s="108" t="s">
        <v>29</v>
      </c>
      <c r="DR68" s="120"/>
      <c r="DS68" s="121"/>
      <c r="DT68" s="121"/>
      <c r="DU68" s="121"/>
      <c r="DV68" s="121"/>
      <c r="DW68" s="121"/>
      <c r="DX68" s="121"/>
      <c r="DY68" s="121"/>
      <c r="DZ68" s="121"/>
      <c r="EA68" s="121"/>
      <c r="EB68" s="121"/>
      <c r="EC68" s="121"/>
      <c r="ED68" s="121"/>
      <c r="EE68" s="123"/>
      <c r="EG68" s="108" t="s">
        <v>29</v>
      </c>
      <c r="EH68" s="120"/>
      <c r="EI68" s="121"/>
      <c r="EJ68" s="121"/>
      <c r="EK68" s="121"/>
      <c r="EL68" s="121"/>
      <c r="EM68" s="121"/>
      <c r="EN68" s="121"/>
      <c r="EO68" s="121"/>
      <c r="EP68" s="121"/>
      <c r="EQ68" s="121"/>
      <c r="ER68" s="121"/>
      <c r="ES68" s="121"/>
      <c r="ET68" s="121"/>
      <c r="EU68" s="123"/>
      <c r="EW68" s="108" t="s">
        <v>29</v>
      </c>
      <c r="EX68" s="120"/>
      <c r="EY68" s="121"/>
      <c r="EZ68" s="121"/>
      <c r="FA68" s="121"/>
      <c r="FB68" s="121"/>
      <c r="FC68" s="121"/>
      <c r="FD68" s="121"/>
      <c r="FE68" s="121"/>
      <c r="FF68" s="121"/>
      <c r="FG68" s="121"/>
      <c r="FH68" s="121"/>
      <c r="FI68" s="121"/>
      <c r="FJ68" s="121"/>
      <c r="FK68" s="121"/>
      <c r="FL68" s="123"/>
    </row>
    <row r="69" spans="2:168" x14ac:dyDescent="0.25">
      <c r="B69" t="s">
        <v>220</v>
      </c>
      <c r="C69" s="383" t="s">
        <v>206</v>
      </c>
      <c r="D69" s="383"/>
      <c r="E69" s="383"/>
      <c r="F69" s="383"/>
      <c r="G69" s="383"/>
      <c r="H69" s="383"/>
      <c r="I69" s="383"/>
      <c r="J69" s="383"/>
      <c r="K69" s="383"/>
      <c r="L69" s="383"/>
      <c r="M69" s="383"/>
      <c r="N69" s="383"/>
      <c r="O69" s="383"/>
      <c r="P69" s="383"/>
      <c r="Y69" t="s">
        <v>220</v>
      </c>
      <c r="Z69" s="383" t="s">
        <v>206</v>
      </c>
      <c r="AA69" s="383"/>
      <c r="AB69" s="383"/>
      <c r="AC69" s="383"/>
      <c r="AD69" s="383"/>
      <c r="AE69" s="383"/>
      <c r="AF69" s="383"/>
      <c r="AG69" s="383"/>
      <c r="AH69" s="383"/>
      <c r="AI69" s="383"/>
      <c r="AJ69" s="383"/>
      <c r="AK69" s="383"/>
      <c r="AL69" s="383"/>
      <c r="AM69" s="383"/>
      <c r="AO69" t="s">
        <v>226</v>
      </c>
      <c r="AP69" s="383" t="s">
        <v>206</v>
      </c>
      <c r="AQ69" s="383"/>
      <c r="AR69" s="383"/>
      <c r="AS69" s="383"/>
      <c r="AT69" s="383"/>
      <c r="AU69" s="383"/>
      <c r="AV69" s="383"/>
      <c r="AW69" s="383"/>
      <c r="AX69" s="383"/>
      <c r="AY69" s="383"/>
      <c r="AZ69" s="383"/>
      <c r="BA69" s="383"/>
      <c r="BB69" s="383"/>
      <c r="BC69" s="383"/>
      <c r="BE69" t="s">
        <v>220</v>
      </c>
      <c r="BF69" s="383" t="s">
        <v>206</v>
      </c>
      <c r="BG69" s="383"/>
      <c r="BH69" s="383"/>
      <c r="BI69" s="383"/>
      <c r="BJ69" s="383"/>
      <c r="BK69" s="383"/>
      <c r="BL69" s="383"/>
      <c r="BM69" s="383"/>
      <c r="BN69" s="383"/>
      <c r="BO69" s="383"/>
      <c r="BP69" s="383"/>
      <c r="BQ69" s="383"/>
      <c r="BR69" s="383"/>
      <c r="BS69" s="383"/>
      <c r="BU69" t="s">
        <v>220</v>
      </c>
      <c r="BV69" s="383" t="s">
        <v>206</v>
      </c>
      <c r="BW69" s="383"/>
      <c r="BX69" s="383"/>
      <c r="BY69" s="383"/>
      <c r="BZ69" s="383"/>
      <c r="CA69" s="383"/>
      <c r="CB69" s="383"/>
      <c r="CC69" s="383"/>
      <c r="CD69" s="383"/>
      <c r="CE69" s="383"/>
      <c r="CF69" s="383"/>
      <c r="CG69" s="383"/>
      <c r="CH69" s="383"/>
      <c r="CI69" s="383"/>
      <c r="CK69" t="s">
        <v>220</v>
      </c>
      <c r="CL69" s="383" t="s">
        <v>206</v>
      </c>
      <c r="CM69" s="383"/>
      <c r="CN69" s="383"/>
      <c r="CO69" s="383"/>
      <c r="CP69" s="383"/>
      <c r="CQ69" s="383"/>
      <c r="CR69" s="383"/>
      <c r="CS69" s="383"/>
      <c r="CT69" s="383"/>
      <c r="CU69" s="383"/>
      <c r="CV69" s="383"/>
      <c r="CW69" s="383"/>
      <c r="CX69" s="383"/>
      <c r="CY69" s="383"/>
      <c r="DA69" t="s">
        <v>580</v>
      </c>
      <c r="DB69" s="383" t="s">
        <v>206</v>
      </c>
      <c r="DC69" s="383"/>
      <c r="DD69" s="383"/>
      <c r="DE69" s="383"/>
      <c r="DF69" s="383"/>
      <c r="DG69" s="383"/>
      <c r="DH69" s="383"/>
      <c r="DI69" s="383"/>
      <c r="DJ69" s="383"/>
      <c r="DK69" s="383"/>
      <c r="DL69" s="383"/>
      <c r="DM69" s="383"/>
      <c r="DN69" s="383"/>
      <c r="DO69" s="383"/>
      <c r="DQ69" t="s">
        <v>580</v>
      </c>
      <c r="DR69" s="383" t="s">
        <v>206</v>
      </c>
      <c r="DS69" s="383"/>
      <c r="DT69" s="383"/>
      <c r="DU69" s="383"/>
      <c r="DV69" s="383"/>
      <c r="DW69" s="383"/>
      <c r="DX69" s="383"/>
      <c r="DY69" s="383"/>
      <c r="DZ69" s="383"/>
      <c r="EA69" s="383"/>
      <c r="EB69" s="383"/>
      <c r="EC69" s="383"/>
      <c r="ED69" s="383"/>
      <c r="EE69" s="383"/>
      <c r="EG69" t="s">
        <v>580</v>
      </c>
      <c r="EH69" s="383" t="s">
        <v>206</v>
      </c>
      <c r="EI69" s="383"/>
      <c r="EJ69" s="383"/>
      <c r="EK69" s="383"/>
      <c r="EL69" s="383"/>
      <c r="EM69" s="383"/>
      <c r="EN69" s="383"/>
      <c r="EO69" s="383"/>
      <c r="EP69" s="383"/>
      <c r="EQ69" s="383"/>
      <c r="ER69" s="383"/>
      <c r="ES69" s="383"/>
      <c r="ET69" s="383"/>
      <c r="EU69" s="383"/>
      <c r="EW69" t="s">
        <v>580</v>
      </c>
      <c r="EX69" s="383" t="s">
        <v>207</v>
      </c>
      <c r="EY69" s="383"/>
      <c r="EZ69" s="383"/>
      <c r="FA69" s="383"/>
      <c r="FB69" s="383"/>
      <c r="FC69" s="383"/>
      <c r="FD69" s="383"/>
      <c r="FE69" s="383"/>
      <c r="FF69" s="383"/>
      <c r="FG69" s="383"/>
      <c r="FH69" s="383"/>
      <c r="FI69" s="383"/>
      <c r="FJ69" s="383"/>
      <c r="FK69" s="383"/>
      <c r="FL69" s="383"/>
    </row>
    <row r="70" spans="2:168" ht="35.450000000000003" customHeight="1" x14ac:dyDescent="0.25">
      <c r="B70" s="163" t="s">
        <v>207</v>
      </c>
      <c r="C70" s="164" t="s">
        <v>386</v>
      </c>
      <c r="D70" s="164" t="s">
        <v>387</v>
      </c>
      <c r="E70" s="164" t="s">
        <v>388</v>
      </c>
      <c r="F70" s="164" t="s">
        <v>389</v>
      </c>
      <c r="G70" s="164" t="s">
        <v>390</v>
      </c>
      <c r="H70" s="164" t="s">
        <v>391</v>
      </c>
      <c r="I70" s="164" t="s">
        <v>392</v>
      </c>
      <c r="J70" s="164" t="s">
        <v>393</v>
      </c>
      <c r="K70" s="164" t="s">
        <v>546</v>
      </c>
      <c r="L70" s="164" t="s">
        <v>396</v>
      </c>
      <c r="M70" s="164" t="s">
        <v>397</v>
      </c>
      <c r="N70" s="164" t="s">
        <v>398</v>
      </c>
      <c r="O70" s="164" t="s">
        <v>399</v>
      </c>
      <c r="P70" s="106" t="s">
        <v>29</v>
      </c>
      <c r="R70" s="164" t="s">
        <v>546</v>
      </c>
      <c r="S70" s="164" t="s">
        <v>396</v>
      </c>
      <c r="T70" s="164" t="s">
        <v>397</v>
      </c>
      <c r="U70" s="164" t="s">
        <v>546</v>
      </c>
      <c r="V70" s="164" t="s">
        <v>396</v>
      </c>
      <c r="W70" s="164" t="s">
        <v>397</v>
      </c>
      <c r="X70" s="296"/>
      <c r="Y70" s="163" t="s">
        <v>207</v>
      </c>
      <c r="Z70" s="164" t="s">
        <v>386</v>
      </c>
      <c r="AA70" s="164" t="s">
        <v>387</v>
      </c>
      <c r="AB70" s="164" t="s">
        <v>388</v>
      </c>
      <c r="AC70" s="164" t="s">
        <v>389</v>
      </c>
      <c r="AD70" s="164" t="s">
        <v>390</v>
      </c>
      <c r="AE70" s="164" t="s">
        <v>391</v>
      </c>
      <c r="AF70" s="164" t="s">
        <v>392</v>
      </c>
      <c r="AG70" s="164" t="s">
        <v>393</v>
      </c>
      <c r="AH70" s="164" t="s">
        <v>546</v>
      </c>
      <c r="AI70" s="164" t="s">
        <v>396</v>
      </c>
      <c r="AJ70" s="164" t="s">
        <v>397</v>
      </c>
      <c r="AK70" s="164" t="s">
        <v>398</v>
      </c>
      <c r="AL70" s="164" t="s">
        <v>399</v>
      </c>
      <c r="AM70" s="106" t="s">
        <v>29</v>
      </c>
      <c r="AN70" s="296"/>
      <c r="AO70" s="163" t="s">
        <v>207</v>
      </c>
      <c r="AP70" s="164" t="s">
        <v>386</v>
      </c>
      <c r="AQ70" s="164" t="s">
        <v>387</v>
      </c>
      <c r="AR70" s="164" t="s">
        <v>388</v>
      </c>
      <c r="AS70" s="164" t="s">
        <v>389</v>
      </c>
      <c r="AT70" s="164" t="s">
        <v>390</v>
      </c>
      <c r="AU70" s="164" t="s">
        <v>391</v>
      </c>
      <c r="AV70" s="164" t="s">
        <v>392</v>
      </c>
      <c r="AW70" s="164" t="s">
        <v>393</v>
      </c>
      <c r="AX70" s="164" t="s">
        <v>546</v>
      </c>
      <c r="AY70" s="164" t="s">
        <v>396</v>
      </c>
      <c r="AZ70" s="164" t="s">
        <v>397</v>
      </c>
      <c r="BA70" s="164" t="s">
        <v>398</v>
      </c>
      <c r="BB70" s="164" t="s">
        <v>399</v>
      </c>
      <c r="BC70" s="106" t="s">
        <v>29</v>
      </c>
      <c r="BE70" s="163" t="s">
        <v>207</v>
      </c>
      <c r="BF70" s="164" t="s">
        <v>538</v>
      </c>
      <c r="BG70" s="164"/>
      <c r="BH70" s="164" t="s">
        <v>576</v>
      </c>
      <c r="BI70" s="164"/>
      <c r="BJ70" s="164" t="s">
        <v>577</v>
      </c>
      <c r="BK70" s="164"/>
      <c r="BL70" s="164" t="s">
        <v>392</v>
      </c>
      <c r="BM70" s="164" t="s">
        <v>393</v>
      </c>
      <c r="BN70" s="164" t="s">
        <v>546</v>
      </c>
      <c r="BO70" s="164" t="s">
        <v>396</v>
      </c>
      <c r="BP70" s="164" t="s">
        <v>397</v>
      </c>
      <c r="BQ70" s="164" t="s">
        <v>398</v>
      </c>
      <c r="BR70" s="164" t="s">
        <v>399</v>
      </c>
      <c r="BS70" s="106" t="s">
        <v>29</v>
      </c>
      <c r="BU70" s="163" t="s">
        <v>207</v>
      </c>
      <c r="BV70" s="164" t="s">
        <v>538</v>
      </c>
      <c r="BW70" s="164"/>
      <c r="BX70" s="164" t="s">
        <v>576</v>
      </c>
      <c r="BY70" s="164"/>
      <c r="BZ70" s="164" t="s">
        <v>577</v>
      </c>
      <c r="CA70" s="164"/>
      <c r="CB70" s="164" t="s">
        <v>392</v>
      </c>
      <c r="CC70" s="164" t="s">
        <v>393</v>
      </c>
      <c r="CD70" s="164" t="s">
        <v>546</v>
      </c>
      <c r="CE70" s="164" t="s">
        <v>396</v>
      </c>
      <c r="CF70" s="164" t="s">
        <v>397</v>
      </c>
      <c r="CG70" s="164" t="s">
        <v>398</v>
      </c>
      <c r="CH70" s="164" t="s">
        <v>399</v>
      </c>
      <c r="CI70" s="106" t="s">
        <v>29</v>
      </c>
      <c r="CK70" s="163" t="s">
        <v>207</v>
      </c>
      <c r="CL70" s="164" t="s">
        <v>386</v>
      </c>
      <c r="CM70" s="164" t="s">
        <v>387</v>
      </c>
      <c r="CN70" s="164" t="s">
        <v>388</v>
      </c>
      <c r="CO70" s="164" t="s">
        <v>389</v>
      </c>
      <c r="CP70" s="164" t="s">
        <v>390</v>
      </c>
      <c r="CQ70" s="164" t="s">
        <v>391</v>
      </c>
      <c r="CR70" s="164" t="s">
        <v>392</v>
      </c>
      <c r="CS70" s="164" t="s">
        <v>393</v>
      </c>
      <c r="CT70" s="164" t="s">
        <v>546</v>
      </c>
      <c r="CU70" s="164" t="s">
        <v>396</v>
      </c>
      <c r="CV70" s="164" t="s">
        <v>397</v>
      </c>
      <c r="CW70" s="164" t="s">
        <v>398</v>
      </c>
      <c r="CX70" s="164" t="s">
        <v>399</v>
      </c>
      <c r="CY70" s="106" t="s">
        <v>29</v>
      </c>
      <c r="DA70" s="163" t="s">
        <v>207</v>
      </c>
      <c r="DB70" s="164" t="s">
        <v>538</v>
      </c>
      <c r="DC70" s="164"/>
      <c r="DD70" s="164" t="s">
        <v>576</v>
      </c>
      <c r="DE70" s="164"/>
      <c r="DF70" s="164" t="s">
        <v>577</v>
      </c>
      <c r="DG70" s="164"/>
      <c r="DH70" s="164" t="s">
        <v>392</v>
      </c>
      <c r="DI70" s="164" t="s">
        <v>393</v>
      </c>
      <c r="DJ70" s="164" t="s">
        <v>546</v>
      </c>
      <c r="DK70" s="164" t="s">
        <v>396</v>
      </c>
      <c r="DL70" s="164" t="s">
        <v>397</v>
      </c>
      <c r="DM70" s="164" t="s">
        <v>398</v>
      </c>
      <c r="DN70" s="164" t="s">
        <v>399</v>
      </c>
      <c r="DO70" s="106" t="s">
        <v>29</v>
      </c>
      <c r="DQ70" s="163" t="s">
        <v>207</v>
      </c>
      <c r="DR70" s="164" t="s">
        <v>538</v>
      </c>
      <c r="DS70" s="164"/>
      <c r="DT70" s="164" t="s">
        <v>576</v>
      </c>
      <c r="DU70" s="164"/>
      <c r="DV70" s="164" t="s">
        <v>577</v>
      </c>
      <c r="DW70" s="164"/>
      <c r="DX70" s="164" t="s">
        <v>392</v>
      </c>
      <c r="DY70" s="164" t="s">
        <v>393</v>
      </c>
      <c r="DZ70" s="164" t="s">
        <v>546</v>
      </c>
      <c r="EA70" s="164" t="s">
        <v>396</v>
      </c>
      <c r="EB70" s="164" t="s">
        <v>397</v>
      </c>
      <c r="EC70" s="164" t="s">
        <v>398</v>
      </c>
      <c r="ED70" s="164" t="s">
        <v>399</v>
      </c>
      <c r="EE70" s="106" t="s">
        <v>29</v>
      </c>
      <c r="EG70" s="163" t="s">
        <v>207</v>
      </c>
      <c r="EH70" s="164" t="s">
        <v>538</v>
      </c>
      <c r="EI70" s="164"/>
      <c r="EJ70" s="164" t="s">
        <v>576</v>
      </c>
      <c r="EK70" s="164"/>
      <c r="EL70" s="164" t="s">
        <v>577</v>
      </c>
      <c r="EM70" s="164"/>
      <c r="EN70" s="164" t="s">
        <v>392</v>
      </c>
      <c r="EO70" s="164" t="s">
        <v>393</v>
      </c>
      <c r="EP70" s="164" t="s">
        <v>546</v>
      </c>
      <c r="EQ70" s="164" t="s">
        <v>396</v>
      </c>
      <c r="ER70" s="164" t="s">
        <v>397</v>
      </c>
      <c r="ES70" s="164" t="s">
        <v>398</v>
      </c>
      <c r="ET70" s="164" t="s">
        <v>399</v>
      </c>
      <c r="EU70" s="106" t="s">
        <v>29</v>
      </c>
      <c r="EW70" s="163" t="s">
        <v>206</v>
      </c>
      <c r="EX70" s="164" t="s">
        <v>386</v>
      </c>
      <c r="EY70" s="164" t="s">
        <v>387</v>
      </c>
      <c r="EZ70" s="164" t="s">
        <v>388</v>
      </c>
      <c r="FA70" s="164" t="s">
        <v>389</v>
      </c>
      <c r="FB70" s="164" t="s">
        <v>390</v>
      </c>
      <c r="FC70" s="164" t="s">
        <v>391</v>
      </c>
      <c r="FD70" s="164" t="s">
        <v>392</v>
      </c>
      <c r="FE70" s="164" t="s">
        <v>393</v>
      </c>
      <c r="FF70" s="164"/>
      <c r="FG70" s="164" t="s">
        <v>546</v>
      </c>
      <c r="FH70" s="164" t="s">
        <v>396</v>
      </c>
      <c r="FI70" s="164" t="s">
        <v>397</v>
      </c>
      <c r="FJ70" s="164" t="s">
        <v>398</v>
      </c>
      <c r="FK70" s="164" t="s">
        <v>399</v>
      </c>
      <c r="FL70" s="106" t="s">
        <v>29</v>
      </c>
    </row>
    <row r="71" spans="2:168" x14ac:dyDescent="0.25">
      <c r="B71" s="107" t="s">
        <v>386</v>
      </c>
      <c r="C71" s="160">
        <f>TripMode_input!B52</f>
        <v>475183.17744</v>
      </c>
      <c r="D71" s="160">
        <f>TripMode_input!C52</f>
        <v>49745.782749999998</v>
      </c>
      <c r="E71" s="160">
        <f>TripMode_input!D52</f>
        <v>59583.898150000001</v>
      </c>
      <c r="F71" s="160">
        <f>TripMode_input!E52</f>
        <v>6078.6759000000002</v>
      </c>
      <c r="G71" s="160">
        <f>TripMode_input!F52</f>
        <v>26056.003120000001</v>
      </c>
      <c r="H71" s="160">
        <f>TripMode_input!G52</f>
        <v>2528.48317</v>
      </c>
      <c r="I71" s="294"/>
      <c r="J71" s="294"/>
      <c r="K71" s="294"/>
      <c r="L71" s="294"/>
      <c r="M71" s="294"/>
      <c r="N71" s="294"/>
      <c r="O71" s="294"/>
      <c r="P71" s="161">
        <f t="shared" ref="P71:P83" si="175">SUM(C71:O71)</f>
        <v>619176.0205300001</v>
      </c>
      <c r="R71">
        <f>IF(K$79&gt;0,K71/K$79,0)</f>
        <v>0</v>
      </c>
      <c r="S71">
        <f>IF(L$80&gt;0,L71/L$80,0)</f>
        <v>0</v>
      </c>
      <c r="T71">
        <f>IF(M$81&gt;0,M71/M$81,0)</f>
        <v>0</v>
      </c>
      <c r="Y71" s="107" t="s">
        <v>386</v>
      </c>
      <c r="Z71" s="160">
        <f t="shared" ref="Z71:AC72" si="176">+C71</f>
        <v>475183.17744</v>
      </c>
      <c r="AA71" s="160">
        <f t="shared" si="176"/>
        <v>49745.782749999998</v>
      </c>
      <c r="AB71" s="160">
        <f t="shared" si="176"/>
        <v>59583.898150000001</v>
      </c>
      <c r="AC71" s="160">
        <f t="shared" si="176"/>
        <v>6078.6759000000002</v>
      </c>
      <c r="AD71" s="160">
        <f t="shared" ref="AD71:AD77" si="177">+G71</f>
        <v>26056.003120000001</v>
      </c>
      <c r="AE71" s="160">
        <f t="shared" ref="AE71:AE77" si="178">+H71</f>
        <v>2528.48317</v>
      </c>
      <c r="AF71" s="294"/>
      <c r="AG71" s="294"/>
      <c r="AH71" s="294"/>
      <c r="AI71" s="294"/>
      <c r="AJ71" s="294"/>
      <c r="AK71" s="294"/>
      <c r="AL71" s="294"/>
      <c r="AM71" s="161">
        <f t="shared" ref="AM71:AM83" si="179">SUM(Z71:AL71)</f>
        <v>619176.0205300001</v>
      </c>
      <c r="AO71" s="107" t="s">
        <v>386</v>
      </c>
      <c r="AP71" s="160">
        <f>TripMode_input!R52*Index!$B$2</f>
        <v>1487605</v>
      </c>
      <c r="AQ71" s="160">
        <f>TripMode_input!S52*Index!$B$2</f>
        <v>79405</v>
      </c>
      <c r="AR71" s="160">
        <f>TripMode_input!T52*Index!$B$2</f>
        <v>103665</v>
      </c>
      <c r="AS71" s="160">
        <f>TripMode_input!U52*Index!$B$2</f>
        <v>4135</v>
      </c>
      <c r="AT71" s="160">
        <f>TripMode_input!V52*Index!$B$2</f>
        <v>23460</v>
      </c>
      <c r="AU71" s="160">
        <f>TripMode_input!W52*Index!$B$2</f>
        <v>155</v>
      </c>
      <c r="AV71" s="294">
        <f>TripMode_input!X52*Index!$B$2</f>
        <v>0</v>
      </c>
      <c r="AW71" s="294">
        <f>TripMode_input!Y52*Index!$B$2</f>
        <v>0</v>
      </c>
      <c r="AX71" s="294">
        <f>TripMode_input!AA52*Index!$B$2</f>
        <v>0</v>
      </c>
      <c r="AY71" s="294">
        <f>TripMode_input!AB52*Index!$B$2</f>
        <v>0</v>
      </c>
      <c r="AZ71" s="160">
        <f>TripMode_input!AC52*Index!$B$2</f>
        <v>0</v>
      </c>
      <c r="BA71" s="294">
        <f>TripMode_input!AD52*Index!$B$2</f>
        <v>0</v>
      </c>
      <c r="BB71" s="294">
        <f>TripMode_input!AE52*Index!$B$2</f>
        <v>0</v>
      </c>
      <c r="BC71" s="161">
        <f t="shared" ref="BC71:BC83" si="180">SUM(AP71:BB71)</f>
        <v>1698425</v>
      </c>
      <c r="BE71" s="107" t="s">
        <v>538</v>
      </c>
      <c r="BF71" s="166">
        <f>IF(Z$84+AA$84&gt;0,SUM(Z71:AA72)/(Z$84+AA$84),"")</f>
        <v>1</v>
      </c>
      <c r="BG71" s="166"/>
      <c r="BH71" s="166">
        <f>IF(AB$84+AC$84&gt;0,SUM(AB71:AC72)/(AB$84+AC$84),"")</f>
        <v>0.61849570233491091</v>
      </c>
      <c r="BI71" s="166"/>
      <c r="BJ71" s="166">
        <f>IF(AD$84+AE$84&gt;0,SUM(AD71:AE72)/(AD$84+AE$84),"")</f>
        <v>0.64731767214101255</v>
      </c>
      <c r="BK71" s="166"/>
      <c r="BL71" s="166">
        <f t="shared" ref="BL71:BS71" si="181">IF(AF$84&gt;0,(AF71+AF72)/AF$84,"")</f>
        <v>0</v>
      </c>
      <c r="BM71" s="166">
        <f t="shared" si="181"/>
        <v>0</v>
      </c>
      <c r="BN71" s="166">
        <f t="shared" si="181"/>
        <v>0</v>
      </c>
      <c r="BO71" s="166" t="str">
        <f t="shared" si="181"/>
        <v/>
      </c>
      <c r="BP71" s="166" t="str">
        <f t="shared" si="181"/>
        <v/>
      </c>
      <c r="BQ71" s="166">
        <f t="shared" si="181"/>
        <v>0</v>
      </c>
      <c r="BR71" s="166">
        <f t="shared" si="181"/>
        <v>0</v>
      </c>
      <c r="BS71" s="166">
        <f t="shared" si="181"/>
        <v>0.74970936944549549</v>
      </c>
      <c r="BU71" s="107" t="s">
        <v>538</v>
      </c>
      <c r="BV71" s="166">
        <f>IF(AP$84+AQ$84&gt;0,SUM(AP71:AQ72)/(AP$84+AQ$84),"")</f>
        <v>1</v>
      </c>
      <c r="BW71" s="166"/>
      <c r="BX71" s="166">
        <f>IF(AR$84+AS$84&gt;0,SUM(AR71:AS72)/(AR$84+AS$84),"")</f>
        <v>0.57042657488527326</v>
      </c>
      <c r="BY71" s="166"/>
      <c r="BZ71" s="166">
        <f>IF(AT$84+AU$84&gt;0,SUM(AT71:AU72)/(AT$84+AU$84),"")</f>
        <v>0.63437872171496623</v>
      </c>
      <c r="CA71" s="166"/>
      <c r="CB71" s="166">
        <f t="shared" ref="CB71:CI71" si="182">IF(AV$84&gt;0,(AV71+AV72)/AV$84,"")</f>
        <v>0</v>
      </c>
      <c r="CC71" s="166">
        <f t="shared" si="182"/>
        <v>0</v>
      </c>
      <c r="CD71" s="166">
        <f t="shared" si="182"/>
        <v>0</v>
      </c>
      <c r="CE71" s="166" t="str">
        <f t="shared" si="182"/>
        <v/>
      </c>
      <c r="CF71" s="166" t="str">
        <f t="shared" si="182"/>
        <v/>
      </c>
      <c r="CG71" s="166">
        <f t="shared" si="182"/>
        <v>0</v>
      </c>
      <c r="CH71" s="166" t="str">
        <f t="shared" si="182"/>
        <v/>
      </c>
      <c r="CI71" s="166">
        <f t="shared" si="182"/>
        <v>0.59790679743828401</v>
      </c>
      <c r="CK71" s="107" t="s">
        <v>386</v>
      </c>
      <c r="CL71" s="166">
        <f t="shared" ref="CL71:CO74" si="183">IF(OR(ISNA(BF71),BF71=0,BF71=""),"",(BV71-BF71)/BF71)</f>
        <v>0</v>
      </c>
      <c r="CM71" s="166" t="str">
        <f t="shared" si="183"/>
        <v/>
      </c>
      <c r="CN71" s="166">
        <f t="shared" si="183"/>
        <v>-7.771942030990632E-2</v>
      </c>
      <c r="CO71" s="166" t="str">
        <f t="shared" si="183"/>
        <v/>
      </c>
      <c r="CP71" s="166"/>
      <c r="CQ71" s="166"/>
      <c r="CR71" s="166"/>
      <c r="CS71" s="166"/>
      <c r="CT71" s="166" t="str">
        <f t="shared" ref="CT71:CY74" si="184">IF(OR(ISNA(BN71),BN71=0,BN71=""),"",(CD71-BN71)/BN71)</f>
        <v/>
      </c>
      <c r="CU71" s="166" t="str">
        <f t="shared" si="184"/>
        <v/>
      </c>
      <c r="CV71" s="166" t="str">
        <f t="shared" si="184"/>
        <v/>
      </c>
      <c r="CW71" s="166" t="str">
        <f t="shared" si="184"/>
        <v/>
      </c>
      <c r="CX71" s="166" t="str">
        <f t="shared" si="184"/>
        <v/>
      </c>
      <c r="CY71" s="167">
        <f t="shared" si="184"/>
        <v>-0.2024818925759039</v>
      </c>
      <c r="DA71" s="107" t="s">
        <v>538</v>
      </c>
      <c r="DB71" s="314">
        <f>IFERROR(IF(BV71&gt;0,LN(BF71/BV71),0),0)</f>
        <v>0</v>
      </c>
      <c r="DC71" s="314"/>
      <c r="DD71" s="314">
        <f>IFERROR(IF(BX71&gt;0,LN(BH71/BX71),0),0)</f>
        <v>8.0905785353680759E-2</v>
      </c>
      <c r="DE71" s="314"/>
      <c r="DF71" s="314">
        <f>IFERROR(IF(BZ71&gt;0,LN(BJ71/BZ71),0),0)</f>
        <v>2.0191037537754798E-2</v>
      </c>
      <c r="DG71" s="314"/>
      <c r="DH71" s="315"/>
      <c r="DI71" s="315"/>
      <c r="DJ71" s="315"/>
      <c r="DK71" s="315"/>
      <c r="DL71" s="315"/>
      <c r="DM71" s="315"/>
      <c r="DN71" s="315"/>
      <c r="DO71" s="167"/>
      <c r="DQ71" s="107" t="s">
        <v>538</v>
      </c>
      <c r="DR71" s="314">
        <v>0</v>
      </c>
      <c r="DS71" s="314">
        <v>0</v>
      </c>
      <c r="DT71" s="314">
        <v>0</v>
      </c>
      <c r="DU71" s="314">
        <v>0</v>
      </c>
      <c r="DV71" s="314">
        <v>0</v>
      </c>
      <c r="DW71" s="314">
        <v>0</v>
      </c>
      <c r="DX71" s="315"/>
      <c r="DY71" s="315"/>
      <c r="DZ71" s="315"/>
      <c r="EA71" s="315"/>
      <c r="EB71" s="315"/>
      <c r="EC71" s="315"/>
      <c r="ED71" s="315"/>
      <c r="EE71" s="167"/>
      <c r="EG71" s="107" t="s">
        <v>538</v>
      </c>
      <c r="EH71" s="314">
        <v>0</v>
      </c>
      <c r="EI71" s="314">
        <v>0</v>
      </c>
      <c r="EJ71" s="314">
        <v>0</v>
      </c>
      <c r="EK71" s="314">
        <v>0</v>
      </c>
      <c r="EL71" s="314">
        <v>0</v>
      </c>
      <c r="EM71" s="314">
        <v>0</v>
      </c>
      <c r="EN71" s="315"/>
      <c r="EO71" s="315"/>
      <c r="EP71" s="315"/>
      <c r="EQ71" s="315"/>
      <c r="ER71" s="315"/>
      <c r="ES71" s="315"/>
      <c r="ET71" s="315"/>
      <c r="EU71" s="167"/>
      <c r="EW71" s="164" t="s">
        <v>386</v>
      </c>
      <c r="EX71" s="316">
        <f>INDEX($EH$71:$ET$83,EX$4,MATCH($EW71,$EW$7:$EW$19,0))</f>
        <v>0</v>
      </c>
      <c r="EY71" s="316">
        <f t="shared" ref="EY71:FJ82" si="185">INDEX($EH$71:$ET$83,EY$4,MATCH($EW71,$EW$7:$EW$19,0))</f>
        <v>0</v>
      </c>
      <c r="EZ71" s="316">
        <f t="shared" si="185"/>
        <v>0</v>
      </c>
      <c r="FA71" s="316">
        <f t="shared" si="185"/>
        <v>0</v>
      </c>
      <c r="FB71" s="316">
        <f t="shared" si="185"/>
        <v>0</v>
      </c>
      <c r="FC71" s="316">
        <f t="shared" si="185"/>
        <v>0</v>
      </c>
      <c r="FD71" s="316">
        <f t="shared" si="185"/>
        <v>0</v>
      </c>
      <c r="FE71" s="316">
        <f t="shared" si="185"/>
        <v>0</v>
      </c>
      <c r="FF71" s="316"/>
      <c r="FG71" s="316">
        <f t="shared" si="185"/>
        <v>0</v>
      </c>
      <c r="FH71" s="316">
        <f t="shared" si="185"/>
        <v>0</v>
      </c>
      <c r="FI71" s="316">
        <f t="shared" si="185"/>
        <v>0</v>
      </c>
      <c r="FJ71" s="316">
        <f t="shared" si="185"/>
        <v>0</v>
      </c>
      <c r="FK71" s="316"/>
      <c r="FL71" s="167"/>
    </row>
    <row r="72" spans="2:168" x14ac:dyDescent="0.25">
      <c r="B72" s="107" t="s">
        <v>387</v>
      </c>
      <c r="C72" s="160">
        <f>TripMode_input!B53</f>
        <v>0</v>
      </c>
      <c r="D72" s="160">
        <f>TripMode_input!C53</f>
        <v>7492.3817499999996</v>
      </c>
      <c r="E72" s="160">
        <f>TripMode_input!D53</f>
        <v>0</v>
      </c>
      <c r="F72" s="160">
        <f>TripMode_input!E53</f>
        <v>640.95856000000003</v>
      </c>
      <c r="G72" s="160">
        <f>TripMode_input!F53</f>
        <v>0</v>
      </c>
      <c r="H72" s="160">
        <f>TripMode_input!G53</f>
        <v>36.45082</v>
      </c>
      <c r="I72" s="294"/>
      <c r="J72" s="294"/>
      <c r="K72" s="294"/>
      <c r="L72" s="294"/>
      <c r="M72" s="294"/>
      <c r="N72" s="294"/>
      <c r="O72" s="294"/>
      <c r="P72" s="162">
        <f t="shared" si="175"/>
        <v>8169.7911299999996</v>
      </c>
      <c r="R72">
        <f t="shared" ref="R72:R83" si="186">IF(K$79&gt;0,K72/K$79,0)</f>
        <v>0</v>
      </c>
      <c r="S72">
        <f t="shared" ref="S72:S83" si="187">IF(L$80&gt;0,L72/L$80,0)</f>
        <v>0</v>
      </c>
      <c r="T72">
        <f t="shared" ref="T72:T83" si="188">IF(M$81&gt;0,M72/M$81,0)</f>
        <v>0</v>
      </c>
      <c r="Y72" s="107" t="s">
        <v>387</v>
      </c>
      <c r="Z72" s="160">
        <f t="shared" si="176"/>
        <v>0</v>
      </c>
      <c r="AA72" s="160">
        <f t="shared" si="176"/>
        <v>7492.3817499999996</v>
      </c>
      <c r="AB72" s="160">
        <f t="shared" si="176"/>
        <v>0</v>
      </c>
      <c r="AC72" s="160">
        <f t="shared" si="176"/>
        <v>640.95856000000003</v>
      </c>
      <c r="AD72" s="160">
        <f t="shared" si="177"/>
        <v>0</v>
      </c>
      <c r="AE72" s="160">
        <f t="shared" si="178"/>
        <v>36.45082</v>
      </c>
      <c r="AF72" s="294"/>
      <c r="AG72" s="294"/>
      <c r="AH72" s="294"/>
      <c r="AI72" s="294"/>
      <c r="AJ72" s="294"/>
      <c r="AK72" s="294"/>
      <c r="AL72" s="294"/>
      <c r="AM72" s="162">
        <f t="shared" si="179"/>
        <v>8169.7911299999996</v>
      </c>
      <c r="AO72" s="107" t="s">
        <v>387</v>
      </c>
      <c r="AP72" s="160">
        <f>TripMode_input!R53*Index!$B$2</f>
        <v>6230</v>
      </c>
      <c r="AQ72" s="160">
        <f>TripMode_input!S53*Index!$B$2</f>
        <v>14970</v>
      </c>
      <c r="AR72" s="160">
        <f>TripMode_input!T53*Index!$B$2</f>
        <v>730</v>
      </c>
      <c r="AS72" s="160">
        <f>TripMode_input!U53*Index!$B$2</f>
        <v>855</v>
      </c>
      <c r="AT72" s="160">
        <f>TripMode_input!V53*Index!$B$2</f>
        <v>295</v>
      </c>
      <c r="AU72" s="160">
        <f>TripMode_input!W53*Index!$B$2</f>
        <v>60</v>
      </c>
      <c r="AV72" s="294">
        <f>TripMode_input!X53*Index!$B$2</f>
        <v>0</v>
      </c>
      <c r="AW72" s="294">
        <f>TripMode_input!Y53*Index!$B$2</f>
        <v>0</v>
      </c>
      <c r="AX72" s="294">
        <f>TripMode_input!AA53*Index!$B$2</f>
        <v>0</v>
      </c>
      <c r="AY72" s="294">
        <f>TripMode_input!AB53*Index!$B$2</f>
        <v>0</v>
      </c>
      <c r="AZ72" s="160">
        <f>TripMode_input!AC53*Index!$B$2</f>
        <v>0</v>
      </c>
      <c r="BA72" s="294">
        <f>TripMode_input!AD53*Index!$B$2</f>
        <v>0</v>
      </c>
      <c r="BB72" s="294">
        <f>TripMode_input!AE53*Index!$B$2</f>
        <v>0</v>
      </c>
      <c r="BC72" s="162">
        <f t="shared" si="180"/>
        <v>23140</v>
      </c>
      <c r="BE72" s="107"/>
      <c r="BF72" s="166"/>
      <c r="BG72" s="166"/>
      <c r="BH72" s="166"/>
      <c r="BI72" s="166"/>
      <c r="BJ72" s="166"/>
      <c r="BK72" s="166"/>
      <c r="BL72" s="166"/>
      <c r="BM72" s="166"/>
      <c r="BN72" s="166"/>
      <c r="BO72" s="166"/>
      <c r="BP72" s="166"/>
      <c r="BQ72" s="166"/>
      <c r="BR72" s="166"/>
      <c r="BS72" s="166"/>
      <c r="BU72" s="107"/>
      <c r="BV72" s="166"/>
      <c r="BW72" s="166"/>
      <c r="BX72" s="166"/>
      <c r="BY72" s="166"/>
      <c r="BZ72" s="166"/>
      <c r="CA72" s="166"/>
      <c r="CB72" s="166"/>
      <c r="CC72" s="166"/>
      <c r="CD72" s="166"/>
      <c r="CE72" s="166"/>
      <c r="CF72" s="166"/>
      <c r="CG72" s="166"/>
      <c r="CH72" s="166"/>
      <c r="CI72" s="166"/>
      <c r="CK72" s="107" t="s">
        <v>387</v>
      </c>
      <c r="CL72" s="166" t="str">
        <f t="shared" si="183"/>
        <v/>
      </c>
      <c r="CM72" s="166" t="str">
        <f t="shared" si="183"/>
        <v/>
      </c>
      <c r="CN72" s="166" t="str">
        <f t="shared" si="183"/>
        <v/>
      </c>
      <c r="CO72" s="166" t="str">
        <f t="shared" si="183"/>
        <v/>
      </c>
      <c r="CP72" s="166"/>
      <c r="CQ72" s="166"/>
      <c r="CR72" s="166"/>
      <c r="CS72" s="166"/>
      <c r="CT72" s="166" t="str">
        <f t="shared" si="184"/>
        <v/>
      </c>
      <c r="CU72" s="166" t="str">
        <f t="shared" si="184"/>
        <v/>
      </c>
      <c r="CV72" s="166" t="str">
        <f t="shared" si="184"/>
        <v/>
      </c>
      <c r="CW72" s="166" t="str">
        <f t="shared" si="184"/>
        <v/>
      </c>
      <c r="CX72" s="166" t="str">
        <f t="shared" si="184"/>
        <v/>
      </c>
      <c r="CY72" s="168" t="str">
        <f t="shared" si="184"/>
        <v/>
      </c>
      <c r="DA72" s="107"/>
      <c r="DB72" s="314"/>
      <c r="DC72" s="314"/>
      <c r="DD72" s="314"/>
      <c r="DE72" s="314"/>
      <c r="DF72" s="314"/>
      <c r="DG72" s="314"/>
      <c r="DH72" s="315"/>
      <c r="DI72" s="315"/>
      <c r="DJ72" s="315"/>
      <c r="DK72" s="315"/>
      <c r="DL72" s="315"/>
      <c r="DM72" s="315"/>
      <c r="DN72" s="315"/>
      <c r="DO72" s="168"/>
      <c r="DQ72" s="107"/>
      <c r="DR72" s="314">
        <v>0</v>
      </c>
      <c r="DS72" s="314">
        <v>0</v>
      </c>
      <c r="DT72" s="314">
        <v>0</v>
      </c>
      <c r="DU72" s="314">
        <v>0</v>
      </c>
      <c r="DV72" s="314">
        <v>0</v>
      </c>
      <c r="DW72" s="314">
        <v>0</v>
      </c>
      <c r="DX72" s="315"/>
      <c r="DY72" s="315"/>
      <c r="DZ72" s="315"/>
      <c r="EA72" s="315"/>
      <c r="EB72" s="315"/>
      <c r="EC72" s="315"/>
      <c r="ED72" s="315"/>
      <c r="EE72" s="168"/>
      <c r="EG72" s="107"/>
      <c r="EH72" s="314">
        <v>0</v>
      </c>
      <c r="EI72" s="314">
        <v>0</v>
      </c>
      <c r="EJ72" s="314">
        <v>0</v>
      </c>
      <c r="EK72" s="314">
        <v>0</v>
      </c>
      <c r="EL72" s="314">
        <v>0</v>
      </c>
      <c r="EM72" s="314">
        <v>0</v>
      </c>
      <c r="EN72" s="315"/>
      <c r="EO72" s="315"/>
      <c r="EP72" s="315"/>
      <c r="EQ72" s="315"/>
      <c r="ER72" s="315"/>
      <c r="ES72" s="315"/>
      <c r="ET72" s="315"/>
      <c r="EU72" s="168"/>
      <c r="EW72" s="164" t="s">
        <v>387</v>
      </c>
      <c r="EX72" s="316">
        <f t="shared" ref="EX72:EX82" si="189">INDEX($EH$71:$ET$83,EX$4,MATCH($EW72,$EW$7:$EW$19,0))</f>
        <v>0</v>
      </c>
      <c r="EY72" s="316">
        <f t="shared" si="185"/>
        <v>0</v>
      </c>
      <c r="EZ72" s="316">
        <f t="shared" si="185"/>
        <v>0</v>
      </c>
      <c r="FA72" s="316">
        <f t="shared" si="185"/>
        <v>0</v>
      </c>
      <c r="FB72" s="316">
        <f t="shared" si="185"/>
        <v>0</v>
      </c>
      <c r="FC72" s="316">
        <f t="shared" si="185"/>
        <v>0</v>
      </c>
      <c r="FD72" s="316">
        <f t="shared" si="185"/>
        <v>0</v>
      </c>
      <c r="FE72" s="316">
        <f t="shared" si="185"/>
        <v>0</v>
      </c>
      <c r="FF72" s="316"/>
      <c r="FG72" s="316">
        <f t="shared" si="185"/>
        <v>0</v>
      </c>
      <c r="FH72" s="316">
        <f t="shared" si="185"/>
        <v>0</v>
      </c>
      <c r="FI72" s="316">
        <f t="shared" si="185"/>
        <v>0</v>
      </c>
      <c r="FJ72" s="316">
        <f t="shared" si="185"/>
        <v>0</v>
      </c>
      <c r="FK72" s="316"/>
      <c r="FL72" s="168"/>
    </row>
    <row r="73" spans="2:168" x14ac:dyDescent="0.25">
      <c r="B73" s="107" t="s">
        <v>388</v>
      </c>
      <c r="C73" s="294"/>
      <c r="D73" s="294"/>
      <c r="E73" s="160">
        <f>TripMode_input!D54</f>
        <v>17196.23432</v>
      </c>
      <c r="F73" s="160">
        <f>TripMode_input!E54</f>
        <v>1048.15752</v>
      </c>
      <c r="G73" s="160">
        <f>TripMode_input!F54</f>
        <v>2490.3839800000001</v>
      </c>
      <c r="H73" s="160">
        <f>TripMode_input!G54</f>
        <v>0</v>
      </c>
      <c r="I73" s="294"/>
      <c r="J73" s="294"/>
      <c r="K73" s="160">
        <f>TripMode_input!J54+TripMode_input!K54</f>
        <v>1762.9170900000001</v>
      </c>
      <c r="L73" s="294"/>
      <c r="M73" s="294"/>
      <c r="N73" s="160">
        <f>TripMode_input!N54</f>
        <v>0</v>
      </c>
      <c r="O73" s="294"/>
      <c r="P73" s="162">
        <f t="shared" si="175"/>
        <v>22497.692909999998</v>
      </c>
      <c r="R73">
        <f t="shared" si="186"/>
        <v>1.3640122523926659</v>
      </c>
      <c r="S73">
        <f t="shared" si="187"/>
        <v>0</v>
      </c>
      <c r="T73">
        <f t="shared" si="188"/>
        <v>0</v>
      </c>
      <c r="Y73" s="107" t="s">
        <v>388</v>
      </c>
      <c r="Z73" s="294"/>
      <c r="AA73" s="294"/>
      <c r="AB73" s="160">
        <f>+E73</f>
        <v>17196.23432</v>
      </c>
      <c r="AC73" s="160">
        <f>+F73</f>
        <v>1048.15752</v>
      </c>
      <c r="AD73" s="160">
        <f t="shared" si="177"/>
        <v>2490.3839800000001</v>
      </c>
      <c r="AE73" s="160">
        <f t="shared" si="178"/>
        <v>0</v>
      </c>
      <c r="AF73" s="294"/>
      <c r="AG73" s="294"/>
      <c r="AH73" s="160">
        <f>AH79*R73</f>
        <v>1860.856434457653</v>
      </c>
      <c r="AI73" s="294"/>
      <c r="AJ73" s="294"/>
      <c r="AK73" s="160">
        <f>+N73</f>
        <v>0</v>
      </c>
      <c r="AL73" s="294"/>
      <c r="AM73" s="162">
        <f t="shared" si="179"/>
        <v>22595.632254457651</v>
      </c>
      <c r="AO73" s="107" t="s">
        <v>388</v>
      </c>
      <c r="AP73" s="294">
        <f>TripMode_input!R54*Index!$B$2</f>
        <v>0</v>
      </c>
      <c r="AQ73" s="294">
        <f>TripMode_input!S54*Index!$B$2</f>
        <v>0</v>
      </c>
      <c r="AR73" s="160">
        <f>TripMode_input!T54*Index!$B$2</f>
        <v>38145</v>
      </c>
      <c r="AS73" s="160">
        <f>TripMode_input!U54*Index!$B$2</f>
        <v>1565</v>
      </c>
      <c r="AT73" s="160">
        <f>TripMode_input!V54*Index!$B$2</f>
        <v>2080</v>
      </c>
      <c r="AU73" s="160">
        <f>TripMode_input!W54*Index!$B$2</f>
        <v>15</v>
      </c>
      <c r="AV73" s="294">
        <f>TripMode_input!X54*Index!$B$2</f>
        <v>0</v>
      </c>
      <c r="AW73" s="294">
        <f>TripMode_input!Y54*Index!$B$2</f>
        <v>0</v>
      </c>
      <c r="AX73" s="160">
        <f>TripMode_input!AA54*Index!$B$2</f>
        <v>10</v>
      </c>
      <c r="AY73" s="160">
        <f>TripMode_input!AB54*Index!$B$2</f>
        <v>0</v>
      </c>
      <c r="AZ73" s="160">
        <f>TripMode_input!AC54*Index!$B$2</f>
        <v>0</v>
      </c>
      <c r="BA73" s="160">
        <f>TripMode_input!AD54*Index!$B$2</f>
        <v>0</v>
      </c>
      <c r="BB73" s="294">
        <f>TripMode_input!AE54*Index!$B$2</f>
        <v>0</v>
      </c>
      <c r="BC73" s="162">
        <f t="shared" si="180"/>
        <v>41815</v>
      </c>
      <c r="BE73" s="107" t="s">
        <v>576</v>
      </c>
      <c r="BF73" s="166">
        <f>IF(Z$84+AA$84&gt;0,SUM(Z73:AA74)/(Z$84+AA$84),"")</f>
        <v>0</v>
      </c>
      <c r="BG73" s="166"/>
      <c r="BH73" s="166">
        <f>IF(AB$84+AC$84&gt;0,SUM(AB73:AC74)/(AB$84+AC$84),"")</f>
        <v>0.17018818606736252</v>
      </c>
      <c r="BI73" s="166"/>
      <c r="BJ73" s="166">
        <f>IF(AD$84+AE$84&gt;0,SUM(AD73:AE74)/(AD$84+AE$84),"")</f>
        <v>5.6324835014141511E-2</v>
      </c>
      <c r="BK73" s="166"/>
      <c r="BL73" s="166">
        <f t="shared" ref="BL73:BS73" si="190">IF(AF$84&gt;0,(AF73+AF74)/AF$84,"")</f>
        <v>0</v>
      </c>
      <c r="BM73" s="166">
        <f t="shared" si="190"/>
        <v>0</v>
      </c>
      <c r="BN73" s="166">
        <f t="shared" si="190"/>
        <v>1.3280508401059469E-2</v>
      </c>
      <c r="BO73" s="166" t="str">
        <f t="shared" si="190"/>
        <v/>
      </c>
      <c r="BP73" s="166" t="str">
        <f t="shared" si="190"/>
        <v/>
      </c>
      <c r="BQ73" s="166">
        <f t="shared" si="190"/>
        <v>0</v>
      </c>
      <c r="BR73" s="166">
        <f t="shared" si="190"/>
        <v>0</v>
      </c>
      <c r="BS73" s="166">
        <f t="shared" si="190"/>
        <v>2.7002901581325497E-2</v>
      </c>
      <c r="BU73" s="107" t="s">
        <v>576</v>
      </c>
      <c r="BV73" s="166">
        <f>IF(AP$84+AQ$84&gt;0,SUM(AP73:AQ74)/(AP$84+AQ$84),"")</f>
        <v>0</v>
      </c>
      <c r="BW73" s="166"/>
      <c r="BX73" s="166">
        <f>IF(AR$84+AS$84&gt;0,SUM(AR73:AS74)/(AR$84+AS$84),"")</f>
        <v>0.21034105131414269</v>
      </c>
      <c r="BY73" s="166"/>
      <c r="BZ73" s="166">
        <f>IF(AT$84+AU$84&gt;0,SUM(AT73:AU74)/(AT$84+AU$84),"")</f>
        <v>5.6239248378986369E-2</v>
      </c>
      <c r="CA73" s="166"/>
      <c r="CB73" s="166">
        <f t="shared" ref="CB73:CI73" si="191">IF(AV$84&gt;0,(AV73+AV74)/AV$84,"")</f>
        <v>0</v>
      </c>
      <c r="CC73" s="166">
        <f t="shared" si="191"/>
        <v>0</v>
      </c>
      <c r="CD73" s="166">
        <f t="shared" si="191"/>
        <v>3.134796238244514E-3</v>
      </c>
      <c r="CE73" s="166" t="str">
        <f t="shared" si="191"/>
        <v/>
      </c>
      <c r="CF73" s="166" t="str">
        <f t="shared" si="191"/>
        <v/>
      </c>
      <c r="CG73" s="166">
        <f t="shared" si="191"/>
        <v>0</v>
      </c>
      <c r="CH73" s="166" t="str">
        <f t="shared" si="191"/>
        <v/>
      </c>
      <c r="CI73" s="166">
        <f t="shared" si="191"/>
        <v>1.4750010419126738E-2</v>
      </c>
      <c r="CK73" s="107" t="s">
        <v>388</v>
      </c>
      <c r="CL73" s="166" t="str">
        <f t="shared" si="183"/>
        <v/>
      </c>
      <c r="CM73" s="166" t="str">
        <f t="shared" si="183"/>
        <v/>
      </c>
      <c r="CN73" s="166">
        <f t="shared" si="183"/>
        <v>0.23593215354494215</v>
      </c>
      <c r="CO73" s="166" t="str">
        <f t="shared" si="183"/>
        <v/>
      </c>
      <c r="CP73" s="166"/>
      <c r="CQ73" s="166"/>
      <c r="CR73" s="166"/>
      <c r="CS73" s="166"/>
      <c r="CT73" s="166">
        <f t="shared" si="184"/>
        <v>-0.76395510295415858</v>
      </c>
      <c r="CU73" s="166" t="str">
        <f t="shared" si="184"/>
        <v/>
      </c>
      <c r="CV73" s="166" t="str">
        <f t="shared" si="184"/>
        <v/>
      </c>
      <c r="CW73" s="166" t="str">
        <f t="shared" si="184"/>
        <v/>
      </c>
      <c r="CX73" s="166" t="str">
        <f t="shared" si="184"/>
        <v/>
      </c>
      <c r="CY73" s="168">
        <f t="shared" si="184"/>
        <v>-0.45376201980725434</v>
      </c>
      <c r="DA73" s="107" t="s">
        <v>576</v>
      </c>
      <c r="DB73" s="315"/>
      <c r="DC73" s="315"/>
      <c r="DD73" s="314">
        <f>IFERROR(IF(BX73&gt;0,LN(BH73/BX73),0),0)</f>
        <v>-0.2118254655749503</v>
      </c>
      <c r="DE73" s="314"/>
      <c r="DF73" s="314">
        <f>IFERROR(IF(BZ73&gt;0,LN(BJ73/BZ73),0),0)</f>
        <v>1.5206742518239283E-3</v>
      </c>
      <c r="DG73" s="314"/>
      <c r="DH73" s="315"/>
      <c r="DI73" s="315"/>
      <c r="DJ73" s="314">
        <f>IFERROR(IF(CD73&gt;0,LN(BN73/CD73),0),0)</f>
        <v>1.4437332503305214</v>
      </c>
      <c r="DK73" s="315"/>
      <c r="DL73" s="315"/>
      <c r="DM73" s="314">
        <f>IFERROR(IF(CG73&gt;0,LN(BQ73/CG73),0),0)</f>
        <v>0</v>
      </c>
      <c r="DN73" s="315"/>
      <c r="DO73" s="168"/>
      <c r="DQ73" s="107" t="s">
        <v>576</v>
      </c>
      <c r="DR73" s="315"/>
      <c r="DS73" s="315"/>
      <c r="DT73" s="314">
        <v>-1.4541101848151454</v>
      </c>
      <c r="DU73" s="314">
        <v>-1.4541101848151454</v>
      </c>
      <c r="DV73" s="314">
        <v>-2.7443858408839366</v>
      </c>
      <c r="DW73" s="314">
        <v>-2.7443858408839366</v>
      </c>
      <c r="DX73" s="315"/>
      <c r="DY73" s="315"/>
      <c r="DZ73" s="314">
        <v>2.5908677068039485</v>
      </c>
      <c r="EA73" s="315"/>
      <c r="EB73" s="315"/>
      <c r="EC73" s="314">
        <v>0</v>
      </c>
      <c r="ED73" s="315"/>
      <c r="EE73" s="168"/>
      <c r="EG73" s="107" t="s">
        <v>576</v>
      </c>
      <c r="EH73" s="315"/>
      <c r="EI73" s="315"/>
      <c r="EJ73" s="314">
        <f>DT73+(DD73-DD$71)*$EI$1</f>
        <v>-1.7468414357437765</v>
      </c>
      <c r="EK73" s="314">
        <f>DT73+(DD73-DD$71)*$EI$1</f>
        <v>-1.7468414357437765</v>
      </c>
      <c r="EL73" s="314">
        <f>DV73+(DF73-DF$71)*$EI$1</f>
        <v>-2.7630562041698674</v>
      </c>
      <c r="EM73" s="314">
        <f>DV73+(DF73-DF$71)*$EI$1</f>
        <v>-2.7630562041698674</v>
      </c>
      <c r="EN73" s="315"/>
      <c r="EO73" s="315"/>
      <c r="EP73" s="314">
        <f>DZ73+(DJ73-DJ$79)*$EI$1</f>
        <v>4.5107361613115451</v>
      </c>
      <c r="EQ73" s="315"/>
      <c r="ER73" s="315"/>
      <c r="ES73" s="314">
        <f>EC73+(DM73-DM$82)*$EI$1</f>
        <v>0</v>
      </c>
      <c r="ET73" s="315"/>
      <c r="EU73" s="168"/>
      <c r="EW73" s="164" t="s">
        <v>388</v>
      </c>
      <c r="EX73" s="316">
        <f t="shared" si="189"/>
        <v>0</v>
      </c>
      <c r="EY73" s="316">
        <f t="shared" si="185"/>
        <v>0</v>
      </c>
      <c r="EZ73" s="316">
        <f t="shared" si="185"/>
        <v>-1.7468414357437765</v>
      </c>
      <c r="FA73" s="316">
        <f t="shared" si="185"/>
        <v>-1.7468414357437765</v>
      </c>
      <c r="FB73" s="316">
        <f t="shared" si="185"/>
        <v>0</v>
      </c>
      <c r="FC73" s="316">
        <f t="shared" si="185"/>
        <v>0</v>
      </c>
      <c r="FD73" s="316">
        <f t="shared" si="185"/>
        <v>2.7815587300170748</v>
      </c>
      <c r="FE73" s="316">
        <f t="shared" si="185"/>
        <v>0</v>
      </c>
      <c r="FF73" s="316"/>
      <c r="FG73" s="316">
        <f t="shared" si="185"/>
        <v>0</v>
      </c>
      <c r="FH73" s="316">
        <f t="shared" si="185"/>
        <v>0</v>
      </c>
      <c r="FI73" s="316">
        <f t="shared" si="185"/>
        <v>0</v>
      </c>
      <c r="FJ73" s="316">
        <f t="shared" si="185"/>
        <v>0</v>
      </c>
      <c r="FK73" s="316"/>
      <c r="FL73" s="168"/>
    </row>
    <row r="74" spans="2:168" x14ac:dyDescent="0.25">
      <c r="B74" s="107" t="s">
        <v>389</v>
      </c>
      <c r="C74" s="294"/>
      <c r="D74" s="294"/>
      <c r="E74" s="160">
        <f>TripMode_input!D55</f>
        <v>0</v>
      </c>
      <c r="F74" s="160">
        <f>TripMode_input!E55</f>
        <v>0</v>
      </c>
      <c r="G74" s="160">
        <f>TripMode_input!F55</f>
        <v>0</v>
      </c>
      <c r="H74" s="160">
        <f>TripMode_input!G55</f>
        <v>0</v>
      </c>
      <c r="I74" s="294"/>
      <c r="J74" s="294"/>
      <c r="K74" s="160">
        <f>TripMode_input!J55+TripMode_input!K55</f>
        <v>0</v>
      </c>
      <c r="L74" s="294"/>
      <c r="M74" s="294"/>
      <c r="N74" s="160">
        <f>TripMode_input!N55</f>
        <v>0</v>
      </c>
      <c r="O74" s="294"/>
      <c r="P74" s="162">
        <f t="shared" si="175"/>
        <v>0</v>
      </c>
      <c r="R74">
        <f t="shared" si="186"/>
        <v>0</v>
      </c>
      <c r="S74">
        <f t="shared" si="187"/>
        <v>0</v>
      </c>
      <c r="T74">
        <f t="shared" si="188"/>
        <v>0</v>
      </c>
      <c r="Y74" s="107" t="s">
        <v>389</v>
      </c>
      <c r="Z74" s="294"/>
      <c r="AA74" s="294"/>
      <c r="AB74" s="160">
        <f>+E74</f>
        <v>0</v>
      </c>
      <c r="AC74" s="160">
        <f>+F74</f>
        <v>0</v>
      </c>
      <c r="AD74" s="160">
        <f t="shared" si="177"/>
        <v>0</v>
      </c>
      <c r="AE74" s="160">
        <f t="shared" si="178"/>
        <v>0</v>
      </c>
      <c r="AF74" s="294"/>
      <c r="AG74" s="294"/>
      <c r="AH74" s="160">
        <f>AH79*R74</f>
        <v>0</v>
      </c>
      <c r="AI74" s="294"/>
      <c r="AJ74" s="294"/>
      <c r="AK74" s="160">
        <f>+N74</f>
        <v>0</v>
      </c>
      <c r="AL74" s="294"/>
      <c r="AM74" s="162">
        <f t="shared" si="179"/>
        <v>0</v>
      </c>
      <c r="AO74" s="107" t="s">
        <v>389</v>
      </c>
      <c r="AP74" s="294">
        <f>TripMode_input!R55*Index!$B$2</f>
        <v>0</v>
      </c>
      <c r="AQ74" s="294">
        <f>TripMode_input!S55*Index!$B$2</f>
        <v>0</v>
      </c>
      <c r="AR74" s="160">
        <f>TripMode_input!T55*Index!$B$2</f>
        <v>265</v>
      </c>
      <c r="AS74" s="160">
        <f>TripMode_input!U55*Index!$B$2</f>
        <v>360</v>
      </c>
      <c r="AT74" s="160">
        <f>TripMode_input!V55*Index!$B$2</f>
        <v>25</v>
      </c>
      <c r="AU74" s="160">
        <f>TripMode_input!W55*Index!$B$2</f>
        <v>5</v>
      </c>
      <c r="AV74" s="294">
        <f>TripMode_input!X55*Index!$B$2</f>
        <v>0</v>
      </c>
      <c r="AW74" s="294">
        <f>TripMode_input!Y55*Index!$B$2</f>
        <v>0</v>
      </c>
      <c r="AX74" s="160">
        <f>TripMode_input!AA55*Index!$B$2</f>
        <v>0</v>
      </c>
      <c r="AY74" s="160">
        <f>TripMode_input!AB55*Index!$B$2</f>
        <v>0</v>
      </c>
      <c r="AZ74" s="160">
        <f>TripMode_input!AC55*Index!$B$2</f>
        <v>0</v>
      </c>
      <c r="BA74" s="160">
        <f>TripMode_input!AD55*Index!$B$2</f>
        <v>0</v>
      </c>
      <c r="BB74" s="294">
        <f>TripMode_input!AE55*Index!$B$2</f>
        <v>0</v>
      </c>
      <c r="BC74" s="162">
        <f t="shared" si="180"/>
        <v>655</v>
      </c>
      <c r="BE74" s="107"/>
      <c r="BF74" s="166"/>
      <c r="BG74" s="166"/>
      <c r="BH74" s="166"/>
      <c r="BI74" s="166"/>
      <c r="BJ74" s="166"/>
      <c r="BK74" s="166"/>
      <c r="BL74" s="166"/>
      <c r="BM74" s="166"/>
      <c r="BN74" s="166"/>
      <c r="BO74" s="166"/>
      <c r="BP74" s="166"/>
      <c r="BQ74" s="166"/>
      <c r="BR74" s="166"/>
      <c r="BS74" s="166"/>
      <c r="BU74" s="107"/>
      <c r="BV74" s="166"/>
      <c r="BW74" s="166"/>
      <c r="BX74" s="166"/>
      <c r="BY74" s="166"/>
      <c r="BZ74" s="166"/>
      <c r="CA74" s="166"/>
      <c r="CB74" s="166"/>
      <c r="CC74" s="166"/>
      <c r="CD74" s="166"/>
      <c r="CE74" s="166"/>
      <c r="CF74" s="166"/>
      <c r="CG74" s="166"/>
      <c r="CH74" s="166"/>
      <c r="CI74" s="166"/>
      <c r="CK74" s="107" t="s">
        <v>389</v>
      </c>
      <c r="CL74" s="166" t="str">
        <f t="shared" si="183"/>
        <v/>
      </c>
      <c r="CM74" s="166" t="str">
        <f t="shared" si="183"/>
        <v/>
      </c>
      <c r="CN74" s="166" t="str">
        <f t="shared" si="183"/>
        <v/>
      </c>
      <c r="CO74" s="166" t="str">
        <f t="shared" si="183"/>
        <v/>
      </c>
      <c r="CP74" s="166"/>
      <c r="CQ74" s="166"/>
      <c r="CR74" s="166"/>
      <c r="CS74" s="166"/>
      <c r="CT74" s="166" t="str">
        <f t="shared" si="184"/>
        <v/>
      </c>
      <c r="CU74" s="166" t="str">
        <f t="shared" si="184"/>
        <v/>
      </c>
      <c r="CV74" s="166" t="str">
        <f t="shared" si="184"/>
        <v/>
      </c>
      <c r="CW74" s="166" t="str">
        <f t="shared" si="184"/>
        <v/>
      </c>
      <c r="CX74" s="166" t="str">
        <f t="shared" si="184"/>
        <v/>
      </c>
      <c r="CY74" s="168" t="str">
        <f t="shared" si="184"/>
        <v/>
      </c>
      <c r="DA74" s="107"/>
      <c r="DB74" s="315"/>
      <c r="DC74" s="315"/>
      <c r="DD74" s="314"/>
      <c r="DE74" s="314"/>
      <c r="DF74" s="314"/>
      <c r="DG74" s="314"/>
      <c r="DH74" s="315"/>
      <c r="DI74" s="315"/>
      <c r="DJ74" s="314"/>
      <c r="DK74" s="315"/>
      <c r="DL74" s="315"/>
      <c r="DM74" s="314"/>
      <c r="DN74" s="315"/>
      <c r="DO74" s="168"/>
      <c r="DQ74" s="107"/>
      <c r="DR74" s="315"/>
      <c r="DS74" s="315"/>
      <c r="DT74" s="314">
        <v>-1.4541101848151454</v>
      </c>
      <c r="DU74" s="314">
        <v>-1.4541101848151454</v>
      </c>
      <c r="DV74" s="314">
        <v>-2.7443858408839366</v>
      </c>
      <c r="DW74" s="314">
        <v>-2.7443858408839366</v>
      </c>
      <c r="DX74" s="315"/>
      <c r="DY74" s="315"/>
      <c r="DZ74" s="314">
        <v>2.5908677068039485</v>
      </c>
      <c r="EA74" s="315"/>
      <c r="EB74" s="315"/>
      <c r="EC74" s="314">
        <v>0</v>
      </c>
      <c r="ED74" s="315"/>
      <c r="EE74" s="168"/>
      <c r="EG74" s="107"/>
      <c r="EH74" s="315"/>
      <c r="EI74" s="315"/>
      <c r="EJ74" s="314">
        <f>DT73+(DD73-DD$71)*$EI$1</f>
        <v>-1.7468414357437765</v>
      </c>
      <c r="EK74" s="314">
        <f>DT73+(DD73-DD$71)*$EI$1</f>
        <v>-1.7468414357437765</v>
      </c>
      <c r="EL74" s="314">
        <f>DV73+(DF73-DF$71)*$EI$1</f>
        <v>-2.7630562041698674</v>
      </c>
      <c r="EM74" s="314">
        <f>DV73+(DF73-DF$71)*$EI$1</f>
        <v>-2.7630562041698674</v>
      </c>
      <c r="EN74" s="315"/>
      <c r="EO74" s="315"/>
      <c r="EP74" s="314">
        <f>DZ73+(DJ73-DJ$79)*$EI$1</f>
        <v>4.5107361613115451</v>
      </c>
      <c r="EQ74" s="315"/>
      <c r="ER74" s="315"/>
      <c r="ES74" s="314">
        <f>EC73+(DM73-DM$82)*$EI$1</f>
        <v>0</v>
      </c>
      <c r="ET74" s="315"/>
      <c r="EU74" s="168"/>
      <c r="EW74" s="164" t="s">
        <v>389</v>
      </c>
      <c r="EX74" s="316">
        <f t="shared" si="189"/>
        <v>0</v>
      </c>
      <c r="EY74" s="316">
        <f t="shared" si="185"/>
        <v>0</v>
      </c>
      <c r="EZ74" s="316">
        <f t="shared" si="185"/>
        <v>-1.7468414357437765</v>
      </c>
      <c r="FA74" s="316">
        <f t="shared" si="185"/>
        <v>-1.7468414357437765</v>
      </c>
      <c r="FB74" s="316">
        <f t="shared" si="185"/>
        <v>0</v>
      </c>
      <c r="FC74" s="316">
        <f t="shared" si="185"/>
        <v>0</v>
      </c>
      <c r="FD74" s="316">
        <f t="shared" si="185"/>
        <v>2.7815587300170748</v>
      </c>
      <c r="FE74" s="316">
        <f t="shared" si="185"/>
        <v>0</v>
      </c>
      <c r="FF74" s="316"/>
      <c r="FG74" s="316">
        <f t="shared" si="185"/>
        <v>0</v>
      </c>
      <c r="FH74" s="316">
        <f t="shared" si="185"/>
        <v>0</v>
      </c>
      <c r="FI74" s="316">
        <f t="shared" si="185"/>
        <v>0</v>
      </c>
      <c r="FJ74" s="316">
        <f t="shared" si="185"/>
        <v>0</v>
      </c>
      <c r="FK74" s="316"/>
      <c r="FL74" s="168"/>
    </row>
    <row r="75" spans="2:168" x14ac:dyDescent="0.25">
      <c r="B75" s="107" t="s">
        <v>390</v>
      </c>
      <c r="C75" s="294"/>
      <c r="D75" s="294"/>
      <c r="E75" s="294"/>
      <c r="F75" s="294"/>
      <c r="G75" s="160">
        <f>TripMode_input!F56</f>
        <v>5613.7472299999999</v>
      </c>
      <c r="H75" s="160">
        <f>TripMode_input!G56</f>
        <v>1800.01126</v>
      </c>
      <c r="I75" s="294"/>
      <c r="J75" s="294"/>
      <c r="K75" s="160">
        <f>TripMode_input!J56+TripMode_input!K56</f>
        <v>497.00704999999999</v>
      </c>
      <c r="L75" s="294"/>
      <c r="M75" s="294"/>
      <c r="N75" s="160">
        <f>TripMode_input!N56</f>
        <v>0</v>
      </c>
      <c r="O75" s="294"/>
      <c r="P75" s="162">
        <f t="shared" si="175"/>
        <v>7910.7655400000003</v>
      </c>
      <c r="R75">
        <f t="shared" si="186"/>
        <v>0.38454656181564056</v>
      </c>
      <c r="S75">
        <f t="shared" si="187"/>
        <v>0</v>
      </c>
      <c r="T75">
        <f t="shared" si="188"/>
        <v>0</v>
      </c>
      <c r="Y75" s="107" t="s">
        <v>390</v>
      </c>
      <c r="Z75" s="294"/>
      <c r="AA75" s="294"/>
      <c r="AB75" s="294"/>
      <c r="AC75" s="294"/>
      <c r="AD75" s="160">
        <f t="shared" si="177"/>
        <v>5613.7472299999999</v>
      </c>
      <c r="AE75" s="160">
        <f t="shared" si="178"/>
        <v>1800.01126</v>
      </c>
      <c r="AF75" s="294"/>
      <c r="AG75" s="294"/>
      <c r="AH75" s="160">
        <f>AH79*R75</f>
        <v>524.61841354281512</v>
      </c>
      <c r="AI75" s="294"/>
      <c r="AJ75" s="294"/>
      <c r="AK75" s="160">
        <f>+N75</f>
        <v>0</v>
      </c>
      <c r="AL75" s="294"/>
      <c r="AM75" s="162">
        <f t="shared" si="179"/>
        <v>7938.3769035428149</v>
      </c>
      <c r="AO75" s="107" t="s">
        <v>390</v>
      </c>
      <c r="AP75" s="294">
        <f>TripMode_input!R56*Index!$B$2</f>
        <v>0</v>
      </c>
      <c r="AQ75" s="294">
        <f>TripMode_input!S56*Index!$B$2</f>
        <v>0</v>
      </c>
      <c r="AR75" s="294">
        <f>TripMode_input!T56*Index!$B$2</f>
        <v>0</v>
      </c>
      <c r="AS75" s="294">
        <f>TripMode_input!U56*Index!$B$2</f>
        <v>0</v>
      </c>
      <c r="AT75" s="160">
        <f>TripMode_input!V56*Index!$B$2</f>
        <v>6450</v>
      </c>
      <c r="AU75" s="160">
        <f>TripMode_input!W56*Index!$B$2</f>
        <v>65</v>
      </c>
      <c r="AV75" s="294">
        <f>TripMode_input!X56*Index!$B$2</f>
        <v>0</v>
      </c>
      <c r="AW75" s="294">
        <f>TripMode_input!Y56*Index!$B$2</f>
        <v>0</v>
      </c>
      <c r="AX75" s="160">
        <f>TripMode_input!AA56*Index!$B$2</f>
        <v>0</v>
      </c>
      <c r="AY75" s="160">
        <f>TripMode_input!AB56*Index!$B$2</f>
        <v>0</v>
      </c>
      <c r="AZ75" s="160">
        <f>TripMode_input!AC56*Index!$B$2</f>
        <v>0</v>
      </c>
      <c r="BA75" s="160">
        <f>TripMode_input!AD56*Index!$B$2</f>
        <v>0</v>
      </c>
      <c r="BB75" s="294">
        <f>TripMode_input!AE56*Index!$B$2</f>
        <v>0</v>
      </c>
      <c r="BC75" s="162">
        <f t="shared" si="180"/>
        <v>6515</v>
      </c>
      <c r="BE75" s="107" t="s">
        <v>577</v>
      </c>
      <c r="BF75" s="166">
        <f>IF(Z$84+AA$84&gt;0,SUM(Z75:AA76)/(Z$84+AA$84),"")</f>
        <v>0</v>
      </c>
      <c r="BG75" s="166"/>
      <c r="BH75" s="166">
        <f>IF(AB$84+AC$84&gt;0,SUM(AB75:AC76)/(AB$84+AC$84),"")</f>
        <v>0</v>
      </c>
      <c r="BI75" s="166"/>
      <c r="BJ75" s="166">
        <f>IF(AD$84+AE$84&gt;0,SUM(AD75:AE76)/(AD$84+AE$84),"")</f>
        <v>0.16767644151964906</v>
      </c>
      <c r="BK75" s="166"/>
      <c r="BL75" s="166">
        <f t="shared" ref="BL75:BS75" si="192">IF(AF$84&gt;0,(AF75+AF76)/AF$84,"")</f>
        <v>0</v>
      </c>
      <c r="BM75" s="166">
        <f t="shared" si="192"/>
        <v>0</v>
      </c>
      <c r="BN75" s="166">
        <f t="shared" si="192"/>
        <v>3.7440820900492724E-3</v>
      </c>
      <c r="BO75" s="166" t="str">
        <f t="shared" si="192"/>
        <v/>
      </c>
      <c r="BP75" s="166" t="str">
        <f t="shared" si="192"/>
        <v/>
      </c>
      <c r="BQ75" s="166">
        <f t="shared" si="192"/>
        <v>0</v>
      </c>
      <c r="BR75" s="166">
        <f t="shared" si="192"/>
        <v>0</v>
      </c>
      <c r="BS75" s="166">
        <f t="shared" si="192"/>
        <v>9.4867542464781192E-3</v>
      </c>
      <c r="BU75" s="107" t="s">
        <v>577</v>
      </c>
      <c r="BV75" s="166">
        <f>IF(AP$84+AQ$84&gt;0,SUM(AP75:AQ76)/(AP$84+AQ$84),"")</f>
        <v>0</v>
      </c>
      <c r="BW75" s="166"/>
      <c r="BX75" s="166">
        <f>IF(AR$84+AS$84&gt;0,SUM(AR75:AS76)/(AR$84+AS$84),"")</f>
        <v>0</v>
      </c>
      <c r="BY75" s="166"/>
      <c r="BZ75" s="166">
        <f>IF(AT$84+AU$84&gt;0,SUM(AT75:AU76)/(AT$84+AU$84),"")</f>
        <v>0.17467248908296942</v>
      </c>
      <c r="CA75" s="166"/>
      <c r="CB75" s="166">
        <f t="shared" ref="CB75:CI75" si="193">IF(AV$84&gt;0,(AV75+AV76)/AV$84,"")</f>
        <v>0</v>
      </c>
      <c r="CC75" s="166">
        <f t="shared" si="193"/>
        <v>0</v>
      </c>
      <c r="CD75" s="166">
        <f t="shared" si="193"/>
        <v>0</v>
      </c>
      <c r="CE75" s="166" t="str">
        <f t="shared" si="193"/>
        <v/>
      </c>
      <c r="CF75" s="166" t="str">
        <f t="shared" si="193"/>
        <v/>
      </c>
      <c r="CG75" s="166">
        <f t="shared" si="193"/>
        <v>0</v>
      </c>
      <c r="CH75" s="166" t="str">
        <f t="shared" si="193"/>
        <v/>
      </c>
      <c r="CI75" s="166">
        <f t="shared" si="193"/>
        <v>2.2922078824166819E-3</v>
      </c>
      <c r="CK75" s="107" t="s">
        <v>390</v>
      </c>
      <c r="CL75" s="166"/>
      <c r="CM75" s="166"/>
      <c r="CN75" s="166"/>
      <c r="CO75" s="166"/>
      <c r="CP75" s="166"/>
      <c r="CQ75" s="166"/>
      <c r="CR75" s="166"/>
      <c r="CS75" s="166"/>
      <c r="CT75" s="166"/>
      <c r="CU75" s="166"/>
      <c r="CV75" s="166"/>
      <c r="CW75" s="166"/>
      <c r="CX75" s="166"/>
      <c r="CY75" s="168"/>
      <c r="DA75" s="107" t="s">
        <v>577</v>
      </c>
      <c r="DB75" s="315"/>
      <c r="DC75" s="315"/>
      <c r="DD75" s="315"/>
      <c r="DE75" s="315"/>
      <c r="DF75" s="314">
        <f>IFERROR(IF(BZ75&gt;0,LN(BJ75/BZ75),0),0)</f>
        <v>-4.0876550487581029E-2</v>
      </c>
      <c r="DG75" s="314"/>
      <c r="DH75" s="315"/>
      <c r="DI75" s="315"/>
      <c r="DJ75" s="314">
        <f>IFERROR(IF(CD75&gt;0,LN(BN75/CD75),0),0)</f>
        <v>0</v>
      </c>
      <c r="DK75" s="315"/>
      <c r="DL75" s="315"/>
      <c r="DM75" s="314">
        <f>IFERROR(IF(CG75&gt;0,LN(BQ75/CG75),0),0)</f>
        <v>0</v>
      </c>
      <c r="DN75" s="315"/>
      <c r="DO75" s="168"/>
      <c r="DQ75" s="107" t="s">
        <v>577</v>
      </c>
      <c r="DR75" s="315"/>
      <c r="DS75" s="315"/>
      <c r="DT75" s="315"/>
      <c r="DU75" s="315"/>
      <c r="DV75" s="314">
        <v>-2.7072907756782296</v>
      </c>
      <c r="DW75" s="314">
        <v>-2.7072907756782296</v>
      </c>
      <c r="DX75" s="315"/>
      <c r="DY75" s="315"/>
      <c r="DZ75" s="314">
        <v>0.99104744982616344</v>
      </c>
      <c r="EA75" s="315"/>
      <c r="EB75" s="315"/>
      <c r="EC75" s="314">
        <v>0</v>
      </c>
      <c r="ED75" s="315"/>
      <c r="EE75" s="168"/>
      <c r="EG75" s="107" t="s">
        <v>577</v>
      </c>
      <c r="EH75" s="315"/>
      <c r="EI75" s="315"/>
      <c r="EJ75" s="315"/>
      <c r="EK75" s="315"/>
      <c r="EL75" s="314">
        <f>DV75+(DF75-DF$71)*$EI$1</f>
        <v>-2.7683583637035656</v>
      </c>
      <c r="EM75" s="314">
        <f>DV75+(DF75-DF$71)*$EI$1</f>
        <v>-2.7683583637035656</v>
      </c>
      <c r="EN75" s="315"/>
      <c r="EO75" s="315"/>
      <c r="EP75" s="314">
        <f>DZ75+(DJ75-DJ$79)*$EI$1</f>
        <v>1.4671826540032391</v>
      </c>
      <c r="EQ75" s="315"/>
      <c r="ER75" s="315"/>
      <c r="ES75" s="314">
        <f>EC75+(DM75-DM$82)*$EI$1</f>
        <v>0</v>
      </c>
      <c r="ET75" s="315"/>
      <c r="EU75" s="168"/>
      <c r="EW75" s="164" t="s">
        <v>390</v>
      </c>
      <c r="EX75" s="316">
        <f t="shared" si="189"/>
        <v>0</v>
      </c>
      <c r="EY75" s="316">
        <f t="shared" si="185"/>
        <v>0</v>
      </c>
      <c r="EZ75" s="316">
        <f t="shared" si="185"/>
        <v>-2.7630562041698674</v>
      </c>
      <c r="FA75" s="316">
        <f t="shared" si="185"/>
        <v>-2.7630562041698674</v>
      </c>
      <c r="FB75" s="316">
        <f t="shared" si="185"/>
        <v>-2.7683583637035656</v>
      </c>
      <c r="FC75" s="316">
        <f t="shared" si="185"/>
        <v>-2.7683583637035656</v>
      </c>
      <c r="FD75" s="316">
        <f t="shared" si="185"/>
        <v>0.83519639787973055</v>
      </c>
      <c r="FE75" s="316">
        <f t="shared" si="185"/>
        <v>0</v>
      </c>
      <c r="FF75" s="316"/>
      <c r="FG75" s="316">
        <f t="shared" si="185"/>
        <v>0</v>
      </c>
      <c r="FH75" s="316">
        <f t="shared" si="185"/>
        <v>0</v>
      </c>
      <c r="FI75" s="316">
        <f t="shared" si="185"/>
        <v>0</v>
      </c>
      <c r="FJ75" s="316">
        <f t="shared" si="185"/>
        <v>0</v>
      </c>
      <c r="FK75" s="316"/>
      <c r="FL75" s="168"/>
    </row>
    <row r="76" spans="2:168" x14ac:dyDescent="0.25">
      <c r="B76" s="107" t="s">
        <v>391</v>
      </c>
      <c r="C76" s="294"/>
      <c r="D76" s="294"/>
      <c r="E76" s="294"/>
      <c r="F76" s="294"/>
      <c r="G76" s="160">
        <f>TripMode_input!F57</f>
        <v>0</v>
      </c>
      <c r="H76" s="160">
        <f>TripMode_input!G57</f>
        <v>0</v>
      </c>
      <c r="I76" s="294"/>
      <c r="J76" s="294"/>
      <c r="K76" s="160">
        <f>TripMode_input!J57+TripMode_input!K57</f>
        <v>0</v>
      </c>
      <c r="L76" s="294"/>
      <c r="M76" s="294"/>
      <c r="N76" s="160">
        <f>TripMode_input!N57</f>
        <v>0</v>
      </c>
      <c r="O76" s="294"/>
      <c r="P76" s="162">
        <f t="shared" si="175"/>
        <v>0</v>
      </c>
      <c r="R76">
        <f t="shared" si="186"/>
        <v>0</v>
      </c>
      <c r="S76">
        <f t="shared" si="187"/>
        <v>0</v>
      </c>
      <c r="T76">
        <f t="shared" si="188"/>
        <v>0</v>
      </c>
      <c r="Y76" s="107" t="s">
        <v>391</v>
      </c>
      <c r="Z76" s="294"/>
      <c r="AA76" s="294"/>
      <c r="AB76" s="294"/>
      <c r="AC76" s="294"/>
      <c r="AD76" s="160">
        <f t="shared" si="177"/>
        <v>0</v>
      </c>
      <c r="AE76" s="160">
        <f t="shared" si="178"/>
        <v>0</v>
      </c>
      <c r="AF76" s="294"/>
      <c r="AG76" s="294"/>
      <c r="AH76" s="160">
        <f>AH79*R76</f>
        <v>0</v>
      </c>
      <c r="AI76" s="294"/>
      <c r="AJ76" s="294"/>
      <c r="AK76" s="160">
        <f>+N76</f>
        <v>0</v>
      </c>
      <c r="AL76" s="294"/>
      <c r="AM76" s="162">
        <f t="shared" si="179"/>
        <v>0</v>
      </c>
      <c r="AO76" s="107" t="s">
        <v>391</v>
      </c>
      <c r="AP76" s="294">
        <f>TripMode_input!R57*Index!$B$2</f>
        <v>0</v>
      </c>
      <c r="AQ76" s="294">
        <f>TripMode_input!S57*Index!$B$2</f>
        <v>0</v>
      </c>
      <c r="AR76" s="294">
        <f>TripMode_input!T57*Index!$B$2</f>
        <v>0</v>
      </c>
      <c r="AS76" s="294">
        <f>TripMode_input!U57*Index!$B$2</f>
        <v>0</v>
      </c>
      <c r="AT76" s="160">
        <f>TripMode_input!V57*Index!$B$2</f>
        <v>75</v>
      </c>
      <c r="AU76" s="160">
        <f>TripMode_input!W57*Index!$B$2</f>
        <v>10</v>
      </c>
      <c r="AV76" s="294">
        <f>TripMode_input!X57*Index!$B$2</f>
        <v>0</v>
      </c>
      <c r="AW76" s="294">
        <f>TripMode_input!Y57*Index!$B$2</f>
        <v>0</v>
      </c>
      <c r="AX76" s="160">
        <f>TripMode_input!AA57*Index!$B$2</f>
        <v>0</v>
      </c>
      <c r="AY76" s="160">
        <f>TripMode_input!AB57*Index!$B$2</f>
        <v>0</v>
      </c>
      <c r="AZ76" s="160">
        <f>TripMode_input!AC57*Index!$B$2</f>
        <v>0</v>
      </c>
      <c r="BA76" s="160">
        <f>TripMode_input!AD57*Index!$B$2</f>
        <v>0</v>
      </c>
      <c r="BB76" s="294">
        <f>TripMode_input!AE57*Index!$B$2</f>
        <v>0</v>
      </c>
      <c r="BC76" s="162">
        <f t="shared" si="180"/>
        <v>85</v>
      </c>
      <c r="BE76" s="107"/>
      <c r="BF76" s="166"/>
      <c r="BG76" s="166"/>
      <c r="BH76" s="166"/>
      <c r="BI76" s="166"/>
      <c r="BJ76" s="166"/>
      <c r="BK76" s="166"/>
      <c r="BL76" s="166"/>
      <c r="BM76" s="166"/>
      <c r="BN76" s="166"/>
      <c r="BO76" s="166"/>
      <c r="BP76" s="166"/>
      <c r="BQ76" s="166"/>
      <c r="BR76" s="166"/>
      <c r="BS76" s="166"/>
      <c r="BU76" s="107"/>
      <c r="BV76" s="166"/>
      <c r="BW76" s="166"/>
      <c r="BX76" s="166"/>
      <c r="BY76" s="166"/>
      <c r="BZ76" s="166"/>
      <c r="CA76" s="166"/>
      <c r="CB76" s="166"/>
      <c r="CC76" s="166"/>
      <c r="CD76" s="166"/>
      <c r="CE76" s="166"/>
      <c r="CF76" s="166"/>
      <c r="CG76" s="166"/>
      <c r="CH76" s="166"/>
      <c r="CI76" s="166"/>
      <c r="CK76" s="107" t="s">
        <v>391</v>
      </c>
      <c r="CL76" s="166"/>
      <c r="CM76" s="166"/>
      <c r="CN76" s="166"/>
      <c r="CO76" s="166"/>
      <c r="CP76" s="166"/>
      <c r="CQ76" s="166"/>
      <c r="CR76" s="166"/>
      <c r="CS76" s="166"/>
      <c r="CT76" s="166"/>
      <c r="CU76" s="166"/>
      <c r="CV76" s="166"/>
      <c r="CW76" s="166"/>
      <c r="CX76" s="166"/>
      <c r="CY76" s="168"/>
      <c r="DA76" s="107"/>
      <c r="DB76" s="315"/>
      <c r="DC76" s="315"/>
      <c r="DD76" s="315"/>
      <c r="DE76" s="315"/>
      <c r="DF76" s="314"/>
      <c r="DG76" s="314"/>
      <c r="DH76" s="315"/>
      <c r="DI76" s="315"/>
      <c r="DJ76" s="314"/>
      <c r="DK76" s="315"/>
      <c r="DL76" s="315"/>
      <c r="DM76" s="314"/>
      <c r="DN76" s="315"/>
      <c r="DO76" s="168"/>
      <c r="DQ76" s="107"/>
      <c r="DR76" s="315"/>
      <c r="DS76" s="315"/>
      <c r="DT76" s="315"/>
      <c r="DU76" s="315"/>
      <c r="DV76" s="314">
        <v>-2.7072907756782296</v>
      </c>
      <c r="DW76" s="314">
        <v>-2.7072907756782296</v>
      </c>
      <c r="DX76" s="315"/>
      <c r="DY76" s="315"/>
      <c r="DZ76" s="314">
        <v>0.99104744982616344</v>
      </c>
      <c r="EA76" s="315"/>
      <c r="EB76" s="315"/>
      <c r="EC76" s="314">
        <v>0</v>
      </c>
      <c r="ED76" s="315"/>
      <c r="EE76" s="168"/>
      <c r="EG76" s="107"/>
      <c r="EH76" s="315"/>
      <c r="EI76" s="315"/>
      <c r="EJ76" s="315"/>
      <c r="EK76" s="315"/>
      <c r="EL76" s="314">
        <f>DV75+(DF75-DF$71)*$EI$1</f>
        <v>-2.7683583637035656</v>
      </c>
      <c r="EM76" s="314">
        <f>DV75+(DF75-DF$71)*$EI$1</f>
        <v>-2.7683583637035656</v>
      </c>
      <c r="EN76" s="315"/>
      <c r="EO76" s="315"/>
      <c r="EP76" s="314">
        <f>DZ75+(DJ75-DJ$79)*$EI$1</f>
        <v>1.4671826540032391</v>
      </c>
      <c r="EQ76" s="315"/>
      <c r="ER76" s="315"/>
      <c r="ES76" s="314">
        <f>EC75+(DM75-DM$82)*$EI$1</f>
        <v>0</v>
      </c>
      <c r="ET76" s="315"/>
      <c r="EU76" s="168"/>
      <c r="EW76" s="164" t="s">
        <v>391</v>
      </c>
      <c r="EX76" s="316">
        <f t="shared" si="189"/>
        <v>0</v>
      </c>
      <c r="EY76" s="316">
        <f t="shared" si="185"/>
        <v>0</v>
      </c>
      <c r="EZ76" s="316">
        <f t="shared" si="185"/>
        <v>-2.7630562041698674</v>
      </c>
      <c r="FA76" s="316">
        <f t="shared" si="185"/>
        <v>-2.7630562041698674</v>
      </c>
      <c r="FB76" s="316">
        <f t="shared" si="185"/>
        <v>-2.7683583637035656</v>
      </c>
      <c r="FC76" s="316">
        <f t="shared" si="185"/>
        <v>-2.7683583637035656</v>
      </c>
      <c r="FD76" s="316">
        <f t="shared" si="185"/>
        <v>0.83519639787973055</v>
      </c>
      <c r="FE76" s="316">
        <f t="shared" si="185"/>
        <v>0</v>
      </c>
      <c r="FF76" s="316"/>
      <c r="FG76" s="316">
        <f t="shared" si="185"/>
        <v>0</v>
      </c>
      <c r="FH76" s="316">
        <f t="shared" si="185"/>
        <v>0</v>
      </c>
      <c r="FI76" s="316">
        <f t="shared" si="185"/>
        <v>0</v>
      </c>
      <c r="FJ76" s="316">
        <f t="shared" si="185"/>
        <v>0</v>
      </c>
      <c r="FK76" s="316"/>
      <c r="FL76" s="168"/>
    </row>
    <row r="77" spans="2:168" x14ac:dyDescent="0.25">
      <c r="B77" s="107" t="s">
        <v>392</v>
      </c>
      <c r="C77" s="294"/>
      <c r="D77" s="294"/>
      <c r="E77" s="160">
        <f>TripMode_input!D58</f>
        <v>22653.358209999999</v>
      </c>
      <c r="F77" s="160">
        <f>TripMode_input!E58</f>
        <v>0</v>
      </c>
      <c r="G77" s="160">
        <f>TripMode_input!F58</f>
        <v>4642.9263899999996</v>
      </c>
      <c r="H77" s="160">
        <f>TripMode_input!G58</f>
        <v>1046.6638</v>
      </c>
      <c r="I77" s="160">
        <f>TripMode_input!H58</f>
        <v>9702.8818699999993</v>
      </c>
      <c r="J77" s="294"/>
      <c r="K77" s="160">
        <f>TripMode_input!J58+TripMode_input!K58</f>
        <v>125443.51285999999</v>
      </c>
      <c r="L77" s="294"/>
      <c r="M77" s="294"/>
      <c r="N77" s="160">
        <f>TripMode_input!N58</f>
        <v>1682.05898</v>
      </c>
      <c r="O77" s="294"/>
      <c r="P77" s="162">
        <f t="shared" si="175"/>
        <v>165171.40211</v>
      </c>
      <c r="R77">
        <f t="shared" si="186"/>
        <v>97.058726978599381</v>
      </c>
      <c r="S77">
        <f t="shared" si="187"/>
        <v>0</v>
      </c>
      <c r="T77">
        <f t="shared" si="188"/>
        <v>0</v>
      </c>
      <c r="Y77" s="107" t="s">
        <v>392</v>
      </c>
      <c r="Z77" s="294"/>
      <c r="AA77" s="294"/>
      <c r="AB77" s="160">
        <f>+E77</f>
        <v>22653.358209999999</v>
      </c>
      <c r="AC77" s="160">
        <f>+F77</f>
        <v>0</v>
      </c>
      <c r="AD77" s="160">
        <f t="shared" si="177"/>
        <v>4642.9263899999996</v>
      </c>
      <c r="AE77" s="160">
        <f t="shared" si="178"/>
        <v>1046.6638</v>
      </c>
      <c r="AF77" s="160">
        <f>+I77</f>
        <v>9702.8818699999993</v>
      </c>
      <c r="AG77" s="294"/>
      <c r="AH77" s="160">
        <f>AH79*R77</f>
        <v>132412.56176517199</v>
      </c>
      <c r="AI77" s="294"/>
      <c r="AJ77" s="294"/>
      <c r="AK77" s="160">
        <f>+N77</f>
        <v>1682.05898</v>
      </c>
      <c r="AL77" s="294"/>
      <c r="AM77" s="162">
        <f t="shared" si="179"/>
        <v>172140.451015172</v>
      </c>
      <c r="AO77" s="107" t="s">
        <v>392</v>
      </c>
      <c r="AP77" s="294">
        <f>TripMode_input!R58*Index!$B$2</f>
        <v>0</v>
      </c>
      <c r="AQ77" s="294">
        <f>TripMode_input!S58*Index!$B$2</f>
        <v>0</v>
      </c>
      <c r="AR77" s="160">
        <f>TripMode_input!T58*Index!$B$2</f>
        <v>41795</v>
      </c>
      <c r="AS77" s="160">
        <f>TripMode_input!U58*Index!$B$2</f>
        <v>245</v>
      </c>
      <c r="AT77" s="160">
        <f>TripMode_input!V58*Index!$B$2</f>
        <v>5075</v>
      </c>
      <c r="AU77" s="160">
        <f>TripMode_input!W58*Index!$B$2</f>
        <v>15</v>
      </c>
      <c r="AV77" s="160">
        <f>TripMode_input!X58*Index!$B$2</f>
        <v>1006120</v>
      </c>
      <c r="AW77" s="294">
        <f>TripMode_input!Y58*Index!$B$2</f>
        <v>0</v>
      </c>
      <c r="AX77" s="160">
        <f>TripMode_input!AA58*Index!$B$2</f>
        <v>2175</v>
      </c>
      <c r="AY77" s="160">
        <f>TripMode_input!AB58*Index!$B$2</f>
        <v>0</v>
      </c>
      <c r="AZ77" s="160">
        <f>TripMode_input!AC58*Index!$B$2</f>
        <v>0</v>
      </c>
      <c r="BA77" s="160">
        <f>TripMode_input!AD58*Index!$B$2</f>
        <v>9810</v>
      </c>
      <c r="BB77" s="294">
        <f>TripMode_input!AE58*Index!$B$2</f>
        <v>0</v>
      </c>
      <c r="BC77" s="162">
        <f t="shared" si="180"/>
        <v>1065235</v>
      </c>
      <c r="BE77" s="107" t="s">
        <v>392</v>
      </c>
      <c r="BF77" s="166">
        <f t="shared" ref="BF77:BS84" si="194">IF(Z$84&gt;0,Z77/Z$84,"")</f>
        <v>0</v>
      </c>
      <c r="BG77" s="166">
        <f t="shared" si="194"/>
        <v>0</v>
      </c>
      <c r="BH77" s="166">
        <f t="shared" si="194"/>
        <v>0.22782422758247273</v>
      </c>
      <c r="BI77" s="166">
        <f t="shared" si="194"/>
        <v>0</v>
      </c>
      <c r="BJ77" s="166">
        <f t="shared" si="194"/>
        <v>0.11965361246894958</v>
      </c>
      <c r="BK77" s="166">
        <f t="shared" si="194"/>
        <v>0.19341083037031287</v>
      </c>
      <c r="BL77" s="166">
        <f t="shared" si="194"/>
        <v>1</v>
      </c>
      <c r="BM77" s="166">
        <f t="shared" si="194"/>
        <v>0</v>
      </c>
      <c r="BN77" s="166">
        <f t="shared" si="194"/>
        <v>0.94499828485731052</v>
      </c>
      <c r="BO77" s="166" t="str">
        <f t="shared" si="194"/>
        <v/>
      </c>
      <c r="BP77" s="166" t="str">
        <f t="shared" si="194"/>
        <v/>
      </c>
      <c r="BQ77" s="166">
        <f t="shared" si="194"/>
        <v>1</v>
      </c>
      <c r="BR77" s="166">
        <f t="shared" si="194"/>
        <v>0</v>
      </c>
      <c r="BS77" s="166">
        <f t="shared" si="194"/>
        <v>0.20571637936843573</v>
      </c>
      <c r="BU77" s="107" t="s">
        <v>392</v>
      </c>
      <c r="BV77" s="166">
        <f t="shared" ref="BV77:BV84" si="195">IF(AP$84&gt;0,AP77/AP$84,"")</f>
        <v>0</v>
      </c>
      <c r="BW77" s="166">
        <f t="shared" ref="BW77:BW84" si="196">IF(AQ$84&gt;0,AQ77/AQ$84,"")</f>
        <v>0</v>
      </c>
      <c r="BX77" s="166">
        <f t="shared" ref="BX77:BX84" si="197">IF(AR$84&gt;0,AR77/AR$84,"")</f>
        <v>0.22640845070422536</v>
      </c>
      <c r="BY77" s="166">
        <f t="shared" ref="BY77:BY84" si="198">IF(AS$84&gt;0,AS77/AS$84,"")</f>
        <v>3.4217877094972066E-2</v>
      </c>
      <c r="BZ77" s="166">
        <f t="shared" ref="BZ77:BZ84" si="199">IF(AT$84&gt;0,AT77/AT$84,"")</f>
        <v>0.13547784303256807</v>
      </c>
      <c r="CA77" s="166">
        <f t="shared" ref="CA77:CA84" si="200">IF(AU$84&gt;0,AU77/AU$84,"")</f>
        <v>4.6153846153846156E-2</v>
      </c>
      <c r="CB77" s="166">
        <f t="shared" ref="CB77:CB84" si="201">IF(AV$84&gt;0,AV77/AV$84,"")</f>
        <v>1</v>
      </c>
      <c r="CC77" s="166">
        <f t="shared" ref="CC77:CC84" si="202">IF(AW$84&gt;0,AW77/AW$84,"")</f>
        <v>0</v>
      </c>
      <c r="CD77" s="166">
        <f t="shared" ref="CD77:CD84" si="203">IF(AX$84&gt;0,AX77/AX$84,"")</f>
        <v>0.68181818181818177</v>
      </c>
      <c r="CE77" s="166" t="str">
        <f t="shared" ref="CE77:CE84" si="204">IF(AY$84&gt;0,AY77/AY$84,"")</f>
        <v/>
      </c>
      <c r="CF77" s="166" t="str">
        <f t="shared" ref="CF77:CF84" si="205">IF(AZ$84&gt;0,AZ77/AZ$84,"")</f>
        <v/>
      </c>
      <c r="CG77" s="166">
        <f t="shared" ref="CG77:CG84" si="206">IF(BA$84&gt;0,BA77/BA$84,"")</f>
        <v>0.24797775530839231</v>
      </c>
      <c r="CH77" s="166" t="str">
        <f t="shared" ref="CH77:CH84" si="207">IF(BB$84&gt;0,BB77/BB$84,"")</f>
        <v/>
      </c>
      <c r="CI77" s="168">
        <f t="shared" ref="CI77:CI84" si="208">IF(BC$84&gt;0,BC77/BC$84,"")</f>
        <v>0.36996061570092936</v>
      </c>
      <c r="CK77" s="107" t="s">
        <v>392</v>
      </c>
      <c r="CL77" s="166"/>
      <c r="CM77" s="166"/>
      <c r="CN77" s="166"/>
      <c r="CO77" s="166"/>
      <c r="CP77" s="166"/>
      <c r="CQ77" s="166"/>
      <c r="CR77" s="166"/>
      <c r="CS77" s="166"/>
      <c r="CT77" s="166"/>
      <c r="CU77" s="166"/>
      <c r="CV77" s="166"/>
      <c r="CW77" s="166"/>
      <c r="CX77" s="166"/>
      <c r="CY77" s="168"/>
      <c r="DA77" s="107" t="s">
        <v>392</v>
      </c>
      <c r="DB77" s="315"/>
      <c r="DC77" s="315"/>
      <c r="DD77" s="314">
        <f>IFERROR(IF(BX77&gt;0,LN(BH77/BX77),0),0)</f>
        <v>6.2337279134865205E-3</v>
      </c>
      <c r="DE77" s="314">
        <f>IFERROR(IF(BY77&gt;0,LN(BI77/BY77),0),0)</f>
        <v>0</v>
      </c>
      <c r="DF77" s="314">
        <f>IFERROR(IF(BZ77&gt;0,LN(BJ77/BZ77),0),0)</f>
        <v>-0.12420710102761223</v>
      </c>
      <c r="DG77" s="314">
        <f>IFERROR(IF(CA77&gt;0,LN(BK77/CA77),0),0)</f>
        <v>1.4328362835431503</v>
      </c>
      <c r="DH77" s="314">
        <f>IFERROR(IF(CB77&gt;0,LN(BL77/CB77),0),0)</f>
        <v>0</v>
      </c>
      <c r="DI77" s="315"/>
      <c r="DJ77" s="314">
        <f t="shared" ref="DJ77:DJ82" si="209">IFERROR(IF(CD77&gt;0,LN(BN77/CD77),0),0)</f>
        <v>0.3264200858002555</v>
      </c>
      <c r="DK77" s="315"/>
      <c r="DL77" s="315"/>
      <c r="DM77" s="314">
        <f>IFERROR(IF(CG77&gt;0,LN(BQ77/CG77),0),0)</f>
        <v>1.3944162331772398</v>
      </c>
      <c r="DN77" s="315"/>
      <c r="DO77" s="168"/>
      <c r="DQ77" s="107" t="s">
        <v>392</v>
      </c>
      <c r="DR77" s="315"/>
      <c r="DS77" s="315"/>
      <c r="DT77" s="314">
        <v>2.8562307874572692</v>
      </c>
      <c r="DU77" s="314">
        <v>2.8562307874572692</v>
      </c>
      <c r="DV77" s="314">
        <v>0.97959453644509764</v>
      </c>
      <c r="DW77" s="314">
        <v>0.97959453644509764</v>
      </c>
      <c r="DX77" s="314">
        <v>0</v>
      </c>
      <c r="DY77" s="315"/>
      <c r="DZ77" s="314">
        <v>12.218883803908145</v>
      </c>
      <c r="EA77" s="315"/>
      <c r="EB77" s="315"/>
      <c r="EC77" s="314">
        <v>9.6375126292222681</v>
      </c>
      <c r="ED77" s="315"/>
      <c r="EE77" s="168"/>
      <c r="EG77" s="107" t="s">
        <v>392</v>
      </c>
      <c r="EH77" s="315"/>
      <c r="EI77" s="315"/>
      <c r="EJ77" s="314">
        <f>DT77+(DD77-DD$71)*$EI$1</f>
        <v>2.7815587300170748</v>
      </c>
      <c r="EK77" s="314">
        <f>DT77+(DD77-DD$71)*$EI$1</f>
        <v>2.7815587300170748</v>
      </c>
      <c r="EL77" s="314">
        <f>DV77+(DF77-DF$71)*$EI$1</f>
        <v>0.83519639787973055</v>
      </c>
      <c r="EM77" s="314">
        <f>DV77+(DF77-DF$71)*$EI$1</f>
        <v>0.83519639787973055</v>
      </c>
      <c r="EN77" s="314">
        <v>0</v>
      </c>
      <c r="EO77" s="315"/>
      <c r="EP77" s="314">
        <f>DZ77+(DJ77-DJ$79)*$EI$1</f>
        <v>13.021439093885476</v>
      </c>
      <c r="EQ77" s="315"/>
      <c r="ER77" s="315"/>
      <c r="ES77" s="314">
        <f>EC77+(DM77-DM$82)*$EI$1</f>
        <v>11.031928862399507</v>
      </c>
      <c r="ET77" s="315"/>
      <c r="EU77" s="168"/>
      <c r="EW77" s="164" t="s">
        <v>392</v>
      </c>
      <c r="EX77" s="316">
        <f t="shared" si="189"/>
        <v>0</v>
      </c>
      <c r="EY77" s="316">
        <f t="shared" si="185"/>
        <v>0</v>
      </c>
      <c r="EZ77" s="316">
        <f t="shared" si="185"/>
        <v>0</v>
      </c>
      <c r="FA77" s="316">
        <f t="shared" si="185"/>
        <v>0</v>
      </c>
      <c r="FB77" s="316">
        <f t="shared" si="185"/>
        <v>0</v>
      </c>
      <c r="FC77" s="316">
        <f t="shared" si="185"/>
        <v>0</v>
      </c>
      <c r="FD77" s="316">
        <f t="shared" si="185"/>
        <v>0</v>
      </c>
      <c r="FE77" s="316">
        <f t="shared" si="185"/>
        <v>0</v>
      </c>
      <c r="FF77" s="316"/>
      <c r="FG77" s="316">
        <f t="shared" si="185"/>
        <v>0</v>
      </c>
      <c r="FH77" s="316">
        <f t="shared" si="185"/>
        <v>0</v>
      </c>
      <c r="FI77" s="316">
        <f t="shared" si="185"/>
        <v>0</v>
      </c>
      <c r="FJ77" s="316">
        <f t="shared" si="185"/>
        <v>0</v>
      </c>
      <c r="FK77" s="316"/>
      <c r="FL77" s="168"/>
    </row>
    <row r="78" spans="2:168" x14ac:dyDescent="0.25">
      <c r="B78" s="107" t="s">
        <v>393</v>
      </c>
      <c r="C78" s="294"/>
      <c r="D78" s="294"/>
      <c r="E78" s="294"/>
      <c r="F78" s="294"/>
      <c r="G78" s="294"/>
      <c r="H78" s="294"/>
      <c r="I78" s="294"/>
      <c r="J78" s="160">
        <f>TripMode_input!I59</f>
        <v>1393.48236</v>
      </c>
      <c r="K78" s="294"/>
      <c r="L78" s="294"/>
      <c r="M78" s="294"/>
      <c r="N78" s="294"/>
      <c r="O78" s="294"/>
      <c r="P78" s="162">
        <f t="shared" si="175"/>
        <v>1393.48236</v>
      </c>
      <c r="R78">
        <f t="shared" si="186"/>
        <v>0</v>
      </c>
      <c r="S78">
        <f t="shared" si="187"/>
        <v>0</v>
      </c>
      <c r="T78">
        <f t="shared" si="188"/>
        <v>0</v>
      </c>
      <c r="Y78" s="107" t="s">
        <v>393</v>
      </c>
      <c r="Z78" s="294"/>
      <c r="AA78" s="294"/>
      <c r="AB78" s="294"/>
      <c r="AC78" s="294"/>
      <c r="AD78" s="294"/>
      <c r="AE78" s="294"/>
      <c r="AF78" s="294"/>
      <c r="AG78" s="160">
        <f>+J78</f>
        <v>1393.48236</v>
      </c>
      <c r="AH78" s="294"/>
      <c r="AI78" s="294"/>
      <c r="AJ78" s="294"/>
      <c r="AK78" s="294"/>
      <c r="AL78" s="294"/>
      <c r="AM78" s="162">
        <f t="shared" si="179"/>
        <v>1393.48236</v>
      </c>
      <c r="AO78" s="107" t="s">
        <v>393</v>
      </c>
      <c r="AP78" s="294">
        <f>TripMode_input!R59*Index!$B$2</f>
        <v>0</v>
      </c>
      <c r="AQ78" s="294">
        <f>TripMode_input!S59*Index!$B$2</f>
        <v>0</v>
      </c>
      <c r="AR78" s="294">
        <f>TripMode_input!T59*Index!$B$2</f>
        <v>0</v>
      </c>
      <c r="AS78" s="294">
        <f>TripMode_input!U59*Index!$B$2</f>
        <v>0</v>
      </c>
      <c r="AT78" s="294">
        <f>TripMode_input!V59*Index!$B$2</f>
        <v>0</v>
      </c>
      <c r="AU78" s="294">
        <f>TripMode_input!W59*Index!$B$2</f>
        <v>0</v>
      </c>
      <c r="AV78" s="294">
        <f>TripMode_input!X59*Index!$B$2</f>
        <v>0</v>
      </c>
      <c r="AW78" s="160">
        <f>TripMode_input!Y59*Index!$B$2</f>
        <v>12695</v>
      </c>
      <c r="AX78" s="294">
        <f>TripMode_input!AA59*Index!$B$2</f>
        <v>0</v>
      </c>
      <c r="AY78" s="294">
        <f>TripMode_input!AB59*Index!$B$2</f>
        <v>0</v>
      </c>
      <c r="AZ78" s="294">
        <f>TripMode_input!AC59*Index!$B$2</f>
        <v>0</v>
      </c>
      <c r="BA78" s="294">
        <f>TripMode_input!AD59*Index!$B$2</f>
        <v>0</v>
      </c>
      <c r="BB78" s="294">
        <f>TripMode_input!AE59*Index!$B$2</f>
        <v>0</v>
      </c>
      <c r="BC78" s="162">
        <f t="shared" si="180"/>
        <v>12695</v>
      </c>
      <c r="BE78" s="107" t="s">
        <v>393</v>
      </c>
      <c r="BF78" s="166">
        <f t="shared" si="194"/>
        <v>0</v>
      </c>
      <c r="BG78" s="166">
        <f t="shared" si="194"/>
        <v>0</v>
      </c>
      <c r="BH78" s="166">
        <f t="shared" si="194"/>
        <v>0</v>
      </c>
      <c r="BI78" s="166">
        <f t="shared" si="194"/>
        <v>0</v>
      </c>
      <c r="BJ78" s="166">
        <f t="shared" si="194"/>
        <v>0</v>
      </c>
      <c r="BK78" s="166">
        <f t="shared" si="194"/>
        <v>0</v>
      </c>
      <c r="BL78" s="166">
        <f t="shared" si="194"/>
        <v>0</v>
      </c>
      <c r="BM78" s="166">
        <f t="shared" si="194"/>
        <v>1</v>
      </c>
      <c r="BN78" s="166">
        <f t="shared" si="194"/>
        <v>0</v>
      </c>
      <c r="BO78" s="166" t="str">
        <f t="shared" si="194"/>
        <v/>
      </c>
      <c r="BP78" s="166" t="str">
        <f t="shared" si="194"/>
        <v/>
      </c>
      <c r="BQ78" s="166">
        <f t="shared" si="194"/>
        <v>0</v>
      </c>
      <c r="BR78" s="166">
        <f t="shared" si="194"/>
        <v>0</v>
      </c>
      <c r="BS78" s="166">
        <f t="shared" si="194"/>
        <v>1.6652805550493037E-3</v>
      </c>
      <c r="BU78" s="107" t="s">
        <v>393</v>
      </c>
      <c r="BV78" s="166">
        <f t="shared" si="195"/>
        <v>0</v>
      </c>
      <c r="BW78" s="166">
        <f t="shared" si="196"/>
        <v>0</v>
      </c>
      <c r="BX78" s="166">
        <f t="shared" si="197"/>
        <v>0</v>
      </c>
      <c r="BY78" s="166">
        <f t="shared" si="198"/>
        <v>0</v>
      </c>
      <c r="BZ78" s="166">
        <f t="shared" si="199"/>
        <v>0</v>
      </c>
      <c r="CA78" s="166">
        <f t="shared" si="200"/>
        <v>0</v>
      </c>
      <c r="CB78" s="166">
        <f t="shared" si="201"/>
        <v>0</v>
      </c>
      <c r="CC78" s="166">
        <f t="shared" si="202"/>
        <v>1</v>
      </c>
      <c r="CD78" s="166">
        <f t="shared" si="203"/>
        <v>0</v>
      </c>
      <c r="CE78" s="166" t="str">
        <f t="shared" si="204"/>
        <v/>
      </c>
      <c r="CF78" s="166" t="str">
        <f t="shared" si="205"/>
        <v/>
      </c>
      <c r="CG78" s="166">
        <f t="shared" si="206"/>
        <v>0</v>
      </c>
      <c r="CH78" s="166" t="str">
        <f t="shared" si="207"/>
        <v/>
      </c>
      <c r="CI78" s="168">
        <f t="shared" si="208"/>
        <v>4.4090271314060261E-3</v>
      </c>
      <c r="CK78" s="107" t="s">
        <v>393</v>
      </c>
      <c r="CL78" s="166"/>
      <c r="CM78" s="166"/>
      <c r="CN78" s="166"/>
      <c r="CO78" s="166"/>
      <c r="CP78" s="166"/>
      <c r="CQ78" s="166"/>
      <c r="CR78" s="166"/>
      <c r="CS78" s="166"/>
      <c r="CT78" s="166"/>
      <c r="CU78" s="166"/>
      <c r="CV78" s="166"/>
      <c r="CW78" s="166"/>
      <c r="CX78" s="166"/>
      <c r="CY78" s="168"/>
      <c r="DA78" s="107" t="s">
        <v>393</v>
      </c>
      <c r="DB78" s="315"/>
      <c r="DC78" s="315"/>
      <c r="DD78" s="315"/>
      <c r="DE78" s="315"/>
      <c r="DF78" s="315"/>
      <c r="DG78" s="315"/>
      <c r="DH78" s="315"/>
      <c r="DI78" s="314">
        <f>IFERROR(IF(CC78&gt;0,LN(BM78/CC78),0),0)</f>
        <v>0</v>
      </c>
      <c r="DJ78" s="315"/>
      <c r="DK78" s="315"/>
      <c r="DL78" s="315"/>
      <c r="DM78" s="315"/>
      <c r="DN78" s="315"/>
      <c r="DO78" s="168"/>
      <c r="DQ78" s="107" t="s">
        <v>393</v>
      </c>
      <c r="DR78" s="315"/>
      <c r="DS78" s="315"/>
      <c r="DT78" s="315"/>
      <c r="DU78" s="315"/>
      <c r="DV78" s="315"/>
      <c r="DW78" s="315"/>
      <c r="DX78" s="315"/>
      <c r="DY78" s="314">
        <v>0</v>
      </c>
      <c r="DZ78" s="315"/>
      <c r="EA78" s="315"/>
      <c r="EB78" s="315"/>
      <c r="EC78" s="315"/>
      <c r="ED78" s="315"/>
      <c r="EE78" s="168"/>
      <c r="EG78" s="107" t="s">
        <v>393</v>
      </c>
      <c r="EH78" s="315"/>
      <c r="EI78" s="315"/>
      <c r="EJ78" s="315"/>
      <c r="EK78" s="315"/>
      <c r="EL78" s="315"/>
      <c r="EM78" s="315"/>
      <c r="EN78" s="315"/>
      <c r="EO78" s="314">
        <v>0</v>
      </c>
      <c r="EP78" s="315"/>
      <c r="EQ78" s="315"/>
      <c r="ER78" s="315"/>
      <c r="ES78" s="315"/>
      <c r="ET78" s="315"/>
      <c r="EU78" s="168"/>
      <c r="EW78" s="164" t="s">
        <v>393</v>
      </c>
      <c r="EX78" s="316">
        <f t="shared" si="189"/>
        <v>0</v>
      </c>
      <c r="EY78" s="316">
        <f t="shared" si="185"/>
        <v>0</v>
      </c>
      <c r="EZ78" s="316">
        <f t="shared" si="185"/>
        <v>0</v>
      </c>
      <c r="FA78" s="316">
        <f t="shared" si="185"/>
        <v>0</v>
      </c>
      <c r="FB78" s="316">
        <f t="shared" si="185"/>
        <v>0</v>
      </c>
      <c r="FC78" s="316">
        <f t="shared" si="185"/>
        <v>0</v>
      </c>
      <c r="FD78" s="316">
        <f t="shared" si="185"/>
        <v>0</v>
      </c>
      <c r="FE78" s="316">
        <f t="shared" si="185"/>
        <v>0</v>
      </c>
      <c r="FF78" s="316"/>
      <c r="FG78" s="316">
        <f t="shared" si="185"/>
        <v>0</v>
      </c>
      <c r="FH78" s="316">
        <f t="shared" si="185"/>
        <v>0</v>
      </c>
      <c r="FI78" s="316">
        <f t="shared" si="185"/>
        <v>0</v>
      </c>
      <c r="FJ78" s="316">
        <f t="shared" si="185"/>
        <v>0</v>
      </c>
      <c r="FK78" s="316"/>
      <c r="FL78" s="168"/>
    </row>
    <row r="79" spans="2:168" x14ac:dyDescent="0.25">
      <c r="B79" s="107" t="s">
        <v>546</v>
      </c>
      <c r="C79" s="294"/>
      <c r="D79" s="294"/>
      <c r="E79" s="294"/>
      <c r="F79" s="294"/>
      <c r="G79" s="294"/>
      <c r="H79" s="294"/>
      <c r="I79" s="294"/>
      <c r="J79" s="294"/>
      <c r="K79" s="160">
        <f>TripMode_input!J61+TripMode_input!K61+TripMode_input!J60+TripMode_input!K60</f>
        <v>1292.4496000000001</v>
      </c>
      <c r="L79" s="294"/>
      <c r="M79" s="294"/>
      <c r="N79" s="294"/>
      <c r="O79" s="294"/>
      <c r="P79" s="162">
        <f t="shared" si="175"/>
        <v>1292.4496000000001</v>
      </c>
      <c r="R79">
        <f t="shared" si="186"/>
        <v>1</v>
      </c>
      <c r="S79">
        <f t="shared" si="187"/>
        <v>0</v>
      </c>
      <c r="T79">
        <f t="shared" si="188"/>
        <v>0</v>
      </c>
      <c r="U79" s="127">
        <f>+K79/K$159</f>
        <v>1.0273253770949995E-3</v>
      </c>
      <c r="V79" s="127"/>
      <c r="W79" s="127"/>
      <c r="X79" s="127"/>
      <c r="Y79" s="107" t="s">
        <v>546</v>
      </c>
      <c r="Z79" s="294"/>
      <c r="AA79" s="294"/>
      <c r="AB79" s="294"/>
      <c r="AC79" s="294"/>
      <c r="AD79" s="294"/>
      <c r="AE79" s="294"/>
      <c r="AF79" s="294"/>
      <c r="AG79" s="294"/>
      <c r="AH79" s="160">
        <f>U79*U$159</f>
        <v>1364.2519934798634</v>
      </c>
      <c r="AI79" s="294"/>
      <c r="AJ79" s="294"/>
      <c r="AK79" s="294"/>
      <c r="AL79" s="294"/>
      <c r="AM79" s="162">
        <f t="shared" si="179"/>
        <v>1364.2519934798634</v>
      </c>
      <c r="AN79" s="127"/>
      <c r="AO79" s="107" t="s">
        <v>395</v>
      </c>
      <c r="AP79" s="294">
        <f>TripMode_input!R61*Index!$B$2</f>
        <v>0</v>
      </c>
      <c r="AQ79" s="294">
        <f>TripMode_input!S61*Index!$B$2</f>
        <v>0</v>
      </c>
      <c r="AR79" s="294">
        <f>TripMode_input!T61*Index!$B$2</f>
        <v>0</v>
      </c>
      <c r="AS79" s="294">
        <f>TripMode_input!U61*Index!$B$2</f>
        <v>0</v>
      </c>
      <c r="AT79" s="294">
        <f>TripMode_input!V61*Index!$B$2</f>
        <v>0</v>
      </c>
      <c r="AU79" s="294">
        <f>TripMode_input!W61*Index!$B$2</f>
        <v>0</v>
      </c>
      <c r="AV79" s="294">
        <f>TripMode_input!X61*Index!$B$2</f>
        <v>0</v>
      </c>
      <c r="AW79" s="294">
        <f>TripMode_input!Y61*Index!$B$2</f>
        <v>0</v>
      </c>
      <c r="AX79" s="160">
        <f>TripMode_input!AA61*Index!$B$2</f>
        <v>50</v>
      </c>
      <c r="AY79" s="160">
        <f>TripMode_input!AB61*Index!$B$2</f>
        <v>0</v>
      </c>
      <c r="AZ79" s="160">
        <f>TripMode_input!AC61*Index!$B$2</f>
        <v>0</v>
      </c>
      <c r="BA79" s="294">
        <f>TripMode_input!AD61*Index!$B$2</f>
        <v>0</v>
      </c>
      <c r="BB79" s="294">
        <f>TripMode_input!AE61*Index!$B$2</f>
        <v>0</v>
      </c>
      <c r="BC79" s="162">
        <f t="shared" si="180"/>
        <v>50</v>
      </c>
      <c r="BE79" s="107" t="s">
        <v>395</v>
      </c>
      <c r="BF79" s="166">
        <f t="shared" si="194"/>
        <v>0</v>
      </c>
      <c r="BG79" s="166">
        <f t="shared" si="194"/>
        <v>0</v>
      </c>
      <c r="BH79" s="166">
        <f t="shared" si="194"/>
        <v>0</v>
      </c>
      <c r="BI79" s="166">
        <f t="shared" si="194"/>
        <v>0</v>
      </c>
      <c r="BJ79" s="166">
        <f t="shared" si="194"/>
        <v>0</v>
      </c>
      <c r="BK79" s="166">
        <f t="shared" si="194"/>
        <v>0</v>
      </c>
      <c r="BL79" s="166">
        <f t="shared" si="194"/>
        <v>0</v>
      </c>
      <c r="BM79" s="166">
        <f t="shared" si="194"/>
        <v>0</v>
      </c>
      <c r="BN79" s="166">
        <f t="shared" si="194"/>
        <v>9.7363556505915706E-3</v>
      </c>
      <c r="BO79" s="166" t="str">
        <f t="shared" si="194"/>
        <v/>
      </c>
      <c r="BP79" s="166" t="str">
        <f t="shared" si="194"/>
        <v/>
      </c>
      <c r="BQ79" s="166">
        <f t="shared" si="194"/>
        <v>0</v>
      </c>
      <c r="BR79" s="166">
        <f t="shared" si="194"/>
        <v>0</v>
      </c>
      <c r="BS79" s="166">
        <f t="shared" si="194"/>
        <v>1.630348816851378E-3</v>
      </c>
      <c r="BU79" s="107" t="s">
        <v>395</v>
      </c>
      <c r="BV79" s="166">
        <f t="shared" si="195"/>
        <v>0</v>
      </c>
      <c r="BW79" s="166">
        <f t="shared" si="196"/>
        <v>0</v>
      </c>
      <c r="BX79" s="166">
        <f t="shared" si="197"/>
        <v>0</v>
      </c>
      <c r="BY79" s="166">
        <f t="shared" si="198"/>
        <v>0</v>
      </c>
      <c r="BZ79" s="166">
        <f t="shared" si="199"/>
        <v>0</v>
      </c>
      <c r="CA79" s="166">
        <f t="shared" si="200"/>
        <v>0</v>
      </c>
      <c r="CB79" s="166">
        <f t="shared" si="201"/>
        <v>0</v>
      </c>
      <c r="CC79" s="166">
        <f t="shared" si="202"/>
        <v>0</v>
      </c>
      <c r="CD79" s="166">
        <f t="shared" si="203"/>
        <v>1.5673981191222569E-2</v>
      </c>
      <c r="CE79" s="166" t="str">
        <f t="shared" si="204"/>
        <v/>
      </c>
      <c r="CF79" s="166" t="str">
        <f t="shared" si="205"/>
        <v/>
      </c>
      <c r="CG79" s="166">
        <f t="shared" si="206"/>
        <v>0</v>
      </c>
      <c r="CH79" s="166" t="str">
        <f t="shared" si="207"/>
        <v/>
      </c>
      <c r="CI79" s="168">
        <f t="shared" si="208"/>
        <v>1.7365211230429406E-5</v>
      </c>
      <c r="CK79" s="107" t="s">
        <v>395</v>
      </c>
      <c r="CL79" s="166" t="str">
        <f t="shared" ref="CL79:CO84" si="210">IF(OR(ISNA(BF79),BF79=0,BF79=""),"",(BV79-BF79)/BF79)</f>
        <v/>
      </c>
      <c r="CM79" s="166" t="str">
        <f t="shared" si="210"/>
        <v/>
      </c>
      <c r="CN79" s="166" t="str">
        <f t="shared" si="210"/>
        <v/>
      </c>
      <c r="CO79" s="166" t="str">
        <f t="shared" si="210"/>
        <v/>
      </c>
      <c r="CP79" s="166"/>
      <c r="CQ79" s="166"/>
      <c r="CR79" s="166"/>
      <c r="CS79" s="166"/>
      <c r="CT79" s="166">
        <f t="shared" ref="CT79:CY84" si="211">IF(OR(ISNA(BN79),BN79=0,BN79=""),"",(CD79-BN79)/BN79)</f>
        <v>0.60984065842646518</v>
      </c>
      <c r="CU79" s="166" t="str">
        <f t="shared" si="211"/>
        <v/>
      </c>
      <c r="CV79" s="166" t="str">
        <f t="shared" si="211"/>
        <v/>
      </c>
      <c r="CW79" s="166" t="str">
        <f t="shared" si="211"/>
        <v/>
      </c>
      <c r="CX79" s="166" t="str">
        <f t="shared" si="211"/>
        <v/>
      </c>
      <c r="CY79" s="168">
        <f t="shared" si="211"/>
        <v>-0.98934877551911482</v>
      </c>
      <c r="DA79" s="107" t="s">
        <v>395</v>
      </c>
      <c r="DB79" s="315"/>
      <c r="DC79" s="315"/>
      <c r="DD79" s="315"/>
      <c r="DE79" s="315"/>
      <c r="DF79" s="315"/>
      <c r="DG79" s="315"/>
      <c r="DH79" s="315"/>
      <c r="DI79" s="315"/>
      <c r="DJ79" s="314">
        <f t="shared" si="209"/>
        <v>-0.47613520417707567</v>
      </c>
      <c r="DK79" s="315"/>
      <c r="DL79" s="315"/>
      <c r="DM79" s="315"/>
      <c r="DN79" s="315"/>
      <c r="DO79" s="168"/>
      <c r="DQ79" s="107" t="s">
        <v>395</v>
      </c>
      <c r="DR79" s="315"/>
      <c r="DS79" s="315"/>
      <c r="DT79" s="315"/>
      <c r="DU79" s="315"/>
      <c r="DV79" s="315"/>
      <c r="DW79" s="315"/>
      <c r="DX79" s="315"/>
      <c r="DY79" s="315"/>
      <c r="DZ79" s="314">
        <v>0</v>
      </c>
      <c r="EA79" s="315"/>
      <c r="EB79" s="315"/>
      <c r="EC79" s="315"/>
      <c r="ED79" s="315"/>
      <c r="EE79" s="168"/>
      <c r="EG79" s="107" t="s">
        <v>395</v>
      </c>
      <c r="EH79" s="315"/>
      <c r="EI79" s="315"/>
      <c r="EJ79" s="315"/>
      <c r="EK79" s="315"/>
      <c r="EL79" s="315"/>
      <c r="EM79" s="315"/>
      <c r="EN79" s="315"/>
      <c r="EO79" s="315"/>
      <c r="EP79" s="314">
        <v>0</v>
      </c>
      <c r="EQ79" s="315"/>
      <c r="ER79" s="315"/>
      <c r="ES79" s="315"/>
      <c r="ET79" s="315"/>
      <c r="EU79" s="168"/>
      <c r="EW79" s="164" t="s">
        <v>546</v>
      </c>
      <c r="EX79" s="316">
        <f t="shared" si="189"/>
        <v>0</v>
      </c>
      <c r="EY79" s="316">
        <f t="shared" si="185"/>
        <v>0</v>
      </c>
      <c r="EZ79" s="316">
        <f t="shared" si="185"/>
        <v>4.5107361613115451</v>
      </c>
      <c r="FA79" s="316">
        <f t="shared" si="185"/>
        <v>4.5107361613115451</v>
      </c>
      <c r="FB79" s="316">
        <f t="shared" si="185"/>
        <v>1.4671826540032391</v>
      </c>
      <c r="FC79" s="316">
        <f t="shared" si="185"/>
        <v>1.4671826540032391</v>
      </c>
      <c r="FD79" s="316">
        <f t="shared" si="185"/>
        <v>13.021439093885476</v>
      </c>
      <c r="FE79" s="316">
        <f t="shared" si="185"/>
        <v>0</v>
      </c>
      <c r="FF79" s="316"/>
      <c r="FG79" s="316">
        <f t="shared" si="185"/>
        <v>0</v>
      </c>
      <c r="FH79" s="316">
        <f t="shared" si="185"/>
        <v>0</v>
      </c>
      <c r="FI79" s="316">
        <f t="shared" si="185"/>
        <v>0</v>
      </c>
      <c r="FJ79" s="316">
        <f t="shared" si="185"/>
        <v>4.8563793194562246</v>
      </c>
      <c r="FK79" s="316"/>
      <c r="FL79" s="168"/>
    </row>
    <row r="80" spans="2:168" x14ac:dyDescent="0.25">
      <c r="B80" s="107" t="s">
        <v>396</v>
      </c>
      <c r="C80" s="294"/>
      <c r="D80" s="294"/>
      <c r="E80" s="294"/>
      <c r="F80" s="294"/>
      <c r="G80" s="294"/>
      <c r="H80" s="294"/>
      <c r="I80" s="294"/>
      <c r="J80" s="294"/>
      <c r="K80" s="294"/>
      <c r="L80" s="160">
        <f>TripMode_input!L62</f>
        <v>0</v>
      </c>
      <c r="M80" s="294"/>
      <c r="N80" s="294"/>
      <c r="O80" s="294"/>
      <c r="P80" s="162">
        <f t="shared" si="175"/>
        <v>0</v>
      </c>
      <c r="R80">
        <f t="shared" si="186"/>
        <v>0</v>
      </c>
      <c r="S80">
        <f t="shared" si="187"/>
        <v>0</v>
      </c>
      <c r="T80">
        <f t="shared" si="188"/>
        <v>0</v>
      </c>
      <c r="V80" s="127">
        <f>+L80/L$160</f>
        <v>0</v>
      </c>
      <c r="W80" s="127"/>
      <c r="X80" s="127"/>
      <c r="Y80" s="107" t="s">
        <v>396</v>
      </c>
      <c r="Z80" s="294"/>
      <c r="AA80" s="294"/>
      <c r="AB80" s="294"/>
      <c r="AC80" s="294"/>
      <c r="AD80" s="294"/>
      <c r="AE80" s="294"/>
      <c r="AF80" s="294"/>
      <c r="AG80" s="294"/>
      <c r="AH80" s="294"/>
      <c r="AI80" s="160">
        <f>V80*V$160</f>
        <v>0</v>
      </c>
      <c r="AJ80" s="294"/>
      <c r="AK80" s="294"/>
      <c r="AL80" s="294"/>
      <c r="AM80" s="162">
        <f t="shared" si="179"/>
        <v>0</v>
      </c>
      <c r="AN80" s="127"/>
      <c r="AO80" s="107" t="s">
        <v>396</v>
      </c>
      <c r="AP80" s="294">
        <f>TripMode_input!R62*Index!$B$2</f>
        <v>0</v>
      </c>
      <c r="AQ80" s="294">
        <f>TripMode_input!S62*Index!$B$2</f>
        <v>0</v>
      </c>
      <c r="AR80" s="294">
        <f>TripMode_input!T62*Index!$B$2</f>
        <v>0</v>
      </c>
      <c r="AS80" s="294">
        <f>TripMode_input!U62*Index!$B$2</f>
        <v>0</v>
      </c>
      <c r="AT80" s="294">
        <f>TripMode_input!V62*Index!$B$2</f>
        <v>0</v>
      </c>
      <c r="AU80" s="294">
        <f>TripMode_input!W62*Index!$B$2</f>
        <v>0</v>
      </c>
      <c r="AV80" s="294">
        <f>TripMode_input!X62*Index!$B$2</f>
        <v>0</v>
      </c>
      <c r="AW80" s="294">
        <f>TripMode_input!Y62*Index!$B$2</f>
        <v>0</v>
      </c>
      <c r="AX80" s="294">
        <f>TripMode_input!AA62*Index!$B$2</f>
        <v>0</v>
      </c>
      <c r="AY80" s="160">
        <f>TripMode_input!AB62*Index!$B$2</f>
        <v>0</v>
      </c>
      <c r="AZ80" s="294">
        <f>TripMode_input!AC62*Index!$B$2</f>
        <v>0</v>
      </c>
      <c r="BA80" s="294">
        <f>TripMode_input!AD62*Index!$B$2</f>
        <v>0</v>
      </c>
      <c r="BB80" s="294">
        <f>TripMode_input!AE62*Index!$B$2</f>
        <v>0</v>
      </c>
      <c r="BC80" s="162">
        <f t="shared" si="180"/>
        <v>0</v>
      </c>
      <c r="BE80" s="107" t="s">
        <v>396</v>
      </c>
      <c r="BF80" s="166">
        <f t="shared" si="194"/>
        <v>0</v>
      </c>
      <c r="BG80" s="166">
        <f t="shared" si="194"/>
        <v>0</v>
      </c>
      <c r="BH80" s="166">
        <f t="shared" si="194"/>
        <v>0</v>
      </c>
      <c r="BI80" s="166">
        <f t="shared" si="194"/>
        <v>0</v>
      </c>
      <c r="BJ80" s="166">
        <f t="shared" si="194"/>
        <v>0</v>
      </c>
      <c r="BK80" s="166">
        <f t="shared" si="194"/>
        <v>0</v>
      </c>
      <c r="BL80" s="166">
        <f t="shared" si="194"/>
        <v>0</v>
      </c>
      <c r="BM80" s="166">
        <f t="shared" si="194"/>
        <v>0</v>
      </c>
      <c r="BN80" s="166">
        <f t="shared" si="194"/>
        <v>0</v>
      </c>
      <c r="BO80" s="166" t="str">
        <f t="shared" si="194"/>
        <v/>
      </c>
      <c r="BP80" s="166" t="str">
        <f t="shared" si="194"/>
        <v/>
      </c>
      <c r="BQ80" s="166">
        <f t="shared" si="194"/>
        <v>0</v>
      </c>
      <c r="BR80" s="166">
        <f t="shared" si="194"/>
        <v>0</v>
      </c>
      <c r="BS80" s="166">
        <f t="shared" si="194"/>
        <v>0</v>
      </c>
      <c r="BU80" s="107" t="s">
        <v>396</v>
      </c>
      <c r="BV80" s="166">
        <f t="shared" si="195"/>
        <v>0</v>
      </c>
      <c r="BW80" s="166">
        <f t="shared" si="196"/>
        <v>0</v>
      </c>
      <c r="BX80" s="166">
        <f t="shared" si="197"/>
        <v>0</v>
      </c>
      <c r="BY80" s="166">
        <f t="shared" si="198"/>
        <v>0</v>
      </c>
      <c r="BZ80" s="166">
        <f t="shared" si="199"/>
        <v>0</v>
      </c>
      <c r="CA80" s="166">
        <f t="shared" si="200"/>
        <v>0</v>
      </c>
      <c r="CB80" s="166">
        <f t="shared" si="201"/>
        <v>0</v>
      </c>
      <c r="CC80" s="166">
        <f t="shared" si="202"/>
        <v>0</v>
      </c>
      <c r="CD80" s="166">
        <f t="shared" si="203"/>
        <v>0</v>
      </c>
      <c r="CE80" s="166" t="str">
        <f t="shared" si="204"/>
        <v/>
      </c>
      <c r="CF80" s="166" t="str">
        <f t="shared" si="205"/>
        <v/>
      </c>
      <c r="CG80" s="166">
        <f t="shared" si="206"/>
        <v>0</v>
      </c>
      <c r="CH80" s="166" t="str">
        <f t="shared" si="207"/>
        <v/>
      </c>
      <c r="CI80" s="168">
        <f t="shared" si="208"/>
        <v>0</v>
      </c>
      <c r="CK80" s="107" t="s">
        <v>396</v>
      </c>
      <c r="CL80" s="166" t="str">
        <f t="shared" si="210"/>
        <v/>
      </c>
      <c r="CM80" s="166" t="str">
        <f t="shared" si="210"/>
        <v/>
      </c>
      <c r="CN80" s="166" t="str">
        <f t="shared" si="210"/>
        <v/>
      </c>
      <c r="CO80" s="166" t="str">
        <f t="shared" si="210"/>
        <v/>
      </c>
      <c r="CP80" s="166"/>
      <c r="CQ80" s="166"/>
      <c r="CR80" s="166"/>
      <c r="CS80" s="166"/>
      <c r="CT80" s="166" t="str">
        <f t="shared" si="211"/>
        <v/>
      </c>
      <c r="CU80" s="166" t="str">
        <f t="shared" si="211"/>
        <v/>
      </c>
      <c r="CV80" s="166" t="str">
        <f t="shared" si="211"/>
        <v/>
      </c>
      <c r="CW80" s="166" t="str">
        <f t="shared" si="211"/>
        <v/>
      </c>
      <c r="CX80" s="166" t="str">
        <f t="shared" si="211"/>
        <v/>
      </c>
      <c r="CY80" s="168" t="str">
        <f t="shared" si="211"/>
        <v/>
      </c>
      <c r="DA80" s="107" t="s">
        <v>396</v>
      </c>
      <c r="DB80" s="315"/>
      <c r="DC80" s="315"/>
      <c r="DD80" s="315"/>
      <c r="DE80" s="315"/>
      <c r="DF80" s="315"/>
      <c r="DG80" s="315"/>
      <c r="DH80" s="315"/>
      <c r="DI80" s="315"/>
      <c r="DJ80" s="315"/>
      <c r="DK80" s="314">
        <f>IFERROR(IF(CE80&gt;0,LN(BO80/CE80),0),0)</f>
        <v>0</v>
      </c>
      <c r="DL80" s="315"/>
      <c r="DM80" s="315"/>
      <c r="DN80" s="315"/>
      <c r="DO80" s="168"/>
      <c r="DQ80" s="107" t="s">
        <v>396</v>
      </c>
      <c r="DR80" s="315"/>
      <c r="DS80" s="315"/>
      <c r="DT80" s="315"/>
      <c r="DU80" s="315"/>
      <c r="DV80" s="315"/>
      <c r="DW80" s="315"/>
      <c r="DX80" s="315"/>
      <c r="DY80" s="315"/>
      <c r="DZ80" s="315"/>
      <c r="EA80" s="314">
        <v>0</v>
      </c>
      <c r="EB80" s="315"/>
      <c r="EC80" s="315"/>
      <c r="ED80" s="315"/>
      <c r="EE80" s="168"/>
      <c r="EG80" s="107" t="s">
        <v>396</v>
      </c>
      <c r="EH80" s="315"/>
      <c r="EI80" s="315"/>
      <c r="EJ80" s="315"/>
      <c r="EK80" s="315"/>
      <c r="EL80" s="315"/>
      <c r="EM80" s="315"/>
      <c r="EN80" s="315"/>
      <c r="EO80" s="315"/>
      <c r="EP80" s="315"/>
      <c r="EQ80" s="314">
        <v>0</v>
      </c>
      <c r="ER80" s="315"/>
      <c r="ES80" s="315"/>
      <c r="ET80" s="315"/>
      <c r="EU80" s="168"/>
      <c r="EW80" s="164" t="s">
        <v>396</v>
      </c>
      <c r="EX80" s="316">
        <f t="shared" si="189"/>
        <v>0</v>
      </c>
      <c r="EY80" s="316">
        <f t="shared" si="185"/>
        <v>0</v>
      </c>
      <c r="EZ80" s="316">
        <f t="shared" si="185"/>
        <v>0</v>
      </c>
      <c r="FA80" s="316">
        <f t="shared" si="185"/>
        <v>0</v>
      </c>
      <c r="FB80" s="316">
        <f t="shared" si="185"/>
        <v>0</v>
      </c>
      <c r="FC80" s="316">
        <f t="shared" si="185"/>
        <v>0</v>
      </c>
      <c r="FD80" s="316">
        <f t="shared" si="185"/>
        <v>0</v>
      </c>
      <c r="FE80" s="316">
        <f t="shared" si="185"/>
        <v>0</v>
      </c>
      <c r="FF80" s="316"/>
      <c r="FG80" s="316">
        <f t="shared" si="185"/>
        <v>0</v>
      </c>
      <c r="FH80" s="316">
        <f t="shared" si="185"/>
        <v>0</v>
      </c>
      <c r="FI80" s="316">
        <f t="shared" si="185"/>
        <v>0</v>
      </c>
      <c r="FJ80" s="316">
        <f t="shared" si="185"/>
        <v>0</v>
      </c>
      <c r="FK80" s="316"/>
      <c r="FL80" s="168"/>
    </row>
    <row r="81" spans="2:168" x14ac:dyDescent="0.25">
      <c r="B81" s="107" t="s">
        <v>397</v>
      </c>
      <c r="C81" s="294"/>
      <c r="D81" s="294"/>
      <c r="E81" s="294"/>
      <c r="F81" s="294"/>
      <c r="G81" s="294"/>
      <c r="H81" s="294"/>
      <c r="I81" s="294"/>
      <c r="J81" s="294"/>
      <c r="K81" s="294"/>
      <c r="L81" s="294"/>
      <c r="M81" s="160">
        <f>TripMode_input!M63</f>
        <v>0</v>
      </c>
      <c r="N81" s="294"/>
      <c r="O81" s="294"/>
      <c r="P81" s="162">
        <f t="shared" si="175"/>
        <v>0</v>
      </c>
      <c r="R81">
        <f t="shared" si="186"/>
        <v>0</v>
      </c>
      <c r="S81">
        <f t="shared" si="187"/>
        <v>0</v>
      </c>
      <c r="T81">
        <f t="shared" si="188"/>
        <v>0</v>
      </c>
      <c r="W81" s="127">
        <f>+M81/M$161</f>
        <v>0</v>
      </c>
      <c r="X81" s="127"/>
      <c r="Y81" s="107" t="s">
        <v>397</v>
      </c>
      <c r="Z81" s="294"/>
      <c r="AA81" s="294"/>
      <c r="AB81" s="294"/>
      <c r="AC81" s="294"/>
      <c r="AD81" s="294"/>
      <c r="AE81" s="294"/>
      <c r="AF81" s="294"/>
      <c r="AG81" s="294"/>
      <c r="AH81" s="294"/>
      <c r="AI81" s="294"/>
      <c r="AJ81" s="160">
        <f>W81*W$161</f>
        <v>0</v>
      </c>
      <c r="AK81" s="294"/>
      <c r="AL81" s="294"/>
      <c r="AM81" s="162">
        <f t="shared" si="179"/>
        <v>0</v>
      </c>
      <c r="AN81" s="127"/>
      <c r="AO81" s="107" t="s">
        <v>397</v>
      </c>
      <c r="AP81" s="294">
        <f>TripMode_input!R63*Index!$B$2</f>
        <v>0</v>
      </c>
      <c r="AQ81" s="294">
        <f>TripMode_input!S63*Index!$B$2</f>
        <v>0</v>
      </c>
      <c r="AR81" s="294">
        <f>TripMode_input!T63*Index!$B$2</f>
        <v>0</v>
      </c>
      <c r="AS81" s="294">
        <f>TripMode_input!U63*Index!$B$2</f>
        <v>0</v>
      </c>
      <c r="AT81" s="294">
        <f>TripMode_input!V63*Index!$B$2</f>
        <v>0</v>
      </c>
      <c r="AU81" s="294">
        <f>TripMode_input!W63*Index!$B$2</f>
        <v>0</v>
      </c>
      <c r="AV81" s="294">
        <f>TripMode_input!X63*Index!$B$2</f>
        <v>0</v>
      </c>
      <c r="AW81" s="294">
        <f>TripMode_input!Y63*Index!$B$2</f>
        <v>0</v>
      </c>
      <c r="AX81" s="294">
        <f>TripMode_input!AA63*Index!$B$2</f>
        <v>0</v>
      </c>
      <c r="AY81" s="294">
        <f>TripMode_input!AB63*Index!$B$2</f>
        <v>0</v>
      </c>
      <c r="AZ81" s="160">
        <f>TripMode_input!AC63*Index!$B$2</f>
        <v>0</v>
      </c>
      <c r="BA81" s="294">
        <f>TripMode_input!AD63*Index!$B$2</f>
        <v>0</v>
      </c>
      <c r="BB81" s="294">
        <f>TripMode_input!AE63*Index!$B$2</f>
        <v>0</v>
      </c>
      <c r="BC81" s="162">
        <f t="shared" si="180"/>
        <v>0</v>
      </c>
      <c r="BE81" s="107" t="s">
        <v>397</v>
      </c>
      <c r="BF81" s="166">
        <f t="shared" si="194"/>
        <v>0</v>
      </c>
      <c r="BG81" s="166">
        <f t="shared" si="194"/>
        <v>0</v>
      </c>
      <c r="BH81" s="166">
        <f t="shared" si="194"/>
        <v>0</v>
      </c>
      <c r="BI81" s="166">
        <f t="shared" si="194"/>
        <v>0</v>
      </c>
      <c r="BJ81" s="166">
        <f t="shared" si="194"/>
        <v>0</v>
      </c>
      <c r="BK81" s="166">
        <f t="shared" si="194"/>
        <v>0</v>
      </c>
      <c r="BL81" s="166">
        <f t="shared" si="194"/>
        <v>0</v>
      </c>
      <c r="BM81" s="166">
        <f t="shared" si="194"/>
        <v>0</v>
      </c>
      <c r="BN81" s="166">
        <f t="shared" si="194"/>
        <v>0</v>
      </c>
      <c r="BO81" s="166" t="str">
        <f t="shared" si="194"/>
        <v/>
      </c>
      <c r="BP81" s="166" t="str">
        <f t="shared" si="194"/>
        <v/>
      </c>
      <c r="BQ81" s="166">
        <f t="shared" si="194"/>
        <v>0</v>
      </c>
      <c r="BR81" s="166">
        <f t="shared" si="194"/>
        <v>0</v>
      </c>
      <c r="BS81" s="166">
        <f t="shared" si="194"/>
        <v>0</v>
      </c>
      <c r="BU81" s="107" t="s">
        <v>397</v>
      </c>
      <c r="BV81" s="166">
        <f t="shared" si="195"/>
        <v>0</v>
      </c>
      <c r="BW81" s="166">
        <f t="shared" si="196"/>
        <v>0</v>
      </c>
      <c r="BX81" s="166">
        <f t="shared" si="197"/>
        <v>0</v>
      </c>
      <c r="BY81" s="166">
        <f t="shared" si="198"/>
        <v>0</v>
      </c>
      <c r="BZ81" s="166">
        <f t="shared" si="199"/>
        <v>0</v>
      </c>
      <c r="CA81" s="166">
        <f t="shared" si="200"/>
        <v>0</v>
      </c>
      <c r="CB81" s="166">
        <f t="shared" si="201"/>
        <v>0</v>
      </c>
      <c r="CC81" s="166">
        <f t="shared" si="202"/>
        <v>0</v>
      </c>
      <c r="CD81" s="166">
        <f t="shared" si="203"/>
        <v>0</v>
      </c>
      <c r="CE81" s="166" t="str">
        <f t="shared" si="204"/>
        <v/>
      </c>
      <c r="CF81" s="166" t="str">
        <f t="shared" si="205"/>
        <v/>
      </c>
      <c r="CG81" s="166">
        <f t="shared" si="206"/>
        <v>0</v>
      </c>
      <c r="CH81" s="166" t="str">
        <f t="shared" si="207"/>
        <v/>
      </c>
      <c r="CI81" s="168">
        <f t="shared" si="208"/>
        <v>0</v>
      </c>
      <c r="CK81" s="107" t="s">
        <v>397</v>
      </c>
      <c r="CL81" s="166" t="str">
        <f t="shared" si="210"/>
        <v/>
      </c>
      <c r="CM81" s="166" t="str">
        <f t="shared" si="210"/>
        <v/>
      </c>
      <c r="CN81" s="166" t="str">
        <f t="shared" si="210"/>
        <v/>
      </c>
      <c r="CO81" s="166" t="str">
        <f t="shared" si="210"/>
        <v/>
      </c>
      <c r="CP81" s="166"/>
      <c r="CQ81" s="166"/>
      <c r="CR81" s="166"/>
      <c r="CS81" s="166"/>
      <c r="CT81" s="166" t="str">
        <f t="shared" si="211"/>
        <v/>
      </c>
      <c r="CU81" s="166" t="str">
        <f t="shared" si="211"/>
        <v/>
      </c>
      <c r="CV81" s="166" t="str">
        <f t="shared" si="211"/>
        <v/>
      </c>
      <c r="CW81" s="166" t="str">
        <f t="shared" si="211"/>
        <v/>
      </c>
      <c r="CX81" s="166" t="str">
        <f t="shared" si="211"/>
        <v/>
      </c>
      <c r="CY81" s="168" t="str">
        <f t="shared" si="211"/>
        <v/>
      </c>
      <c r="DA81" s="107" t="s">
        <v>397</v>
      </c>
      <c r="DB81" s="315"/>
      <c r="DC81" s="315"/>
      <c r="DD81" s="315"/>
      <c r="DE81" s="315"/>
      <c r="DF81" s="315"/>
      <c r="DG81" s="315"/>
      <c r="DH81" s="315"/>
      <c r="DI81" s="315"/>
      <c r="DJ81" s="315"/>
      <c r="DK81" s="315"/>
      <c r="DL81" s="314">
        <f>IFERROR(IF(CF81&gt;0,LN(BP81/CF81),0),0)</f>
        <v>0</v>
      </c>
      <c r="DM81" s="315"/>
      <c r="DN81" s="315"/>
      <c r="DO81" s="168"/>
      <c r="DQ81" s="107" t="s">
        <v>397</v>
      </c>
      <c r="DR81" s="315"/>
      <c r="DS81" s="315"/>
      <c r="DT81" s="315"/>
      <c r="DU81" s="315"/>
      <c r="DV81" s="315"/>
      <c r="DW81" s="315"/>
      <c r="DX81" s="315"/>
      <c r="DY81" s="315"/>
      <c r="DZ81" s="315"/>
      <c r="EA81" s="315"/>
      <c r="EB81" s="314">
        <v>0</v>
      </c>
      <c r="EC81" s="315"/>
      <c r="ED81" s="315"/>
      <c r="EE81" s="168"/>
      <c r="EG81" s="107" t="s">
        <v>397</v>
      </c>
      <c r="EH81" s="315"/>
      <c r="EI81" s="315"/>
      <c r="EJ81" s="315"/>
      <c r="EK81" s="315"/>
      <c r="EL81" s="315"/>
      <c r="EM81" s="315"/>
      <c r="EN81" s="315"/>
      <c r="EO81" s="315"/>
      <c r="EP81" s="315"/>
      <c r="EQ81" s="315"/>
      <c r="ER81" s="314">
        <v>0</v>
      </c>
      <c r="ES81" s="315"/>
      <c r="ET81" s="315"/>
      <c r="EU81" s="168"/>
      <c r="EW81" s="164" t="s">
        <v>397</v>
      </c>
      <c r="EX81" s="316">
        <f t="shared" si="189"/>
        <v>0</v>
      </c>
      <c r="EY81" s="316">
        <f t="shared" si="185"/>
        <v>0</v>
      </c>
      <c r="EZ81" s="316">
        <f t="shared" si="185"/>
        <v>0</v>
      </c>
      <c r="FA81" s="316">
        <f t="shared" si="185"/>
        <v>0</v>
      </c>
      <c r="FB81" s="316">
        <f t="shared" si="185"/>
        <v>0</v>
      </c>
      <c r="FC81" s="316">
        <f t="shared" si="185"/>
        <v>0</v>
      </c>
      <c r="FD81" s="316">
        <f t="shared" si="185"/>
        <v>0</v>
      </c>
      <c r="FE81" s="316">
        <f t="shared" si="185"/>
        <v>0</v>
      </c>
      <c r="FF81" s="316"/>
      <c r="FG81" s="316">
        <f t="shared" si="185"/>
        <v>0</v>
      </c>
      <c r="FH81" s="316">
        <f t="shared" si="185"/>
        <v>0</v>
      </c>
      <c r="FI81" s="316">
        <f t="shared" si="185"/>
        <v>0</v>
      </c>
      <c r="FJ81" s="316">
        <f t="shared" si="185"/>
        <v>0</v>
      </c>
      <c r="FK81" s="316"/>
      <c r="FL81" s="168"/>
    </row>
    <row r="82" spans="2:168" x14ac:dyDescent="0.25">
      <c r="B82" s="107" t="s">
        <v>398</v>
      </c>
      <c r="C82" s="294"/>
      <c r="D82" s="294"/>
      <c r="E82" s="294"/>
      <c r="F82" s="294"/>
      <c r="G82" s="294"/>
      <c r="H82" s="294"/>
      <c r="I82" s="294"/>
      <c r="J82" s="294"/>
      <c r="K82" s="160">
        <f>TripMode_input!J64+TripMode_input!K64</f>
        <v>3748.8123800000003</v>
      </c>
      <c r="L82" s="294"/>
      <c r="M82" s="294"/>
      <c r="N82" s="160">
        <f>TripMode_input!N64</f>
        <v>0</v>
      </c>
      <c r="O82" s="294"/>
      <c r="P82" s="162">
        <f t="shared" si="175"/>
        <v>3748.8123800000003</v>
      </c>
      <c r="R82">
        <f t="shared" si="186"/>
        <v>2.9005482148007937</v>
      </c>
      <c r="S82">
        <f t="shared" si="187"/>
        <v>0</v>
      </c>
      <c r="T82">
        <f t="shared" si="188"/>
        <v>0</v>
      </c>
      <c r="Y82" s="107" t="s">
        <v>398</v>
      </c>
      <c r="Z82" s="294"/>
      <c r="AA82" s="294"/>
      <c r="AB82" s="294"/>
      <c r="AC82" s="294"/>
      <c r="AD82" s="294"/>
      <c r="AE82" s="294"/>
      <c r="AF82" s="294"/>
      <c r="AG82" s="294"/>
      <c r="AH82" s="160">
        <f>AH79*R82</f>
        <v>3957.078684226442</v>
      </c>
      <c r="AI82" s="160">
        <f>AI80*S82</f>
        <v>0</v>
      </c>
      <c r="AJ82" s="160">
        <f>AJ81*T82</f>
        <v>0</v>
      </c>
      <c r="AK82" s="160">
        <f>N82</f>
        <v>0</v>
      </c>
      <c r="AL82" s="294"/>
      <c r="AM82" s="162">
        <f t="shared" si="179"/>
        <v>3957.078684226442</v>
      </c>
      <c r="AO82" s="107" t="s">
        <v>398</v>
      </c>
      <c r="AP82" s="294">
        <f>TripMode_input!R64*Index!$B$2</f>
        <v>0</v>
      </c>
      <c r="AQ82" s="294">
        <f>TripMode_input!S64*Index!$B$2</f>
        <v>0</v>
      </c>
      <c r="AR82" s="294">
        <f>TripMode_input!T64*Index!$B$2</f>
        <v>0</v>
      </c>
      <c r="AS82" s="294">
        <f>TripMode_input!U64*Index!$B$2</f>
        <v>0</v>
      </c>
      <c r="AT82" s="294">
        <f>TripMode_input!V64*Index!$B$2</f>
        <v>0</v>
      </c>
      <c r="AU82" s="294">
        <f>TripMode_input!W64*Index!$B$2</f>
        <v>0</v>
      </c>
      <c r="AV82" s="294">
        <f>TripMode_input!X64*Index!$B$2</f>
        <v>0</v>
      </c>
      <c r="AW82" s="294">
        <f>TripMode_input!Y64*Index!$B$2</f>
        <v>0</v>
      </c>
      <c r="AX82" s="160">
        <f>TripMode_input!AA64*Index!$B$2</f>
        <v>955</v>
      </c>
      <c r="AY82" s="160">
        <f>TripMode_input!AB64*Index!$B$2</f>
        <v>0</v>
      </c>
      <c r="AZ82" s="160">
        <f>TripMode_input!AC64*Index!$B$2</f>
        <v>0</v>
      </c>
      <c r="BA82" s="160">
        <f>TripMode_input!AD64*Index!$B$2</f>
        <v>29750</v>
      </c>
      <c r="BB82" s="294">
        <f>TripMode_input!AE64*Index!$B$2</f>
        <v>0</v>
      </c>
      <c r="BC82" s="162">
        <f t="shared" si="180"/>
        <v>30705</v>
      </c>
      <c r="BE82" s="107" t="s">
        <v>398</v>
      </c>
      <c r="BF82" s="166">
        <f t="shared" si="194"/>
        <v>0</v>
      </c>
      <c r="BG82" s="166">
        <f t="shared" si="194"/>
        <v>0</v>
      </c>
      <c r="BH82" s="166">
        <f t="shared" si="194"/>
        <v>0</v>
      </c>
      <c r="BI82" s="166">
        <f t="shared" si="194"/>
        <v>0</v>
      </c>
      <c r="BJ82" s="166">
        <f t="shared" si="194"/>
        <v>0</v>
      </c>
      <c r="BK82" s="166">
        <f t="shared" si="194"/>
        <v>0</v>
      </c>
      <c r="BL82" s="166">
        <f t="shared" si="194"/>
        <v>0</v>
      </c>
      <c r="BM82" s="166">
        <f t="shared" si="194"/>
        <v>0</v>
      </c>
      <c r="BN82" s="166">
        <f t="shared" si="194"/>
        <v>2.8240769000989003E-2</v>
      </c>
      <c r="BO82" s="166" t="str">
        <f t="shared" si="194"/>
        <v/>
      </c>
      <c r="BP82" s="166" t="str">
        <f t="shared" si="194"/>
        <v/>
      </c>
      <c r="BQ82" s="166">
        <f t="shared" si="194"/>
        <v>0</v>
      </c>
      <c r="BR82" s="166">
        <f t="shared" si="194"/>
        <v>0</v>
      </c>
      <c r="BS82" s="166">
        <f t="shared" si="194"/>
        <v>4.7289053502208508E-3</v>
      </c>
      <c r="BU82" s="107" t="s">
        <v>398</v>
      </c>
      <c r="BV82" s="166">
        <f t="shared" si="195"/>
        <v>0</v>
      </c>
      <c r="BW82" s="166">
        <f t="shared" si="196"/>
        <v>0</v>
      </c>
      <c r="BX82" s="166">
        <f t="shared" si="197"/>
        <v>0</v>
      </c>
      <c r="BY82" s="166">
        <f t="shared" si="198"/>
        <v>0</v>
      </c>
      <c r="BZ82" s="166">
        <f t="shared" si="199"/>
        <v>0</v>
      </c>
      <c r="CA82" s="166">
        <f t="shared" si="200"/>
        <v>0</v>
      </c>
      <c r="CB82" s="166">
        <f t="shared" si="201"/>
        <v>0</v>
      </c>
      <c r="CC82" s="166">
        <f t="shared" si="202"/>
        <v>0</v>
      </c>
      <c r="CD82" s="166">
        <f t="shared" si="203"/>
        <v>0.29937304075235111</v>
      </c>
      <c r="CE82" s="166" t="str">
        <f t="shared" si="204"/>
        <v/>
      </c>
      <c r="CF82" s="166" t="str">
        <f t="shared" si="205"/>
        <v/>
      </c>
      <c r="CG82" s="166">
        <f t="shared" si="206"/>
        <v>0.75202224469160772</v>
      </c>
      <c r="CH82" s="166" t="str">
        <f t="shared" si="207"/>
        <v/>
      </c>
      <c r="CI82" s="168">
        <f t="shared" si="208"/>
        <v>1.0663976216606698E-2</v>
      </c>
      <c r="CK82" s="107" t="s">
        <v>398</v>
      </c>
      <c r="CL82" s="166" t="str">
        <f t="shared" si="210"/>
        <v/>
      </c>
      <c r="CM82" s="166" t="str">
        <f t="shared" si="210"/>
        <v/>
      </c>
      <c r="CN82" s="166" t="str">
        <f t="shared" si="210"/>
        <v/>
      </c>
      <c r="CO82" s="166" t="str">
        <f t="shared" si="210"/>
        <v/>
      </c>
      <c r="CP82" s="166"/>
      <c r="CQ82" s="166"/>
      <c r="CR82" s="166"/>
      <c r="CS82" s="166"/>
      <c r="CT82" s="166">
        <f t="shared" si="211"/>
        <v>9.6007396874308544</v>
      </c>
      <c r="CU82" s="166" t="str">
        <f t="shared" si="211"/>
        <v/>
      </c>
      <c r="CV82" s="166" t="str">
        <f t="shared" si="211"/>
        <v/>
      </c>
      <c r="CW82" s="166" t="str">
        <f t="shared" si="211"/>
        <v/>
      </c>
      <c r="CX82" s="166" t="str">
        <f t="shared" si="211"/>
        <v/>
      </c>
      <c r="CY82" s="168">
        <f t="shared" si="211"/>
        <v>1.2550623086817896</v>
      </c>
      <c r="DA82" s="107" t="s">
        <v>398</v>
      </c>
      <c r="DB82" s="315"/>
      <c r="DC82" s="315"/>
      <c r="DD82" s="315"/>
      <c r="DE82" s="315"/>
      <c r="DF82" s="315"/>
      <c r="DG82" s="315"/>
      <c r="DH82" s="315"/>
      <c r="DI82" s="315"/>
      <c r="DJ82" s="314">
        <f t="shared" si="209"/>
        <v>-2.3609237805164822</v>
      </c>
      <c r="DK82" s="314">
        <f>IFERROR(IF(CE82&gt;0,LN(BO82/CE82),0),0)</f>
        <v>0</v>
      </c>
      <c r="DL82" s="314">
        <f>IFERROR(IF(CF82&gt;0,LN(BP82/CF82),0),0)</f>
        <v>0</v>
      </c>
      <c r="DM82" s="314">
        <f>IFERROR(IF(CG82&gt;0,LN(BQ82/CG82),0),0)</f>
        <v>0</v>
      </c>
      <c r="DN82" s="315"/>
      <c r="DO82" s="168"/>
      <c r="DQ82" s="107" t="s">
        <v>398</v>
      </c>
      <c r="DR82" s="315"/>
      <c r="DS82" s="315"/>
      <c r="DT82" s="315"/>
      <c r="DU82" s="315"/>
      <c r="DV82" s="315"/>
      <c r="DW82" s="315"/>
      <c r="DX82" s="315"/>
      <c r="DY82" s="315"/>
      <c r="DZ82" s="314">
        <v>6.7411678957956314</v>
      </c>
      <c r="EA82" s="314">
        <v>0</v>
      </c>
      <c r="EB82" s="314">
        <v>0</v>
      </c>
      <c r="EC82" s="314">
        <v>0</v>
      </c>
      <c r="ED82" s="315"/>
      <c r="EE82" s="168"/>
      <c r="EG82" s="107" t="s">
        <v>398</v>
      </c>
      <c r="EH82" s="315"/>
      <c r="EI82" s="315"/>
      <c r="EJ82" s="315"/>
      <c r="EK82" s="315"/>
      <c r="EL82" s="315"/>
      <c r="EM82" s="315"/>
      <c r="EN82" s="315"/>
      <c r="EO82" s="315"/>
      <c r="EP82" s="314">
        <f>DZ82+(DJ82-DJ$79)*$EI$1</f>
        <v>4.8563793194562246</v>
      </c>
      <c r="EQ82" s="314">
        <f>EA82+(DK82-DK$80)*$EI$1</f>
        <v>0</v>
      </c>
      <c r="ER82" s="314">
        <f>EB82+(DL82-DL$81)*$EI$1</f>
        <v>0</v>
      </c>
      <c r="ES82" s="314">
        <v>0</v>
      </c>
      <c r="ET82" s="315"/>
      <c r="EU82" s="168"/>
      <c r="EW82" s="164" t="s">
        <v>398</v>
      </c>
      <c r="EX82" s="316">
        <f t="shared" si="189"/>
        <v>0</v>
      </c>
      <c r="EY82" s="316">
        <f t="shared" si="185"/>
        <v>0</v>
      </c>
      <c r="EZ82" s="316">
        <f t="shared" si="185"/>
        <v>0</v>
      </c>
      <c r="FA82" s="316">
        <f t="shared" si="185"/>
        <v>0</v>
      </c>
      <c r="FB82" s="316">
        <f t="shared" si="185"/>
        <v>0</v>
      </c>
      <c r="FC82" s="316">
        <f t="shared" si="185"/>
        <v>0</v>
      </c>
      <c r="FD82" s="316">
        <f t="shared" si="185"/>
        <v>11.031928862399507</v>
      </c>
      <c r="FE82" s="316">
        <f t="shared" si="185"/>
        <v>0</v>
      </c>
      <c r="FF82" s="316"/>
      <c r="FG82" s="316">
        <f t="shared" si="185"/>
        <v>0</v>
      </c>
      <c r="FH82" s="316">
        <f t="shared" si="185"/>
        <v>0</v>
      </c>
      <c r="FI82" s="316">
        <f t="shared" si="185"/>
        <v>0</v>
      </c>
      <c r="FJ82" s="316">
        <f t="shared" si="185"/>
        <v>0</v>
      </c>
      <c r="FK82" s="316"/>
      <c r="FL82" s="168"/>
    </row>
    <row r="83" spans="2:168" x14ac:dyDescent="0.25">
      <c r="B83" s="107" t="s">
        <v>399</v>
      </c>
      <c r="C83" s="294"/>
      <c r="D83" s="294"/>
      <c r="E83" s="294"/>
      <c r="F83" s="294"/>
      <c r="G83" s="294"/>
      <c r="H83" s="294"/>
      <c r="I83" s="294"/>
      <c r="J83" s="294"/>
      <c r="K83" s="294"/>
      <c r="L83" s="294"/>
      <c r="M83" s="294"/>
      <c r="N83" s="294"/>
      <c r="O83" s="160">
        <f>TripMode_input!O65</f>
        <v>50.257860000000001</v>
      </c>
      <c r="P83" s="162">
        <f t="shared" si="175"/>
        <v>50.257860000000001</v>
      </c>
      <c r="R83">
        <f t="shared" si="186"/>
        <v>0</v>
      </c>
      <c r="S83">
        <f t="shared" si="187"/>
        <v>0</v>
      </c>
      <c r="T83">
        <f t="shared" si="188"/>
        <v>0</v>
      </c>
      <c r="Y83" s="107" t="s">
        <v>399</v>
      </c>
      <c r="Z83" s="294"/>
      <c r="AA83" s="294"/>
      <c r="AB83" s="294"/>
      <c r="AC83" s="294"/>
      <c r="AD83" s="294"/>
      <c r="AE83" s="294"/>
      <c r="AF83" s="294"/>
      <c r="AG83" s="294"/>
      <c r="AH83" s="294"/>
      <c r="AI83" s="294"/>
      <c r="AJ83" s="294"/>
      <c r="AK83" s="294"/>
      <c r="AL83" s="160">
        <f>+O83</f>
        <v>50.257860000000001</v>
      </c>
      <c r="AM83" s="162">
        <f t="shared" si="179"/>
        <v>50.257860000000001</v>
      </c>
      <c r="AO83" s="107" t="s">
        <v>399</v>
      </c>
      <c r="AP83" s="294">
        <f>TripMode_input!R65*Index!$B$2</f>
        <v>0</v>
      </c>
      <c r="AQ83" s="294">
        <f>TripMode_input!S65*Index!$B$2</f>
        <v>0</v>
      </c>
      <c r="AR83" s="294">
        <f>TripMode_input!T65*Index!$B$2</f>
        <v>0</v>
      </c>
      <c r="AS83" s="294">
        <f>TripMode_input!U65*Index!$B$2</f>
        <v>0</v>
      </c>
      <c r="AT83" s="294">
        <f>TripMode_input!V65*Index!$B$2</f>
        <v>0</v>
      </c>
      <c r="AU83" s="294">
        <f>TripMode_input!W65*Index!$B$2</f>
        <v>0</v>
      </c>
      <c r="AV83" s="294">
        <f>TripMode_input!X65*Index!$B$2</f>
        <v>0</v>
      </c>
      <c r="AW83" s="294">
        <f>TripMode_input!Y65*Index!$B$2</f>
        <v>0</v>
      </c>
      <c r="AX83" s="294">
        <f>TripMode_input!AA65*Index!$B$2</f>
        <v>0</v>
      </c>
      <c r="AY83" s="294">
        <f>TripMode_input!AB65*Index!$B$2</f>
        <v>0</v>
      </c>
      <c r="AZ83" s="294">
        <f>TripMode_input!AC65*Index!$B$2</f>
        <v>0</v>
      </c>
      <c r="BA83" s="294">
        <f>TripMode_input!AD65*Index!$B$2</f>
        <v>0</v>
      </c>
      <c r="BB83" s="160">
        <f>TripMode_input!AE65*Index!$B$2</f>
        <v>0</v>
      </c>
      <c r="BC83" s="162">
        <f t="shared" si="180"/>
        <v>0</v>
      </c>
      <c r="BE83" s="107" t="s">
        <v>399</v>
      </c>
      <c r="BF83" s="166">
        <f t="shared" si="194"/>
        <v>0</v>
      </c>
      <c r="BG83" s="166">
        <f t="shared" si="194"/>
        <v>0</v>
      </c>
      <c r="BH83" s="166">
        <f t="shared" si="194"/>
        <v>0</v>
      </c>
      <c r="BI83" s="166">
        <f t="shared" si="194"/>
        <v>0</v>
      </c>
      <c r="BJ83" s="166">
        <f t="shared" si="194"/>
        <v>0</v>
      </c>
      <c r="BK83" s="166">
        <f t="shared" si="194"/>
        <v>0</v>
      </c>
      <c r="BL83" s="166">
        <f t="shared" si="194"/>
        <v>0</v>
      </c>
      <c r="BM83" s="166">
        <f t="shared" si="194"/>
        <v>0</v>
      </c>
      <c r="BN83" s="166">
        <f t="shared" si="194"/>
        <v>0</v>
      </c>
      <c r="BO83" s="166" t="str">
        <f t="shared" si="194"/>
        <v/>
      </c>
      <c r="BP83" s="166" t="str">
        <f t="shared" si="194"/>
        <v/>
      </c>
      <c r="BQ83" s="166">
        <f t="shared" si="194"/>
        <v>0</v>
      </c>
      <c r="BR83" s="166">
        <f t="shared" si="194"/>
        <v>1</v>
      </c>
      <c r="BS83" s="166">
        <f t="shared" si="194"/>
        <v>6.0060636143531953E-5</v>
      </c>
      <c r="BU83" s="107" t="s">
        <v>399</v>
      </c>
      <c r="BV83" s="166">
        <f t="shared" si="195"/>
        <v>0</v>
      </c>
      <c r="BW83" s="166">
        <f t="shared" si="196"/>
        <v>0</v>
      </c>
      <c r="BX83" s="166">
        <f t="shared" si="197"/>
        <v>0</v>
      </c>
      <c r="BY83" s="166">
        <f t="shared" si="198"/>
        <v>0</v>
      </c>
      <c r="BZ83" s="166">
        <f t="shared" si="199"/>
        <v>0</v>
      </c>
      <c r="CA83" s="166">
        <f t="shared" si="200"/>
        <v>0</v>
      </c>
      <c r="CB83" s="166">
        <f t="shared" si="201"/>
        <v>0</v>
      </c>
      <c r="CC83" s="166">
        <f t="shared" si="202"/>
        <v>0</v>
      </c>
      <c r="CD83" s="166">
        <f t="shared" si="203"/>
        <v>0</v>
      </c>
      <c r="CE83" s="166" t="str">
        <f t="shared" si="204"/>
        <v/>
      </c>
      <c r="CF83" s="166" t="str">
        <f t="shared" si="205"/>
        <v/>
      </c>
      <c r="CG83" s="166">
        <f t="shared" si="206"/>
        <v>0</v>
      </c>
      <c r="CH83" s="166" t="str">
        <f t="shared" si="207"/>
        <v/>
      </c>
      <c r="CI83" s="168">
        <f t="shared" si="208"/>
        <v>0</v>
      </c>
      <c r="CK83" s="107" t="s">
        <v>399</v>
      </c>
      <c r="CL83" s="166" t="str">
        <f t="shared" si="210"/>
        <v/>
      </c>
      <c r="CM83" s="166" t="str">
        <f t="shared" si="210"/>
        <v/>
      </c>
      <c r="CN83" s="166" t="str">
        <f t="shared" si="210"/>
        <v/>
      </c>
      <c r="CO83" s="166" t="str">
        <f t="shared" si="210"/>
        <v/>
      </c>
      <c r="CP83" s="166"/>
      <c r="CQ83" s="166"/>
      <c r="CR83" s="166"/>
      <c r="CS83" s="166"/>
      <c r="CT83" s="166" t="str">
        <f t="shared" si="211"/>
        <v/>
      </c>
      <c r="CU83" s="166" t="str">
        <f t="shared" si="211"/>
        <v/>
      </c>
      <c r="CV83" s="166" t="str">
        <f t="shared" si="211"/>
        <v/>
      </c>
      <c r="CW83" s="166" t="str">
        <f t="shared" si="211"/>
        <v/>
      </c>
      <c r="CX83" s="166" t="e">
        <f t="shared" si="211"/>
        <v>#VALUE!</v>
      </c>
      <c r="CY83" s="168">
        <f t="shared" si="211"/>
        <v>-1</v>
      </c>
      <c r="DA83" s="107" t="s">
        <v>399</v>
      </c>
      <c r="DB83" s="315"/>
      <c r="DC83" s="315"/>
      <c r="DD83" s="315"/>
      <c r="DE83" s="315"/>
      <c r="DF83" s="315"/>
      <c r="DG83" s="315"/>
      <c r="DH83" s="315"/>
      <c r="DI83" s="315"/>
      <c r="DJ83" s="315"/>
      <c r="DK83" s="315"/>
      <c r="DL83" s="315"/>
      <c r="DM83" s="315"/>
      <c r="DN83" s="314">
        <f>IFERROR(IF(CH83&gt;0,LN(BR83/CH83),0),0)</f>
        <v>0</v>
      </c>
      <c r="DO83" s="168"/>
      <c r="DQ83" s="107" t="s">
        <v>399</v>
      </c>
      <c r="DR83" s="315"/>
      <c r="DS83" s="315"/>
      <c r="DT83" s="315"/>
      <c r="DU83" s="315"/>
      <c r="DV83" s="315"/>
      <c r="DW83" s="315"/>
      <c r="DX83" s="315"/>
      <c r="DY83" s="315"/>
      <c r="DZ83" s="315"/>
      <c r="EA83" s="315"/>
      <c r="EB83" s="315"/>
      <c r="EC83" s="315"/>
      <c r="ED83" s="314">
        <v>0</v>
      </c>
      <c r="EE83" s="168"/>
      <c r="EG83" s="107" t="s">
        <v>399</v>
      </c>
      <c r="EH83" s="315"/>
      <c r="EI83" s="315"/>
      <c r="EJ83" s="315"/>
      <c r="EK83" s="315"/>
      <c r="EL83" s="315"/>
      <c r="EM83" s="315"/>
      <c r="EN83" s="315"/>
      <c r="EO83" s="315"/>
      <c r="EP83" s="315"/>
      <c r="EQ83" s="315"/>
      <c r="ER83" s="315"/>
      <c r="ES83" s="315"/>
      <c r="ET83" s="314">
        <v>0</v>
      </c>
      <c r="EU83" s="168"/>
      <c r="EW83" s="164" t="s">
        <v>399</v>
      </c>
      <c r="EX83" s="316"/>
      <c r="EY83" s="316"/>
      <c r="EZ83" s="316"/>
      <c r="FA83" s="316"/>
      <c r="FB83" s="316"/>
      <c r="FC83" s="316"/>
      <c r="FD83" s="316"/>
      <c r="FE83" s="316"/>
      <c r="FF83" s="316"/>
      <c r="FG83" s="316"/>
      <c r="FH83" s="316"/>
      <c r="FI83" s="316"/>
      <c r="FJ83" s="316"/>
      <c r="FK83" s="316"/>
      <c r="FL83" s="168"/>
    </row>
    <row r="84" spans="2:168" ht="15.75" thickBot="1" x14ac:dyDescent="0.3">
      <c r="B84" s="108" t="s">
        <v>29</v>
      </c>
      <c r="C84" s="109">
        <f t="shared" ref="C84:P84" si="212">SUM(C71:C83)</f>
        <v>475183.17744</v>
      </c>
      <c r="D84" s="110">
        <f t="shared" si="212"/>
        <v>57238.164499999999</v>
      </c>
      <c r="E84" s="110">
        <f t="shared" si="212"/>
        <v>99433.490679999988</v>
      </c>
      <c r="F84" s="110">
        <f t="shared" si="212"/>
        <v>7767.79198</v>
      </c>
      <c r="G84" s="110">
        <f t="shared" si="212"/>
        <v>38803.060720000001</v>
      </c>
      <c r="H84" s="110">
        <f t="shared" si="212"/>
        <v>5411.60905</v>
      </c>
      <c r="I84" s="110">
        <f t="shared" si="212"/>
        <v>9702.8818699999993</v>
      </c>
      <c r="J84" s="110">
        <f t="shared" si="212"/>
        <v>1393.48236</v>
      </c>
      <c r="K84" s="110">
        <f t="shared" si="212"/>
        <v>132744.69897999999</v>
      </c>
      <c r="L84" s="110">
        <f t="shared" si="212"/>
        <v>0</v>
      </c>
      <c r="M84" s="110">
        <f t="shared" si="212"/>
        <v>0</v>
      </c>
      <c r="N84" s="110">
        <f t="shared" si="212"/>
        <v>1682.05898</v>
      </c>
      <c r="O84" s="110">
        <f t="shared" si="212"/>
        <v>50.257860000000001</v>
      </c>
      <c r="P84" s="112">
        <f t="shared" si="212"/>
        <v>829410.67442000029</v>
      </c>
      <c r="Y84" s="108" t="s">
        <v>29</v>
      </c>
      <c r="Z84" s="109">
        <f t="shared" ref="Z84:AM84" si="213">SUM(Z71:Z83)</f>
        <v>475183.17744</v>
      </c>
      <c r="AA84" s="110">
        <f t="shared" si="213"/>
        <v>57238.164499999999</v>
      </c>
      <c r="AB84" s="110">
        <f t="shared" si="213"/>
        <v>99433.490679999988</v>
      </c>
      <c r="AC84" s="110">
        <f t="shared" si="213"/>
        <v>7767.79198</v>
      </c>
      <c r="AD84" s="110">
        <f t="shared" si="213"/>
        <v>38803.060720000001</v>
      </c>
      <c r="AE84" s="110">
        <f t="shared" si="213"/>
        <v>5411.60905</v>
      </c>
      <c r="AF84" s="110">
        <f t="shared" si="213"/>
        <v>9702.8818699999993</v>
      </c>
      <c r="AG84" s="110">
        <f t="shared" si="213"/>
        <v>1393.48236</v>
      </c>
      <c r="AH84" s="110">
        <f t="shared" si="213"/>
        <v>140119.36729087878</v>
      </c>
      <c r="AI84" s="110">
        <f t="shared" si="213"/>
        <v>0</v>
      </c>
      <c r="AJ84" s="110">
        <f t="shared" si="213"/>
        <v>0</v>
      </c>
      <c r="AK84" s="110">
        <f t="shared" si="213"/>
        <v>1682.05898</v>
      </c>
      <c r="AL84" s="110">
        <f t="shared" si="213"/>
        <v>50.257860000000001</v>
      </c>
      <c r="AM84" s="112">
        <f t="shared" si="213"/>
        <v>836785.34273087897</v>
      </c>
      <c r="AO84" s="108" t="s">
        <v>29</v>
      </c>
      <c r="AP84" s="109">
        <f t="shared" ref="AP84:BC84" si="214">SUM(AP71:AP83)</f>
        <v>1493835</v>
      </c>
      <c r="AQ84" s="110">
        <f t="shared" si="214"/>
        <v>94375</v>
      </c>
      <c r="AR84" s="110">
        <f t="shared" si="214"/>
        <v>184600</v>
      </c>
      <c r="AS84" s="110">
        <f t="shared" si="214"/>
        <v>7160</v>
      </c>
      <c r="AT84" s="110">
        <f t="shared" si="214"/>
        <v>37460</v>
      </c>
      <c r="AU84" s="110">
        <f t="shared" si="214"/>
        <v>325</v>
      </c>
      <c r="AV84" s="110">
        <f t="shared" si="214"/>
        <v>1006120</v>
      </c>
      <c r="AW84" s="110">
        <f t="shared" si="214"/>
        <v>12695</v>
      </c>
      <c r="AX84" s="110">
        <f t="shared" si="214"/>
        <v>3190</v>
      </c>
      <c r="AY84" s="110">
        <f t="shared" si="214"/>
        <v>0</v>
      </c>
      <c r="AZ84" s="110">
        <f t="shared" si="214"/>
        <v>0</v>
      </c>
      <c r="BA84" s="110">
        <f t="shared" si="214"/>
        <v>39560</v>
      </c>
      <c r="BB84" s="110">
        <f t="shared" si="214"/>
        <v>0</v>
      </c>
      <c r="BC84" s="112">
        <f t="shared" si="214"/>
        <v>2879320</v>
      </c>
      <c r="BE84" s="108" t="s">
        <v>29</v>
      </c>
      <c r="BF84" s="120">
        <f t="shared" si="194"/>
        <v>1</v>
      </c>
      <c r="BG84" s="120">
        <f t="shared" si="194"/>
        <v>1</v>
      </c>
      <c r="BH84" s="120">
        <f t="shared" si="194"/>
        <v>1</v>
      </c>
      <c r="BI84" s="120">
        <f t="shared" si="194"/>
        <v>1</v>
      </c>
      <c r="BJ84" s="120">
        <f t="shared" si="194"/>
        <v>1</v>
      </c>
      <c r="BK84" s="120">
        <f t="shared" si="194"/>
        <v>1</v>
      </c>
      <c r="BL84" s="120">
        <f t="shared" si="194"/>
        <v>1</v>
      </c>
      <c r="BM84" s="120">
        <f t="shared" si="194"/>
        <v>1</v>
      </c>
      <c r="BN84" s="120">
        <f t="shared" si="194"/>
        <v>1</v>
      </c>
      <c r="BO84" s="120" t="str">
        <f t="shared" si="194"/>
        <v/>
      </c>
      <c r="BP84" s="120" t="str">
        <f t="shared" si="194"/>
        <v/>
      </c>
      <c r="BQ84" s="120">
        <f t="shared" si="194"/>
        <v>1</v>
      </c>
      <c r="BR84" s="120">
        <f t="shared" si="194"/>
        <v>1</v>
      </c>
      <c r="BS84" s="120">
        <f t="shared" si="194"/>
        <v>1</v>
      </c>
      <c r="BU84" s="108" t="s">
        <v>29</v>
      </c>
      <c r="BV84" s="120">
        <f t="shared" si="195"/>
        <v>1</v>
      </c>
      <c r="BW84" s="121">
        <f t="shared" si="196"/>
        <v>1</v>
      </c>
      <c r="BX84" s="121">
        <f t="shared" si="197"/>
        <v>1</v>
      </c>
      <c r="BY84" s="121">
        <f t="shared" si="198"/>
        <v>1</v>
      </c>
      <c r="BZ84" s="121">
        <f t="shared" si="199"/>
        <v>1</v>
      </c>
      <c r="CA84" s="121">
        <f t="shared" si="200"/>
        <v>1</v>
      </c>
      <c r="CB84" s="121">
        <f t="shared" si="201"/>
        <v>1</v>
      </c>
      <c r="CC84" s="121">
        <f t="shared" si="202"/>
        <v>1</v>
      </c>
      <c r="CD84" s="121">
        <f t="shared" si="203"/>
        <v>1</v>
      </c>
      <c r="CE84" s="121" t="str">
        <f t="shared" si="204"/>
        <v/>
      </c>
      <c r="CF84" s="121" t="str">
        <f t="shared" si="205"/>
        <v/>
      </c>
      <c r="CG84" s="121">
        <f t="shared" si="206"/>
        <v>1</v>
      </c>
      <c r="CH84" s="121" t="str">
        <f t="shared" si="207"/>
        <v/>
      </c>
      <c r="CI84" s="123">
        <f t="shared" si="208"/>
        <v>1</v>
      </c>
      <c r="CK84" s="108" t="s">
        <v>29</v>
      </c>
      <c r="CL84" s="120">
        <f t="shared" si="210"/>
        <v>0</v>
      </c>
      <c r="CM84" s="121">
        <f t="shared" si="210"/>
        <v>0</v>
      </c>
      <c r="CN84" s="121">
        <f t="shared" si="210"/>
        <v>0</v>
      </c>
      <c r="CO84" s="121">
        <f t="shared" si="210"/>
        <v>0</v>
      </c>
      <c r="CP84" s="121"/>
      <c r="CQ84" s="121"/>
      <c r="CR84" s="121"/>
      <c r="CS84" s="121"/>
      <c r="CT84" s="121">
        <f t="shared" si="211"/>
        <v>0</v>
      </c>
      <c r="CU84" s="121" t="str">
        <f t="shared" si="211"/>
        <v/>
      </c>
      <c r="CV84" s="121" t="str">
        <f t="shared" si="211"/>
        <v/>
      </c>
      <c r="CW84" s="121">
        <f t="shared" si="211"/>
        <v>0</v>
      </c>
      <c r="CX84" s="121" t="e">
        <f t="shared" si="211"/>
        <v>#VALUE!</v>
      </c>
      <c r="CY84" s="123">
        <f t="shared" si="211"/>
        <v>0</v>
      </c>
      <c r="DA84" s="108" t="s">
        <v>29</v>
      </c>
      <c r="DB84" s="120"/>
      <c r="DC84" s="121"/>
      <c r="DD84" s="121"/>
      <c r="DE84" s="121"/>
      <c r="DF84" s="121"/>
      <c r="DG84" s="121"/>
      <c r="DH84" s="121"/>
      <c r="DI84" s="121"/>
      <c r="DJ84" s="121"/>
      <c r="DK84" s="121"/>
      <c r="DL84" s="121"/>
      <c r="DM84" s="121"/>
      <c r="DN84" s="121"/>
      <c r="DO84" s="123"/>
      <c r="DQ84" s="108" t="s">
        <v>29</v>
      </c>
      <c r="DR84" s="120"/>
      <c r="DS84" s="121"/>
      <c r="DT84" s="121"/>
      <c r="DU84" s="121"/>
      <c r="DV84" s="121"/>
      <c r="DW84" s="121"/>
      <c r="DX84" s="121"/>
      <c r="DY84" s="121"/>
      <c r="DZ84" s="121"/>
      <c r="EA84" s="121"/>
      <c r="EB84" s="121"/>
      <c r="EC84" s="121"/>
      <c r="ED84" s="121"/>
      <c r="EE84" s="123"/>
      <c r="EG84" s="108" t="s">
        <v>29</v>
      </c>
      <c r="EH84" s="120"/>
      <c r="EI84" s="121"/>
      <c r="EJ84" s="121"/>
      <c r="EK84" s="121"/>
      <c r="EL84" s="121"/>
      <c r="EM84" s="121"/>
      <c r="EN84" s="121"/>
      <c r="EO84" s="121"/>
      <c r="EP84" s="121"/>
      <c r="EQ84" s="121"/>
      <c r="ER84" s="121"/>
      <c r="ES84" s="121"/>
      <c r="ET84" s="121"/>
      <c r="EU84" s="123"/>
      <c r="EW84" s="108" t="s">
        <v>29</v>
      </c>
      <c r="EX84" s="120"/>
      <c r="EY84" s="121"/>
      <c r="EZ84" s="121"/>
      <c r="FA84" s="121"/>
      <c r="FB84" s="121"/>
      <c r="FC84" s="121"/>
      <c r="FD84" s="121"/>
      <c r="FE84" s="121"/>
      <c r="FF84" s="121"/>
      <c r="FG84" s="121"/>
      <c r="FH84" s="121"/>
      <c r="FI84" s="121"/>
      <c r="FJ84" s="121"/>
      <c r="FK84" s="121"/>
      <c r="FL84" s="123"/>
    </row>
    <row r="85" spans="2:168" x14ac:dyDescent="0.25">
      <c r="B85" t="s">
        <v>221</v>
      </c>
      <c r="C85" s="383" t="s">
        <v>206</v>
      </c>
      <c r="D85" s="383"/>
      <c r="E85" s="383"/>
      <c r="F85" s="383"/>
      <c r="G85" s="383"/>
      <c r="H85" s="383"/>
      <c r="I85" s="383"/>
      <c r="J85" s="383"/>
      <c r="K85" s="383"/>
      <c r="L85" s="383"/>
      <c r="M85" s="383"/>
      <c r="N85" s="383"/>
      <c r="O85" s="383"/>
      <c r="P85" s="383"/>
      <c r="Y85" t="s">
        <v>221</v>
      </c>
      <c r="Z85" s="383" t="s">
        <v>206</v>
      </c>
      <c r="AA85" s="383"/>
      <c r="AB85" s="383"/>
      <c r="AC85" s="383"/>
      <c r="AD85" s="383"/>
      <c r="AE85" s="383"/>
      <c r="AF85" s="383"/>
      <c r="AG85" s="383"/>
      <c r="AH85" s="383"/>
      <c r="AI85" s="383"/>
      <c r="AJ85" s="383"/>
      <c r="AK85" s="383"/>
      <c r="AL85" s="383"/>
      <c r="AM85" s="383"/>
      <c r="AO85" t="s">
        <v>221</v>
      </c>
      <c r="AP85" s="383" t="s">
        <v>206</v>
      </c>
      <c r="AQ85" s="383"/>
      <c r="AR85" s="383"/>
      <c r="AS85" s="383"/>
      <c r="AT85" s="383"/>
      <c r="AU85" s="383"/>
      <c r="AV85" s="383"/>
      <c r="AW85" s="383"/>
      <c r="AX85" s="383"/>
      <c r="AY85" s="383"/>
      <c r="AZ85" s="383"/>
      <c r="BA85" s="383"/>
      <c r="BB85" s="383"/>
      <c r="BC85" s="383"/>
      <c r="BE85" t="s">
        <v>221</v>
      </c>
      <c r="BF85" s="383" t="s">
        <v>206</v>
      </c>
      <c r="BG85" s="383"/>
      <c r="BH85" s="383"/>
      <c r="BI85" s="383"/>
      <c r="BJ85" s="383"/>
      <c r="BK85" s="383"/>
      <c r="BL85" s="383"/>
      <c r="BM85" s="383"/>
      <c r="BN85" s="383"/>
      <c r="BO85" s="383"/>
      <c r="BP85" s="383"/>
      <c r="BQ85" s="383"/>
      <c r="BR85" s="383"/>
      <c r="BS85" s="383"/>
      <c r="BU85" t="s">
        <v>221</v>
      </c>
      <c r="BV85" s="383" t="s">
        <v>206</v>
      </c>
      <c r="BW85" s="383"/>
      <c r="BX85" s="383"/>
      <c r="BY85" s="383"/>
      <c r="BZ85" s="383"/>
      <c r="CA85" s="383"/>
      <c r="CB85" s="383"/>
      <c r="CC85" s="383"/>
      <c r="CD85" s="383"/>
      <c r="CE85" s="383"/>
      <c r="CF85" s="383"/>
      <c r="CG85" s="383"/>
      <c r="CH85" s="383"/>
      <c r="CI85" s="383"/>
      <c r="CK85" t="s">
        <v>221</v>
      </c>
      <c r="CL85" s="383" t="s">
        <v>206</v>
      </c>
      <c r="CM85" s="383"/>
      <c r="CN85" s="383"/>
      <c r="CO85" s="383"/>
      <c r="CP85" s="383"/>
      <c r="CQ85" s="383"/>
      <c r="CR85" s="383"/>
      <c r="CS85" s="383"/>
      <c r="CT85" s="383"/>
      <c r="CU85" s="383"/>
      <c r="CV85" s="383"/>
      <c r="CW85" s="383"/>
      <c r="CX85" s="383"/>
      <c r="CY85" s="383"/>
      <c r="DA85" t="s">
        <v>194</v>
      </c>
      <c r="DB85" s="383" t="s">
        <v>206</v>
      </c>
      <c r="DC85" s="383"/>
      <c r="DD85" s="383"/>
      <c r="DE85" s="383"/>
      <c r="DF85" s="383"/>
      <c r="DG85" s="383"/>
      <c r="DH85" s="383"/>
      <c r="DI85" s="383"/>
      <c r="DJ85" s="383"/>
      <c r="DK85" s="383"/>
      <c r="DL85" s="383"/>
      <c r="DM85" s="383"/>
      <c r="DN85" s="383"/>
      <c r="DO85" s="383"/>
      <c r="DQ85" t="s">
        <v>194</v>
      </c>
      <c r="DR85" s="383" t="s">
        <v>206</v>
      </c>
      <c r="DS85" s="383"/>
      <c r="DT85" s="383"/>
      <c r="DU85" s="383"/>
      <c r="DV85" s="383"/>
      <c r="DW85" s="383"/>
      <c r="DX85" s="383"/>
      <c r="DY85" s="383"/>
      <c r="DZ85" s="383"/>
      <c r="EA85" s="383"/>
      <c r="EB85" s="383"/>
      <c r="EC85" s="383"/>
      <c r="ED85" s="383"/>
      <c r="EE85" s="383"/>
      <c r="EG85" t="s">
        <v>194</v>
      </c>
      <c r="EH85" s="383" t="s">
        <v>206</v>
      </c>
      <c r="EI85" s="383"/>
      <c r="EJ85" s="383"/>
      <c r="EK85" s="383"/>
      <c r="EL85" s="383"/>
      <c r="EM85" s="383"/>
      <c r="EN85" s="383"/>
      <c r="EO85" s="383"/>
      <c r="EP85" s="383"/>
      <c r="EQ85" s="383"/>
      <c r="ER85" s="383"/>
      <c r="ES85" s="383"/>
      <c r="ET85" s="383"/>
      <c r="EU85" s="383"/>
      <c r="EW85" t="s">
        <v>194</v>
      </c>
      <c r="EX85" s="383" t="s">
        <v>207</v>
      </c>
      <c r="EY85" s="383"/>
      <c r="EZ85" s="383"/>
      <c r="FA85" s="383"/>
      <c r="FB85" s="383"/>
      <c r="FC85" s="383"/>
      <c r="FD85" s="383"/>
      <c r="FE85" s="383"/>
      <c r="FF85" s="383"/>
      <c r="FG85" s="383"/>
      <c r="FH85" s="383"/>
      <c r="FI85" s="383"/>
      <c r="FJ85" s="383"/>
      <c r="FK85" s="383"/>
      <c r="FL85" s="383"/>
    </row>
    <row r="86" spans="2:168" ht="35.450000000000003" customHeight="1" x14ac:dyDescent="0.25">
      <c r="B86" s="163" t="s">
        <v>207</v>
      </c>
      <c r="C86" s="164" t="s">
        <v>386</v>
      </c>
      <c r="D86" s="164" t="s">
        <v>387</v>
      </c>
      <c r="E86" s="164" t="s">
        <v>388</v>
      </c>
      <c r="F86" s="164" t="s">
        <v>389</v>
      </c>
      <c r="G86" s="164" t="s">
        <v>390</v>
      </c>
      <c r="H86" s="164" t="s">
        <v>391</v>
      </c>
      <c r="I86" s="164" t="s">
        <v>392</v>
      </c>
      <c r="J86" s="164" t="s">
        <v>393</v>
      </c>
      <c r="K86" s="164" t="s">
        <v>546</v>
      </c>
      <c r="L86" s="164" t="s">
        <v>396</v>
      </c>
      <c r="M86" s="164" t="s">
        <v>397</v>
      </c>
      <c r="N86" s="164" t="s">
        <v>398</v>
      </c>
      <c r="O86" s="164" t="s">
        <v>399</v>
      </c>
      <c r="P86" s="106" t="s">
        <v>29</v>
      </c>
      <c r="R86" s="164" t="s">
        <v>546</v>
      </c>
      <c r="S86" s="164" t="s">
        <v>396</v>
      </c>
      <c r="T86" s="164" t="s">
        <v>397</v>
      </c>
      <c r="U86" s="164" t="s">
        <v>546</v>
      </c>
      <c r="V86" s="164" t="s">
        <v>396</v>
      </c>
      <c r="W86" s="164" t="s">
        <v>397</v>
      </c>
      <c r="X86" s="296"/>
      <c r="Y86" s="163" t="s">
        <v>207</v>
      </c>
      <c r="Z86" s="164" t="s">
        <v>386</v>
      </c>
      <c r="AA86" s="164" t="s">
        <v>387</v>
      </c>
      <c r="AB86" s="164" t="s">
        <v>388</v>
      </c>
      <c r="AC86" s="164" t="s">
        <v>389</v>
      </c>
      <c r="AD86" s="164" t="s">
        <v>390</v>
      </c>
      <c r="AE86" s="164" t="s">
        <v>391</v>
      </c>
      <c r="AF86" s="164" t="s">
        <v>392</v>
      </c>
      <c r="AG86" s="164" t="s">
        <v>393</v>
      </c>
      <c r="AH86" s="164" t="s">
        <v>546</v>
      </c>
      <c r="AI86" s="164" t="s">
        <v>396</v>
      </c>
      <c r="AJ86" s="164" t="s">
        <v>397</v>
      </c>
      <c r="AK86" s="164" t="s">
        <v>398</v>
      </c>
      <c r="AL86" s="164" t="s">
        <v>399</v>
      </c>
      <c r="AM86" s="106" t="s">
        <v>29</v>
      </c>
      <c r="AN86" s="296"/>
      <c r="AO86" s="163" t="s">
        <v>207</v>
      </c>
      <c r="AP86" s="164" t="s">
        <v>386</v>
      </c>
      <c r="AQ86" s="164" t="s">
        <v>387</v>
      </c>
      <c r="AR86" s="164" t="s">
        <v>388</v>
      </c>
      <c r="AS86" s="164" t="s">
        <v>389</v>
      </c>
      <c r="AT86" s="164" t="s">
        <v>390</v>
      </c>
      <c r="AU86" s="164" t="s">
        <v>391</v>
      </c>
      <c r="AV86" s="164" t="s">
        <v>392</v>
      </c>
      <c r="AW86" s="164" t="s">
        <v>393</v>
      </c>
      <c r="AX86" s="164" t="s">
        <v>546</v>
      </c>
      <c r="AY86" s="164" t="s">
        <v>396</v>
      </c>
      <c r="AZ86" s="164" t="s">
        <v>397</v>
      </c>
      <c r="BA86" s="164" t="s">
        <v>398</v>
      </c>
      <c r="BB86" s="164" t="s">
        <v>399</v>
      </c>
      <c r="BC86" s="106" t="s">
        <v>29</v>
      </c>
      <c r="BE86" s="163" t="s">
        <v>207</v>
      </c>
      <c r="BF86" s="164" t="s">
        <v>538</v>
      </c>
      <c r="BG86" s="164"/>
      <c r="BH86" s="164" t="s">
        <v>576</v>
      </c>
      <c r="BI86" s="164"/>
      <c r="BJ86" s="164" t="s">
        <v>577</v>
      </c>
      <c r="BK86" s="164"/>
      <c r="BL86" s="164" t="s">
        <v>392</v>
      </c>
      <c r="BM86" s="164" t="s">
        <v>393</v>
      </c>
      <c r="BN86" s="164" t="s">
        <v>546</v>
      </c>
      <c r="BO86" s="164" t="s">
        <v>396</v>
      </c>
      <c r="BP86" s="164" t="s">
        <v>397</v>
      </c>
      <c r="BQ86" s="164" t="s">
        <v>398</v>
      </c>
      <c r="BR86" s="164" t="s">
        <v>399</v>
      </c>
      <c r="BS86" s="106" t="s">
        <v>29</v>
      </c>
      <c r="BU86" s="163" t="s">
        <v>207</v>
      </c>
      <c r="BV86" s="164" t="s">
        <v>538</v>
      </c>
      <c r="BW86" s="164"/>
      <c r="BX86" s="164" t="s">
        <v>576</v>
      </c>
      <c r="BY86" s="164"/>
      <c r="BZ86" s="164" t="s">
        <v>577</v>
      </c>
      <c r="CA86" s="164"/>
      <c r="CB86" s="164" t="s">
        <v>392</v>
      </c>
      <c r="CC86" s="164" t="s">
        <v>393</v>
      </c>
      <c r="CD86" s="164" t="s">
        <v>546</v>
      </c>
      <c r="CE86" s="164" t="s">
        <v>396</v>
      </c>
      <c r="CF86" s="164" t="s">
        <v>397</v>
      </c>
      <c r="CG86" s="164" t="s">
        <v>398</v>
      </c>
      <c r="CH86" s="164" t="s">
        <v>399</v>
      </c>
      <c r="CI86" s="106" t="s">
        <v>29</v>
      </c>
      <c r="CK86" s="163" t="s">
        <v>207</v>
      </c>
      <c r="CL86" s="164" t="s">
        <v>386</v>
      </c>
      <c r="CM86" s="164" t="s">
        <v>387</v>
      </c>
      <c r="CN86" s="164" t="s">
        <v>388</v>
      </c>
      <c r="CO86" s="164" t="s">
        <v>389</v>
      </c>
      <c r="CP86" s="164" t="s">
        <v>390</v>
      </c>
      <c r="CQ86" s="164" t="s">
        <v>391</v>
      </c>
      <c r="CR86" s="164" t="s">
        <v>392</v>
      </c>
      <c r="CS86" s="164" t="s">
        <v>393</v>
      </c>
      <c r="CT86" s="164" t="s">
        <v>546</v>
      </c>
      <c r="CU86" s="164" t="s">
        <v>396</v>
      </c>
      <c r="CV86" s="164" t="s">
        <v>397</v>
      </c>
      <c r="CW86" s="164" t="s">
        <v>398</v>
      </c>
      <c r="CX86" s="164" t="s">
        <v>399</v>
      </c>
      <c r="CY86" s="106" t="s">
        <v>29</v>
      </c>
      <c r="DA86" s="163" t="s">
        <v>207</v>
      </c>
      <c r="DB86" s="164" t="s">
        <v>538</v>
      </c>
      <c r="DC86" s="164"/>
      <c r="DD86" s="164" t="s">
        <v>576</v>
      </c>
      <c r="DE86" s="164"/>
      <c r="DF86" s="164" t="s">
        <v>577</v>
      </c>
      <c r="DG86" s="164"/>
      <c r="DH86" s="164" t="s">
        <v>392</v>
      </c>
      <c r="DI86" s="164" t="s">
        <v>393</v>
      </c>
      <c r="DJ86" s="164" t="s">
        <v>546</v>
      </c>
      <c r="DK86" s="164" t="s">
        <v>396</v>
      </c>
      <c r="DL86" s="164" t="s">
        <v>397</v>
      </c>
      <c r="DM86" s="164" t="s">
        <v>398</v>
      </c>
      <c r="DN86" s="164" t="s">
        <v>399</v>
      </c>
      <c r="DO86" s="106" t="s">
        <v>29</v>
      </c>
      <c r="DQ86" s="163" t="s">
        <v>207</v>
      </c>
      <c r="DR86" s="164" t="s">
        <v>538</v>
      </c>
      <c r="DS86" s="164"/>
      <c r="DT86" s="164" t="s">
        <v>576</v>
      </c>
      <c r="DU86" s="164"/>
      <c r="DV86" s="164" t="s">
        <v>577</v>
      </c>
      <c r="DW86" s="164"/>
      <c r="DX86" s="164" t="s">
        <v>392</v>
      </c>
      <c r="DY86" s="164" t="s">
        <v>393</v>
      </c>
      <c r="DZ86" s="164" t="s">
        <v>546</v>
      </c>
      <c r="EA86" s="164" t="s">
        <v>396</v>
      </c>
      <c r="EB86" s="164" t="s">
        <v>397</v>
      </c>
      <c r="EC86" s="164" t="s">
        <v>398</v>
      </c>
      <c r="ED86" s="164" t="s">
        <v>399</v>
      </c>
      <c r="EE86" s="106" t="s">
        <v>29</v>
      </c>
      <c r="EG86" s="163" t="s">
        <v>207</v>
      </c>
      <c r="EH86" s="164" t="s">
        <v>538</v>
      </c>
      <c r="EI86" s="164"/>
      <c r="EJ86" s="164" t="s">
        <v>576</v>
      </c>
      <c r="EK86" s="164"/>
      <c r="EL86" s="164" t="s">
        <v>577</v>
      </c>
      <c r="EM86" s="164"/>
      <c r="EN86" s="164" t="s">
        <v>392</v>
      </c>
      <c r="EO86" s="164" t="s">
        <v>393</v>
      </c>
      <c r="EP86" s="164" t="s">
        <v>546</v>
      </c>
      <c r="EQ86" s="164" t="s">
        <v>396</v>
      </c>
      <c r="ER86" s="164" t="s">
        <v>397</v>
      </c>
      <c r="ES86" s="164" t="s">
        <v>398</v>
      </c>
      <c r="ET86" s="164" t="s">
        <v>399</v>
      </c>
      <c r="EU86" s="106" t="s">
        <v>29</v>
      </c>
      <c r="EW86" s="163" t="s">
        <v>206</v>
      </c>
      <c r="EX86" s="164" t="s">
        <v>386</v>
      </c>
      <c r="EY86" s="164" t="s">
        <v>387</v>
      </c>
      <c r="EZ86" s="164" t="s">
        <v>388</v>
      </c>
      <c r="FA86" s="164" t="s">
        <v>389</v>
      </c>
      <c r="FB86" s="164" t="s">
        <v>390</v>
      </c>
      <c r="FC86" s="164" t="s">
        <v>391</v>
      </c>
      <c r="FD86" s="164" t="s">
        <v>392</v>
      </c>
      <c r="FE86" s="164" t="s">
        <v>393</v>
      </c>
      <c r="FF86" s="164"/>
      <c r="FG86" s="164" t="s">
        <v>546</v>
      </c>
      <c r="FH86" s="164" t="s">
        <v>396</v>
      </c>
      <c r="FI86" s="164" t="s">
        <v>397</v>
      </c>
      <c r="FJ86" s="164" t="s">
        <v>398</v>
      </c>
      <c r="FK86" s="164" t="s">
        <v>399</v>
      </c>
      <c r="FL86" s="106" t="s">
        <v>29</v>
      </c>
    </row>
    <row r="87" spans="2:168" x14ac:dyDescent="0.25">
      <c r="B87" s="107" t="s">
        <v>386</v>
      </c>
      <c r="C87" s="160">
        <f>TripMode_input!B68</f>
        <v>3422655.3421499999</v>
      </c>
      <c r="D87" s="160">
        <f>TripMode_input!C68</f>
        <v>21301.578949999999</v>
      </c>
      <c r="E87" s="160">
        <f>TripMode_input!D68</f>
        <v>186250.79381999999</v>
      </c>
      <c r="F87" s="160">
        <f>TripMode_input!E68</f>
        <v>843.22050000000002</v>
      </c>
      <c r="G87" s="160">
        <f>TripMode_input!F68</f>
        <v>61038.916940000003</v>
      </c>
      <c r="H87" s="160">
        <f>TripMode_input!G68</f>
        <v>485.08679999999998</v>
      </c>
      <c r="I87" s="294"/>
      <c r="J87" s="294"/>
      <c r="K87" s="294"/>
      <c r="L87" s="294"/>
      <c r="M87" s="294"/>
      <c r="N87" s="294"/>
      <c r="O87" s="294"/>
      <c r="P87" s="161">
        <f t="shared" ref="P87:P99" si="215">SUM(C87:O87)</f>
        <v>3692574.9391599996</v>
      </c>
      <c r="R87">
        <f>IF(K$95&gt;0,K87/K$95,0)</f>
        <v>0</v>
      </c>
      <c r="S87">
        <f>IF(L$96&gt;0,L87/L$96,0)</f>
        <v>0</v>
      </c>
      <c r="T87">
        <f>IF(M$97&gt;0,M87/M$97,0)</f>
        <v>0</v>
      </c>
      <c r="Y87" s="107" t="s">
        <v>386</v>
      </c>
      <c r="Z87" s="160">
        <f t="shared" ref="Z87:AC88" si="216">+C87</f>
        <v>3422655.3421499999</v>
      </c>
      <c r="AA87" s="160">
        <f t="shared" si="216"/>
        <v>21301.578949999999</v>
      </c>
      <c r="AB87" s="160">
        <f t="shared" si="216"/>
        <v>186250.79381999999</v>
      </c>
      <c r="AC87" s="160">
        <f t="shared" si="216"/>
        <v>843.22050000000002</v>
      </c>
      <c r="AD87" s="160">
        <f t="shared" ref="AD87:AD93" si="217">+G87</f>
        <v>61038.916940000003</v>
      </c>
      <c r="AE87" s="160">
        <f t="shared" ref="AE87:AE93" si="218">+H87</f>
        <v>485.08679999999998</v>
      </c>
      <c r="AF87" s="294"/>
      <c r="AG87" s="294"/>
      <c r="AH87" s="294"/>
      <c r="AI87" s="294"/>
      <c r="AJ87" s="294"/>
      <c r="AK87" s="294"/>
      <c r="AL87" s="294"/>
      <c r="AM87" s="161">
        <f t="shared" ref="AM87:AM99" si="219">SUM(Z87:AL87)</f>
        <v>3692574.9391599996</v>
      </c>
      <c r="AO87" s="107" t="s">
        <v>386</v>
      </c>
      <c r="AP87" s="160">
        <f>TripMode_input!R68*Index!$B$2</f>
        <v>4665440</v>
      </c>
      <c r="AQ87" s="160">
        <f>TripMode_input!S68*Index!$B$2</f>
        <v>188935</v>
      </c>
      <c r="AR87" s="160">
        <f>TripMode_input!T68*Index!$B$2</f>
        <v>187720</v>
      </c>
      <c r="AS87" s="160">
        <f>TripMode_input!U68*Index!$B$2</f>
        <v>4605</v>
      </c>
      <c r="AT87" s="160">
        <f>TripMode_input!V68*Index!$B$2</f>
        <v>32760</v>
      </c>
      <c r="AU87" s="160">
        <f>TripMode_input!W68*Index!$B$2</f>
        <v>950</v>
      </c>
      <c r="AV87" s="294">
        <f>TripMode_input!X68*Index!$B$2</f>
        <v>0</v>
      </c>
      <c r="AW87" s="294">
        <f>TripMode_input!Y68*Index!$B$2</f>
        <v>0</v>
      </c>
      <c r="AX87" s="294">
        <f>TripMode_input!AA68*Index!$B$2</f>
        <v>0</v>
      </c>
      <c r="AY87" s="294">
        <f>TripMode_input!AB68*Index!$B$2</f>
        <v>0</v>
      </c>
      <c r="AZ87" s="160">
        <f>TripMode_input!AC68*Index!$B$2</f>
        <v>0</v>
      </c>
      <c r="BA87" s="294">
        <f>TripMode_input!AD68*Index!$B$2</f>
        <v>0</v>
      </c>
      <c r="BB87" s="294">
        <f>TripMode_input!AE68*Index!$B$2</f>
        <v>0</v>
      </c>
      <c r="BC87" s="161">
        <f t="shared" ref="BC87:BC99" si="220">SUM(AP87:BB87)</f>
        <v>5080410</v>
      </c>
      <c r="BE87" s="107" t="s">
        <v>538</v>
      </c>
      <c r="BF87" s="166">
        <f>IF(Z$100+AA$100&gt;0,SUM(Z87:AA88)/(Z$100+AA$100),"")</f>
        <v>0.99999999999999989</v>
      </c>
      <c r="BG87" s="166"/>
      <c r="BH87" s="166">
        <f>IF(AB$100+AC$100&gt;0,SUM(AB87:AC88)/(AB$100+AC$100),"")</f>
        <v>0.25967926500204486</v>
      </c>
      <c r="BI87" s="166"/>
      <c r="BJ87" s="166">
        <f>IF(AD$100+AE$100&gt;0,SUM(AD87:AE88)/(AD$100+AE$100),"")</f>
        <v>0.19110325373652623</v>
      </c>
      <c r="BK87" s="166"/>
      <c r="BL87" s="166">
        <f t="shared" ref="BL87:BS87" si="221">IF(AF$100&gt;0,(AF87+AF88)/AF$100,"")</f>
        <v>0</v>
      </c>
      <c r="BM87" s="166">
        <f t="shared" si="221"/>
        <v>0</v>
      </c>
      <c r="BN87" s="166">
        <f t="shared" si="221"/>
        <v>0</v>
      </c>
      <c r="BO87" s="166">
        <f t="shared" si="221"/>
        <v>0</v>
      </c>
      <c r="BP87" s="166">
        <f t="shared" si="221"/>
        <v>0</v>
      </c>
      <c r="BQ87" s="166">
        <f t="shared" si="221"/>
        <v>0</v>
      </c>
      <c r="BR87" s="166">
        <f t="shared" si="221"/>
        <v>0</v>
      </c>
      <c r="BS87" s="166">
        <f t="shared" si="221"/>
        <v>0.69653427700782067</v>
      </c>
      <c r="BU87" s="107" t="s">
        <v>538</v>
      </c>
      <c r="BV87" s="166">
        <f>IF(AP$100+AQ$100&gt;0,SUM(AP87:AQ88)/(AP$100+AQ$100),"")</f>
        <v>1</v>
      </c>
      <c r="BW87" s="166"/>
      <c r="BX87" s="166">
        <f>IF(AR$100+AS$100&gt;0,SUM(AR87:AS88)/(AR$100+AS$100),"")</f>
        <v>0.19077679612455667</v>
      </c>
      <c r="BY87" s="166"/>
      <c r="BZ87" s="166">
        <f>IF(AT$100+AU$100&gt;0,SUM(AT87:AU88)/(AT$100+AU$100),"")</f>
        <v>8.1679543804092911E-2</v>
      </c>
      <c r="CA87" s="166"/>
      <c r="CB87" s="166">
        <f t="shared" ref="CB87:CI87" si="222">IF(AV$100&gt;0,(AV87+AV88)/AV$100,"")</f>
        <v>0</v>
      </c>
      <c r="CC87" s="166">
        <f t="shared" si="222"/>
        <v>0</v>
      </c>
      <c r="CD87" s="166">
        <f t="shared" si="222"/>
        <v>0</v>
      </c>
      <c r="CE87" s="166">
        <f t="shared" si="222"/>
        <v>0</v>
      </c>
      <c r="CF87" s="166">
        <f t="shared" si="222"/>
        <v>0</v>
      </c>
      <c r="CG87" s="166">
        <f t="shared" si="222"/>
        <v>0</v>
      </c>
      <c r="CH87" s="166" t="str">
        <f t="shared" si="222"/>
        <v/>
      </c>
      <c r="CI87" s="166">
        <f t="shared" si="222"/>
        <v>0.68393813336731868</v>
      </c>
      <c r="CK87" s="107" t="s">
        <v>386</v>
      </c>
      <c r="CL87" s="166">
        <f t="shared" ref="CL87:CO90" si="223">IF(OR(ISNA(BF87),BF87=0,BF87=""),"",(BV87-BF87)/BF87)</f>
        <v>1.1102230246251565E-16</v>
      </c>
      <c r="CM87" s="166" t="str">
        <f t="shared" si="223"/>
        <v/>
      </c>
      <c r="CN87" s="166">
        <f t="shared" si="223"/>
        <v>-0.2653368141539742</v>
      </c>
      <c r="CO87" s="166" t="str">
        <f t="shared" si="223"/>
        <v/>
      </c>
      <c r="CP87" s="166"/>
      <c r="CQ87" s="166"/>
      <c r="CR87" s="166"/>
      <c r="CS87" s="166"/>
      <c r="CT87" s="166" t="str">
        <f t="shared" ref="CT87:CY90" si="224">IF(OR(ISNA(BN87),BN87=0,BN87=""),"",(CD87-BN87)/BN87)</f>
        <v/>
      </c>
      <c r="CU87" s="166" t="str">
        <f t="shared" si="224"/>
        <v/>
      </c>
      <c r="CV87" s="166" t="str">
        <f t="shared" si="224"/>
        <v/>
      </c>
      <c r="CW87" s="166" t="str">
        <f t="shared" si="224"/>
        <v/>
      </c>
      <c r="CX87" s="166" t="str">
        <f t="shared" si="224"/>
        <v/>
      </c>
      <c r="CY87" s="167">
        <f t="shared" si="224"/>
        <v>-1.8084025519336445E-2</v>
      </c>
      <c r="DA87" s="107" t="s">
        <v>538</v>
      </c>
      <c r="DB87" s="314">
        <f>IFERROR(IF(BV87&gt;0,LN(BF87/BV87),0),0)</f>
        <v>-1.1102230246251565E-16</v>
      </c>
      <c r="DC87" s="314"/>
      <c r="DD87" s="314">
        <f>IFERROR(IF(BX87&gt;0,LN(BH87/BX87),0),0)</f>
        <v>0.30834313534779584</v>
      </c>
      <c r="DE87" s="314"/>
      <c r="DF87" s="314">
        <f>IFERROR(IF(BZ87&gt;0,LN(BJ87/BZ87),0),0)</f>
        <v>0.85001028877638496</v>
      </c>
      <c r="DG87" s="314"/>
      <c r="DH87" s="315"/>
      <c r="DI87" s="315"/>
      <c r="DJ87" s="315"/>
      <c r="DK87" s="315"/>
      <c r="DL87" s="315"/>
      <c r="DM87" s="315"/>
      <c r="DN87" s="315"/>
      <c r="DO87" s="167"/>
      <c r="DQ87" s="107" t="s">
        <v>538</v>
      </c>
      <c r="DR87" s="314">
        <v>0</v>
      </c>
      <c r="DS87" s="314">
        <v>0</v>
      </c>
      <c r="DT87" s="314">
        <v>0</v>
      </c>
      <c r="DU87" s="314">
        <v>0</v>
      </c>
      <c r="DV87" s="314">
        <v>0</v>
      </c>
      <c r="DW87" s="314">
        <v>0</v>
      </c>
      <c r="DX87" s="315"/>
      <c r="DY87" s="315"/>
      <c r="DZ87" s="315"/>
      <c r="EA87" s="315"/>
      <c r="EB87" s="315"/>
      <c r="EC87" s="315"/>
      <c r="ED87" s="315"/>
      <c r="EE87" s="167"/>
      <c r="EG87" s="107" t="s">
        <v>538</v>
      </c>
      <c r="EH87" s="314">
        <v>0</v>
      </c>
      <c r="EI87" s="314">
        <v>0</v>
      </c>
      <c r="EJ87" s="314">
        <v>0</v>
      </c>
      <c r="EK87" s="314">
        <v>0</v>
      </c>
      <c r="EL87" s="314">
        <v>0</v>
      </c>
      <c r="EM87" s="314">
        <v>0</v>
      </c>
      <c r="EN87" s="315"/>
      <c r="EO87" s="315"/>
      <c r="EP87" s="315"/>
      <c r="EQ87" s="315"/>
      <c r="ER87" s="315"/>
      <c r="ES87" s="315"/>
      <c r="ET87" s="315"/>
      <c r="EU87" s="167"/>
      <c r="EW87" s="164" t="s">
        <v>386</v>
      </c>
      <c r="EX87" s="316">
        <f>INDEX($EH$87:$ET$99,EX$4,MATCH($EW87,$EW$7:$EW$19,0))</f>
        <v>0</v>
      </c>
      <c r="EY87" s="316">
        <f t="shared" ref="EY87:FK99" si="225">INDEX($EH$87:$ET$99,EY$4,MATCH($EW87,$EW$7:$EW$19,0))</f>
        <v>0</v>
      </c>
      <c r="EZ87" s="316">
        <f t="shared" si="225"/>
        <v>0</v>
      </c>
      <c r="FA87" s="316">
        <f t="shared" si="225"/>
        <v>0</v>
      </c>
      <c r="FB87" s="316">
        <f t="shared" si="225"/>
        <v>0</v>
      </c>
      <c r="FC87" s="316">
        <f t="shared" si="225"/>
        <v>0</v>
      </c>
      <c r="FD87" s="316">
        <f t="shared" si="225"/>
        <v>0</v>
      </c>
      <c r="FE87" s="316">
        <f t="shared" si="225"/>
        <v>0</v>
      </c>
      <c r="FF87" s="316"/>
      <c r="FG87" s="316">
        <f t="shared" si="225"/>
        <v>0</v>
      </c>
      <c r="FH87" s="316">
        <f t="shared" si="225"/>
        <v>0</v>
      </c>
      <c r="FI87" s="316">
        <f t="shared" si="225"/>
        <v>0</v>
      </c>
      <c r="FJ87" s="316">
        <f t="shared" si="225"/>
        <v>0</v>
      </c>
      <c r="FK87" s="316">
        <f t="shared" si="225"/>
        <v>0</v>
      </c>
      <c r="FL87" s="167"/>
    </row>
    <row r="88" spans="2:168" x14ac:dyDescent="0.25">
      <c r="B88" s="107" t="s">
        <v>387</v>
      </c>
      <c r="C88" s="160">
        <f>TripMode_input!B69</f>
        <v>0</v>
      </c>
      <c r="D88" s="160">
        <f>TripMode_input!C69</f>
        <v>24747.205999999998</v>
      </c>
      <c r="E88" s="160">
        <f>TripMode_input!D69</f>
        <v>0</v>
      </c>
      <c r="F88" s="160">
        <f>TripMode_input!E69</f>
        <v>1140.6657700000001</v>
      </c>
      <c r="G88" s="160">
        <f>TripMode_input!F69</f>
        <v>0</v>
      </c>
      <c r="H88" s="160">
        <f>TripMode_input!G69</f>
        <v>0</v>
      </c>
      <c r="I88" s="294"/>
      <c r="J88" s="294"/>
      <c r="K88" s="294"/>
      <c r="L88" s="294"/>
      <c r="M88" s="294"/>
      <c r="N88" s="294"/>
      <c r="O88" s="294"/>
      <c r="P88" s="162">
        <f t="shared" si="215"/>
        <v>25887.871769999998</v>
      </c>
      <c r="R88">
        <f t="shared" ref="R88:R99" si="226">IF(K$95&gt;0,K88/K$95,0)</f>
        <v>0</v>
      </c>
      <c r="S88">
        <f t="shared" ref="S88:S99" si="227">IF(L$96&gt;0,L88/L$96,0)</f>
        <v>0</v>
      </c>
      <c r="T88">
        <f t="shared" ref="T88:T99" si="228">IF(M$97&gt;0,M88/M$97,0)</f>
        <v>0</v>
      </c>
      <c r="Y88" s="107" t="s">
        <v>387</v>
      </c>
      <c r="Z88" s="160">
        <f t="shared" si="216"/>
        <v>0</v>
      </c>
      <c r="AA88" s="160">
        <f t="shared" si="216"/>
        <v>24747.205999999998</v>
      </c>
      <c r="AB88" s="160">
        <f t="shared" si="216"/>
        <v>0</v>
      </c>
      <c r="AC88" s="160">
        <f t="shared" si="216"/>
        <v>1140.6657700000001</v>
      </c>
      <c r="AD88" s="160">
        <f t="shared" si="217"/>
        <v>0</v>
      </c>
      <c r="AE88" s="160">
        <f t="shared" si="218"/>
        <v>0</v>
      </c>
      <c r="AF88" s="294"/>
      <c r="AG88" s="294"/>
      <c r="AH88" s="294"/>
      <c r="AI88" s="294"/>
      <c r="AJ88" s="294"/>
      <c r="AK88" s="294"/>
      <c r="AL88" s="294"/>
      <c r="AM88" s="162">
        <f t="shared" si="219"/>
        <v>25887.871769999998</v>
      </c>
      <c r="AO88" s="107" t="s">
        <v>387</v>
      </c>
      <c r="AP88" s="160">
        <f>TripMode_input!R69*Index!$B$2</f>
        <v>37905</v>
      </c>
      <c r="AQ88" s="160">
        <f>TripMode_input!S69*Index!$B$2</f>
        <v>29755</v>
      </c>
      <c r="AR88" s="160">
        <f>TripMode_input!T69*Index!$B$2</f>
        <v>2300</v>
      </c>
      <c r="AS88" s="160">
        <f>TripMode_input!U69*Index!$B$2</f>
        <v>905</v>
      </c>
      <c r="AT88" s="160">
        <f>TripMode_input!V69*Index!$B$2</f>
        <v>400</v>
      </c>
      <c r="AU88" s="160">
        <f>TripMode_input!W69*Index!$B$2</f>
        <v>195</v>
      </c>
      <c r="AV88" s="294">
        <f>TripMode_input!X69*Index!$B$2</f>
        <v>0</v>
      </c>
      <c r="AW88" s="294">
        <f>TripMode_input!Y69*Index!$B$2</f>
        <v>0</v>
      </c>
      <c r="AX88" s="294">
        <f>TripMode_input!AA69*Index!$B$2</f>
        <v>0</v>
      </c>
      <c r="AY88" s="294">
        <f>TripMode_input!AB69*Index!$B$2</f>
        <v>0</v>
      </c>
      <c r="AZ88" s="160">
        <f>TripMode_input!AC69*Index!$B$2</f>
        <v>0</v>
      </c>
      <c r="BA88" s="294">
        <f>TripMode_input!AD69*Index!$B$2</f>
        <v>0</v>
      </c>
      <c r="BB88" s="294">
        <f>TripMode_input!AE69*Index!$B$2</f>
        <v>0</v>
      </c>
      <c r="BC88" s="162">
        <f t="shared" si="220"/>
        <v>71460</v>
      </c>
      <c r="BE88" s="107"/>
      <c r="BF88" s="166"/>
      <c r="BG88" s="166"/>
      <c r="BH88" s="166"/>
      <c r="BI88" s="166"/>
      <c r="BJ88" s="166"/>
      <c r="BK88" s="166"/>
      <c r="BL88" s="166"/>
      <c r="BM88" s="166"/>
      <c r="BN88" s="166"/>
      <c r="BO88" s="166"/>
      <c r="BP88" s="166"/>
      <c r="BQ88" s="166"/>
      <c r="BR88" s="166"/>
      <c r="BS88" s="166"/>
      <c r="BU88" s="107"/>
      <c r="BV88" s="166"/>
      <c r="BW88" s="166"/>
      <c r="BX88" s="166"/>
      <c r="BY88" s="166"/>
      <c r="BZ88" s="166"/>
      <c r="CA88" s="166"/>
      <c r="CB88" s="166"/>
      <c r="CC88" s="166"/>
      <c r="CD88" s="166"/>
      <c r="CE88" s="166"/>
      <c r="CF88" s="166"/>
      <c r="CG88" s="166"/>
      <c r="CH88" s="166"/>
      <c r="CI88" s="166"/>
      <c r="CK88" s="107" t="s">
        <v>387</v>
      </c>
      <c r="CL88" s="166" t="str">
        <f t="shared" si="223"/>
        <v/>
      </c>
      <c r="CM88" s="166" t="str">
        <f t="shared" si="223"/>
        <v/>
      </c>
      <c r="CN88" s="166" t="str">
        <f t="shared" si="223"/>
        <v/>
      </c>
      <c r="CO88" s="166" t="str">
        <f t="shared" si="223"/>
        <v/>
      </c>
      <c r="CP88" s="166"/>
      <c r="CQ88" s="166"/>
      <c r="CR88" s="166"/>
      <c r="CS88" s="166"/>
      <c r="CT88" s="166" t="str">
        <f t="shared" si="224"/>
        <v/>
      </c>
      <c r="CU88" s="166" t="str">
        <f t="shared" si="224"/>
        <v/>
      </c>
      <c r="CV88" s="166" t="str">
        <f t="shared" si="224"/>
        <v/>
      </c>
      <c r="CW88" s="166" t="str">
        <f t="shared" si="224"/>
        <v/>
      </c>
      <c r="CX88" s="166" t="str">
        <f t="shared" si="224"/>
        <v/>
      </c>
      <c r="CY88" s="168" t="str">
        <f t="shared" si="224"/>
        <v/>
      </c>
      <c r="DA88" s="107"/>
      <c r="DB88" s="314"/>
      <c r="DC88" s="314"/>
      <c r="DD88" s="314"/>
      <c r="DE88" s="314"/>
      <c r="DF88" s="314"/>
      <c r="DG88" s="314"/>
      <c r="DH88" s="315"/>
      <c r="DI88" s="315"/>
      <c r="DJ88" s="315"/>
      <c r="DK88" s="315"/>
      <c r="DL88" s="315"/>
      <c r="DM88" s="315"/>
      <c r="DN88" s="315"/>
      <c r="DO88" s="168"/>
      <c r="DQ88" s="107"/>
      <c r="DR88" s="314">
        <v>0</v>
      </c>
      <c r="DS88" s="314">
        <v>0</v>
      </c>
      <c r="DT88" s="314">
        <v>0</v>
      </c>
      <c r="DU88" s="314">
        <v>0</v>
      </c>
      <c r="DV88" s="314">
        <v>0</v>
      </c>
      <c r="DW88" s="314">
        <v>0</v>
      </c>
      <c r="DX88" s="315"/>
      <c r="DY88" s="315"/>
      <c r="DZ88" s="315"/>
      <c r="EA88" s="315"/>
      <c r="EB88" s="315"/>
      <c r="EC88" s="315"/>
      <c r="ED88" s="315"/>
      <c r="EE88" s="168"/>
      <c r="EG88" s="107"/>
      <c r="EH88" s="314">
        <v>0</v>
      </c>
      <c r="EI88" s="314">
        <v>0</v>
      </c>
      <c r="EJ88" s="314">
        <v>0</v>
      </c>
      <c r="EK88" s="314">
        <v>0</v>
      </c>
      <c r="EL88" s="314">
        <v>0</v>
      </c>
      <c r="EM88" s="314">
        <v>0</v>
      </c>
      <c r="EN88" s="315"/>
      <c r="EO88" s="315"/>
      <c r="EP88" s="315"/>
      <c r="EQ88" s="315"/>
      <c r="ER88" s="315"/>
      <c r="ES88" s="315"/>
      <c r="ET88" s="315"/>
      <c r="EU88" s="168"/>
      <c r="EW88" s="164" t="s">
        <v>387</v>
      </c>
      <c r="EX88" s="316">
        <f t="shared" ref="EX88:EX99" si="229">INDEX($EH$87:$ET$99,EX$4,MATCH($EW88,$EW$7:$EW$19,0))</f>
        <v>0</v>
      </c>
      <c r="EY88" s="316">
        <f t="shared" si="225"/>
        <v>0</v>
      </c>
      <c r="EZ88" s="316">
        <f t="shared" si="225"/>
        <v>0</v>
      </c>
      <c r="FA88" s="316">
        <f t="shared" si="225"/>
        <v>0</v>
      </c>
      <c r="FB88" s="316">
        <f t="shared" si="225"/>
        <v>0</v>
      </c>
      <c r="FC88" s="316">
        <f t="shared" si="225"/>
        <v>0</v>
      </c>
      <c r="FD88" s="316">
        <f t="shared" si="225"/>
        <v>0</v>
      </c>
      <c r="FE88" s="316">
        <f t="shared" si="225"/>
        <v>0</v>
      </c>
      <c r="FF88" s="316"/>
      <c r="FG88" s="316">
        <f t="shared" si="225"/>
        <v>0</v>
      </c>
      <c r="FH88" s="316">
        <f t="shared" si="225"/>
        <v>0</v>
      </c>
      <c r="FI88" s="316">
        <f t="shared" si="225"/>
        <v>0</v>
      </c>
      <c r="FJ88" s="316">
        <f t="shared" si="225"/>
        <v>0</v>
      </c>
      <c r="FK88" s="316">
        <f t="shared" si="225"/>
        <v>0</v>
      </c>
      <c r="FL88" s="168"/>
    </row>
    <row r="89" spans="2:168" x14ac:dyDescent="0.25">
      <c r="B89" s="107" t="s">
        <v>388</v>
      </c>
      <c r="C89" s="294"/>
      <c r="D89" s="294"/>
      <c r="E89" s="160">
        <f>TripMode_input!D70</f>
        <v>518634.80859999999</v>
      </c>
      <c r="F89" s="160">
        <f>TripMode_input!E70</f>
        <v>2218.7144899999998</v>
      </c>
      <c r="G89" s="160">
        <f>TripMode_input!F70</f>
        <v>55977.961499999998</v>
      </c>
      <c r="H89" s="160">
        <f>TripMode_input!G70</f>
        <v>155.18768</v>
      </c>
      <c r="I89" s="294"/>
      <c r="J89" s="294"/>
      <c r="K89" s="160">
        <f>TripMode_input!J70+TripMode_input!K70</f>
        <v>3350.8159799999999</v>
      </c>
      <c r="L89" s="294"/>
      <c r="M89" s="294"/>
      <c r="N89" s="160">
        <f>TripMode_input!N70</f>
        <v>136.0624</v>
      </c>
      <c r="O89" s="294"/>
      <c r="P89" s="162">
        <f t="shared" si="215"/>
        <v>580473.55064999999</v>
      </c>
      <c r="R89">
        <f t="shared" si="226"/>
        <v>1.6363583004265225E-2</v>
      </c>
      <c r="S89">
        <f t="shared" si="227"/>
        <v>0</v>
      </c>
      <c r="T89">
        <f t="shared" si="228"/>
        <v>0</v>
      </c>
      <c r="Y89" s="107" t="s">
        <v>388</v>
      </c>
      <c r="Z89" s="294"/>
      <c r="AA89" s="294"/>
      <c r="AB89" s="160">
        <f>+E89</f>
        <v>518634.80859999999</v>
      </c>
      <c r="AC89" s="160">
        <f>+F89</f>
        <v>2218.7144899999998</v>
      </c>
      <c r="AD89" s="160">
        <f t="shared" si="217"/>
        <v>55977.961499999998</v>
      </c>
      <c r="AE89" s="160">
        <f t="shared" si="218"/>
        <v>155.18768</v>
      </c>
      <c r="AF89" s="294"/>
      <c r="AG89" s="294"/>
      <c r="AH89" s="160">
        <f>AH95*R89</f>
        <v>3536.9714846127704</v>
      </c>
      <c r="AI89" s="294"/>
      <c r="AJ89" s="294"/>
      <c r="AK89" s="160">
        <f>+N89</f>
        <v>136.0624</v>
      </c>
      <c r="AL89" s="294"/>
      <c r="AM89" s="162">
        <f t="shared" si="219"/>
        <v>580659.70615461282</v>
      </c>
      <c r="AO89" s="107" t="s">
        <v>388</v>
      </c>
      <c r="AP89" s="294">
        <f>TripMode_input!R70*Index!$B$2</f>
        <v>0</v>
      </c>
      <c r="AQ89" s="294">
        <f>TripMode_input!S70*Index!$B$2</f>
        <v>0</v>
      </c>
      <c r="AR89" s="160">
        <f>TripMode_input!T70*Index!$B$2</f>
        <v>777845</v>
      </c>
      <c r="AS89" s="160">
        <f>TripMode_input!U70*Index!$B$2</f>
        <v>20570</v>
      </c>
      <c r="AT89" s="160">
        <f>TripMode_input!V70*Index!$B$2</f>
        <v>88145</v>
      </c>
      <c r="AU89" s="160">
        <f>TripMode_input!W70*Index!$B$2</f>
        <v>2170</v>
      </c>
      <c r="AV89" s="294">
        <f>TripMode_input!X70*Index!$B$2</f>
        <v>0</v>
      </c>
      <c r="AW89" s="294">
        <f>TripMode_input!Y70*Index!$B$2</f>
        <v>0</v>
      </c>
      <c r="AX89" s="160">
        <f>TripMode_input!AA70*Index!$B$2</f>
        <v>8135</v>
      </c>
      <c r="AY89" s="160">
        <f>TripMode_input!AB70*Index!$B$2</f>
        <v>0</v>
      </c>
      <c r="AZ89" s="160">
        <f>TripMode_input!AC70*Index!$B$2</f>
        <v>0</v>
      </c>
      <c r="BA89" s="160">
        <f>TripMode_input!AD70*Index!$B$2</f>
        <v>2775</v>
      </c>
      <c r="BB89" s="294">
        <f>TripMode_input!AE70*Index!$B$2</f>
        <v>0</v>
      </c>
      <c r="BC89" s="162">
        <f t="shared" si="220"/>
        <v>899640</v>
      </c>
      <c r="BE89" s="107" t="s">
        <v>576</v>
      </c>
      <c r="BF89" s="166">
        <f>IF(Z$100+AA$100&gt;0,SUM(Z89:AA90)/(Z$100+AA$100),"")</f>
        <v>0</v>
      </c>
      <c r="BG89" s="166"/>
      <c r="BH89" s="166">
        <f>IF(AB$100+AC$100&gt;0,SUM(AB89:AC90)/(AB$100+AC$100),"")</f>
        <v>0.72069753124539815</v>
      </c>
      <c r="BI89" s="166"/>
      <c r="BJ89" s="166">
        <f>IF(AD$100+AE$100&gt;0,SUM(AD89:AE90)/(AD$100+AE$100),"")</f>
        <v>0.17459942840302758</v>
      </c>
      <c r="BK89" s="166"/>
      <c r="BL89" s="166">
        <f t="shared" ref="BL89:BS89" si="230">IF(AF$100&gt;0,(AF89+AF90)/AF$100,"")</f>
        <v>0</v>
      </c>
      <c r="BM89" s="166">
        <f t="shared" si="230"/>
        <v>0</v>
      </c>
      <c r="BN89" s="166">
        <f t="shared" si="230"/>
        <v>1.3379651555355551E-2</v>
      </c>
      <c r="BO89" s="166">
        <f t="shared" si="230"/>
        <v>0</v>
      </c>
      <c r="BP89" s="166">
        <f t="shared" si="230"/>
        <v>0</v>
      </c>
      <c r="BQ89" s="166">
        <f t="shared" si="230"/>
        <v>1.4582803004444918E-2</v>
      </c>
      <c r="BR89" s="166">
        <f t="shared" si="230"/>
        <v>0</v>
      </c>
      <c r="BS89" s="166">
        <f t="shared" si="230"/>
        <v>0.10911570304379099</v>
      </c>
      <c r="BU89" s="107" t="s">
        <v>576</v>
      </c>
      <c r="BV89" s="166">
        <f>IF(AP$100+AQ$100&gt;0,SUM(AP89:AQ90)/(AP$100+AQ$100),"")</f>
        <v>0</v>
      </c>
      <c r="BW89" s="166"/>
      <c r="BX89" s="166">
        <f>IF(AR$100+AS$100&gt;0,SUM(AR89:AS90)/(AR$100+AS$100),"")</f>
        <v>0.79035334637506527</v>
      </c>
      <c r="BY89" s="166"/>
      <c r="BZ89" s="166">
        <f>IF(AT$100+AU$100&gt;0,SUM(AT89:AU90)/(AT$100+AU$100),"")</f>
        <v>0.21889546304122667</v>
      </c>
      <c r="CA89" s="166"/>
      <c r="CB89" s="166">
        <f t="shared" ref="CB89:CI89" si="231">IF(AV$100&gt;0,(AV89+AV90)/AV$100,"")</f>
        <v>0</v>
      </c>
      <c r="CC89" s="166">
        <f t="shared" si="231"/>
        <v>0</v>
      </c>
      <c r="CD89" s="166">
        <f t="shared" si="231"/>
        <v>4.7519703291608713E-2</v>
      </c>
      <c r="CE89" s="166">
        <f t="shared" si="231"/>
        <v>0</v>
      </c>
      <c r="CF89" s="166">
        <f t="shared" si="231"/>
        <v>0</v>
      </c>
      <c r="CG89" s="166">
        <f t="shared" si="231"/>
        <v>7.8155872667398457E-2</v>
      </c>
      <c r="CH89" s="166" t="str">
        <f t="shared" si="231"/>
        <v/>
      </c>
      <c r="CI89" s="166">
        <f t="shared" si="231"/>
        <v>0.12130384306728505</v>
      </c>
      <c r="CK89" s="107" t="s">
        <v>388</v>
      </c>
      <c r="CL89" s="166" t="str">
        <f t="shared" si="223"/>
        <v/>
      </c>
      <c r="CM89" s="166" t="str">
        <f t="shared" si="223"/>
        <v/>
      </c>
      <c r="CN89" s="166">
        <f t="shared" si="223"/>
        <v>9.6650553262335584E-2</v>
      </c>
      <c r="CO89" s="166" t="str">
        <f t="shared" si="223"/>
        <v/>
      </c>
      <c r="CP89" s="166"/>
      <c r="CQ89" s="166"/>
      <c r="CR89" s="166"/>
      <c r="CS89" s="166"/>
      <c r="CT89" s="166">
        <f t="shared" si="224"/>
        <v>2.5516398237282738</v>
      </c>
      <c r="CU89" s="166" t="str">
        <f t="shared" si="224"/>
        <v/>
      </c>
      <c r="CV89" s="166" t="str">
        <f t="shared" si="224"/>
        <v/>
      </c>
      <c r="CW89" s="166">
        <f t="shared" si="224"/>
        <v>4.3594547388164067</v>
      </c>
      <c r="CX89" s="166" t="str">
        <f t="shared" si="224"/>
        <v/>
      </c>
      <c r="CY89" s="168">
        <f t="shared" si="224"/>
        <v>0.11169923011541825</v>
      </c>
      <c r="DA89" s="107" t="s">
        <v>576</v>
      </c>
      <c r="DB89" s="315"/>
      <c r="DC89" s="315"/>
      <c r="DD89" s="314">
        <f>IFERROR(IF(BX89&gt;0,LN(BH89/BX89),0),0)</f>
        <v>-9.2260582927368384E-2</v>
      </c>
      <c r="DE89" s="314"/>
      <c r="DF89" s="314">
        <f>IFERROR(IF(BZ89&gt;0,LN(BJ89/BZ89),0),0)</f>
        <v>-0.22609990849442552</v>
      </c>
      <c r="DG89" s="314"/>
      <c r="DH89" s="315"/>
      <c r="DI89" s="315"/>
      <c r="DJ89" s="314">
        <f>IFERROR(IF(CD89&gt;0,LN(BN89/CD89),0),0)</f>
        <v>-1.2674094190110967</v>
      </c>
      <c r="DK89" s="315"/>
      <c r="DL89" s="315"/>
      <c r="DM89" s="314">
        <f>IFERROR(IF(CG89&gt;0,LN(BQ89/CG89),0),0)</f>
        <v>-1.6788622420753239</v>
      </c>
      <c r="DN89" s="315"/>
      <c r="DO89" s="168"/>
      <c r="DQ89" s="107" t="s">
        <v>576</v>
      </c>
      <c r="DR89" s="315"/>
      <c r="DS89" s="315"/>
      <c r="DT89" s="314">
        <v>-1.8835840083704007</v>
      </c>
      <c r="DU89" s="314">
        <v>-1.8835840083704007</v>
      </c>
      <c r="DV89" s="314">
        <v>-0.89362779194489517</v>
      </c>
      <c r="DW89" s="314">
        <v>-0.89362779194489517</v>
      </c>
      <c r="DX89" s="315"/>
      <c r="DY89" s="315"/>
      <c r="DZ89" s="314">
        <v>-6.1906718160876686</v>
      </c>
      <c r="EA89" s="315"/>
      <c r="EB89" s="315"/>
      <c r="EC89" s="314">
        <v>-9.5983386638458263</v>
      </c>
      <c r="ED89" s="315"/>
      <c r="EE89" s="168"/>
      <c r="EG89" s="107" t="s">
        <v>576</v>
      </c>
      <c r="EH89" s="315"/>
      <c r="EI89" s="315"/>
      <c r="EJ89" s="314">
        <f>DT89+(DD89-DD$87)*$EI$1</f>
        <v>-2.2841877266455648</v>
      </c>
      <c r="EK89" s="314">
        <f>DT89+(DD89-DD$87)*$EI$1</f>
        <v>-2.2841877266455648</v>
      </c>
      <c r="EL89" s="314">
        <f>DV896+(DF89-DF$87)*$EI$1</f>
        <v>-1.0761101972708105</v>
      </c>
      <c r="EM89" s="314">
        <f>DV896+(DF89-DF$87)*$EI$1</f>
        <v>-1.0761101972708105</v>
      </c>
      <c r="EN89" s="315"/>
      <c r="EO89" s="315"/>
      <c r="EP89" s="314">
        <f>DZ89+(DJ89-DJ$95)*$EI$1</f>
        <v>-7.6223472491194499</v>
      </c>
      <c r="EQ89" s="315"/>
      <c r="ER89" s="315"/>
      <c r="ES89" s="314">
        <f>EC89+(DM89-DM$98)*$EI$1</f>
        <v>-11.482156800692071</v>
      </c>
      <c r="ET89" s="315"/>
      <c r="EU89" s="168"/>
      <c r="EW89" s="164" t="s">
        <v>388</v>
      </c>
      <c r="EX89" s="316">
        <f t="shared" si="229"/>
        <v>0</v>
      </c>
      <c r="EY89" s="316">
        <f t="shared" si="225"/>
        <v>0</v>
      </c>
      <c r="EZ89" s="316">
        <f t="shared" si="225"/>
        <v>-2.2841877266455648</v>
      </c>
      <c r="FA89" s="316">
        <f t="shared" si="225"/>
        <v>-2.2841877266455648</v>
      </c>
      <c r="FB89" s="316">
        <f t="shared" si="225"/>
        <v>0</v>
      </c>
      <c r="FC89" s="316">
        <f t="shared" si="225"/>
        <v>0</v>
      </c>
      <c r="FD89" s="316">
        <f t="shared" si="225"/>
        <v>0.74796695454878537</v>
      </c>
      <c r="FE89" s="316">
        <f t="shared" si="225"/>
        <v>0</v>
      </c>
      <c r="FF89" s="316"/>
      <c r="FG89" s="316">
        <f t="shared" si="225"/>
        <v>0</v>
      </c>
      <c r="FH89" s="316">
        <f t="shared" si="225"/>
        <v>0</v>
      </c>
      <c r="FI89" s="316">
        <f t="shared" si="225"/>
        <v>0</v>
      </c>
      <c r="FJ89" s="316">
        <f t="shared" si="225"/>
        <v>0</v>
      </c>
      <c r="FK89" s="316">
        <f t="shared" si="225"/>
        <v>0</v>
      </c>
      <c r="FL89" s="168"/>
    </row>
    <row r="90" spans="2:168" x14ac:dyDescent="0.25">
      <c r="B90" s="107" t="s">
        <v>389</v>
      </c>
      <c r="C90" s="294"/>
      <c r="D90" s="294"/>
      <c r="E90" s="160">
        <f>TripMode_input!D71</f>
        <v>0</v>
      </c>
      <c r="F90" s="160">
        <f>TripMode_input!E71</f>
        <v>1561.1919800000001</v>
      </c>
      <c r="G90" s="160">
        <f>TripMode_input!F71</f>
        <v>0</v>
      </c>
      <c r="H90" s="160">
        <f>TripMode_input!G71</f>
        <v>77.59384</v>
      </c>
      <c r="I90" s="294"/>
      <c r="J90" s="294"/>
      <c r="K90" s="160">
        <f>TripMode_input!J71+TripMode_input!K71</f>
        <v>0</v>
      </c>
      <c r="L90" s="294"/>
      <c r="M90" s="294"/>
      <c r="N90" s="160">
        <f>TripMode_input!N71</f>
        <v>217.97167999999999</v>
      </c>
      <c r="O90" s="294"/>
      <c r="P90" s="162">
        <f t="shared" si="215"/>
        <v>1856.7575000000002</v>
      </c>
      <c r="R90">
        <f t="shared" si="226"/>
        <v>0</v>
      </c>
      <c r="S90">
        <f t="shared" si="227"/>
        <v>0</v>
      </c>
      <c r="T90">
        <f t="shared" si="228"/>
        <v>0</v>
      </c>
      <c r="Y90" s="107" t="s">
        <v>389</v>
      </c>
      <c r="Z90" s="294"/>
      <c r="AA90" s="294"/>
      <c r="AB90" s="160">
        <f>+E90</f>
        <v>0</v>
      </c>
      <c r="AC90" s="160">
        <f>+F90</f>
        <v>1561.1919800000001</v>
      </c>
      <c r="AD90" s="160">
        <f t="shared" si="217"/>
        <v>0</v>
      </c>
      <c r="AE90" s="160">
        <f t="shared" si="218"/>
        <v>77.59384</v>
      </c>
      <c r="AF90" s="294"/>
      <c r="AG90" s="294"/>
      <c r="AH90" s="160">
        <f>AH95*R90</f>
        <v>0</v>
      </c>
      <c r="AI90" s="294"/>
      <c r="AJ90" s="294"/>
      <c r="AK90" s="160">
        <f>+N90</f>
        <v>217.97167999999999</v>
      </c>
      <c r="AL90" s="294"/>
      <c r="AM90" s="162">
        <f t="shared" si="219"/>
        <v>1856.7575000000002</v>
      </c>
      <c r="AO90" s="107" t="s">
        <v>389</v>
      </c>
      <c r="AP90" s="294">
        <f>TripMode_input!R71*Index!$B$2</f>
        <v>0</v>
      </c>
      <c r="AQ90" s="294">
        <f>TripMode_input!S71*Index!$B$2</f>
        <v>0</v>
      </c>
      <c r="AR90" s="160">
        <f>TripMode_input!T71*Index!$B$2</f>
        <v>8535</v>
      </c>
      <c r="AS90" s="160">
        <f>TripMode_input!U71*Index!$B$2</f>
        <v>3095</v>
      </c>
      <c r="AT90" s="160">
        <f>TripMode_input!V71*Index!$B$2</f>
        <v>1155</v>
      </c>
      <c r="AU90" s="160">
        <f>TripMode_input!W71*Index!$B$2</f>
        <v>465</v>
      </c>
      <c r="AV90" s="294">
        <f>TripMode_input!X71*Index!$B$2</f>
        <v>0</v>
      </c>
      <c r="AW90" s="294">
        <f>TripMode_input!Y71*Index!$B$2</f>
        <v>0</v>
      </c>
      <c r="AX90" s="160">
        <f>TripMode_input!AA71*Index!$B$2</f>
        <v>65</v>
      </c>
      <c r="AY90" s="160">
        <f>TripMode_input!AB71*Index!$B$2</f>
        <v>0</v>
      </c>
      <c r="AZ90" s="160">
        <f>TripMode_input!AC71*Index!$B$2</f>
        <v>0</v>
      </c>
      <c r="BA90" s="160">
        <f>TripMode_input!AD71*Index!$B$2</f>
        <v>785</v>
      </c>
      <c r="BB90" s="294">
        <f>TripMode_input!AE71*Index!$B$2</f>
        <v>0</v>
      </c>
      <c r="BC90" s="162">
        <f t="shared" si="220"/>
        <v>14100</v>
      </c>
      <c r="BE90" s="107"/>
      <c r="BF90" s="166"/>
      <c r="BG90" s="166"/>
      <c r="BH90" s="166"/>
      <c r="BI90" s="166"/>
      <c r="BJ90" s="166"/>
      <c r="BK90" s="166"/>
      <c r="BL90" s="166"/>
      <c r="BM90" s="166"/>
      <c r="BN90" s="166"/>
      <c r="BO90" s="166"/>
      <c r="BP90" s="166"/>
      <c r="BQ90" s="166"/>
      <c r="BR90" s="166"/>
      <c r="BS90" s="166"/>
      <c r="BU90" s="107"/>
      <c r="BV90" s="166"/>
      <c r="BW90" s="166"/>
      <c r="BX90" s="166"/>
      <c r="BY90" s="166"/>
      <c r="BZ90" s="166"/>
      <c r="CA90" s="166"/>
      <c r="CB90" s="166"/>
      <c r="CC90" s="166"/>
      <c r="CD90" s="166"/>
      <c r="CE90" s="166"/>
      <c r="CF90" s="166"/>
      <c r="CG90" s="166"/>
      <c r="CH90" s="166"/>
      <c r="CI90" s="166"/>
      <c r="CK90" s="107" t="s">
        <v>389</v>
      </c>
      <c r="CL90" s="166" t="str">
        <f t="shared" si="223"/>
        <v/>
      </c>
      <c r="CM90" s="166" t="str">
        <f t="shared" si="223"/>
        <v/>
      </c>
      <c r="CN90" s="166" t="str">
        <f t="shared" si="223"/>
        <v/>
      </c>
      <c r="CO90" s="166" t="str">
        <f t="shared" si="223"/>
        <v/>
      </c>
      <c r="CP90" s="166"/>
      <c r="CQ90" s="166"/>
      <c r="CR90" s="166"/>
      <c r="CS90" s="166"/>
      <c r="CT90" s="166" t="str">
        <f t="shared" si="224"/>
        <v/>
      </c>
      <c r="CU90" s="166" t="str">
        <f t="shared" si="224"/>
        <v/>
      </c>
      <c r="CV90" s="166" t="str">
        <f t="shared" si="224"/>
        <v/>
      </c>
      <c r="CW90" s="166" t="str">
        <f t="shared" si="224"/>
        <v/>
      </c>
      <c r="CX90" s="166" t="str">
        <f t="shared" si="224"/>
        <v/>
      </c>
      <c r="CY90" s="168" t="str">
        <f t="shared" si="224"/>
        <v/>
      </c>
      <c r="DA90" s="107"/>
      <c r="DB90" s="315"/>
      <c r="DC90" s="315"/>
      <c r="DD90" s="314"/>
      <c r="DE90" s="314"/>
      <c r="DF90" s="314"/>
      <c r="DG90" s="314"/>
      <c r="DH90" s="315"/>
      <c r="DI90" s="315"/>
      <c r="DJ90" s="314"/>
      <c r="DK90" s="315"/>
      <c r="DL90" s="315"/>
      <c r="DM90" s="314"/>
      <c r="DN90" s="315"/>
      <c r="DO90" s="168"/>
      <c r="DQ90" s="107"/>
      <c r="DR90" s="315"/>
      <c r="DS90" s="315"/>
      <c r="DT90" s="314">
        <v>-1.8835840083704007</v>
      </c>
      <c r="DU90" s="314">
        <v>-1.8835840083704007</v>
      </c>
      <c r="DV90" s="314">
        <v>-0.89362779194489517</v>
      </c>
      <c r="DW90" s="314">
        <v>-0.89362779194489517</v>
      </c>
      <c r="DX90" s="315"/>
      <c r="DY90" s="315"/>
      <c r="DZ90" s="314">
        <v>-6.1906718160876686</v>
      </c>
      <c r="EA90" s="315"/>
      <c r="EB90" s="315"/>
      <c r="EC90" s="314">
        <v>-9.5983386638458263</v>
      </c>
      <c r="ED90" s="315"/>
      <c r="EE90" s="168"/>
      <c r="EG90" s="107"/>
      <c r="EH90" s="315"/>
      <c r="EI90" s="315"/>
      <c r="EJ90" s="314">
        <f>DT89+(DD89-DD$87)*$EI$1</f>
        <v>-2.2841877266455648</v>
      </c>
      <c r="EK90" s="314">
        <f>DT89+(DD89-DD$87)*$EI$1</f>
        <v>-2.2841877266455648</v>
      </c>
      <c r="EL90" s="314">
        <f>DV896+(DF89-DF$87)*$EI$1</f>
        <v>-1.0761101972708105</v>
      </c>
      <c r="EM90" s="314">
        <f>DV896+(DF89-DF$87)*$EI$1</f>
        <v>-1.0761101972708105</v>
      </c>
      <c r="EN90" s="315"/>
      <c r="EO90" s="315"/>
      <c r="EP90" s="314">
        <f>DZ89+(DJ89-DJ$95)*$EI$1</f>
        <v>-7.6223472491194499</v>
      </c>
      <c r="EQ90" s="315"/>
      <c r="ER90" s="315"/>
      <c r="ES90" s="314">
        <f>EC89+(DM89-DM$98)*$EI$1</f>
        <v>-11.482156800692071</v>
      </c>
      <c r="ET90" s="315"/>
      <c r="EU90" s="168"/>
      <c r="EW90" s="164" t="s">
        <v>389</v>
      </c>
      <c r="EX90" s="316">
        <f t="shared" si="229"/>
        <v>0</v>
      </c>
      <c r="EY90" s="316">
        <f t="shared" si="225"/>
        <v>0</v>
      </c>
      <c r="EZ90" s="316">
        <f t="shared" si="225"/>
        <v>-2.2841877266455648</v>
      </c>
      <c r="FA90" s="316">
        <f t="shared" si="225"/>
        <v>-2.2841877266455648</v>
      </c>
      <c r="FB90" s="316">
        <f t="shared" si="225"/>
        <v>0</v>
      </c>
      <c r="FC90" s="316">
        <f t="shared" si="225"/>
        <v>0</v>
      </c>
      <c r="FD90" s="316">
        <f t="shared" si="225"/>
        <v>0.74796695454878537</v>
      </c>
      <c r="FE90" s="316">
        <f t="shared" si="225"/>
        <v>0</v>
      </c>
      <c r="FF90" s="316"/>
      <c r="FG90" s="316">
        <f t="shared" si="225"/>
        <v>0</v>
      </c>
      <c r="FH90" s="316">
        <f t="shared" si="225"/>
        <v>0</v>
      </c>
      <c r="FI90" s="316">
        <f t="shared" si="225"/>
        <v>0</v>
      </c>
      <c r="FJ90" s="316">
        <f t="shared" si="225"/>
        <v>0</v>
      </c>
      <c r="FK90" s="316">
        <f t="shared" si="225"/>
        <v>0</v>
      </c>
      <c r="FL90" s="168"/>
    </row>
    <row r="91" spans="2:168" x14ac:dyDescent="0.25">
      <c r="B91" s="107" t="s">
        <v>390</v>
      </c>
      <c r="C91" s="294"/>
      <c r="D91" s="294"/>
      <c r="E91" s="294"/>
      <c r="F91" s="294"/>
      <c r="G91" s="160">
        <f>TripMode_input!F72</f>
        <v>198284.16229000001</v>
      </c>
      <c r="H91" s="160">
        <f>TripMode_input!G72</f>
        <v>320.13724000000002</v>
      </c>
      <c r="I91" s="294"/>
      <c r="J91" s="294"/>
      <c r="K91" s="160">
        <f>TripMode_input!J72+TripMode_input!K72</f>
        <v>0</v>
      </c>
      <c r="L91" s="294"/>
      <c r="M91" s="294"/>
      <c r="N91" s="160">
        <f>TripMode_input!N72</f>
        <v>177.24843999999999</v>
      </c>
      <c r="O91" s="294"/>
      <c r="P91" s="162">
        <f t="shared" si="215"/>
        <v>198781.54797000001</v>
      </c>
      <c r="R91">
        <f t="shared" si="226"/>
        <v>0</v>
      </c>
      <c r="S91">
        <f t="shared" si="227"/>
        <v>0</v>
      </c>
      <c r="T91">
        <f t="shared" si="228"/>
        <v>0</v>
      </c>
      <c r="Y91" s="107" t="s">
        <v>390</v>
      </c>
      <c r="Z91" s="294"/>
      <c r="AA91" s="294"/>
      <c r="AB91" s="294"/>
      <c r="AC91" s="294"/>
      <c r="AD91" s="160">
        <f t="shared" si="217"/>
        <v>198284.16229000001</v>
      </c>
      <c r="AE91" s="160">
        <f t="shared" si="218"/>
        <v>320.13724000000002</v>
      </c>
      <c r="AF91" s="294"/>
      <c r="AG91" s="294"/>
      <c r="AH91" s="160">
        <f>AH95*R91</f>
        <v>0</v>
      </c>
      <c r="AI91" s="294"/>
      <c r="AJ91" s="294"/>
      <c r="AK91" s="160">
        <f>+N91</f>
        <v>177.24843999999999</v>
      </c>
      <c r="AL91" s="294"/>
      <c r="AM91" s="162">
        <f t="shared" si="219"/>
        <v>198781.54797000001</v>
      </c>
      <c r="AO91" s="107" t="s">
        <v>390</v>
      </c>
      <c r="AP91" s="294">
        <f>TripMode_input!R72*Index!$B$2</f>
        <v>0</v>
      </c>
      <c r="AQ91" s="294">
        <f>TripMode_input!S72*Index!$B$2</f>
        <v>0</v>
      </c>
      <c r="AR91" s="294">
        <f>TripMode_input!T72*Index!$B$2</f>
        <v>0</v>
      </c>
      <c r="AS91" s="294">
        <f>TripMode_input!U72*Index!$B$2</f>
        <v>0</v>
      </c>
      <c r="AT91" s="160">
        <f>TripMode_input!V72*Index!$B$2</f>
        <v>276730</v>
      </c>
      <c r="AU91" s="160">
        <f>TripMode_input!W72*Index!$B$2</f>
        <v>6740</v>
      </c>
      <c r="AV91" s="294">
        <f>TripMode_input!X72*Index!$B$2</f>
        <v>0</v>
      </c>
      <c r="AW91" s="294">
        <f>TripMode_input!Y72*Index!$B$2</f>
        <v>0</v>
      </c>
      <c r="AX91" s="160">
        <f>TripMode_input!AA72*Index!$B$2</f>
        <v>2870</v>
      </c>
      <c r="AY91" s="160">
        <f>TripMode_input!AB72*Index!$B$2</f>
        <v>0</v>
      </c>
      <c r="AZ91" s="160">
        <f>TripMode_input!AC72*Index!$B$2</f>
        <v>0</v>
      </c>
      <c r="BA91" s="160">
        <f>TripMode_input!AD72*Index!$B$2</f>
        <v>405</v>
      </c>
      <c r="BB91" s="294">
        <f>TripMode_input!AE72*Index!$B$2</f>
        <v>0</v>
      </c>
      <c r="BC91" s="162">
        <f t="shared" si="220"/>
        <v>286745</v>
      </c>
      <c r="BE91" s="107" t="s">
        <v>577</v>
      </c>
      <c r="BF91" s="166">
        <f>IF(Z$100+AA$100&gt;0,SUM(Z91:AA92)/(Z$100+AA$100),"")</f>
        <v>0</v>
      </c>
      <c r="BG91" s="166"/>
      <c r="BH91" s="166">
        <f>IF(AB$100+AC$100&gt;0,SUM(AB91:AC92)/(AB$100+AC$100),"")</f>
        <v>0</v>
      </c>
      <c r="BI91" s="166"/>
      <c r="BJ91" s="166">
        <f>IF(AD$100+AE$100&gt;0,SUM(AD91:AE92)/(AD$100+AE$100),"")</f>
        <v>0.61840301669663877</v>
      </c>
      <c r="BK91" s="166"/>
      <c r="BL91" s="166">
        <f t="shared" ref="BL91:BS91" si="232">IF(AF$100&gt;0,(AF91+AF92)/AF$100,"")</f>
        <v>0</v>
      </c>
      <c r="BM91" s="166">
        <f t="shared" si="232"/>
        <v>0</v>
      </c>
      <c r="BN91" s="166">
        <f t="shared" si="232"/>
        <v>1.4135883040541184E-3</v>
      </c>
      <c r="BO91" s="166">
        <f t="shared" si="232"/>
        <v>0</v>
      </c>
      <c r="BP91" s="166">
        <f t="shared" si="232"/>
        <v>0</v>
      </c>
      <c r="BQ91" s="166">
        <f t="shared" si="232"/>
        <v>7.300932959237073E-3</v>
      </c>
      <c r="BR91" s="166">
        <f t="shared" si="232"/>
        <v>0</v>
      </c>
      <c r="BS91" s="166">
        <f t="shared" si="232"/>
        <v>3.7396186349108143E-2</v>
      </c>
      <c r="BU91" s="107" t="s">
        <v>577</v>
      </c>
      <c r="BV91" s="166">
        <f>IF(AP$100+AQ$100&gt;0,SUM(AP91:AQ92)/(AP$100+AQ$100),"")</f>
        <v>0</v>
      </c>
      <c r="BW91" s="166"/>
      <c r="BX91" s="166">
        <f>IF(AR$100+AS$100&gt;0,SUM(AR91:AS92)/(AR$100+AS$100),"")</f>
        <v>0</v>
      </c>
      <c r="BY91" s="166"/>
      <c r="BZ91" s="166">
        <f>IF(AT$100+AU$100&gt;0,SUM(AT91:AU92)/(AT$100+AU$100),"")</f>
        <v>0.68665103155989948</v>
      </c>
      <c r="CA91" s="166"/>
      <c r="CB91" s="166">
        <f t="shared" ref="CB91:CI91" si="233">IF(AV$100&gt;0,(AV91+AV92)/AV$100,"")</f>
        <v>0</v>
      </c>
      <c r="CC91" s="166">
        <f t="shared" si="233"/>
        <v>0</v>
      </c>
      <c r="CD91" s="166">
        <f t="shared" si="233"/>
        <v>1.671882243857209E-2</v>
      </c>
      <c r="CE91" s="166">
        <f t="shared" si="233"/>
        <v>0</v>
      </c>
      <c r="CF91" s="166">
        <f t="shared" si="233"/>
        <v>0</v>
      </c>
      <c r="CG91" s="166">
        <f t="shared" si="233"/>
        <v>1.1416026344676179E-2</v>
      </c>
      <c r="CH91" s="166" t="str">
        <f t="shared" si="233"/>
        <v/>
      </c>
      <c r="CI91" s="166">
        <f t="shared" si="233"/>
        <v>3.8737337631950489E-2</v>
      </c>
      <c r="CK91" s="107" t="s">
        <v>390</v>
      </c>
      <c r="CL91" s="166"/>
      <c r="CM91" s="166"/>
      <c r="CN91" s="166"/>
      <c r="CO91" s="166"/>
      <c r="CP91" s="166"/>
      <c r="CQ91" s="166"/>
      <c r="CR91" s="166"/>
      <c r="CS91" s="166"/>
      <c r="CT91" s="166"/>
      <c r="CU91" s="166"/>
      <c r="CV91" s="166"/>
      <c r="CW91" s="166"/>
      <c r="CX91" s="166"/>
      <c r="CY91" s="168"/>
      <c r="DA91" s="107" t="s">
        <v>577</v>
      </c>
      <c r="DB91" s="315"/>
      <c r="DC91" s="315"/>
      <c r="DD91" s="315"/>
      <c r="DE91" s="315"/>
      <c r="DF91" s="314">
        <f>IFERROR(IF(BZ91&gt;0,LN(BJ91/BZ91),0),0)</f>
        <v>-0.10468582779329347</v>
      </c>
      <c r="DG91" s="314"/>
      <c r="DH91" s="315"/>
      <c r="DI91" s="315"/>
      <c r="DJ91" s="314">
        <f>IFERROR(IF(CD91&gt;0,LN(BN91/CD91),0),0)</f>
        <v>-2.4704038087444768</v>
      </c>
      <c r="DK91" s="315"/>
      <c r="DL91" s="315"/>
      <c r="DM91" s="314">
        <f>IFERROR(IF(CG91&gt;0,LN(BQ91/CG91),0),0)</f>
        <v>-0.44701604524600569</v>
      </c>
      <c r="DN91" s="315"/>
      <c r="DO91" s="168"/>
      <c r="DQ91" s="107" t="s">
        <v>577</v>
      </c>
      <c r="DR91" s="315"/>
      <c r="DS91" s="315"/>
      <c r="DT91" s="315"/>
      <c r="DU91" s="315"/>
      <c r="DV91" s="314">
        <v>-0.60237844733355073</v>
      </c>
      <c r="DW91" s="314">
        <v>-0.60237844733355073</v>
      </c>
      <c r="DX91" s="315"/>
      <c r="DY91" s="315"/>
      <c r="DZ91" s="314">
        <v>-10.829859721452454</v>
      </c>
      <c r="EA91" s="315"/>
      <c r="EB91" s="315"/>
      <c r="EC91" s="314">
        <v>-5.821634030417866</v>
      </c>
      <c r="ED91" s="315"/>
      <c r="EE91" s="168"/>
      <c r="EG91" s="107" t="s">
        <v>577</v>
      </c>
      <c r="EH91" s="315"/>
      <c r="EI91" s="315"/>
      <c r="EJ91" s="315"/>
      <c r="EK91" s="315"/>
      <c r="EL91" s="314">
        <f>DV898+(DF91-DF$87)*$EI$1</f>
        <v>-0.95469611656967845</v>
      </c>
      <c r="EM91" s="314">
        <f>DV898+(DF91-DF$87)*$EI$1</f>
        <v>-0.95469611656967845</v>
      </c>
      <c r="EN91" s="315"/>
      <c r="EO91" s="315"/>
      <c r="EP91" s="314">
        <f>DZ91+(DJ91-DJ$95)*$EI$1</f>
        <v>-13.464529544217616</v>
      </c>
      <c r="EQ91" s="315"/>
      <c r="ER91" s="315"/>
      <c r="ES91" s="314">
        <f>EC91+(DM91-DM$98)*$EI$1</f>
        <v>-6.4736059704347912</v>
      </c>
      <c r="ET91" s="315"/>
      <c r="EU91" s="168"/>
      <c r="EW91" s="164" t="s">
        <v>390</v>
      </c>
      <c r="EX91" s="316">
        <f t="shared" si="229"/>
        <v>0</v>
      </c>
      <c r="EY91" s="316">
        <f t="shared" si="225"/>
        <v>0</v>
      </c>
      <c r="EZ91" s="316">
        <f t="shared" si="225"/>
        <v>-1.0761101972708105</v>
      </c>
      <c r="FA91" s="316">
        <f t="shared" si="225"/>
        <v>-1.0761101972708105</v>
      </c>
      <c r="FB91" s="316">
        <f t="shared" si="225"/>
        <v>-0.95469611656967845</v>
      </c>
      <c r="FC91" s="316">
        <f t="shared" si="225"/>
        <v>-0.95469611656967845</v>
      </c>
      <c r="FD91" s="316">
        <f t="shared" si="225"/>
        <v>-0.6417608898594902</v>
      </c>
      <c r="FE91" s="316">
        <f t="shared" si="225"/>
        <v>0</v>
      </c>
      <c r="FF91" s="316"/>
      <c r="FG91" s="316">
        <f t="shared" si="225"/>
        <v>0</v>
      </c>
      <c r="FH91" s="316">
        <f t="shared" si="225"/>
        <v>0</v>
      </c>
      <c r="FI91" s="316">
        <f t="shared" si="225"/>
        <v>0</v>
      </c>
      <c r="FJ91" s="316">
        <f t="shared" si="225"/>
        <v>0</v>
      </c>
      <c r="FK91" s="316">
        <f t="shared" si="225"/>
        <v>0</v>
      </c>
      <c r="FL91" s="168"/>
    </row>
    <row r="92" spans="2:168" x14ac:dyDescent="0.25">
      <c r="B92" s="107" t="s">
        <v>391</v>
      </c>
      <c r="C92" s="294"/>
      <c r="D92" s="294"/>
      <c r="E92" s="294"/>
      <c r="F92" s="294"/>
      <c r="G92" s="160">
        <f>TripMode_input!F73</f>
        <v>0</v>
      </c>
      <c r="H92" s="160">
        <f>TripMode_input!G73</f>
        <v>485.08679999999998</v>
      </c>
      <c r="I92" s="294"/>
      <c r="J92" s="294"/>
      <c r="K92" s="160">
        <f>TripMode_input!J73+TripMode_input!K73</f>
        <v>354.02075000000002</v>
      </c>
      <c r="L92" s="294"/>
      <c r="M92" s="294"/>
      <c r="N92" s="160">
        <f>TripMode_input!N73</f>
        <v>0</v>
      </c>
      <c r="O92" s="294"/>
      <c r="P92" s="162">
        <f t="shared" si="215"/>
        <v>839.10754999999995</v>
      </c>
      <c r="R92">
        <f t="shared" si="226"/>
        <v>1.7288469323395159E-3</v>
      </c>
      <c r="S92">
        <f t="shared" si="227"/>
        <v>0</v>
      </c>
      <c r="T92">
        <f t="shared" si="228"/>
        <v>0</v>
      </c>
      <c r="Y92" s="107" t="s">
        <v>391</v>
      </c>
      <c r="Z92" s="294"/>
      <c r="AA92" s="294"/>
      <c r="AB92" s="294"/>
      <c r="AC92" s="294"/>
      <c r="AD92" s="160">
        <f t="shared" si="217"/>
        <v>0</v>
      </c>
      <c r="AE92" s="160">
        <f t="shared" si="218"/>
        <v>485.08679999999998</v>
      </c>
      <c r="AF92" s="294"/>
      <c r="AG92" s="294"/>
      <c r="AH92" s="160">
        <f>AH95*R92</f>
        <v>373.68847026664429</v>
      </c>
      <c r="AI92" s="294"/>
      <c r="AJ92" s="294"/>
      <c r="AK92" s="160">
        <f>+N92</f>
        <v>0</v>
      </c>
      <c r="AL92" s="294"/>
      <c r="AM92" s="162">
        <f t="shared" si="219"/>
        <v>858.77527026664427</v>
      </c>
      <c r="AO92" s="107" t="s">
        <v>391</v>
      </c>
      <c r="AP92" s="294">
        <f>TripMode_input!R73*Index!$B$2</f>
        <v>0</v>
      </c>
      <c r="AQ92" s="294">
        <f>TripMode_input!S73*Index!$B$2</f>
        <v>0</v>
      </c>
      <c r="AR92" s="294">
        <f>TripMode_input!T73*Index!$B$2</f>
        <v>0</v>
      </c>
      <c r="AS92" s="294">
        <f>TripMode_input!U73*Index!$B$2</f>
        <v>0</v>
      </c>
      <c r="AT92" s="160">
        <f>TripMode_input!V73*Index!$B$2</f>
        <v>3460</v>
      </c>
      <c r="AU92" s="160">
        <f>TripMode_input!W73*Index!$B$2</f>
        <v>1460</v>
      </c>
      <c r="AV92" s="294">
        <f>TripMode_input!X73*Index!$B$2</f>
        <v>0</v>
      </c>
      <c r="AW92" s="294">
        <f>TripMode_input!Y73*Index!$B$2</f>
        <v>0</v>
      </c>
      <c r="AX92" s="160">
        <f>TripMode_input!AA73*Index!$B$2</f>
        <v>15</v>
      </c>
      <c r="AY92" s="160">
        <f>TripMode_input!AB73*Index!$B$2</f>
        <v>0</v>
      </c>
      <c r="AZ92" s="160">
        <f>TripMode_input!AC73*Index!$B$2</f>
        <v>0</v>
      </c>
      <c r="BA92" s="160">
        <f>TripMode_input!AD73*Index!$B$2</f>
        <v>115</v>
      </c>
      <c r="BB92" s="294">
        <f>TripMode_input!AE73*Index!$B$2</f>
        <v>0</v>
      </c>
      <c r="BC92" s="162">
        <f t="shared" si="220"/>
        <v>5050</v>
      </c>
      <c r="BE92" s="107"/>
      <c r="BF92" s="166"/>
      <c r="BG92" s="166"/>
      <c r="BH92" s="166"/>
      <c r="BI92" s="166"/>
      <c r="BJ92" s="166"/>
      <c r="BK92" s="166"/>
      <c r="BL92" s="166"/>
      <c r="BM92" s="166"/>
      <c r="BN92" s="166"/>
      <c r="BO92" s="166"/>
      <c r="BP92" s="166"/>
      <c r="BQ92" s="166"/>
      <c r="BR92" s="166"/>
      <c r="BS92" s="166"/>
      <c r="BU92" s="107"/>
      <c r="BV92" s="166"/>
      <c r="BW92" s="166"/>
      <c r="BX92" s="166"/>
      <c r="BY92" s="166"/>
      <c r="BZ92" s="166"/>
      <c r="CA92" s="166"/>
      <c r="CB92" s="166"/>
      <c r="CC92" s="166"/>
      <c r="CD92" s="166"/>
      <c r="CE92" s="166"/>
      <c r="CF92" s="166"/>
      <c r="CG92" s="166"/>
      <c r="CH92" s="166"/>
      <c r="CI92" s="166"/>
      <c r="CK92" s="107" t="s">
        <v>391</v>
      </c>
      <c r="CL92" s="166"/>
      <c r="CM92" s="166"/>
      <c r="CN92" s="166"/>
      <c r="CO92" s="166"/>
      <c r="CP92" s="166"/>
      <c r="CQ92" s="166"/>
      <c r="CR92" s="166"/>
      <c r="CS92" s="166"/>
      <c r="CT92" s="166"/>
      <c r="CU92" s="166"/>
      <c r="CV92" s="166"/>
      <c r="CW92" s="166"/>
      <c r="CX92" s="166"/>
      <c r="CY92" s="168"/>
      <c r="DA92" s="107"/>
      <c r="DB92" s="315"/>
      <c r="DC92" s="315"/>
      <c r="DD92" s="315"/>
      <c r="DE92" s="315"/>
      <c r="DF92" s="314"/>
      <c r="DG92" s="314"/>
      <c r="DH92" s="315"/>
      <c r="DI92" s="315"/>
      <c r="DJ92" s="314"/>
      <c r="DK92" s="315"/>
      <c r="DL92" s="315"/>
      <c r="DM92" s="314"/>
      <c r="DN92" s="315"/>
      <c r="DO92" s="168"/>
      <c r="DQ92" s="107"/>
      <c r="DR92" s="315"/>
      <c r="DS92" s="315"/>
      <c r="DT92" s="315"/>
      <c r="DU92" s="315"/>
      <c r="DV92" s="314">
        <v>-0.60237844733355073</v>
      </c>
      <c r="DW92" s="314">
        <v>-0.60237844733355073</v>
      </c>
      <c r="DX92" s="315"/>
      <c r="DY92" s="315"/>
      <c r="DZ92" s="314">
        <v>-10.829859721452454</v>
      </c>
      <c r="EA92" s="315"/>
      <c r="EB92" s="315"/>
      <c r="EC92" s="314">
        <v>-5.821634030417866</v>
      </c>
      <c r="ED92" s="315"/>
      <c r="EE92" s="168"/>
      <c r="EG92" s="107"/>
      <c r="EH92" s="315"/>
      <c r="EI92" s="315"/>
      <c r="EJ92" s="315"/>
      <c r="EK92" s="315"/>
      <c r="EL92" s="314">
        <f>DV898+(DF91-DF$87)*$EI$1</f>
        <v>-0.95469611656967845</v>
      </c>
      <c r="EM92" s="314">
        <f>DV898+(DF91-DF$87)*$EI$1</f>
        <v>-0.95469611656967845</v>
      </c>
      <c r="EN92" s="315"/>
      <c r="EO92" s="315"/>
      <c r="EP92" s="314">
        <f>DZ91+(DJ91-DJ$95)*$EI$1</f>
        <v>-13.464529544217616</v>
      </c>
      <c r="EQ92" s="315"/>
      <c r="ER92" s="315"/>
      <c r="ES92" s="314">
        <f>EC91+(DM91-DM$98)*$EI$1</f>
        <v>-6.4736059704347912</v>
      </c>
      <c r="ET92" s="315"/>
      <c r="EU92" s="168"/>
      <c r="EW92" s="164" t="s">
        <v>391</v>
      </c>
      <c r="EX92" s="316">
        <f t="shared" si="229"/>
        <v>0</v>
      </c>
      <c r="EY92" s="316">
        <f t="shared" si="225"/>
        <v>0</v>
      </c>
      <c r="EZ92" s="316">
        <f t="shared" si="225"/>
        <v>-1.0761101972708105</v>
      </c>
      <c r="FA92" s="316">
        <f t="shared" si="225"/>
        <v>-1.0761101972708105</v>
      </c>
      <c r="FB92" s="316">
        <f t="shared" si="225"/>
        <v>-0.95469611656967845</v>
      </c>
      <c r="FC92" s="316">
        <f t="shared" si="225"/>
        <v>-0.95469611656967845</v>
      </c>
      <c r="FD92" s="316">
        <f t="shared" si="225"/>
        <v>-0.6417608898594902</v>
      </c>
      <c r="FE92" s="316">
        <f t="shared" si="225"/>
        <v>0</v>
      </c>
      <c r="FF92" s="316"/>
      <c r="FG92" s="316">
        <f t="shared" si="225"/>
        <v>0</v>
      </c>
      <c r="FH92" s="316">
        <f t="shared" si="225"/>
        <v>0</v>
      </c>
      <c r="FI92" s="316">
        <f t="shared" si="225"/>
        <v>0</v>
      </c>
      <c r="FJ92" s="316">
        <f t="shared" si="225"/>
        <v>0</v>
      </c>
      <c r="FK92" s="316">
        <f t="shared" si="225"/>
        <v>0</v>
      </c>
      <c r="FL92" s="168"/>
    </row>
    <row r="93" spans="2:168" x14ac:dyDescent="0.25">
      <c r="B93" s="107" t="s">
        <v>392</v>
      </c>
      <c r="C93" s="294"/>
      <c r="D93" s="294"/>
      <c r="E93" s="160">
        <f>TripMode_input!D74</f>
        <v>14161.348309999999</v>
      </c>
      <c r="F93" s="160">
        <f>TripMode_input!E74</f>
        <v>62.996789999999997</v>
      </c>
      <c r="G93" s="160">
        <f>TripMode_input!F74</f>
        <v>5117.0298000000003</v>
      </c>
      <c r="H93" s="160">
        <f>TripMode_input!G74</f>
        <v>0</v>
      </c>
      <c r="I93" s="160">
        <f>TripMode_input!H74</f>
        <v>470717.41733000003</v>
      </c>
      <c r="J93" s="294"/>
      <c r="K93" s="160">
        <f>TripMode_input!J74+TripMode_input!K74</f>
        <v>40527.713029999999</v>
      </c>
      <c r="L93" s="294"/>
      <c r="M93" s="294"/>
      <c r="N93" s="160">
        <f>TripMode_input!N74</f>
        <v>3318.0587300000002</v>
      </c>
      <c r="O93" s="294"/>
      <c r="P93" s="162">
        <f t="shared" si="215"/>
        <v>533904.56399000005</v>
      </c>
      <c r="R93">
        <f t="shared" si="226"/>
        <v>0.19791555253936871</v>
      </c>
      <c r="S93">
        <f t="shared" si="227"/>
        <v>0</v>
      </c>
      <c r="T93">
        <f t="shared" si="228"/>
        <v>0</v>
      </c>
      <c r="Y93" s="107" t="s">
        <v>392</v>
      </c>
      <c r="Z93" s="294"/>
      <c r="AA93" s="294"/>
      <c r="AB93" s="160">
        <f>+E93</f>
        <v>14161.348309999999</v>
      </c>
      <c r="AC93" s="160">
        <f>+F93</f>
        <v>62.996789999999997</v>
      </c>
      <c r="AD93" s="160">
        <f t="shared" si="217"/>
        <v>5117.0298000000003</v>
      </c>
      <c r="AE93" s="160">
        <f t="shared" si="218"/>
        <v>0</v>
      </c>
      <c r="AF93" s="160">
        <f>+I93</f>
        <v>470717.41733000003</v>
      </c>
      <c r="AG93" s="294"/>
      <c r="AH93" s="160">
        <f>AH95*R93</f>
        <v>42779.241289066376</v>
      </c>
      <c r="AI93" s="294"/>
      <c r="AJ93" s="294"/>
      <c r="AK93" s="160">
        <f>+N93</f>
        <v>3318.0587300000002</v>
      </c>
      <c r="AL93" s="294"/>
      <c r="AM93" s="162">
        <f t="shared" si="219"/>
        <v>536156.09224906645</v>
      </c>
      <c r="AO93" s="107" t="s">
        <v>392</v>
      </c>
      <c r="AP93" s="294">
        <f>TripMode_input!R74*Index!$B$2</f>
        <v>0</v>
      </c>
      <c r="AQ93" s="294">
        <f>TripMode_input!S74*Index!$B$2</f>
        <v>0</v>
      </c>
      <c r="AR93" s="160">
        <f>TripMode_input!T74*Index!$B$2</f>
        <v>19165</v>
      </c>
      <c r="AS93" s="160">
        <f>TripMode_input!U74*Index!$B$2</f>
        <v>175</v>
      </c>
      <c r="AT93" s="160">
        <f>TripMode_input!V74*Index!$B$2</f>
        <v>5290</v>
      </c>
      <c r="AU93" s="160">
        <f>TripMode_input!W74*Index!$B$2</f>
        <v>75</v>
      </c>
      <c r="AV93" s="160">
        <f>TripMode_input!X74*Index!$B$2</f>
        <v>839375</v>
      </c>
      <c r="AW93" s="294">
        <f>TripMode_input!Y74*Index!$B$2</f>
        <v>0</v>
      </c>
      <c r="AX93" s="160">
        <f>TripMode_input!AA74*Index!$B$2</f>
        <v>40115</v>
      </c>
      <c r="AY93" s="160">
        <f>TripMode_input!AB74*Index!$B$2</f>
        <v>0</v>
      </c>
      <c r="AZ93" s="160">
        <f>TripMode_input!AC74*Index!$B$2</f>
        <v>0</v>
      </c>
      <c r="BA93" s="160">
        <f>TripMode_input!AD74*Index!$B$2</f>
        <v>10245</v>
      </c>
      <c r="BB93" s="294">
        <f>TripMode_input!AE74*Index!$B$2</f>
        <v>0</v>
      </c>
      <c r="BC93" s="162">
        <f t="shared" si="220"/>
        <v>914440</v>
      </c>
      <c r="BE93" s="107" t="s">
        <v>392</v>
      </c>
      <c r="BF93" s="166">
        <f t="shared" ref="BF93:BS100" si="234">IF(Z$100&gt;0,Z93/Z$100,"")</f>
        <v>0</v>
      </c>
      <c r="BG93" s="166">
        <f t="shared" si="234"/>
        <v>0</v>
      </c>
      <c r="BH93" s="166">
        <f t="shared" si="234"/>
        <v>1.9694608670022082E-2</v>
      </c>
      <c r="BI93" s="166">
        <f t="shared" si="234"/>
        <v>1.0811578086981289E-2</v>
      </c>
      <c r="BJ93" s="166">
        <f t="shared" si="234"/>
        <v>1.5969853983378583E-2</v>
      </c>
      <c r="BK93" s="166">
        <f t="shared" si="234"/>
        <v>0</v>
      </c>
      <c r="BL93" s="166">
        <f t="shared" si="234"/>
        <v>1</v>
      </c>
      <c r="BM93" s="166">
        <f t="shared" si="234"/>
        <v>0</v>
      </c>
      <c r="BN93" s="166">
        <f t="shared" si="234"/>
        <v>0.16182526343235443</v>
      </c>
      <c r="BO93" s="166">
        <f t="shared" si="234"/>
        <v>0</v>
      </c>
      <c r="BP93" s="166">
        <f t="shared" si="234"/>
        <v>0</v>
      </c>
      <c r="BQ93" s="166">
        <f t="shared" si="234"/>
        <v>0.13667214415281345</v>
      </c>
      <c r="BR93" s="166">
        <f t="shared" si="234"/>
        <v>0</v>
      </c>
      <c r="BS93" s="166">
        <f t="shared" si="234"/>
        <v>0.10043158021651441</v>
      </c>
      <c r="BU93" s="107" t="s">
        <v>392</v>
      </c>
      <c r="BV93" s="166">
        <f t="shared" ref="BV93:BV100" si="235">IF(AP$100&gt;0,AP93/AP$100,"")</f>
        <v>0</v>
      </c>
      <c r="BW93" s="166">
        <f t="shared" ref="BW93:BW100" si="236">IF(AQ$100&gt;0,AQ93/AQ$100,"")</f>
        <v>0</v>
      </c>
      <c r="BX93" s="166">
        <f t="shared" ref="BX93:BX100" si="237">IF(AR$100&gt;0,AR93/AR$100,"")</f>
        <v>1.9250375414965371E-2</v>
      </c>
      <c r="BY93" s="166">
        <f t="shared" ref="BY93:BY100" si="238">IF(AS$100&gt;0,AS93/AS$100,"")</f>
        <v>5.96252129471891E-3</v>
      </c>
      <c r="BZ93" s="166">
        <f t="shared" ref="BZ93:BZ100" si="239">IF(AT$100&gt;0,AT93/AT$100,"")</f>
        <v>1.2967593273520615E-2</v>
      </c>
      <c r="CA93" s="166">
        <f t="shared" ref="CA93:CA100" si="240">IF(AU$100&gt;0,AU93/AU$100,"")</f>
        <v>6.2214848610535048E-3</v>
      </c>
      <c r="CB93" s="166">
        <f t="shared" ref="CB93:CB100" si="241">IF(AV$100&gt;0,AV93/AV$100,"")</f>
        <v>1</v>
      </c>
      <c r="CC93" s="166">
        <f t="shared" ref="CC93:CC100" si="242">IF(AW$100&gt;0,AW93/AW$100,"")</f>
        <v>0</v>
      </c>
      <c r="CD93" s="166">
        <f t="shared" ref="CD93:CD100" si="243">IF(AX$100&gt;0,AX93/AX$100,"")</f>
        <v>0.2324698655540102</v>
      </c>
      <c r="CE93" s="166">
        <f t="shared" ref="CE93:CE100" si="244">IF(AY$100&gt;0,AY93/AY$100,"")</f>
        <v>0</v>
      </c>
      <c r="CF93" s="166">
        <f t="shared" ref="CF93:CF100" si="245">IF(AZ$100&gt;0,AZ93/AZ$100,"")</f>
        <v>0</v>
      </c>
      <c r="CG93" s="166">
        <f t="shared" ref="CG93:CG100" si="246">IF(BA$100&gt;0,BA93/BA$100,"")</f>
        <v>0.22491767288693743</v>
      </c>
      <c r="CH93" s="166" t="str">
        <f t="shared" ref="CH93:CH100" si="247">IF(BB$100&gt;0,BB93/BB$100,"")</f>
        <v/>
      </c>
      <c r="CI93" s="168">
        <f t="shared" ref="CI93:CI100" si="248">IF(BC$100&gt;0,BC93/BC$100,"")</f>
        <v>0.12139677178896419</v>
      </c>
      <c r="CK93" s="107" t="s">
        <v>392</v>
      </c>
      <c r="CL93" s="166"/>
      <c r="CM93" s="166"/>
      <c r="CN93" s="166"/>
      <c r="CO93" s="166"/>
      <c r="CP93" s="166"/>
      <c r="CQ93" s="166"/>
      <c r="CR93" s="166"/>
      <c r="CS93" s="166"/>
      <c r="CT93" s="166"/>
      <c r="CU93" s="166"/>
      <c r="CV93" s="166"/>
      <c r="CW93" s="166"/>
      <c r="CX93" s="166"/>
      <c r="CY93" s="168"/>
      <c r="DA93" s="107" t="s">
        <v>392</v>
      </c>
      <c r="DB93" s="315"/>
      <c r="DC93" s="315"/>
      <c r="DD93" s="314">
        <f>IFERROR(IF(BX93&gt;0,LN(BH93/BX93),0),0)</f>
        <v>2.2814364096807739E-2</v>
      </c>
      <c r="DE93" s="314">
        <f>IFERROR(IF(BY93&gt;0,LN(BI93/BY93),0),0)</f>
        <v>0.59512417734165068</v>
      </c>
      <c r="DF93" s="314">
        <f>IFERROR(IF(BZ93&gt;0,LN(BJ93/BZ93),0),0)</f>
        <v>0.2082493989168947</v>
      </c>
      <c r="DG93" s="314">
        <f>IFERROR(IF(CA93&gt;0,LN(BK93/CA93),0),0)</f>
        <v>0</v>
      </c>
      <c r="DH93" s="314"/>
      <c r="DI93" s="315"/>
      <c r="DJ93" s="314">
        <f t="shared" ref="DJ93:DJ98" si="249">IFERROR(IF(CD93&gt;0,LN(BN93/CD93),0),0)</f>
        <v>-0.36224347379244504</v>
      </c>
      <c r="DK93" s="315"/>
      <c r="DL93" s="315"/>
      <c r="DM93" s="314">
        <f>IFERROR(IF(CG93&gt;0,LN(BQ93/CG93),0),0)</f>
        <v>-0.49814948757300959</v>
      </c>
      <c r="DN93" s="315"/>
      <c r="DO93" s="168"/>
      <c r="DQ93" s="107" t="s">
        <v>392</v>
      </c>
      <c r="DR93" s="315"/>
      <c r="DS93" s="315"/>
      <c r="DT93" s="314">
        <v>1.0334957257997734</v>
      </c>
      <c r="DU93" s="314">
        <v>1.0334957257997734</v>
      </c>
      <c r="DV93" s="314">
        <v>9.9249631342067102E-2</v>
      </c>
      <c r="DW93" s="314">
        <v>9.9249631342067102E-2</v>
      </c>
      <c r="DX93" s="314">
        <v>0</v>
      </c>
      <c r="DY93" s="315"/>
      <c r="DZ93" s="314">
        <v>-1.6373010804311907</v>
      </c>
      <c r="EA93" s="315"/>
      <c r="EB93" s="315"/>
      <c r="EC93" s="314">
        <v>-0.74247776586533809</v>
      </c>
      <c r="ED93" s="315"/>
      <c r="EE93" s="168"/>
      <c r="EG93" s="107" t="s">
        <v>392</v>
      </c>
      <c r="EH93" s="315"/>
      <c r="EI93" s="315"/>
      <c r="EJ93" s="314">
        <f>DT93+(DD93-DD$87)*$EI$1</f>
        <v>0.74796695454878537</v>
      </c>
      <c r="EK93" s="314">
        <f>DT93+(DD93-DD$87)*$EI$1</f>
        <v>0.74796695454878537</v>
      </c>
      <c r="EL93" s="314">
        <f>DV900+(DF93-DF$87)*$EI$1</f>
        <v>-0.6417608898594902</v>
      </c>
      <c r="EM93" s="314">
        <f>DV900+(DF93-DF$87)*$EI$1</f>
        <v>-0.6417608898594902</v>
      </c>
      <c r="EN93" s="314">
        <v>0</v>
      </c>
      <c r="EO93" s="315"/>
      <c r="EP93" s="314">
        <f>DZ93+(DJ93-DJ$95)*$EI$1</f>
        <v>-2.1638105682443207</v>
      </c>
      <c r="EQ93" s="315"/>
      <c r="ER93" s="315"/>
      <c r="ES93" s="314">
        <f>EC93+(DM93-DM$98)*$EI$1</f>
        <v>-1.4455831482092671</v>
      </c>
      <c r="ET93" s="315"/>
      <c r="EU93" s="168"/>
      <c r="EW93" s="164" t="s">
        <v>392</v>
      </c>
      <c r="EX93" s="316">
        <f t="shared" si="229"/>
        <v>0</v>
      </c>
      <c r="EY93" s="316">
        <f t="shared" si="225"/>
        <v>0</v>
      </c>
      <c r="EZ93" s="316">
        <f t="shared" si="225"/>
        <v>0</v>
      </c>
      <c r="FA93" s="316">
        <f t="shared" si="225"/>
        <v>0</v>
      </c>
      <c r="FB93" s="316">
        <f t="shared" si="225"/>
        <v>0</v>
      </c>
      <c r="FC93" s="316">
        <f t="shared" si="225"/>
        <v>0</v>
      </c>
      <c r="FD93" s="316">
        <f t="shared" si="225"/>
        <v>0</v>
      </c>
      <c r="FE93" s="316">
        <f t="shared" si="225"/>
        <v>0</v>
      </c>
      <c r="FF93" s="316"/>
      <c r="FG93" s="316">
        <f t="shared" si="225"/>
        <v>0</v>
      </c>
      <c r="FH93" s="316">
        <f t="shared" si="225"/>
        <v>0</v>
      </c>
      <c r="FI93" s="316">
        <f t="shared" si="225"/>
        <v>0</v>
      </c>
      <c r="FJ93" s="316">
        <f t="shared" si="225"/>
        <v>0</v>
      </c>
      <c r="FK93" s="316">
        <f t="shared" si="225"/>
        <v>0</v>
      </c>
      <c r="FL93" s="168"/>
    </row>
    <row r="94" spans="2:168" x14ac:dyDescent="0.25">
      <c r="B94" s="107" t="s">
        <v>393</v>
      </c>
      <c r="C94" s="294"/>
      <c r="D94" s="294"/>
      <c r="E94" s="294"/>
      <c r="F94" s="294"/>
      <c r="G94" s="294"/>
      <c r="H94" s="294"/>
      <c r="I94" s="294"/>
      <c r="J94" s="160">
        <f>TripMode_input!I75</f>
        <v>54496.340550000001</v>
      </c>
      <c r="K94" s="294"/>
      <c r="L94" s="294"/>
      <c r="M94" s="294"/>
      <c r="N94" s="294"/>
      <c r="O94" s="294"/>
      <c r="P94" s="162">
        <f t="shared" si="215"/>
        <v>54496.340550000001</v>
      </c>
      <c r="R94">
        <f t="shared" si="226"/>
        <v>0</v>
      </c>
      <c r="S94">
        <f t="shared" si="227"/>
        <v>0</v>
      </c>
      <c r="T94">
        <f t="shared" si="228"/>
        <v>0</v>
      </c>
      <c r="Y94" s="107" t="s">
        <v>393</v>
      </c>
      <c r="Z94" s="294"/>
      <c r="AA94" s="294"/>
      <c r="AB94" s="294"/>
      <c r="AC94" s="294"/>
      <c r="AD94" s="294"/>
      <c r="AE94" s="294"/>
      <c r="AF94" s="294"/>
      <c r="AG94" s="160">
        <f>+J94</f>
        <v>54496.340550000001</v>
      </c>
      <c r="AH94" s="294"/>
      <c r="AI94" s="294"/>
      <c r="AJ94" s="294"/>
      <c r="AK94" s="294"/>
      <c r="AL94" s="294"/>
      <c r="AM94" s="162">
        <f t="shared" si="219"/>
        <v>54496.340550000001</v>
      </c>
      <c r="AO94" s="107" t="s">
        <v>393</v>
      </c>
      <c r="AP94" s="294">
        <f>TripMode_input!R75*Index!$B$2</f>
        <v>0</v>
      </c>
      <c r="AQ94" s="294">
        <f>TripMode_input!S75*Index!$B$2</f>
        <v>0</v>
      </c>
      <c r="AR94" s="294">
        <f>TripMode_input!T75*Index!$B$2</f>
        <v>0</v>
      </c>
      <c r="AS94" s="294">
        <f>TripMode_input!U75*Index!$B$2</f>
        <v>0</v>
      </c>
      <c r="AT94" s="294">
        <f>TripMode_input!V75*Index!$B$2</f>
        <v>0</v>
      </c>
      <c r="AU94" s="294">
        <f>TripMode_input!W75*Index!$B$2</f>
        <v>0</v>
      </c>
      <c r="AV94" s="294">
        <f>TripMode_input!X75*Index!$B$2</f>
        <v>0</v>
      </c>
      <c r="AW94" s="160">
        <f>TripMode_input!Y75*Index!$B$2</f>
        <v>102585</v>
      </c>
      <c r="AX94" s="294">
        <f>TripMode_input!AA75*Index!$B$2</f>
        <v>0</v>
      </c>
      <c r="AY94" s="294">
        <f>TripMode_input!AB75*Index!$B$2</f>
        <v>0</v>
      </c>
      <c r="AZ94" s="294">
        <f>TripMode_input!AC75*Index!$B$2</f>
        <v>0</v>
      </c>
      <c r="BA94" s="294">
        <f>TripMode_input!AD75*Index!$B$2</f>
        <v>0</v>
      </c>
      <c r="BB94" s="294">
        <f>TripMode_input!AE75*Index!$B$2</f>
        <v>0</v>
      </c>
      <c r="BC94" s="162">
        <f t="shared" si="220"/>
        <v>102585</v>
      </c>
      <c r="BE94" s="107" t="s">
        <v>393</v>
      </c>
      <c r="BF94" s="166">
        <f t="shared" si="234"/>
        <v>0</v>
      </c>
      <c r="BG94" s="166">
        <f t="shared" si="234"/>
        <v>0</v>
      </c>
      <c r="BH94" s="166">
        <f t="shared" si="234"/>
        <v>0</v>
      </c>
      <c r="BI94" s="166">
        <f t="shared" si="234"/>
        <v>0</v>
      </c>
      <c r="BJ94" s="166">
        <f t="shared" si="234"/>
        <v>0</v>
      </c>
      <c r="BK94" s="166">
        <f t="shared" si="234"/>
        <v>0</v>
      </c>
      <c r="BL94" s="166">
        <f t="shared" si="234"/>
        <v>0</v>
      </c>
      <c r="BM94" s="166">
        <f t="shared" si="234"/>
        <v>1</v>
      </c>
      <c r="BN94" s="166">
        <f t="shared" si="234"/>
        <v>0</v>
      </c>
      <c r="BO94" s="166">
        <f t="shared" si="234"/>
        <v>0</v>
      </c>
      <c r="BP94" s="166">
        <f t="shared" si="234"/>
        <v>0</v>
      </c>
      <c r="BQ94" s="166">
        <f t="shared" si="234"/>
        <v>0</v>
      </c>
      <c r="BR94" s="166">
        <f t="shared" si="234"/>
        <v>0</v>
      </c>
      <c r="BS94" s="166">
        <f t="shared" si="234"/>
        <v>1.020813467677862E-2</v>
      </c>
      <c r="BU94" s="107" t="s">
        <v>393</v>
      </c>
      <c r="BV94" s="166">
        <f t="shared" si="235"/>
        <v>0</v>
      </c>
      <c r="BW94" s="166">
        <f t="shared" si="236"/>
        <v>0</v>
      </c>
      <c r="BX94" s="166">
        <f t="shared" si="237"/>
        <v>0</v>
      </c>
      <c r="BY94" s="166">
        <f t="shared" si="238"/>
        <v>0</v>
      </c>
      <c r="BZ94" s="166">
        <f t="shared" si="239"/>
        <v>0</v>
      </c>
      <c r="CA94" s="166">
        <f t="shared" si="240"/>
        <v>0</v>
      </c>
      <c r="CB94" s="166">
        <f t="shared" si="241"/>
        <v>0</v>
      </c>
      <c r="CC94" s="166">
        <f t="shared" si="242"/>
        <v>1</v>
      </c>
      <c r="CD94" s="166">
        <f t="shared" si="243"/>
        <v>0</v>
      </c>
      <c r="CE94" s="166">
        <f t="shared" si="244"/>
        <v>0</v>
      </c>
      <c r="CF94" s="166">
        <f t="shared" si="245"/>
        <v>0</v>
      </c>
      <c r="CG94" s="166">
        <f t="shared" si="246"/>
        <v>0</v>
      </c>
      <c r="CH94" s="166" t="str">
        <f t="shared" si="247"/>
        <v/>
      </c>
      <c r="CI94" s="168">
        <f t="shared" si="248"/>
        <v>1.3618704162078311E-2</v>
      </c>
      <c r="CK94" s="107" t="s">
        <v>393</v>
      </c>
      <c r="CL94" s="166"/>
      <c r="CM94" s="166"/>
      <c r="CN94" s="166"/>
      <c r="CO94" s="166"/>
      <c r="CP94" s="166"/>
      <c r="CQ94" s="166"/>
      <c r="CR94" s="166"/>
      <c r="CS94" s="166"/>
      <c r="CT94" s="166"/>
      <c r="CU94" s="166"/>
      <c r="CV94" s="166"/>
      <c r="CW94" s="166"/>
      <c r="CX94" s="166"/>
      <c r="CY94" s="168"/>
      <c r="DA94" s="107" t="s">
        <v>393</v>
      </c>
      <c r="DB94" s="315"/>
      <c r="DC94" s="315"/>
      <c r="DD94" s="315"/>
      <c r="DE94" s="315"/>
      <c r="DF94" s="315"/>
      <c r="DG94" s="315"/>
      <c r="DH94" s="315"/>
      <c r="DI94" s="314">
        <f>IFERROR(IF(CC94&gt;0,LN(BM94/CC94),0),0)</f>
        <v>0</v>
      </c>
      <c r="DJ94" s="315"/>
      <c r="DK94" s="315"/>
      <c r="DL94" s="315"/>
      <c r="DM94" s="315"/>
      <c r="DN94" s="315"/>
      <c r="DO94" s="168"/>
      <c r="DQ94" s="107" t="s">
        <v>393</v>
      </c>
      <c r="DR94" s="315"/>
      <c r="DS94" s="315"/>
      <c r="DT94" s="315"/>
      <c r="DU94" s="315"/>
      <c r="DV94" s="315"/>
      <c r="DW94" s="315"/>
      <c r="DX94" s="315"/>
      <c r="DY94" s="314">
        <v>0</v>
      </c>
      <c r="DZ94" s="315"/>
      <c r="EA94" s="315"/>
      <c r="EB94" s="315"/>
      <c r="EC94" s="315"/>
      <c r="ED94" s="315"/>
      <c r="EE94" s="168"/>
      <c r="EG94" s="107" t="s">
        <v>393</v>
      </c>
      <c r="EH94" s="315"/>
      <c r="EI94" s="315"/>
      <c r="EJ94" s="315"/>
      <c r="EK94" s="315"/>
      <c r="EL94" s="315"/>
      <c r="EM94" s="315"/>
      <c r="EN94" s="315"/>
      <c r="EO94" s="314">
        <v>0</v>
      </c>
      <c r="EP94" s="315"/>
      <c r="EQ94" s="315"/>
      <c r="ER94" s="315"/>
      <c r="ES94" s="315"/>
      <c r="ET94" s="315"/>
      <c r="EU94" s="168"/>
      <c r="EW94" s="164" t="s">
        <v>393</v>
      </c>
      <c r="EX94" s="316">
        <f t="shared" si="229"/>
        <v>0</v>
      </c>
      <c r="EY94" s="316">
        <f t="shared" si="225"/>
        <v>0</v>
      </c>
      <c r="EZ94" s="316">
        <f t="shared" si="225"/>
        <v>0</v>
      </c>
      <c r="FA94" s="316">
        <f t="shared" si="225"/>
        <v>0</v>
      </c>
      <c r="FB94" s="316">
        <f t="shared" si="225"/>
        <v>0</v>
      </c>
      <c r="FC94" s="316">
        <f t="shared" si="225"/>
        <v>0</v>
      </c>
      <c r="FD94" s="316">
        <f t="shared" si="225"/>
        <v>0</v>
      </c>
      <c r="FE94" s="316">
        <f t="shared" si="225"/>
        <v>0</v>
      </c>
      <c r="FF94" s="316"/>
      <c r="FG94" s="316">
        <f t="shared" si="225"/>
        <v>0</v>
      </c>
      <c r="FH94" s="316">
        <f t="shared" si="225"/>
        <v>0</v>
      </c>
      <c r="FI94" s="316">
        <f t="shared" si="225"/>
        <v>0</v>
      </c>
      <c r="FJ94" s="316">
        <f t="shared" si="225"/>
        <v>0</v>
      </c>
      <c r="FK94" s="316">
        <f t="shared" si="225"/>
        <v>0</v>
      </c>
      <c r="FL94" s="168"/>
    </row>
    <row r="95" spans="2:168" x14ac:dyDescent="0.25">
      <c r="B95" s="107" t="s">
        <v>546</v>
      </c>
      <c r="C95" s="294"/>
      <c r="D95" s="294"/>
      <c r="E95" s="294"/>
      <c r="F95" s="294"/>
      <c r="G95" s="294"/>
      <c r="H95" s="294"/>
      <c r="I95" s="294"/>
      <c r="J95" s="294"/>
      <c r="K95" s="160">
        <f>TripMode_input!J77+TripMode_input!K77+TripMode_input!J76+TripMode_input!K76</f>
        <v>204772.75539999999</v>
      </c>
      <c r="L95" s="294"/>
      <c r="M95" s="294"/>
      <c r="N95" s="294"/>
      <c r="O95" s="294"/>
      <c r="P95" s="162">
        <f t="shared" si="215"/>
        <v>204772.75539999999</v>
      </c>
      <c r="R95">
        <f t="shared" si="226"/>
        <v>1</v>
      </c>
      <c r="S95">
        <f t="shared" si="227"/>
        <v>0</v>
      </c>
      <c r="T95">
        <f t="shared" si="228"/>
        <v>0</v>
      </c>
      <c r="U95" s="127">
        <f>+K95/K$159</f>
        <v>0.16276708055779279</v>
      </c>
      <c r="V95" s="127"/>
      <c r="W95" s="127"/>
      <c r="X95" s="127"/>
      <c r="Y95" s="107" t="s">
        <v>546</v>
      </c>
      <c r="Z95" s="294"/>
      <c r="AA95" s="294"/>
      <c r="AB95" s="294"/>
      <c r="AC95" s="294"/>
      <c r="AD95" s="294"/>
      <c r="AE95" s="294"/>
      <c r="AF95" s="294"/>
      <c r="AG95" s="294"/>
      <c r="AH95" s="160">
        <f>U95*U$159</f>
        <v>216148.9622224452</v>
      </c>
      <c r="AI95" s="294"/>
      <c r="AJ95" s="294"/>
      <c r="AK95" s="294"/>
      <c r="AL95" s="294"/>
      <c r="AM95" s="162">
        <f t="shared" si="219"/>
        <v>216148.9622224452</v>
      </c>
      <c r="AN95" s="127"/>
      <c r="AO95" s="107" t="s">
        <v>395</v>
      </c>
      <c r="AP95" s="294">
        <f>TripMode_input!R77*Index!$B$2</f>
        <v>0</v>
      </c>
      <c r="AQ95" s="294">
        <f>TripMode_input!S77*Index!$B$2</f>
        <v>0</v>
      </c>
      <c r="AR95" s="294">
        <f>TripMode_input!T77*Index!$B$2</f>
        <v>0</v>
      </c>
      <c r="AS95" s="294">
        <f>TripMode_input!U77*Index!$B$2</f>
        <v>0</v>
      </c>
      <c r="AT95" s="294">
        <f>TripMode_input!V77*Index!$B$2</f>
        <v>0</v>
      </c>
      <c r="AU95" s="294">
        <f>TripMode_input!W77*Index!$B$2</f>
        <v>0</v>
      </c>
      <c r="AV95" s="294">
        <f>TripMode_input!X77*Index!$B$2</f>
        <v>0</v>
      </c>
      <c r="AW95" s="294">
        <f>TripMode_input!Y77*Index!$B$2</f>
        <v>0</v>
      </c>
      <c r="AX95" s="160">
        <f>TripMode_input!AA77*Index!$B$2</f>
        <v>119720</v>
      </c>
      <c r="AY95" s="160">
        <f>TripMode_input!AB77*Index!$B$2</f>
        <v>0</v>
      </c>
      <c r="AZ95" s="160">
        <f>TripMode_input!AC77*Index!$B$2</f>
        <v>0</v>
      </c>
      <c r="BA95" s="294">
        <f>TripMode_input!AD77*Index!$B$2</f>
        <v>0</v>
      </c>
      <c r="BB95" s="294">
        <f>TripMode_input!AE77*Index!$B$2</f>
        <v>0</v>
      </c>
      <c r="BC95" s="162">
        <f t="shared" si="220"/>
        <v>119720</v>
      </c>
      <c r="BE95" s="107" t="s">
        <v>395</v>
      </c>
      <c r="BF95" s="166">
        <f t="shared" si="234"/>
        <v>0</v>
      </c>
      <c r="BG95" s="166">
        <f t="shared" si="234"/>
        <v>0</v>
      </c>
      <c r="BH95" s="166">
        <f t="shared" si="234"/>
        <v>0</v>
      </c>
      <c r="BI95" s="166">
        <f t="shared" si="234"/>
        <v>0</v>
      </c>
      <c r="BJ95" s="166">
        <f t="shared" si="234"/>
        <v>0</v>
      </c>
      <c r="BK95" s="166">
        <f t="shared" si="234"/>
        <v>0</v>
      </c>
      <c r="BL95" s="166">
        <f t="shared" si="234"/>
        <v>0</v>
      </c>
      <c r="BM95" s="166">
        <f t="shared" si="234"/>
        <v>0</v>
      </c>
      <c r="BN95" s="166">
        <f t="shared" si="234"/>
        <v>0.81764803905526673</v>
      </c>
      <c r="BO95" s="166">
        <f t="shared" si="234"/>
        <v>0</v>
      </c>
      <c r="BP95" s="166">
        <f t="shared" si="234"/>
        <v>0</v>
      </c>
      <c r="BQ95" s="166">
        <f t="shared" si="234"/>
        <v>0</v>
      </c>
      <c r="BR95" s="166">
        <f t="shared" si="234"/>
        <v>0</v>
      </c>
      <c r="BS95" s="166">
        <f t="shared" si="234"/>
        <v>4.0488548301481408E-2</v>
      </c>
      <c r="BU95" s="107" t="s">
        <v>395</v>
      </c>
      <c r="BV95" s="166">
        <f t="shared" si="235"/>
        <v>0</v>
      </c>
      <c r="BW95" s="166">
        <f t="shared" si="236"/>
        <v>0</v>
      </c>
      <c r="BX95" s="166">
        <f t="shared" si="237"/>
        <v>0</v>
      </c>
      <c r="BY95" s="166">
        <f t="shared" si="238"/>
        <v>0</v>
      </c>
      <c r="BZ95" s="166">
        <f t="shared" si="239"/>
        <v>0</v>
      </c>
      <c r="CA95" s="166">
        <f t="shared" si="240"/>
        <v>0</v>
      </c>
      <c r="CB95" s="166">
        <f t="shared" si="241"/>
        <v>0</v>
      </c>
      <c r="CC95" s="166">
        <f t="shared" si="242"/>
        <v>0</v>
      </c>
      <c r="CD95" s="166">
        <f t="shared" si="243"/>
        <v>0.69378766805748726</v>
      </c>
      <c r="CE95" s="166">
        <f t="shared" si="244"/>
        <v>0</v>
      </c>
      <c r="CF95" s="166">
        <f t="shared" si="245"/>
        <v>0</v>
      </c>
      <c r="CG95" s="166">
        <f t="shared" si="246"/>
        <v>0</v>
      </c>
      <c r="CH95" s="166" t="str">
        <f t="shared" si="247"/>
        <v/>
      </c>
      <c r="CI95" s="168">
        <f t="shared" si="248"/>
        <v>1.5893466513467031E-2</v>
      </c>
      <c r="CK95" s="107" t="s">
        <v>395</v>
      </c>
      <c r="CL95" s="166" t="str">
        <f t="shared" ref="CL95:CO100" si="250">IF(OR(ISNA(BF95),BF95=0,BF95=""),"",(BV95-BF95)/BF95)</f>
        <v/>
      </c>
      <c r="CM95" s="166" t="str">
        <f t="shared" si="250"/>
        <v/>
      </c>
      <c r="CN95" s="166" t="str">
        <f t="shared" si="250"/>
        <v/>
      </c>
      <c r="CO95" s="166" t="str">
        <f t="shared" si="250"/>
        <v/>
      </c>
      <c r="CP95" s="166"/>
      <c r="CQ95" s="166"/>
      <c r="CR95" s="166"/>
      <c r="CS95" s="166"/>
      <c r="CT95" s="166">
        <f t="shared" ref="CT95:CY100" si="251">IF(OR(ISNA(BN95),BN95=0,BN95=""),"",(CD95-BN95)/BN95)</f>
        <v>-0.15148372537025978</v>
      </c>
      <c r="CU95" s="166" t="str">
        <f t="shared" si="251"/>
        <v/>
      </c>
      <c r="CV95" s="166" t="str">
        <f t="shared" si="251"/>
        <v/>
      </c>
      <c r="CW95" s="166" t="str">
        <f t="shared" si="251"/>
        <v/>
      </c>
      <c r="CX95" s="166" t="str">
        <f t="shared" si="251"/>
        <v/>
      </c>
      <c r="CY95" s="168">
        <f t="shared" si="251"/>
        <v>-0.60745773360104605</v>
      </c>
      <c r="DA95" s="107" t="s">
        <v>395</v>
      </c>
      <c r="DB95" s="315"/>
      <c r="DC95" s="315"/>
      <c r="DD95" s="315"/>
      <c r="DE95" s="315"/>
      <c r="DF95" s="315"/>
      <c r="DG95" s="315"/>
      <c r="DH95" s="315"/>
      <c r="DI95" s="315"/>
      <c r="DJ95" s="314">
        <f t="shared" si="249"/>
        <v>0.164266014020685</v>
      </c>
      <c r="DK95" s="315"/>
      <c r="DL95" s="315"/>
      <c r="DM95" s="315"/>
      <c r="DN95" s="315"/>
      <c r="DO95" s="168"/>
      <c r="DQ95" s="107" t="s">
        <v>395</v>
      </c>
      <c r="DR95" s="315"/>
      <c r="DS95" s="315"/>
      <c r="DT95" s="315"/>
      <c r="DU95" s="315"/>
      <c r="DV95" s="315"/>
      <c r="DW95" s="315"/>
      <c r="DX95" s="315"/>
      <c r="DY95" s="315"/>
      <c r="DZ95" s="314">
        <v>0</v>
      </c>
      <c r="EA95" s="315"/>
      <c r="EB95" s="315"/>
      <c r="EC95" s="315"/>
      <c r="ED95" s="315"/>
      <c r="EE95" s="168"/>
      <c r="EG95" s="107" t="s">
        <v>395</v>
      </c>
      <c r="EH95" s="315"/>
      <c r="EI95" s="315"/>
      <c r="EJ95" s="315"/>
      <c r="EK95" s="315"/>
      <c r="EL95" s="315"/>
      <c r="EM95" s="315"/>
      <c r="EN95" s="315"/>
      <c r="EO95" s="315"/>
      <c r="EP95" s="314">
        <v>0</v>
      </c>
      <c r="EQ95" s="315"/>
      <c r="ER95" s="315"/>
      <c r="ES95" s="315"/>
      <c r="ET95" s="315"/>
      <c r="EU95" s="168"/>
      <c r="EW95" s="164" t="s">
        <v>546</v>
      </c>
      <c r="EX95" s="316">
        <f t="shared" si="229"/>
        <v>0</v>
      </c>
      <c r="EY95" s="316">
        <f t="shared" si="225"/>
        <v>0</v>
      </c>
      <c r="EZ95" s="316">
        <f t="shared" si="225"/>
        <v>-7.6223472491194499</v>
      </c>
      <c r="FA95" s="316">
        <f t="shared" si="225"/>
        <v>-7.6223472491194499</v>
      </c>
      <c r="FB95" s="316">
        <f t="shared" si="225"/>
        <v>-13.464529544217616</v>
      </c>
      <c r="FC95" s="316">
        <f t="shared" si="225"/>
        <v>-13.464529544217616</v>
      </c>
      <c r="FD95" s="316">
        <f t="shared" si="225"/>
        <v>-2.1638105682443207</v>
      </c>
      <c r="FE95" s="316">
        <f t="shared" si="225"/>
        <v>0</v>
      </c>
      <c r="FF95" s="316"/>
      <c r="FG95" s="316">
        <f t="shared" si="225"/>
        <v>0</v>
      </c>
      <c r="FH95" s="316">
        <f t="shared" si="225"/>
        <v>0</v>
      </c>
      <c r="FI95" s="316">
        <f t="shared" si="225"/>
        <v>0</v>
      </c>
      <c r="FJ95" s="316">
        <f t="shared" si="225"/>
        <v>-5.7617880149585163</v>
      </c>
      <c r="FK95" s="316">
        <f t="shared" si="225"/>
        <v>0</v>
      </c>
      <c r="FL95" s="168"/>
    </row>
    <row r="96" spans="2:168" x14ac:dyDescent="0.25">
      <c r="B96" s="107" t="s">
        <v>396</v>
      </c>
      <c r="C96" s="294"/>
      <c r="D96" s="294"/>
      <c r="E96" s="294"/>
      <c r="F96" s="294"/>
      <c r="G96" s="294"/>
      <c r="H96" s="294"/>
      <c r="I96" s="294"/>
      <c r="J96" s="294"/>
      <c r="K96" s="294"/>
      <c r="L96" s="160">
        <f>TripMode_input!L78</f>
        <v>5052.5892700000004</v>
      </c>
      <c r="M96" s="294"/>
      <c r="N96" s="294"/>
      <c r="O96" s="294"/>
      <c r="P96" s="162">
        <f t="shared" si="215"/>
        <v>5052.5892700000004</v>
      </c>
      <c r="R96">
        <f t="shared" si="226"/>
        <v>0</v>
      </c>
      <c r="S96">
        <f t="shared" si="227"/>
        <v>1</v>
      </c>
      <c r="T96">
        <f t="shared" si="228"/>
        <v>0</v>
      </c>
      <c r="V96" s="127">
        <f>+L96/L$160</f>
        <v>4.9751998242921043E-2</v>
      </c>
      <c r="W96" s="127"/>
      <c r="X96" s="127"/>
      <c r="Y96" s="107" t="s">
        <v>396</v>
      </c>
      <c r="Z96" s="294"/>
      <c r="AA96" s="294"/>
      <c r="AB96" s="294"/>
      <c r="AC96" s="294"/>
      <c r="AD96" s="294"/>
      <c r="AE96" s="294"/>
      <c r="AF96" s="294"/>
      <c r="AG96" s="294"/>
      <c r="AH96" s="294"/>
      <c r="AI96" s="160">
        <f>V96*V$160</f>
        <v>3405.6304853185952</v>
      </c>
      <c r="AJ96" s="294"/>
      <c r="AK96" s="294"/>
      <c r="AL96" s="294"/>
      <c r="AM96" s="162">
        <f t="shared" si="219"/>
        <v>3405.6304853185952</v>
      </c>
      <c r="AN96" s="127"/>
      <c r="AO96" s="107" t="s">
        <v>396</v>
      </c>
      <c r="AP96" s="294">
        <f>TripMode_input!R78*Index!$B$2</f>
        <v>0</v>
      </c>
      <c r="AQ96" s="294">
        <f>TripMode_input!S78*Index!$B$2</f>
        <v>0</v>
      </c>
      <c r="AR96" s="294">
        <f>TripMode_input!T78*Index!$B$2</f>
        <v>0</v>
      </c>
      <c r="AS96" s="294">
        <f>TripMode_input!U78*Index!$B$2</f>
        <v>0</v>
      </c>
      <c r="AT96" s="294">
        <f>TripMode_input!V78*Index!$B$2</f>
        <v>0</v>
      </c>
      <c r="AU96" s="294">
        <f>TripMode_input!W78*Index!$B$2</f>
        <v>0</v>
      </c>
      <c r="AV96" s="294">
        <f>TripMode_input!X78*Index!$B$2</f>
        <v>0</v>
      </c>
      <c r="AW96" s="294">
        <f>TripMode_input!Y78*Index!$B$2</f>
        <v>0</v>
      </c>
      <c r="AX96" s="294">
        <f>TripMode_input!AA78*Index!$B$2</f>
        <v>0</v>
      </c>
      <c r="AY96" s="160">
        <f>TripMode_input!AB78*Index!$B$2</f>
        <v>3600</v>
      </c>
      <c r="AZ96" s="294">
        <f>TripMode_input!AC78*Index!$B$2</f>
        <v>0</v>
      </c>
      <c r="BA96" s="294">
        <f>TripMode_input!AD78*Index!$B$2</f>
        <v>0</v>
      </c>
      <c r="BB96" s="294">
        <f>TripMode_input!AE78*Index!$B$2</f>
        <v>0</v>
      </c>
      <c r="BC96" s="162">
        <f t="shared" si="220"/>
        <v>3600</v>
      </c>
      <c r="BE96" s="107" t="s">
        <v>396</v>
      </c>
      <c r="BF96" s="166">
        <f t="shared" si="234"/>
        <v>0</v>
      </c>
      <c r="BG96" s="166">
        <f t="shared" si="234"/>
        <v>0</v>
      </c>
      <c r="BH96" s="166">
        <f t="shared" si="234"/>
        <v>0</v>
      </c>
      <c r="BI96" s="166">
        <f t="shared" si="234"/>
        <v>0</v>
      </c>
      <c r="BJ96" s="166">
        <f t="shared" si="234"/>
        <v>0</v>
      </c>
      <c r="BK96" s="166">
        <f t="shared" si="234"/>
        <v>0</v>
      </c>
      <c r="BL96" s="166">
        <f t="shared" si="234"/>
        <v>0</v>
      </c>
      <c r="BM96" s="166">
        <f t="shared" si="234"/>
        <v>0</v>
      </c>
      <c r="BN96" s="166">
        <f t="shared" si="234"/>
        <v>0</v>
      </c>
      <c r="BO96" s="166">
        <f t="shared" si="234"/>
        <v>1</v>
      </c>
      <c r="BP96" s="166">
        <f t="shared" si="234"/>
        <v>0</v>
      </c>
      <c r="BQ96" s="166">
        <f t="shared" si="234"/>
        <v>0</v>
      </c>
      <c r="BR96" s="166">
        <f t="shared" si="234"/>
        <v>0</v>
      </c>
      <c r="BS96" s="166">
        <f t="shared" si="234"/>
        <v>6.3793521367876789E-4</v>
      </c>
      <c r="BU96" s="107" t="s">
        <v>396</v>
      </c>
      <c r="BV96" s="166">
        <f t="shared" si="235"/>
        <v>0</v>
      </c>
      <c r="BW96" s="166">
        <f t="shared" si="236"/>
        <v>0</v>
      </c>
      <c r="BX96" s="166">
        <f t="shared" si="237"/>
        <v>0</v>
      </c>
      <c r="BY96" s="166">
        <f t="shared" si="238"/>
        <v>0</v>
      </c>
      <c r="BZ96" s="166">
        <f t="shared" si="239"/>
        <v>0</v>
      </c>
      <c r="CA96" s="166">
        <f t="shared" si="240"/>
        <v>0</v>
      </c>
      <c r="CB96" s="166">
        <f t="shared" si="241"/>
        <v>0</v>
      </c>
      <c r="CC96" s="166">
        <f t="shared" si="242"/>
        <v>0</v>
      </c>
      <c r="CD96" s="166">
        <f t="shared" si="243"/>
        <v>0</v>
      </c>
      <c r="CE96" s="166">
        <f t="shared" si="244"/>
        <v>1</v>
      </c>
      <c r="CF96" s="166">
        <f t="shared" si="245"/>
        <v>0</v>
      </c>
      <c r="CG96" s="166">
        <f t="shared" si="246"/>
        <v>0</v>
      </c>
      <c r="CH96" s="166" t="str">
        <f t="shared" si="247"/>
        <v/>
      </c>
      <c r="CI96" s="168">
        <f t="shared" si="248"/>
        <v>4.7791914006416067E-4</v>
      </c>
      <c r="CK96" s="107" t="s">
        <v>396</v>
      </c>
      <c r="CL96" s="166" t="str">
        <f t="shared" si="250"/>
        <v/>
      </c>
      <c r="CM96" s="166" t="str">
        <f t="shared" si="250"/>
        <v/>
      </c>
      <c r="CN96" s="166" t="str">
        <f t="shared" si="250"/>
        <v/>
      </c>
      <c r="CO96" s="166" t="str">
        <f t="shared" si="250"/>
        <v/>
      </c>
      <c r="CP96" s="166"/>
      <c r="CQ96" s="166"/>
      <c r="CR96" s="166"/>
      <c r="CS96" s="166"/>
      <c r="CT96" s="166" t="str">
        <f t="shared" si="251"/>
        <v/>
      </c>
      <c r="CU96" s="166">
        <f t="shared" si="251"/>
        <v>0</v>
      </c>
      <c r="CV96" s="166" t="str">
        <f t="shared" si="251"/>
        <v/>
      </c>
      <c r="CW96" s="166" t="str">
        <f t="shared" si="251"/>
        <v/>
      </c>
      <c r="CX96" s="166" t="str">
        <f t="shared" si="251"/>
        <v/>
      </c>
      <c r="CY96" s="168">
        <f t="shared" si="251"/>
        <v>-0.25083436402866965</v>
      </c>
      <c r="DA96" s="107" t="s">
        <v>396</v>
      </c>
      <c r="DB96" s="315"/>
      <c r="DC96" s="315"/>
      <c r="DD96" s="315"/>
      <c r="DE96" s="315"/>
      <c r="DF96" s="315"/>
      <c r="DG96" s="315"/>
      <c r="DH96" s="315"/>
      <c r="DI96" s="315"/>
      <c r="DJ96" s="315"/>
      <c r="DK96" s="314">
        <f>IFERROR(IF(CE96&gt;0,LN(BO96/CE96),0),0)</f>
        <v>0</v>
      </c>
      <c r="DL96" s="315"/>
      <c r="DM96" s="315"/>
      <c r="DN96" s="315"/>
      <c r="DO96" s="168"/>
      <c r="DQ96" s="107" t="s">
        <v>396</v>
      </c>
      <c r="DR96" s="315"/>
      <c r="DS96" s="315"/>
      <c r="DT96" s="315"/>
      <c r="DU96" s="315"/>
      <c r="DV96" s="315"/>
      <c r="DW96" s="315"/>
      <c r="DX96" s="315"/>
      <c r="DY96" s="315"/>
      <c r="DZ96" s="315"/>
      <c r="EA96" s="314">
        <v>0</v>
      </c>
      <c r="EB96" s="315"/>
      <c r="EC96" s="315"/>
      <c r="ED96" s="315"/>
      <c r="EE96" s="168"/>
      <c r="EG96" s="107" t="s">
        <v>396</v>
      </c>
      <c r="EH96" s="315"/>
      <c r="EI96" s="315"/>
      <c r="EJ96" s="315"/>
      <c r="EK96" s="315"/>
      <c r="EL96" s="315"/>
      <c r="EM96" s="315"/>
      <c r="EN96" s="315"/>
      <c r="EO96" s="315"/>
      <c r="EP96" s="315"/>
      <c r="EQ96" s="314">
        <v>0</v>
      </c>
      <c r="ER96" s="315"/>
      <c r="ES96" s="315"/>
      <c r="ET96" s="315"/>
      <c r="EU96" s="168"/>
      <c r="EW96" s="164" t="s">
        <v>396</v>
      </c>
      <c r="EX96" s="316">
        <f t="shared" si="229"/>
        <v>0</v>
      </c>
      <c r="EY96" s="316">
        <f t="shared" si="225"/>
        <v>0</v>
      </c>
      <c r="EZ96" s="316">
        <f t="shared" si="225"/>
        <v>0</v>
      </c>
      <c r="FA96" s="316">
        <f t="shared" si="225"/>
        <v>0</v>
      </c>
      <c r="FB96" s="316">
        <f t="shared" si="225"/>
        <v>0</v>
      </c>
      <c r="FC96" s="316">
        <f t="shared" si="225"/>
        <v>0</v>
      </c>
      <c r="FD96" s="316">
        <f t="shared" si="225"/>
        <v>0</v>
      </c>
      <c r="FE96" s="316">
        <f t="shared" si="225"/>
        <v>0</v>
      </c>
      <c r="FF96" s="316"/>
      <c r="FG96" s="316">
        <f t="shared" si="225"/>
        <v>0</v>
      </c>
      <c r="FH96" s="316">
        <f t="shared" si="225"/>
        <v>0</v>
      </c>
      <c r="FI96" s="316">
        <f t="shared" si="225"/>
        <v>0</v>
      </c>
      <c r="FJ96" s="316">
        <f t="shared" si="225"/>
        <v>0</v>
      </c>
      <c r="FK96" s="316">
        <f t="shared" si="225"/>
        <v>0</v>
      </c>
      <c r="FL96" s="168"/>
    </row>
    <row r="97" spans="2:168" x14ac:dyDescent="0.25">
      <c r="B97" s="107" t="s">
        <v>397</v>
      </c>
      <c r="C97" s="294"/>
      <c r="D97" s="294"/>
      <c r="E97" s="294"/>
      <c r="F97" s="294"/>
      <c r="G97" s="294"/>
      <c r="H97" s="294"/>
      <c r="I97" s="294"/>
      <c r="J97" s="294"/>
      <c r="K97" s="294"/>
      <c r="L97" s="294"/>
      <c r="M97" s="160">
        <f>TripMode_input!M79</f>
        <v>6967.26649</v>
      </c>
      <c r="N97" s="294"/>
      <c r="O97" s="294"/>
      <c r="P97" s="162">
        <f t="shared" si="215"/>
        <v>6967.26649</v>
      </c>
      <c r="R97">
        <f t="shared" si="226"/>
        <v>0</v>
      </c>
      <c r="S97">
        <f t="shared" si="227"/>
        <v>0</v>
      </c>
      <c r="T97">
        <f t="shared" si="228"/>
        <v>1</v>
      </c>
      <c r="W97" s="127">
        <f>+M97/M$161</f>
        <v>2.5246442296413246E-2</v>
      </c>
      <c r="X97" s="127"/>
      <c r="Y97" s="107" t="s">
        <v>397</v>
      </c>
      <c r="Z97" s="294"/>
      <c r="AA97" s="294"/>
      <c r="AB97" s="294"/>
      <c r="AC97" s="294"/>
      <c r="AD97" s="294"/>
      <c r="AE97" s="294"/>
      <c r="AF97" s="294"/>
      <c r="AG97" s="294"/>
      <c r="AH97" s="294"/>
      <c r="AI97" s="294"/>
      <c r="AJ97" s="160">
        <f>W97*W$161</f>
        <v>5017.4676464900003</v>
      </c>
      <c r="AK97" s="294"/>
      <c r="AL97" s="294"/>
      <c r="AM97" s="162">
        <f t="shared" si="219"/>
        <v>5017.4676464900003</v>
      </c>
      <c r="AN97" s="127"/>
      <c r="AO97" s="107" t="s">
        <v>397</v>
      </c>
      <c r="AP97" s="294">
        <f>TripMode_input!R79*Index!$B$2</f>
        <v>0</v>
      </c>
      <c r="AQ97" s="294">
        <f>TripMode_input!S79*Index!$B$2</f>
        <v>0</v>
      </c>
      <c r="AR97" s="294">
        <f>TripMode_input!T79*Index!$B$2</f>
        <v>0</v>
      </c>
      <c r="AS97" s="294">
        <f>TripMode_input!U79*Index!$B$2</f>
        <v>0</v>
      </c>
      <c r="AT97" s="294">
        <f>TripMode_input!V79*Index!$B$2</f>
        <v>0</v>
      </c>
      <c r="AU97" s="294">
        <f>TripMode_input!W79*Index!$B$2</f>
        <v>0</v>
      </c>
      <c r="AV97" s="294">
        <f>TripMode_input!X79*Index!$B$2</f>
        <v>0</v>
      </c>
      <c r="AW97" s="294">
        <f>TripMode_input!Y79*Index!$B$2</f>
        <v>0</v>
      </c>
      <c r="AX97" s="294">
        <f>TripMode_input!AA79*Index!$B$2</f>
        <v>0</v>
      </c>
      <c r="AY97" s="294">
        <f>TripMode_input!AB79*Index!$B$2</f>
        <v>0</v>
      </c>
      <c r="AZ97" s="160">
        <f>TripMode_input!AC79*Index!$B$2</f>
        <v>2040</v>
      </c>
      <c r="BA97" s="294">
        <f>TripMode_input!AD79*Index!$B$2</f>
        <v>0</v>
      </c>
      <c r="BB97" s="294">
        <f>TripMode_input!AE79*Index!$B$2</f>
        <v>0</v>
      </c>
      <c r="BC97" s="162">
        <f t="shared" si="220"/>
        <v>2040</v>
      </c>
      <c r="BE97" s="107" t="s">
        <v>397</v>
      </c>
      <c r="BF97" s="166">
        <f t="shared" si="234"/>
        <v>0</v>
      </c>
      <c r="BG97" s="166">
        <f t="shared" si="234"/>
        <v>0</v>
      </c>
      <c r="BH97" s="166">
        <f t="shared" si="234"/>
        <v>0</v>
      </c>
      <c r="BI97" s="166">
        <f t="shared" si="234"/>
        <v>0</v>
      </c>
      <c r="BJ97" s="166">
        <f t="shared" si="234"/>
        <v>0</v>
      </c>
      <c r="BK97" s="166">
        <f t="shared" si="234"/>
        <v>0</v>
      </c>
      <c r="BL97" s="166">
        <f t="shared" si="234"/>
        <v>0</v>
      </c>
      <c r="BM97" s="166">
        <f t="shared" si="234"/>
        <v>0</v>
      </c>
      <c r="BN97" s="166">
        <f t="shared" si="234"/>
        <v>0</v>
      </c>
      <c r="BO97" s="166">
        <f t="shared" si="234"/>
        <v>0</v>
      </c>
      <c r="BP97" s="166">
        <f t="shared" si="234"/>
        <v>1</v>
      </c>
      <c r="BQ97" s="166">
        <f t="shared" si="234"/>
        <v>0</v>
      </c>
      <c r="BR97" s="166">
        <f t="shared" si="234"/>
        <v>0</v>
      </c>
      <c r="BS97" s="166">
        <f t="shared" si="234"/>
        <v>9.3986100635062516E-4</v>
      </c>
      <c r="BU97" s="107" t="s">
        <v>397</v>
      </c>
      <c r="BV97" s="166">
        <f t="shared" si="235"/>
        <v>0</v>
      </c>
      <c r="BW97" s="166">
        <f t="shared" si="236"/>
        <v>0</v>
      </c>
      <c r="BX97" s="166">
        <f t="shared" si="237"/>
        <v>0</v>
      </c>
      <c r="BY97" s="166">
        <f t="shared" si="238"/>
        <v>0</v>
      </c>
      <c r="BZ97" s="166">
        <f t="shared" si="239"/>
        <v>0</v>
      </c>
      <c r="CA97" s="166">
        <f t="shared" si="240"/>
        <v>0</v>
      </c>
      <c r="CB97" s="166">
        <f t="shared" si="241"/>
        <v>0</v>
      </c>
      <c r="CC97" s="166">
        <f t="shared" si="242"/>
        <v>0</v>
      </c>
      <c r="CD97" s="166">
        <f t="shared" si="243"/>
        <v>0</v>
      </c>
      <c r="CE97" s="166">
        <f t="shared" si="244"/>
        <v>0</v>
      </c>
      <c r="CF97" s="166">
        <f t="shared" si="245"/>
        <v>1</v>
      </c>
      <c r="CG97" s="166">
        <f t="shared" si="246"/>
        <v>0</v>
      </c>
      <c r="CH97" s="166" t="str">
        <f t="shared" si="247"/>
        <v/>
      </c>
      <c r="CI97" s="168">
        <f t="shared" si="248"/>
        <v>2.7082084603635768E-4</v>
      </c>
      <c r="CK97" s="107" t="s">
        <v>397</v>
      </c>
      <c r="CL97" s="166" t="str">
        <f t="shared" si="250"/>
        <v/>
      </c>
      <c r="CM97" s="166" t="str">
        <f t="shared" si="250"/>
        <v/>
      </c>
      <c r="CN97" s="166" t="str">
        <f t="shared" si="250"/>
        <v/>
      </c>
      <c r="CO97" s="166" t="str">
        <f t="shared" si="250"/>
        <v/>
      </c>
      <c r="CP97" s="166"/>
      <c r="CQ97" s="166"/>
      <c r="CR97" s="166"/>
      <c r="CS97" s="166"/>
      <c r="CT97" s="166" t="str">
        <f t="shared" si="251"/>
        <v/>
      </c>
      <c r="CU97" s="166" t="str">
        <f t="shared" si="251"/>
        <v/>
      </c>
      <c r="CV97" s="166">
        <f t="shared" si="251"/>
        <v>0</v>
      </c>
      <c r="CW97" s="166" t="str">
        <f t="shared" si="251"/>
        <v/>
      </c>
      <c r="CX97" s="166" t="str">
        <f t="shared" si="251"/>
        <v/>
      </c>
      <c r="CY97" s="168">
        <f t="shared" si="251"/>
        <v>-0.71185010953063721</v>
      </c>
      <c r="DA97" s="107" t="s">
        <v>397</v>
      </c>
      <c r="DB97" s="315"/>
      <c r="DC97" s="315"/>
      <c r="DD97" s="315"/>
      <c r="DE97" s="315"/>
      <c r="DF97" s="315"/>
      <c r="DG97" s="315"/>
      <c r="DH97" s="315"/>
      <c r="DI97" s="315"/>
      <c r="DJ97" s="315"/>
      <c r="DK97" s="315"/>
      <c r="DL97" s="314">
        <f>IFERROR(IF(CF97&gt;0,LN(BP97/CF97),0),0)</f>
        <v>0</v>
      </c>
      <c r="DM97" s="315"/>
      <c r="DN97" s="315"/>
      <c r="DO97" s="168"/>
      <c r="DQ97" s="107" t="s">
        <v>397</v>
      </c>
      <c r="DR97" s="315"/>
      <c r="DS97" s="315"/>
      <c r="DT97" s="315"/>
      <c r="DU97" s="315"/>
      <c r="DV97" s="315"/>
      <c r="DW97" s="315"/>
      <c r="DX97" s="315"/>
      <c r="DY97" s="315"/>
      <c r="DZ97" s="315"/>
      <c r="EA97" s="315"/>
      <c r="EB97" s="314">
        <v>0</v>
      </c>
      <c r="EC97" s="315"/>
      <c r="ED97" s="315"/>
      <c r="EE97" s="168"/>
      <c r="EG97" s="107" t="s">
        <v>397</v>
      </c>
      <c r="EH97" s="315"/>
      <c r="EI97" s="315"/>
      <c r="EJ97" s="315"/>
      <c r="EK97" s="315"/>
      <c r="EL97" s="315"/>
      <c r="EM97" s="315"/>
      <c r="EN97" s="315"/>
      <c r="EO97" s="315"/>
      <c r="EP97" s="315"/>
      <c r="EQ97" s="315"/>
      <c r="ER97" s="314">
        <v>0</v>
      </c>
      <c r="ES97" s="315"/>
      <c r="ET97" s="315"/>
      <c r="EU97" s="168"/>
      <c r="EW97" s="164" t="s">
        <v>397</v>
      </c>
      <c r="EX97" s="316">
        <f t="shared" si="229"/>
        <v>0</v>
      </c>
      <c r="EY97" s="316">
        <f t="shared" si="225"/>
        <v>0</v>
      </c>
      <c r="EZ97" s="316">
        <f t="shared" si="225"/>
        <v>0</v>
      </c>
      <c r="FA97" s="316">
        <f t="shared" si="225"/>
        <v>0</v>
      </c>
      <c r="FB97" s="316">
        <f t="shared" si="225"/>
        <v>0</v>
      </c>
      <c r="FC97" s="316">
        <f t="shared" si="225"/>
        <v>0</v>
      </c>
      <c r="FD97" s="316">
        <f t="shared" si="225"/>
        <v>0</v>
      </c>
      <c r="FE97" s="316">
        <f t="shared" si="225"/>
        <v>0</v>
      </c>
      <c r="FF97" s="316"/>
      <c r="FG97" s="316">
        <f t="shared" si="225"/>
        <v>0</v>
      </c>
      <c r="FH97" s="316">
        <f t="shared" si="225"/>
        <v>0</v>
      </c>
      <c r="FI97" s="316">
        <f t="shared" si="225"/>
        <v>0</v>
      </c>
      <c r="FJ97" s="316">
        <f t="shared" si="225"/>
        <v>0</v>
      </c>
      <c r="FK97" s="316">
        <f t="shared" si="225"/>
        <v>0</v>
      </c>
      <c r="FL97" s="168"/>
    </row>
    <row r="98" spans="2:168" x14ac:dyDescent="0.25">
      <c r="B98" s="107" t="s">
        <v>398</v>
      </c>
      <c r="C98" s="294"/>
      <c r="D98" s="294"/>
      <c r="E98" s="294"/>
      <c r="F98" s="294"/>
      <c r="G98" s="294"/>
      <c r="H98" s="294"/>
      <c r="I98" s="294"/>
      <c r="J98" s="294"/>
      <c r="K98" s="160">
        <f>TripMode_input!J80+TripMode_input!K80</f>
        <v>1435.89401</v>
      </c>
      <c r="L98" s="294"/>
      <c r="M98" s="294"/>
      <c r="N98" s="160">
        <f>TripMode_input!N80</f>
        <v>20428.164239999998</v>
      </c>
      <c r="O98" s="294"/>
      <c r="P98" s="162">
        <f t="shared" si="215"/>
        <v>21864.058249999998</v>
      </c>
      <c r="R98">
        <f t="shared" si="226"/>
        <v>7.0121340468127531E-3</v>
      </c>
      <c r="S98">
        <f t="shared" si="227"/>
        <v>0</v>
      </c>
      <c r="T98">
        <f t="shared" si="228"/>
        <v>0</v>
      </c>
      <c r="Y98" s="107" t="s">
        <v>398</v>
      </c>
      <c r="Z98" s="294"/>
      <c r="AA98" s="294"/>
      <c r="AB98" s="294"/>
      <c r="AC98" s="294"/>
      <c r="AD98" s="294"/>
      <c r="AE98" s="294"/>
      <c r="AF98" s="294"/>
      <c r="AG98" s="294"/>
      <c r="AH98" s="160">
        <f>AH95*R98</f>
        <v>1515.6654971832515</v>
      </c>
      <c r="AI98" s="160">
        <f>AI96*S98</f>
        <v>0</v>
      </c>
      <c r="AJ98" s="160">
        <f>AJ97*T98</f>
        <v>0</v>
      </c>
      <c r="AK98" s="160">
        <f>N98</f>
        <v>20428.164239999998</v>
      </c>
      <c r="AL98" s="294"/>
      <c r="AM98" s="162">
        <f t="shared" si="219"/>
        <v>21943.829737183249</v>
      </c>
      <c r="AO98" s="107" t="s">
        <v>398</v>
      </c>
      <c r="AP98" s="294">
        <f>TripMode_input!R80*Index!$B$2</f>
        <v>0</v>
      </c>
      <c r="AQ98" s="294">
        <f>TripMode_input!S80*Index!$B$2</f>
        <v>0</v>
      </c>
      <c r="AR98" s="294">
        <f>TripMode_input!T80*Index!$B$2</f>
        <v>0</v>
      </c>
      <c r="AS98" s="294">
        <f>TripMode_input!U80*Index!$B$2</f>
        <v>0</v>
      </c>
      <c r="AT98" s="294">
        <f>TripMode_input!V80*Index!$B$2</f>
        <v>0</v>
      </c>
      <c r="AU98" s="294">
        <f>TripMode_input!W80*Index!$B$2</f>
        <v>0</v>
      </c>
      <c r="AV98" s="294">
        <f>TripMode_input!X80*Index!$B$2</f>
        <v>0</v>
      </c>
      <c r="AW98" s="294">
        <f>TripMode_input!Y80*Index!$B$2</f>
        <v>0</v>
      </c>
      <c r="AX98" s="160">
        <f>TripMode_input!AA80*Index!$B$2</f>
        <v>1640</v>
      </c>
      <c r="AY98" s="160">
        <f>TripMode_input!AB80*Index!$B$2</f>
        <v>0</v>
      </c>
      <c r="AZ98" s="160">
        <f>TripMode_input!AC80*Index!$B$2</f>
        <v>0</v>
      </c>
      <c r="BA98" s="160">
        <f>TripMode_input!AD80*Index!$B$2</f>
        <v>31225</v>
      </c>
      <c r="BB98" s="294">
        <f>TripMode_input!AE80*Index!$B$2</f>
        <v>0</v>
      </c>
      <c r="BC98" s="162">
        <f t="shared" si="220"/>
        <v>32865</v>
      </c>
      <c r="BE98" s="107" t="s">
        <v>398</v>
      </c>
      <c r="BF98" s="166">
        <f t="shared" si="234"/>
        <v>0</v>
      </c>
      <c r="BG98" s="166">
        <f t="shared" si="234"/>
        <v>0</v>
      </c>
      <c r="BH98" s="166">
        <f t="shared" si="234"/>
        <v>0</v>
      </c>
      <c r="BI98" s="166">
        <f t="shared" si="234"/>
        <v>0</v>
      </c>
      <c r="BJ98" s="166">
        <f t="shared" si="234"/>
        <v>0</v>
      </c>
      <c r="BK98" s="166">
        <f t="shared" si="234"/>
        <v>0</v>
      </c>
      <c r="BL98" s="166">
        <f t="shared" si="234"/>
        <v>0</v>
      </c>
      <c r="BM98" s="166">
        <f t="shared" si="234"/>
        <v>0</v>
      </c>
      <c r="BN98" s="166">
        <f t="shared" si="234"/>
        <v>5.7334576529691188E-3</v>
      </c>
      <c r="BO98" s="166">
        <f t="shared" si="234"/>
        <v>0</v>
      </c>
      <c r="BP98" s="166">
        <f t="shared" si="234"/>
        <v>0</v>
      </c>
      <c r="BQ98" s="166">
        <f t="shared" si="234"/>
        <v>0.84144411988350454</v>
      </c>
      <c r="BR98" s="166">
        <f t="shared" si="234"/>
        <v>0</v>
      </c>
      <c r="BS98" s="166">
        <f t="shared" si="234"/>
        <v>4.1104699328561832E-3</v>
      </c>
      <c r="BU98" s="107" t="s">
        <v>398</v>
      </c>
      <c r="BV98" s="166">
        <f t="shared" si="235"/>
        <v>0</v>
      </c>
      <c r="BW98" s="166">
        <f t="shared" si="236"/>
        <v>0</v>
      </c>
      <c r="BX98" s="166">
        <f t="shared" si="237"/>
        <v>0</v>
      </c>
      <c r="BY98" s="166">
        <f t="shared" si="238"/>
        <v>0</v>
      </c>
      <c r="BZ98" s="166">
        <f t="shared" si="239"/>
        <v>0</v>
      </c>
      <c r="CA98" s="166">
        <f t="shared" si="240"/>
        <v>0</v>
      </c>
      <c r="CB98" s="166">
        <f t="shared" si="241"/>
        <v>0</v>
      </c>
      <c r="CC98" s="166">
        <f t="shared" si="242"/>
        <v>0</v>
      </c>
      <c r="CD98" s="166">
        <f t="shared" si="243"/>
        <v>9.5039406583217433E-3</v>
      </c>
      <c r="CE98" s="166">
        <f t="shared" si="244"/>
        <v>0</v>
      </c>
      <c r="CF98" s="166">
        <f t="shared" si="245"/>
        <v>0</v>
      </c>
      <c r="CG98" s="166">
        <f t="shared" si="246"/>
        <v>0.68551042810098795</v>
      </c>
      <c r="CH98" s="166" t="str">
        <f t="shared" si="247"/>
        <v/>
      </c>
      <c r="CI98" s="168">
        <f t="shared" si="248"/>
        <v>4.363003482835733E-3</v>
      </c>
      <c r="CK98" s="107" t="s">
        <v>398</v>
      </c>
      <c r="CL98" s="166" t="str">
        <f t="shared" si="250"/>
        <v/>
      </c>
      <c r="CM98" s="166" t="str">
        <f t="shared" si="250"/>
        <v/>
      </c>
      <c r="CN98" s="166" t="str">
        <f t="shared" si="250"/>
        <v/>
      </c>
      <c r="CO98" s="166" t="str">
        <f t="shared" si="250"/>
        <v/>
      </c>
      <c r="CP98" s="166"/>
      <c r="CQ98" s="166"/>
      <c r="CR98" s="166"/>
      <c r="CS98" s="166"/>
      <c r="CT98" s="166">
        <f t="shared" si="251"/>
        <v>0.6576281248715683</v>
      </c>
      <c r="CU98" s="166" t="str">
        <f t="shared" si="251"/>
        <v/>
      </c>
      <c r="CV98" s="166" t="str">
        <f t="shared" si="251"/>
        <v/>
      </c>
      <c r="CW98" s="166">
        <f t="shared" si="251"/>
        <v>-0.1853167525897087</v>
      </c>
      <c r="CX98" s="166" t="str">
        <f t="shared" si="251"/>
        <v/>
      </c>
      <c r="CY98" s="168">
        <f t="shared" si="251"/>
        <v>6.1436661526453613E-2</v>
      </c>
      <c r="DA98" s="107" t="s">
        <v>398</v>
      </c>
      <c r="DB98" s="315"/>
      <c r="DC98" s="315"/>
      <c r="DD98" s="315"/>
      <c r="DE98" s="315"/>
      <c r="DF98" s="315"/>
      <c r="DG98" s="315"/>
      <c r="DH98" s="315"/>
      <c r="DI98" s="315"/>
      <c r="DJ98" s="314">
        <f t="shared" si="249"/>
        <v>-0.50538774016372823</v>
      </c>
      <c r="DK98" s="314">
        <f>IFERROR(IF(CE98&gt;0,LN(BO98/CE98),0),0)</f>
        <v>0</v>
      </c>
      <c r="DL98" s="314">
        <f>IFERROR(IF(CF98&gt;0,LN(BP98/CF98),0),0)</f>
        <v>0</v>
      </c>
      <c r="DM98" s="314">
        <f>IFERROR(IF(CG98&gt;0,LN(BQ98/CG98),0),0)</f>
        <v>0.20495589477091947</v>
      </c>
      <c r="DN98" s="315"/>
      <c r="DO98" s="168"/>
      <c r="DQ98" s="107" t="s">
        <v>398</v>
      </c>
      <c r="DR98" s="315"/>
      <c r="DS98" s="315"/>
      <c r="DT98" s="315"/>
      <c r="DU98" s="315"/>
      <c r="DV98" s="315"/>
      <c r="DW98" s="315"/>
      <c r="DX98" s="315"/>
      <c r="DY98" s="315"/>
      <c r="DZ98" s="314">
        <v>-5.0921342607741034</v>
      </c>
      <c r="EA98" s="314">
        <v>0</v>
      </c>
      <c r="EB98" s="314">
        <v>0</v>
      </c>
      <c r="EC98" s="314">
        <v>0</v>
      </c>
      <c r="ED98" s="315"/>
      <c r="EE98" s="168"/>
      <c r="EG98" s="107" t="s">
        <v>398</v>
      </c>
      <c r="EH98" s="315"/>
      <c r="EI98" s="315"/>
      <c r="EJ98" s="315"/>
      <c r="EK98" s="315"/>
      <c r="EL98" s="315"/>
      <c r="EM98" s="315"/>
      <c r="EN98" s="315"/>
      <c r="EO98" s="315"/>
      <c r="EP98" s="314">
        <f>DZ98+(DJ98-DJ$95)*$EI$1</f>
        <v>-5.7617880149585163</v>
      </c>
      <c r="EQ98" s="314">
        <f>EA98+(DK98-DK$96)*$EI$1</f>
        <v>0</v>
      </c>
      <c r="ER98" s="314">
        <f>EB98+(DL98-DL$97)*$EI$1</f>
        <v>0</v>
      </c>
      <c r="ES98" s="314">
        <v>0</v>
      </c>
      <c r="ET98" s="315"/>
      <c r="EU98" s="168"/>
      <c r="EW98" s="164" t="s">
        <v>398</v>
      </c>
      <c r="EX98" s="316">
        <f t="shared" si="229"/>
        <v>0</v>
      </c>
      <c r="EY98" s="316">
        <f t="shared" si="225"/>
        <v>0</v>
      </c>
      <c r="EZ98" s="316">
        <f t="shared" si="225"/>
        <v>-11.482156800692071</v>
      </c>
      <c r="FA98" s="316">
        <f t="shared" si="225"/>
        <v>-11.482156800692071</v>
      </c>
      <c r="FB98" s="316">
        <f t="shared" si="225"/>
        <v>-6.4736059704347912</v>
      </c>
      <c r="FC98" s="316">
        <f t="shared" si="225"/>
        <v>-6.4736059704347912</v>
      </c>
      <c r="FD98" s="316">
        <f t="shared" si="225"/>
        <v>-1.4455831482092671</v>
      </c>
      <c r="FE98" s="316">
        <f t="shared" si="225"/>
        <v>0</v>
      </c>
      <c r="FF98" s="316"/>
      <c r="FG98" s="316">
        <f t="shared" si="225"/>
        <v>0</v>
      </c>
      <c r="FH98" s="316">
        <f t="shared" si="225"/>
        <v>0</v>
      </c>
      <c r="FI98" s="316">
        <f t="shared" si="225"/>
        <v>0</v>
      </c>
      <c r="FJ98" s="316">
        <f t="shared" si="225"/>
        <v>0</v>
      </c>
      <c r="FK98" s="316">
        <f t="shared" si="225"/>
        <v>0</v>
      </c>
      <c r="FL98" s="168"/>
    </row>
    <row r="99" spans="2:168" x14ac:dyDescent="0.25">
      <c r="B99" s="107" t="s">
        <v>399</v>
      </c>
      <c r="C99" s="294"/>
      <c r="D99" s="294"/>
      <c r="E99" s="294"/>
      <c r="F99" s="294"/>
      <c r="G99" s="294"/>
      <c r="H99" s="294"/>
      <c r="I99" s="294"/>
      <c r="J99" s="294"/>
      <c r="K99" s="294"/>
      <c r="L99" s="294"/>
      <c r="M99" s="294"/>
      <c r="N99" s="294"/>
      <c r="O99" s="160">
        <f>TripMode_input!O81</f>
        <v>733.00162</v>
      </c>
      <c r="P99" s="162">
        <f t="shared" si="215"/>
        <v>733.00162</v>
      </c>
      <c r="R99">
        <f t="shared" si="226"/>
        <v>0</v>
      </c>
      <c r="S99">
        <f t="shared" si="227"/>
        <v>0</v>
      </c>
      <c r="T99">
        <f t="shared" si="228"/>
        <v>0</v>
      </c>
      <c r="Y99" s="107" t="s">
        <v>399</v>
      </c>
      <c r="Z99" s="294"/>
      <c r="AA99" s="294"/>
      <c r="AB99" s="294"/>
      <c r="AC99" s="294"/>
      <c r="AD99" s="294"/>
      <c r="AE99" s="294"/>
      <c r="AF99" s="294"/>
      <c r="AG99" s="294"/>
      <c r="AH99" s="294"/>
      <c r="AI99" s="294"/>
      <c r="AJ99" s="294"/>
      <c r="AK99" s="294"/>
      <c r="AL99" s="160">
        <f>+O99</f>
        <v>733.00162</v>
      </c>
      <c r="AM99" s="162">
        <f t="shared" si="219"/>
        <v>733.00162</v>
      </c>
      <c r="AO99" s="107" t="s">
        <v>399</v>
      </c>
      <c r="AP99" s="294">
        <f>TripMode_input!R81*Index!$B$2</f>
        <v>0</v>
      </c>
      <c r="AQ99" s="294">
        <f>TripMode_input!S81*Index!$B$2</f>
        <v>0</v>
      </c>
      <c r="AR99" s="294">
        <f>TripMode_input!T81*Index!$B$2</f>
        <v>0</v>
      </c>
      <c r="AS99" s="294">
        <f>TripMode_input!U81*Index!$B$2</f>
        <v>0</v>
      </c>
      <c r="AT99" s="294">
        <f>TripMode_input!V81*Index!$B$2</f>
        <v>0</v>
      </c>
      <c r="AU99" s="294">
        <f>TripMode_input!W81*Index!$B$2</f>
        <v>0</v>
      </c>
      <c r="AV99" s="294">
        <f>TripMode_input!X81*Index!$B$2</f>
        <v>0</v>
      </c>
      <c r="AW99" s="294">
        <f>TripMode_input!Y81*Index!$B$2</f>
        <v>0</v>
      </c>
      <c r="AX99" s="294">
        <f>TripMode_input!AA81*Index!$B$2</f>
        <v>0</v>
      </c>
      <c r="AY99" s="294">
        <f>TripMode_input!AB81*Index!$B$2</f>
        <v>0</v>
      </c>
      <c r="AZ99" s="294">
        <f>TripMode_input!AC81*Index!$B$2</f>
        <v>0</v>
      </c>
      <c r="BA99" s="294">
        <f>TripMode_input!AD81*Index!$B$2</f>
        <v>0</v>
      </c>
      <c r="BB99" s="160">
        <f>TripMode_input!AE81*Index!$B$2</f>
        <v>0</v>
      </c>
      <c r="BC99" s="162">
        <f t="shared" si="220"/>
        <v>0</v>
      </c>
      <c r="BE99" s="107" t="s">
        <v>399</v>
      </c>
      <c r="BF99" s="166">
        <f t="shared" si="234"/>
        <v>0</v>
      </c>
      <c r="BG99" s="166">
        <f t="shared" si="234"/>
        <v>0</v>
      </c>
      <c r="BH99" s="166">
        <f t="shared" si="234"/>
        <v>0</v>
      </c>
      <c r="BI99" s="166">
        <f t="shared" si="234"/>
        <v>0</v>
      </c>
      <c r="BJ99" s="166">
        <f t="shared" si="234"/>
        <v>0</v>
      </c>
      <c r="BK99" s="166">
        <f t="shared" si="234"/>
        <v>0</v>
      </c>
      <c r="BL99" s="166">
        <f t="shared" si="234"/>
        <v>0</v>
      </c>
      <c r="BM99" s="166">
        <f t="shared" si="234"/>
        <v>0</v>
      </c>
      <c r="BN99" s="166">
        <f t="shared" si="234"/>
        <v>0</v>
      </c>
      <c r="BO99" s="166">
        <f t="shared" si="234"/>
        <v>0</v>
      </c>
      <c r="BP99" s="166">
        <f t="shared" si="234"/>
        <v>0</v>
      </c>
      <c r="BQ99" s="166">
        <f t="shared" si="234"/>
        <v>0</v>
      </c>
      <c r="BR99" s="166">
        <f t="shared" si="234"/>
        <v>1</v>
      </c>
      <c r="BS99" s="166">
        <f t="shared" si="234"/>
        <v>1.373042516201926E-4</v>
      </c>
      <c r="BU99" s="107" t="s">
        <v>399</v>
      </c>
      <c r="BV99" s="166">
        <f t="shared" si="235"/>
        <v>0</v>
      </c>
      <c r="BW99" s="166">
        <f t="shared" si="236"/>
        <v>0</v>
      </c>
      <c r="BX99" s="166">
        <f t="shared" si="237"/>
        <v>0</v>
      </c>
      <c r="BY99" s="166">
        <f t="shared" si="238"/>
        <v>0</v>
      </c>
      <c r="BZ99" s="166">
        <f t="shared" si="239"/>
        <v>0</v>
      </c>
      <c r="CA99" s="166">
        <f t="shared" si="240"/>
        <v>0</v>
      </c>
      <c r="CB99" s="166">
        <f t="shared" si="241"/>
        <v>0</v>
      </c>
      <c r="CC99" s="166">
        <f t="shared" si="242"/>
        <v>0</v>
      </c>
      <c r="CD99" s="166">
        <f t="shared" si="243"/>
        <v>0</v>
      </c>
      <c r="CE99" s="166">
        <f t="shared" si="244"/>
        <v>0</v>
      </c>
      <c r="CF99" s="166">
        <f t="shared" si="245"/>
        <v>0</v>
      </c>
      <c r="CG99" s="166">
        <f t="shared" si="246"/>
        <v>0</v>
      </c>
      <c r="CH99" s="166" t="str">
        <f t="shared" si="247"/>
        <v/>
      </c>
      <c r="CI99" s="168">
        <f t="shared" si="248"/>
        <v>0</v>
      </c>
      <c r="CK99" s="107" t="s">
        <v>399</v>
      </c>
      <c r="CL99" s="166" t="str">
        <f t="shared" si="250"/>
        <v/>
      </c>
      <c r="CM99" s="166" t="str">
        <f t="shared" si="250"/>
        <v/>
      </c>
      <c r="CN99" s="166" t="str">
        <f t="shared" si="250"/>
        <v/>
      </c>
      <c r="CO99" s="166" t="str">
        <f t="shared" si="250"/>
        <v/>
      </c>
      <c r="CP99" s="166"/>
      <c r="CQ99" s="166"/>
      <c r="CR99" s="166"/>
      <c r="CS99" s="166"/>
      <c r="CT99" s="166" t="str">
        <f t="shared" si="251"/>
        <v/>
      </c>
      <c r="CU99" s="166" t="str">
        <f t="shared" si="251"/>
        <v/>
      </c>
      <c r="CV99" s="166" t="str">
        <f t="shared" si="251"/>
        <v/>
      </c>
      <c r="CW99" s="166" t="str">
        <f t="shared" si="251"/>
        <v/>
      </c>
      <c r="CX99" s="166" t="e">
        <f t="shared" si="251"/>
        <v>#VALUE!</v>
      </c>
      <c r="CY99" s="168">
        <f t="shared" si="251"/>
        <v>-1</v>
      </c>
      <c r="DA99" s="107" t="s">
        <v>399</v>
      </c>
      <c r="DB99" s="315"/>
      <c r="DC99" s="315"/>
      <c r="DD99" s="315"/>
      <c r="DE99" s="315"/>
      <c r="DF99" s="315"/>
      <c r="DG99" s="315"/>
      <c r="DH99" s="315"/>
      <c r="DI99" s="315"/>
      <c r="DJ99" s="315"/>
      <c r="DK99" s="315"/>
      <c r="DL99" s="315"/>
      <c r="DM99" s="315"/>
      <c r="DN99" s="314">
        <f>IFERROR(IF(CH99&gt;0,LN(BR99/CH99),0),0)</f>
        <v>0</v>
      </c>
      <c r="DO99" s="168"/>
      <c r="DQ99" s="107" t="s">
        <v>399</v>
      </c>
      <c r="DR99" s="315"/>
      <c r="DS99" s="315"/>
      <c r="DT99" s="315"/>
      <c r="DU99" s="315"/>
      <c r="DV99" s="315"/>
      <c r="DW99" s="315"/>
      <c r="DX99" s="315"/>
      <c r="DY99" s="315"/>
      <c r="DZ99" s="315"/>
      <c r="EA99" s="315"/>
      <c r="EB99" s="315"/>
      <c r="EC99" s="315"/>
      <c r="ED99" s="314">
        <v>0</v>
      </c>
      <c r="EE99" s="168"/>
      <c r="EG99" s="107" t="s">
        <v>399</v>
      </c>
      <c r="EH99" s="315"/>
      <c r="EI99" s="315"/>
      <c r="EJ99" s="315"/>
      <c r="EK99" s="315"/>
      <c r="EL99" s="315"/>
      <c r="EM99" s="315"/>
      <c r="EN99" s="315"/>
      <c r="EO99" s="315"/>
      <c r="EP99" s="315"/>
      <c r="EQ99" s="315"/>
      <c r="ER99" s="315"/>
      <c r="ES99" s="315"/>
      <c r="ET99" s="314">
        <v>0</v>
      </c>
      <c r="EU99" s="168"/>
      <c r="EW99" s="164" t="s">
        <v>399</v>
      </c>
      <c r="EX99" s="316">
        <f t="shared" si="229"/>
        <v>0</v>
      </c>
      <c r="EY99" s="316">
        <f t="shared" si="225"/>
        <v>0</v>
      </c>
      <c r="EZ99" s="316">
        <f t="shared" si="225"/>
        <v>0</v>
      </c>
      <c r="FA99" s="316">
        <f t="shared" si="225"/>
        <v>0</v>
      </c>
      <c r="FB99" s="316">
        <f t="shared" si="225"/>
        <v>0</v>
      </c>
      <c r="FC99" s="316">
        <f t="shared" si="225"/>
        <v>0</v>
      </c>
      <c r="FD99" s="316">
        <f t="shared" si="225"/>
        <v>0</v>
      </c>
      <c r="FE99" s="316">
        <f t="shared" si="225"/>
        <v>0</v>
      </c>
      <c r="FF99" s="316"/>
      <c r="FG99" s="316">
        <f t="shared" si="225"/>
        <v>0</v>
      </c>
      <c r="FH99" s="316">
        <f t="shared" si="225"/>
        <v>0</v>
      </c>
      <c r="FI99" s="316">
        <f t="shared" si="225"/>
        <v>0</v>
      </c>
      <c r="FJ99" s="316">
        <f t="shared" si="225"/>
        <v>0</v>
      </c>
      <c r="FK99" s="316">
        <f t="shared" si="225"/>
        <v>0</v>
      </c>
      <c r="FL99" s="168"/>
    </row>
    <row r="100" spans="2:168" ht="15.75" thickBot="1" x14ac:dyDescent="0.3">
      <c r="B100" s="108" t="s">
        <v>29</v>
      </c>
      <c r="C100" s="109">
        <f t="shared" ref="C100:P100" si="252">SUM(C87:C99)</f>
        <v>3422655.3421499999</v>
      </c>
      <c r="D100" s="110">
        <f t="shared" si="252"/>
        <v>46048.784950000001</v>
      </c>
      <c r="E100" s="110">
        <f t="shared" si="252"/>
        <v>719046.95073000004</v>
      </c>
      <c r="F100" s="110">
        <f t="shared" si="252"/>
        <v>5826.7895299999991</v>
      </c>
      <c r="G100" s="110">
        <f t="shared" si="252"/>
        <v>320418.07053000003</v>
      </c>
      <c r="H100" s="110">
        <f t="shared" si="252"/>
        <v>1523.0923600000001</v>
      </c>
      <c r="I100" s="110">
        <f t="shared" si="252"/>
        <v>470717.41733000003</v>
      </c>
      <c r="J100" s="110">
        <f t="shared" si="252"/>
        <v>54496.340550000001</v>
      </c>
      <c r="K100" s="110">
        <f t="shared" si="252"/>
        <v>250441.19916999998</v>
      </c>
      <c r="L100" s="110">
        <f t="shared" si="252"/>
        <v>5052.5892700000004</v>
      </c>
      <c r="M100" s="110">
        <f t="shared" si="252"/>
        <v>6967.26649</v>
      </c>
      <c r="N100" s="110">
        <f t="shared" si="252"/>
        <v>24277.50549</v>
      </c>
      <c r="O100" s="110">
        <f t="shared" si="252"/>
        <v>733.00162</v>
      </c>
      <c r="P100" s="112">
        <f t="shared" si="252"/>
        <v>5328204.3501699995</v>
      </c>
      <c r="Y100" s="108" t="s">
        <v>29</v>
      </c>
      <c r="Z100" s="109">
        <f t="shared" ref="Z100:AM100" si="253">SUM(Z87:Z99)</f>
        <v>3422655.3421499999</v>
      </c>
      <c r="AA100" s="110">
        <f t="shared" si="253"/>
        <v>46048.784950000001</v>
      </c>
      <c r="AB100" s="110">
        <f t="shared" si="253"/>
        <v>719046.95073000004</v>
      </c>
      <c r="AC100" s="110">
        <f t="shared" si="253"/>
        <v>5826.7895299999991</v>
      </c>
      <c r="AD100" s="110">
        <f t="shared" si="253"/>
        <v>320418.07053000003</v>
      </c>
      <c r="AE100" s="110">
        <f t="shared" si="253"/>
        <v>1523.0923600000001</v>
      </c>
      <c r="AF100" s="110">
        <f t="shared" si="253"/>
        <v>470717.41733000003</v>
      </c>
      <c r="AG100" s="110">
        <f t="shared" si="253"/>
        <v>54496.340550000001</v>
      </c>
      <c r="AH100" s="110">
        <f t="shared" si="253"/>
        <v>264354.52896357427</v>
      </c>
      <c r="AI100" s="110">
        <f t="shared" si="253"/>
        <v>3405.6304853185952</v>
      </c>
      <c r="AJ100" s="110">
        <f t="shared" si="253"/>
        <v>5017.4676464900003</v>
      </c>
      <c r="AK100" s="110">
        <f t="shared" si="253"/>
        <v>24277.50549</v>
      </c>
      <c r="AL100" s="110">
        <f t="shared" si="253"/>
        <v>733.00162</v>
      </c>
      <c r="AM100" s="112">
        <f t="shared" si="253"/>
        <v>5338520.9223353826</v>
      </c>
      <c r="AO100" s="108" t="s">
        <v>29</v>
      </c>
      <c r="AP100" s="109">
        <f t="shared" ref="AP100:BC100" si="254">SUM(AP87:AP99)</f>
        <v>4703345</v>
      </c>
      <c r="AQ100" s="110">
        <f t="shared" si="254"/>
        <v>218690</v>
      </c>
      <c r="AR100" s="110">
        <f t="shared" si="254"/>
        <v>995565</v>
      </c>
      <c r="AS100" s="110">
        <f t="shared" si="254"/>
        <v>29350</v>
      </c>
      <c r="AT100" s="110">
        <f t="shared" si="254"/>
        <v>407940</v>
      </c>
      <c r="AU100" s="110">
        <f t="shared" si="254"/>
        <v>12055</v>
      </c>
      <c r="AV100" s="110">
        <f t="shared" si="254"/>
        <v>839375</v>
      </c>
      <c r="AW100" s="110">
        <f t="shared" si="254"/>
        <v>102585</v>
      </c>
      <c r="AX100" s="110">
        <f t="shared" si="254"/>
        <v>172560</v>
      </c>
      <c r="AY100" s="110">
        <f t="shared" si="254"/>
        <v>3600</v>
      </c>
      <c r="AZ100" s="110">
        <f t="shared" si="254"/>
        <v>2040</v>
      </c>
      <c r="BA100" s="110">
        <f t="shared" si="254"/>
        <v>45550</v>
      </c>
      <c r="BB100" s="110">
        <f t="shared" si="254"/>
        <v>0</v>
      </c>
      <c r="BC100" s="112">
        <f t="shared" si="254"/>
        <v>7532655</v>
      </c>
      <c r="BE100" s="108" t="s">
        <v>29</v>
      </c>
      <c r="BF100" s="120">
        <f t="shared" si="234"/>
        <v>1</v>
      </c>
      <c r="BG100" s="120">
        <f t="shared" si="234"/>
        <v>1</v>
      </c>
      <c r="BH100" s="120">
        <f t="shared" si="234"/>
        <v>1</v>
      </c>
      <c r="BI100" s="120">
        <f t="shared" si="234"/>
        <v>1</v>
      </c>
      <c r="BJ100" s="120">
        <f t="shared" si="234"/>
        <v>1</v>
      </c>
      <c r="BK100" s="120">
        <f t="shared" si="234"/>
        <v>1</v>
      </c>
      <c r="BL100" s="120">
        <f t="shared" si="234"/>
        <v>1</v>
      </c>
      <c r="BM100" s="120">
        <f t="shared" si="234"/>
        <v>1</v>
      </c>
      <c r="BN100" s="120">
        <f t="shared" si="234"/>
        <v>1</v>
      </c>
      <c r="BO100" s="120">
        <f t="shared" si="234"/>
        <v>1</v>
      </c>
      <c r="BP100" s="120">
        <f t="shared" si="234"/>
        <v>1</v>
      </c>
      <c r="BQ100" s="120">
        <f t="shared" si="234"/>
        <v>1</v>
      </c>
      <c r="BR100" s="120">
        <f t="shared" si="234"/>
        <v>1</v>
      </c>
      <c r="BS100" s="120">
        <f t="shared" si="234"/>
        <v>1</v>
      </c>
      <c r="BU100" s="108" t="s">
        <v>29</v>
      </c>
      <c r="BV100" s="120">
        <f t="shared" si="235"/>
        <v>1</v>
      </c>
      <c r="BW100" s="121">
        <f t="shared" si="236"/>
        <v>1</v>
      </c>
      <c r="BX100" s="121">
        <f t="shared" si="237"/>
        <v>1</v>
      </c>
      <c r="BY100" s="121">
        <f t="shared" si="238"/>
        <v>1</v>
      </c>
      <c r="BZ100" s="121">
        <f t="shared" si="239"/>
        <v>1</v>
      </c>
      <c r="CA100" s="121">
        <f t="shared" si="240"/>
        <v>1</v>
      </c>
      <c r="CB100" s="121">
        <f t="shared" si="241"/>
        <v>1</v>
      </c>
      <c r="CC100" s="121">
        <f t="shared" si="242"/>
        <v>1</v>
      </c>
      <c r="CD100" s="121">
        <f t="shared" si="243"/>
        <v>1</v>
      </c>
      <c r="CE100" s="121">
        <f t="shared" si="244"/>
        <v>1</v>
      </c>
      <c r="CF100" s="121">
        <f t="shared" si="245"/>
        <v>1</v>
      </c>
      <c r="CG100" s="121">
        <f t="shared" si="246"/>
        <v>1</v>
      </c>
      <c r="CH100" s="121" t="str">
        <f t="shared" si="247"/>
        <v/>
      </c>
      <c r="CI100" s="123">
        <f t="shared" si="248"/>
        <v>1</v>
      </c>
      <c r="CK100" s="108" t="s">
        <v>29</v>
      </c>
      <c r="CL100" s="120">
        <f t="shared" si="250"/>
        <v>0</v>
      </c>
      <c r="CM100" s="121">
        <f t="shared" si="250"/>
        <v>0</v>
      </c>
      <c r="CN100" s="121">
        <f t="shared" si="250"/>
        <v>0</v>
      </c>
      <c r="CO100" s="121">
        <f t="shared" si="250"/>
        <v>0</v>
      </c>
      <c r="CP100" s="121"/>
      <c r="CQ100" s="121"/>
      <c r="CR100" s="121"/>
      <c r="CS100" s="121"/>
      <c r="CT100" s="121">
        <f t="shared" si="251"/>
        <v>0</v>
      </c>
      <c r="CU100" s="121">
        <f t="shared" si="251"/>
        <v>0</v>
      </c>
      <c r="CV100" s="121">
        <f t="shared" si="251"/>
        <v>0</v>
      </c>
      <c r="CW100" s="121">
        <f t="shared" si="251"/>
        <v>0</v>
      </c>
      <c r="CX100" s="121" t="e">
        <f t="shared" si="251"/>
        <v>#VALUE!</v>
      </c>
      <c r="CY100" s="123">
        <f t="shared" si="251"/>
        <v>0</v>
      </c>
      <c r="DA100" s="108" t="s">
        <v>29</v>
      </c>
      <c r="DB100" s="120"/>
      <c r="DC100" s="121"/>
      <c r="DD100" s="121"/>
      <c r="DE100" s="121"/>
      <c r="DF100" s="121"/>
      <c r="DG100" s="121"/>
      <c r="DH100" s="121"/>
      <c r="DI100" s="121"/>
      <c r="DJ100" s="121"/>
      <c r="DK100" s="121"/>
      <c r="DL100" s="121"/>
      <c r="DM100" s="121"/>
      <c r="DN100" s="121"/>
      <c r="DO100" s="123"/>
      <c r="DQ100" s="108" t="s">
        <v>29</v>
      </c>
      <c r="DR100" s="120"/>
      <c r="DS100" s="121"/>
      <c r="DT100" s="121"/>
      <c r="DU100" s="121"/>
      <c r="DV100" s="121"/>
      <c r="DW100" s="121"/>
      <c r="DX100" s="121"/>
      <c r="DY100" s="121"/>
      <c r="DZ100" s="121"/>
      <c r="EA100" s="121"/>
      <c r="EB100" s="121"/>
      <c r="EC100" s="121"/>
      <c r="ED100" s="121"/>
      <c r="EE100" s="123"/>
      <c r="EG100" s="108" t="s">
        <v>29</v>
      </c>
      <c r="EH100" s="120"/>
      <c r="EI100" s="121"/>
      <c r="EJ100" s="121"/>
      <c r="EK100" s="121"/>
      <c r="EL100" s="121"/>
      <c r="EM100" s="121"/>
      <c r="EN100" s="121"/>
      <c r="EO100" s="121"/>
      <c r="EP100" s="121"/>
      <c r="EQ100" s="121"/>
      <c r="ER100" s="121"/>
      <c r="ES100" s="121"/>
      <c r="ET100" s="121"/>
      <c r="EU100" s="123"/>
      <c r="EW100" s="108" t="s">
        <v>29</v>
      </c>
      <c r="EX100" s="120"/>
      <c r="EY100" s="121"/>
      <c r="EZ100" s="121"/>
      <c r="FA100" s="121"/>
      <c r="FB100" s="121"/>
      <c r="FC100" s="121"/>
      <c r="FD100" s="121"/>
      <c r="FE100" s="121"/>
      <c r="FF100" s="121"/>
      <c r="FG100" s="121"/>
      <c r="FH100" s="121"/>
      <c r="FI100" s="121"/>
      <c r="FJ100" s="121"/>
      <c r="FK100" s="121"/>
      <c r="FL100" s="123"/>
    </row>
    <row r="101" spans="2:168" x14ac:dyDescent="0.25">
      <c r="B101" t="s">
        <v>222</v>
      </c>
      <c r="C101" s="383" t="s">
        <v>206</v>
      </c>
      <c r="D101" s="383"/>
      <c r="E101" s="383"/>
      <c r="F101" s="383"/>
      <c r="G101" s="383"/>
      <c r="H101" s="383"/>
      <c r="I101" s="383"/>
      <c r="J101" s="383"/>
      <c r="K101" s="383"/>
      <c r="L101" s="383"/>
      <c r="M101" s="383"/>
      <c r="N101" s="383"/>
      <c r="O101" s="383"/>
      <c r="P101" s="383"/>
      <c r="Y101" t="s">
        <v>222</v>
      </c>
      <c r="Z101" s="383" t="s">
        <v>206</v>
      </c>
      <c r="AA101" s="383"/>
      <c r="AB101" s="383"/>
      <c r="AC101" s="383"/>
      <c r="AD101" s="383"/>
      <c r="AE101" s="383"/>
      <c r="AF101" s="383"/>
      <c r="AG101" s="383"/>
      <c r="AH101" s="383"/>
      <c r="AI101" s="383"/>
      <c r="AJ101" s="383"/>
      <c r="AK101" s="383"/>
      <c r="AL101" s="383"/>
      <c r="AM101" s="383"/>
      <c r="AO101" t="s">
        <v>222</v>
      </c>
      <c r="AP101" s="383" t="s">
        <v>206</v>
      </c>
      <c r="AQ101" s="383"/>
      <c r="AR101" s="383"/>
      <c r="AS101" s="383"/>
      <c r="AT101" s="383"/>
      <c r="AU101" s="383"/>
      <c r="AV101" s="383"/>
      <c r="AW101" s="383"/>
      <c r="AX101" s="383"/>
      <c r="AY101" s="383"/>
      <c r="AZ101" s="383"/>
      <c r="BA101" s="383"/>
      <c r="BB101" s="383"/>
      <c r="BC101" s="383"/>
      <c r="BE101" t="s">
        <v>222</v>
      </c>
      <c r="BF101" s="383" t="s">
        <v>206</v>
      </c>
      <c r="BG101" s="383"/>
      <c r="BH101" s="383"/>
      <c r="BI101" s="383"/>
      <c r="BJ101" s="383"/>
      <c r="BK101" s="383"/>
      <c r="BL101" s="383"/>
      <c r="BM101" s="383"/>
      <c r="BN101" s="383"/>
      <c r="BO101" s="383"/>
      <c r="BP101" s="383"/>
      <c r="BQ101" s="383"/>
      <c r="BR101" s="383"/>
      <c r="BS101" s="383"/>
      <c r="BU101" t="s">
        <v>222</v>
      </c>
      <c r="BV101" s="383" t="s">
        <v>206</v>
      </c>
      <c r="BW101" s="383"/>
      <c r="BX101" s="383"/>
      <c r="BY101" s="383"/>
      <c r="BZ101" s="383"/>
      <c r="CA101" s="383"/>
      <c r="CB101" s="383"/>
      <c r="CC101" s="383"/>
      <c r="CD101" s="383"/>
      <c r="CE101" s="383"/>
      <c r="CF101" s="383"/>
      <c r="CG101" s="383"/>
      <c r="CH101" s="383"/>
      <c r="CI101" s="383"/>
      <c r="CK101" t="s">
        <v>222</v>
      </c>
      <c r="CL101" s="383" t="s">
        <v>206</v>
      </c>
      <c r="CM101" s="383"/>
      <c r="CN101" s="383"/>
      <c r="CO101" s="383"/>
      <c r="CP101" s="383"/>
      <c r="CQ101" s="383"/>
      <c r="CR101" s="383"/>
      <c r="CS101" s="383"/>
      <c r="CT101" s="383"/>
      <c r="CU101" s="383"/>
      <c r="CV101" s="383"/>
      <c r="CW101" s="383"/>
      <c r="CX101" s="383"/>
      <c r="CY101" s="383"/>
      <c r="DA101" t="s">
        <v>195</v>
      </c>
      <c r="DB101" s="383" t="s">
        <v>206</v>
      </c>
      <c r="DC101" s="383"/>
      <c r="DD101" s="383"/>
      <c r="DE101" s="383"/>
      <c r="DF101" s="383"/>
      <c r="DG101" s="383"/>
      <c r="DH101" s="383"/>
      <c r="DI101" s="383"/>
      <c r="DJ101" s="383"/>
      <c r="DK101" s="383"/>
      <c r="DL101" s="383"/>
      <c r="DM101" s="383"/>
      <c r="DN101" s="383"/>
      <c r="DO101" s="383"/>
      <c r="DQ101" t="s">
        <v>195</v>
      </c>
      <c r="DR101" s="383" t="s">
        <v>206</v>
      </c>
      <c r="DS101" s="383"/>
      <c r="DT101" s="383"/>
      <c r="DU101" s="383"/>
      <c r="DV101" s="383"/>
      <c r="DW101" s="383"/>
      <c r="DX101" s="383"/>
      <c r="DY101" s="383"/>
      <c r="DZ101" s="383"/>
      <c r="EA101" s="383"/>
      <c r="EB101" s="383"/>
      <c r="EC101" s="383"/>
      <c r="ED101" s="383"/>
      <c r="EE101" s="383"/>
      <c r="EG101" t="s">
        <v>195</v>
      </c>
      <c r="EH101" s="383" t="s">
        <v>206</v>
      </c>
      <c r="EI101" s="383"/>
      <c r="EJ101" s="383"/>
      <c r="EK101" s="383"/>
      <c r="EL101" s="383"/>
      <c r="EM101" s="383"/>
      <c r="EN101" s="383"/>
      <c r="EO101" s="383"/>
      <c r="EP101" s="383"/>
      <c r="EQ101" s="383"/>
      <c r="ER101" s="383"/>
      <c r="ES101" s="383"/>
      <c r="ET101" s="383"/>
      <c r="EU101" s="383"/>
      <c r="EW101" t="s">
        <v>195</v>
      </c>
      <c r="EX101" s="383" t="s">
        <v>207</v>
      </c>
      <c r="EY101" s="383"/>
      <c r="EZ101" s="383"/>
      <c r="FA101" s="383"/>
      <c r="FB101" s="383"/>
      <c r="FC101" s="383"/>
      <c r="FD101" s="383"/>
      <c r="FE101" s="383"/>
      <c r="FF101" s="383"/>
      <c r="FG101" s="383"/>
      <c r="FH101" s="383"/>
      <c r="FI101" s="383"/>
      <c r="FJ101" s="383"/>
      <c r="FK101" s="383"/>
      <c r="FL101" s="383"/>
    </row>
    <row r="102" spans="2:168" ht="35.450000000000003" customHeight="1" x14ac:dyDescent="0.25">
      <c r="B102" s="163" t="s">
        <v>207</v>
      </c>
      <c r="C102" s="164" t="s">
        <v>386</v>
      </c>
      <c r="D102" s="164" t="s">
        <v>387</v>
      </c>
      <c r="E102" s="164" t="s">
        <v>388</v>
      </c>
      <c r="F102" s="164" t="s">
        <v>389</v>
      </c>
      <c r="G102" s="164" t="s">
        <v>390</v>
      </c>
      <c r="H102" s="164" t="s">
        <v>391</v>
      </c>
      <c r="I102" s="164" t="s">
        <v>392</v>
      </c>
      <c r="J102" s="164" t="s">
        <v>393</v>
      </c>
      <c r="K102" s="164" t="s">
        <v>546</v>
      </c>
      <c r="L102" s="164" t="s">
        <v>396</v>
      </c>
      <c r="M102" s="164" t="s">
        <v>397</v>
      </c>
      <c r="N102" s="164" t="s">
        <v>398</v>
      </c>
      <c r="O102" s="164" t="s">
        <v>399</v>
      </c>
      <c r="P102" s="106" t="s">
        <v>29</v>
      </c>
      <c r="R102" s="164" t="s">
        <v>546</v>
      </c>
      <c r="S102" s="164" t="s">
        <v>396</v>
      </c>
      <c r="T102" s="164" t="s">
        <v>397</v>
      </c>
      <c r="U102" s="164" t="s">
        <v>546</v>
      </c>
      <c r="V102" s="164" t="s">
        <v>396</v>
      </c>
      <c r="W102" s="164" t="s">
        <v>397</v>
      </c>
      <c r="X102" s="296"/>
      <c r="Y102" s="163" t="s">
        <v>207</v>
      </c>
      <c r="Z102" s="164" t="s">
        <v>386</v>
      </c>
      <c r="AA102" s="164" t="s">
        <v>387</v>
      </c>
      <c r="AB102" s="164" t="s">
        <v>388</v>
      </c>
      <c r="AC102" s="164" t="s">
        <v>389</v>
      </c>
      <c r="AD102" s="164" t="s">
        <v>390</v>
      </c>
      <c r="AE102" s="164" t="s">
        <v>391</v>
      </c>
      <c r="AF102" s="164" t="s">
        <v>392</v>
      </c>
      <c r="AG102" s="164" t="s">
        <v>393</v>
      </c>
      <c r="AH102" s="164" t="s">
        <v>546</v>
      </c>
      <c r="AI102" s="164" t="s">
        <v>396</v>
      </c>
      <c r="AJ102" s="164" t="s">
        <v>397</v>
      </c>
      <c r="AK102" s="164" t="s">
        <v>398</v>
      </c>
      <c r="AL102" s="164" t="s">
        <v>399</v>
      </c>
      <c r="AM102" s="106" t="s">
        <v>29</v>
      </c>
      <c r="AN102" s="296"/>
      <c r="AO102" s="163" t="s">
        <v>207</v>
      </c>
      <c r="AP102" s="164" t="s">
        <v>386</v>
      </c>
      <c r="AQ102" s="164" t="s">
        <v>387</v>
      </c>
      <c r="AR102" s="164" t="s">
        <v>388</v>
      </c>
      <c r="AS102" s="164" t="s">
        <v>389</v>
      </c>
      <c r="AT102" s="164" t="s">
        <v>390</v>
      </c>
      <c r="AU102" s="164" t="s">
        <v>391</v>
      </c>
      <c r="AV102" s="164" t="s">
        <v>392</v>
      </c>
      <c r="AW102" s="164" t="s">
        <v>393</v>
      </c>
      <c r="AX102" s="164" t="s">
        <v>546</v>
      </c>
      <c r="AY102" s="164" t="s">
        <v>396</v>
      </c>
      <c r="AZ102" s="164" t="s">
        <v>397</v>
      </c>
      <c r="BA102" s="164" t="s">
        <v>398</v>
      </c>
      <c r="BB102" s="164" t="s">
        <v>399</v>
      </c>
      <c r="BC102" s="106" t="s">
        <v>29</v>
      </c>
      <c r="BE102" s="163" t="s">
        <v>207</v>
      </c>
      <c r="BF102" s="164" t="s">
        <v>538</v>
      </c>
      <c r="BG102" s="164"/>
      <c r="BH102" s="164" t="s">
        <v>576</v>
      </c>
      <c r="BI102" s="164"/>
      <c r="BJ102" s="164" t="s">
        <v>577</v>
      </c>
      <c r="BK102" s="164"/>
      <c r="BL102" s="164" t="s">
        <v>392</v>
      </c>
      <c r="BM102" s="164" t="s">
        <v>393</v>
      </c>
      <c r="BN102" s="164" t="s">
        <v>546</v>
      </c>
      <c r="BO102" s="164" t="s">
        <v>396</v>
      </c>
      <c r="BP102" s="164" t="s">
        <v>397</v>
      </c>
      <c r="BQ102" s="164" t="s">
        <v>398</v>
      </c>
      <c r="BR102" s="164" t="s">
        <v>399</v>
      </c>
      <c r="BS102" s="106" t="s">
        <v>29</v>
      </c>
      <c r="BU102" s="163" t="s">
        <v>207</v>
      </c>
      <c r="BV102" s="164" t="s">
        <v>538</v>
      </c>
      <c r="BW102" s="164"/>
      <c r="BX102" s="164" t="s">
        <v>576</v>
      </c>
      <c r="BY102" s="164"/>
      <c r="BZ102" s="164" t="s">
        <v>577</v>
      </c>
      <c r="CA102" s="164"/>
      <c r="CB102" s="164" t="s">
        <v>392</v>
      </c>
      <c r="CC102" s="164" t="s">
        <v>393</v>
      </c>
      <c r="CD102" s="164" t="s">
        <v>546</v>
      </c>
      <c r="CE102" s="164" t="s">
        <v>396</v>
      </c>
      <c r="CF102" s="164" t="s">
        <v>397</v>
      </c>
      <c r="CG102" s="164" t="s">
        <v>398</v>
      </c>
      <c r="CH102" s="164" t="s">
        <v>399</v>
      </c>
      <c r="CI102" s="106" t="s">
        <v>29</v>
      </c>
      <c r="CK102" s="163" t="s">
        <v>207</v>
      </c>
      <c r="CL102" s="164" t="s">
        <v>386</v>
      </c>
      <c r="CM102" s="164" t="s">
        <v>387</v>
      </c>
      <c r="CN102" s="164" t="s">
        <v>388</v>
      </c>
      <c r="CO102" s="164" t="s">
        <v>389</v>
      </c>
      <c r="CP102" s="164" t="s">
        <v>390</v>
      </c>
      <c r="CQ102" s="164" t="s">
        <v>391</v>
      </c>
      <c r="CR102" s="164" t="s">
        <v>392</v>
      </c>
      <c r="CS102" s="164" t="s">
        <v>393</v>
      </c>
      <c r="CT102" s="164" t="s">
        <v>546</v>
      </c>
      <c r="CU102" s="164" t="s">
        <v>396</v>
      </c>
      <c r="CV102" s="164" t="s">
        <v>397</v>
      </c>
      <c r="CW102" s="164" t="s">
        <v>398</v>
      </c>
      <c r="CX102" s="164" t="s">
        <v>399</v>
      </c>
      <c r="CY102" s="106" t="s">
        <v>29</v>
      </c>
      <c r="DA102" s="163" t="s">
        <v>207</v>
      </c>
      <c r="DB102" s="164" t="s">
        <v>538</v>
      </c>
      <c r="DC102" s="164"/>
      <c r="DD102" s="164" t="s">
        <v>576</v>
      </c>
      <c r="DE102" s="164"/>
      <c r="DF102" s="164" t="s">
        <v>577</v>
      </c>
      <c r="DG102" s="164"/>
      <c r="DH102" s="164" t="s">
        <v>392</v>
      </c>
      <c r="DI102" s="164" t="s">
        <v>393</v>
      </c>
      <c r="DJ102" s="164" t="s">
        <v>546</v>
      </c>
      <c r="DK102" s="164" t="s">
        <v>396</v>
      </c>
      <c r="DL102" s="164" t="s">
        <v>397</v>
      </c>
      <c r="DM102" s="164" t="s">
        <v>398</v>
      </c>
      <c r="DN102" s="164" t="s">
        <v>399</v>
      </c>
      <c r="DO102" s="106" t="s">
        <v>29</v>
      </c>
      <c r="DQ102" s="163" t="s">
        <v>207</v>
      </c>
      <c r="DR102" s="164" t="s">
        <v>538</v>
      </c>
      <c r="DS102" s="164"/>
      <c r="DT102" s="164" t="s">
        <v>576</v>
      </c>
      <c r="DU102" s="164"/>
      <c r="DV102" s="164" t="s">
        <v>577</v>
      </c>
      <c r="DW102" s="164"/>
      <c r="DX102" s="164" t="s">
        <v>392</v>
      </c>
      <c r="DY102" s="164" t="s">
        <v>393</v>
      </c>
      <c r="DZ102" s="164" t="s">
        <v>546</v>
      </c>
      <c r="EA102" s="164" t="s">
        <v>396</v>
      </c>
      <c r="EB102" s="164" t="s">
        <v>397</v>
      </c>
      <c r="EC102" s="164" t="s">
        <v>398</v>
      </c>
      <c r="ED102" s="164" t="s">
        <v>399</v>
      </c>
      <c r="EE102" s="106" t="s">
        <v>29</v>
      </c>
      <c r="EG102" s="163" t="s">
        <v>207</v>
      </c>
      <c r="EH102" s="164" t="s">
        <v>538</v>
      </c>
      <c r="EI102" s="164"/>
      <c r="EJ102" s="164" t="s">
        <v>576</v>
      </c>
      <c r="EK102" s="164"/>
      <c r="EL102" s="164" t="s">
        <v>577</v>
      </c>
      <c r="EM102" s="164"/>
      <c r="EN102" s="164" t="s">
        <v>392</v>
      </c>
      <c r="EO102" s="164" t="s">
        <v>393</v>
      </c>
      <c r="EP102" s="164" t="s">
        <v>546</v>
      </c>
      <c r="EQ102" s="164" t="s">
        <v>396</v>
      </c>
      <c r="ER102" s="164" t="s">
        <v>397</v>
      </c>
      <c r="ES102" s="164" t="s">
        <v>398</v>
      </c>
      <c r="ET102" s="164" t="s">
        <v>399</v>
      </c>
      <c r="EU102" s="106" t="s">
        <v>29</v>
      </c>
      <c r="EW102" s="163" t="s">
        <v>206</v>
      </c>
      <c r="EX102" s="164" t="s">
        <v>386</v>
      </c>
      <c r="EY102" s="164" t="s">
        <v>387</v>
      </c>
      <c r="EZ102" s="164" t="s">
        <v>388</v>
      </c>
      <c r="FA102" s="164" t="s">
        <v>389</v>
      </c>
      <c r="FB102" s="164" t="s">
        <v>390</v>
      </c>
      <c r="FC102" s="164" t="s">
        <v>391</v>
      </c>
      <c r="FD102" s="164" t="s">
        <v>392</v>
      </c>
      <c r="FE102" s="164" t="s">
        <v>393</v>
      </c>
      <c r="FF102" s="164"/>
      <c r="FG102" s="164" t="s">
        <v>546</v>
      </c>
      <c r="FH102" s="164" t="s">
        <v>396</v>
      </c>
      <c r="FI102" s="164" t="s">
        <v>397</v>
      </c>
      <c r="FJ102" s="164" t="s">
        <v>398</v>
      </c>
      <c r="FK102" s="164" t="s">
        <v>399</v>
      </c>
      <c r="FL102" s="106" t="s">
        <v>29</v>
      </c>
    </row>
    <row r="103" spans="2:168" x14ac:dyDescent="0.25">
      <c r="B103" s="107" t="s">
        <v>386</v>
      </c>
      <c r="C103" s="160">
        <f>TripMode_input!B84</f>
        <v>1777601.0380200001</v>
      </c>
      <c r="D103" s="160">
        <f>TripMode_input!C84</f>
        <v>11582.41519</v>
      </c>
      <c r="E103" s="160">
        <f>TripMode_input!D84</f>
        <v>110040.76648999999</v>
      </c>
      <c r="F103" s="160">
        <f>TripMode_input!E84</f>
        <v>806.92841999999996</v>
      </c>
      <c r="G103" s="160">
        <f>TripMode_input!F84</f>
        <v>41922.475270000003</v>
      </c>
      <c r="H103" s="160">
        <f>TripMode_input!G84</f>
        <v>307.89278000000002</v>
      </c>
      <c r="I103" s="294"/>
      <c r="J103" s="294"/>
      <c r="K103" s="294"/>
      <c r="L103" s="294"/>
      <c r="M103" s="294"/>
      <c r="N103" s="294"/>
      <c r="O103" s="294"/>
      <c r="P103" s="161">
        <f t="shared" ref="P103:P115" si="255">SUM(C103:O103)</f>
        <v>1942261.5161700004</v>
      </c>
      <c r="R103">
        <f>IF(K$111&gt;0,K103/K$111,0)</f>
        <v>0</v>
      </c>
      <c r="S103">
        <f>IF(L$112&gt;0,L103/L$112,0)</f>
        <v>0</v>
      </c>
      <c r="T103">
        <f>IF(M$113&gt;0,M103/M$113,0)</f>
        <v>0</v>
      </c>
      <c r="Y103" s="107" t="s">
        <v>386</v>
      </c>
      <c r="Z103" s="160">
        <f t="shared" ref="Z103:AC104" si="256">+C103</f>
        <v>1777601.0380200001</v>
      </c>
      <c r="AA103" s="160">
        <f t="shared" si="256"/>
        <v>11582.41519</v>
      </c>
      <c r="AB103" s="160">
        <f t="shared" si="256"/>
        <v>110040.76648999999</v>
      </c>
      <c r="AC103" s="160">
        <f t="shared" si="256"/>
        <v>806.92841999999996</v>
      </c>
      <c r="AD103" s="160">
        <f t="shared" ref="AD103:AD109" si="257">+G103</f>
        <v>41922.475270000003</v>
      </c>
      <c r="AE103" s="160">
        <f t="shared" ref="AE103:AE109" si="258">+H103</f>
        <v>307.89278000000002</v>
      </c>
      <c r="AF103" s="294"/>
      <c r="AG103" s="294"/>
      <c r="AH103" s="294"/>
      <c r="AI103" s="294"/>
      <c r="AJ103" s="294"/>
      <c r="AK103" s="294"/>
      <c r="AL103" s="294"/>
      <c r="AM103" s="161">
        <f t="shared" ref="AM103:AM115" si="259">SUM(Z103:AL103)</f>
        <v>1942261.5161700004</v>
      </c>
      <c r="AO103" s="107" t="s">
        <v>386</v>
      </c>
      <c r="AP103" s="160">
        <f>TripMode_input!R84*Index!$B$2</f>
        <v>2530025</v>
      </c>
      <c r="AQ103" s="160">
        <f>TripMode_input!S84*Index!$B$2</f>
        <v>146725</v>
      </c>
      <c r="AR103" s="160">
        <f>TripMode_input!T84*Index!$B$2</f>
        <v>244125</v>
      </c>
      <c r="AS103" s="160">
        <f>TripMode_input!U84*Index!$B$2</f>
        <v>3530</v>
      </c>
      <c r="AT103" s="160">
        <f>TripMode_input!V84*Index!$B$2</f>
        <v>59435</v>
      </c>
      <c r="AU103" s="160">
        <f>TripMode_input!W84*Index!$B$2</f>
        <v>680</v>
      </c>
      <c r="AV103" s="294">
        <f>TripMode_input!X84*Index!$B$2</f>
        <v>0</v>
      </c>
      <c r="AW103" s="294">
        <f>TripMode_input!Y84*Index!$B$2</f>
        <v>0</v>
      </c>
      <c r="AX103" s="294">
        <f>TripMode_input!AA84*Index!$B$2</f>
        <v>0</v>
      </c>
      <c r="AY103" s="294">
        <f>TripMode_input!AB84*Index!$B$2</f>
        <v>0</v>
      </c>
      <c r="AZ103" s="160">
        <f>TripMode_input!AC84*Index!$B$2</f>
        <v>0</v>
      </c>
      <c r="BA103" s="294">
        <f>TripMode_input!AD84*Index!$B$2</f>
        <v>0</v>
      </c>
      <c r="BB103" s="294">
        <f>TripMode_input!AE84*Index!$B$2</f>
        <v>0</v>
      </c>
      <c r="BC103" s="161">
        <f t="shared" ref="BC103:BC115" si="260">SUM(AP103:BB103)</f>
        <v>2984520</v>
      </c>
      <c r="BE103" s="107" t="s">
        <v>538</v>
      </c>
      <c r="BF103" s="166">
        <f>IF(Z$116+AA$116&gt;0,SUM(Z103:AA104)/(Z$116+AA$116),"")</f>
        <v>1.0000000000000002</v>
      </c>
      <c r="BG103" s="166"/>
      <c r="BH103" s="166">
        <f>IF(AB$116+AC$116&gt;0,SUM(AB103:AC104)/(AB$116+AC$116),"")</f>
        <v>0.1559544449281805</v>
      </c>
      <c r="BI103" s="166"/>
      <c r="BJ103" s="166">
        <f>IF(AD$116+AE$116&gt;0,SUM(AD103:AE104)/(AD$116+AE$116),"")</f>
        <v>7.3091374639025708E-2</v>
      </c>
      <c r="BK103" s="166"/>
      <c r="BL103" s="166">
        <f t="shared" ref="BL103:BS103" si="261">IF(AF$116&gt;0,(AF103+AF104)/AF$116,"")</f>
        <v>0</v>
      </c>
      <c r="BM103" s="166">
        <f t="shared" si="261"/>
        <v>0</v>
      </c>
      <c r="BN103" s="166">
        <f t="shared" si="261"/>
        <v>0</v>
      </c>
      <c r="BO103" s="166">
        <f t="shared" si="261"/>
        <v>0</v>
      </c>
      <c r="BP103" s="166">
        <f t="shared" si="261"/>
        <v>0</v>
      </c>
      <c r="BQ103" s="166">
        <f t="shared" si="261"/>
        <v>0</v>
      </c>
      <c r="BR103" s="166">
        <f t="shared" si="261"/>
        <v>0</v>
      </c>
      <c r="BS103" s="166">
        <f t="shared" si="261"/>
        <v>0.52094862935222563</v>
      </c>
      <c r="BU103" s="107" t="s">
        <v>538</v>
      </c>
      <c r="BV103" s="166">
        <f>IF(AP$116+AQ$116&gt;0,SUM(AP103:AQ104)/(AP$116+AQ$116),"")</f>
        <v>1</v>
      </c>
      <c r="BW103" s="166"/>
      <c r="BX103" s="166">
        <f>IF(AR$116+AS$116&gt;0,SUM(AR103:AS104)/(AR$116+AS$116),"")</f>
        <v>0.20237032707512223</v>
      </c>
      <c r="BY103" s="166"/>
      <c r="BZ103" s="166">
        <f>IF(AT$116+AU$116&gt;0,SUM(AT103:AU104)/(AT$116+AU$116),"")</f>
        <v>6.8280985672599465E-2</v>
      </c>
      <c r="CA103" s="166"/>
      <c r="CB103" s="166">
        <f t="shared" ref="CB103:CI103" si="262">IF(AV$116&gt;0,(AV103+AV104)/AV$116,"")</f>
        <v>0</v>
      </c>
      <c r="CC103" s="166">
        <f t="shared" si="262"/>
        <v>0</v>
      </c>
      <c r="CD103" s="166">
        <f t="shared" si="262"/>
        <v>0</v>
      </c>
      <c r="CE103" s="166">
        <f t="shared" si="262"/>
        <v>0</v>
      </c>
      <c r="CF103" s="166">
        <f t="shared" si="262"/>
        <v>0</v>
      </c>
      <c r="CG103" s="166">
        <f t="shared" si="262"/>
        <v>0</v>
      </c>
      <c r="CH103" s="166" t="str">
        <f t="shared" si="262"/>
        <v/>
      </c>
      <c r="CI103" s="166">
        <f t="shared" si="262"/>
        <v>0.50540510018870799</v>
      </c>
      <c r="CK103" s="107" t="s">
        <v>386</v>
      </c>
      <c r="CL103" s="166">
        <f t="shared" ref="CL103:CO106" si="263">IF(OR(ISNA(BF103),BF103=0,BF103=""),"",(BV103-BF103)/BF103)</f>
        <v>-2.2204460492503126E-16</v>
      </c>
      <c r="CM103" s="166" t="str">
        <f t="shared" si="263"/>
        <v/>
      </c>
      <c r="CN103" s="166">
        <f t="shared" si="263"/>
        <v>0.29762461831925968</v>
      </c>
      <c r="CO103" s="166" t="str">
        <f t="shared" si="263"/>
        <v/>
      </c>
      <c r="CP103" s="166"/>
      <c r="CQ103" s="166"/>
      <c r="CR103" s="166"/>
      <c r="CS103" s="166"/>
      <c r="CT103" s="166" t="str">
        <f t="shared" ref="CT103:CY106" si="264">IF(OR(ISNA(BN103),BN103=0,BN103=""),"",(CD103-BN103)/BN103)</f>
        <v/>
      </c>
      <c r="CU103" s="166" t="str">
        <f t="shared" si="264"/>
        <v/>
      </c>
      <c r="CV103" s="166" t="str">
        <f t="shared" si="264"/>
        <v/>
      </c>
      <c r="CW103" s="166" t="str">
        <f t="shared" si="264"/>
        <v/>
      </c>
      <c r="CX103" s="166" t="str">
        <f t="shared" si="264"/>
        <v/>
      </c>
      <c r="CY103" s="167">
        <f t="shared" si="264"/>
        <v>-2.9836971032720191E-2</v>
      </c>
      <c r="DA103" s="107" t="s">
        <v>538</v>
      </c>
      <c r="DB103" s="314">
        <f>IFERROR(IF(BV103&gt;0,LN(BF103/BV103),0),0)</f>
        <v>2.2204460492503128E-16</v>
      </c>
      <c r="DC103" s="314"/>
      <c r="DD103" s="314">
        <f>IFERROR(IF(BX103&gt;0,LN(BH103/BX103),0),0)</f>
        <v>-0.26053537639329227</v>
      </c>
      <c r="DE103" s="314"/>
      <c r="DF103" s="314">
        <f>IFERROR(IF(BZ103&gt;0,LN(BJ103/BZ103),0),0)</f>
        <v>6.8079032233684542E-2</v>
      </c>
      <c r="DG103" s="314"/>
      <c r="DH103" s="315"/>
      <c r="DI103" s="315"/>
      <c r="DJ103" s="315"/>
      <c r="DK103" s="315"/>
      <c r="DL103" s="315"/>
      <c r="DM103" s="315"/>
      <c r="DN103" s="315"/>
      <c r="DO103" s="167"/>
      <c r="DQ103" s="107" t="s">
        <v>538</v>
      </c>
      <c r="DR103" s="314">
        <v>0</v>
      </c>
      <c r="DS103" s="314">
        <v>0</v>
      </c>
      <c r="DT103" s="314">
        <v>0</v>
      </c>
      <c r="DU103" s="314">
        <v>0</v>
      </c>
      <c r="DV103" s="314">
        <v>0</v>
      </c>
      <c r="DW103" s="314">
        <v>0</v>
      </c>
      <c r="DX103" s="315"/>
      <c r="DY103" s="315"/>
      <c r="DZ103" s="315"/>
      <c r="EA103" s="315"/>
      <c r="EB103" s="315"/>
      <c r="EC103" s="315"/>
      <c r="ED103" s="315"/>
      <c r="EE103" s="167"/>
      <c r="EG103" s="107" t="s">
        <v>538</v>
      </c>
      <c r="EH103" s="314">
        <v>0</v>
      </c>
      <c r="EI103" s="314">
        <v>0</v>
      </c>
      <c r="EJ103" s="314">
        <v>0</v>
      </c>
      <c r="EK103" s="314">
        <v>0</v>
      </c>
      <c r="EL103" s="314">
        <v>0</v>
      </c>
      <c r="EM103" s="314">
        <v>0</v>
      </c>
      <c r="EN103" s="315"/>
      <c r="EO103" s="315"/>
      <c r="EP103" s="315"/>
      <c r="EQ103" s="315"/>
      <c r="ER103" s="315"/>
      <c r="ES103" s="315"/>
      <c r="ET103" s="315"/>
      <c r="EU103" s="167"/>
      <c r="EW103" s="164" t="s">
        <v>386</v>
      </c>
      <c r="EX103" s="316">
        <f>INDEX($EH$103:$ET$115,EX$4,MATCH($EW103,$EW$7:$EW$19,0))</f>
        <v>0</v>
      </c>
      <c r="EY103" s="316">
        <f t="shared" ref="EY103:FK115" si="265">INDEX($EH$103:$ET$115,EY$4,MATCH($EW103,$EW$7:$EW$19,0))</f>
        <v>0</v>
      </c>
      <c r="EZ103" s="316">
        <f t="shared" si="265"/>
        <v>0</v>
      </c>
      <c r="FA103" s="316">
        <f t="shared" si="265"/>
        <v>0</v>
      </c>
      <c r="FB103" s="316">
        <f t="shared" si="265"/>
        <v>0</v>
      </c>
      <c r="FC103" s="316">
        <f t="shared" si="265"/>
        <v>0</v>
      </c>
      <c r="FD103" s="316">
        <f t="shared" si="265"/>
        <v>0</v>
      </c>
      <c r="FE103" s="316">
        <f t="shared" si="265"/>
        <v>0</v>
      </c>
      <c r="FF103" s="316"/>
      <c r="FG103" s="316">
        <f t="shared" si="265"/>
        <v>0</v>
      </c>
      <c r="FH103" s="316">
        <f t="shared" si="265"/>
        <v>0</v>
      </c>
      <c r="FI103" s="316">
        <f t="shared" si="265"/>
        <v>0</v>
      </c>
      <c r="FJ103" s="316">
        <f t="shared" si="265"/>
        <v>0</v>
      </c>
      <c r="FK103" s="316">
        <f t="shared" si="265"/>
        <v>0</v>
      </c>
      <c r="FL103" s="167"/>
    </row>
    <row r="104" spans="2:168" x14ac:dyDescent="0.25">
      <c r="B104" s="107" t="s">
        <v>387</v>
      </c>
      <c r="C104" s="160">
        <f>TripMode_input!B85</f>
        <v>0</v>
      </c>
      <c r="D104" s="160">
        <f>TripMode_input!C85</f>
        <v>22786.197540000001</v>
      </c>
      <c r="E104" s="160">
        <f>TripMode_input!D85</f>
        <v>0</v>
      </c>
      <c r="F104" s="160">
        <f>TripMode_input!E85</f>
        <v>490.77112</v>
      </c>
      <c r="G104" s="160">
        <f>TripMode_input!F85</f>
        <v>0</v>
      </c>
      <c r="H104" s="160">
        <f>TripMode_input!G85</f>
        <v>157.63799</v>
      </c>
      <c r="I104" s="294"/>
      <c r="J104" s="294"/>
      <c r="K104" s="294"/>
      <c r="L104" s="294"/>
      <c r="M104" s="294"/>
      <c r="N104" s="294"/>
      <c r="O104" s="294"/>
      <c r="P104" s="162">
        <f t="shared" si="255"/>
        <v>23434.606650000002</v>
      </c>
      <c r="R104">
        <f t="shared" ref="R104:R115" si="266">IF(K$111&gt;0,K104/K$111,0)</f>
        <v>0</v>
      </c>
      <c r="S104">
        <f t="shared" ref="S104:S115" si="267">IF(L$112&gt;0,L104/L$112,0)</f>
        <v>0</v>
      </c>
      <c r="T104">
        <f t="shared" ref="T104:T115" si="268">IF(M$113&gt;0,M104/M$113,0)</f>
        <v>0</v>
      </c>
      <c r="Y104" s="107" t="s">
        <v>387</v>
      </c>
      <c r="Z104" s="160">
        <f t="shared" si="256"/>
        <v>0</v>
      </c>
      <c r="AA104" s="160">
        <f t="shared" si="256"/>
        <v>22786.197540000001</v>
      </c>
      <c r="AB104" s="160">
        <f t="shared" si="256"/>
        <v>0</v>
      </c>
      <c r="AC104" s="160">
        <f t="shared" si="256"/>
        <v>490.77112</v>
      </c>
      <c r="AD104" s="160">
        <f t="shared" si="257"/>
        <v>0</v>
      </c>
      <c r="AE104" s="160">
        <f t="shared" si="258"/>
        <v>157.63799</v>
      </c>
      <c r="AF104" s="294"/>
      <c r="AG104" s="294"/>
      <c r="AH104" s="294"/>
      <c r="AI104" s="294"/>
      <c r="AJ104" s="294"/>
      <c r="AK104" s="294"/>
      <c r="AL104" s="294"/>
      <c r="AM104" s="162">
        <f t="shared" si="259"/>
        <v>23434.606650000002</v>
      </c>
      <c r="AO104" s="107" t="s">
        <v>387</v>
      </c>
      <c r="AP104" s="160">
        <f>TripMode_input!R85*Index!$B$2</f>
        <v>56460</v>
      </c>
      <c r="AQ104" s="160">
        <f>TripMode_input!S85*Index!$B$2</f>
        <v>36225</v>
      </c>
      <c r="AR104" s="160">
        <f>TripMode_input!T85*Index!$B$2</f>
        <v>7675</v>
      </c>
      <c r="AS104" s="160">
        <f>TripMode_input!U85*Index!$B$2</f>
        <v>885</v>
      </c>
      <c r="AT104" s="160">
        <f>TripMode_input!V85*Index!$B$2</f>
        <v>2150</v>
      </c>
      <c r="AU104" s="160">
        <f>TripMode_input!W85*Index!$B$2</f>
        <v>95</v>
      </c>
      <c r="AV104" s="294">
        <f>TripMode_input!X85*Index!$B$2</f>
        <v>0</v>
      </c>
      <c r="AW104" s="294">
        <f>TripMode_input!Y85*Index!$B$2</f>
        <v>0</v>
      </c>
      <c r="AX104" s="294">
        <f>TripMode_input!AA85*Index!$B$2</f>
        <v>0</v>
      </c>
      <c r="AY104" s="294">
        <f>TripMode_input!AB85*Index!$B$2</f>
        <v>0</v>
      </c>
      <c r="AZ104" s="160">
        <f>TripMode_input!AC85*Index!$B$2</f>
        <v>0</v>
      </c>
      <c r="BA104" s="294">
        <f>TripMode_input!AD85*Index!$B$2</f>
        <v>0</v>
      </c>
      <c r="BB104" s="294">
        <f>TripMode_input!AE85*Index!$B$2</f>
        <v>0</v>
      </c>
      <c r="BC104" s="162">
        <f t="shared" si="260"/>
        <v>103490</v>
      </c>
      <c r="BE104" s="107"/>
      <c r="BF104" s="166"/>
      <c r="BG104" s="166"/>
      <c r="BH104" s="166"/>
      <c r="BI104" s="166"/>
      <c r="BJ104" s="166"/>
      <c r="BK104" s="166"/>
      <c r="BL104" s="166"/>
      <c r="BM104" s="166"/>
      <c r="BN104" s="166"/>
      <c r="BO104" s="166"/>
      <c r="BP104" s="166"/>
      <c r="BQ104" s="166"/>
      <c r="BR104" s="166"/>
      <c r="BS104" s="166"/>
      <c r="BU104" s="107"/>
      <c r="BV104" s="166"/>
      <c r="BW104" s="166"/>
      <c r="BX104" s="166"/>
      <c r="BY104" s="166"/>
      <c r="BZ104" s="166"/>
      <c r="CA104" s="166"/>
      <c r="CB104" s="166"/>
      <c r="CC104" s="166"/>
      <c r="CD104" s="166"/>
      <c r="CE104" s="166"/>
      <c r="CF104" s="166"/>
      <c r="CG104" s="166"/>
      <c r="CH104" s="166"/>
      <c r="CI104" s="166"/>
      <c r="CK104" s="107" t="s">
        <v>387</v>
      </c>
      <c r="CL104" s="166" t="str">
        <f t="shared" si="263"/>
        <v/>
      </c>
      <c r="CM104" s="166" t="str">
        <f t="shared" si="263"/>
        <v/>
      </c>
      <c r="CN104" s="166" t="str">
        <f t="shared" si="263"/>
        <v/>
      </c>
      <c r="CO104" s="166" t="str">
        <f t="shared" si="263"/>
        <v/>
      </c>
      <c r="CP104" s="166"/>
      <c r="CQ104" s="166"/>
      <c r="CR104" s="166"/>
      <c r="CS104" s="166"/>
      <c r="CT104" s="166" t="str">
        <f t="shared" si="264"/>
        <v/>
      </c>
      <c r="CU104" s="166" t="str">
        <f t="shared" si="264"/>
        <v/>
      </c>
      <c r="CV104" s="166" t="str">
        <f t="shared" si="264"/>
        <v/>
      </c>
      <c r="CW104" s="166" t="str">
        <f t="shared" si="264"/>
        <v/>
      </c>
      <c r="CX104" s="166" t="str">
        <f t="shared" si="264"/>
        <v/>
      </c>
      <c r="CY104" s="168" t="str">
        <f t="shared" si="264"/>
        <v/>
      </c>
      <c r="DA104" s="107"/>
      <c r="DB104" s="314"/>
      <c r="DC104" s="314"/>
      <c r="DD104" s="314"/>
      <c r="DE104" s="314"/>
      <c r="DF104" s="314"/>
      <c r="DG104" s="314"/>
      <c r="DH104" s="315"/>
      <c r="DI104" s="315"/>
      <c r="DJ104" s="315"/>
      <c r="DK104" s="315"/>
      <c r="DL104" s="315"/>
      <c r="DM104" s="315"/>
      <c r="DN104" s="315"/>
      <c r="DO104" s="168"/>
      <c r="DQ104" s="107"/>
      <c r="DR104" s="314">
        <v>0</v>
      </c>
      <c r="DS104" s="314">
        <v>0</v>
      </c>
      <c r="DT104" s="314">
        <v>0</v>
      </c>
      <c r="DU104" s="314">
        <v>0</v>
      </c>
      <c r="DV104" s="314">
        <v>0</v>
      </c>
      <c r="DW104" s="314">
        <v>0</v>
      </c>
      <c r="DX104" s="315"/>
      <c r="DY104" s="315"/>
      <c r="DZ104" s="315"/>
      <c r="EA104" s="315"/>
      <c r="EB104" s="315"/>
      <c r="EC104" s="315"/>
      <c r="ED104" s="315"/>
      <c r="EE104" s="168"/>
      <c r="EG104" s="107"/>
      <c r="EH104" s="314">
        <v>0</v>
      </c>
      <c r="EI104" s="314">
        <v>0</v>
      </c>
      <c r="EJ104" s="314">
        <v>0</v>
      </c>
      <c r="EK104" s="314">
        <v>0</v>
      </c>
      <c r="EL104" s="314">
        <v>0</v>
      </c>
      <c r="EM104" s="314">
        <v>0</v>
      </c>
      <c r="EN104" s="315"/>
      <c r="EO104" s="315"/>
      <c r="EP104" s="315"/>
      <c r="EQ104" s="315"/>
      <c r="ER104" s="315"/>
      <c r="ES104" s="315"/>
      <c r="ET104" s="315"/>
      <c r="EU104" s="168"/>
      <c r="EW104" s="164" t="s">
        <v>387</v>
      </c>
      <c r="EX104" s="316">
        <f t="shared" ref="EX104:EX115" si="269">INDEX($EH$103:$ET$115,EX$4,MATCH($EW104,$EW$7:$EW$19,0))</f>
        <v>0</v>
      </c>
      <c r="EY104" s="316">
        <f t="shared" si="265"/>
        <v>0</v>
      </c>
      <c r="EZ104" s="316">
        <f t="shared" si="265"/>
        <v>0</v>
      </c>
      <c r="FA104" s="316">
        <f t="shared" si="265"/>
        <v>0</v>
      </c>
      <c r="FB104" s="316">
        <f t="shared" si="265"/>
        <v>0</v>
      </c>
      <c r="FC104" s="316">
        <f t="shared" si="265"/>
        <v>0</v>
      </c>
      <c r="FD104" s="316">
        <f t="shared" si="265"/>
        <v>0</v>
      </c>
      <c r="FE104" s="316">
        <f t="shared" si="265"/>
        <v>0</v>
      </c>
      <c r="FF104" s="316"/>
      <c r="FG104" s="316">
        <f t="shared" si="265"/>
        <v>0</v>
      </c>
      <c r="FH104" s="316">
        <f t="shared" si="265"/>
        <v>0</v>
      </c>
      <c r="FI104" s="316">
        <f t="shared" si="265"/>
        <v>0</v>
      </c>
      <c r="FJ104" s="316">
        <f t="shared" si="265"/>
        <v>0</v>
      </c>
      <c r="FK104" s="316">
        <f t="shared" si="265"/>
        <v>0</v>
      </c>
      <c r="FL104" s="168"/>
    </row>
    <row r="105" spans="2:168" x14ac:dyDescent="0.25">
      <c r="B105" s="107" t="s">
        <v>388</v>
      </c>
      <c r="C105" s="294"/>
      <c r="D105" s="294"/>
      <c r="E105" s="160">
        <f>TripMode_input!D86</f>
        <v>565908.65312000003</v>
      </c>
      <c r="F105" s="160">
        <f>TripMode_input!E86</f>
        <v>3421.25254</v>
      </c>
      <c r="G105" s="160">
        <f>TripMode_input!F86</f>
        <v>102983.95591</v>
      </c>
      <c r="H105" s="160">
        <f>TripMode_input!G86</f>
        <v>231.75418999999999</v>
      </c>
      <c r="I105" s="294"/>
      <c r="J105" s="294"/>
      <c r="K105" s="160">
        <f>TripMode_input!J86+TripMode_input!K86</f>
        <v>13547.89178</v>
      </c>
      <c r="L105" s="294"/>
      <c r="M105" s="294"/>
      <c r="N105" s="160">
        <f>TripMode_input!N86</f>
        <v>825.20600000000002</v>
      </c>
      <c r="O105" s="294"/>
      <c r="P105" s="162">
        <f t="shared" si="255"/>
        <v>686918.71354000003</v>
      </c>
      <c r="R105">
        <f t="shared" si="266"/>
        <v>0.14507386968166758</v>
      </c>
      <c r="S105">
        <f t="shared" si="267"/>
        <v>0</v>
      </c>
      <c r="T105">
        <f t="shared" si="268"/>
        <v>0</v>
      </c>
      <c r="Y105" s="107" t="s">
        <v>388</v>
      </c>
      <c r="Z105" s="294"/>
      <c r="AA105" s="294"/>
      <c r="AB105" s="160">
        <f>+E105</f>
        <v>565908.65312000003</v>
      </c>
      <c r="AC105" s="160">
        <f>+F105</f>
        <v>3421.25254</v>
      </c>
      <c r="AD105" s="160">
        <f t="shared" si="257"/>
        <v>102983.95591</v>
      </c>
      <c r="AE105" s="160">
        <f t="shared" si="258"/>
        <v>231.75418999999999</v>
      </c>
      <c r="AF105" s="294"/>
      <c r="AG105" s="294"/>
      <c r="AH105" s="160">
        <f>AH111*R105</f>
        <v>14300.548639045152</v>
      </c>
      <c r="AI105" s="294"/>
      <c r="AJ105" s="294"/>
      <c r="AK105" s="160">
        <f>+N105</f>
        <v>825.20600000000002</v>
      </c>
      <c r="AL105" s="294"/>
      <c r="AM105" s="162">
        <f t="shared" si="259"/>
        <v>687671.37039904518</v>
      </c>
      <c r="AO105" s="107" t="s">
        <v>388</v>
      </c>
      <c r="AP105" s="294">
        <f>TripMode_input!R86*Index!$B$2</f>
        <v>0</v>
      </c>
      <c r="AQ105" s="294">
        <f>TripMode_input!S86*Index!$B$2</f>
        <v>0</v>
      </c>
      <c r="AR105" s="160">
        <f>TripMode_input!T86*Index!$B$2</f>
        <v>948100</v>
      </c>
      <c r="AS105" s="160">
        <f>TripMode_input!U86*Index!$B$2</f>
        <v>12935</v>
      </c>
      <c r="AT105" s="160">
        <f>TripMode_input!V86*Index!$B$2</f>
        <v>191690</v>
      </c>
      <c r="AU105" s="160">
        <f>TripMode_input!W86*Index!$B$2</f>
        <v>1170</v>
      </c>
      <c r="AV105" s="294">
        <f>TripMode_input!X86*Index!$B$2</f>
        <v>0</v>
      </c>
      <c r="AW105" s="294">
        <f>TripMode_input!Y86*Index!$B$2</f>
        <v>0</v>
      </c>
      <c r="AX105" s="160">
        <f>TripMode_input!AA86*Index!$B$2</f>
        <v>3385</v>
      </c>
      <c r="AY105" s="160">
        <f>TripMode_input!AB86*Index!$B$2</f>
        <v>0</v>
      </c>
      <c r="AZ105" s="160">
        <f>TripMode_input!AC86*Index!$B$2</f>
        <v>0</v>
      </c>
      <c r="BA105" s="160">
        <f>TripMode_input!AD86*Index!$B$2</f>
        <v>2485</v>
      </c>
      <c r="BB105" s="294">
        <f>TripMode_input!AE86*Index!$B$2</f>
        <v>0</v>
      </c>
      <c r="BC105" s="162">
        <f t="shared" si="260"/>
        <v>1159765</v>
      </c>
      <c r="BE105" s="107" t="s">
        <v>576</v>
      </c>
      <c r="BF105" s="166">
        <f>IF(Z$116+AA$116&gt;0,SUM(Z105:AA106)/(Z$116+AA$116),"")</f>
        <v>0</v>
      </c>
      <c r="BG105" s="166"/>
      <c r="BH105" s="166">
        <f>IF(AB$116+AC$116&gt;0,SUM(AB105:AC106)/(AB$116+AC$116),"")</f>
        <v>0.80441068606002408</v>
      </c>
      <c r="BI105" s="166"/>
      <c r="BJ105" s="166">
        <f>IF(AD$116+AE$116&gt;0,SUM(AD105:AE106)/(AD$116+AE$116),"")</f>
        <v>0.17831163178037057</v>
      </c>
      <c r="BK105" s="166"/>
      <c r="BL105" s="166">
        <f t="shared" ref="BL105:BS105" si="270">IF(AF$116&gt;0,(AF105+AF106)/AF$116,"")</f>
        <v>0</v>
      </c>
      <c r="BM105" s="166">
        <f t="shared" si="270"/>
        <v>0</v>
      </c>
      <c r="BN105" s="166">
        <f t="shared" si="270"/>
        <v>0.10311729441771035</v>
      </c>
      <c r="BO105" s="166">
        <f t="shared" si="270"/>
        <v>0</v>
      </c>
      <c r="BP105" s="166">
        <f t="shared" si="270"/>
        <v>0</v>
      </c>
      <c r="BQ105" s="166">
        <f t="shared" si="270"/>
        <v>6.3012963466807903E-2</v>
      </c>
      <c r="BR105" s="166">
        <f t="shared" si="270"/>
        <v>0</v>
      </c>
      <c r="BS105" s="166">
        <f t="shared" si="270"/>
        <v>0.1836143374931431</v>
      </c>
      <c r="BU105" s="107" t="s">
        <v>576</v>
      </c>
      <c r="BV105" s="166">
        <f>IF(AP$116+AQ$116&gt;0,SUM(AP105:AQ106)/(AP$116+AQ$116),"")</f>
        <v>0</v>
      </c>
      <c r="BW105" s="166"/>
      <c r="BX105" s="166">
        <f>IF(AR$116+AS$116&gt;0,SUM(AR105:AS106)/(AR$116+AS$116),"")</f>
        <v>0.78280031909768022</v>
      </c>
      <c r="BY105" s="166"/>
      <c r="BZ105" s="166">
        <f>IF(AT$116+AU$116&gt;0,SUM(AT105:AU106)/(AT$116+AU$116),"")</f>
        <v>0.21802066167735154</v>
      </c>
      <c r="CA105" s="166"/>
      <c r="CB105" s="166">
        <f t="shared" ref="CB105:CI105" si="271">IF(AV$116&gt;0,(AV105+AV106)/AV$116,"")</f>
        <v>0</v>
      </c>
      <c r="CC105" s="166">
        <f t="shared" si="271"/>
        <v>0</v>
      </c>
      <c r="CD105" s="166">
        <f t="shared" si="271"/>
        <v>5.0656110255846348E-2</v>
      </c>
      <c r="CE105" s="166">
        <f t="shared" si="271"/>
        <v>0</v>
      </c>
      <c r="CF105" s="166">
        <f t="shared" si="271"/>
        <v>0</v>
      </c>
      <c r="CG105" s="166">
        <f t="shared" si="271"/>
        <v>0.17303822937625754</v>
      </c>
      <c r="CH105" s="166" t="str">
        <f t="shared" si="271"/>
        <v/>
      </c>
      <c r="CI105" s="166">
        <f t="shared" si="271"/>
        <v>0.19592403890690135</v>
      </c>
      <c r="CK105" s="107" t="s">
        <v>388</v>
      </c>
      <c r="CL105" s="166" t="str">
        <f t="shared" si="263"/>
        <v/>
      </c>
      <c r="CM105" s="166" t="str">
        <f t="shared" si="263"/>
        <v/>
      </c>
      <c r="CN105" s="166">
        <f t="shared" si="263"/>
        <v>-2.6864843216082446E-2</v>
      </c>
      <c r="CO105" s="166" t="str">
        <f t="shared" si="263"/>
        <v/>
      </c>
      <c r="CP105" s="166"/>
      <c r="CQ105" s="166"/>
      <c r="CR105" s="166"/>
      <c r="CS105" s="166"/>
      <c r="CT105" s="166">
        <f t="shared" si="264"/>
        <v>-0.50875252747955935</v>
      </c>
      <c r="CU105" s="166" t="str">
        <f t="shared" si="264"/>
        <v/>
      </c>
      <c r="CV105" s="166" t="str">
        <f t="shared" si="264"/>
        <v/>
      </c>
      <c r="CW105" s="166">
        <f t="shared" si="264"/>
        <v>1.7460735038656843</v>
      </c>
      <c r="CX105" s="166" t="str">
        <f t="shared" si="264"/>
        <v/>
      </c>
      <c r="CY105" s="168">
        <f t="shared" si="264"/>
        <v>6.7041068697687889E-2</v>
      </c>
      <c r="DA105" s="107" t="s">
        <v>576</v>
      </c>
      <c r="DB105" s="315"/>
      <c r="DC105" s="315"/>
      <c r="DD105" s="314">
        <f>IFERROR(IF(BX105&gt;0,LN(BH105/BX105),0),0)</f>
        <v>2.7232299162364179E-2</v>
      </c>
      <c r="DE105" s="314"/>
      <c r="DF105" s="314">
        <f>IFERROR(IF(BZ105&gt;0,LN(BJ105/BZ105),0),0)</f>
        <v>-0.20105707676262197</v>
      </c>
      <c r="DG105" s="314"/>
      <c r="DH105" s="315"/>
      <c r="DI105" s="315"/>
      <c r="DJ105" s="314">
        <f>IFERROR(IF(CD105&gt;0,LN(BN105/CD105),0),0)</f>
        <v>0.71080726080846013</v>
      </c>
      <c r="DK105" s="315"/>
      <c r="DL105" s="315"/>
      <c r="DM105" s="314">
        <f>IFERROR(IF(CG105&gt;0,LN(BQ105/CG105),0),0)</f>
        <v>-1.0101720746006737</v>
      </c>
      <c r="DN105" s="315"/>
      <c r="DO105" s="168"/>
      <c r="DQ105" s="107" t="s">
        <v>576</v>
      </c>
      <c r="DR105" s="315"/>
      <c r="DS105" s="315"/>
      <c r="DT105" s="314">
        <v>0.55588775997401885</v>
      </c>
      <c r="DU105" s="314">
        <v>0.55588775997401885</v>
      </c>
      <c r="DV105" s="314">
        <v>-2.810125322676845</v>
      </c>
      <c r="DW105" s="314">
        <v>-2.810125322676845</v>
      </c>
      <c r="DX105" s="315"/>
      <c r="DY105" s="315"/>
      <c r="DZ105" s="314">
        <v>6.1876540159078566</v>
      </c>
      <c r="EA105" s="315"/>
      <c r="EB105" s="315"/>
      <c r="EC105" s="314">
        <v>-4.9194949460197499</v>
      </c>
      <c r="ED105" s="315"/>
      <c r="EE105" s="168"/>
      <c r="EG105" s="107" t="s">
        <v>576</v>
      </c>
      <c r="EH105" s="315"/>
      <c r="EI105" s="315"/>
      <c r="EJ105" s="314">
        <f>DT105+(DD105-DD$103)*$EI$1</f>
        <v>0.84365543552967526</v>
      </c>
      <c r="EK105" s="314">
        <f>DT105+(DD105-DD$103)*$EI$1</f>
        <v>0.84365543552967526</v>
      </c>
      <c r="EL105" s="314">
        <f>DV105+(DF105-DF$103)*$EI$1</f>
        <v>-3.0792614316731517</v>
      </c>
      <c r="EM105" s="314">
        <f>DV105+(DF105-DF$103)*$EI$1</f>
        <v>-3.0792614316731517</v>
      </c>
      <c r="EN105" s="315"/>
      <c r="EO105" s="315"/>
      <c r="EP105" s="314">
        <f>DZ105+(DJ105-DJ$111)*$EI$1</f>
        <v>6.8879531143595063</v>
      </c>
      <c r="EQ105" s="315"/>
      <c r="ER105" s="315"/>
      <c r="ES105" s="314">
        <f>EC105+(DM105-DM$114)*$EI$1</f>
        <v>-5.9843807543527507</v>
      </c>
      <c r="ET105" s="315"/>
      <c r="EU105" s="168"/>
      <c r="EW105" s="164" t="s">
        <v>388</v>
      </c>
      <c r="EX105" s="316">
        <f t="shared" si="269"/>
        <v>0</v>
      </c>
      <c r="EY105" s="316">
        <f t="shared" si="265"/>
        <v>0</v>
      </c>
      <c r="EZ105" s="316">
        <f t="shared" si="265"/>
        <v>0.84365543552967526</v>
      </c>
      <c r="FA105" s="316">
        <f t="shared" si="265"/>
        <v>0.84365543552967526</v>
      </c>
      <c r="FB105" s="316">
        <f t="shared" si="265"/>
        <v>0</v>
      </c>
      <c r="FC105" s="316">
        <f t="shared" si="265"/>
        <v>0</v>
      </c>
      <c r="FD105" s="316">
        <f t="shared" si="265"/>
        <v>7.4635817137665992</v>
      </c>
      <c r="FE105" s="316">
        <f t="shared" si="265"/>
        <v>0</v>
      </c>
      <c r="FF105" s="316"/>
      <c r="FG105" s="316">
        <f t="shared" si="265"/>
        <v>0</v>
      </c>
      <c r="FH105" s="316">
        <f t="shared" si="265"/>
        <v>0</v>
      </c>
      <c r="FI105" s="316">
        <f t="shared" si="265"/>
        <v>0</v>
      </c>
      <c r="FJ105" s="316">
        <f t="shared" si="265"/>
        <v>0</v>
      </c>
      <c r="FK105" s="316">
        <f t="shared" si="265"/>
        <v>0</v>
      </c>
      <c r="FL105" s="168"/>
    </row>
    <row r="106" spans="2:168" x14ac:dyDescent="0.25">
      <c r="B106" s="107" t="s">
        <v>389</v>
      </c>
      <c r="C106" s="294"/>
      <c r="D106" s="294"/>
      <c r="E106" s="160">
        <f>TripMode_input!D87</f>
        <v>0</v>
      </c>
      <c r="F106" s="160">
        <f>TripMode_input!E87</f>
        <v>4952.2309299999997</v>
      </c>
      <c r="G106" s="160">
        <f>TripMode_input!F87</f>
        <v>0</v>
      </c>
      <c r="H106" s="160">
        <f>TripMode_input!G87</f>
        <v>192.85982000000001</v>
      </c>
      <c r="I106" s="294"/>
      <c r="J106" s="294"/>
      <c r="K106" s="160">
        <f>TripMode_input!J87+TripMode_input!K87</f>
        <v>14.922029999999999</v>
      </c>
      <c r="L106" s="294"/>
      <c r="M106" s="294"/>
      <c r="N106" s="160">
        <f>TripMode_input!N87</f>
        <v>0</v>
      </c>
      <c r="O106" s="294"/>
      <c r="P106" s="162">
        <f t="shared" si="255"/>
        <v>5160.0127799999991</v>
      </c>
      <c r="R106">
        <f t="shared" si="266"/>
        <v>1.5978845053971446E-4</v>
      </c>
      <c r="S106">
        <f t="shared" si="267"/>
        <v>0</v>
      </c>
      <c r="T106">
        <f t="shared" si="268"/>
        <v>0</v>
      </c>
      <c r="Y106" s="107" t="s">
        <v>389</v>
      </c>
      <c r="Z106" s="294"/>
      <c r="AA106" s="294"/>
      <c r="AB106" s="160">
        <f>+E106</f>
        <v>0</v>
      </c>
      <c r="AC106" s="160">
        <f>+F106</f>
        <v>4952.2309299999997</v>
      </c>
      <c r="AD106" s="160">
        <f t="shared" si="257"/>
        <v>0</v>
      </c>
      <c r="AE106" s="160">
        <f t="shared" si="258"/>
        <v>192.85982000000001</v>
      </c>
      <c r="AF106" s="294"/>
      <c r="AG106" s="294"/>
      <c r="AH106" s="160">
        <f>AH111*R106</f>
        <v>15.751027486306873</v>
      </c>
      <c r="AI106" s="294"/>
      <c r="AJ106" s="294"/>
      <c r="AK106" s="160">
        <f>+N106</f>
        <v>0</v>
      </c>
      <c r="AL106" s="294"/>
      <c r="AM106" s="162">
        <f t="shared" si="259"/>
        <v>5160.8417774863065</v>
      </c>
      <c r="AO106" s="107" t="s">
        <v>389</v>
      </c>
      <c r="AP106" s="294">
        <f>TripMode_input!R87*Index!$B$2</f>
        <v>0</v>
      </c>
      <c r="AQ106" s="294">
        <f>TripMode_input!S87*Index!$B$2</f>
        <v>0</v>
      </c>
      <c r="AR106" s="160">
        <f>TripMode_input!T87*Index!$B$2</f>
        <v>26940</v>
      </c>
      <c r="AS106" s="160">
        <f>TripMode_input!U87*Index!$B$2</f>
        <v>3105</v>
      </c>
      <c r="AT106" s="160">
        <f>TripMode_input!V87*Index!$B$2</f>
        <v>5930</v>
      </c>
      <c r="AU106" s="160">
        <f>TripMode_input!W87*Index!$B$2</f>
        <v>325</v>
      </c>
      <c r="AV106" s="294">
        <f>TripMode_input!X87*Index!$B$2</f>
        <v>0</v>
      </c>
      <c r="AW106" s="294">
        <f>TripMode_input!Y87*Index!$B$2</f>
        <v>0</v>
      </c>
      <c r="AX106" s="160">
        <f>TripMode_input!AA87*Index!$B$2</f>
        <v>70</v>
      </c>
      <c r="AY106" s="160">
        <f>TripMode_input!AB87*Index!$B$2</f>
        <v>0</v>
      </c>
      <c r="AZ106" s="160">
        <f>TripMode_input!AC87*Index!$B$2</f>
        <v>0</v>
      </c>
      <c r="BA106" s="160">
        <f>TripMode_input!AD87*Index!$B$2</f>
        <v>955</v>
      </c>
      <c r="BB106" s="294">
        <f>TripMode_input!AE87*Index!$B$2</f>
        <v>0</v>
      </c>
      <c r="BC106" s="162">
        <f t="shared" si="260"/>
        <v>37325</v>
      </c>
      <c r="BE106" s="107"/>
      <c r="BF106" s="166"/>
      <c r="BG106" s="166"/>
      <c r="BH106" s="166"/>
      <c r="BI106" s="166"/>
      <c r="BJ106" s="166"/>
      <c r="BK106" s="166"/>
      <c r="BL106" s="166"/>
      <c r="BM106" s="166"/>
      <c r="BN106" s="166"/>
      <c r="BO106" s="166"/>
      <c r="BP106" s="166"/>
      <c r="BQ106" s="166"/>
      <c r="BR106" s="166"/>
      <c r="BS106" s="166"/>
      <c r="BU106" s="107"/>
      <c r="BV106" s="166"/>
      <c r="BW106" s="166"/>
      <c r="BX106" s="166"/>
      <c r="BY106" s="166"/>
      <c r="BZ106" s="166"/>
      <c r="CA106" s="166"/>
      <c r="CB106" s="166"/>
      <c r="CC106" s="166"/>
      <c r="CD106" s="166"/>
      <c r="CE106" s="166"/>
      <c r="CF106" s="166"/>
      <c r="CG106" s="166"/>
      <c r="CH106" s="166"/>
      <c r="CI106" s="166"/>
      <c r="CK106" s="107" t="s">
        <v>389</v>
      </c>
      <c r="CL106" s="166" t="str">
        <f t="shared" si="263"/>
        <v/>
      </c>
      <c r="CM106" s="166" t="str">
        <f t="shared" si="263"/>
        <v/>
      </c>
      <c r="CN106" s="166" t="str">
        <f t="shared" si="263"/>
        <v/>
      </c>
      <c r="CO106" s="166" t="str">
        <f t="shared" si="263"/>
        <v/>
      </c>
      <c r="CP106" s="166"/>
      <c r="CQ106" s="166"/>
      <c r="CR106" s="166"/>
      <c r="CS106" s="166"/>
      <c r="CT106" s="166" t="str">
        <f t="shared" si="264"/>
        <v/>
      </c>
      <c r="CU106" s="166" t="str">
        <f t="shared" si="264"/>
        <v/>
      </c>
      <c r="CV106" s="166" t="str">
        <f t="shared" si="264"/>
        <v/>
      </c>
      <c r="CW106" s="166" t="str">
        <f t="shared" si="264"/>
        <v/>
      </c>
      <c r="CX106" s="166" t="str">
        <f t="shared" si="264"/>
        <v/>
      </c>
      <c r="CY106" s="168" t="str">
        <f t="shared" si="264"/>
        <v/>
      </c>
      <c r="DA106" s="107"/>
      <c r="DB106" s="315"/>
      <c r="DC106" s="315"/>
      <c r="DD106" s="314"/>
      <c r="DE106" s="314"/>
      <c r="DF106" s="314"/>
      <c r="DG106" s="314"/>
      <c r="DH106" s="315"/>
      <c r="DI106" s="315"/>
      <c r="DJ106" s="314"/>
      <c r="DK106" s="315"/>
      <c r="DL106" s="315"/>
      <c r="DM106" s="314"/>
      <c r="DN106" s="315"/>
      <c r="DO106" s="168"/>
      <c r="DQ106" s="107"/>
      <c r="DR106" s="315"/>
      <c r="DS106" s="315"/>
      <c r="DT106" s="314">
        <v>0.55588775997401885</v>
      </c>
      <c r="DU106" s="314">
        <v>0.55588775997401885</v>
      </c>
      <c r="DV106" s="314">
        <v>-2.810125322676845</v>
      </c>
      <c r="DW106" s="314">
        <v>-2.810125322676845</v>
      </c>
      <c r="DX106" s="315"/>
      <c r="DY106" s="315"/>
      <c r="DZ106" s="314">
        <v>6.1876540159078566</v>
      </c>
      <c r="EA106" s="315"/>
      <c r="EB106" s="315"/>
      <c r="EC106" s="314">
        <v>-4.9194949460197499</v>
      </c>
      <c r="ED106" s="315"/>
      <c r="EE106" s="168"/>
      <c r="EG106" s="107"/>
      <c r="EH106" s="315"/>
      <c r="EI106" s="315"/>
      <c r="EJ106" s="314">
        <f>DT105+(DD105-DD$103)*$EI$1</f>
        <v>0.84365543552967526</v>
      </c>
      <c r="EK106" s="314">
        <f>DT105+(DD105-DD$103)*$EI$1</f>
        <v>0.84365543552967526</v>
      </c>
      <c r="EL106" s="314">
        <f>DV105+(DF105-DF$103)*$EI$1</f>
        <v>-3.0792614316731517</v>
      </c>
      <c r="EM106" s="314">
        <f>DV105+(DF105-DF$103)*$EI$1</f>
        <v>-3.0792614316731517</v>
      </c>
      <c r="EN106" s="315"/>
      <c r="EO106" s="315"/>
      <c r="EP106" s="314">
        <f>DZ105+(DJ105-DJ$111)*$EI$1</f>
        <v>6.8879531143595063</v>
      </c>
      <c r="EQ106" s="315"/>
      <c r="ER106" s="315"/>
      <c r="ES106" s="314">
        <f>EC105+(DM105-DM$114)*$EI$1</f>
        <v>-5.9843807543527507</v>
      </c>
      <c r="ET106" s="315"/>
      <c r="EU106" s="168"/>
      <c r="EW106" s="164" t="s">
        <v>389</v>
      </c>
      <c r="EX106" s="316">
        <f t="shared" si="269"/>
        <v>0</v>
      </c>
      <c r="EY106" s="316">
        <f t="shared" si="265"/>
        <v>0</v>
      </c>
      <c r="EZ106" s="316">
        <f t="shared" si="265"/>
        <v>0.84365543552967526</v>
      </c>
      <c r="FA106" s="316">
        <f t="shared" si="265"/>
        <v>0.84365543552967526</v>
      </c>
      <c r="FB106" s="316">
        <f t="shared" si="265"/>
        <v>0</v>
      </c>
      <c r="FC106" s="316">
        <f t="shared" si="265"/>
        <v>0</v>
      </c>
      <c r="FD106" s="316">
        <f t="shared" si="265"/>
        <v>7.4635817137665992</v>
      </c>
      <c r="FE106" s="316">
        <f t="shared" si="265"/>
        <v>0</v>
      </c>
      <c r="FF106" s="316"/>
      <c r="FG106" s="316">
        <f t="shared" si="265"/>
        <v>0</v>
      </c>
      <c r="FH106" s="316">
        <f t="shared" si="265"/>
        <v>0</v>
      </c>
      <c r="FI106" s="316">
        <f t="shared" si="265"/>
        <v>0</v>
      </c>
      <c r="FJ106" s="316">
        <f t="shared" si="265"/>
        <v>0</v>
      </c>
      <c r="FK106" s="316">
        <f t="shared" si="265"/>
        <v>0</v>
      </c>
      <c r="FL106" s="168"/>
    </row>
    <row r="107" spans="2:168" x14ac:dyDescent="0.25">
      <c r="B107" s="107" t="s">
        <v>390</v>
      </c>
      <c r="C107" s="294"/>
      <c r="D107" s="294"/>
      <c r="E107" s="294"/>
      <c r="F107" s="294"/>
      <c r="G107" s="160">
        <f>TripMode_input!F88</f>
        <v>413616.87102000002</v>
      </c>
      <c r="H107" s="160">
        <f>TripMode_input!G88</f>
        <v>2679.2465200000001</v>
      </c>
      <c r="I107" s="294"/>
      <c r="J107" s="294"/>
      <c r="K107" s="160">
        <f>TripMode_input!J88+TripMode_input!K88</f>
        <v>2154.82692</v>
      </c>
      <c r="L107" s="294"/>
      <c r="M107" s="294"/>
      <c r="N107" s="160">
        <f>TripMode_input!N88</f>
        <v>0</v>
      </c>
      <c r="O107" s="294"/>
      <c r="P107" s="162">
        <f t="shared" si="255"/>
        <v>418450.94446000003</v>
      </c>
      <c r="R107">
        <f t="shared" si="266"/>
        <v>2.3074370895117168E-2</v>
      </c>
      <c r="S107">
        <f t="shared" si="267"/>
        <v>0</v>
      </c>
      <c r="T107">
        <f t="shared" si="268"/>
        <v>0</v>
      </c>
      <c r="Y107" s="107" t="s">
        <v>390</v>
      </c>
      <c r="Z107" s="294"/>
      <c r="AA107" s="294"/>
      <c r="AB107" s="294"/>
      <c r="AC107" s="294"/>
      <c r="AD107" s="160">
        <f t="shared" si="257"/>
        <v>413616.87102000002</v>
      </c>
      <c r="AE107" s="160">
        <f t="shared" si="258"/>
        <v>2679.2465200000001</v>
      </c>
      <c r="AF107" s="294"/>
      <c r="AG107" s="294"/>
      <c r="AH107" s="160">
        <f>AH111*R107</f>
        <v>2274.538922998679</v>
      </c>
      <c r="AI107" s="294"/>
      <c r="AJ107" s="294"/>
      <c r="AK107" s="160">
        <f>+N107</f>
        <v>0</v>
      </c>
      <c r="AL107" s="294"/>
      <c r="AM107" s="162">
        <f t="shared" si="259"/>
        <v>418570.65646299871</v>
      </c>
      <c r="AO107" s="107" t="s">
        <v>390</v>
      </c>
      <c r="AP107" s="294">
        <f>TripMode_input!R88*Index!$B$2</f>
        <v>0</v>
      </c>
      <c r="AQ107" s="294">
        <f>TripMode_input!S88*Index!$B$2</f>
        <v>0</v>
      </c>
      <c r="AR107" s="294">
        <f>TripMode_input!T88*Index!$B$2</f>
        <v>0</v>
      </c>
      <c r="AS107" s="294">
        <f>TripMode_input!U88*Index!$B$2</f>
        <v>0</v>
      </c>
      <c r="AT107" s="160">
        <f>TripMode_input!V88*Index!$B$2</f>
        <v>619475</v>
      </c>
      <c r="AU107" s="160">
        <f>TripMode_input!W88*Index!$B$2</f>
        <v>4280</v>
      </c>
      <c r="AV107" s="294">
        <f>TripMode_input!X88*Index!$B$2</f>
        <v>0</v>
      </c>
      <c r="AW107" s="294">
        <f>TripMode_input!Y88*Index!$B$2</f>
        <v>0</v>
      </c>
      <c r="AX107" s="160">
        <f>TripMode_input!AA88*Index!$B$2</f>
        <v>1040</v>
      </c>
      <c r="AY107" s="160">
        <f>TripMode_input!AB88*Index!$B$2</f>
        <v>0</v>
      </c>
      <c r="AZ107" s="160">
        <f>TripMode_input!AC88*Index!$B$2</f>
        <v>0</v>
      </c>
      <c r="BA107" s="160">
        <f>TripMode_input!AD88*Index!$B$2</f>
        <v>270</v>
      </c>
      <c r="BB107" s="294">
        <f>TripMode_input!AE88*Index!$B$2</f>
        <v>0</v>
      </c>
      <c r="BC107" s="162">
        <f t="shared" si="260"/>
        <v>625065</v>
      </c>
      <c r="BE107" s="107" t="s">
        <v>577</v>
      </c>
      <c r="BF107" s="166">
        <f>IF(Z$116+AA$116&gt;0,SUM(Z107:AA108)/(Z$116+AA$116),"")</f>
        <v>0</v>
      </c>
      <c r="BG107" s="166"/>
      <c r="BH107" s="166">
        <f>IF(AB$116+AC$116&gt;0,SUM(AB107:AC108)/(AB$116+AC$116),"")</f>
        <v>0</v>
      </c>
      <c r="BI107" s="166"/>
      <c r="BJ107" s="166">
        <f>IF(AD$116+AE$116&gt;0,SUM(AD107:AE108)/(AD$116+AE$116),"")</f>
        <v>0.72712692724607741</v>
      </c>
      <c r="BK107" s="166"/>
      <c r="BL107" s="166">
        <f t="shared" ref="BL107:BS107" si="272">IF(AF$116&gt;0,(AF107+AF108)/AF$116,"")</f>
        <v>0</v>
      </c>
      <c r="BM107" s="166">
        <f t="shared" si="272"/>
        <v>0</v>
      </c>
      <c r="BN107" s="166">
        <f t="shared" si="272"/>
        <v>1.6383025310353943E-2</v>
      </c>
      <c r="BO107" s="166">
        <f t="shared" si="272"/>
        <v>0</v>
      </c>
      <c r="BP107" s="166">
        <f t="shared" si="272"/>
        <v>0</v>
      </c>
      <c r="BQ107" s="166">
        <f t="shared" si="272"/>
        <v>0</v>
      </c>
      <c r="BR107" s="166">
        <f t="shared" si="272"/>
        <v>0</v>
      </c>
      <c r="BS107" s="166">
        <f t="shared" si="272"/>
        <v>0.11235744852861861</v>
      </c>
      <c r="BU107" s="107" t="s">
        <v>577</v>
      </c>
      <c r="BV107" s="166">
        <f>IF(AP$116+AQ$116&gt;0,SUM(AP107:AQ108)/(AP$116+AQ$116),"")</f>
        <v>0</v>
      </c>
      <c r="BW107" s="166"/>
      <c r="BX107" s="166">
        <f>IF(AR$116+AS$116&gt;0,SUM(AR107:AS108)/(AR$116+AS$116),"")</f>
        <v>0</v>
      </c>
      <c r="BY107" s="166"/>
      <c r="BZ107" s="166">
        <f>IF(AT$116+AU$116&gt;0,SUM(AT107:AU108)/(AT$116+AU$116),"")</f>
        <v>0.70509753253365592</v>
      </c>
      <c r="CA107" s="166"/>
      <c r="CB107" s="166">
        <f t="shared" ref="CB107:CI107" si="273">IF(AV$116&gt;0,(AV107+AV108)/AV$116,"")</f>
        <v>0</v>
      </c>
      <c r="CC107" s="166">
        <f t="shared" si="273"/>
        <v>0</v>
      </c>
      <c r="CD107" s="166">
        <f t="shared" si="273"/>
        <v>1.5541382596583829E-2</v>
      </c>
      <c r="CE107" s="166">
        <f t="shared" si="273"/>
        <v>0</v>
      </c>
      <c r="CF107" s="166">
        <f t="shared" si="273"/>
        <v>0</v>
      </c>
      <c r="CG107" s="166">
        <f t="shared" si="273"/>
        <v>1.8108651911468814E-2</v>
      </c>
      <c r="CH107" s="166" t="str">
        <f t="shared" si="273"/>
        <v/>
      </c>
      <c r="CI107" s="166">
        <f t="shared" si="273"/>
        <v>0.10562654153784716</v>
      </c>
      <c r="CK107" s="107" t="s">
        <v>390</v>
      </c>
      <c r="CL107" s="166"/>
      <c r="CM107" s="166"/>
      <c r="CN107" s="166"/>
      <c r="CO107" s="166"/>
      <c r="CP107" s="166"/>
      <c r="CQ107" s="166"/>
      <c r="CR107" s="166"/>
      <c r="CS107" s="166"/>
      <c r="CT107" s="166"/>
      <c r="CU107" s="166"/>
      <c r="CV107" s="166"/>
      <c r="CW107" s="166"/>
      <c r="CX107" s="166"/>
      <c r="CY107" s="168"/>
      <c r="DA107" s="107" t="s">
        <v>577</v>
      </c>
      <c r="DB107" s="315"/>
      <c r="DC107" s="315"/>
      <c r="DD107" s="315"/>
      <c r="DE107" s="315"/>
      <c r="DF107" s="314">
        <f>IFERROR(IF(BZ107&gt;0,LN(BJ107/BZ107),0),0)</f>
        <v>3.0764915466165284E-2</v>
      </c>
      <c r="DG107" s="314"/>
      <c r="DH107" s="315"/>
      <c r="DI107" s="315"/>
      <c r="DJ107" s="314">
        <f>IFERROR(IF(CD107&gt;0,LN(BN107/CD107),0),0)</f>
        <v>5.2739445591605483E-2</v>
      </c>
      <c r="DK107" s="315"/>
      <c r="DL107" s="315"/>
      <c r="DM107" s="314">
        <f>IFERROR(IF(CG107&gt;0,LN(BQ107/CG107),0),0)</f>
        <v>0</v>
      </c>
      <c r="DN107" s="315"/>
      <c r="DO107" s="168"/>
      <c r="DQ107" s="107" t="s">
        <v>577</v>
      </c>
      <c r="DR107" s="315"/>
      <c r="DS107" s="315"/>
      <c r="DT107" s="315"/>
      <c r="DU107" s="315"/>
      <c r="DV107" s="314">
        <v>-2.2475001361915163</v>
      </c>
      <c r="DW107" s="314">
        <v>-2.2475001361915163</v>
      </c>
      <c r="DX107" s="315"/>
      <c r="DY107" s="315"/>
      <c r="DZ107" s="314">
        <v>4.074361345656909</v>
      </c>
      <c r="EA107" s="315"/>
      <c r="EB107" s="315"/>
      <c r="EC107" s="314">
        <v>-0.27721463202641639</v>
      </c>
      <c r="ED107" s="315"/>
      <c r="EE107" s="168"/>
      <c r="EG107" s="107" t="s">
        <v>577</v>
      </c>
      <c r="EH107" s="315"/>
      <c r="EI107" s="315"/>
      <c r="EJ107" s="315"/>
      <c r="EK107" s="315"/>
      <c r="EL107" s="314">
        <f>DV107+(DF107-DF$103)*$EI$1</f>
        <v>-2.2848142529590354</v>
      </c>
      <c r="EM107" s="314">
        <f>DV107+(DF107-DF$103)*$EI$1</f>
        <v>-2.2848142529590354</v>
      </c>
      <c r="EN107" s="315"/>
      <c r="EO107" s="315"/>
      <c r="EP107" s="314">
        <f>DZ107+(DJ107-DJ$111)*$EI$1</f>
        <v>4.1165926288917039</v>
      </c>
      <c r="EQ107" s="315"/>
      <c r="ER107" s="315"/>
      <c r="ES107" s="314">
        <f>EC107+(DM107-DM$114)*$EI$1</f>
        <v>-0.33192836575874335</v>
      </c>
      <c r="ET107" s="315"/>
      <c r="EU107" s="168"/>
      <c r="EW107" s="164" t="s">
        <v>390</v>
      </c>
      <c r="EX107" s="316">
        <f t="shared" si="269"/>
        <v>0</v>
      </c>
      <c r="EY107" s="316">
        <f t="shared" si="265"/>
        <v>0</v>
      </c>
      <c r="EZ107" s="316">
        <f t="shared" si="265"/>
        <v>-3.0792614316731517</v>
      </c>
      <c r="FA107" s="316">
        <f t="shared" si="265"/>
        <v>-3.0792614316731517</v>
      </c>
      <c r="FB107" s="316">
        <f t="shared" si="265"/>
        <v>-2.2848142529590354</v>
      </c>
      <c r="FC107" s="316">
        <f t="shared" si="265"/>
        <v>-2.2848142529590354</v>
      </c>
      <c r="FD107" s="316">
        <f t="shared" si="265"/>
        <v>2.9836173557147663</v>
      </c>
      <c r="FE107" s="316">
        <f t="shared" si="265"/>
        <v>0</v>
      </c>
      <c r="FF107" s="316"/>
      <c r="FG107" s="316">
        <f t="shared" si="265"/>
        <v>0</v>
      </c>
      <c r="FH107" s="316">
        <f t="shared" si="265"/>
        <v>0</v>
      </c>
      <c r="FI107" s="316">
        <f t="shared" si="265"/>
        <v>0</v>
      </c>
      <c r="FJ107" s="316">
        <f t="shared" si="265"/>
        <v>0</v>
      </c>
      <c r="FK107" s="316">
        <f t="shared" si="265"/>
        <v>0</v>
      </c>
      <c r="FL107" s="168"/>
    </row>
    <row r="108" spans="2:168" x14ac:dyDescent="0.25">
      <c r="B108" s="107" t="s">
        <v>391</v>
      </c>
      <c r="C108" s="294"/>
      <c r="D108" s="294"/>
      <c r="E108" s="294"/>
      <c r="F108" s="294"/>
      <c r="G108" s="160">
        <f>TripMode_input!F89</f>
        <v>0</v>
      </c>
      <c r="H108" s="160">
        <f>TripMode_input!G89</f>
        <v>5387.8463499999998</v>
      </c>
      <c r="I108" s="294"/>
      <c r="J108" s="294"/>
      <c r="K108" s="160">
        <f>TripMode_input!J89+TripMode_input!K89</f>
        <v>0</v>
      </c>
      <c r="L108" s="294"/>
      <c r="M108" s="294"/>
      <c r="N108" s="160">
        <f>TripMode_input!N89</f>
        <v>0</v>
      </c>
      <c r="O108" s="294"/>
      <c r="P108" s="162">
        <f t="shared" si="255"/>
        <v>5387.8463499999998</v>
      </c>
      <c r="R108">
        <f t="shared" si="266"/>
        <v>0</v>
      </c>
      <c r="S108">
        <f t="shared" si="267"/>
        <v>0</v>
      </c>
      <c r="T108">
        <f t="shared" si="268"/>
        <v>0</v>
      </c>
      <c r="Y108" s="107" t="s">
        <v>391</v>
      </c>
      <c r="Z108" s="294"/>
      <c r="AA108" s="294"/>
      <c r="AB108" s="294"/>
      <c r="AC108" s="294"/>
      <c r="AD108" s="160">
        <f t="shared" si="257"/>
        <v>0</v>
      </c>
      <c r="AE108" s="160">
        <f t="shared" si="258"/>
        <v>5387.8463499999998</v>
      </c>
      <c r="AF108" s="294"/>
      <c r="AG108" s="294"/>
      <c r="AH108" s="160">
        <f>AH111*R108</f>
        <v>0</v>
      </c>
      <c r="AI108" s="294"/>
      <c r="AJ108" s="294"/>
      <c r="AK108" s="160">
        <f>+N108</f>
        <v>0</v>
      </c>
      <c r="AL108" s="294"/>
      <c r="AM108" s="162">
        <f t="shared" si="259"/>
        <v>5387.8463499999998</v>
      </c>
      <c r="AO108" s="107" t="s">
        <v>391</v>
      </c>
      <c r="AP108" s="294">
        <f>TripMode_input!R89*Index!$B$2</f>
        <v>0</v>
      </c>
      <c r="AQ108" s="294">
        <f>TripMode_input!S89*Index!$B$2</f>
        <v>0</v>
      </c>
      <c r="AR108" s="294">
        <f>TripMode_input!T89*Index!$B$2</f>
        <v>0</v>
      </c>
      <c r="AS108" s="294">
        <f>TripMode_input!U89*Index!$B$2</f>
        <v>0</v>
      </c>
      <c r="AT108" s="160">
        <f>TripMode_input!V89*Index!$B$2</f>
        <v>19075</v>
      </c>
      <c r="AU108" s="160">
        <f>TripMode_input!W89*Index!$B$2</f>
        <v>1125</v>
      </c>
      <c r="AV108" s="294">
        <f>TripMode_input!X89*Index!$B$2</f>
        <v>0</v>
      </c>
      <c r="AW108" s="294">
        <f>TripMode_input!Y89*Index!$B$2</f>
        <v>0</v>
      </c>
      <c r="AX108" s="160">
        <f>TripMode_input!AA89*Index!$B$2</f>
        <v>20</v>
      </c>
      <c r="AY108" s="160">
        <f>TripMode_input!AB89*Index!$B$2</f>
        <v>0</v>
      </c>
      <c r="AZ108" s="160">
        <f>TripMode_input!AC89*Index!$B$2</f>
        <v>0</v>
      </c>
      <c r="BA108" s="160">
        <f>TripMode_input!AD89*Index!$B$2</f>
        <v>90</v>
      </c>
      <c r="BB108" s="294">
        <f>TripMode_input!AE89*Index!$B$2</f>
        <v>0</v>
      </c>
      <c r="BC108" s="162">
        <f t="shared" si="260"/>
        <v>20310</v>
      </c>
      <c r="BE108" s="107"/>
      <c r="BF108" s="166"/>
      <c r="BG108" s="166"/>
      <c r="BH108" s="166"/>
      <c r="BI108" s="166"/>
      <c r="BJ108" s="166"/>
      <c r="BK108" s="166"/>
      <c r="BL108" s="166"/>
      <c r="BM108" s="166"/>
      <c r="BN108" s="166"/>
      <c r="BO108" s="166"/>
      <c r="BP108" s="166"/>
      <c r="BQ108" s="166"/>
      <c r="BR108" s="166"/>
      <c r="BS108" s="166"/>
      <c r="BU108" s="107"/>
      <c r="BV108" s="166"/>
      <c r="BW108" s="166"/>
      <c r="BX108" s="166"/>
      <c r="BY108" s="166"/>
      <c r="BZ108" s="166"/>
      <c r="CA108" s="166"/>
      <c r="CB108" s="166"/>
      <c r="CC108" s="166"/>
      <c r="CD108" s="166"/>
      <c r="CE108" s="166"/>
      <c r="CF108" s="166"/>
      <c r="CG108" s="166"/>
      <c r="CH108" s="166"/>
      <c r="CI108" s="166"/>
      <c r="CK108" s="107" t="s">
        <v>391</v>
      </c>
      <c r="CL108" s="166"/>
      <c r="CM108" s="166"/>
      <c r="CN108" s="166"/>
      <c r="CO108" s="166"/>
      <c r="CP108" s="166"/>
      <c r="CQ108" s="166"/>
      <c r="CR108" s="166"/>
      <c r="CS108" s="166"/>
      <c r="CT108" s="166"/>
      <c r="CU108" s="166"/>
      <c r="CV108" s="166"/>
      <c r="CW108" s="166"/>
      <c r="CX108" s="166"/>
      <c r="CY108" s="168"/>
      <c r="DA108" s="107"/>
      <c r="DB108" s="315"/>
      <c r="DC108" s="315"/>
      <c r="DD108" s="315"/>
      <c r="DE108" s="315"/>
      <c r="DF108" s="314"/>
      <c r="DG108" s="314"/>
      <c r="DH108" s="315"/>
      <c r="DI108" s="315"/>
      <c r="DJ108" s="314"/>
      <c r="DK108" s="315"/>
      <c r="DL108" s="315"/>
      <c r="DM108" s="314"/>
      <c r="DN108" s="315"/>
      <c r="DO108" s="168"/>
      <c r="DQ108" s="107"/>
      <c r="DR108" s="315"/>
      <c r="DS108" s="315"/>
      <c r="DT108" s="315"/>
      <c r="DU108" s="315"/>
      <c r="DV108" s="314">
        <v>-2.2475001361915163</v>
      </c>
      <c r="DW108" s="314">
        <v>-2.2475001361915163</v>
      </c>
      <c r="DX108" s="315"/>
      <c r="DY108" s="315"/>
      <c r="DZ108" s="314">
        <v>4.074361345656909</v>
      </c>
      <c r="EA108" s="315"/>
      <c r="EB108" s="315"/>
      <c r="EC108" s="314">
        <v>-0.27721463202641639</v>
      </c>
      <c r="ED108" s="315"/>
      <c r="EE108" s="168"/>
      <c r="EG108" s="107"/>
      <c r="EH108" s="315"/>
      <c r="EI108" s="315"/>
      <c r="EJ108" s="315"/>
      <c r="EK108" s="315"/>
      <c r="EL108" s="314">
        <f>DV107+(DF107-DF$103)*$EI$1</f>
        <v>-2.2848142529590354</v>
      </c>
      <c r="EM108" s="314">
        <f>DV107+(DF107-DF$103)*$EI$1</f>
        <v>-2.2848142529590354</v>
      </c>
      <c r="EN108" s="315"/>
      <c r="EO108" s="315"/>
      <c r="EP108" s="314">
        <f>DZ107+(DJ107-DJ$111)*$EI$1</f>
        <v>4.1165926288917039</v>
      </c>
      <c r="EQ108" s="315"/>
      <c r="ER108" s="315"/>
      <c r="ES108" s="314">
        <f>EC107+(DM107-DM$114)*$EI$1</f>
        <v>-0.33192836575874335</v>
      </c>
      <c r="ET108" s="315"/>
      <c r="EU108" s="168"/>
      <c r="EW108" s="164" t="s">
        <v>391</v>
      </c>
      <c r="EX108" s="316">
        <f t="shared" si="269"/>
        <v>0</v>
      </c>
      <c r="EY108" s="316">
        <f t="shared" si="265"/>
        <v>0</v>
      </c>
      <c r="EZ108" s="316">
        <f t="shared" si="265"/>
        <v>-3.0792614316731517</v>
      </c>
      <c r="FA108" s="316">
        <f t="shared" si="265"/>
        <v>-3.0792614316731517</v>
      </c>
      <c r="FB108" s="316">
        <f t="shared" si="265"/>
        <v>-2.2848142529590354</v>
      </c>
      <c r="FC108" s="316">
        <f t="shared" si="265"/>
        <v>-2.2848142529590354</v>
      </c>
      <c r="FD108" s="316">
        <f t="shared" si="265"/>
        <v>2.9836173557147663</v>
      </c>
      <c r="FE108" s="316">
        <f t="shared" si="265"/>
        <v>0</v>
      </c>
      <c r="FF108" s="316"/>
      <c r="FG108" s="316">
        <f t="shared" si="265"/>
        <v>0</v>
      </c>
      <c r="FH108" s="316">
        <f t="shared" si="265"/>
        <v>0</v>
      </c>
      <c r="FI108" s="316">
        <f t="shared" si="265"/>
        <v>0</v>
      </c>
      <c r="FJ108" s="316">
        <f t="shared" si="265"/>
        <v>0</v>
      </c>
      <c r="FK108" s="316">
        <f t="shared" si="265"/>
        <v>0</v>
      </c>
      <c r="FL108" s="168"/>
    </row>
    <row r="109" spans="2:168" x14ac:dyDescent="0.25">
      <c r="B109" s="107" t="s">
        <v>392</v>
      </c>
      <c r="C109" s="294"/>
      <c r="D109" s="294"/>
      <c r="E109" s="160">
        <f>TripMode_input!D90</f>
        <v>28295.990659999999</v>
      </c>
      <c r="F109" s="160">
        <f>TripMode_input!E90</f>
        <v>0</v>
      </c>
      <c r="G109" s="160">
        <f>TripMode_input!F90</f>
        <v>11814.251689999999</v>
      </c>
      <c r="H109" s="160">
        <f>TripMode_input!G90</f>
        <v>636.92064000000005</v>
      </c>
      <c r="I109" s="160">
        <f>TripMode_input!H90</f>
        <v>412680.64807</v>
      </c>
      <c r="J109" s="294"/>
      <c r="K109" s="160">
        <f>TripMode_input!J90+TripMode_input!K90</f>
        <v>19893.969009999997</v>
      </c>
      <c r="L109" s="294"/>
      <c r="M109" s="294"/>
      <c r="N109" s="160">
        <f>TripMode_input!N90</f>
        <v>2720.89426</v>
      </c>
      <c r="O109" s="294"/>
      <c r="P109" s="162">
        <f t="shared" si="255"/>
        <v>476042.67432999995</v>
      </c>
      <c r="R109">
        <f t="shared" si="266"/>
        <v>0.21302909075997012</v>
      </c>
      <c r="S109">
        <f t="shared" si="267"/>
        <v>0</v>
      </c>
      <c r="T109">
        <f t="shared" si="268"/>
        <v>0</v>
      </c>
      <c r="Y109" s="107" t="s">
        <v>392</v>
      </c>
      <c r="Z109" s="294"/>
      <c r="AA109" s="294"/>
      <c r="AB109" s="160">
        <f>+E109</f>
        <v>28295.990659999999</v>
      </c>
      <c r="AC109" s="160">
        <f>+F109</f>
        <v>0</v>
      </c>
      <c r="AD109" s="160">
        <f t="shared" si="257"/>
        <v>11814.251689999999</v>
      </c>
      <c r="AE109" s="160">
        <f t="shared" si="258"/>
        <v>636.92064000000005</v>
      </c>
      <c r="AF109" s="160">
        <f>+I109</f>
        <v>412680.64807</v>
      </c>
      <c r="AG109" s="294"/>
      <c r="AH109" s="160">
        <f>AH111*R109</f>
        <v>20999.183937322676</v>
      </c>
      <c r="AI109" s="294"/>
      <c r="AJ109" s="294"/>
      <c r="AK109" s="160">
        <f>+N109</f>
        <v>2720.89426</v>
      </c>
      <c r="AL109" s="294"/>
      <c r="AM109" s="162">
        <f t="shared" si="259"/>
        <v>477147.88925732265</v>
      </c>
      <c r="AO109" s="107" t="s">
        <v>392</v>
      </c>
      <c r="AP109" s="294">
        <f>TripMode_input!R90*Index!$B$2</f>
        <v>0</v>
      </c>
      <c r="AQ109" s="294">
        <f>TripMode_input!S90*Index!$B$2</f>
        <v>0</v>
      </c>
      <c r="AR109" s="160">
        <f>TripMode_input!T90*Index!$B$2</f>
        <v>18730</v>
      </c>
      <c r="AS109" s="160">
        <f>TripMode_input!U90*Index!$B$2</f>
        <v>45</v>
      </c>
      <c r="AT109" s="160">
        <f>TripMode_input!V90*Index!$B$2</f>
        <v>7850</v>
      </c>
      <c r="AU109" s="160">
        <f>TripMode_input!W90*Index!$B$2</f>
        <v>5</v>
      </c>
      <c r="AV109" s="160">
        <f>TripMode_input!X90*Index!$B$2</f>
        <v>906205</v>
      </c>
      <c r="AW109" s="294">
        <f>TripMode_input!Y90*Index!$B$2</f>
        <v>0</v>
      </c>
      <c r="AX109" s="160">
        <f>TripMode_input!AA90*Index!$B$2</f>
        <v>14985</v>
      </c>
      <c r="AY109" s="160">
        <f>TripMode_input!AB90*Index!$B$2</f>
        <v>0</v>
      </c>
      <c r="AZ109" s="160">
        <f>TripMode_input!AC90*Index!$B$2</f>
        <v>0</v>
      </c>
      <c r="BA109" s="160">
        <f>TripMode_input!AD90*Index!$B$2</f>
        <v>2355</v>
      </c>
      <c r="BB109" s="294">
        <f>TripMode_input!AE90*Index!$B$2</f>
        <v>0</v>
      </c>
      <c r="BC109" s="162">
        <f t="shared" si="260"/>
        <v>950175</v>
      </c>
      <c r="BE109" s="107" t="s">
        <v>392</v>
      </c>
      <c r="BF109" s="166">
        <f t="shared" ref="BF109:BS116" si="274">IF(Z$116&gt;0,Z109/Z$116,"")</f>
        <v>0</v>
      </c>
      <c r="BG109" s="166">
        <f t="shared" si="274"/>
        <v>0</v>
      </c>
      <c r="BH109" s="166">
        <f t="shared" si="274"/>
        <v>4.017916233085797E-2</v>
      </c>
      <c r="BI109" s="166">
        <f t="shared" si="274"/>
        <v>0</v>
      </c>
      <c r="BJ109" s="166">
        <f t="shared" si="274"/>
        <v>2.0714490233758293E-2</v>
      </c>
      <c r="BK109" s="166">
        <f t="shared" si="274"/>
        <v>6.638629682229269E-2</v>
      </c>
      <c r="BL109" s="166">
        <f t="shared" si="274"/>
        <v>1</v>
      </c>
      <c r="BM109" s="166">
        <f t="shared" si="274"/>
        <v>0</v>
      </c>
      <c r="BN109" s="166">
        <f t="shared" si="274"/>
        <v>0.15125270377364089</v>
      </c>
      <c r="BO109" s="166">
        <f t="shared" si="274"/>
        <v>0</v>
      </c>
      <c r="BP109" s="166">
        <f t="shared" si="274"/>
        <v>0</v>
      </c>
      <c r="BQ109" s="166">
        <f t="shared" si="274"/>
        <v>0.20776825495988557</v>
      </c>
      <c r="BR109" s="166">
        <f t="shared" si="274"/>
        <v>0</v>
      </c>
      <c r="BS109" s="166">
        <f t="shared" si="274"/>
        <v>0.12645369547268084</v>
      </c>
      <c r="BU109" s="107" t="s">
        <v>392</v>
      </c>
      <c r="BV109" s="166">
        <f t="shared" ref="BV109:BV116" si="275">IF(AP$116&gt;0,AP109/AP$116,"")</f>
        <v>0</v>
      </c>
      <c r="BW109" s="166">
        <f t="shared" ref="BW109:BW116" si="276">IF(AQ$116&gt;0,AQ109/AQ$116,"")</f>
        <v>0</v>
      </c>
      <c r="BX109" s="166">
        <f t="shared" ref="BX109:BX116" si="277">IF(AR$116&gt;0,AR109/AR$116,"")</f>
        <v>1.5037292163427186E-2</v>
      </c>
      <c r="BY109" s="166">
        <f t="shared" ref="BY109:BY116" si="278">IF(AS$116&gt;0,AS109/AS$116,"")</f>
        <v>2.1951219512195124E-3</v>
      </c>
      <c r="BZ109" s="166">
        <f t="shared" ref="BZ109:BZ116" si="279">IF(AT$116&gt;0,AT109/AT$116,"")</f>
        <v>8.6682383599913874E-3</v>
      </c>
      <c r="CA109" s="166">
        <f t="shared" ref="CA109:CA116" si="280">IF(AU$116&gt;0,AU109/AU$116,"")</f>
        <v>6.5104166666666663E-4</v>
      </c>
      <c r="CB109" s="166">
        <f t="shared" ref="CB109:CB116" si="281">IF(AV$116&gt;0,AV109/AV$116,"")</f>
        <v>1</v>
      </c>
      <c r="CC109" s="166">
        <f t="shared" ref="CC109:CC116" si="282">IF(AW$116&gt;0,AW109/AW$116,"")</f>
        <v>0</v>
      </c>
      <c r="CD109" s="166">
        <f t="shared" ref="CD109:CD116" si="283">IF(AX$116&gt;0,AX109/AX$116,"")</f>
        <v>0.21970530019793269</v>
      </c>
      <c r="CE109" s="166">
        <f t="shared" ref="CE109:CE116" si="284">IF(AY$116&gt;0,AY109/AY$116,"")</f>
        <v>0</v>
      </c>
      <c r="CF109" s="166">
        <f t="shared" ref="CF109:CF116" si="285">IF(AZ$116&gt;0,AZ109/AZ$116,"")</f>
        <v>0</v>
      </c>
      <c r="CG109" s="166">
        <f t="shared" ref="CG109:CG116" si="286">IF(BA$116&gt;0,BA109/BA$116,"")</f>
        <v>0.11846076458752515</v>
      </c>
      <c r="CH109" s="166" t="str">
        <f t="shared" ref="CH109:CH116" si="287">IF(BB$116&gt;0,BB109/BB$116,"")</f>
        <v/>
      </c>
      <c r="CI109" s="168">
        <f t="shared" ref="CI109:CI116" si="288">IF(BC$116&gt;0,BC109/BC$116,"")</f>
        <v>0.15551222019093383</v>
      </c>
      <c r="CK109" s="107" t="s">
        <v>392</v>
      </c>
      <c r="CL109" s="166"/>
      <c r="CM109" s="166"/>
      <c r="CN109" s="166"/>
      <c r="CO109" s="166"/>
      <c r="CP109" s="166"/>
      <c r="CQ109" s="166"/>
      <c r="CR109" s="166"/>
      <c r="CS109" s="166"/>
      <c r="CT109" s="166"/>
      <c r="CU109" s="166"/>
      <c r="CV109" s="166"/>
      <c r="CW109" s="166"/>
      <c r="CX109" s="166"/>
      <c r="CY109" s="168"/>
      <c r="DA109" s="107" t="s">
        <v>392</v>
      </c>
      <c r="DB109" s="315"/>
      <c r="DC109" s="315"/>
      <c r="DD109" s="314">
        <f>IFERROR(IF(BX109&gt;0,LN(BH109/BX109),0),0)</f>
        <v>0.98281525126971658</v>
      </c>
      <c r="DE109" s="314">
        <f>IFERROR(IF(BY109&gt;0,LN(BI109/BY109),0),0)</f>
        <v>0</v>
      </c>
      <c r="DF109" s="314">
        <f>IFERROR(IF(BZ109&gt;0,LN(BJ109/BZ109),0),0)</f>
        <v>0.87116788452900451</v>
      </c>
      <c r="DG109" s="314">
        <f>IFERROR(IF(CA109&gt;0,LN(BK109/CA109),0),0)</f>
        <v>4.6246722967517551</v>
      </c>
      <c r="DH109" s="314">
        <f>IFERROR(IF(CB109&gt;0,LN(BL109/CB109),0),0)</f>
        <v>0</v>
      </c>
      <c r="DI109" s="315"/>
      <c r="DJ109" s="314">
        <f t="shared" ref="DJ109:DJ114" si="289">IFERROR(IF(CD109&gt;0,LN(BN109/CD109),0),0)</f>
        <v>-0.37333513086514503</v>
      </c>
      <c r="DK109" s="315"/>
      <c r="DL109" s="315"/>
      <c r="DM109" s="314">
        <f>IFERROR(IF(CG109&gt;0,LN(BQ109/CG109),0),0)</f>
        <v>0.56184149449615017</v>
      </c>
      <c r="DN109" s="315"/>
      <c r="DO109" s="168"/>
      <c r="DQ109" s="107" t="s">
        <v>392</v>
      </c>
      <c r="DR109" s="315"/>
      <c r="DS109" s="315"/>
      <c r="DT109" s="314">
        <v>6.2202310861035901</v>
      </c>
      <c r="DU109" s="314">
        <v>6.2202310861035901</v>
      </c>
      <c r="DV109" s="314">
        <v>2.1805285034194464</v>
      </c>
      <c r="DW109" s="314">
        <v>2.1805285034194464</v>
      </c>
      <c r="DX109" s="314">
        <v>0</v>
      </c>
      <c r="DY109" s="315"/>
      <c r="DZ109" s="314">
        <v>-1.0004184802117384</v>
      </c>
      <c r="EA109" s="315"/>
      <c r="EB109" s="315"/>
      <c r="EC109" s="314">
        <v>5.8958926396390723</v>
      </c>
      <c r="ED109" s="315"/>
      <c r="EE109" s="168"/>
      <c r="EG109" s="107" t="s">
        <v>392</v>
      </c>
      <c r="EH109" s="315"/>
      <c r="EI109" s="315"/>
      <c r="EJ109" s="314">
        <f>DT109+(DD109-DD$103)*$EI$1</f>
        <v>7.4635817137665992</v>
      </c>
      <c r="EK109" s="314">
        <f>DT109+(DD109-DD$103)*$EI$1</f>
        <v>7.4635817137665992</v>
      </c>
      <c r="EL109" s="314">
        <f>DV109+(DF109-DF$103)*$EI$1</f>
        <v>2.9836173557147663</v>
      </c>
      <c r="EM109" s="314">
        <f>DV109+(DF109-DF$103)*$EI$1</f>
        <v>2.9836173557147663</v>
      </c>
      <c r="EN109" s="314">
        <v>0</v>
      </c>
      <c r="EO109" s="315"/>
      <c r="EP109" s="314">
        <f>DZ109+(DJ109-DJ$111)*$EI$1</f>
        <v>-1.3842617734336937</v>
      </c>
      <c r="EQ109" s="315"/>
      <c r="ER109" s="315"/>
      <c r="ES109" s="314">
        <f>EC109+(DM109-DM$114)*$EI$1</f>
        <v>6.4030204004028954</v>
      </c>
      <c r="ET109" s="315"/>
      <c r="EU109" s="168"/>
      <c r="EW109" s="164" t="s">
        <v>392</v>
      </c>
      <c r="EX109" s="316">
        <f t="shared" si="269"/>
        <v>0</v>
      </c>
      <c r="EY109" s="316">
        <f t="shared" si="265"/>
        <v>0</v>
      </c>
      <c r="EZ109" s="316">
        <f t="shared" si="265"/>
        <v>0</v>
      </c>
      <c r="FA109" s="316">
        <f t="shared" si="265"/>
        <v>0</v>
      </c>
      <c r="FB109" s="316">
        <f t="shared" si="265"/>
        <v>0</v>
      </c>
      <c r="FC109" s="316">
        <f t="shared" si="265"/>
        <v>0</v>
      </c>
      <c r="FD109" s="316">
        <f t="shared" si="265"/>
        <v>0</v>
      </c>
      <c r="FE109" s="316">
        <f t="shared" si="265"/>
        <v>0</v>
      </c>
      <c r="FF109" s="316"/>
      <c r="FG109" s="316">
        <f t="shared" si="265"/>
        <v>0</v>
      </c>
      <c r="FH109" s="316">
        <f t="shared" si="265"/>
        <v>0</v>
      </c>
      <c r="FI109" s="316">
        <f t="shared" si="265"/>
        <v>0</v>
      </c>
      <c r="FJ109" s="316">
        <f t="shared" si="265"/>
        <v>0</v>
      </c>
      <c r="FK109" s="316">
        <f t="shared" si="265"/>
        <v>0</v>
      </c>
      <c r="FL109" s="168"/>
    </row>
    <row r="110" spans="2:168" x14ac:dyDescent="0.25">
      <c r="B110" s="107" t="s">
        <v>393</v>
      </c>
      <c r="C110" s="294"/>
      <c r="D110" s="294"/>
      <c r="E110" s="294"/>
      <c r="F110" s="294"/>
      <c r="G110" s="294"/>
      <c r="H110" s="294"/>
      <c r="I110" s="294"/>
      <c r="J110" s="160">
        <f>TripMode_input!I91</f>
        <v>86783.292079999999</v>
      </c>
      <c r="K110" s="294"/>
      <c r="L110" s="294"/>
      <c r="M110" s="294"/>
      <c r="N110" s="294"/>
      <c r="O110" s="294"/>
      <c r="P110" s="162">
        <f t="shared" si="255"/>
        <v>86783.292079999999</v>
      </c>
      <c r="R110">
        <f t="shared" si="266"/>
        <v>0</v>
      </c>
      <c r="S110">
        <f t="shared" si="267"/>
        <v>0</v>
      </c>
      <c r="T110">
        <f t="shared" si="268"/>
        <v>0</v>
      </c>
      <c r="Y110" s="107" t="s">
        <v>393</v>
      </c>
      <c r="Z110" s="294"/>
      <c r="AA110" s="294"/>
      <c r="AB110" s="294"/>
      <c r="AC110" s="294"/>
      <c r="AD110" s="294"/>
      <c r="AE110" s="294"/>
      <c r="AF110" s="294"/>
      <c r="AG110" s="160">
        <f>+J110</f>
        <v>86783.292079999999</v>
      </c>
      <c r="AH110" s="294"/>
      <c r="AI110" s="294"/>
      <c r="AJ110" s="294"/>
      <c r="AK110" s="294"/>
      <c r="AL110" s="294"/>
      <c r="AM110" s="162">
        <f t="shared" si="259"/>
        <v>86783.292079999999</v>
      </c>
      <c r="AO110" s="107" t="s">
        <v>393</v>
      </c>
      <c r="AP110" s="294">
        <f>TripMode_input!R91*Index!$B$2</f>
        <v>0</v>
      </c>
      <c r="AQ110" s="294">
        <f>TripMode_input!S91*Index!$B$2</f>
        <v>0</v>
      </c>
      <c r="AR110" s="294">
        <f>TripMode_input!T91*Index!$B$2</f>
        <v>0</v>
      </c>
      <c r="AS110" s="294">
        <f>TripMode_input!U91*Index!$B$2</f>
        <v>0</v>
      </c>
      <c r="AT110" s="294">
        <f>TripMode_input!V91*Index!$B$2</f>
        <v>0</v>
      </c>
      <c r="AU110" s="294">
        <f>TripMode_input!W91*Index!$B$2</f>
        <v>0</v>
      </c>
      <c r="AV110" s="294">
        <f>TripMode_input!X91*Index!$B$2</f>
        <v>0</v>
      </c>
      <c r="AW110" s="160">
        <f>TripMode_input!Y91*Index!$B$2</f>
        <v>162330</v>
      </c>
      <c r="AX110" s="294">
        <f>TripMode_input!AA91*Index!$B$2</f>
        <v>0</v>
      </c>
      <c r="AY110" s="294">
        <f>TripMode_input!AB91*Index!$B$2</f>
        <v>0</v>
      </c>
      <c r="AZ110" s="294">
        <f>TripMode_input!AC91*Index!$B$2</f>
        <v>0</v>
      </c>
      <c r="BA110" s="294">
        <f>TripMode_input!AD91*Index!$B$2</f>
        <v>0</v>
      </c>
      <c r="BB110" s="294">
        <f>TripMode_input!AE91*Index!$B$2</f>
        <v>0</v>
      </c>
      <c r="BC110" s="162">
        <f t="shared" si="260"/>
        <v>162330</v>
      </c>
      <c r="BE110" s="107" t="s">
        <v>393</v>
      </c>
      <c r="BF110" s="166">
        <f t="shared" si="274"/>
        <v>0</v>
      </c>
      <c r="BG110" s="166">
        <f t="shared" si="274"/>
        <v>0</v>
      </c>
      <c r="BH110" s="166">
        <f t="shared" si="274"/>
        <v>0</v>
      </c>
      <c r="BI110" s="166">
        <f t="shared" si="274"/>
        <v>0</v>
      </c>
      <c r="BJ110" s="166">
        <f t="shared" si="274"/>
        <v>0</v>
      </c>
      <c r="BK110" s="166">
        <f t="shared" si="274"/>
        <v>0</v>
      </c>
      <c r="BL110" s="166">
        <f t="shared" si="274"/>
        <v>0</v>
      </c>
      <c r="BM110" s="166">
        <f t="shared" si="274"/>
        <v>1</v>
      </c>
      <c r="BN110" s="166">
        <f t="shared" si="274"/>
        <v>0</v>
      </c>
      <c r="BO110" s="166">
        <f t="shared" si="274"/>
        <v>0</v>
      </c>
      <c r="BP110" s="166">
        <f t="shared" si="274"/>
        <v>0</v>
      </c>
      <c r="BQ110" s="166">
        <f t="shared" si="274"/>
        <v>0</v>
      </c>
      <c r="BR110" s="166">
        <f t="shared" si="274"/>
        <v>0</v>
      </c>
      <c r="BS110" s="166">
        <f t="shared" si="274"/>
        <v>2.2999301130477795E-2</v>
      </c>
      <c r="BU110" s="107" t="s">
        <v>393</v>
      </c>
      <c r="BV110" s="166">
        <f t="shared" si="275"/>
        <v>0</v>
      </c>
      <c r="BW110" s="166">
        <f t="shared" si="276"/>
        <v>0</v>
      </c>
      <c r="BX110" s="166">
        <f t="shared" si="277"/>
        <v>0</v>
      </c>
      <c r="BY110" s="166">
        <f t="shared" si="278"/>
        <v>0</v>
      </c>
      <c r="BZ110" s="166">
        <f t="shared" si="279"/>
        <v>0</v>
      </c>
      <c r="CA110" s="166">
        <f t="shared" si="280"/>
        <v>0</v>
      </c>
      <c r="CB110" s="166">
        <f t="shared" si="281"/>
        <v>0</v>
      </c>
      <c r="CC110" s="166">
        <f t="shared" si="282"/>
        <v>1</v>
      </c>
      <c r="CD110" s="166">
        <f t="shared" si="283"/>
        <v>0</v>
      </c>
      <c r="CE110" s="166">
        <f t="shared" si="284"/>
        <v>0</v>
      </c>
      <c r="CF110" s="166">
        <f t="shared" si="285"/>
        <v>0</v>
      </c>
      <c r="CG110" s="166">
        <f t="shared" si="286"/>
        <v>0</v>
      </c>
      <c r="CH110" s="166" t="str">
        <f t="shared" si="287"/>
        <v/>
      </c>
      <c r="CI110" s="168">
        <f t="shared" si="288"/>
        <v>2.6568051888961813E-2</v>
      </c>
      <c r="CK110" s="107" t="s">
        <v>393</v>
      </c>
      <c r="CL110" s="166"/>
      <c r="CM110" s="166"/>
      <c r="CN110" s="166"/>
      <c r="CO110" s="166"/>
      <c r="CP110" s="166"/>
      <c r="CQ110" s="166"/>
      <c r="CR110" s="166"/>
      <c r="CS110" s="166"/>
      <c r="CT110" s="166"/>
      <c r="CU110" s="166"/>
      <c r="CV110" s="166"/>
      <c r="CW110" s="166"/>
      <c r="CX110" s="166"/>
      <c r="CY110" s="168"/>
      <c r="DA110" s="107" t="s">
        <v>393</v>
      </c>
      <c r="DB110" s="315"/>
      <c r="DC110" s="315"/>
      <c r="DD110" s="315"/>
      <c r="DE110" s="315"/>
      <c r="DF110" s="315"/>
      <c r="DG110" s="315"/>
      <c r="DH110" s="315"/>
      <c r="DI110" s="314">
        <f>IFERROR(IF(CC110&gt;0,LN(BM110/CC110),0),0)</f>
        <v>0</v>
      </c>
      <c r="DJ110" s="315"/>
      <c r="DK110" s="315"/>
      <c r="DL110" s="315"/>
      <c r="DM110" s="315"/>
      <c r="DN110" s="315"/>
      <c r="DO110" s="168"/>
      <c r="DQ110" s="107" t="s">
        <v>393</v>
      </c>
      <c r="DR110" s="315"/>
      <c r="DS110" s="315"/>
      <c r="DT110" s="315"/>
      <c r="DU110" s="315"/>
      <c r="DV110" s="315"/>
      <c r="DW110" s="315"/>
      <c r="DX110" s="315"/>
      <c r="DY110" s="314">
        <v>0</v>
      </c>
      <c r="DZ110" s="315"/>
      <c r="EA110" s="315"/>
      <c r="EB110" s="315"/>
      <c r="EC110" s="315"/>
      <c r="ED110" s="315"/>
      <c r="EE110" s="168"/>
      <c r="EG110" s="107" t="s">
        <v>393</v>
      </c>
      <c r="EH110" s="315"/>
      <c r="EI110" s="315"/>
      <c r="EJ110" s="315"/>
      <c r="EK110" s="315"/>
      <c r="EL110" s="315"/>
      <c r="EM110" s="315"/>
      <c r="EN110" s="315"/>
      <c r="EO110" s="314">
        <v>0</v>
      </c>
      <c r="EP110" s="315"/>
      <c r="EQ110" s="315"/>
      <c r="ER110" s="315"/>
      <c r="ES110" s="315"/>
      <c r="ET110" s="315"/>
      <c r="EU110" s="168"/>
      <c r="EW110" s="164" t="s">
        <v>393</v>
      </c>
      <c r="EX110" s="316">
        <f t="shared" si="269"/>
        <v>0</v>
      </c>
      <c r="EY110" s="316">
        <f t="shared" si="265"/>
        <v>0</v>
      </c>
      <c r="EZ110" s="316">
        <f t="shared" si="265"/>
        <v>0</v>
      </c>
      <c r="FA110" s="316">
        <f t="shared" si="265"/>
        <v>0</v>
      </c>
      <c r="FB110" s="316">
        <f t="shared" si="265"/>
        <v>0</v>
      </c>
      <c r="FC110" s="316">
        <f t="shared" si="265"/>
        <v>0</v>
      </c>
      <c r="FD110" s="316">
        <f t="shared" si="265"/>
        <v>0</v>
      </c>
      <c r="FE110" s="316">
        <f t="shared" si="265"/>
        <v>0</v>
      </c>
      <c r="FF110" s="316"/>
      <c r="FG110" s="316">
        <f t="shared" si="265"/>
        <v>0</v>
      </c>
      <c r="FH110" s="316">
        <f t="shared" si="265"/>
        <v>0</v>
      </c>
      <c r="FI110" s="316">
        <f t="shared" si="265"/>
        <v>0</v>
      </c>
      <c r="FJ110" s="316">
        <f t="shared" si="265"/>
        <v>0</v>
      </c>
      <c r="FK110" s="316">
        <f t="shared" si="265"/>
        <v>0</v>
      </c>
      <c r="FL110" s="168"/>
    </row>
    <row r="111" spans="2:168" x14ac:dyDescent="0.25">
      <c r="B111" s="107" t="s">
        <v>546</v>
      </c>
      <c r="C111" s="294"/>
      <c r="D111" s="294"/>
      <c r="E111" s="294"/>
      <c r="F111" s="294"/>
      <c r="G111" s="294"/>
      <c r="H111" s="294"/>
      <c r="I111" s="294"/>
      <c r="J111" s="294"/>
      <c r="K111" s="160">
        <f>TripMode_input!J93+TripMode_input!K93+TripMode_input!J92+TripMode_input!K92</f>
        <v>93386.161199999988</v>
      </c>
      <c r="L111" s="294"/>
      <c r="M111" s="294"/>
      <c r="N111" s="294"/>
      <c r="O111" s="294"/>
      <c r="P111" s="162">
        <f t="shared" si="255"/>
        <v>93386.161199999988</v>
      </c>
      <c r="R111">
        <f t="shared" si="266"/>
        <v>1</v>
      </c>
      <c r="S111">
        <f t="shared" si="267"/>
        <v>0</v>
      </c>
      <c r="T111">
        <f t="shared" si="268"/>
        <v>0</v>
      </c>
      <c r="U111" s="127">
        <f>+K111/K$159</f>
        <v>7.4229566298170846E-2</v>
      </c>
      <c r="V111" s="127"/>
      <c r="W111" s="127"/>
      <c r="X111" s="127"/>
      <c r="Y111" s="107" t="s">
        <v>546</v>
      </c>
      <c r="Z111" s="294"/>
      <c r="AA111" s="294"/>
      <c r="AB111" s="294"/>
      <c r="AC111" s="294"/>
      <c r="AD111" s="294"/>
      <c r="AE111" s="294"/>
      <c r="AF111" s="294"/>
      <c r="AG111" s="294"/>
      <c r="AH111" s="160">
        <f>U111*U$159</f>
        <v>98574.255104827171</v>
      </c>
      <c r="AI111" s="294"/>
      <c r="AJ111" s="294"/>
      <c r="AK111" s="294"/>
      <c r="AL111" s="294"/>
      <c r="AM111" s="162">
        <f t="shared" si="259"/>
        <v>98574.255104827171</v>
      </c>
      <c r="AN111" s="127"/>
      <c r="AO111" s="107" t="s">
        <v>395</v>
      </c>
      <c r="AP111" s="294">
        <f>TripMode_input!R93*Index!$B$2</f>
        <v>0</v>
      </c>
      <c r="AQ111" s="294">
        <f>TripMode_input!S93*Index!$B$2</f>
        <v>0</v>
      </c>
      <c r="AR111" s="294">
        <f>TripMode_input!T93*Index!$B$2</f>
        <v>0</v>
      </c>
      <c r="AS111" s="294">
        <f>TripMode_input!U93*Index!$B$2</f>
        <v>0</v>
      </c>
      <c r="AT111" s="294">
        <f>TripMode_input!V93*Index!$B$2</f>
        <v>0</v>
      </c>
      <c r="AU111" s="294">
        <f>TripMode_input!W93*Index!$B$2</f>
        <v>0</v>
      </c>
      <c r="AV111" s="294">
        <f>TripMode_input!X93*Index!$B$2</f>
        <v>0</v>
      </c>
      <c r="AW111" s="294">
        <f>TripMode_input!Y93*Index!$B$2</f>
        <v>0</v>
      </c>
      <c r="AX111" s="160">
        <f>TripMode_input!AA93*Index!$B$2</f>
        <v>47920</v>
      </c>
      <c r="AY111" s="160">
        <f>TripMode_input!AB93*Index!$B$2</f>
        <v>0</v>
      </c>
      <c r="AZ111" s="160">
        <f>TripMode_input!AC93*Index!$B$2</f>
        <v>0</v>
      </c>
      <c r="BA111" s="294">
        <f>TripMode_input!AD93*Index!$B$2</f>
        <v>0</v>
      </c>
      <c r="BB111" s="294">
        <f>TripMode_input!AE93*Index!$B$2</f>
        <v>0</v>
      </c>
      <c r="BC111" s="162">
        <f t="shared" si="260"/>
        <v>47920</v>
      </c>
      <c r="BE111" s="107" t="s">
        <v>395</v>
      </c>
      <c r="BF111" s="166">
        <f t="shared" si="274"/>
        <v>0</v>
      </c>
      <c r="BG111" s="166">
        <f t="shared" si="274"/>
        <v>0</v>
      </c>
      <c r="BH111" s="166">
        <f t="shared" si="274"/>
        <v>0</v>
      </c>
      <c r="BI111" s="166">
        <f t="shared" si="274"/>
        <v>0</v>
      </c>
      <c r="BJ111" s="166">
        <f t="shared" si="274"/>
        <v>0</v>
      </c>
      <c r="BK111" s="166">
        <f t="shared" si="274"/>
        <v>0</v>
      </c>
      <c r="BL111" s="166">
        <f t="shared" si="274"/>
        <v>0</v>
      </c>
      <c r="BM111" s="166">
        <f t="shared" si="274"/>
        <v>0</v>
      </c>
      <c r="BN111" s="166">
        <f t="shared" si="274"/>
        <v>0.71000961997281575</v>
      </c>
      <c r="BO111" s="166">
        <f t="shared" si="274"/>
        <v>0</v>
      </c>
      <c r="BP111" s="166">
        <f t="shared" si="274"/>
        <v>0</v>
      </c>
      <c r="BQ111" s="166">
        <f t="shared" si="274"/>
        <v>0</v>
      </c>
      <c r="BR111" s="166">
        <f t="shared" si="274"/>
        <v>0</v>
      </c>
      <c r="BS111" s="166">
        <f t="shared" si="274"/>
        <v>2.6124141208869179E-2</v>
      </c>
      <c r="BU111" s="107" t="s">
        <v>395</v>
      </c>
      <c r="BV111" s="166">
        <f t="shared" si="275"/>
        <v>0</v>
      </c>
      <c r="BW111" s="166">
        <f t="shared" si="276"/>
        <v>0</v>
      </c>
      <c r="BX111" s="166">
        <f t="shared" si="277"/>
        <v>0</v>
      </c>
      <c r="BY111" s="166">
        <f t="shared" si="278"/>
        <v>0</v>
      </c>
      <c r="BZ111" s="166">
        <f t="shared" si="279"/>
        <v>0</v>
      </c>
      <c r="CA111" s="166">
        <f t="shared" si="280"/>
        <v>0</v>
      </c>
      <c r="CB111" s="166">
        <f t="shared" si="281"/>
        <v>0</v>
      </c>
      <c r="CC111" s="166">
        <f t="shared" si="282"/>
        <v>0</v>
      </c>
      <c r="CD111" s="166">
        <f t="shared" si="283"/>
        <v>0.70258778681914813</v>
      </c>
      <c r="CE111" s="166">
        <f t="shared" si="284"/>
        <v>0</v>
      </c>
      <c r="CF111" s="166">
        <f t="shared" si="285"/>
        <v>0</v>
      </c>
      <c r="CG111" s="166">
        <f t="shared" si="286"/>
        <v>0</v>
      </c>
      <c r="CH111" s="166" t="str">
        <f t="shared" si="287"/>
        <v/>
      </c>
      <c r="CI111" s="168">
        <f t="shared" si="288"/>
        <v>7.8429190323356743E-3</v>
      </c>
      <c r="CK111" s="107" t="s">
        <v>395</v>
      </c>
      <c r="CL111" s="166" t="str">
        <f t="shared" ref="CL111:CO116" si="290">IF(OR(ISNA(BF111),BF111=0,BF111=""),"",(BV111-BF111)/BF111)</f>
        <v/>
      </c>
      <c r="CM111" s="166" t="str">
        <f t="shared" si="290"/>
        <v/>
      </c>
      <c r="CN111" s="166" t="str">
        <f t="shared" si="290"/>
        <v/>
      </c>
      <c r="CO111" s="166" t="str">
        <f t="shared" si="290"/>
        <v/>
      </c>
      <c r="CP111" s="166"/>
      <c r="CQ111" s="166"/>
      <c r="CR111" s="166"/>
      <c r="CS111" s="166"/>
      <c r="CT111" s="166">
        <f t="shared" ref="CT111:CY116" si="291">IF(OR(ISNA(BN111),BN111=0,BN111=""),"",(CD111-BN111)/BN111)</f>
        <v>-1.0453144499579856E-2</v>
      </c>
      <c r="CU111" s="166" t="str">
        <f t="shared" si="291"/>
        <v/>
      </c>
      <c r="CV111" s="166" t="str">
        <f t="shared" si="291"/>
        <v/>
      </c>
      <c r="CW111" s="166" t="str">
        <f t="shared" si="291"/>
        <v/>
      </c>
      <c r="CX111" s="166" t="str">
        <f t="shared" si="291"/>
        <v/>
      </c>
      <c r="CY111" s="168">
        <f t="shared" si="291"/>
        <v>-0.69978270406557919</v>
      </c>
      <c r="DA111" s="107" t="s">
        <v>395</v>
      </c>
      <c r="DB111" s="315"/>
      <c r="DC111" s="315"/>
      <c r="DD111" s="315"/>
      <c r="DE111" s="315"/>
      <c r="DF111" s="315"/>
      <c r="DG111" s="315"/>
      <c r="DH111" s="315"/>
      <c r="DI111" s="315"/>
      <c r="DJ111" s="314">
        <f t="shared" si="289"/>
        <v>1.0508162356810343E-2</v>
      </c>
      <c r="DK111" s="315"/>
      <c r="DL111" s="315"/>
      <c r="DM111" s="315"/>
      <c r="DN111" s="315"/>
      <c r="DO111" s="168"/>
      <c r="DQ111" s="107" t="s">
        <v>395</v>
      </c>
      <c r="DR111" s="315"/>
      <c r="DS111" s="315"/>
      <c r="DT111" s="315"/>
      <c r="DU111" s="315"/>
      <c r="DV111" s="315"/>
      <c r="DW111" s="315"/>
      <c r="DX111" s="315"/>
      <c r="DY111" s="315"/>
      <c r="DZ111" s="314">
        <v>0</v>
      </c>
      <c r="EA111" s="315"/>
      <c r="EB111" s="315"/>
      <c r="EC111" s="315"/>
      <c r="ED111" s="315"/>
      <c r="EE111" s="168"/>
      <c r="EG111" s="107" t="s">
        <v>395</v>
      </c>
      <c r="EH111" s="315"/>
      <c r="EI111" s="315"/>
      <c r="EJ111" s="315"/>
      <c r="EK111" s="315"/>
      <c r="EL111" s="315"/>
      <c r="EM111" s="315"/>
      <c r="EN111" s="315"/>
      <c r="EO111" s="315"/>
      <c r="EP111" s="314">
        <v>0</v>
      </c>
      <c r="EQ111" s="315"/>
      <c r="ER111" s="315"/>
      <c r="ES111" s="315"/>
      <c r="ET111" s="315"/>
      <c r="EU111" s="168"/>
      <c r="EW111" s="164" t="s">
        <v>546</v>
      </c>
      <c r="EX111" s="316">
        <f t="shared" si="269"/>
        <v>0</v>
      </c>
      <c r="EY111" s="316">
        <f t="shared" si="265"/>
        <v>0</v>
      </c>
      <c r="EZ111" s="316">
        <f t="shared" si="265"/>
        <v>6.8879531143595063</v>
      </c>
      <c r="FA111" s="316">
        <f t="shared" si="265"/>
        <v>6.8879531143595063</v>
      </c>
      <c r="FB111" s="316">
        <f t="shared" si="265"/>
        <v>4.1165926288917039</v>
      </c>
      <c r="FC111" s="316">
        <f t="shared" si="265"/>
        <v>4.1165926288917039</v>
      </c>
      <c r="FD111" s="316">
        <f t="shared" si="265"/>
        <v>-1.3842617734336937</v>
      </c>
      <c r="FE111" s="316">
        <f t="shared" si="265"/>
        <v>0</v>
      </c>
      <c r="FF111" s="316"/>
      <c r="FG111" s="316">
        <f t="shared" si="265"/>
        <v>0</v>
      </c>
      <c r="FH111" s="316">
        <f t="shared" si="265"/>
        <v>0</v>
      </c>
      <c r="FI111" s="316">
        <f t="shared" si="265"/>
        <v>0</v>
      </c>
      <c r="FJ111" s="316">
        <f t="shared" si="265"/>
        <v>-2.6883059764552879</v>
      </c>
      <c r="FK111" s="316">
        <f t="shared" si="265"/>
        <v>0</v>
      </c>
      <c r="FL111" s="168"/>
    </row>
    <row r="112" spans="2:168" x14ac:dyDescent="0.25">
      <c r="B112" s="107" t="s">
        <v>396</v>
      </c>
      <c r="C112" s="294"/>
      <c r="D112" s="294"/>
      <c r="E112" s="294"/>
      <c r="F112" s="294"/>
      <c r="G112" s="294"/>
      <c r="H112" s="294"/>
      <c r="I112" s="294"/>
      <c r="J112" s="294"/>
      <c r="K112" s="294"/>
      <c r="L112" s="160">
        <f>TripMode_input!L94</f>
        <v>6053.6508899999999</v>
      </c>
      <c r="M112" s="294"/>
      <c r="N112" s="294"/>
      <c r="O112" s="294"/>
      <c r="P112" s="162">
        <f t="shared" si="255"/>
        <v>6053.6508899999999</v>
      </c>
      <c r="R112">
        <f t="shared" si="266"/>
        <v>0</v>
      </c>
      <c r="S112">
        <f t="shared" si="267"/>
        <v>1</v>
      </c>
      <c r="T112">
        <f t="shared" si="268"/>
        <v>0</v>
      </c>
      <c r="V112" s="127">
        <f>+L112/L$160</f>
        <v>5.9609283942950966E-2</v>
      </c>
      <c r="W112" s="127"/>
      <c r="X112" s="127"/>
      <c r="Y112" s="107" t="s">
        <v>396</v>
      </c>
      <c r="Z112" s="294"/>
      <c r="AA112" s="294"/>
      <c r="AB112" s="294"/>
      <c r="AC112" s="294"/>
      <c r="AD112" s="294"/>
      <c r="AE112" s="294"/>
      <c r="AF112" s="294"/>
      <c r="AG112" s="294"/>
      <c r="AH112" s="294"/>
      <c r="AI112" s="160">
        <f>V112*V$160</f>
        <v>4080.3827338334272</v>
      </c>
      <c r="AJ112" s="294"/>
      <c r="AK112" s="294"/>
      <c r="AL112" s="294"/>
      <c r="AM112" s="162">
        <f t="shared" si="259"/>
        <v>4080.3827338334272</v>
      </c>
      <c r="AN112" s="127"/>
      <c r="AO112" s="107" t="s">
        <v>396</v>
      </c>
      <c r="AP112" s="294">
        <f>TripMode_input!R94*Index!$B$2</f>
        <v>0</v>
      </c>
      <c r="AQ112" s="294">
        <f>TripMode_input!S94*Index!$B$2</f>
        <v>0</v>
      </c>
      <c r="AR112" s="294">
        <f>TripMode_input!T94*Index!$B$2</f>
        <v>0</v>
      </c>
      <c r="AS112" s="294">
        <f>TripMode_input!U94*Index!$B$2</f>
        <v>0</v>
      </c>
      <c r="AT112" s="294">
        <f>TripMode_input!V94*Index!$B$2</f>
        <v>0</v>
      </c>
      <c r="AU112" s="294">
        <f>TripMode_input!W94*Index!$B$2</f>
        <v>0</v>
      </c>
      <c r="AV112" s="294">
        <f>TripMode_input!X94*Index!$B$2</f>
        <v>0</v>
      </c>
      <c r="AW112" s="294">
        <f>TripMode_input!Y94*Index!$B$2</f>
        <v>0</v>
      </c>
      <c r="AX112" s="294">
        <f>TripMode_input!AA94*Index!$B$2</f>
        <v>0</v>
      </c>
      <c r="AY112" s="160">
        <f>TripMode_input!AB94*Index!$B$2</f>
        <v>2390</v>
      </c>
      <c r="AZ112" s="294">
        <f>TripMode_input!AC94*Index!$B$2</f>
        <v>0</v>
      </c>
      <c r="BA112" s="294">
        <f>TripMode_input!AD94*Index!$B$2</f>
        <v>0</v>
      </c>
      <c r="BB112" s="294">
        <f>TripMode_input!AE94*Index!$B$2</f>
        <v>0</v>
      </c>
      <c r="BC112" s="162">
        <f t="shared" si="260"/>
        <v>2390</v>
      </c>
      <c r="BE112" s="107" t="s">
        <v>396</v>
      </c>
      <c r="BF112" s="166">
        <f t="shared" si="274"/>
        <v>0</v>
      </c>
      <c r="BG112" s="166">
        <f t="shared" si="274"/>
        <v>0</v>
      </c>
      <c r="BH112" s="166">
        <f t="shared" si="274"/>
        <v>0</v>
      </c>
      <c r="BI112" s="166">
        <f t="shared" si="274"/>
        <v>0</v>
      </c>
      <c r="BJ112" s="166">
        <f t="shared" si="274"/>
        <v>0</v>
      </c>
      <c r="BK112" s="166">
        <f t="shared" si="274"/>
        <v>0</v>
      </c>
      <c r="BL112" s="166">
        <f t="shared" si="274"/>
        <v>0</v>
      </c>
      <c r="BM112" s="166">
        <f t="shared" si="274"/>
        <v>0</v>
      </c>
      <c r="BN112" s="166">
        <f t="shared" si="274"/>
        <v>0</v>
      </c>
      <c r="BO112" s="166">
        <f t="shared" si="274"/>
        <v>1</v>
      </c>
      <c r="BP112" s="166">
        <f t="shared" si="274"/>
        <v>0</v>
      </c>
      <c r="BQ112" s="166">
        <f t="shared" si="274"/>
        <v>0</v>
      </c>
      <c r="BR112" s="166">
        <f t="shared" si="274"/>
        <v>0</v>
      </c>
      <c r="BS112" s="166">
        <f t="shared" si="274"/>
        <v>1.0813827059767058E-3</v>
      </c>
      <c r="BU112" s="107" t="s">
        <v>396</v>
      </c>
      <c r="BV112" s="166">
        <f t="shared" si="275"/>
        <v>0</v>
      </c>
      <c r="BW112" s="166">
        <f t="shared" si="276"/>
        <v>0</v>
      </c>
      <c r="BX112" s="166">
        <f t="shared" si="277"/>
        <v>0</v>
      </c>
      <c r="BY112" s="166">
        <f t="shared" si="278"/>
        <v>0</v>
      </c>
      <c r="BZ112" s="166">
        <f t="shared" si="279"/>
        <v>0</v>
      </c>
      <c r="CA112" s="166">
        <f t="shared" si="280"/>
        <v>0</v>
      </c>
      <c r="CB112" s="166">
        <f t="shared" si="281"/>
        <v>0</v>
      </c>
      <c r="CC112" s="166">
        <f t="shared" si="282"/>
        <v>0</v>
      </c>
      <c r="CD112" s="166">
        <f t="shared" si="283"/>
        <v>0</v>
      </c>
      <c r="CE112" s="166">
        <f t="shared" si="284"/>
        <v>1</v>
      </c>
      <c r="CF112" s="166">
        <f t="shared" si="285"/>
        <v>0</v>
      </c>
      <c r="CG112" s="166">
        <f t="shared" si="286"/>
        <v>0</v>
      </c>
      <c r="CH112" s="166" t="str">
        <f t="shared" si="287"/>
        <v/>
      </c>
      <c r="CI112" s="168">
        <f t="shared" si="288"/>
        <v>3.9116395006849462E-4</v>
      </c>
      <c r="CK112" s="107" t="s">
        <v>396</v>
      </c>
      <c r="CL112" s="166" t="str">
        <f t="shared" si="290"/>
        <v/>
      </c>
      <c r="CM112" s="166" t="str">
        <f t="shared" si="290"/>
        <v/>
      </c>
      <c r="CN112" s="166" t="str">
        <f t="shared" si="290"/>
        <v/>
      </c>
      <c r="CO112" s="166" t="str">
        <f t="shared" si="290"/>
        <v/>
      </c>
      <c r="CP112" s="166"/>
      <c r="CQ112" s="166"/>
      <c r="CR112" s="166"/>
      <c r="CS112" s="166"/>
      <c r="CT112" s="166" t="str">
        <f t="shared" si="291"/>
        <v/>
      </c>
      <c r="CU112" s="166">
        <f t="shared" si="291"/>
        <v>0</v>
      </c>
      <c r="CV112" s="166" t="str">
        <f t="shared" si="291"/>
        <v/>
      </c>
      <c r="CW112" s="166" t="str">
        <f t="shared" si="291"/>
        <v/>
      </c>
      <c r="CX112" s="166" t="str">
        <f t="shared" si="291"/>
        <v/>
      </c>
      <c r="CY112" s="168">
        <f t="shared" si="291"/>
        <v>-0.63827426876112747</v>
      </c>
      <c r="DA112" s="107" t="s">
        <v>396</v>
      </c>
      <c r="DB112" s="315"/>
      <c r="DC112" s="315"/>
      <c r="DD112" s="315"/>
      <c r="DE112" s="315"/>
      <c r="DF112" s="315"/>
      <c r="DG112" s="315"/>
      <c r="DH112" s="315"/>
      <c r="DI112" s="315"/>
      <c r="DJ112" s="315"/>
      <c r="DK112" s="314">
        <f>IFERROR(IF(CE112&gt;0,LN(BO112/CE112),0),0)</f>
        <v>0</v>
      </c>
      <c r="DL112" s="315"/>
      <c r="DM112" s="315"/>
      <c r="DN112" s="315"/>
      <c r="DO112" s="168"/>
      <c r="DQ112" s="107" t="s">
        <v>396</v>
      </c>
      <c r="DR112" s="315"/>
      <c r="DS112" s="315"/>
      <c r="DT112" s="315"/>
      <c r="DU112" s="315"/>
      <c r="DV112" s="315"/>
      <c r="DW112" s="315"/>
      <c r="DX112" s="315"/>
      <c r="DY112" s="315"/>
      <c r="DZ112" s="315"/>
      <c r="EA112" s="314">
        <v>0</v>
      </c>
      <c r="EB112" s="315"/>
      <c r="EC112" s="315"/>
      <c r="ED112" s="315"/>
      <c r="EE112" s="168"/>
      <c r="EG112" s="107" t="s">
        <v>396</v>
      </c>
      <c r="EH112" s="315"/>
      <c r="EI112" s="315"/>
      <c r="EJ112" s="315"/>
      <c r="EK112" s="315"/>
      <c r="EL112" s="315"/>
      <c r="EM112" s="315"/>
      <c r="EN112" s="315"/>
      <c r="EO112" s="315"/>
      <c r="EP112" s="315"/>
      <c r="EQ112" s="314">
        <v>0</v>
      </c>
      <c r="ER112" s="315"/>
      <c r="ES112" s="315"/>
      <c r="ET112" s="315"/>
      <c r="EU112" s="168"/>
      <c r="EW112" s="164" t="s">
        <v>396</v>
      </c>
      <c r="EX112" s="316">
        <f t="shared" si="269"/>
        <v>0</v>
      </c>
      <c r="EY112" s="316">
        <f t="shared" si="265"/>
        <v>0</v>
      </c>
      <c r="EZ112" s="316">
        <f t="shared" si="265"/>
        <v>0</v>
      </c>
      <c r="FA112" s="316">
        <f t="shared" si="265"/>
        <v>0</v>
      </c>
      <c r="FB112" s="316">
        <f t="shared" si="265"/>
        <v>0</v>
      </c>
      <c r="FC112" s="316">
        <f t="shared" si="265"/>
        <v>0</v>
      </c>
      <c r="FD112" s="316">
        <f t="shared" si="265"/>
        <v>0</v>
      </c>
      <c r="FE112" s="316">
        <f t="shared" si="265"/>
        <v>0</v>
      </c>
      <c r="FF112" s="316"/>
      <c r="FG112" s="316">
        <f t="shared" si="265"/>
        <v>0</v>
      </c>
      <c r="FH112" s="316">
        <f t="shared" si="265"/>
        <v>0</v>
      </c>
      <c r="FI112" s="316">
        <f t="shared" si="265"/>
        <v>0</v>
      </c>
      <c r="FJ112" s="316">
        <f t="shared" si="265"/>
        <v>0</v>
      </c>
      <c r="FK112" s="316">
        <f t="shared" si="265"/>
        <v>0</v>
      </c>
      <c r="FL112" s="168"/>
    </row>
    <row r="113" spans="2:168" x14ac:dyDescent="0.25">
      <c r="B113" s="107" t="s">
        <v>397</v>
      </c>
      <c r="C113" s="294"/>
      <c r="D113" s="294"/>
      <c r="E113" s="294"/>
      <c r="F113" s="294"/>
      <c r="G113" s="294"/>
      <c r="H113" s="294"/>
      <c r="I113" s="294"/>
      <c r="J113" s="294"/>
      <c r="K113" s="294"/>
      <c r="L113" s="294"/>
      <c r="M113" s="160">
        <f>TripMode_input!M95</f>
        <v>7790.4192599999997</v>
      </c>
      <c r="N113" s="294"/>
      <c r="O113" s="294"/>
      <c r="P113" s="162">
        <f t="shared" si="255"/>
        <v>7790.4192599999997</v>
      </c>
      <c r="R113">
        <f t="shared" si="266"/>
        <v>0</v>
      </c>
      <c r="S113">
        <f t="shared" si="267"/>
        <v>0</v>
      </c>
      <c r="T113">
        <f t="shared" si="268"/>
        <v>1</v>
      </c>
      <c r="W113" s="127">
        <f>+M113/M$161</f>
        <v>2.8229201595022721E-2</v>
      </c>
      <c r="X113" s="127"/>
      <c r="Y113" s="107" t="s">
        <v>397</v>
      </c>
      <c r="Z113" s="294"/>
      <c r="AA113" s="294"/>
      <c r="AB113" s="294"/>
      <c r="AC113" s="294"/>
      <c r="AD113" s="294"/>
      <c r="AE113" s="294"/>
      <c r="AF113" s="294"/>
      <c r="AG113" s="294"/>
      <c r="AH113" s="294"/>
      <c r="AI113" s="294"/>
      <c r="AJ113" s="160">
        <f>W113*W$161</f>
        <v>5610.2600131264053</v>
      </c>
      <c r="AK113" s="294"/>
      <c r="AL113" s="294"/>
      <c r="AM113" s="162">
        <f t="shared" si="259"/>
        <v>5610.2600131264053</v>
      </c>
      <c r="AN113" s="127"/>
      <c r="AO113" s="107" t="s">
        <v>397</v>
      </c>
      <c r="AP113" s="294">
        <f>TripMode_input!R95*Index!$B$2</f>
        <v>0</v>
      </c>
      <c r="AQ113" s="294">
        <f>TripMode_input!S95*Index!$B$2</f>
        <v>0</v>
      </c>
      <c r="AR113" s="294">
        <f>TripMode_input!T95*Index!$B$2</f>
        <v>0</v>
      </c>
      <c r="AS113" s="294">
        <f>TripMode_input!U95*Index!$B$2</f>
        <v>0</v>
      </c>
      <c r="AT113" s="294">
        <f>TripMode_input!V95*Index!$B$2</f>
        <v>0</v>
      </c>
      <c r="AU113" s="294">
        <f>TripMode_input!W95*Index!$B$2</f>
        <v>0</v>
      </c>
      <c r="AV113" s="294">
        <f>TripMode_input!X95*Index!$B$2</f>
        <v>0</v>
      </c>
      <c r="AW113" s="294">
        <f>TripMode_input!Y95*Index!$B$2</f>
        <v>0</v>
      </c>
      <c r="AX113" s="294">
        <f>TripMode_input!AA95*Index!$B$2</f>
        <v>0</v>
      </c>
      <c r="AY113" s="294">
        <f>TripMode_input!AB95*Index!$B$2</f>
        <v>0</v>
      </c>
      <c r="AZ113" s="160">
        <f>TripMode_input!AC95*Index!$B$2</f>
        <v>2170</v>
      </c>
      <c r="BA113" s="294">
        <f>TripMode_input!AD95*Index!$B$2</f>
        <v>0</v>
      </c>
      <c r="BB113" s="294">
        <f>TripMode_input!AE95*Index!$B$2</f>
        <v>0</v>
      </c>
      <c r="BC113" s="162">
        <f t="shared" si="260"/>
        <v>2170</v>
      </c>
      <c r="BE113" s="107" t="s">
        <v>397</v>
      </c>
      <c r="BF113" s="166">
        <f t="shared" si="274"/>
        <v>0</v>
      </c>
      <c r="BG113" s="166">
        <f t="shared" si="274"/>
        <v>0</v>
      </c>
      <c r="BH113" s="166">
        <f t="shared" si="274"/>
        <v>0</v>
      </c>
      <c r="BI113" s="166">
        <f t="shared" si="274"/>
        <v>0</v>
      </c>
      <c r="BJ113" s="166">
        <f t="shared" si="274"/>
        <v>0</v>
      </c>
      <c r="BK113" s="166">
        <f t="shared" si="274"/>
        <v>0</v>
      </c>
      <c r="BL113" s="166">
        <f t="shared" si="274"/>
        <v>0</v>
      </c>
      <c r="BM113" s="166">
        <f t="shared" si="274"/>
        <v>0</v>
      </c>
      <c r="BN113" s="166">
        <f t="shared" si="274"/>
        <v>0</v>
      </c>
      <c r="BO113" s="166">
        <f t="shared" si="274"/>
        <v>0</v>
      </c>
      <c r="BP113" s="166">
        <f t="shared" si="274"/>
        <v>1</v>
      </c>
      <c r="BQ113" s="166">
        <f t="shared" si="274"/>
        <v>0</v>
      </c>
      <c r="BR113" s="166">
        <f t="shared" si="274"/>
        <v>0</v>
      </c>
      <c r="BS113" s="166">
        <f t="shared" si="274"/>
        <v>1.486830660252276E-3</v>
      </c>
      <c r="BU113" s="107" t="s">
        <v>397</v>
      </c>
      <c r="BV113" s="166">
        <f t="shared" si="275"/>
        <v>0</v>
      </c>
      <c r="BW113" s="166">
        <f t="shared" si="276"/>
        <v>0</v>
      </c>
      <c r="BX113" s="166">
        <f t="shared" si="277"/>
        <v>0</v>
      </c>
      <c r="BY113" s="166">
        <f t="shared" si="278"/>
        <v>0</v>
      </c>
      <c r="BZ113" s="166">
        <f t="shared" si="279"/>
        <v>0</v>
      </c>
      <c r="CA113" s="166">
        <f t="shared" si="280"/>
        <v>0</v>
      </c>
      <c r="CB113" s="166">
        <f t="shared" si="281"/>
        <v>0</v>
      </c>
      <c r="CC113" s="166">
        <f t="shared" si="282"/>
        <v>0</v>
      </c>
      <c r="CD113" s="166">
        <f t="shared" si="283"/>
        <v>0</v>
      </c>
      <c r="CE113" s="166">
        <f t="shared" si="284"/>
        <v>0</v>
      </c>
      <c r="CF113" s="166">
        <f t="shared" si="285"/>
        <v>1</v>
      </c>
      <c r="CG113" s="166">
        <f t="shared" si="286"/>
        <v>0</v>
      </c>
      <c r="CH113" s="166" t="str">
        <f t="shared" si="287"/>
        <v/>
      </c>
      <c r="CI113" s="168">
        <f t="shared" si="288"/>
        <v>3.5515722663122734E-4</v>
      </c>
      <c r="CK113" s="107" t="s">
        <v>397</v>
      </c>
      <c r="CL113" s="166" t="str">
        <f t="shared" si="290"/>
        <v/>
      </c>
      <c r="CM113" s="166" t="str">
        <f t="shared" si="290"/>
        <v/>
      </c>
      <c r="CN113" s="166" t="str">
        <f t="shared" si="290"/>
        <v/>
      </c>
      <c r="CO113" s="166" t="str">
        <f t="shared" si="290"/>
        <v/>
      </c>
      <c r="CP113" s="166"/>
      <c r="CQ113" s="166"/>
      <c r="CR113" s="166"/>
      <c r="CS113" s="166"/>
      <c r="CT113" s="166" t="str">
        <f t="shared" si="291"/>
        <v/>
      </c>
      <c r="CU113" s="166" t="str">
        <f t="shared" si="291"/>
        <v/>
      </c>
      <c r="CV113" s="166">
        <f t="shared" si="291"/>
        <v>0</v>
      </c>
      <c r="CW113" s="166" t="str">
        <f t="shared" si="291"/>
        <v/>
      </c>
      <c r="CX113" s="166" t="str">
        <f t="shared" si="291"/>
        <v/>
      </c>
      <c r="CY113" s="168">
        <f t="shared" si="291"/>
        <v>-0.76113135400976573</v>
      </c>
      <c r="DA113" s="107" t="s">
        <v>397</v>
      </c>
      <c r="DB113" s="315"/>
      <c r="DC113" s="315"/>
      <c r="DD113" s="315"/>
      <c r="DE113" s="315"/>
      <c r="DF113" s="315"/>
      <c r="DG113" s="315"/>
      <c r="DH113" s="315"/>
      <c r="DI113" s="315"/>
      <c r="DJ113" s="315"/>
      <c r="DK113" s="315"/>
      <c r="DL113" s="314">
        <f>IFERROR(IF(CF113&gt;0,LN(BP113/CF113),0),0)</f>
        <v>0</v>
      </c>
      <c r="DM113" s="315"/>
      <c r="DN113" s="315"/>
      <c r="DO113" s="168"/>
      <c r="DQ113" s="107" t="s">
        <v>397</v>
      </c>
      <c r="DR113" s="315"/>
      <c r="DS113" s="315"/>
      <c r="DT113" s="315"/>
      <c r="DU113" s="315"/>
      <c r="DV113" s="315"/>
      <c r="DW113" s="315"/>
      <c r="DX113" s="315"/>
      <c r="DY113" s="315"/>
      <c r="DZ113" s="315"/>
      <c r="EA113" s="315"/>
      <c r="EB113" s="314">
        <v>0</v>
      </c>
      <c r="EC113" s="315"/>
      <c r="ED113" s="315"/>
      <c r="EE113" s="168"/>
      <c r="EG113" s="107" t="s">
        <v>397</v>
      </c>
      <c r="EH113" s="315"/>
      <c r="EI113" s="315"/>
      <c r="EJ113" s="315"/>
      <c r="EK113" s="315"/>
      <c r="EL113" s="315"/>
      <c r="EM113" s="315"/>
      <c r="EN113" s="315"/>
      <c r="EO113" s="315"/>
      <c r="EP113" s="315"/>
      <c r="EQ113" s="315"/>
      <c r="ER113" s="314">
        <v>0</v>
      </c>
      <c r="ES113" s="315"/>
      <c r="ET113" s="315"/>
      <c r="EU113" s="168"/>
      <c r="EW113" s="164" t="s">
        <v>397</v>
      </c>
      <c r="EX113" s="316">
        <f t="shared" si="269"/>
        <v>0</v>
      </c>
      <c r="EY113" s="316">
        <f t="shared" si="265"/>
        <v>0</v>
      </c>
      <c r="EZ113" s="316">
        <f t="shared" si="265"/>
        <v>0</v>
      </c>
      <c r="FA113" s="316">
        <f t="shared" si="265"/>
        <v>0</v>
      </c>
      <c r="FB113" s="316">
        <f t="shared" si="265"/>
        <v>0</v>
      </c>
      <c r="FC113" s="316">
        <f t="shared" si="265"/>
        <v>0</v>
      </c>
      <c r="FD113" s="316">
        <f t="shared" si="265"/>
        <v>0</v>
      </c>
      <c r="FE113" s="316">
        <f t="shared" si="265"/>
        <v>0</v>
      </c>
      <c r="FF113" s="316"/>
      <c r="FG113" s="316">
        <f t="shared" si="265"/>
        <v>0</v>
      </c>
      <c r="FH113" s="316">
        <f t="shared" si="265"/>
        <v>0</v>
      </c>
      <c r="FI113" s="316">
        <f t="shared" si="265"/>
        <v>0</v>
      </c>
      <c r="FJ113" s="316">
        <f t="shared" si="265"/>
        <v>0</v>
      </c>
      <c r="FK113" s="316">
        <f t="shared" si="265"/>
        <v>0</v>
      </c>
      <c r="FL113" s="168"/>
    </row>
    <row r="114" spans="2:168" x14ac:dyDescent="0.25">
      <c r="B114" s="107" t="s">
        <v>398</v>
      </c>
      <c r="C114" s="294"/>
      <c r="D114" s="294"/>
      <c r="E114" s="294"/>
      <c r="F114" s="294"/>
      <c r="G114" s="294"/>
      <c r="H114" s="294"/>
      <c r="I114" s="294"/>
      <c r="J114" s="294"/>
      <c r="K114" s="160">
        <f>TripMode_input!J96+TripMode_input!K96</f>
        <v>2530.25146</v>
      </c>
      <c r="L114" s="294"/>
      <c r="M114" s="294"/>
      <c r="N114" s="160">
        <f>TripMode_input!N96</f>
        <v>9549.7129600000007</v>
      </c>
      <c r="O114" s="294"/>
      <c r="P114" s="162">
        <f t="shared" si="255"/>
        <v>12079.96442</v>
      </c>
      <c r="R114">
        <f t="shared" si="266"/>
        <v>2.7094501235371483E-2</v>
      </c>
      <c r="S114">
        <f t="shared" si="267"/>
        <v>0</v>
      </c>
      <c r="T114">
        <f t="shared" si="268"/>
        <v>0</v>
      </c>
      <c r="Y114" s="107" t="s">
        <v>398</v>
      </c>
      <c r="Z114" s="294"/>
      <c r="AA114" s="294"/>
      <c r="AB114" s="294"/>
      <c r="AC114" s="294"/>
      <c r="AD114" s="294"/>
      <c r="AE114" s="294"/>
      <c r="AF114" s="294"/>
      <c r="AG114" s="294"/>
      <c r="AH114" s="160">
        <f>AH111*R114</f>
        <v>2670.8202767135635</v>
      </c>
      <c r="AI114" s="160">
        <f>AI112*S114</f>
        <v>0</v>
      </c>
      <c r="AJ114" s="160">
        <f>AJ113*T114</f>
        <v>0</v>
      </c>
      <c r="AK114" s="160">
        <f>N114</f>
        <v>9549.7129600000007</v>
      </c>
      <c r="AL114" s="294"/>
      <c r="AM114" s="162">
        <f t="shared" si="259"/>
        <v>12220.533236713563</v>
      </c>
      <c r="AO114" s="107" t="s">
        <v>398</v>
      </c>
      <c r="AP114" s="294">
        <f>TripMode_input!R96*Index!$B$2</f>
        <v>0</v>
      </c>
      <c r="AQ114" s="294">
        <f>TripMode_input!S96*Index!$B$2</f>
        <v>0</v>
      </c>
      <c r="AR114" s="294">
        <f>TripMode_input!T96*Index!$B$2</f>
        <v>0</v>
      </c>
      <c r="AS114" s="294">
        <f>TripMode_input!U96*Index!$B$2</f>
        <v>0</v>
      </c>
      <c r="AT114" s="294">
        <f>TripMode_input!V96*Index!$B$2</f>
        <v>0</v>
      </c>
      <c r="AU114" s="294">
        <f>TripMode_input!W96*Index!$B$2</f>
        <v>0</v>
      </c>
      <c r="AV114" s="294">
        <f>TripMode_input!X96*Index!$B$2</f>
        <v>0</v>
      </c>
      <c r="AW114" s="294">
        <f>TripMode_input!Y96*Index!$B$2</f>
        <v>0</v>
      </c>
      <c r="AX114" s="160">
        <f>TripMode_input!AA96*Index!$B$2</f>
        <v>785</v>
      </c>
      <c r="AY114" s="160">
        <f>TripMode_input!AB96*Index!$B$2</f>
        <v>0</v>
      </c>
      <c r="AZ114" s="160">
        <f>TripMode_input!AC96*Index!$B$2</f>
        <v>0</v>
      </c>
      <c r="BA114" s="160">
        <f>TripMode_input!AD96*Index!$B$2</f>
        <v>13725</v>
      </c>
      <c r="BB114" s="294">
        <f>TripMode_input!AE96*Index!$B$2</f>
        <v>0</v>
      </c>
      <c r="BC114" s="162">
        <f t="shared" si="260"/>
        <v>14510</v>
      </c>
      <c r="BE114" s="107" t="s">
        <v>398</v>
      </c>
      <c r="BF114" s="166">
        <f t="shared" si="274"/>
        <v>0</v>
      </c>
      <c r="BG114" s="166">
        <f t="shared" si="274"/>
        <v>0</v>
      </c>
      <c r="BH114" s="166">
        <f t="shared" si="274"/>
        <v>0</v>
      </c>
      <c r="BI114" s="166">
        <f t="shared" si="274"/>
        <v>0</v>
      </c>
      <c r="BJ114" s="166">
        <f t="shared" si="274"/>
        <v>0</v>
      </c>
      <c r="BK114" s="166">
        <f t="shared" si="274"/>
        <v>0</v>
      </c>
      <c r="BL114" s="166">
        <f t="shared" si="274"/>
        <v>0</v>
      </c>
      <c r="BM114" s="166">
        <f t="shared" si="274"/>
        <v>0</v>
      </c>
      <c r="BN114" s="166">
        <f t="shared" si="274"/>
        <v>1.9237356525479095E-2</v>
      </c>
      <c r="BO114" s="166">
        <f t="shared" si="274"/>
        <v>0</v>
      </c>
      <c r="BP114" s="166">
        <f t="shared" si="274"/>
        <v>0</v>
      </c>
      <c r="BQ114" s="166">
        <f t="shared" si="274"/>
        <v>0.72921878157330655</v>
      </c>
      <c r="BR114" s="166">
        <f t="shared" si="274"/>
        <v>0</v>
      </c>
      <c r="BS114" s="166">
        <f t="shared" si="274"/>
        <v>3.2386847416100897E-3</v>
      </c>
      <c r="BU114" s="107" t="s">
        <v>398</v>
      </c>
      <c r="BV114" s="166">
        <f t="shared" si="275"/>
        <v>0</v>
      </c>
      <c r="BW114" s="166">
        <f t="shared" si="276"/>
        <v>0</v>
      </c>
      <c r="BX114" s="166">
        <f t="shared" si="277"/>
        <v>0</v>
      </c>
      <c r="BY114" s="166">
        <f t="shared" si="278"/>
        <v>0</v>
      </c>
      <c r="BZ114" s="166">
        <f t="shared" si="279"/>
        <v>0</v>
      </c>
      <c r="CA114" s="166">
        <f t="shared" si="280"/>
        <v>0</v>
      </c>
      <c r="CB114" s="166">
        <f t="shared" si="281"/>
        <v>0</v>
      </c>
      <c r="CC114" s="166">
        <f t="shared" si="282"/>
        <v>0</v>
      </c>
      <c r="CD114" s="166">
        <f t="shared" si="283"/>
        <v>1.1509420130488966E-2</v>
      </c>
      <c r="CE114" s="166">
        <f t="shared" si="284"/>
        <v>0</v>
      </c>
      <c r="CF114" s="166">
        <f t="shared" si="285"/>
        <v>0</v>
      </c>
      <c r="CG114" s="166">
        <f t="shared" si="286"/>
        <v>0.69039235412474853</v>
      </c>
      <c r="CH114" s="166" t="str">
        <f t="shared" si="287"/>
        <v/>
      </c>
      <c r="CI114" s="168">
        <f t="shared" si="288"/>
        <v>2.3748070776124924E-3</v>
      </c>
      <c r="CK114" s="107" t="s">
        <v>398</v>
      </c>
      <c r="CL114" s="166" t="str">
        <f t="shared" si="290"/>
        <v/>
      </c>
      <c r="CM114" s="166" t="str">
        <f t="shared" si="290"/>
        <v/>
      </c>
      <c r="CN114" s="166" t="str">
        <f t="shared" si="290"/>
        <v/>
      </c>
      <c r="CO114" s="166" t="str">
        <f t="shared" si="290"/>
        <v/>
      </c>
      <c r="CP114" s="166"/>
      <c r="CQ114" s="166"/>
      <c r="CR114" s="166"/>
      <c r="CS114" s="166"/>
      <c r="CT114" s="166">
        <f t="shared" si="291"/>
        <v>-0.40171508932398231</v>
      </c>
      <c r="CU114" s="166" t="str">
        <f t="shared" si="291"/>
        <v/>
      </c>
      <c r="CV114" s="166" t="str">
        <f t="shared" si="291"/>
        <v/>
      </c>
      <c r="CW114" s="166">
        <f t="shared" si="291"/>
        <v>-5.3243866490642354E-2</v>
      </c>
      <c r="CX114" s="166" t="str">
        <f t="shared" si="291"/>
        <v/>
      </c>
      <c r="CY114" s="168">
        <f t="shared" si="291"/>
        <v>-0.26673718898867771</v>
      </c>
      <c r="DA114" s="107" t="s">
        <v>398</v>
      </c>
      <c r="DB114" s="315"/>
      <c r="DC114" s="315"/>
      <c r="DD114" s="315"/>
      <c r="DE114" s="315"/>
      <c r="DF114" s="315"/>
      <c r="DG114" s="315"/>
      <c r="DH114" s="315"/>
      <c r="DI114" s="315"/>
      <c r="DJ114" s="314">
        <f t="shared" si="289"/>
        <v>0.5136881992350969</v>
      </c>
      <c r="DK114" s="314">
        <f>IFERROR(IF(CE114&gt;0,LN(BO114/CE114),0),0)</f>
        <v>0</v>
      </c>
      <c r="DL114" s="314">
        <f>IFERROR(IF(CF114&gt;0,LN(BP114/CF114),0),0)</f>
        <v>0</v>
      </c>
      <c r="DM114" s="314">
        <f>IFERROR(IF(CG114&gt;0,LN(BQ114/CG114),0),0)</f>
        <v>5.4713733732326963E-2</v>
      </c>
      <c r="DN114" s="315"/>
      <c r="DO114" s="168"/>
      <c r="DQ114" s="107" t="s">
        <v>398</v>
      </c>
      <c r="DR114" s="315"/>
      <c r="DS114" s="315"/>
      <c r="DT114" s="315"/>
      <c r="DU114" s="315"/>
      <c r="DV114" s="315"/>
      <c r="DW114" s="315"/>
      <c r="DX114" s="315"/>
      <c r="DY114" s="315"/>
      <c r="DZ114" s="314">
        <v>-3.1914860133335745</v>
      </c>
      <c r="EA114" s="314">
        <v>0</v>
      </c>
      <c r="EB114" s="314">
        <v>0</v>
      </c>
      <c r="EC114" s="314">
        <v>0</v>
      </c>
      <c r="ED114" s="315"/>
      <c r="EE114" s="168"/>
      <c r="EG114" s="107" t="s">
        <v>398</v>
      </c>
      <c r="EH114" s="315"/>
      <c r="EI114" s="315"/>
      <c r="EJ114" s="315"/>
      <c r="EK114" s="315"/>
      <c r="EL114" s="315"/>
      <c r="EM114" s="315"/>
      <c r="EN114" s="315"/>
      <c r="EO114" s="315"/>
      <c r="EP114" s="314">
        <f>DZ114+(DJ114-DJ$111)*$EI$1</f>
        <v>-2.6883059764552879</v>
      </c>
      <c r="EQ114" s="314">
        <f>EA114+(DK114-DK$112)*$EI$1</f>
        <v>0</v>
      </c>
      <c r="ER114" s="314">
        <f>EB114+(DL114-DL$113)*$EI$1</f>
        <v>0</v>
      </c>
      <c r="ES114" s="314">
        <v>0</v>
      </c>
      <c r="ET114" s="315"/>
      <c r="EU114" s="168"/>
      <c r="EW114" s="164" t="s">
        <v>398</v>
      </c>
      <c r="EX114" s="316">
        <f t="shared" si="269"/>
        <v>0</v>
      </c>
      <c r="EY114" s="316">
        <f t="shared" si="265"/>
        <v>0</v>
      </c>
      <c r="EZ114" s="316">
        <f t="shared" si="265"/>
        <v>-5.9843807543527507</v>
      </c>
      <c r="FA114" s="316">
        <f t="shared" si="265"/>
        <v>-5.9843807543527507</v>
      </c>
      <c r="FB114" s="316">
        <f t="shared" si="265"/>
        <v>-0.33192836575874335</v>
      </c>
      <c r="FC114" s="316">
        <f t="shared" si="265"/>
        <v>-0.33192836575874335</v>
      </c>
      <c r="FD114" s="316">
        <f t="shared" si="265"/>
        <v>6.4030204004028954</v>
      </c>
      <c r="FE114" s="316">
        <f t="shared" si="265"/>
        <v>0</v>
      </c>
      <c r="FF114" s="316"/>
      <c r="FG114" s="316">
        <f t="shared" si="265"/>
        <v>0</v>
      </c>
      <c r="FH114" s="316">
        <f t="shared" si="265"/>
        <v>0</v>
      </c>
      <c r="FI114" s="316">
        <f t="shared" si="265"/>
        <v>0</v>
      </c>
      <c r="FJ114" s="316">
        <f t="shared" si="265"/>
        <v>0</v>
      </c>
      <c r="FK114" s="316">
        <f t="shared" si="265"/>
        <v>0</v>
      </c>
      <c r="FL114" s="168"/>
    </row>
    <row r="115" spans="2:168" x14ac:dyDescent="0.25">
      <c r="B115" s="107" t="s">
        <v>399</v>
      </c>
      <c r="C115" s="294"/>
      <c r="D115" s="294"/>
      <c r="E115" s="294"/>
      <c r="F115" s="294"/>
      <c r="G115" s="294"/>
      <c r="H115" s="294"/>
      <c r="I115" s="294"/>
      <c r="J115" s="294"/>
      <c r="K115" s="294"/>
      <c r="L115" s="294"/>
      <c r="M115" s="294"/>
      <c r="N115" s="294"/>
      <c r="O115" s="160">
        <f>TripMode_input!O97</f>
        <v>6397.8160799999996</v>
      </c>
      <c r="P115" s="162">
        <f t="shared" si="255"/>
        <v>6397.8160799999996</v>
      </c>
      <c r="R115">
        <f t="shared" si="266"/>
        <v>0</v>
      </c>
      <c r="S115">
        <f t="shared" si="267"/>
        <v>0</v>
      </c>
      <c r="T115">
        <f t="shared" si="268"/>
        <v>0</v>
      </c>
      <c r="Y115" s="107" t="s">
        <v>399</v>
      </c>
      <c r="Z115" s="294"/>
      <c r="AA115" s="294"/>
      <c r="AB115" s="294"/>
      <c r="AC115" s="294"/>
      <c r="AD115" s="294"/>
      <c r="AE115" s="294"/>
      <c r="AF115" s="294"/>
      <c r="AG115" s="294"/>
      <c r="AH115" s="294"/>
      <c r="AI115" s="294"/>
      <c r="AJ115" s="294"/>
      <c r="AK115" s="294"/>
      <c r="AL115" s="160">
        <f>+O115</f>
        <v>6397.8160799999996</v>
      </c>
      <c r="AM115" s="162">
        <f t="shared" si="259"/>
        <v>6397.8160799999996</v>
      </c>
      <c r="AO115" s="107" t="s">
        <v>399</v>
      </c>
      <c r="AP115" s="294">
        <f>TripMode_input!R97*Index!$B$2</f>
        <v>0</v>
      </c>
      <c r="AQ115" s="294">
        <f>TripMode_input!S97*Index!$B$2</f>
        <v>0</v>
      </c>
      <c r="AR115" s="294">
        <f>TripMode_input!T97*Index!$B$2</f>
        <v>0</v>
      </c>
      <c r="AS115" s="294">
        <f>TripMode_input!U97*Index!$B$2</f>
        <v>0</v>
      </c>
      <c r="AT115" s="294">
        <f>TripMode_input!V97*Index!$B$2</f>
        <v>0</v>
      </c>
      <c r="AU115" s="294">
        <f>TripMode_input!W97*Index!$B$2</f>
        <v>0</v>
      </c>
      <c r="AV115" s="294">
        <f>TripMode_input!X97*Index!$B$2</f>
        <v>0</v>
      </c>
      <c r="AW115" s="294">
        <f>TripMode_input!Y97*Index!$B$2</f>
        <v>0</v>
      </c>
      <c r="AX115" s="294">
        <f>TripMode_input!AA97*Index!$B$2</f>
        <v>0</v>
      </c>
      <c r="AY115" s="294">
        <f>TripMode_input!AB97*Index!$B$2</f>
        <v>0</v>
      </c>
      <c r="AZ115" s="294">
        <f>TripMode_input!AC97*Index!$B$2</f>
        <v>0</v>
      </c>
      <c r="BA115" s="294">
        <f>TripMode_input!AD97*Index!$B$2</f>
        <v>0</v>
      </c>
      <c r="BB115" s="160">
        <f>TripMode_input!AE97*Index!$B$2</f>
        <v>0</v>
      </c>
      <c r="BC115" s="162">
        <f t="shared" si="260"/>
        <v>0</v>
      </c>
      <c r="BE115" s="107" t="s">
        <v>399</v>
      </c>
      <c r="BF115" s="166">
        <f t="shared" si="274"/>
        <v>0</v>
      </c>
      <c r="BG115" s="166">
        <f t="shared" si="274"/>
        <v>0</v>
      </c>
      <c r="BH115" s="166">
        <f t="shared" si="274"/>
        <v>0</v>
      </c>
      <c r="BI115" s="166">
        <f t="shared" si="274"/>
        <v>0</v>
      </c>
      <c r="BJ115" s="166">
        <f t="shared" si="274"/>
        <v>0</v>
      </c>
      <c r="BK115" s="166">
        <f t="shared" si="274"/>
        <v>0</v>
      </c>
      <c r="BL115" s="166">
        <f t="shared" si="274"/>
        <v>0</v>
      </c>
      <c r="BM115" s="166">
        <f t="shared" si="274"/>
        <v>0</v>
      </c>
      <c r="BN115" s="166">
        <f t="shared" si="274"/>
        <v>0</v>
      </c>
      <c r="BO115" s="166">
        <f t="shared" si="274"/>
        <v>0</v>
      </c>
      <c r="BP115" s="166">
        <f t="shared" si="274"/>
        <v>0</v>
      </c>
      <c r="BQ115" s="166">
        <f t="shared" si="274"/>
        <v>0</v>
      </c>
      <c r="BR115" s="166">
        <f t="shared" si="274"/>
        <v>1</v>
      </c>
      <c r="BS115" s="166">
        <f t="shared" si="274"/>
        <v>1.695548706145984E-3</v>
      </c>
      <c r="BU115" s="107" t="s">
        <v>399</v>
      </c>
      <c r="BV115" s="166">
        <f t="shared" si="275"/>
        <v>0</v>
      </c>
      <c r="BW115" s="166">
        <f t="shared" si="276"/>
        <v>0</v>
      </c>
      <c r="BX115" s="166">
        <f t="shared" si="277"/>
        <v>0</v>
      </c>
      <c r="BY115" s="166">
        <f t="shared" si="278"/>
        <v>0</v>
      </c>
      <c r="BZ115" s="166">
        <f t="shared" si="279"/>
        <v>0</v>
      </c>
      <c r="CA115" s="166">
        <f t="shared" si="280"/>
        <v>0</v>
      </c>
      <c r="CB115" s="166">
        <f t="shared" si="281"/>
        <v>0</v>
      </c>
      <c r="CC115" s="166">
        <f t="shared" si="282"/>
        <v>0</v>
      </c>
      <c r="CD115" s="166">
        <f t="shared" si="283"/>
        <v>0</v>
      </c>
      <c r="CE115" s="166">
        <f t="shared" si="284"/>
        <v>0</v>
      </c>
      <c r="CF115" s="166">
        <f t="shared" si="285"/>
        <v>0</v>
      </c>
      <c r="CG115" s="166">
        <f t="shared" si="286"/>
        <v>0</v>
      </c>
      <c r="CH115" s="166" t="str">
        <f t="shared" si="287"/>
        <v/>
      </c>
      <c r="CI115" s="168">
        <f t="shared" si="288"/>
        <v>0</v>
      </c>
      <c r="CK115" s="107" t="s">
        <v>399</v>
      </c>
      <c r="CL115" s="166" t="str">
        <f t="shared" si="290"/>
        <v/>
      </c>
      <c r="CM115" s="166" t="str">
        <f t="shared" si="290"/>
        <v/>
      </c>
      <c r="CN115" s="166" t="str">
        <f t="shared" si="290"/>
        <v/>
      </c>
      <c r="CO115" s="166" t="str">
        <f t="shared" si="290"/>
        <v/>
      </c>
      <c r="CP115" s="166"/>
      <c r="CQ115" s="166"/>
      <c r="CR115" s="166"/>
      <c r="CS115" s="166"/>
      <c r="CT115" s="166" t="str">
        <f t="shared" si="291"/>
        <v/>
      </c>
      <c r="CU115" s="166" t="str">
        <f t="shared" si="291"/>
        <v/>
      </c>
      <c r="CV115" s="166" t="str">
        <f t="shared" si="291"/>
        <v/>
      </c>
      <c r="CW115" s="166" t="str">
        <f t="shared" si="291"/>
        <v/>
      </c>
      <c r="CX115" s="166" t="e">
        <f t="shared" si="291"/>
        <v>#VALUE!</v>
      </c>
      <c r="CY115" s="168">
        <f t="shared" si="291"/>
        <v>-1</v>
      </c>
      <c r="DA115" s="107" t="s">
        <v>399</v>
      </c>
      <c r="DB115" s="315"/>
      <c r="DC115" s="315"/>
      <c r="DD115" s="315"/>
      <c r="DE115" s="315"/>
      <c r="DF115" s="315"/>
      <c r="DG115" s="315"/>
      <c r="DH115" s="315"/>
      <c r="DI115" s="315"/>
      <c r="DJ115" s="315"/>
      <c r="DK115" s="315"/>
      <c r="DL115" s="315"/>
      <c r="DM115" s="315"/>
      <c r="DN115" s="314">
        <f>IFERROR(IF(CH115&gt;0,LN(BR115/CH115),0),0)</f>
        <v>0</v>
      </c>
      <c r="DO115" s="168"/>
      <c r="DQ115" s="107" t="s">
        <v>399</v>
      </c>
      <c r="DR115" s="315"/>
      <c r="DS115" s="315"/>
      <c r="DT115" s="315"/>
      <c r="DU115" s="315"/>
      <c r="DV115" s="315"/>
      <c r="DW115" s="315"/>
      <c r="DX115" s="315"/>
      <c r="DY115" s="315"/>
      <c r="DZ115" s="315"/>
      <c r="EA115" s="315"/>
      <c r="EB115" s="315"/>
      <c r="EC115" s="315"/>
      <c r="ED115" s="314">
        <v>0</v>
      </c>
      <c r="EE115" s="168"/>
      <c r="EG115" s="107" t="s">
        <v>399</v>
      </c>
      <c r="EH115" s="315"/>
      <c r="EI115" s="315"/>
      <c r="EJ115" s="315"/>
      <c r="EK115" s="315"/>
      <c r="EL115" s="315"/>
      <c r="EM115" s="315"/>
      <c r="EN115" s="315"/>
      <c r="EO115" s="315"/>
      <c r="EP115" s="315"/>
      <c r="EQ115" s="315"/>
      <c r="ER115" s="315"/>
      <c r="ES115" s="315"/>
      <c r="ET115" s="314">
        <v>0</v>
      </c>
      <c r="EU115" s="168"/>
      <c r="EW115" s="164" t="s">
        <v>399</v>
      </c>
      <c r="EX115" s="316">
        <f t="shared" si="269"/>
        <v>0</v>
      </c>
      <c r="EY115" s="316">
        <f t="shared" si="265"/>
        <v>0</v>
      </c>
      <c r="EZ115" s="316">
        <f t="shared" si="265"/>
        <v>0</v>
      </c>
      <c r="FA115" s="316">
        <f t="shared" si="265"/>
        <v>0</v>
      </c>
      <c r="FB115" s="316">
        <f t="shared" si="265"/>
        <v>0</v>
      </c>
      <c r="FC115" s="316">
        <f t="shared" si="265"/>
        <v>0</v>
      </c>
      <c r="FD115" s="316">
        <f t="shared" si="265"/>
        <v>0</v>
      </c>
      <c r="FE115" s="316">
        <f t="shared" si="265"/>
        <v>0</v>
      </c>
      <c r="FF115" s="316"/>
      <c r="FG115" s="316">
        <f t="shared" si="265"/>
        <v>0</v>
      </c>
      <c r="FH115" s="316">
        <f t="shared" si="265"/>
        <v>0</v>
      </c>
      <c r="FI115" s="316">
        <f t="shared" si="265"/>
        <v>0</v>
      </c>
      <c r="FJ115" s="316">
        <f t="shared" si="265"/>
        <v>0</v>
      </c>
      <c r="FK115" s="316">
        <f t="shared" si="265"/>
        <v>0</v>
      </c>
      <c r="FL115" s="168"/>
    </row>
    <row r="116" spans="2:168" ht="15.75" thickBot="1" x14ac:dyDescent="0.3">
      <c r="B116" s="108" t="s">
        <v>29</v>
      </c>
      <c r="C116" s="109">
        <f t="shared" ref="C116:P116" si="292">SUM(C103:C115)</f>
        <v>1777601.0380200001</v>
      </c>
      <c r="D116" s="110">
        <f t="shared" si="292"/>
        <v>34368.612730000001</v>
      </c>
      <c r="E116" s="110">
        <f t="shared" si="292"/>
        <v>704245.41026999999</v>
      </c>
      <c r="F116" s="110">
        <f t="shared" si="292"/>
        <v>9671.1830100000006</v>
      </c>
      <c r="G116" s="110">
        <f t="shared" si="292"/>
        <v>570337.55388999998</v>
      </c>
      <c r="H116" s="110">
        <f t="shared" si="292"/>
        <v>9594.1582899999994</v>
      </c>
      <c r="I116" s="110">
        <f t="shared" si="292"/>
        <v>412680.64807</v>
      </c>
      <c r="J116" s="110">
        <f t="shared" si="292"/>
        <v>86783.292079999999</v>
      </c>
      <c r="K116" s="110">
        <f t="shared" si="292"/>
        <v>131528.02239999999</v>
      </c>
      <c r="L116" s="110">
        <f t="shared" si="292"/>
        <v>6053.6508899999999</v>
      </c>
      <c r="M116" s="110">
        <f t="shared" si="292"/>
        <v>7790.4192599999997</v>
      </c>
      <c r="N116" s="110">
        <f t="shared" si="292"/>
        <v>13095.81322</v>
      </c>
      <c r="O116" s="110">
        <f t="shared" si="292"/>
        <v>6397.8160799999996</v>
      </c>
      <c r="P116" s="112">
        <f t="shared" si="292"/>
        <v>3770147.61821</v>
      </c>
      <c r="Y116" s="108" t="s">
        <v>29</v>
      </c>
      <c r="Z116" s="109">
        <f t="shared" ref="Z116:AM116" si="293">SUM(Z103:Z115)</f>
        <v>1777601.0380200001</v>
      </c>
      <c r="AA116" s="110">
        <f t="shared" si="293"/>
        <v>34368.612730000001</v>
      </c>
      <c r="AB116" s="110">
        <f t="shared" si="293"/>
        <v>704245.41026999999</v>
      </c>
      <c r="AC116" s="110">
        <f t="shared" si="293"/>
        <v>9671.1830100000006</v>
      </c>
      <c r="AD116" s="110">
        <f t="shared" si="293"/>
        <v>570337.55388999998</v>
      </c>
      <c r="AE116" s="110">
        <f t="shared" si="293"/>
        <v>9594.1582899999994</v>
      </c>
      <c r="AF116" s="110">
        <f t="shared" si="293"/>
        <v>412680.64807</v>
      </c>
      <c r="AG116" s="110">
        <f t="shared" si="293"/>
        <v>86783.292079999999</v>
      </c>
      <c r="AH116" s="110">
        <f t="shared" si="293"/>
        <v>138835.09790839354</v>
      </c>
      <c r="AI116" s="110">
        <f t="shared" si="293"/>
        <v>4080.3827338334272</v>
      </c>
      <c r="AJ116" s="110">
        <f t="shared" si="293"/>
        <v>5610.2600131264053</v>
      </c>
      <c r="AK116" s="110">
        <f t="shared" si="293"/>
        <v>13095.81322</v>
      </c>
      <c r="AL116" s="110">
        <f t="shared" si="293"/>
        <v>6397.8160799999996</v>
      </c>
      <c r="AM116" s="112">
        <f t="shared" si="293"/>
        <v>3773301.2663153531</v>
      </c>
      <c r="AO116" s="108" t="s">
        <v>29</v>
      </c>
      <c r="AP116" s="109">
        <f t="shared" ref="AP116:BC116" si="294">SUM(AP103:AP115)</f>
        <v>2586485</v>
      </c>
      <c r="AQ116" s="110">
        <f t="shared" si="294"/>
        <v>182950</v>
      </c>
      <c r="AR116" s="110">
        <f t="shared" si="294"/>
        <v>1245570</v>
      </c>
      <c r="AS116" s="110">
        <f t="shared" si="294"/>
        <v>20500</v>
      </c>
      <c r="AT116" s="110">
        <f t="shared" si="294"/>
        <v>905605</v>
      </c>
      <c r="AU116" s="110">
        <f t="shared" si="294"/>
        <v>7680</v>
      </c>
      <c r="AV116" s="110">
        <f t="shared" si="294"/>
        <v>906205</v>
      </c>
      <c r="AW116" s="110">
        <f t="shared" si="294"/>
        <v>162330</v>
      </c>
      <c r="AX116" s="110">
        <f t="shared" si="294"/>
        <v>68205</v>
      </c>
      <c r="AY116" s="110">
        <f t="shared" si="294"/>
        <v>2390</v>
      </c>
      <c r="AZ116" s="110">
        <f t="shared" si="294"/>
        <v>2170</v>
      </c>
      <c r="BA116" s="110">
        <f t="shared" si="294"/>
        <v>19880</v>
      </c>
      <c r="BB116" s="110">
        <f t="shared" si="294"/>
        <v>0</v>
      </c>
      <c r="BC116" s="112">
        <f t="shared" si="294"/>
        <v>6109970</v>
      </c>
      <c r="BE116" s="108" t="s">
        <v>29</v>
      </c>
      <c r="BF116" s="120">
        <f t="shared" si="274"/>
        <v>1</v>
      </c>
      <c r="BG116" s="120">
        <f t="shared" si="274"/>
        <v>1</v>
      </c>
      <c r="BH116" s="120">
        <f t="shared" si="274"/>
        <v>1</v>
      </c>
      <c r="BI116" s="120">
        <f t="shared" si="274"/>
        <v>1</v>
      </c>
      <c r="BJ116" s="120">
        <f t="shared" si="274"/>
        <v>1</v>
      </c>
      <c r="BK116" s="120">
        <f t="shared" si="274"/>
        <v>1</v>
      </c>
      <c r="BL116" s="120">
        <f t="shared" si="274"/>
        <v>1</v>
      </c>
      <c r="BM116" s="120">
        <f t="shared" si="274"/>
        <v>1</v>
      </c>
      <c r="BN116" s="120">
        <f t="shared" si="274"/>
        <v>1</v>
      </c>
      <c r="BO116" s="120">
        <f t="shared" si="274"/>
        <v>1</v>
      </c>
      <c r="BP116" s="120">
        <f t="shared" si="274"/>
        <v>1</v>
      </c>
      <c r="BQ116" s="120">
        <f t="shared" si="274"/>
        <v>1</v>
      </c>
      <c r="BR116" s="120">
        <f t="shared" si="274"/>
        <v>1</v>
      </c>
      <c r="BS116" s="120">
        <f t="shared" si="274"/>
        <v>1</v>
      </c>
      <c r="BU116" s="108" t="s">
        <v>29</v>
      </c>
      <c r="BV116" s="120">
        <f t="shared" si="275"/>
        <v>1</v>
      </c>
      <c r="BW116" s="121">
        <f t="shared" si="276"/>
        <v>1</v>
      </c>
      <c r="BX116" s="121">
        <f t="shared" si="277"/>
        <v>1</v>
      </c>
      <c r="BY116" s="121">
        <f t="shared" si="278"/>
        <v>1</v>
      </c>
      <c r="BZ116" s="121">
        <f t="shared" si="279"/>
        <v>1</v>
      </c>
      <c r="CA116" s="121">
        <f t="shared" si="280"/>
        <v>1</v>
      </c>
      <c r="CB116" s="121">
        <f t="shared" si="281"/>
        <v>1</v>
      </c>
      <c r="CC116" s="121">
        <f t="shared" si="282"/>
        <v>1</v>
      </c>
      <c r="CD116" s="121">
        <f t="shared" si="283"/>
        <v>1</v>
      </c>
      <c r="CE116" s="121">
        <f t="shared" si="284"/>
        <v>1</v>
      </c>
      <c r="CF116" s="121">
        <f t="shared" si="285"/>
        <v>1</v>
      </c>
      <c r="CG116" s="121">
        <f t="shared" si="286"/>
        <v>1</v>
      </c>
      <c r="CH116" s="121" t="str">
        <f t="shared" si="287"/>
        <v/>
      </c>
      <c r="CI116" s="123">
        <f t="shared" si="288"/>
        <v>1</v>
      </c>
      <c r="CK116" s="108" t="s">
        <v>29</v>
      </c>
      <c r="CL116" s="120">
        <f t="shared" si="290"/>
        <v>0</v>
      </c>
      <c r="CM116" s="121">
        <f t="shared" si="290"/>
        <v>0</v>
      </c>
      <c r="CN116" s="121">
        <f t="shared" si="290"/>
        <v>0</v>
      </c>
      <c r="CO116" s="121">
        <f t="shared" si="290"/>
        <v>0</v>
      </c>
      <c r="CP116" s="121"/>
      <c r="CQ116" s="121"/>
      <c r="CR116" s="121"/>
      <c r="CS116" s="121"/>
      <c r="CT116" s="121">
        <f t="shared" si="291"/>
        <v>0</v>
      </c>
      <c r="CU116" s="121">
        <f t="shared" si="291"/>
        <v>0</v>
      </c>
      <c r="CV116" s="121">
        <f t="shared" si="291"/>
        <v>0</v>
      </c>
      <c r="CW116" s="121">
        <f t="shared" si="291"/>
        <v>0</v>
      </c>
      <c r="CX116" s="121" t="e">
        <f t="shared" si="291"/>
        <v>#VALUE!</v>
      </c>
      <c r="CY116" s="123">
        <f t="shared" si="291"/>
        <v>0</v>
      </c>
      <c r="DA116" s="108" t="s">
        <v>29</v>
      </c>
      <c r="DB116" s="120"/>
      <c r="DC116" s="121"/>
      <c r="DD116" s="121"/>
      <c r="DE116" s="121"/>
      <c r="DF116" s="121"/>
      <c r="DG116" s="121"/>
      <c r="DH116" s="121"/>
      <c r="DI116" s="121"/>
      <c r="DJ116" s="121"/>
      <c r="DK116" s="121"/>
      <c r="DL116" s="121"/>
      <c r="DM116" s="121"/>
      <c r="DN116" s="121"/>
      <c r="DO116" s="123"/>
      <c r="DQ116" s="108" t="s">
        <v>29</v>
      </c>
      <c r="DR116" s="120"/>
      <c r="DS116" s="121"/>
      <c r="DT116" s="121"/>
      <c r="DU116" s="121"/>
      <c r="DV116" s="121"/>
      <c r="DW116" s="121"/>
      <c r="DX116" s="121"/>
      <c r="DY116" s="121"/>
      <c r="DZ116" s="121"/>
      <c r="EA116" s="121"/>
      <c r="EB116" s="121"/>
      <c r="EC116" s="121"/>
      <c r="ED116" s="121"/>
      <c r="EE116" s="123"/>
      <c r="EG116" s="108" t="s">
        <v>29</v>
      </c>
      <c r="EH116" s="120"/>
      <c r="EI116" s="121"/>
      <c r="EJ116" s="121"/>
      <c r="EK116" s="121"/>
      <c r="EL116" s="121"/>
      <c r="EM116" s="121"/>
      <c r="EN116" s="121"/>
      <c r="EO116" s="121"/>
      <c r="EP116" s="121"/>
      <c r="EQ116" s="121"/>
      <c r="ER116" s="121"/>
      <c r="ES116" s="121"/>
      <c r="ET116" s="121"/>
      <c r="EU116" s="123"/>
      <c r="EW116" s="108" t="s">
        <v>29</v>
      </c>
      <c r="EX116" s="120"/>
      <c r="EY116" s="121"/>
      <c r="EZ116" s="121"/>
      <c r="FA116" s="121"/>
      <c r="FB116" s="121"/>
      <c r="FC116" s="121"/>
      <c r="FD116" s="121"/>
      <c r="FE116" s="121"/>
      <c r="FF116" s="121"/>
      <c r="FG116" s="121"/>
      <c r="FH116" s="121"/>
      <c r="FI116" s="121"/>
      <c r="FJ116" s="121"/>
      <c r="FK116" s="121"/>
      <c r="FL116" s="123"/>
    </row>
    <row r="117" spans="2:168" x14ac:dyDescent="0.25">
      <c r="B117" t="s">
        <v>223</v>
      </c>
      <c r="C117" s="383" t="s">
        <v>206</v>
      </c>
      <c r="D117" s="383"/>
      <c r="E117" s="383"/>
      <c r="F117" s="383"/>
      <c r="G117" s="383"/>
      <c r="H117" s="383"/>
      <c r="I117" s="383"/>
      <c r="J117" s="383"/>
      <c r="K117" s="383"/>
      <c r="L117" s="383"/>
      <c r="M117" s="383"/>
      <c r="N117" s="383"/>
      <c r="O117" s="383"/>
      <c r="P117" s="383"/>
      <c r="Y117" t="s">
        <v>223</v>
      </c>
      <c r="Z117" s="383" t="s">
        <v>206</v>
      </c>
      <c r="AA117" s="383"/>
      <c r="AB117" s="383"/>
      <c r="AC117" s="383"/>
      <c r="AD117" s="383"/>
      <c r="AE117" s="383"/>
      <c r="AF117" s="383"/>
      <c r="AG117" s="383"/>
      <c r="AH117" s="383"/>
      <c r="AI117" s="383"/>
      <c r="AJ117" s="383"/>
      <c r="AK117" s="383"/>
      <c r="AL117" s="383"/>
      <c r="AM117" s="383"/>
      <c r="AO117" t="s">
        <v>223</v>
      </c>
      <c r="AP117" s="383" t="s">
        <v>206</v>
      </c>
      <c r="AQ117" s="383"/>
      <c r="AR117" s="383"/>
      <c r="AS117" s="383"/>
      <c r="AT117" s="383"/>
      <c r="AU117" s="383"/>
      <c r="AV117" s="383"/>
      <c r="AW117" s="383"/>
      <c r="AX117" s="383"/>
      <c r="AY117" s="383"/>
      <c r="AZ117" s="383"/>
      <c r="BA117" s="383"/>
      <c r="BB117" s="383"/>
      <c r="BC117" s="383"/>
      <c r="BE117" t="s">
        <v>223</v>
      </c>
      <c r="BF117" s="383" t="s">
        <v>206</v>
      </c>
      <c r="BG117" s="383"/>
      <c r="BH117" s="383"/>
      <c r="BI117" s="383"/>
      <c r="BJ117" s="383"/>
      <c r="BK117" s="383"/>
      <c r="BL117" s="383"/>
      <c r="BM117" s="383"/>
      <c r="BN117" s="383"/>
      <c r="BO117" s="383"/>
      <c r="BP117" s="383"/>
      <c r="BQ117" s="383"/>
      <c r="BR117" s="383"/>
      <c r="BS117" s="383"/>
      <c r="BU117" t="s">
        <v>223</v>
      </c>
      <c r="BV117" s="383" t="s">
        <v>206</v>
      </c>
      <c r="BW117" s="383"/>
      <c r="BX117" s="383"/>
      <c r="BY117" s="383"/>
      <c r="BZ117" s="383"/>
      <c r="CA117" s="383"/>
      <c r="CB117" s="383"/>
      <c r="CC117" s="383"/>
      <c r="CD117" s="383"/>
      <c r="CE117" s="383"/>
      <c r="CF117" s="383"/>
      <c r="CG117" s="383"/>
      <c r="CH117" s="383"/>
      <c r="CI117" s="383"/>
      <c r="CK117" t="s">
        <v>223</v>
      </c>
      <c r="CL117" s="383" t="s">
        <v>206</v>
      </c>
      <c r="CM117" s="383"/>
      <c r="CN117" s="383"/>
      <c r="CO117" s="383"/>
      <c r="CP117" s="383"/>
      <c r="CQ117" s="383"/>
      <c r="CR117" s="383"/>
      <c r="CS117" s="383"/>
      <c r="CT117" s="383"/>
      <c r="CU117" s="383"/>
      <c r="CV117" s="383"/>
      <c r="CW117" s="383"/>
      <c r="CX117" s="383"/>
      <c r="CY117" s="383"/>
      <c r="DA117" t="s">
        <v>196</v>
      </c>
      <c r="DB117" s="383" t="s">
        <v>206</v>
      </c>
      <c r="DC117" s="383"/>
      <c r="DD117" s="383"/>
      <c r="DE117" s="383"/>
      <c r="DF117" s="383"/>
      <c r="DG117" s="383"/>
      <c r="DH117" s="383"/>
      <c r="DI117" s="383"/>
      <c r="DJ117" s="383"/>
      <c r="DK117" s="383"/>
      <c r="DL117" s="383"/>
      <c r="DM117" s="383"/>
      <c r="DN117" s="383"/>
      <c r="DO117" s="383"/>
      <c r="DQ117" t="s">
        <v>196</v>
      </c>
      <c r="DR117" s="383" t="s">
        <v>206</v>
      </c>
      <c r="DS117" s="383"/>
      <c r="DT117" s="383"/>
      <c r="DU117" s="383"/>
      <c r="DV117" s="383"/>
      <c r="DW117" s="383"/>
      <c r="DX117" s="383"/>
      <c r="DY117" s="383"/>
      <c r="DZ117" s="383"/>
      <c r="EA117" s="383"/>
      <c r="EB117" s="383"/>
      <c r="EC117" s="383"/>
      <c r="ED117" s="383"/>
      <c r="EE117" s="383"/>
      <c r="EG117" t="s">
        <v>196</v>
      </c>
      <c r="EH117" s="383" t="s">
        <v>206</v>
      </c>
      <c r="EI117" s="383"/>
      <c r="EJ117" s="383"/>
      <c r="EK117" s="383"/>
      <c r="EL117" s="383"/>
      <c r="EM117" s="383"/>
      <c r="EN117" s="383"/>
      <c r="EO117" s="383"/>
      <c r="EP117" s="383"/>
      <c r="EQ117" s="383"/>
      <c r="ER117" s="383"/>
      <c r="ES117" s="383"/>
      <c r="ET117" s="383"/>
      <c r="EU117" s="383"/>
      <c r="EW117" t="s">
        <v>196</v>
      </c>
      <c r="EX117" s="383" t="s">
        <v>207</v>
      </c>
      <c r="EY117" s="383"/>
      <c r="EZ117" s="383"/>
      <c r="FA117" s="383"/>
      <c r="FB117" s="383"/>
      <c r="FC117" s="383"/>
      <c r="FD117" s="383"/>
      <c r="FE117" s="383"/>
      <c r="FF117" s="383"/>
      <c r="FG117" s="383"/>
      <c r="FH117" s="383"/>
      <c r="FI117" s="383"/>
      <c r="FJ117" s="383"/>
      <c r="FK117" s="383"/>
      <c r="FL117" s="383"/>
    </row>
    <row r="118" spans="2:168" ht="35.450000000000003" customHeight="1" x14ac:dyDescent="0.25">
      <c r="B118" s="163" t="s">
        <v>207</v>
      </c>
      <c r="C118" s="164" t="s">
        <v>386</v>
      </c>
      <c r="D118" s="164" t="s">
        <v>387</v>
      </c>
      <c r="E118" s="164" t="s">
        <v>388</v>
      </c>
      <c r="F118" s="164" t="s">
        <v>389</v>
      </c>
      <c r="G118" s="164" t="s">
        <v>390</v>
      </c>
      <c r="H118" s="164" t="s">
        <v>391</v>
      </c>
      <c r="I118" s="164" t="s">
        <v>392</v>
      </c>
      <c r="J118" s="164" t="s">
        <v>393</v>
      </c>
      <c r="K118" s="164" t="s">
        <v>546</v>
      </c>
      <c r="L118" s="164" t="s">
        <v>396</v>
      </c>
      <c r="M118" s="164" t="s">
        <v>397</v>
      </c>
      <c r="N118" s="164" t="s">
        <v>398</v>
      </c>
      <c r="O118" s="164" t="s">
        <v>399</v>
      </c>
      <c r="P118" s="106" t="s">
        <v>29</v>
      </c>
      <c r="R118" s="164" t="s">
        <v>546</v>
      </c>
      <c r="S118" s="164" t="s">
        <v>396</v>
      </c>
      <c r="T118" s="164" t="s">
        <v>397</v>
      </c>
      <c r="U118" s="164" t="s">
        <v>546</v>
      </c>
      <c r="V118" s="164" t="s">
        <v>396</v>
      </c>
      <c r="W118" s="164" t="s">
        <v>397</v>
      </c>
      <c r="X118" s="296"/>
      <c r="Y118" s="163" t="s">
        <v>207</v>
      </c>
      <c r="Z118" s="164" t="s">
        <v>386</v>
      </c>
      <c r="AA118" s="164" t="s">
        <v>387</v>
      </c>
      <c r="AB118" s="164" t="s">
        <v>388</v>
      </c>
      <c r="AC118" s="164" t="s">
        <v>389</v>
      </c>
      <c r="AD118" s="164" t="s">
        <v>390</v>
      </c>
      <c r="AE118" s="164" t="s">
        <v>391</v>
      </c>
      <c r="AF118" s="164" t="s">
        <v>392</v>
      </c>
      <c r="AG118" s="164" t="s">
        <v>393</v>
      </c>
      <c r="AH118" s="164" t="s">
        <v>546</v>
      </c>
      <c r="AI118" s="164" t="s">
        <v>396</v>
      </c>
      <c r="AJ118" s="164" t="s">
        <v>397</v>
      </c>
      <c r="AK118" s="164" t="s">
        <v>398</v>
      </c>
      <c r="AL118" s="164" t="s">
        <v>399</v>
      </c>
      <c r="AM118" s="106" t="s">
        <v>29</v>
      </c>
      <c r="AN118" s="296"/>
      <c r="AO118" s="163" t="s">
        <v>207</v>
      </c>
      <c r="AP118" s="164" t="s">
        <v>386</v>
      </c>
      <c r="AQ118" s="164" t="s">
        <v>387</v>
      </c>
      <c r="AR118" s="164" t="s">
        <v>388</v>
      </c>
      <c r="AS118" s="164" t="s">
        <v>389</v>
      </c>
      <c r="AT118" s="164" t="s">
        <v>390</v>
      </c>
      <c r="AU118" s="164" t="s">
        <v>391</v>
      </c>
      <c r="AV118" s="164" t="s">
        <v>392</v>
      </c>
      <c r="AW118" s="164" t="s">
        <v>393</v>
      </c>
      <c r="AX118" s="164" t="s">
        <v>546</v>
      </c>
      <c r="AY118" s="164" t="s">
        <v>396</v>
      </c>
      <c r="AZ118" s="164" t="s">
        <v>397</v>
      </c>
      <c r="BA118" s="164" t="s">
        <v>398</v>
      </c>
      <c r="BB118" s="164" t="s">
        <v>399</v>
      </c>
      <c r="BC118" s="106" t="s">
        <v>29</v>
      </c>
      <c r="BE118" s="163" t="s">
        <v>207</v>
      </c>
      <c r="BF118" s="164" t="s">
        <v>538</v>
      </c>
      <c r="BG118" s="164"/>
      <c r="BH118" s="164" t="s">
        <v>576</v>
      </c>
      <c r="BI118" s="164"/>
      <c r="BJ118" s="164" t="s">
        <v>577</v>
      </c>
      <c r="BK118" s="164"/>
      <c r="BL118" s="164" t="s">
        <v>392</v>
      </c>
      <c r="BM118" s="164" t="s">
        <v>393</v>
      </c>
      <c r="BN118" s="164" t="s">
        <v>546</v>
      </c>
      <c r="BO118" s="164" t="s">
        <v>396</v>
      </c>
      <c r="BP118" s="164" t="s">
        <v>397</v>
      </c>
      <c r="BQ118" s="164" t="s">
        <v>398</v>
      </c>
      <c r="BR118" s="164" t="s">
        <v>399</v>
      </c>
      <c r="BS118" s="106" t="s">
        <v>29</v>
      </c>
      <c r="BU118" s="163" t="s">
        <v>207</v>
      </c>
      <c r="BV118" s="164" t="s">
        <v>538</v>
      </c>
      <c r="BW118" s="164"/>
      <c r="BX118" s="164" t="s">
        <v>576</v>
      </c>
      <c r="BY118" s="164"/>
      <c r="BZ118" s="164" t="s">
        <v>577</v>
      </c>
      <c r="CA118" s="164"/>
      <c r="CB118" s="164" t="s">
        <v>392</v>
      </c>
      <c r="CC118" s="164" t="s">
        <v>393</v>
      </c>
      <c r="CD118" s="164" t="s">
        <v>546</v>
      </c>
      <c r="CE118" s="164" t="s">
        <v>396</v>
      </c>
      <c r="CF118" s="164" t="s">
        <v>397</v>
      </c>
      <c r="CG118" s="164" t="s">
        <v>398</v>
      </c>
      <c r="CH118" s="164" t="s">
        <v>399</v>
      </c>
      <c r="CI118" s="106" t="s">
        <v>29</v>
      </c>
      <c r="CK118" s="163" t="s">
        <v>207</v>
      </c>
      <c r="CL118" s="164" t="s">
        <v>386</v>
      </c>
      <c r="CM118" s="164" t="s">
        <v>387</v>
      </c>
      <c r="CN118" s="164" t="s">
        <v>388</v>
      </c>
      <c r="CO118" s="164" t="s">
        <v>389</v>
      </c>
      <c r="CP118" s="164" t="s">
        <v>390</v>
      </c>
      <c r="CQ118" s="164" t="s">
        <v>391</v>
      </c>
      <c r="CR118" s="164" t="s">
        <v>392</v>
      </c>
      <c r="CS118" s="164" t="s">
        <v>393</v>
      </c>
      <c r="CT118" s="164" t="s">
        <v>546</v>
      </c>
      <c r="CU118" s="164" t="s">
        <v>396</v>
      </c>
      <c r="CV118" s="164" t="s">
        <v>397</v>
      </c>
      <c r="CW118" s="164" t="s">
        <v>398</v>
      </c>
      <c r="CX118" s="164" t="s">
        <v>399</v>
      </c>
      <c r="CY118" s="106" t="s">
        <v>29</v>
      </c>
      <c r="DA118" s="163" t="s">
        <v>207</v>
      </c>
      <c r="DB118" s="164" t="s">
        <v>538</v>
      </c>
      <c r="DC118" s="164"/>
      <c r="DD118" s="164" t="s">
        <v>576</v>
      </c>
      <c r="DE118" s="164"/>
      <c r="DF118" s="164" t="s">
        <v>577</v>
      </c>
      <c r="DG118" s="164"/>
      <c r="DH118" s="164" t="s">
        <v>392</v>
      </c>
      <c r="DI118" s="164" t="s">
        <v>393</v>
      </c>
      <c r="DJ118" s="164" t="s">
        <v>546</v>
      </c>
      <c r="DK118" s="164" t="s">
        <v>396</v>
      </c>
      <c r="DL118" s="164" t="s">
        <v>397</v>
      </c>
      <c r="DM118" s="164" t="s">
        <v>398</v>
      </c>
      <c r="DN118" s="164" t="s">
        <v>399</v>
      </c>
      <c r="DO118" s="106" t="s">
        <v>29</v>
      </c>
      <c r="DQ118" s="163" t="s">
        <v>207</v>
      </c>
      <c r="DR118" s="164" t="s">
        <v>538</v>
      </c>
      <c r="DS118" s="164"/>
      <c r="DT118" s="164" t="s">
        <v>576</v>
      </c>
      <c r="DU118" s="164"/>
      <c r="DV118" s="164" t="s">
        <v>577</v>
      </c>
      <c r="DW118" s="164"/>
      <c r="DX118" s="164" t="s">
        <v>392</v>
      </c>
      <c r="DY118" s="164" t="s">
        <v>393</v>
      </c>
      <c r="DZ118" s="164" t="s">
        <v>546</v>
      </c>
      <c r="EA118" s="164" t="s">
        <v>396</v>
      </c>
      <c r="EB118" s="164" t="s">
        <v>397</v>
      </c>
      <c r="EC118" s="164" t="s">
        <v>398</v>
      </c>
      <c r="ED118" s="164" t="s">
        <v>399</v>
      </c>
      <c r="EE118" s="106" t="s">
        <v>29</v>
      </c>
      <c r="EG118" s="163" t="s">
        <v>207</v>
      </c>
      <c r="EH118" s="164" t="s">
        <v>538</v>
      </c>
      <c r="EI118" s="164"/>
      <c r="EJ118" s="164" t="s">
        <v>576</v>
      </c>
      <c r="EK118" s="164"/>
      <c r="EL118" s="164" t="s">
        <v>577</v>
      </c>
      <c r="EM118" s="164"/>
      <c r="EN118" s="164" t="s">
        <v>392</v>
      </c>
      <c r="EO118" s="164" t="s">
        <v>393</v>
      </c>
      <c r="EP118" s="164" t="s">
        <v>546</v>
      </c>
      <c r="EQ118" s="164" t="s">
        <v>396</v>
      </c>
      <c r="ER118" s="164" t="s">
        <v>397</v>
      </c>
      <c r="ES118" s="164" t="s">
        <v>398</v>
      </c>
      <c r="ET118" s="164" t="s">
        <v>399</v>
      </c>
      <c r="EU118" s="106" t="s">
        <v>29</v>
      </c>
      <c r="EW118" s="163" t="s">
        <v>206</v>
      </c>
      <c r="EX118" s="164" t="s">
        <v>386</v>
      </c>
      <c r="EY118" s="164" t="s">
        <v>387</v>
      </c>
      <c r="EZ118" s="164" t="s">
        <v>388</v>
      </c>
      <c r="FA118" s="164" t="s">
        <v>389</v>
      </c>
      <c r="FB118" s="164" t="s">
        <v>390</v>
      </c>
      <c r="FC118" s="164" t="s">
        <v>391</v>
      </c>
      <c r="FD118" s="164" t="s">
        <v>392</v>
      </c>
      <c r="FE118" s="164" t="s">
        <v>393</v>
      </c>
      <c r="FF118" s="164"/>
      <c r="FG118" s="164" t="s">
        <v>546</v>
      </c>
      <c r="FH118" s="164" t="s">
        <v>396</v>
      </c>
      <c r="FI118" s="164" t="s">
        <v>397</v>
      </c>
      <c r="FJ118" s="164" t="s">
        <v>398</v>
      </c>
      <c r="FK118" s="164" t="s">
        <v>399</v>
      </c>
      <c r="FL118" s="106" t="s">
        <v>29</v>
      </c>
    </row>
    <row r="119" spans="2:168" x14ac:dyDescent="0.25">
      <c r="B119" s="107" t="s">
        <v>386</v>
      </c>
      <c r="C119" s="294"/>
      <c r="D119" s="294"/>
      <c r="E119" s="160">
        <f>TripMode_input!D100</f>
        <v>5295.4974599999996</v>
      </c>
      <c r="F119" s="160">
        <f>TripMode_input!E100</f>
        <v>0</v>
      </c>
      <c r="G119" s="160">
        <f>TripMode_input!F100</f>
        <v>3249.5358000000001</v>
      </c>
      <c r="H119" s="160">
        <f>TripMode_input!G100</f>
        <v>0</v>
      </c>
      <c r="I119" s="294"/>
      <c r="J119" s="294"/>
      <c r="K119" s="294"/>
      <c r="L119" s="294"/>
      <c r="M119" s="294"/>
      <c r="N119" s="294"/>
      <c r="O119" s="294"/>
      <c r="P119" s="161">
        <f t="shared" ref="P119:P131" si="295">SUM(C119:O119)</f>
        <v>8545.0332600000002</v>
      </c>
      <c r="R119">
        <f>IF(K$127&gt;0,K119/K$127,0)</f>
        <v>0</v>
      </c>
      <c r="S119">
        <f>IF(L$128&gt;0,L119/L$128,0)</f>
        <v>0</v>
      </c>
      <c r="T119">
        <f>IF(M$129&gt;0,M119/M$129,0)</f>
        <v>0</v>
      </c>
      <c r="Y119" s="107" t="s">
        <v>386</v>
      </c>
      <c r="Z119" s="160">
        <f t="shared" ref="Z119:AC120" si="296">+C119</f>
        <v>0</v>
      </c>
      <c r="AA119" s="160">
        <f t="shared" si="296"/>
        <v>0</v>
      </c>
      <c r="AB119" s="160">
        <f t="shared" si="296"/>
        <v>5295.4974599999996</v>
      </c>
      <c r="AC119" s="160">
        <f t="shared" si="296"/>
        <v>0</v>
      </c>
      <c r="AD119" s="160">
        <f t="shared" ref="AD119:AD125" si="297">+G119</f>
        <v>3249.5358000000001</v>
      </c>
      <c r="AE119" s="160">
        <f t="shared" ref="AE119:AE125" si="298">+H119</f>
        <v>0</v>
      </c>
      <c r="AF119" s="294"/>
      <c r="AG119" s="294"/>
      <c r="AH119" s="294"/>
      <c r="AI119" s="294"/>
      <c r="AJ119" s="294"/>
      <c r="AK119" s="294"/>
      <c r="AL119" s="294"/>
      <c r="AM119" s="161">
        <f t="shared" ref="AM119:AM131" si="299">SUM(Z119:AL119)</f>
        <v>8545.0332600000002</v>
      </c>
      <c r="AO119" s="107" t="s">
        <v>386</v>
      </c>
      <c r="AP119" s="160">
        <f>TripMode_input!R100*Index!$B$2</f>
        <v>0</v>
      </c>
      <c r="AQ119" s="160">
        <f>TripMode_input!S100*Index!$B$2</f>
        <v>0</v>
      </c>
      <c r="AR119" s="160">
        <f>TripMode_input!T100*Index!$B$2</f>
        <v>0</v>
      </c>
      <c r="AS119" s="160">
        <f>TripMode_input!U100*Index!$B$2</f>
        <v>0</v>
      </c>
      <c r="AT119" s="160">
        <f>TripMode_input!V100*Index!$B$2</f>
        <v>0</v>
      </c>
      <c r="AU119" s="160">
        <f>TripMode_input!W100*Index!$B$2</f>
        <v>0</v>
      </c>
      <c r="AV119" s="294">
        <f>TripMode_input!X100*Index!$B$2</f>
        <v>0</v>
      </c>
      <c r="AW119" s="294">
        <f>TripMode_input!Y100*Index!$B$2</f>
        <v>0</v>
      </c>
      <c r="AX119" s="294">
        <f>TripMode_input!AA100*Index!$B$2</f>
        <v>0</v>
      </c>
      <c r="AY119" s="294">
        <f>TripMode_input!AB100*Index!$B$2</f>
        <v>0</v>
      </c>
      <c r="AZ119" s="160">
        <f>TripMode_input!AC100*Index!$B$2</f>
        <v>0</v>
      </c>
      <c r="BA119" s="294">
        <f>TripMode_input!AD100*Index!$B$2</f>
        <v>0</v>
      </c>
      <c r="BB119" s="294">
        <f>TripMode_input!AE100*Index!$B$2</f>
        <v>0</v>
      </c>
      <c r="BC119" s="161">
        <f t="shared" ref="BC119:BC131" si="300">SUM(AP119:BB119)</f>
        <v>0</v>
      </c>
      <c r="BE119" s="107" t="s">
        <v>538</v>
      </c>
      <c r="BF119" s="166" t="str">
        <f>IF(Z$132+AA$132&gt;0,SUM(Z119:AA120)/(Z$132+AA$132),"")</f>
        <v/>
      </c>
      <c r="BG119" s="166"/>
      <c r="BH119" s="166">
        <f>IF(AB$132+AC$132&gt;0,SUM(AB119:AC120)/(AB$132+AC$132),"")</f>
        <v>3.3724374793568167E-3</v>
      </c>
      <c r="BI119" s="166"/>
      <c r="BJ119" s="166">
        <f>IF(AD$132+AE$132&gt;0,SUM(AD119:AE120)/(AD$132+AE$132),"")</f>
        <v>2.1915253194405605E-3</v>
      </c>
      <c r="BK119" s="166"/>
      <c r="BL119" s="166">
        <f t="shared" ref="BL119:BS119" si="301">IF(AF$132&gt;0,(AF119+AF120)/AF$132,"")</f>
        <v>0</v>
      </c>
      <c r="BM119" s="166">
        <f t="shared" si="301"/>
        <v>0</v>
      </c>
      <c r="BN119" s="166">
        <f t="shared" si="301"/>
        <v>0</v>
      </c>
      <c r="BO119" s="166">
        <f t="shared" si="301"/>
        <v>0</v>
      </c>
      <c r="BP119" s="166">
        <f t="shared" si="301"/>
        <v>0</v>
      </c>
      <c r="BQ119" s="166">
        <f t="shared" si="301"/>
        <v>0</v>
      </c>
      <c r="BR119" s="166" t="str">
        <f t="shared" si="301"/>
        <v/>
      </c>
      <c r="BS119" s="166">
        <f t="shared" si="301"/>
        <v>2.5714111090461506E-3</v>
      </c>
      <c r="BU119" s="107" t="s">
        <v>538</v>
      </c>
      <c r="BV119" s="166" t="str">
        <f>IF(AP$132+AQ$132&gt;0,SUM(AP119:AQ120)/(AP$132+AQ$132),"")</f>
        <v/>
      </c>
      <c r="BW119" s="166"/>
      <c r="BX119" s="166">
        <f>IF(AR$132+AS$132&gt;0,SUM(AR119:AS120)/(AR$132+AS$132),"")</f>
        <v>0</v>
      </c>
      <c r="BY119" s="166"/>
      <c r="BZ119" s="166">
        <f>IF(AT$132+AU$132&gt;0,SUM(AT119:AU120)/(AT$132+AU$132),"")</f>
        <v>0</v>
      </c>
      <c r="CA119" s="166"/>
      <c r="CB119" s="166">
        <f t="shared" ref="CB119:CI119" si="302">IF(AV$132&gt;0,(AV119+AV120)/AV$132,"")</f>
        <v>0</v>
      </c>
      <c r="CC119" s="166">
        <f t="shared" si="302"/>
        <v>0</v>
      </c>
      <c r="CD119" s="166">
        <f t="shared" si="302"/>
        <v>0</v>
      </c>
      <c r="CE119" s="166">
        <f t="shared" si="302"/>
        <v>0</v>
      </c>
      <c r="CF119" s="166" t="str">
        <f t="shared" si="302"/>
        <v/>
      </c>
      <c r="CG119" s="166">
        <f t="shared" si="302"/>
        <v>0</v>
      </c>
      <c r="CH119" s="166" t="str">
        <f t="shared" si="302"/>
        <v/>
      </c>
      <c r="CI119" s="166">
        <f t="shared" si="302"/>
        <v>0</v>
      </c>
      <c r="CK119" s="107" t="s">
        <v>386</v>
      </c>
      <c r="CL119" s="166" t="str">
        <f t="shared" ref="CL119:CO122" si="303">IF(OR(ISNA(BF119),BF119=0,BF119=""),"",(BV119-BF119)/BF119)</f>
        <v/>
      </c>
      <c r="CM119" s="166" t="str">
        <f t="shared" si="303"/>
        <v/>
      </c>
      <c r="CN119" s="166">
        <f t="shared" si="303"/>
        <v>-1</v>
      </c>
      <c r="CO119" s="166" t="str">
        <f t="shared" si="303"/>
        <v/>
      </c>
      <c r="CP119" s="166"/>
      <c r="CQ119" s="166"/>
      <c r="CR119" s="166"/>
      <c r="CS119" s="166"/>
      <c r="CT119" s="166" t="str">
        <f t="shared" ref="CT119:CY122" si="304">IF(OR(ISNA(BN119),BN119=0,BN119=""),"",(CD119-BN119)/BN119)</f>
        <v/>
      </c>
      <c r="CU119" s="166" t="str">
        <f t="shared" si="304"/>
        <v/>
      </c>
      <c r="CV119" s="166" t="str">
        <f t="shared" si="304"/>
        <v/>
      </c>
      <c r="CW119" s="166" t="str">
        <f t="shared" si="304"/>
        <v/>
      </c>
      <c r="CX119" s="166" t="str">
        <f t="shared" si="304"/>
        <v/>
      </c>
      <c r="CY119" s="167">
        <f t="shared" si="304"/>
        <v>-1</v>
      </c>
      <c r="DA119" s="107" t="s">
        <v>538</v>
      </c>
      <c r="DB119" s="314">
        <f>IFERROR(IF(BV119&gt;0,LN(BF119/BV119),0),0)</f>
        <v>0</v>
      </c>
      <c r="DC119" s="314"/>
      <c r="DD119" s="314">
        <f>IFERROR(IF(BX119&gt;0,LN(BH119/BX119),0),0)</f>
        <v>0</v>
      </c>
      <c r="DE119" s="314"/>
      <c r="DF119" s="314">
        <f>IFERROR(IF(BZ119&gt;0,LN(BJ119/BZ119),0),0)</f>
        <v>0</v>
      </c>
      <c r="DG119" s="314"/>
      <c r="DH119" s="315"/>
      <c r="DI119" s="315"/>
      <c r="DJ119" s="315"/>
      <c r="DK119" s="315"/>
      <c r="DL119" s="315"/>
      <c r="DM119" s="315"/>
      <c r="DN119" s="315"/>
      <c r="DO119" s="167"/>
      <c r="DQ119" s="107" t="s">
        <v>538</v>
      </c>
      <c r="DR119" s="314">
        <v>0</v>
      </c>
      <c r="DS119" s="314">
        <v>0</v>
      </c>
      <c r="DT119" s="314">
        <v>0</v>
      </c>
      <c r="DU119" s="314">
        <v>0</v>
      </c>
      <c r="DV119" s="314">
        <v>0</v>
      </c>
      <c r="DW119" s="314">
        <v>0</v>
      </c>
      <c r="DX119" s="315"/>
      <c r="DY119" s="315"/>
      <c r="DZ119" s="315"/>
      <c r="EA119" s="315"/>
      <c r="EB119" s="315"/>
      <c r="EC119" s="315"/>
      <c r="ED119" s="315"/>
      <c r="EE119" s="167"/>
      <c r="EG119" s="107" t="s">
        <v>538</v>
      </c>
      <c r="EH119" s="314">
        <v>0</v>
      </c>
      <c r="EI119" s="314">
        <v>0</v>
      </c>
      <c r="EJ119" s="314">
        <v>0</v>
      </c>
      <c r="EK119" s="314">
        <v>0</v>
      </c>
      <c r="EL119" s="314">
        <v>0</v>
      </c>
      <c r="EM119" s="314">
        <v>0</v>
      </c>
      <c r="EN119" s="315"/>
      <c r="EO119" s="315"/>
      <c r="EP119" s="315"/>
      <c r="EQ119" s="315"/>
      <c r="ER119" s="315"/>
      <c r="ES119" s="315"/>
      <c r="ET119" s="315"/>
      <c r="EU119" s="167"/>
      <c r="EW119" s="164" t="s">
        <v>386</v>
      </c>
      <c r="EX119" s="316">
        <f>INDEX($EH$119:$ET$131,EX$4,MATCH($EW119,$EW$7:$EW$19,0))</f>
        <v>0</v>
      </c>
      <c r="EY119" s="316">
        <f t="shared" ref="EY119:FK131" si="305">INDEX($EH$119:$ET$131,EY$4,MATCH($EW119,$EW$7:$EW$19,0))</f>
        <v>0</v>
      </c>
      <c r="EZ119" s="316">
        <f t="shared" si="305"/>
        <v>0</v>
      </c>
      <c r="FA119" s="316">
        <f t="shared" si="305"/>
        <v>0</v>
      </c>
      <c r="FB119" s="316">
        <f t="shared" si="305"/>
        <v>0</v>
      </c>
      <c r="FC119" s="316">
        <f t="shared" si="305"/>
        <v>0</v>
      </c>
      <c r="FD119" s="316">
        <f t="shared" si="305"/>
        <v>0</v>
      </c>
      <c r="FE119" s="316">
        <f t="shared" si="305"/>
        <v>0</v>
      </c>
      <c r="FF119" s="316"/>
      <c r="FG119" s="316">
        <f t="shared" si="305"/>
        <v>0</v>
      </c>
      <c r="FH119" s="316">
        <f t="shared" si="305"/>
        <v>0</v>
      </c>
      <c r="FI119" s="316">
        <f t="shared" si="305"/>
        <v>0</v>
      </c>
      <c r="FJ119" s="316">
        <f t="shared" si="305"/>
        <v>0</v>
      </c>
      <c r="FK119" s="316">
        <f t="shared" si="305"/>
        <v>0</v>
      </c>
      <c r="FL119" s="167"/>
    </row>
    <row r="120" spans="2:168" x14ac:dyDescent="0.25">
      <c r="B120" s="107" t="s">
        <v>387</v>
      </c>
      <c r="C120" s="294"/>
      <c r="D120" s="294"/>
      <c r="E120" s="160">
        <f>TripMode_input!D101</f>
        <v>0</v>
      </c>
      <c r="F120" s="160">
        <f>TripMode_input!E101</f>
        <v>0</v>
      </c>
      <c r="G120" s="160">
        <f>TripMode_input!F101</f>
        <v>0</v>
      </c>
      <c r="H120" s="160">
        <f>TripMode_input!G101</f>
        <v>0</v>
      </c>
      <c r="I120" s="294"/>
      <c r="J120" s="294"/>
      <c r="K120" s="294"/>
      <c r="L120" s="294"/>
      <c r="M120" s="294"/>
      <c r="N120" s="294"/>
      <c r="O120" s="294"/>
      <c r="P120" s="162">
        <f t="shared" si="295"/>
        <v>0</v>
      </c>
      <c r="R120">
        <f t="shared" ref="R120:R131" si="306">IF(K$127&gt;0,K120/K$127,0)</f>
        <v>0</v>
      </c>
      <c r="S120">
        <f t="shared" ref="S120:S131" si="307">IF(L$128&gt;0,L120/L$128,0)</f>
        <v>0</v>
      </c>
      <c r="T120">
        <f t="shared" ref="T120:T131" si="308">IF(M$129&gt;0,M120/M$129,0)</f>
        <v>0</v>
      </c>
      <c r="Y120" s="107" t="s">
        <v>387</v>
      </c>
      <c r="Z120" s="160">
        <f t="shared" si="296"/>
        <v>0</v>
      </c>
      <c r="AA120" s="160">
        <f t="shared" si="296"/>
        <v>0</v>
      </c>
      <c r="AB120" s="160">
        <f t="shared" si="296"/>
        <v>0</v>
      </c>
      <c r="AC120" s="160">
        <f t="shared" si="296"/>
        <v>0</v>
      </c>
      <c r="AD120" s="160">
        <f t="shared" si="297"/>
        <v>0</v>
      </c>
      <c r="AE120" s="160">
        <f t="shared" si="298"/>
        <v>0</v>
      </c>
      <c r="AF120" s="294"/>
      <c r="AG120" s="294"/>
      <c r="AH120" s="294"/>
      <c r="AI120" s="294"/>
      <c r="AJ120" s="294"/>
      <c r="AK120" s="294"/>
      <c r="AL120" s="294"/>
      <c r="AM120" s="162">
        <f t="shared" si="299"/>
        <v>0</v>
      </c>
      <c r="AO120" s="107" t="s">
        <v>387</v>
      </c>
      <c r="AP120" s="160">
        <f>TripMode_input!R101*Index!$B$2</f>
        <v>0</v>
      </c>
      <c r="AQ120" s="160">
        <f>TripMode_input!S101*Index!$B$2</f>
        <v>0</v>
      </c>
      <c r="AR120" s="160">
        <f>TripMode_input!T101*Index!$B$2</f>
        <v>0</v>
      </c>
      <c r="AS120" s="160">
        <f>TripMode_input!U101*Index!$B$2</f>
        <v>0</v>
      </c>
      <c r="AT120" s="160">
        <f>TripMode_input!V101*Index!$B$2</f>
        <v>0</v>
      </c>
      <c r="AU120" s="160">
        <f>TripMode_input!W101*Index!$B$2</f>
        <v>0</v>
      </c>
      <c r="AV120" s="294">
        <f>TripMode_input!X101*Index!$B$2</f>
        <v>0</v>
      </c>
      <c r="AW120" s="294">
        <f>TripMode_input!Y101*Index!$B$2</f>
        <v>0</v>
      </c>
      <c r="AX120" s="294">
        <f>TripMode_input!AA101*Index!$B$2</f>
        <v>0</v>
      </c>
      <c r="AY120" s="294">
        <f>TripMode_input!AB101*Index!$B$2</f>
        <v>0</v>
      </c>
      <c r="AZ120" s="160">
        <f>TripMode_input!AC101*Index!$B$2</f>
        <v>0</v>
      </c>
      <c r="BA120" s="294">
        <f>TripMode_input!AD101*Index!$B$2</f>
        <v>0</v>
      </c>
      <c r="BB120" s="294">
        <f>TripMode_input!AE101*Index!$B$2</f>
        <v>0</v>
      </c>
      <c r="BC120" s="162">
        <f t="shared" si="300"/>
        <v>0</v>
      </c>
      <c r="BE120" s="107"/>
      <c r="BF120" s="166"/>
      <c r="BG120" s="166"/>
      <c r="BH120" s="166"/>
      <c r="BI120" s="166"/>
      <c r="BJ120" s="166"/>
      <c r="BK120" s="166"/>
      <c r="BL120" s="166"/>
      <c r="BM120" s="166"/>
      <c r="BN120" s="166"/>
      <c r="BO120" s="166"/>
      <c r="BP120" s="166"/>
      <c r="BQ120" s="166"/>
      <c r="BR120" s="166"/>
      <c r="BS120" s="166"/>
      <c r="BU120" s="107"/>
      <c r="BV120" s="166"/>
      <c r="BW120" s="166"/>
      <c r="BX120" s="166"/>
      <c r="BY120" s="166"/>
      <c r="BZ120" s="166"/>
      <c r="CA120" s="166"/>
      <c r="CB120" s="166"/>
      <c r="CC120" s="166"/>
      <c r="CD120" s="166"/>
      <c r="CE120" s="166"/>
      <c r="CF120" s="166"/>
      <c r="CG120" s="166"/>
      <c r="CH120" s="166"/>
      <c r="CI120" s="166"/>
      <c r="CK120" s="107" t="s">
        <v>387</v>
      </c>
      <c r="CL120" s="166" t="str">
        <f t="shared" si="303"/>
        <v/>
      </c>
      <c r="CM120" s="166" t="str">
        <f t="shared" si="303"/>
        <v/>
      </c>
      <c r="CN120" s="166" t="str">
        <f t="shared" si="303"/>
        <v/>
      </c>
      <c r="CO120" s="166" t="str">
        <f t="shared" si="303"/>
        <v/>
      </c>
      <c r="CP120" s="166"/>
      <c r="CQ120" s="166"/>
      <c r="CR120" s="166"/>
      <c r="CS120" s="166"/>
      <c r="CT120" s="166" t="str">
        <f t="shared" si="304"/>
        <v/>
      </c>
      <c r="CU120" s="166" t="str">
        <f t="shared" si="304"/>
        <v/>
      </c>
      <c r="CV120" s="166" t="str">
        <f t="shared" si="304"/>
        <v/>
      </c>
      <c r="CW120" s="166" t="str">
        <f t="shared" si="304"/>
        <v/>
      </c>
      <c r="CX120" s="166" t="str">
        <f t="shared" si="304"/>
        <v/>
      </c>
      <c r="CY120" s="168" t="str">
        <f t="shared" si="304"/>
        <v/>
      </c>
      <c r="DA120" s="107"/>
      <c r="DB120" s="314"/>
      <c r="DC120" s="314"/>
      <c r="DD120" s="314"/>
      <c r="DE120" s="314"/>
      <c r="DF120" s="314"/>
      <c r="DG120" s="314"/>
      <c r="DH120" s="315"/>
      <c r="DI120" s="315"/>
      <c r="DJ120" s="315"/>
      <c r="DK120" s="315"/>
      <c r="DL120" s="315"/>
      <c r="DM120" s="315"/>
      <c r="DN120" s="315"/>
      <c r="DO120" s="168"/>
      <c r="DQ120" s="107"/>
      <c r="DR120" s="314">
        <v>0</v>
      </c>
      <c r="DS120" s="314">
        <v>0</v>
      </c>
      <c r="DT120" s="314">
        <v>0</v>
      </c>
      <c r="DU120" s="314">
        <v>0</v>
      </c>
      <c r="DV120" s="314">
        <v>0</v>
      </c>
      <c r="DW120" s="314">
        <v>0</v>
      </c>
      <c r="DX120" s="315"/>
      <c r="DY120" s="315"/>
      <c r="DZ120" s="315"/>
      <c r="EA120" s="315"/>
      <c r="EB120" s="315"/>
      <c r="EC120" s="315"/>
      <c r="ED120" s="315"/>
      <c r="EE120" s="168"/>
      <c r="EG120" s="107"/>
      <c r="EH120" s="314">
        <v>0</v>
      </c>
      <c r="EI120" s="314">
        <v>0</v>
      </c>
      <c r="EJ120" s="314">
        <v>0</v>
      </c>
      <c r="EK120" s="314">
        <v>0</v>
      </c>
      <c r="EL120" s="314">
        <v>0</v>
      </c>
      <c r="EM120" s="314">
        <v>0</v>
      </c>
      <c r="EN120" s="315"/>
      <c r="EO120" s="315"/>
      <c r="EP120" s="315"/>
      <c r="EQ120" s="315"/>
      <c r="ER120" s="315"/>
      <c r="ES120" s="315"/>
      <c r="ET120" s="315"/>
      <c r="EU120" s="168"/>
      <c r="EW120" s="164" t="s">
        <v>387</v>
      </c>
      <c r="EX120" s="316">
        <f t="shared" ref="EX120:EX131" si="309">INDEX($EH$119:$ET$131,EX$4,MATCH($EW120,$EW$7:$EW$19,0))</f>
        <v>0</v>
      </c>
      <c r="EY120" s="316">
        <f t="shared" si="305"/>
        <v>0</v>
      </c>
      <c r="EZ120" s="316">
        <f t="shared" si="305"/>
        <v>0</v>
      </c>
      <c r="FA120" s="316">
        <f t="shared" si="305"/>
        <v>0</v>
      </c>
      <c r="FB120" s="316">
        <f t="shared" si="305"/>
        <v>0</v>
      </c>
      <c r="FC120" s="316">
        <f t="shared" si="305"/>
        <v>0</v>
      </c>
      <c r="FD120" s="316">
        <f t="shared" si="305"/>
        <v>0</v>
      </c>
      <c r="FE120" s="316">
        <f t="shared" si="305"/>
        <v>0</v>
      </c>
      <c r="FF120" s="316"/>
      <c r="FG120" s="316">
        <f t="shared" si="305"/>
        <v>0</v>
      </c>
      <c r="FH120" s="316">
        <f t="shared" si="305"/>
        <v>0</v>
      </c>
      <c r="FI120" s="316">
        <f t="shared" si="305"/>
        <v>0</v>
      </c>
      <c r="FJ120" s="316">
        <f t="shared" si="305"/>
        <v>0</v>
      </c>
      <c r="FK120" s="316">
        <f t="shared" si="305"/>
        <v>0</v>
      </c>
      <c r="FL120" s="168"/>
    </row>
    <row r="121" spans="2:168" x14ac:dyDescent="0.25">
      <c r="B121" s="107" t="s">
        <v>388</v>
      </c>
      <c r="C121" s="294"/>
      <c r="D121" s="294"/>
      <c r="E121" s="160">
        <f>TripMode_input!D102</f>
        <v>1543352.0597000001</v>
      </c>
      <c r="F121" s="160">
        <f>TripMode_input!E102</f>
        <v>6593.9589800000003</v>
      </c>
      <c r="G121" s="160">
        <f>TripMode_input!F102</f>
        <v>121921.71591</v>
      </c>
      <c r="H121" s="160">
        <f>TripMode_input!G102</f>
        <v>6559.6326300000001</v>
      </c>
      <c r="I121" s="294"/>
      <c r="J121" s="294"/>
      <c r="K121" s="160">
        <f>TripMode_input!J102+TripMode_input!K102</f>
        <v>936.50153999999998</v>
      </c>
      <c r="L121" s="294"/>
      <c r="M121" s="294"/>
      <c r="N121" s="160">
        <f>TripMode_input!N102</f>
        <v>0</v>
      </c>
      <c r="O121" s="294"/>
      <c r="P121" s="162">
        <f t="shared" si="295"/>
        <v>1679363.8687600002</v>
      </c>
      <c r="R121">
        <f t="shared" si="306"/>
        <v>1.4769126432757322E-2</v>
      </c>
      <c r="S121">
        <f t="shared" si="307"/>
        <v>0</v>
      </c>
      <c r="T121">
        <f t="shared" si="308"/>
        <v>0</v>
      </c>
      <c r="Y121" s="107" t="s">
        <v>388</v>
      </c>
      <c r="Z121" s="294"/>
      <c r="AA121" s="294"/>
      <c r="AB121" s="160">
        <f>+E121</f>
        <v>1543352.0597000001</v>
      </c>
      <c r="AC121" s="160">
        <f>+F121</f>
        <v>6593.9589800000003</v>
      </c>
      <c r="AD121" s="160">
        <f t="shared" si="297"/>
        <v>121921.71591</v>
      </c>
      <c r="AE121" s="160">
        <f t="shared" si="298"/>
        <v>6559.6326300000001</v>
      </c>
      <c r="AF121" s="294"/>
      <c r="AG121" s="294"/>
      <c r="AH121" s="160">
        <f>AH127*R121</f>
        <v>988.52914097537098</v>
      </c>
      <c r="AI121" s="294"/>
      <c r="AJ121" s="294"/>
      <c r="AK121" s="160">
        <f>+N121</f>
        <v>0</v>
      </c>
      <c r="AL121" s="294"/>
      <c r="AM121" s="162">
        <f t="shared" si="299"/>
        <v>1679415.8963609755</v>
      </c>
      <c r="AO121" s="107" t="s">
        <v>388</v>
      </c>
      <c r="AP121" s="294">
        <f>TripMode_input!R102*Index!$B$2</f>
        <v>0</v>
      </c>
      <c r="AQ121" s="294">
        <f>TripMode_input!S102*Index!$B$2</f>
        <v>0</v>
      </c>
      <c r="AR121" s="160">
        <f>TripMode_input!T102*Index!$B$2</f>
        <v>543680</v>
      </c>
      <c r="AS121" s="160">
        <f>TripMode_input!U102*Index!$B$2</f>
        <v>10750</v>
      </c>
      <c r="AT121" s="160">
        <f>TripMode_input!V102*Index!$B$2</f>
        <v>1930</v>
      </c>
      <c r="AU121" s="160">
        <f>TripMode_input!W102*Index!$B$2</f>
        <v>35</v>
      </c>
      <c r="AV121" s="294">
        <f>TripMode_input!X102*Index!$B$2</f>
        <v>0</v>
      </c>
      <c r="AW121" s="294">
        <f>TripMode_input!Y102*Index!$B$2</f>
        <v>0</v>
      </c>
      <c r="AX121" s="160">
        <f>TripMode_input!AA102*Index!$B$2</f>
        <v>875</v>
      </c>
      <c r="AY121" s="160">
        <f>TripMode_input!AB102*Index!$B$2</f>
        <v>0</v>
      </c>
      <c r="AZ121" s="160">
        <f>TripMode_input!AC102*Index!$B$2</f>
        <v>0</v>
      </c>
      <c r="BA121" s="160">
        <f>TripMode_input!AD102*Index!$B$2</f>
        <v>355</v>
      </c>
      <c r="BB121" s="294">
        <f>TripMode_input!AE102*Index!$B$2</f>
        <v>0</v>
      </c>
      <c r="BC121" s="162">
        <f t="shared" si="300"/>
        <v>557625</v>
      </c>
      <c r="BE121" s="107" t="s">
        <v>576</v>
      </c>
      <c r="BF121" s="166" t="str">
        <f>IF(Z$132+AA$132&gt;0,SUM(Z121:AA122)/(Z$132+AA$132),"")</f>
        <v/>
      </c>
      <c r="BG121" s="166"/>
      <c r="BH121" s="166">
        <f>IF(AB$132+AC$132&gt;0,SUM(AB121:AC122)/(AB$132+AC$132),"")</f>
        <v>0.99120685058274804</v>
      </c>
      <c r="BI121" s="166"/>
      <c r="BJ121" s="166">
        <f>IF(AD$132+AE$132&gt;0,SUM(AD121:AE122)/(AD$132+AE$132),"")</f>
        <v>8.9976224710402078E-2</v>
      </c>
      <c r="BK121" s="166"/>
      <c r="BL121" s="166">
        <f t="shared" ref="BL121:BS121" si="310">IF(AF$132&gt;0,(AF121+AF122)/AF$132,"")</f>
        <v>0</v>
      </c>
      <c r="BM121" s="166">
        <f t="shared" si="310"/>
        <v>0</v>
      </c>
      <c r="BN121" s="166">
        <f t="shared" si="310"/>
        <v>1.2358579359375574E-2</v>
      </c>
      <c r="BO121" s="166">
        <f t="shared" si="310"/>
        <v>0</v>
      </c>
      <c r="BP121" s="166">
        <f t="shared" si="310"/>
        <v>0</v>
      </c>
      <c r="BQ121" s="166">
        <f t="shared" si="310"/>
        <v>0</v>
      </c>
      <c r="BR121" s="166" t="str">
        <f t="shared" si="310"/>
        <v/>
      </c>
      <c r="BS121" s="166">
        <f t="shared" si="310"/>
        <v>0.5088106578984396</v>
      </c>
      <c r="BU121" s="107" t="s">
        <v>576</v>
      </c>
      <c r="BV121" s="166" t="str">
        <f>IF(AP$132+AQ$132&gt;0,SUM(AP121:AQ122)/(AP$132+AQ$132),"")</f>
        <v/>
      </c>
      <c r="BW121" s="166"/>
      <c r="BX121" s="166">
        <f>IF(AR$132+AS$132&gt;0,SUM(AR121:AS122)/(AR$132+AS$132),"")</f>
        <v>0.9932591482987374</v>
      </c>
      <c r="BY121" s="166"/>
      <c r="BZ121" s="166">
        <f>IF(AT$132+AU$132&gt;0,SUM(AT121:AU122)/(AT$132+AU$132),"")</f>
        <v>5.1392141556075984E-3</v>
      </c>
      <c r="CA121" s="166"/>
      <c r="CB121" s="166">
        <f t="shared" ref="CB121:CI121" si="311">IF(AV$132&gt;0,(AV121+AV122)/AV$132,"")</f>
        <v>0</v>
      </c>
      <c r="CC121" s="166">
        <f t="shared" si="311"/>
        <v>0</v>
      </c>
      <c r="CD121" s="166">
        <f t="shared" si="311"/>
        <v>5.1582969432314413E-2</v>
      </c>
      <c r="CE121" s="166">
        <f t="shared" si="311"/>
        <v>0</v>
      </c>
      <c r="CF121" s="166" t="str">
        <f t="shared" si="311"/>
        <v/>
      </c>
      <c r="CG121" s="166">
        <f t="shared" si="311"/>
        <v>9.4845360824742264E-2</v>
      </c>
      <c r="CH121" s="166" t="str">
        <f t="shared" si="311"/>
        <v/>
      </c>
      <c r="CI121" s="166">
        <f t="shared" si="311"/>
        <v>0.51180972909778422</v>
      </c>
      <c r="CK121" s="107" t="s">
        <v>388</v>
      </c>
      <c r="CL121" s="166" t="str">
        <f t="shared" si="303"/>
        <v/>
      </c>
      <c r="CM121" s="166" t="str">
        <f t="shared" si="303"/>
        <v/>
      </c>
      <c r="CN121" s="166">
        <f t="shared" si="303"/>
        <v>2.0705039667378989E-3</v>
      </c>
      <c r="CO121" s="166" t="str">
        <f t="shared" si="303"/>
        <v/>
      </c>
      <c r="CP121" s="166"/>
      <c r="CQ121" s="166"/>
      <c r="CR121" s="166"/>
      <c r="CS121" s="166"/>
      <c r="CT121" s="166">
        <f t="shared" si="304"/>
        <v>3.1738591412759822</v>
      </c>
      <c r="CU121" s="166" t="str">
        <f t="shared" si="304"/>
        <v/>
      </c>
      <c r="CV121" s="166" t="str">
        <f t="shared" si="304"/>
        <v/>
      </c>
      <c r="CW121" s="166" t="str">
        <f t="shared" si="304"/>
        <v/>
      </c>
      <c r="CX121" s="166" t="str">
        <f t="shared" si="304"/>
        <v/>
      </c>
      <c r="CY121" s="168">
        <f t="shared" si="304"/>
        <v>5.894277473926738E-3</v>
      </c>
      <c r="DA121" s="107" t="s">
        <v>576</v>
      </c>
      <c r="DB121" s="315"/>
      <c r="DC121" s="315"/>
      <c r="DD121" s="314">
        <f>IFERROR(IF(BX121&gt;0,LN(BH121/BX121),0),0)</f>
        <v>-2.0683634275537543E-3</v>
      </c>
      <c r="DE121" s="314"/>
      <c r="DF121" s="314">
        <f>IFERROR(IF(BZ121&gt;0,LN(BJ121/BZ121),0),0)</f>
        <v>2.8626452857824094</v>
      </c>
      <c r="DG121" s="314"/>
      <c r="DH121" s="315"/>
      <c r="DI121" s="315"/>
      <c r="DJ121" s="314">
        <f>IFERROR(IF(CD121&gt;0,LN(BN121/CD121),0),0)</f>
        <v>-1.4288410613860032</v>
      </c>
      <c r="DK121" s="315"/>
      <c r="DL121" s="315"/>
      <c r="DM121" s="314">
        <f>IFERROR(IF(CG121&gt;0,LN(BQ121/CG121),0),0)</f>
        <v>0</v>
      </c>
      <c r="DN121" s="315"/>
      <c r="DO121" s="168"/>
      <c r="DQ121" s="107" t="s">
        <v>576</v>
      </c>
      <c r="DR121" s="315"/>
      <c r="DS121" s="315"/>
      <c r="DT121" s="314">
        <v>9.5926415199546651E-3</v>
      </c>
      <c r="DU121" s="314">
        <v>9.5926415199546651E-3</v>
      </c>
      <c r="DV121" s="314">
        <v>14.608804641298878</v>
      </c>
      <c r="DW121" s="314">
        <v>14.608804641298878</v>
      </c>
      <c r="DX121" s="315"/>
      <c r="DY121" s="315"/>
      <c r="DZ121" s="314">
        <v>-1.5741689633062852</v>
      </c>
      <c r="EA121" s="315"/>
      <c r="EB121" s="315"/>
      <c r="EC121" s="314">
        <v>-1.5741689633062852</v>
      </c>
      <c r="ED121" s="315"/>
      <c r="EE121" s="168"/>
      <c r="EG121" s="107" t="s">
        <v>576</v>
      </c>
      <c r="EH121" s="315"/>
      <c r="EI121" s="315"/>
      <c r="EJ121" s="314">
        <f>DT121+(DD121-DD$119)*$EI$1</f>
        <v>7.5242780924009104E-3</v>
      </c>
      <c r="EK121" s="314">
        <f>DT121+(DD121-DD$119)*$EI$1</f>
        <v>7.5242780924009104E-3</v>
      </c>
      <c r="EL121" s="314">
        <f>DV121+(DF121-DF$119)*$EI$1</f>
        <v>17.471449927081288</v>
      </c>
      <c r="EM121" s="314">
        <f>DV121+(DF121-DF$119)*$EI$1</f>
        <v>17.471449927081288</v>
      </c>
      <c r="EN121" s="315"/>
      <c r="EO121" s="315"/>
      <c r="EP121" s="314">
        <f>EC121+(DM121-DM$130)*$EI$1</f>
        <v>-1.6731718881768562</v>
      </c>
      <c r="EQ121" s="315"/>
      <c r="ER121" s="315"/>
      <c r="ES121" s="314">
        <f>EC121+(DM121-DM$130)*$EI$1</f>
        <v>-1.6731718881768562</v>
      </c>
      <c r="ET121" s="315"/>
      <c r="EU121" s="168"/>
      <c r="EW121" s="164" t="s">
        <v>388</v>
      </c>
      <c r="EX121" s="316">
        <f t="shared" si="309"/>
        <v>0</v>
      </c>
      <c r="EY121" s="316">
        <f t="shared" si="305"/>
        <v>0</v>
      </c>
      <c r="EZ121" s="316">
        <f t="shared" si="305"/>
        <v>7.5242780924009104E-3</v>
      </c>
      <c r="FA121" s="316">
        <f t="shared" si="305"/>
        <v>7.5242780924009104E-3</v>
      </c>
      <c r="FB121" s="316">
        <f t="shared" si="305"/>
        <v>0</v>
      </c>
      <c r="FC121" s="316">
        <f t="shared" si="305"/>
        <v>0</v>
      </c>
      <c r="FD121" s="316">
        <f t="shared" si="305"/>
        <v>-1.9264985202327962</v>
      </c>
      <c r="FE121" s="316">
        <f t="shared" si="305"/>
        <v>0</v>
      </c>
      <c r="FF121" s="316"/>
      <c r="FG121" s="316">
        <f t="shared" si="305"/>
        <v>0</v>
      </c>
      <c r="FH121" s="316">
        <f t="shared" si="305"/>
        <v>0</v>
      </c>
      <c r="FI121" s="316">
        <f t="shared" si="305"/>
        <v>0</v>
      </c>
      <c r="FJ121" s="316">
        <f t="shared" si="305"/>
        <v>0</v>
      </c>
      <c r="FK121" s="316">
        <f t="shared" si="305"/>
        <v>0</v>
      </c>
      <c r="FL121" s="168"/>
    </row>
    <row r="122" spans="2:168" x14ac:dyDescent="0.25">
      <c r="B122" s="107" t="s">
        <v>389</v>
      </c>
      <c r="C122" s="294"/>
      <c r="D122" s="294"/>
      <c r="E122" s="160">
        <f>TripMode_input!D103</f>
        <v>0</v>
      </c>
      <c r="F122" s="160">
        <f>TripMode_input!E103</f>
        <v>6475.2320399999999</v>
      </c>
      <c r="G122" s="160">
        <f>TripMode_input!F103</f>
        <v>0</v>
      </c>
      <c r="H122" s="160">
        <f>TripMode_input!G103</f>
        <v>4933.0185000000001</v>
      </c>
      <c r="I122" s="294"/>
      <c r="J122" s="294"/>
      <c r="K122" s="160">
        <f>TripMode_input!J103+TripMode_input!K103</f>
        <v>0</v>
      </c>
      <c r="L122" s="294"/>
      <c r="M122" s="294"/>
      <c r="N122" s="160">
        <f>TripMode_input!N103</f>
        <v>0</v>
      </c>
      <c r="O122" s="294"/>
      <c r="P122" s="162">
        <f t="shared" si="295"/>
        <v>11408.250540000001</v>
      </c>
      <c r="R122">
        <f t="shared" si="306"/>
        <v>0</v>
      </c>
      <c r="S122">
        <f t="shared" si="307"/>
        <v>0</v>
      </c>
      <c r="T122">
        <f t="shared" si="308"/>
        <v>0</v>
      </c>
      <c r="Y122" s="107" t="s">
        <v>389</v>
      </c>
      <c r="Z122" s="294"/>
      <c r="AA122" s="294"/>
      <c r="AB122" s="160">
        <f>+E122</f>
        <v>0</v>
      </c>
      <c r="AC122" s="160">
        <f>+F122</f>
        <v>6475.2320399999999</v>
      </c>
      <c r="AD122" s="160">
        <f t="shared" si="297"/>
        <v>0</v>
      </c>
      <c r="AE122" s="160">
        <f t="shared" si="298"/>
        <v>4933.0185000000001</v>
      </c>
      <c r="AF122" s="294"/>
      <c r="AG122" s="294"/>
      <c r="AH122" s="160">
        <f>AH127*R122</f>
        <v>0</v>
      </c>
      <c r="AI122" s="294"/>
      <c r="AJ122" s="294"/>
      <c r="AK122" s="160">
        <f>+N122</f>
        <v>0</v>
      </c>
      <c r="AL122" s="294"/>
      <c r="AM122" s="162">
        <f t="shared" si="299"/>
        <v>11408.250540000001</v>
      </c>
      <c r="AO122" s="107" t="s">
        <v>389</v>
      </c>
      <c r="AP122" s="294">
        <f>TripMode_input!R103*Index!$B$2</f>
        <v>0</v>
      </c>
      <c r="AQ122" s="294">
        <f>TripMode_input!S103*Index!$B$2</f>
        <v>0</v>
      </c>
      <c r="AR122" s="160">
        <f>TripMode_input!T103*Index!$B$2</f>
        <v>0</v>
      </c>
      <c r="AS122" s="160">
        <f>TripMode_input!U103*Index!$B$2</f>
        <v>2550</v>
      </c>
      <c r="AT122" s="160">
        <f>TripMode_input!V103*Index!$B$2</f>
        <v>0</v>
      </c>
      <c r="AU122" s="160">
        <f>TripMode_input!W103*Index!$B$2</f>
        <v>10</v>
      </c>
      <c r="AV122" s="294">
        <f>TripMode_input!X103*Index!$B$2</f>
        <v>0</v>
      </c>
      <c r="AW122" s="294">
        <f>TripMode_input!Y103*Index!$B$2</f>
        <v>0</v>
      </c>
      <c r="AX122" s="160">
        <f>TripMode_input!AA103*Index!$B$2</f>
        <v>70</v>
      </c>
      <c r="AY122" s="160">
        <f>TripMode_input!AB103*Index!$B$2</f>
        <v>0</v>
      </c>
      <c r="AZ122" s="160">
        <f>TripMode_input!AC103*Index!$B$2</f>
        <v>0</v>
      </c>
      <c r="BA122" s="160">
        <f>TripMode_input!AD103*Index!$B$2</f>
        <v>105</v>
      </c>
      <c r="BB122" s="294">
        <f>TripMode_input!AE103*Index!$B$2</f>
        <v>0</v>
      </c>
      <c r="BC122" s="162">
        <f t="shared" si="300"/>
        <v>2735</v>
      </c>
      <c r="BE122" s="107"/>
      <c r="BF122" s="166"/>
      <c r="BG122" s="166"/>
      <c r="BH122" s="166"/>
      <c r="BI122" s="166"/>
      <c r="BJ122" s="166"/>
      <c r="BK122" s="166"/>
      <c r="BL122" s="166"/>
      <c r="BM122" s="166"/>
      <c r="BN122" s="166"/>
      <c r="BO122" s="166"/>
      <c r="BP122" s="166"/>
      <c r="BQ122" s="166"/>
      <c r="BR122" s="166"/>
      <c r="BS122" s="166"/>
      <c r="BU122" s="107"/>
      <c r="BV122" s="166"/>
      <c r="BW122" s="166"/>
      <c r="BX122" s="166"/>
      <c r="BY122" s="166"/>
      <c r="BZ122" s="166"/>
      <c r="CA122" s="166"/>
      <c r="CB122" s="166"/>
      <c r="CC122" s="166"/>
      <c r="CD122" s="166"/>
      <c r="CE122" s="166"/>
      <c r="CF122" s="166"/>
      <c r="CG122" s="166"/>
      <c r="CH122" s="166"/>
      <c r="CI122" s="166"/>
      <c r="CK122" s="107" t="s">
        <v>389</v>
      </c>
      <c r="CL122" s="166" t="str">
        <f t="shared" si="303"/>
        <v/>
      </c>
      <c r="CM122" s="166" t="str">
        <f t="shared" si="303"/>
        <v/>
      </c>
      <c r="CN122" s="166" t="str">
        <f t="shared" si="303"/>
        <v/>
      </c>
      <c r="CO122" s="166" t="str">
        <f t="shared" si="303"/>
        <v/>
      </c>
      <c r="CP122" s="166"/>
      <c r="CQ122" s="166"/>
      <c r="CR122" s="166"/>
      <c r="CS122" s="166"/>
      <c r="CT122" s="166" t="str">
        <f t="shared" si="304"/>
        <v/>
      </c>
      <c r="CU122" s="166" t="str">
        <f t="shared" si="304"/>
        <v/>
      </c>
      <c r="CV122" s="166" t="str">
        <f t="shared" si="304"/>
        <v/>
      </c>
      <c r="CW122" s="166" t="str">
        <f t="shared" si="304"/>
        <v/>
      </c>
      <c r="CX122" s="166" t="str">
        <f t="shared" si="304"/>
        <v/>
      </c>
      <c r="CY122" s="168" t="str">
        <f t="shared" si="304"/>
        <v/>
      </c>
      <c r="DA122" s="107"/>
      <c r="DB122" s="315"/>
      <c r="DC122" s="315"/>
      <c r="DD122" s="314"/>
      <c r="DE122" s="314"/>
      <c r="DF122" s="314"/>
      <c r="DG122" s="314"/>
      <c r="DH122" s="315"/>
      <c r="DI122" s="315"/>
      <c r="DJ122" s="314"/>
      <c r="DK122" s="315"/>
      <c r="DL122" s="315"/>
      <c r="DM122" s="314"/>
      <c r="DN122" s="315"/>
      <c r="DO122" s="168"/>
      <c r="DQ122" s="107"/>
      <c r="DR122" s="315"/>
      <c r="DS122" s="315"/>
      <c r="DT122" s="314">
        <v>9.5926415199546651E-3</v>
      </c>
      <c r="DU122" s="314">
        <v>9.5926415199546651E-3</v>
      </c>
      <c r="DV122" s="314">
        <v>14.608804641298878</v>
      </c>
      <c r="DW122" s="314">
        <v>14.608804641298878</v>
      </c>
      <c r="DX122" s="315"/>
      <c r="DY122" s="315"/>
      <c r="DZ122" s="314">
        <v>-1.5741689633062852</v>
      </c>
      <c r="EA122" s="315"/>
      <c r="EB122" s="315"/>
      <c r="EC122" s="314">
        <v>-1.5741689633062852</v>
      </c>
      <c r="ED122" s="315"/>
      <c r="EE122" s="168"/>
      <c r="EG122" s="107"/>
      <c r="EH122" s="315"/>
      <c r="EI122" s="315"/>
      <c r="EJ122" s="314">
        <f>DT121+(DD121-DD$119)*$EI$1</f>
        <v>7.5242780924009104E-3</v>
      </c>
      <c r="EK122" s="314">
        <f>DT121+(DD121-DD$119)*$EI$1</f>
        <v>7.5242780924009104E-3</v>
      </c>
      <c r="EL122" s="314">
        <f>DV121+(DF121-DF$119)*$EI$1</f>
        <v>17.471449927081288</v>
      </c>
      <c r="EM122" s="314">
        <f>DV121+(DF121-DF$119)*$EI$1</f>
        <v>17.471449927081288</v>
      </c>
      <c r="EN122" s="315"/>
      <c r="EO122" s="315"/>
      <c r="EP122" s="314">
        <f>EC121+(DM121-DM$130)*$EI$1</f>
        <v>-1.6731718881768562</v>
      </c>
      <c r="EQ122" s="315"/>
      <c r="ER122" s="315"/>
      <c r="ES122" s="314">
        <f>EC121+(DM121-DM$130)*$EI$1</f>
        <v>-1.6731718881768562</v>
      </c>
      <c r="ET122" s="315"/>
      <c r="EU122" s="168"/>
      <c r="EW122" s="164" t="s">
        <v>389</v>
      </c>
      <c r="EX122" s="316">
        <f t="shared" si="309"/>
        <v>0</v>
      </c>
      <c r="EY122" s="316">
        <f t="shared" si="305"/>
        <v>0</v>
      </c>
      <c r="EZ122" s="316">
        <f t="shared" si="305"/>
        <v>7.5242780924009104E-3</v>
      </c>
      <c r="FA122" s="316">
        <f t="shared" si="305"/>
        <v>7.5242780924009104E-3</v>
      </c>
      <c r="FB122" s="316">
        <f t="shared" si="305"/>
        <v>0</v>
      </c>
      <c r="FC122" s="316">
        <f t="shared" si="305"/>
        <v>0</v>
      </c>
      <c r="FD122" s="316">
        <f t="shared" si="305"/>
        <v>-1.9264985202327962</v>
      </c>
      <c r="FE122" s="316">
        <f t="shared" si="305"/>
        <v>0</v>
      </c>
      <c r="FF122" s="316"/>
      <c r="FG122" s="316">
        <f t="shared" si="305"/>
        <v>0</v>
      </c>
      <c r="FH122" s="316">
        <f t="shared" si="305"/>
        <v>0</v>
      </c>
      <c r="FI122" s="316">
        <f t="shared" si="305"/>
        <v>0</v>
      </c>
      <c r="FJ122" s="316">
        <f t="shared" si="305"/>
        <v>0</v>
      </c>
      <c r="FK122" s="316">
        <f t="shared" si="305"/>
        <v>0</v>
      </c>
      <c r="FL122" s="168"/>
    </row>
    <row r="123" spans="2:168" x14ac:dyDescent="0.25">
      <c r="B123" s="107" t="s">
        <v>390</v>
      </c>
      <c r="C123" s="294"/>
      <c r="D123" s="294"/>
      <c r="E123" s="294"/>
      <c r="F123" s="294"/>
      <c r="G123" s="160">
        <f>TripMode_input!F104</f>
        <v>1310222.9162600001</v>
      </c>
      <c r="H123" s="160">
        <f>TripMode_input!G104</f>
        <v>18651.360089999998</v>
      </c>
      <c r="I123" s="294"/>
      <c r="J123" s="294"/>
      <c r="K123" s="160">
        <f>TripMode_input!J104+TripMode_input!K104</f>
        <v>962.79214000000002</v>
      </c>
      <c r="L123" s="294"/>
      <c r="M123" s="294"/>
      <c r="N123" s="160">
        <f>TripMode_input!N104</f>
        <v>0</v>
      </c>
      <c r="O123" s="294"/>
      <c r="P123" s="162">
        <f t="shared" si="295"/>
        <v>1329837.0684900002</v>
      </c>
      <c r="R123">
        <f t="shared" si="306"/>
        <v>1.5183743151265921E-2</v>
      </c>
      <c r="S123">
        <f t="shared" si="307"/>
        <v>0</v>
      </c>
      <c r="T123">
        <f t="shared" si="308"/>
        <v>0</v>
      </c>
      <c r="Y123" s="107" t="s">
        <v>390</v>
      </c>
      <c r="Z123" s="294"/>
      <c r="AA123" s="294"/>
      <c r="AB123" s="294"/>
      <c r="AC123" s="294"/>
      <c r="AD123" s="160">
        <f t="shared" si="297"/>
        <v>1310222.9162600001</v>
      </c>
      <c r="AE123" s="160">
        <f t="shared" si="298"/>
        <v>18651.360089999998</v>
      </c>
      <c r="AF123" s="294"/>
      <c r="AG123" s="294"/>
      <c r="AH123" s="160">
        <f>AH127*R123</f>
        <v>1016.2803224990309</v>
      </c>
      <c r="AI123" s="294"/>
      <c r="AJ123" s="294"/>
      <c r="AK123" s="160">
        <f>+N123</f>
        <v>0</v>
      </c>
      <c r="AL123" s="294"/>
      <c r="AM123" s="162">
        <f t="shared" si="299"/>
        <v>1329890.5566724993</v>
      </c>
      <c r="AO123" s="107" t="s">
        <v>390</v>
      </c>
      <c r="AP123" s="294">
        <f>TripMode_input!R104*Index!$B$2</f>
        <v>0</v>
      </c>
      <c r="AQ123" s="294">
        <f>TripMode_input!S104*Index!$B$2</f>
        <v>0</v>
      </c>
      <c r="AR123" s="294">
        <f>TripMode_input!T104*Index!$B$2</f>
        <v>0</v>
      </c>
      <c r="AS123" s="294">
        <f>TripMode_input!U104*Index!$B$2</f>
        <v>0</v>
      </c>
      <c r="AT123" s="160">
        <f>TripMode_input!V104*Index!$B$2</f>
        <v>364555</v>
      </c>
      <c r="AU123" s="160">
        <f>TripMode_input!W104*Index!$B$2</f>
        <v>8940</v>
      </c>
      <c r="AV123" s="294">
        <f>TripMode_input!X104*Index!$B$2</f>
        <v>0</v>
      </c>
      <c r="AW123" s="294">
        <f>TripMode_input!Y104*Index!$B$2</f>
        <v>0</v>
      </c>
      <c r="AX123" s="160">
        <f>TripMode_input!AA104*Index!$B$2</f>
        <v>405</v>
      </c>
      <c r="AY123" s="160">
        <f>TripMode_input!AB104*Index!$B$2</f>
        <v>0</v>
      </c>
      <c r="AZ123" s="160">
        <f>TripMode_input!AC104*Index!$B$2</f>
        <v>0</v>
      </c>
      <c r="BA123" s="160">
        <f>TripMode_input!AD104*Index!$B$2</f>
        <v>95</v>
      </c>
      <c r="BB123" s="294">
        <f>TripMode_input!AE104*Index!$B$2</f>
        <v>0</v>
      </c>
      <c r="BC123" s="162">
        <f t="shared" si="300"/>
        <v>373995</v>
      </c>
      <c r="BE123" s="107" t="s">
        <v>577</v>
      </c>
      <c r="BF123" s="166" t="str">
        <f>IF(Z$132+AA$132&gt;0,SUM(Z123:AA124)/(Z$132+AA$132),"")</f>
        <v/>
      </c>
      <c r="BG123" s="166"/>
      <c r="BH123" s="166">
        <f>IF(AB$132+AC$132&gt;0,SUM(AB123:AC124)/(AB$132+AC$132),"")</f>
        <v>0</v>
      </c>
      <c r="BI123" s="166"/>
      <c r="BJ123" s="166">
        <f>IF(AD$132+AE$132&gt;0,SUM(AD123:AE124)/(AD$132+AE$132),"")</f>
        <v>0.90355502679827493</v>
      </c>
      <c r="BK123" s="166"/>
      <c r="BL123" s="166">
        <f t="shared" ref="BL123:BS123" si="312">IF(AF$132&gt;0,(AF123+AF124)/AF$132,"")</f>
        <v>0</v>
      </c>
      <c r="BM123" s="166">
        <f t="shared" si="312"/>
        <v>0</v>
      </c>
      <c r="BN123" s="166">
        <f t="shared" si="312"/>
        <v>1.2705524294997996E-2</v>
      </c>
      <c r="BO123" s="166">
        <f t="shared" si="312"/>
        <v>0</v>
      </c>
      <c r="BP123" s="166">
        <f t="shared" si="312"/>
        <v>0</v>
      </c>
      <c r="BQ123" s="166">
        <f t="shared" si="312"/>
        <v>0</v>
      </c>
      <c r="BR123" s="166" t="str">
        <f t="shared" si="312"/>
        <v/>
      </c>
      <c r="BS123" s="166">
        <f t="shared" si="312"/>
        <v>0.40347488564954997</v>
      </c>
      <c r="BU123" s="107" t="s">
        <v>577</v>
      </c>
      <c r="BV123" s="166" t="str">
        <f>IF(AP$132+AQ$132&gt;0,SUM(AP123:AQ124)/(AP$132+AQ$132),"")</f>
        <v/>
      </c>
      <c r="BW123" s="166"/>
      <c r="BX123" s="166">
        <f>IF(AR$132+AS$132&gt;0,SUM(AR123:AS124)/(AR$132+AS$132),"")</f>
        <v>0</v>
      </c>
      <c r="BY123" s="166"/>
      <c r="BZ123" s="166">
        <f>IF(AT$132+AU$132&gt;0,SUM(AT123:AU124)/(AT$132+AU$132),"")</f>
        <v>0.98857663283892794</v>
      </c>
      <c r="CA123" s="166"/>
      <c r="CB123" s="166">
        <f t="shared" ref="CB123:CI123" si="313">IF(AV$132&gt;0,(AV123+AV124)/AV$132,"")</f>
        <v>0</v>
      </c>
      <c r="CC123" s="166">
        <f t="shared" si="313"/>
        <v>0</v>
      </c>
      <c r="CD123" s="166">
        <f t="shared" si="313"/>
        <v>2.8657205240174673E-2</v>
      </c>
      <c r="CE123" s="166">
        <f t="shared" si="313"/>
        <v>0</v>
      </c>
      <c r="CF123" s="166" t="str">
        <f t="shared" si="313"/>
        <v/>
      </c>
      <c r="CG123" s="166">
        <f t="shared" si="313"/>
        <v>2.268041237113402E-2</v>
      </c>
      <c r="CH123" s="166" t="str">
        <f t="shared" si="313"/>
        <v/>
      </c>
      <c r="CI123" s="166">
        <f t="shared" si="313"/>
        <v>0.34757411906545127</v>
      </c>
      <c r="CK123" s="107" t="s">
        <v>390</v>
      </c>
      <c r="CL123" s="166"/>
      <c r="CM123" s="166"/>
      <c r="CN123" s="166"/>
      <c r="CO123" s="166"/>
      <c r="CP123" s="166"/>
      <c r="CQ123" s="166"/>
      <c r="CR123" s="166"/>
      <c r="CS123" s="166"/>
      <c r="CT123" s="166"/>
      <c r="CU123" s="166"/>
      <c r="CV123" s="166"/>
      <c r="CW123" s="166"/>
      <c r="CX123" s="166"/>
      <c r="CY123" s="168"/>
      <c r="DA123" s="107" t="s">
        <v>577</v>
      </c>
      <c r="DB123" s="315"/>
      <c r="DC123" s="315"/>
      <c r="DD123" s="315"/>
      <c r="DE123" s="315"/>
      <c r="DF123" s="314">
        <f>IFERROR(IF(BZ123&gt;0,LN(BJ123/BZ123),0),0)</f>
        <v>-8.9929151759343073E-2</v>
      </c>
      <c r="DG123" s="314"/>
      <c r="DH123" s="315"/>
      <c r="DI123" s="315"/>
      <c r="DJ123" s="314">
        <f>IFERROR(IF(CD123&gt;0,LN(BN123/CD123),0),0)</f>
        <v>-0.81336802060103686</v>
      </c>
      <c r="DK123" s="315"/>
      <c r="DL123" s="315"/>
      <c r="DM123" s="314">
        <f>IFERROR(IF(CG123&gt;0,LN(BQ123/CG123),0),0)</f>
        <v>0</v>
      </c>
      <c r="DN123" s="315"/>
      <c r="DO123" s="168"/>
      <c r="DQ123" s="107" t="s">
        <v>577</v>
      </c>
      <c r="DR123" s="315"/>
      <c r="DS123" s="315"/>
      <c r="DT123" s="315"/>
      <c r="DU123" s="315"/>
      <c r="DV123" s="314">
        <v>-0.42714072327608388</v>
      </c>
      <c r="DW123" s="314">
        <v>-0.42714072327608388</v>
      </c>
      <c r="DX123" s="315"/>
      <c r="DY123" s="315"/>
      <c r="DZ123" s="314">
        <v>-1.5741689633062852</v>
      </c>
      <c r="EA123" s="315"/>
      <c r="EB123" s="315"/>
      <c r="EC123" s="314">
        <v>-1.5741689633062852</v>
      </c>
      <c r="ED123" s="315"/>
      <c r="EE123" s="168"/>
      <c r="EG123" s="107" t="s">
        <v>577</v>
      </c>
      <c r="EH123" s="315"/>
      <c r="EI123" s="315"/>
      <c r="EJ123" s="315"/>
      <c r="EK123" s="315"/>
      <c r="EL123" s="314">
        <f>DV123+(DF123-DF$119)*$EI$1</f>
        <v>-0.51706987503542701</v>
      </c>
      <c r="EM123" s="314">
        <f>DV123+(DF123-DF$119)*$EI$1</f>
        <v>-0.51706987503542701</v>
      </c>
      <c r="EN123" s="315"/>
      <c r="EO123" s="315"/>
      <c r="EP123" s="314">
        <f>EC123+(DM123-DM$130)*$EI$1</f>
        <v>-1.6731718881768562</v>
      </c>
      <c r="EQ123" s="315"/>
      <c r="ER123" s="315"/>
      <c r="ES123" s="314">
        <f>EC123+(DM123-DM$130)*$EI$1</f>
        <v>-1.6731718881768562</v>
      </c>
      <c r="ET123" s="315"/>
      <c r="EU123" s="168"/>
      <c r="EW123" s="164" t="s">
        <v>390</v>
      </c>
      <c r="EX123" s="316">
        <f t="shared" si="309"/>
        <v>0</v>
      </c>
      <c r="EY123" s="316">
        <f t="shared" si="305"/>
        <v>0</v>
      </c>
      <c r="EZ123" s="316">
        <f t="shared" si="305"/>
        <v>17.471449927081288</v>
      </c>
      <c r="FA123" s="316">
        <f t="shared" si="305"/>
        <v>17.471449927081288</v>
      </c>
      <c r="FB123" s="316">
        <f t="shared" si="305"/>
        <v>-0.51706987503542701</v>
      </c>
      <c r="FC123" s="316">
        <f t="shared" si="305"/>
        <v>-0.51706987503542701</v>
      </c>
      <c r="FD123" s="316">
        <f t="shared" si="305"/>
        <v>-1.4191819951454636</v>
      </c>
      <c r="FE123" s="316">
        <f t="shared" si="305"/>
        <v>0</v>
      </c>
      <c r="FF123" s="316"/>
      <c r="FG123" s="316">
        <f t="shared" si="305"/>
        <v>0</v>
      </c>
      <c r="FH123" s="316">
        <f t="shared" si="305"/>
        <v>0</v>
      </c>
      <c r="FI123" s="316">
        <f t="shared" si="305"/>
        <v>0</v>
      </c>
      <c r="FJ123" s="316">
        <f t="shared" si="305"/>
        <v>0</v>
      </c>
      <c r="FK123" s="316">
        <f t="shared" si="305"/>
        <v>0</v>
      </c>
      <c r="FL123" s="168"/>
    </row>
    <row r="124" spans="2:168" x14ac:dyDescent="0.25">
      <c r="B124" s="107" t="s">
        <v>391</v>
      </c>
      <c r="C124" s="294"/>
      <c r="D124" s="294"/>
      <c r="E124" s="294"/>
      <c r="F124" s="294"/>
      <c r="G124" s="160">
        <f>TripMode_input!F105</f>
        <v>0</v>
      </c>
      <c r="H124" s="160">
        <f>TripMode_input!G105</f>
        <v>10893.227500000001</v>
      </c>
      <c r="I124" s="294"/>
      <c r="J124" s="294"/>
      <c r="K124" s="160">
        <f>TripMode_input!J105+TripMode_input!K105</f>
        <v>0</v>
      </c>
      <c r="L124" s="294"/>
      <c r="M124" s="294"/>
      <c r="N124" s="160">
        <f>TripMode_input!N105</f>
        <v>0</v>
      </c>
      <c r="O124" s="294"/>
      <c r="P124" s="162">
        <f t="shared" si="295"/>
        <v>10893.227500000001</v>
      </c>
      <c r="R124">
        <f t="shared" si="306"/>
        <v>0</v>
      </c>
      <c r="S124">
        <f t="shared" si="307"/>
        <v>0</v>
      </c>
      <c r="T124">
        <f t="shared" si="308"/>
        <v>0</v>
      </c>
      <c r="Y124" s="107" t="s">
        <v>391</v>
      </c>
      <c r="Z124" s="294"/>
      <c r="AA124" s="294"/>
      <c r="AB124" s="294"/>
      <c r="AC124" s="294"/>
      <c r="AD124" s="160">
        <f t="shared" si="297"/>
        <v>0</v>
      </c>
      <c r="AE124" s="160">
        <f t="shared" si="298"/>
        <v>10893.227500000001</v>
      </c>
      <c r="AF124" s="294"/>
      <c r="AG124" s="294"/>
      <c r="AH124" s="160">
        <f>AH127*R124</f>
        <v>0</v>
      </c>
      <c r="AI124" s="294"/>
      <c r="AJ124" s="294"/>
      <c r="AK124" s="160">
        <f>+N124</f>
        <v>0</v>
      </c>
      <c r="AL124" s="294"/>
      <c r="AM124" s="162">
        <f t="shared" si="299"/>
        <v>10893.227500000001</v>
      </c>
      <c r="AO124" s="107" t="s">
        <v>391</v>
      </c>
      <c r="AP124" s="294">
        <f>TripMode_input!R105*Index!$B$2</f>
        <v>0</v>
      </c>
      <c r="AQ124" s="294">
        <f>TripMode_input!S105*Index!$B$2</f>
        <v>0</v>
      </c>
      <c r="AR124" s="294">
        <f>TripMode_input!T105*Index!$B$2</f>
        <v>0</v>
      </c>
      <c r="AS124" s="294">
        <f>TripMode_input!U105*Index!$B$2</f>
        <v>0</v>
      </c>
      <c r="AT124" s="160">
        <f>TripMode_input!V105*Index!$B$2</f>
        <v>4290</v>
      </c>
      <c r="AU124" s="160">
        <f>TripMode_input!W105*Index!$B$2</f>
        <v>2125</v>
      </c>
      <c r="AV124" s="294">
        <f>TripMode_input!X105*Index!$B$2</f>
        <v>0</v>
      </c>
      <c r="AW124" s="294">
        <f>TripMode_input!Y105*Index!$B$2</f>
        <v>0</v>
      </c>
      <c r="AX124" s="160">
        <f>TripMode_input!AA105*Index!$B$2</f>
        <v>120</v>
      </c>
      <c r="AY124" s="160">
        <f>TripMode_input!AB105*Index!$B$2</f>
        <v>0</v>
      </c>
      <c r="AZ124" s="160">
        <f>TripMode_input!AC105*Index!$B$2</f>
        <v>0</v>
      </c>
      <c r="BA124" s="160">
        <f>TripMode_input!AD105*Index!$B$2</f>
        <v>15</v>
      </c>
      <c r="BB124" s="294">
        <f>TripMode_input!AE105*Index!$B$2</f>
        <v>0</v>
      </c>
      <c r="BC124" s="162">
        <f t="shared" si="300"/>
        <v>6550</v>
      </c>
      <c r="BE124" s="107"/>
      <c r="BF124" s="166"/>
      <c r="BG124" s="166"/>
      <c r="BH124" s="166"/>
      <c r="BI124" s="166"/>
      <c r="BJ124" s="166"/>
      <c r="BK124" s="166"/>
      <c r="BL124" s="166"/>
      <c r="BM124" s="166"/>
      <c r="BN124" s="166"/>
      <c r="BO124" s="166"/>
      <c r="BP124" s="166"/>
      <c r="BQ124" s="166"/>
      <c r="BR124" s="166"/>
      <c r="BS124" s="166"/>
      <c r="BU124" s="107"/>
      <c r="BV124" s="166"/>
      <c r="BW124" s="166"/>
      <c r="BX124" s="166"/>
      <c r="BY124" s="166"/>
      <c r="BZ124" s="166"/>
      <c r="CA124" s="166"/>
      <c r="CB124" s="166"/>
      <c r="CC124" s="166"/>
      <c r="CD124" s="166"/>
      <c r="CE124" s="166"/>
      <c r="CF124" s="166"/>
      <c r="CG124" s="166"/>
      <c r="CH124" s="166"/>
      <c r="CI124" s="166"/>
      <c r="CK124" s="107" t="s">
        <v>391</v>
      </c>
      <c r="CL124" s="166"/>
      <c r="CM124" s="166"/>
      <c r="CN124" s="166"/>
      <c r="CO124" s="166"/>
      <c r="CP124" s="166"/>
      <c r="CQ124" s="166"/>
      <c r="CR124" s="166"/>
      <c r="CS124" s="166"/>
      <c r="CT124" s="166"/>
      <c r="CU124" s="166"/>
      <c r="CV124" s="166"/>
      <c r="CW124" s="166"/>
      <c r="CX124" s="166"/>
      <c r="CY124" s="168"/>
      <c r="DA124" s="107"/>
      <c r="DB124" s="315"/>
      <c r="DC124" s="315"/>
      <c r="DD124" s="315"/>
      <c r="DE124" s="315"/>
      <c r="DF124" s="314"/>
      <c r="DG124" s="314"/>
      <c r="DH124" s="315"/>
      <c r="DI124" s="315"/>
      <c r="DJ124" s="314"/>
      <c r="DK124" s="315"/>
      <c r="DL124" s="315"/>
      <c r="DM124" s="314"/>
      <c r="DN124" s="315"/>
      <c r="DO124" s="168"/>
      <c r="DQ124" s="107"/>
      <c r="DR124" s="315"/>
      <c r="DS124" s="315"/>
      <c r="DT124" s="315"/>
      <c r="DU124" s="315"/>
      <c r="DV124" s="314">
        <v>-0.42714072327608388</v>
      </c>
      <c r="DW124" s="314">
        <v>-0.42714072327608388</v>
      </c>
      <c r="DX124" s="315"/>
      <c r="DY124" s="315"/>
      <c r="DZ124" s="314">
        <v>-1.5741689633062852</v>
      </c>
      <c r="EA124" s="315"/>
      <c r="EB124" s="315"/>
      <c r="EC124" s="314">
        <v>-1.5741689633062852</v>
      </c>
      <c r="ED124" s="315"/>
      <c r="EE124" s="168"/>
      <c r="EG124" s="107"/>
      <c r="EH124" s="315"/>
      <c r="EI124" s="315"/>
      <c r="EJ124" s="315"/>
      <c r="EK124" s="315"/>
      <c r="EL124" s="314">
        <f>DV123+(DF123-DF$119)*$EI$1</f>
        <v>-0.51706987503542701</v>
      </c>
      <c r="EM124" s="314">
        <f>DV123+(DF123-DF$119)*$EI$1</f>
        <v>-0.51706987503542701</v>
      </c>
      <c r="EN124" s="315"/>
      <c r="EO124" s="315"/>
      <c r="EP124" s="314">
        <f>EC123+(DM123-DM$130)*$EI$1</f>
        <v>-1.6731718881768562</v>
      </c>
      <c r="EQ124" s="315"/>
      <c r="ER124" s="315"/>
      <c r="ES124" s="314">
        <f>EC123+(DM123-DM$130)*$EI$1</f>
        <v>-1.6731718881768562</v>
      </c>
      <c r="ET124" s="315"/>
      <c r="EU124" s="168"/>
      <c r="EW124" s="164" t="s">
        <v>391</v>
      </c>
      <c r="EX124" s="316">
        <f t="shared" si="309"/>
        <v>0</v>
      </c>
      <c r="EY124" s="316">
        <f t="shared" si="305"/>
        <v>0</v>
      </c>
      <c r="EZ124" s="316">
        <f t="shared" si="305"/>
        <v>17.471449927081288</v>
      </c>
      <c r="FA124" s="316">
        <f t="shared" si="305"/>
        <v>17.471449927081288</v>
      </c>
      <c r="FB124" s="316">
        <f t="shared" si="305"/>
        <v>-0.51706987503542701</v>
      </c>
      <c r="FC124" s="316">
        <f t="shared" si="305"/>
        <v>-0.51706987503542701</v>
      </c>
      <c r="FD124" s="316">
        <f t="shared" si="305"/>
        <v>-1.4191819951454636</v>
      </c>
      <c r="FE124" s="316">
        <f t="shared" si="305"/>
        <v>0</v>
      </c>
      <c r="FF124" s="316"/>
      <c r="FG124" s="316">
        <f t="shared" si="305"/>
        <v>0</v>
      </c>
      <c r="FH124" s="316">
        <f t="shared" si="305"/>
        <v>0</v>
      </c>
      <c r="FI124" s="316">
        <f t="shared" si="305"/>
        <v>0</v>
      </c>
      <c r="FJ124" s="316">
        <f t="shared" si="305"/>
        <v>0</v>
      </c>
      <c r="FK124" s="316">
        <f t="shared" si="305"/>
        <v>0</v>
      </c>
      <c r="FL124" s="168"/>
    </row>
    <row r="125" spans="2:168" x14ac:dyDescent="0.25">
      <c r="B125" s="107" t="s">
        <v>392</v>
      </c>
      <c r="C125" s="294"/>
      <c r="D125" s="294"/>
      <c r="E125" s="160">
        <f>TripMode_input!D106</f>
        <v>8511.7564000000002</v>
      </c>
      <c r="F125" s="160">
        <f>TripMode_input!E106</f>
        <v>0</v>
      </c>
      <c r="G125" s="160">
        <f>TripMode_input!F106</f>
        <v>6301.7991099999999</v>
      </c>
      <c r="H125" s="160">
        <f>TripMode_input!G106</f>
        <v>40.354320000000001</v>
      </c>
      <c r="I125" s="160">
        <f>TripMode_input!H106</f>
        <v>176119.46624000001</v>
      </c>
      <c r="J125" s="294"/>
      <c r="K125" s="160">
        <f>TripMode_input!J106+TripMode_input!K106</f>
        <v>9973.4272899999996</v>
      </c>
      <c r="L125" s="294"/>
      <c r="M125" s="294"/>
      <c r="N125" s="160">
        <f>TripMode_input!N106</f>
        <v>223.74852000000001</v>
      </c>
      <c r="O125" s="294"/>
      <c r="P125" s="162">
        <f t="shared" si="295"/>
        <v>201170.55187999998</v>
      </c>
      <c r="R125">
        <f t="shared" si="306"/>
        <v>0.15728624281164794</v>
      </c>
      <c r="S125">
        <f t="shared" si="307"/>
        <v>0</v>
      </c>
      <c r="T125">
        <f t="shared" si="308"/>
        <v>0</v>
      </c>
      <c r="Y125" s="107" t="s">
        <v>392</v>
      </c>
      <c r="Z125" s="294"/>
      <c r="AA125" s="294"/>
      <c r="AB125" s="160">
        <f>+E125</f>
        <v>8511.7564000000002</v>
      </c>
      <c r="AC125" s="160">
        <f>+F125</f>
        <v>0</v>
      </c>
      <c r="AD125" s="160">
        <f t="shared" si="297"/>
        <v>6301.7991099999999</v>
      </c>
      <c r="AE125" s="160">
        <f t="shared" si="298"/>
        <v>40.354320000000001</v>
      </c>
      <c r="AF125" s="160">
        <f>+I125</f>
        <v>176119.46624000001</v>
      </c>
      <c r="AG125" s="294"/>
      <c r="AH125" s="160">
        <f>AH127*R125</f>
        <v>10527.503789864588</v>
      </c>
      <c r="AI125" s="294"/>
      <c r="AJ125" s="294"/>
      <c r="AK125" s="160">
        <f>+N125</f>
        <v>223.74852000000001</v>
      </c>
      <c r="AL125" s="294"/>
      <c r="AM125" s="162">
        <f t="shared" si="299"/>
        <v>201724.62837986459</v>
      </c>
      <c r="AO125" s="107" t="s">
        <v>392</v>
      </c>
      <c r="AP125" s="294">
        <f>TripMode_input!R106*Index!$B$2</f>
        <v>0</v>
      </c>
      <c r="AQ125" s="294">
        <f>TripMode_input!S106*Index!$B$2</f>
        <v>0</v>
      </c>
      <c r="AR125" s="160">
        <f>TripMode_input!T106*Index!$B$2</f>
        <v>3780</v>
      </c>
      <c r="AS125" s="160">
        <f>TripMode_input!U106*Index!$B$2</f>
        <v>0</v>
      </c>
      <c r="AT125" s="160">
        <f>TripMode_input!V106*Index!$B$2</f>
        <v>2415</v>
      </c>
      <c r="AU125" s="160">
        <f>TripMode_input!W106*Index!$B$2</f>
        <v>0</v>
      </c>
      <c r="AV125" s="160">
        <f>TripMode_input!X106*Index!$B$2</f>
        <v>124060</v>
      </c>
      <c r="AW125" s="294">
        <f>TripMode_input!Y106*Index!$B$2</f>
        <v>0</v>
      </c>
      <c r="AX125" s="160">
        <f>TripMode_input!AA106*Index!$B$2</f>
        <v>360</v>
      </c>
      <c r="AY125" s="160">
        <f>TripMode_input!AB106*Index!$B$2</f>
        <v>0</v>
      </c>
      <c r="AZ125" s="160">
        <f>TripMode_input!AC106*Index!$B$2</f>
        <v>0</v>
      </c>
      <c r="BA125" s="160">
        <f>TripMode_input!AD106*Index!$B$2</f>
        <v>135</v>
      </c>
      <c r="BB125" s="294">
        <f>TripMode_input!AE106*Index!$B$2</f>
        <v>0</v>
      </c>
      <c r="BC125" s="162">
        <f t="shared" si="300"/>
        <v>130750</v>
      </c>
      <c r="BE125" s="107" t="s">
        <v>392</v>
      </c>
      <c r="BF125" s="166" t="str">
        <f t="shared" ref="BF125:BS132" si="314">IF(Z$132&gt;0,Z125/Z$132,"")</f>
        <v/>
      </c>
      <c r="BG125" s="166" t="str">
        <f t="shared" si="314"/>
        <v/>
      </c>
      <c r="BH125" s="166">
        <f t="shared" si="314"/>
        <v>5.4662078092319911E-3</v>
      </c>
      <c r="BI125" s="166">
        <f t="shared" si="314"/>
        <v>0</v>
      </c>
      <c r="BJ125" s="166">
        <f t="shared" si="314"/>
        <v>4.3711012959019475E-3</v>
      </c>
      <c r="BK125" s="166">
        <f t="shared" si="314"/>
        <v>9.8239251654069163E-4</v>
      </c>
      <c r="BL125" s="166">
        <f t="shared" si="314"/>
        <v>1</v>
      </c>
      <c r="BM125" s="166">
        <f t="shared" si="314"/>
        <v>0</v>
      </c>
      <c r="BN125" s="166">
        <f t="shared" si="314"/>
        <v>0.13161472499919977</v>
      </c>
      <c r="BO125" s="166">
        <f t="shared" si="314"/>
        <v>0</v>
      </c>
      <c r="BP125" s="166">
        <f t="shared" si="314"/>
        <v>0</v>
      </c>
      <c r="BQ125" s="166">
        <f t="shared" si="314"/>
        <v>5.6418928466669682E-2</v>
      </c>
      <c r="BR125" s="166" t="str">
        <f t="shared" si="314"/>
        <v/>
      </c>
      <c r="BS125" s="166">
        <f t="shared" si="314"/>
        <v>6.0703912389943132E-2</v>
      </c>
      <c r="BU125" s="107" t="s">
        <v>392</v>
      </c>
      <c r="BV125" s="166" t="str">
        <f t="shared" ref="BV125:BV132" si="315">IF(AP$132&gt;0,AP125/AP$132,"")</f>
        <v/>
      </c>
      <c r="BW125" s="166" t="str">
        <f t="shared" ref="BW125:BW132" si="316">IF(AQ$132&gt;0,AQ125/AQ$132,"")</f>
        <v/>
      </c>
      <c r="BX125" s="166">
        <f t="shared" ref="BX125:BX132" si="317">IF(AR$132&gt;0,AR125/AR$132,"")</f>
        <v>6.9046140357286378E-3</v>
      </c>
      <c r="BY125" s="166">
        <f t="shared" ref="BY125:BY132" si="318">IF(AS$132&gt;0,AS125/AS$132,"")</f>
        <v>0</v>
      </c>
      <c r="BZ125" s="166">
        <f t="shared" ref="BZ125:BZ132" si="319">IF(AT$132&gt;0,AT125/AT$132,"")</f>
        <v>6.4712344918138216E-3</v>
      </c>
      <c r="CA125" s="166">
        <f t="shared" ref="CA125:CA132" si="320">IF(AU$132&gt;0,AU125/AU$132,"")</f>
        <v>0</v>
      </c>
      <c r="CB125" s="166">
        <f t="shared" ref="CB125:CB132" si="321">IF(AV$132&gt;0,AV125/AV$132,"")</f>
        <v>1</v>
      </c>
      <c r="CC125" s="166">
        <f t="shared" ref="CC125:CC132" si="322">IF(AW$132&gt;0,AW125/AW$132,"")</f>
        <v>0</v>
      </c>
      <c r="CD125" s="166">
        <f t="shared" ref="CD125:CD132" si="323">IF(AX$132&gt;0,AX125/AX$132,"")</f>
        <v>1.9650655021834062E-2</v>
      </c>
      <c r="CE125" s="166">
        <f t="shared" ref="CE125:CE132" si="324">IF(AY$132&gt;0,AY125/AY$132,"")</f>
        <v>0</v>
      </c>
      <c r="CF125" s="166" t="str">
        <f t="shared" ref="CF125:CF132" si="325">IF(AZ$132&gt;0,AZ125/AZ$132,"")</f>
        <v/>
      </c>
      <c r="CG125" s="166">
        <f t="shared" ref="CG125:CG132" si="326">IF(BA$132&gt;0,BA125/BA$132,"")</f>
        <v>2.7835051546391754E-2</v>
      </c>
      <c r="CH125" s="166" t="str">
        <f t="shared" ref="CH125:CH132" si="327">IF(BB$132&gt;0,BB125/BB$132,"")</f>
        <v/>
      </c>
      <c r="CI125" s="168">
        <f t="shared" ref="CI125:CI132" si="328">IF(BC$132&gt;0,BC125/BC$132,"")</f>
        <v>0.11942166121695924</v>
      </c>
      <c r="CK125" s="107" t="s">
        <v>392</v>
      </c>
      <c r="CL125" s="166"/>
      <c r="CM125" s="166"/>
      <c r="CN125" s="166"/>
      <c r="CO125" s="166"/>
      <c r="CP125" s="166"/>
      <c r="CQ125" s="166"/>
      <c r="CR125" s="166"/>
      <c r="CS125" s="166"/>
      <c r="CT125" s="166"/>
      <c r="CU125" s="166"/>
      <c r="CV125" s="166"/>
      <c r="CW125" s="166"/>
      <c r="CX125" s="166"/>
      <c r="CY125" s="168"/>
      <c r="DA125" s="107" t="s">
        <v>392</v>
      </c>
      <c r="DB125" s="315"/>
      <c r="DC125" s="315"/>
      <c r="DD125" s="314">
        <f>IFERROR(IF(BX125&gt;0,LN(BH125/BX125),0),0)</f>
        <v>-0.23360478364917683</v>
      </c>
      <c r="DE125" s="314">
        <f>IFERROR(IF(BY125&gt;0,LN(BI125/BY125),0),0)</f>
        <v>0</v>
      </c>
      <c r="DF125" s="314">
        <f>IFERROR(IF(BZ125&gt;0,LN(BJ125/BZ125),0),0)</f>
        <v>-0.39235190260669756</v>
      </c>
      <c r="DG125" s="314">
        <f>IFERROR(IF(CA125&gt;0,LN(BK125/CA125),0),0)</f>
        <v>0</v>
      </c>
      <c r="DH125" s="314">
        <f>IFERROR(IF(CB125&gt;0,LN(BL125/CB125),0),0)</f>
        <v>0</v>
      </c>
      <c r="DI125" s="315"/>
      <c r="DJ125" s="314">
        <f t="shared" ref="DJ125:DJ130" si="329">IFERROR(IF(CD125&gt;0,LN(BN125/CD125),0),0)</f>
        <v>1.9017682325187757</v>
      </c>
      <c r="DK125" s="315"/>
      <c r="DL125" s="315"/>
      <c r="DM125" s="314">
        <f>IFERROR(IF(CG125&gt;0,LN(BQ125/CG125),0),0)</f>
        <v>0.70650863982132861</v>
      </c>
      <c r="DN125" s="315"/>
      <c r="DO125" s="168"/>
      <c r="DQ125" s="107" t="s">
        <v>392</v>
      </c>
      <c r="DR125" s="315"/>
      <c r="DS125" s="315"/>
      <c r="DT125" s="314">
        <v>-1.6928937365836194</v>
      </c>
      <c r="DU125" s="314">
        <v>-1.6928937365836194</v>
      </c>
      <c r="DV125" s="314">
        <v>-1.0268300925387661</v>
      </c>
      <c r="DW125" s="314">
        <v>-1.0268300925387661</v>
      </c>
      <c r="DX125" s="314">
        <v>0</v>
      </c>
      <c r="DY125" s="315"/>
      <c r="DZ125" s="314">
        <v>5.4878916806718472</v>
      </c>
      <c r="EA125" s="315"/>
      <c r="EB125" s="315"/>
      <c r="EC125" s="314">
        <v>5.4878916806718472</v>
      </c>
      <c r="ED125" s="315"/>
      <c r="EE125" s="168"/>
      <c r="EG125" s="107" t="s">
        <v>392</v>
      </c>
      <c r="EH125" s="315"/>
      <c r="EI125" s="315"/>
      <c r="EJ125" s="314">
        <f>DT125+(DD125-DD$119)*$EI$1</f>
        <v>-1.9264985202327962</v>
      </c>
      <c r="EK125" s="314">
        <f>DT125+(DD125-DD$119)*$EI$1</f>
        <v>-1.9264985202327962</v>
      </c>
      <c r="EL125" s="314">
        <f>DV125+(DF125-DF$119)*$EI$1</f>
        <v>-1.4191819951454636</v>
      </c>
      <c r="EM125" s="314">
        <f>DV125+(DF125-DF$119)*$EI$1</f>
        <v>-1.4191819951454636</v>
      </c>
      <c r="EN125" s="314">
        <v>0</v>
      </c>
      <c r="EO125" s="315"/>
      <c r="EP125" s="314">
        <f>EC125+(DM125-DM$130)*$EI$1</f>
        <v>6.0953973956226051</v>
      </c>
      <c r="EQ125" s="315"/>
      <c r="ER125" s="315"/>
      <c r="ES125" s="314">
        <f>EC125+(DM125-DM$130)*$EI$1</f>
        <v>6.0953973956226051</v>
      </c>
      <c r="ET125" s="315"/>
      <c r="EU125" s="168"/>
      <c r="EW125" s="164" t="s">
        <v>392</v>
      </c>
      <c r="EX125" s="316">
        <f t="shared" si="309"/>
        <v>0</v>
      </c>
      <c r="EY125" s="316">
        <f t="shared" si="305"/>
        <v>0</v>
      </c>
      <c r="EZ125" s="316">
        <f t="shared" si="305"/>
        <v>0</v>
      </c>
      <c r="FA125" s="316">
        <f t="shared" si="305"/>
        <v>0</v>
      </c>
      <c r="FB125" s="316">
        <f t="shared" si="305"/>
        <v>0</v>
      </c>
      <c r="FC125" s="316">
        <f t="shared" si="305"/>
        <v>0</v>
      </c>
      <c r="FD125" s="316">
        <f t="shared" si="305"/>
        <v>0</v>
      </c>
      <c r="FE125" s="316">
        <f t="shared" si="305"/>
        <v>0</v>
      </c>
      <c r="FF125" s="316"/>
      <c r="FG125" s="316">
        <f t="shared" si="305"/>
        <v>0</v>
      </c>
      <c r="FH125" s="316">
        <f t="shared" si="305"/>
        <v>0</v>
      </c>
      <c r="FI125" s="316">
        <f t="shared" si="305"/>
        <v>0</v>
      </c>
      <c r="FJ125" s="316">
        <f t="shared" si="305"/>
        <v>0</v>
      </c>
      <c r="FK125" s="316">
        <f t="shared" si="305"/>
        <v>0</v>
      </c>
      <c r="FL125" s="168"/>
    </row>
    <row r="126" spans="2:168" x14ac:dyDescent="0.25">
      <c r="B126" s="107" t="s">
        <v>393</v>
      </c>
      <c r="C126" s="294"/>
      <c r="D126" s="294"/>
      <c r="E126" s="294"/>
      <c r="F126" s="294"/>
      <c r="G126" s="294"/>
      <c r="H126" s="294"/>
      <c r="I126" s="294"/>
      <c r="J126" s="160">
        <f>TripMode_input!I107</f>
        <v>3445.8493199999998</v>
      </c>
      <c r="K126" s="294"/>
      <c r="L126" s="294"/>
      <c r="M126" s="294"/>
      <c r="N126" s="294"/>
      <c r="O126" s="294"/>
      <c r="P126" s="162">
        <f t="shared" si="295"/>
        <v>3445.8493199999998</v>
      </c>
      <c r="R126">
        <f t="shared" si="306"/>
        <v>0</v>
      </c>
      <c r="S126">
        <f t="shared" si="307"/>
        <v>0</v>
      </c>
      <c r="T126">
        <f t="shared" si="308"/>
        <v>0</v>
      </c>
      <c r="Y126" s="107" t="s">
        <v>393</v>
      </c>
      <c r="Z126" s="294"/>
      <c r="AA126" s="294"/>
      <c r="AB126" s="294"/>
      <c r="AC126" s="294"/>
      <c r="AD126" s="294"/>
      <c r="AE126" s="294"/>
      <c r="AF126" s="294"/>
      <c r="AG126" s="160">
        <f>+J126</f>
        <v>3445.8493199999998</v>
      </c>
      <c r="AH126" s="294"/>
      <c r="AI126" s="294"/>
      <c r="AJ126" s="294"/>
      <c r="AK126" s="294"/>
      <c r="AL126" s="294"/>
      <c r="AM126" s="162">
        <f t="shared" si="299"/>
        <v>3445.8493199999998</v>
      </c>
      <c r="AO126" s="107" t="s">
        <v>393</v>
      </c>
      <c r="AP126" s="294">
        <f>TripMode_input!R107*Index!$B$2</f>
        <v>0</v>
      </c>
      <c r="AQ126" s="294">
        <f>TripMode_input!S107*Index!$B$2</f>
        <v>0</v>
      </c>
      <c r="AR126" s="294">
        <f>TripMode_input!T107*Index!$B$2</f>
        <v>0</v>
      </c>
      <c r="AS126" s="294">
        <f>TripMode_input!U107*Index!$B$2</f>
        <v>0</v>
      </c>
      <c r="AT126" s="294">
        <f>TripMode_input!V107*Index!$B$2</f>
        <v>0</v>
      </c>
      <c r="AU126" s="294">
        <f>TripMode_input!W107*Index!$B$2</f>
        <v>0</v>
      </c>
      <c r="AV126" s="294">
        <f>TripMode_input!X107*Index!$B$2</f>
        <v>0</v>
      </c>
      <c r="AW126" s="160">
        <f>TripMode_input!Y107*Index!$B$2</f>
        <v>1590</v>
      </c>
      <c r="AX126" s="294">
        <f>TripMode_input!AA107*Index!$B$2</f>
        <v>0</v>
      </c>
      <c r="AY126" s="294">
        <f>TripMode_input!AB107*Index!$B$2</f>
        <v>0</v>
      </c>
      <c r="AZ126" s="294">
        <f>TripMode_input!AC107*Index!$B$2</f>
        <v>0</v>
      </c>
      <c r="BA126" s="294">
        <f>TripMode_input!AD107*Index!$B$2</f>
        <v>0</v>
      </c>
      <c r="BB126" s="294">
        <f>TripMode_input!AE107*Index!$B$2</f>
        <v>0</v>
      </c>
      <c r="BC126" s="162">
        <f t="shared" si="300"/>
        <v>1590</v>
      </c>
      <c r="BE126" s="107" t="s">
        <v>393</v>
      </c>
      <c r="BF126" s="166" t="str">
        <f t="shared" si="314"/>
        <v/>
      </c>
      <c r="BG126" s="166" t="str">
        <f t="shared" si="314"/>
        <v/>
      </c>
      <c r="BH126" s="166">
        <f t="shared" si="314"/>
        <v>0</v>
      </c>
      <c r="BI126" s="166">
        <f t="shared" si="314"/>
        <v>0</v>
      </c>
      <c r="BJ126" s="166">
        <f t="shared" si="314"/>
        <v>0</v>
      </c>
      <c r="BK126" s="166">
        <f t="shared" si="314"/>
        <v>0</v>
      </c>
      <c r="BL126" s="166">
        <f t="shared" si="314"/>
        <v>0</v>
      </c>
      <c r="BM126" s="166">
        <f t="shared" si="314"/>
        <v>1</v>
      </c>
      <c r="BN126" s="166">
        <f t="shared" si="314"/>
        <v>0</v>
      </c>
      <c r="BO126" s="166">
        <f t="shared" si="314"/>
        <v>0</v>
      </c>
      <c r="BP126" s="166">
        <f t="shared" si="314"/>
        <v>0</v>
      </c>
      <c r="BQ126" s="166">
        <f t="shared" si="314"/>
        <v>0</v>
      </c>
      <c r="BR126" s="166" t="str">
        <f t="shared" si="314"/>
        <v/>
      </c>
      <c r="BS126" s="166">
        <f t="shared" si="314"/>
        <v>1.036940986880035E-3</v>
      </c>
      <c r="BU126" s="107" t="s">
        <v>393</v>
      </c>
      <c r="BV126" s="166" t="str">
        <f t="shared" si="315"/>
        <v/>
      </c>
      <c r="BW126" s="166" t="str">
        <f t="shared" si="316"/>
        <v/>
      </c>
      <c r="BX126" s="166">
        <f t="shared" si="317"/>
        <v>0</v>
      </c>
      <c r="BY126" s="166">
        <f t="shared" si="318"/>
        <v>0</v>
      </c>
      <c r="BZ126" s="166">
        <f t="shared" si="319"/>
        <v>0</v>
      </c>
      <c r="CA126" s="166">
        <f t="shared" si="320"/>
        <v>0</v>
      </c>
      <c r="CB126" s="166">
        <f t="shared" si="321"/>
        <v>0</v>
      </c>
      <c r="CC126" s="166">
        <f t="shared" si="322"/>
        <v>1</v>
      </c>
      <c r="CD126" s="166">
        <f t="shared" si="323"/>
        <v>0</v>
      </c>
      <c r="CE126" s="166">
        <f t="shared" si="324"/>
        <v>0</v>
      </c>
      <c r="CF126" s="166" t="str">
        <f t="shared" si="325"/>
        <v/>
      </c>
      <c r="CG126" s="166">
        <f t="shared" si="326"/>
        <v>0</v>
      </c>
      <c r="CH126" s="166" t="str">
        <f t="shared" si="327"/>
        <v/>
      </c>
      <c r="CI126" s="168">
        <f t="shared" si="328"/>
        <v>1.4522404691010723E-3</v>
      </c>
      <c r="CK126" s="107" t="s">
        <v>393</v>
      </c>
      <c r="CL126" s="166"/>
      <c r="CM126" s="166"/>
      <c r="CN126" s="166"/>
      <c r="CO126" s="166"/>
      <c r="CP126" s="166"/>
      <c r="CQ126" s="166"/>
      <c r="CR126" s="166"/>
      <c r="CS126" s="166"/>
      <c r="CT126" s="166"/>
      <c r="CU126" s="166"/>
      <c r="CV126" s="166"/>
      <c r="CW126" s="166"/>
      <c r="CX126" s="166"/>
      <c r="CY126" s="168"/>
      <c r="DA126" s="107" t="s">
        <v>393</v>
      </c>
      <c r="DB126" s="315"/>
      <c r="DC126" s="315"/>
      <c r="DD126" s="315"/>
      <c r="DE126" s="315"/>
      <c r="DF126" s="315"/>
      <c r="DG126" s="315"/>
      <c r="DH126" s="315"/>
      <c r="DI126" s="314">
        <f>IFERROR(IF(CC126&gt;0,LN(BM126/CC126),0),0)</f>
        <v>0</v>
      </c>
      <c r="DJ126" s="315"/>
      <c r="DK126" s="315"/>
      <c r="DL126" s="315"/>
      <c r="DM126" s="315"/>
      <c r="DN126" s="315"/>
      <c r="DO126" s="168"/>
      <c r="DQ126" s="107" t="s">
        <v>393</v>
      </c>
      <c r="DR126" s="315"/>
      <c r="DS126" s="315"/>
      <c r="DT126" s="315"/>
      <c r="DU126" s="315"/>
      <c r="DV126" s="315"/>
      <c r="DW126" s="315"/>
      <c r="DX126" s="315"/>
      <c r="DY126" s="314">
        <v>0</v>
      </c>
      <c r="DZ126" s="315"/>
      <c r="EA126" s="315"/>
      <c r="EB126" s="315"/>
      <c r="EC126" s="315"/>
      <c r="ED126" s="315"/>
      <c r="EE126" s="168"/>
      <c r="EG126" s="107" t="s">
        <v>393</v>
      </c>
      <c r="EH126" s="315"/>
      <c r="EI126" s="315"/>
      <c r="EJ126" s="315"/>
      <c r="EK126" s="315"/>
      <c r="EL126" s="315"/>
      <c r="EM126" s="315"/>
      <c r="EN126" s="315"/>
      <c r="EO126" s="314">
        <v>0</v>
      </c>
      <c r="EP126" s="315"/>
      <c r="EQ126" s="315"/>
      <c r="ER126" s="315"/>
      <c r="ES126" s="315"/>
      <c r="ET126" s="315"/>
      <c r="EU126" s="168"/>
      <c r="EW126" s="164" t="s">
        <v>393</v>
      </c>
      <c r="EX126" s="316">
        <f t="shared" si="309"/>
        <v>0</v>
      </c>
      <c r="EY126" s="316">
        <f t="shared" si="305"/>
        <v>0</v>
      </c>
      <c r="EZ126" s="316">
        <f t="shared" si="305"/>
        <v>0</v>
      </c>
      <c r="FA126" s="316">
        <f t="shared" si="305"/>
        <v>0</v>
      </c>
      <c r="FB126" s="316">
        <f t="shared" si="305"/>
        <v>0</v>
      </c>
      <c r="FC126" s="316">
        <f t="shared" si="305"/>
        <v>0</v>
      </c>
      <c r="FD126" s="316">
        <f t="shared" si="305"/>
        <v>0</v>
      </c>
      <c r="FE126" s="316">
        <f t="shared" si="305"/>
        <v>0</v>
      </c>
      <c r="FF126" s="316"/>
      <c r="FG126" s="316">
        <f t="shared" si="305"/>
        <v>0</v>
      </c>
      <c r="FH126" s="316">
        <f t="shared" si="305"/>
        <v>0</v>
      </c>
      <c r="FI126" s="316">
        <f t="shared" si="305"/>
        <v>0</v>
      </c>
      <c r="FJ126" s="316">
        <f t="shared" si="305"/>
        <v>0</v>
      </c>
      <c r="FK126" s="316">
        <f t="shared" si="305"/>
        <v>0</v>
      </c>
      <c r="FL126" s="168"/>
    </row>
    <row r="127" spans="2:168" x14ac:dyDescent="0.25">
      <c r="B127" s="107" t="s">
        <v>546</v>
      </c>
      <c r="C127" s="294"/>
      <c r="D127" s="294"/>
      <c r="E127" s="294"/>
      <c r="F127" s="294"/>
      <c r="G127" s="294"/>
      <c r="H127" s="294"/>
      <c r="I127" s="294"/>
      <c r="J127" s="294"/>
      <c r="K127" s="160">
        <f>TripMode_input!J109+TripMode_input!K109+TripMode_input!J108+TripMode_input!K108</f>
        <v>63409.406389999996</v>
      </c>
      <c r="L127" s="294"/>
      <c r="M127" s="294"/>
      <c r="N127" s="294"/>
      <c r="O127" s="294"/>
      <c r="P127" s="162">
        <f t="shared" si="295"/>
        <v>63409.406389999996</v>
      </c>
      <c r="R127">
        <f t="shared" si="306"/>
        <v>1</v>
      </c>
      <c r="S127">
        <f t="shared" si="307"/>
        <v>0</v>
      </c>
      <c r="T127">
        <f t="shared" si="308"/>
        <v>0</v>
      </c>
      <c r="U127" s="127">
        <f>+K127/K$159</f>
        <v>5.0402036822926648E-2</v>
      </c>
      <c r="V127" s="127"/>
      <c r="W127" s="127"/>
      <c r="X127" s="127"/>
      <c r="Y127" s="107" t="s">
        <v>546</v>
      </c>
      <c r="Z127" s="294"/>
      <c r="AA127" s="294"/>
      <c r="AB127" s="294"/>
      <c r="AC127" s="294"/>
      <c r="AD127" s="294"/>
      <c r="AE127" s="294"/>
      <c r="AF127" s="294"/>
      <c r="AG127" s="294"/>
      <c r="AH127" s="160">
        <f>U127*U$159</f>
        <v>66932.133425498585</v>
      </c>
      <c r="AI127" s="294"/>
      <c r="AJ127" s="294"/>
      <c r="AK127" s="294"/>
      <c r="AL127" s="294"/>
      <c r="AM127" s="162">
        <f t="shared" si="299"/>
        <v>66932.133425498585</v>
      </c>
      <c r="AN127" s="127"/>
      <c r="AO127" s="107" t="s">
        <v>395</v>
      </c>
      <c r="AP127" s="294">
        <f>TripMode_input!R109*Index!$B$2</f>
        <v>0</v>
      </c>
      <c r="AQ127" s="294">
        <f>TripMode_input!S109*Index!$B$2</f>
        <v>0</v>
      </c>
      <c r="AR127" s="294">
        <f>TripMode_input!T109*Index!$B$2</f>
        <v>0</v>
      </c>
      <c r="AS127" s="294">
        <f>TripMode_input!U109*Index!$B$2</f>
        <v>0</v>
      </c>
      <c r="AT127" s="294">
        <f>TripMode_input!V109*Index!$B$2</f>
        <v>0</v>
      </c>
      <c r="AU127" s="294">
        <f>TripMode_input!W109*Index!$B$2</f>
        <v>0</v>
      </c>
      <c r="AV127" s="294">
        <f>TripMode_input!X109*Index!$B$2</f>
        <v>0</v>
      </c>
      <c r="AW127" s="294">
        <f>TripMode_input!Y109*Index!$B$2</f>
        <v>0</v>
      </c>
      <c r="AX127" s="160">
        <f>TripMode_input!AA109*Index!$B$2</f>
        <v>16095</v>
      </c>
      <c r="AY127" s="160">
        <f>TripMode_input!AB109*Index!$B$2</f>
        <v>0</v>
      </c>
      <c r="AZ127" s="160">
        <f>TripMode_input!AC109*Index!$B$2</f>
        <v>0</v>
      </c>
      <c r="BA127" s="294">
        <f>TripMode_input!AD109*Index!$B$2</f>
        <v>0</v>
      </c>
      <c r="BB127" s="294">
        <f>TripMode_input!AE109*Index!$B$2</f>
        <v>0</v>
      </c>
      <c r="BC127" s="162">
        <f t="shared" si="300"/>
        <v>16095</v>
      </c>
      <c r="BE127" s="107" t="s">
        <v>395</v>
      </c>
      <c r="BF127" s="166" t="str">
        <f t="shared" si="314"/>
        <v/>
      </c>
      <c r="BG127" s="166" t="str">
        <f t="shared" si="314"/>
        <v/>
      </c>
      <c r="BH127" s="166">
        <f t="shared" si="314"/>
        <v>0</v>
      </c>
      <c r="BI127" s="166">
        <f t="shared" si="314"/>
        <v>0</v>
      </c>
      <c r="BJ127" s="166">
        <f t="shared" si="314"/>
        <v>0</v>
      </c>
      <c r="BK127" s="166">
        <f t="shared" si="314"/>
        <v>0</v>
      </c>
      <c r="BL127" s="166">
        <f t="shared" si="314"/>
        <v>0</v>
      </c>
      <c r="BM127" s="166">
        <f t="shared" si="314"/>
        <v>0</v>
      </c>
      <c r="BN127" s="166">
        <f t="shared" si="314"/>
        <v>0.83678472221381683</v>
      </c>
      <c r="BO127" s="166">
        <f t="shared" si="314"/>
        <v>0</v>
      </c>
      <c r="BP127" s="166">
        <f t="shared" si="314"/>
        <v>0</v>
      </c>
      <c r="BQ127" s="166">
        <f t="shared" si="314"/>
        <v>0</v>
      </c>
      <c r="BR127" s="166" t="str">
        <f t="shared" si="314"/>
        <v/>
      </c>
      <c r="BS127" s="166">
        <f t="shared" si="314"/>
        <v>2.0141528558835151E-2</v>
      </c>
      <c r="BU127" s="107" t="s">
        <v>395</v>
      </c>
      <c r="BV127" s="166" t="str">
        <f t="shared" si="315"/>
        <v/>
      </c>
      <c r="BW127" s="166" t="str">
        <f t="shared" si="316"/>
        <v/>
      </c>
      <c r="BX127" s="166">
        <f t="shared" si="317"/>
        <v>0</v>
      </c>
      <c r="BY127" s="166">
        <f t="shared" si="318"/>
        <v>0</v>
      </c>
      <c r="BZ127" s="166">
        <f t="shared" si="319"/>
        <v>0</v>
      </c>
      <c r="CA127" s="166">
        <f t="shared" si="320"/>
        <v>0</v>
      </c>
      <c r="CB127" s="166">
        <f t="shared" si="321"/>
        <v>0</v>
      </c>
      <c r="CC127" s="166">
        <f t="shared" si="322"/>
        <v>0</v>
      </c>
      <c r="CD127" s="166">
        <f t="shared" si="323"/>
        <v>0.87854803493449785</v>
      </c>
      <c r="CE127" s="166">
        <f t="shared" si="324"/>
        <v>0</v>
      </c>
      <c r="CF127" s="166" t="str">
        <f t="shared" si="325"/>
        <v/>
      </c>
      <c r="CG127" s="166">
        <f t="shared" si="326"/>
        <v>0</v>
      </c>
      <c r="CH127" s="166" t="str">
        <f t="shared" si="327"/>
        <v/>
      </c>
      <c r="CI127" s="168">
        <f t="shared" si="328"/>
        <v>1.4700509654202363E-2</v>
      </c>
      <c r="CK127" s="107" t="s">
        <v>395</v>
      </c>
      <c r="CL127" s="166" t="str">
        <f t="shared" ref="CL127:CO132" si="330">IF(OR(ISNA(BF127),BF127=0,BF127=""),"",(BV127-BF127)/BF127)</f>
        <v/>
      </c>
      <c r="CM127" s="166" t="str">
        <f t="shared" si="330"/>
        <v/>
      </c>
      <c r="CN127" s="166" t="str">
        <f t="shared" si="330"/>
        <v/>
      </c>
      <c r="CO127" s="166" t="str">
        <f t="shared" si="330"/>
        <v/>
      </c>
      <c r="CP127" s="166"/>
      <c r="CQ127" s="166"/>
      <c r="CR127" s="166"/>
      <c r="CS127" s="166"/>
      <c r="CT127" s="166">
        <f t="shared" ref="CT127:CY132" si="331">IF(OR(ISNA(BN127),BN127=0,BN127=""),"",(CD127-BN127)/BN127)</f>
        <v>4.9909267714868207E-2</v>
      </c>
      <c r="CU127" s="166" t="str">
        <f t="shared" si="331"/>
        <v/>
      </c>
      <c r="CV127" s="166" t="str">
        <f t="shared" si="331"/>
        <v/>
      </c>
      <c r="CW127" s="166" t="str">
        <f t="shared" si="331"/>
        <v/>
      </c>
      <c r="CX127" s="166" t="str">
        <f t="shared" si="331"/>
        <v/>
      </c>
      <c r="CY127" s="168">
        <f t="shared" si="331"/>
        <v>-0.27013932377272659</v>
      </c>
      <c r="DA127" s="107" t="s">
        <v>395</v>
      </c>
      <c r="DB127" s="315"/>
      <c r="DC127" s="315"/>
      <c r="DD127" s="315"/>
      <c r="DE127" s="315"/>
      <c r="DF127" s="315"/>
      <c r="DG127" s="315"/>
      <c r="DH127" s="315"/>
      <c r="DI127" s="315"/>
      <c r="DJ127" s="314">
        <f t="shared" si="329"/>
        <v>-4.8703748735600474E-2</v>
      </c>
      <c r="DK127" s="315"/>
      <c r="DL127" s="315"/>
      <c r="DM127" s="315"/>
      <c r="DN127" s="315"/>
      <c r="DO127" s="168"/>
      <c r="DQ127" s="107" t="s">
        <v>395</v>
      </c>
      <c r="DR127" s="315"/>
      <c r="DS127" s="315"/>
      <c r="DT127" s="315"/>
      <c r="DU127" s="315"/>
      <c r="DV127" s="315"/>
      <c r="DW127" s="315"/>
      <c r="DX127" s="315"/>
      <c r="DY127" s="315"/>
      <c r="DZ127" s="314">
        <v>0</v>
      </c>
      <c r="EA127" s="315"/>
      <c r="EB127" s="315"/>
      <c r="EC127" s="315"/>
      <c r="ED127" s="315"/>
      <c r="EE127" s="168"/>
      <c r="EG127" s="107" t="s">
        <v>395</v>
      </c>
      <c r="EH127" s="315"/>
      <c r="EI127" s="315"/>
      <c r="EJ127" s="315"/>
      <c r="EK127" s="315"/>
      <c r="EL127" s="315"/>
      <c r="EM127" s="315"/>
      <c r="EN127" s="315"/>
      <c r="EO127" s="315"/>
      <c r="EP127" s="314">
        <v>0</v>
      </c>
      <c r="EQ127" s="315"/>
      <c r="ER127" s="315"/>
      <c r="ES127" s="315"/>
      <c r="ET127" s="315"/>
      <c r="EU127" s="168"/>
      <c r="EW127" s="164" t="s">
        <v>546</v>
      </c>
      <c r="EX127" s="316">
        <f t="shared" si="309"/>
        <v>0</v>
      </c>
      <c r="EY127" s="316">
        <f t="shared" si="305"/>
        <v>0</v>
      </c>
      <c r="EZ127" s="316">
        <f t="shared" si="305"/>
        <v>-1.6731718881768562</v>
      </c>
      <c r="FA127" s="316">
        <f t="shared" si="305"/>
        <v>-1.6731718881768562</v>
      </c>
      <c r="FB127" s="316">
        <f t="shared" si="305"/>
        <v>-1.6731718881768562</v>
      </c>
      <c r="FC127" s="316">
        <f t="shared" si="305"/>
        <v>-1.6731718881768562</v>
      </c>
      <c r="FD127" s="316">
        <f t="shared" si="305"/>
        <v>6.0953973956226051</v>
      </c>
      <c r="FE127" s="316">
        <f t="shared" si="305"/>
        <v>0</v>
      </c>
      <c r="FF127" s="316"/>
      <c r="FG127" s="316">
        <f t="shared" si="305"/>
        <v>0</v>
      </c>
      <c r="FH127" s="316">
        <f t="shared" si="305"/>
        <v>0</v>
      </c>
      <c r="FI127" s="316">
        <f t="shared" si="305"/>
        <v>0</v>
      </c>
      <c r="FJ127" s="316">
        <f t="shared" si="305"/>
        <v>0</v>
      </c>
      <c r="FK127" s="316">
        <f t="shared" si="305"/>
        <v>0</v>
      </c>
      <c r="FL127" s="168"/>
    </row>
    <row r="128" spans="2:168" x14ac:dyDescent="0.25">
      <c r="B128" s="107" t="s">
        <v>396</v>
      </c>
      <c r="C128" s="294"/>
      <c r="D128" s="294"/>
      <c r="E128" s="294"/>
      <c r="F128" s="294"/>
      <c r="G128" s="294"/>
      <c r="H128" s="294"/>
      <c r="I128" s="294"/>
      <c r="J128" s="294"/>
      <c r="K128" s="294"/>
      <c r="L128" s="160">
        <f>TripMode_input!L110</f>
        <v>6189.4277199999997</v>
      </c>
      <c r="M128" s="294"/>
      <c r="N128" s="294"/>
      <c r="O128" s="294"/>
      <c r="P128" s="162">
        <f t="shared" si="295"/>
        <v>6189.4277199999997</v>
      </c>
      <c r="R128">
        <f t="shared" si="306"/>
        <v>0</v>
      </c>
      <c r="S128">
        <f t="shared" si="307"/>
        <v>1</v>
      </c>
      <c r="T128">
        <f t="shared" si="308"/>
        <v>0</v>
      </c>
      <c r="V128" s="127">
        <f>+L128/L$160</f>
        <v>6.0946255591863445E-2</v>
      </c>
      <c r="W128" s="127"/>
      <c r="X128" s="127"/>
      <c r="Y128" s="107" t="s">
        <v>396</v>
      </c>
      <c r="Z128" s="294"/>
      <c r="AA128" s="294"/>
      <c r="AB128" s="294"/>
      <c r="AC128" s="294"/>
      <c r="AD128" s="294"/>
      <c r="AE128" s="294"/>
      <c r="AF128" s="294"/>
      <c r="AG128" s="294"/>
      <c r="AH128" s="294"/>
      <c r="AI128" s="160">
        <f>V128*V$160</f>
        <v>4171.9012972348655</v>
      </c>
      <c r="AJ128" s="294"/>
      <c r="AK128" s="294"/>
      <c r="AL128" s="294"/>
      <c r="AM128" s="162">
        <f t="shared" si="299"/>
        <v>4171.9012972348655</v>
      </c>
      <c r="AN128" s="127"/>
      <c r="AO128" s="107" t="s">
        <v>396</v>
      </c>
      <c r="AP128" s="294">
        <f>TripMode_input!R110*Index!$B$2</f>
        <v>0</v>
      </c>
      <c r="AQ128" s="294">
        <f>TripMode_input!S110*Index!$B$2</f>
        <v>0</v>
      </c>
      <c r="AR128" s="294">
        <f>TripMode_input!T110*Index!$B$2</f>
        <v>0</v>
      </c>
      <c r="AS128" s="294">
        <f>TripMode_input!U110*Index!$B$2</f>
        <v>0</v>
      </c>
      <c r="AT128" s="294">
        <f>TripMode_input!V110*Index!$B$2</f>
        <v>0</v>
      </c>
      <c r="AU128" s="294">
        <f>TripMode_input!W110*Index!$B$2</f>
        <v>0</v>
      </c>
      <c r="AV128" s="294">
        <f>TripMode_input!X110*Index!$B$2</f>
        <v>0</v>
      </c>
      <c r="AW128" s="294">
        <f>TripMode_input!Y110*Index!$B$2</f>
        <v>0</v>
      </c>
      <c r="AX128" s="294">
        <f>TripMode_input!AA110*Index!$B$2</f>
        <v>0</v>
      </c>
      <c r="AY128" s="160">
        <f>TripMode_input!AB110*Index!$B$2</f>
        <v>980</v>
      </c>
      <c r="AZ128" s="294">
        <f>TripMode_input!AC110*Index!$B$2</f>
        <v>0</v>
      </c>
      <c r="BA128" s="294">
        <f>TripMode_input!AD110*Index!$B$2</f>
        <v>0</v>
      </c>
      <c r="BB128" s="294">
        <f>TripMode_input!AE110*Index!$B$2</f>
        <v>0</v>
      </c>
      <c r="BC128" s="162">
        <f t="shared" si="300"/>
        <v>980</v>
      </c>
      <c r="BE128" s="107" t="s">
        <v>396</v>
      </c>
      <c r="BF128" s="166" t="str">
        <f t="shared" si="314"/>
        <v/>
      </c>
      <c r="BG128" s="166" t="str">
        <f t="shared" si="314"/>
        <v/>
      </c>
      <c r="BH128" s="166">
        <f t="shared" si="314"/>
        <v>0</v>
      </c>
      <c r="BI128" s="166">
        <f t="shared" si="314"/>
        <v>0</v>
      </c>
      <c r="BJ128" s="166">
        <f t="shared" si="314"/>
        <v>0</v>
      </c>
      <c r="BK128" s="166">
        <f t="shared" si="314"/>
        <v>0</v>
      </c>
      <c r="BL128" s="166">
        <f t="shared" si="314"/>
        <v>0</v>
      </c>
      <c r="BM128" s="166">
        <f t="shared" si="314"/>
        <v>0</v>
      </c>
      <c r="BN128" s="166">
        <f t="shared" si="314"/>
        <v>0</v>
      </c>
      <c r="BO128" s="166">
        <f t="shared" si="314"/>
        <v>1</v>
      </c>
      <c r="BP128" s="166">
        <f t="shared" si="314"/>
        <v>0</v>
      </c>
      <c r="BQ128" s="166">
        <f t="shared" si="314"/>
        <v>0</v>
      </c>
      <c r="BR128" s="166" t="str">
        <f t="shared" si="314"/>
        <v/>
      </c>
      <c r="BS128" s="166">
        <f t="shared" si="314"/>
        <v>1.2554279211259361E-3</v>
      </c>
      <c r="BU128" s="107" t="s">
        <v>396</v>
      </c>
      <c r="BV128" s="166" t="str">
        <f t="shared" si="315"/>
        <v/>
      </c>
      <c r="BW128" s="166" t="str">
        <f t="shared" si="316"/>
        <v/>
      </c>
      <c r="BX128" s="166">
        <f t="shared" si="317"/>
        <v>0</v>
      </c>
      <c r="BY128" s="166">
        <f t="shared" si="318"/>
        <v>0</v>
      </c>
      <c r="BZ128" s="166">
        <f t="shared" si="319"/>
        <v>0</v>
      </c>
      <c r="CA128" s="166">
        <f t="shared" si="320"/>
        <v>0</v>
      </c>
      <c r="CB128" s="166">
        <f t="shared" si="321"/>
        <v>0</v>
      </c>
      <c r="CC128" s="166">
        <f t="shared" si="322"/>
        <v>0</v>
      </c>
      <c r="CD128" s="166">
        <f t="shared" si="323"/>
        <v>0</v>
      </c>
      <c r="CE128" s="166">
        <f t="shared" si="324"/>
        <v>1</v>
      </c>
      <c r="CF128" s="166" t="str">
        <f t="shared" si="325"/>
        <v/>
      </c>
      <c r="CG128" s="166">
        <f t="shared" si="326"/>
        <v>0</v>
      </c>
      <c r="CH128" s="166" t="str">
        <f t="shared" si="327"/>
        <v/>
      </c>
      <c r="CI128" s="168">
        <f t="shared" si="328"/>
        <v>8.9509160988619546E-4</v>
      </c>
      <c r="CK128" s="107" t="s">
        <v>396</v>
      </c>
      <c r="CL128" s="166" t="str">
        <f t="shared" si="330"/>
        <v/>
      </c>
      <c r="CM128" s="166" t="str">
        <f t="shared" si="330"/>
        <v/>
      </c>
      <c r="CN128" s="166" t="str">
        <f t="shared" si="330"/>
        <v/>
      </c>
      <c r="CO128" s="166" t="str">
        <f t="shared" si="330"/>
        <v/>
      </c>
      <c r="CP128" s="166"/>
      <c r="CQ128" s="166"/>
      <c r="CR128" s="166"/>
      <c r="CS128" s="166"/>
      <c r="CT128" s="166" t="str">
        <f t="shared" si="331"/>
        <v/>
      </c>
      <c r="CU128" s="166">
        <f t="shared" si="331"/>
        <v>0</v>
      </c>
      <c r="CV128" s="166" t="str">
        <f t="shared" si="331"/>
        <v/>
      </c>
      <c r="CW128" s="166" t="str">
        <f t="shared" si="331"/>
        <v/>
      </c>
      <c r="CX128" s="166" t="str">
        <f t="shared" si="331"/>
        <v/>
      </c>
      <c r="CY128" s="168">
        <f t="shared" si="331"/>
        <v>-0.28702269973139632</v>
      </c>
      <c r="DA128" s="107" t="s">
        <v>396</v>
      </c>
      <c r="DB128" s="315"/>
      <c r="DC128" s="315"/>
      <c r="DD128" s="315"/>
      <c r="DE128" s="315"/>
      <c r="DF128" s="315"/>
      <c r="DG128" s="315"/>
      <c r="DH128" s="315"/>
      <c r="DI128" s="315"/>
      <c r="DJ128" s="315"/>
      <c r="DK128" s="314">
        <f>IFERROR(IF(CE128&gt;0,LN(BO128/CE128),0),0)</f>
        <v>0</v>
      </c>
      <c r="DL128" s="315"/>
      <c r="DM128" s="315"/>
      <c r="DN128" s="315"/>
      <c r="DO128" s="168"/>
      <c r="DQ128" s="107" t="s">
        <v>396</v>
      </c>
      <c r="DR128" s="315"/>
      <c r="DS128" s="315"/>
      <c r="DT128" s="315"/>
      <c r="DU128" s="315"/>
      <c r="DV128" s="315"/>
      <c r="DW128" s="315"/>
      <c r="DX128" s="315"/>
      <c r="DY128" s="315"/>
      <c r="DZ128" s="315"/>
      <c r="EA128" s="314">
        <v>0</v>
      </c>
      <c r="EB128" s="315"/>
      <c r="EC128" s="315"/>
      <c r="ED128" s="315"/>
      <c r="EE128" s="168"/>
      <c r="EG128" s="107" t="s">
        <v>396</v>
      </c>
      <c r="EH128" s="315"/>
      <c r="EI128" s="315"/>
      <c r="EJ128" s="315"/>
      <c r="EK128" s="315"/>
      <c r="EL128" s="315"/>
      <c r="EM128" s="315"/>
      <c r="EN128" s="315"/>
      <c r="EO128" s="315"/>
      <c r="EP128" s="315"/>
      <c r="EQ128" s="314">
        <v>0</v>
      </c>
      <c r="ER128" s="315"/>
      <c r="ES128" s="315"/>
      <c r="ET128" s="315"/>
      <c r="EU128" s="168"/>
      <c r="EW128" s="164" t="s">
        <v>396</v>
      </c>
      <c r="EX128" s="316">
        <f t="shared" si="309"/>
        <v>0</v>
      </c>
      <c r="EY128" s="316">
        <f t="shared" si="305"/>
        <v>0</v>
      </c>
      <c r="EZ128" s="316">
        <f t="shared" si="305"/>
        <v>0</v>
      </c>
      <c r="FA128" s="316">
        <f t="shared" si="305"/>
        <v>0</v>
      </c>
      <c r="FB128" s="316">
        <f t="shared" si="305"/>
        <v>0</v>
      </c>
      <c r="FC128" s="316">
        <f t="shared" si="305"/>
        <v>0</v>
      </c>
      <c r="FD128" s="316">
        <f t="shared" si="305"/>
        <v>0</v>
      </c>
      <c r="FE128" s="316">
        <f t="shared" si="305"/>
        <v>0</v>
      </c>
      <c r="FF128" s="316"/>
      <c r="FG128" s="316">
        <f t="shared" si="305"/>
        <v>0</v>
      </c>
      <c r="FH128" s="316">
        <f t="shared" si="305"/>
        <v>0</v>
      </c>
      <c r="FI128" s="316">
        <f t="shared" si="305"/>
        <v>0</v>
      </c>
      <c r="FJ128" s="316">
        <f t="shared" si="305"/>
        <v>0</v>
      </c>
      <c r="FK128" s="316">
        <f t="shared" si="305"/>
        <v>0</v>
      </c>
      <c r="FL128" s="168"/>
    </row>
    <row r="129" spans="2:168" x14ac:dyDescent="0.25">
      <c r="B129" s="107" t="s">
        <v>397</v>
      </c>
      <c r="C129" s="294"/>
      <c r="D129" s="294"/>
      <c r="E129" s="294"/>
      <c r="F129" s="294"/>
      <c r="G129" s="294"/>
      <c r="H129" s="294"/>
      <c r="I129" s="294"/>
      <c r="J129" s="294"/>
      <c r="K129" s="294"/>
      <c r="L129" s="294"/>
      <c r="M129" s="160">
        <f>TripMode_input!M111</f>
        <v>3330.77684</v>
      </c>
      <c r="N129" s="294"/>
      <c r="O129" s="294"/>
      <c r="P129" s="162">
        <f t="shared" si="295"/>
        <v>3330.77684</v>
      </c>
      <c r="R129">
        <f t="shared" si="306"/>
        <v>0</v>
      </c>
      <c r="S129">
        <f t="shared" si="307"/>
        <v>0</v>
      </c>
      <c r="T129">
        <f t="shared" si="308"/>
        <v>1</v>
      </c>
      <c r="W129" s="127">
        <f>+M129/M$161</f>
        <v>1.2069333850511243E-2</v>
      </c>
      <c r="X129" s="127"/>
      <c r="Y129" s="107" t="s">
        <v>397</v>
      </c>
      <c r="Z129" s="294"/>
      <c r="AA129" s="294"/>
      <c r="AB129" s="294"/>
      <c r="AC129" s="294"/>
      <c r="AD129" s="294"/>
      <c r="AE129" s="294"/>
      <c r="AF129" s="294"/>
      <c r="AG129" s="294"/>
      <c r="AH129" s="294"/>
      <c r="AI129" s="294"/>
      <c r="AJ129" s="160">
        <f>W129*W$161</f>
        <v>2398.6544875762602</v>
      </c>
      <c r="AK129" s="294"/>
      <c r="AL129" s="294"/>
      <c r="AM129" s="162">
        <f t="shared" si="299"/>
        <v>2398.6544875762602</v>
      </c>
      <c r="AN129" s="127"/>
      <c r="AO129" s="107" t="s">
        <v>397</v>
      </c>
      <c r="AP129" s="294">
        <f>TripMode_input!R111*Index!$B$2</f>
        <v>0</v>
      </c>
      <c r="AQ129" s="294">
        <f>TripMode_input!S111*Index!$B$2</f>
        <v>0</v>
      </c>
      <c r="AR129" s="294">
        <f>TripMode_input!T111*Index!$B$2</f>
        <v>0</v>
      </c>
      <c r="AS129" s="294">
        <f>TripMode_input!U111*Index!$B$2</f>
        <v>0</v>
      </c>
      <c r="AT129" s="294">
        <f>TripMode_input!V111*Index!$B$2</f>
        <v>0</v>
      </c>
      <c r="AU129" s="294">
        <f>TripMode_input!W111*Index!$B$2</f>
        <v>0</v>
      </c>
      <c r="AV129" s="294">
        <f>TripMode_input!X111*Index!$B$2</f>
        <v>0</v>
      </c>
      <c r="AW129" s="294">
        <f>TripMode_input!Y111*Index!$B$2</f>
        <v>0</v>
      </c>
      <c r="AX129" s="294">
        <f>TripMode_input!AA111*Index!$B$2</f>
        <v>0</v>
      </c>
      <c r="AY129" s="294">
        <f>TripMode_input!AB111*Index!$B$2</f>
        <v>0</v>
      </c>
      <c r="AZ129" s="160">
        <f>TripMode_input!AC111*Index!$B$2</f>
        <v>0</v>
      </c>
      <c r="BA129" s="294">
        <f>TripMode_input!AD111*Index!$B$2</f>
        <v>0</v>
      </c>
      <c r="BB129" s="294">
        <f>TripMode_input!AE111*Index!$B$2</f>
        <v>0</v>
      </c>
      <c r="BC129" s="162">
        <f t="shared" si="300"/>
        <v>0</v>
      </c>
      <c r="BE129" s="107" t="s">
        <v>397</v>
      </c>
      <c r="BF129" s="166" t="str">
        <f t="shared" si="314"/>
        <v/>
      </c>
      <c r="BG129" s="166" t="str">
        <f t="shared" si="314"/>
        <v/>
      </c>
      <c r="BH129" s="166">
        <f t="shared" si="314"/>
        <v>0</v>
      </c>
      <c r="BI129" s="166">
        <f t="shared" si="314"/>
        <v>0</v>
      </c>
      <c r="BJ129" s="166">
        <f t="shared" si="314"/>
        <v>0</v>
      </c>
      <c r="BK129" s="166">
        <f t="shared" si="314"/>
        <v>0</v>
      </c>
      <c r="BL129" s="166">
        <f t="shared" si="314"/>
        <v>0</v>
      </c>
      <c r="BM129" s="166">
        <f t="shared" si="314"/>
        <v>0</v>
      </c>
      <c r="BN129" s="166">
        <f t="shared" si="314"/>
        <v>0</v>
      </c>
      <c r="BO129" s="166">
        <f t="shared" si="314"/>
        <v>0</v>
      </c>
      <c r="BP129" s="166">
        <f t="shared" si="314"/>
        <v>1</v>
      </c>
      <c r="BQ129" s="166">
        <f t="shared" si="314"/>
        <v>0</v>
      </c>
      <c r="BR129" s="166" t="str">
        <f t="shared" si="314"/>
        <v/>
      </c>
      <c r="BS129" s="166">
        <f t="shared" si="314"/>
        <v>7.218142526126337E-4</v>
      </c>
      <c r="BU129" s="107" t="s">
        <v>397</v>
      </c>
      <c r="BV129" s="166" t="str">
        <f t="shared" si="315"/>
        <v/>
      </c>
      <c r="BW129" s="166" t="str">
        <f t="shared" si="316"/>
        <v/>
      </c>
      <c r="BX129" s="166">
        <f t="shared" si="317"/>
        <v>0</v>
      </c>
      <c r="BY129" s="166">
        <f t="shared" si="318"/>
        <v>0</v>
      </c>
      <c r="BZ129" s="166">
        <f t="shared" si="319"/>
        <v>0</v>
      </c>
      <c r="CA129" s="166">
        <f t="shared" si="320"/>
        <v>0</v>
      </c>
      <c r="CB129" s="166">
        <f t="shared" si="321"/>
        <v>0</v>
      </c>
      <c r="CC129" s="166">
        <f t="shared" si="322"/>
        <v>0</v>
      </c>
      <c r="CD129" s="166">
        <f t="shared" si="323"/>
        <v>0</v>
      </c>
      <c r="CE129" s="166">
        <f t="shared" si="324"/>
        <v>0</v>
      </c>
      <c r="CF129" s="166" t="str">
        <f t="shared" si="325"/>
        <v/>
      </c>
      <c r="CG129" s="166">
        <f t="shared" si="326"/>
        <v>0</v>
      </c>
      <c r="CH129" s="166" t="str">
        <f t="shared" si="327"/>
        <v/>
      </c>
      <c r="CI129" s="168">
        <f t="shared" si="328"/>
        <v>0</v>
      </c>
      <c r="CK129" s="107" t="s">
        <v>397</v>
      </c>
      <c r="CL129" s="166" t="str">
        <f t="shared" si="330"/>
        <v/>
      </c>
      <c r="CM129" s="166" t="str">
        <f t="shared" si="330"/>
        <v/>
      </c>
      <c r="CN129" s="166" t="str">
        <f t="shared" si="330"/>
        <v/>
      </c>
      <c r="CO129" s="166" t="str">
        <f t="shared" si="330"/>
        <v/>
      </c>
      <c r="CP129" s="166"/>
      <c r="CQ129" s="166"/>
      <c r="CR129" s="166"/>
      <c r="CS129" s="166"/>
      <c r="CT129" s="166" t="str">
        <f t="shared" si="331"/>
        <v/>
      </c>
      <c r="CU129" s="166" t="str">
        <f t="shared" si="331"/>
        <v/>
      </c>
      <c r="CV129" s="166" t="e">
        <f t="shared" si="331"/>
        <v>#VALUE!</v>
      </c>
      <c r="CW129" s="166" t="str">
        <f t="shared" si="331"/>
        <v/>
      </c>
      <c r="CX129" s="166" t="str">
        <f t="shared" si="331"/>
        <v/>
      </c>
      <c r="CY129" s="168">
        <f t="shared" si="331"/>
        <v>-1</v>
      </c>
      <c r="DA129" s="107" t="s">
        <v>397</v>
      </c>
      <c r="DB129" s="315"/>
      <c r="DC129" s="315"/>
      <c r="DD129" s="315"/>
      <c r="DE129" s="315"/>
      <c r="DF129" s="315"/>
      <c r="DG129" s="315"/>
      <c r="DH129" s="315"/>
      <c r="DI129" s="315"/>
      <c r="DJ129" s="315"/>
      <c r="DK129" s="315"/>
      <c r="DL129" s="314">
        <f>IFERROR(IF(CF129&gt;0,LN(BP129/CF129),0),0)</f>
        <v>0</v>
      </c>
      <c r="DM129" s="315"/>
      <c r="DN129" s="315"/>
      <c r="DO129" s="168"/>
      <c r="DQ129" s="107" t="s">
        <v>397</v>
      </c>
      <c r="DR129" s="315"/>
      <c r="DS129" s="315"/>
      <c r="DT129" s="315"/>
      <c r="DU129" s="315"/>
      <c r="DV129" s="315"/>
      <c r="DW129" s="315"/>
      <c r="DX129" s="315"/>
      <c r="DY129" s="315"/>
      <c r="DZ129" s="315"/>
      <c r="EA129" s="315"/>
      <c r="EB129" s="314">
        <v>0</v>
      </c>
      <c r="EC129" s="315"/>
      <c r="ED129" s="315"/>
      <c r="EE129" s="168"/>
      <c r="EG129" s="107" t="s">
        <v>397</v>
      </c>
      <c r="EH129" s="315"/>
      <c r="EI129" s="315"/>
      <c r="EJ129" s="315"/>
      <c r="EK129" s="315"/>
      <c r="EL129" s="315"/>
      <c r="EM129" s="315"/>
      <c r="EN129" s="315"/>
      <c r="EO129" s="315"/>
      <c r="EP129" s="315"/>
      <c r="EQ129" s="315"/>
      <c r="ER129" s="314">
        <v>0</v>
      </c>
      <c r="ES129" s="315"/>
      <c r="ET129" s="315"/>
      <c r="EU129" s="168"/>
      <c r="EW129" s="164" t="s">
        <v>397</v>
      </c>
      <c r="EX129" s="316">
        <f t="shared" si="309"/>
        <v>0</v>
      </c>
      <c r="EY129" s="316">
        <f t="shared" si="305"/>
        <v>0</v>
      </c>
      <c r="EZ129" s="316">
        <f t="shared" si="305"/>
        <v>0</v>
      </c>
      <c r="FA129" s="316">
        <f t="shared" si="305"/>
        <v>0</v>
      </c>
      <c r="FB129" s="316">
        <f t="shared" si="305"/>
        <v>0</v>
      </c>
      <c r="FC129" s="316">
        <f t="shared" si="305"/>
        <v>0</v>
      </c>
      <c r="FD129" s="316">
        <f t="shared" si="305"/>
        <v>0</v>
      </c>
      <c r="FE129" s="316">
        <f t="shared" si="305"/>
        <v>0</v>
      </c>
      <c r="FF129" s="316"/>
      <c r="FG129" s="316">
        <f t="shared" si="305"/>
        <v>0</v>
      </c>
      <c r="FH129" s="316">
        <f t="shared" si="305"/>
        <v>0</v>
      </c>
      <c r="FI129" s="316">
        <f t="shared" si="305"/>
        <v>0</v>
      </c>
      <c r="FJ129" s="316">
        <f t="shared" si="305"/>
        <v>0</v>
      </c>
      <c r="FK129" s="316">
        <f t="shared" si="305"/>
        <v>0</v>
      </c>
      <c r="FL129" s="168"/>
    </row>
    <row r="130" spans="2:168" x14ac:dyDescent="0.25">
      <c r="B130" s="107" t="s">
        <v>398</v>
      </c>
      <c r="C130" s="294"/>
      <c r="D130" s="294"/>
      <c r="E130" s="294"/>
      <c r="F130" s="294"/>
      <c r="G130" s="294"/>
      <c r="H130" s="294"/>
      <c r="I130" s="294"/>
      <c r="J130" s="294"/>
      <c r="K130" s="160">
        <f>TripMode_input!J112+TripMode_input!K112</f>
        <v>495.31540000000001</v>
      </c>
      <c r="L130" s="294"/>
      <c r="M130" s="294"/>
      <c r="N130" s="160">
        <f>TripMode_input!N112</f>
        <v>3742.0928399999998</v>
      </c>
      <c r="O130" s="294"/>
      <c r="P130" s="162">
        <f t="shared" si="295"/>
        <v>4237.4082399999998</v>
      </c>
      <c r="R130">
        <f t="shared" si="306"/>
        <v>7.8113867988853138E-3</v>
      </c>
      <c r="S130">
        <f t="shared" si="307"/>
        <v>0</v>
      </c>
      <c r="T130">
        <f t="shared" si="308"/>
        <v>0</v>
      </c>
      <c r="Y130" s="107" t="s">
        <v>398</v>
      </c>
      <c r="Z130" s="294"/>
      <c r="AA130" s="294"/>
      <c r="AB130" s="294"/>
      <c r="AC130" s="294"/>
      <c r="AD130" s="294"/>
      <c r="AE130" s="294"/>
      <c r="AF130" s="294"/>
      <c r="AG130" s="294"/>
      <c r="AH130" s="160">
        <f>AH127*R130</f>
        <v>522.83278346117015</v>
      </c>
      <c r="AI130" s="160">
        <f>AI128*S130</f>
        <v>0</v>
      </c>
      <c r="AJ130" s="160">
        <f>AJ129*T130</f>
        <v>0</v>
      </c>
      <c r="AK130" s="160">
        <f>N130</f>
        <v>3742.0928399999998</v>
      </c>
      <c r="AL130" s="294"/>
      <c r="AM130" s="162">
        <f t="shared" si="299"/>
        <v>4264.9256234611703</v>
      </c>
      <c r="AO130" s="107" t="s">
        <v>398</v>
      </c>
      <c r="AP130" s="294">
        <f>TripMode_input!R112*Index!$B$2</f>
        <v>0</v>
      </c>
      <c r="AQ130" s="294">
        <f>TripMode_input!S112*Index!$B$2</f>
        <v>0</v>
      </c>
      <c r="AR130" s="294">
        <f>TripMode_input!T112*Index!$B$2</f>
        <v>0</v>
      </c>
      <c r="AS130" s="294">
        <f>TripMode_input!U112*Index!$B$2</f>
        <v>0</v>
      </c>
      <c r="AT130" s="294">
        <f>TripMode_input!V112*Index!$B$2</f>
        <v>0</v>
      </c>
      <c r="AU130" s="294">
        <f>TripMode_input!W112*Index!$B$2</f>
        <v>0</v>
      </c>
      <c r="AV130" s="294">
        <f>TripMode_input!X112*Index!$B$2</f>
        <v>0</v>
      </c>
      <c r="AW130" s="294">
        <f>TripMode_input!Y112*Index!$B$2</f>
        <v>0</v>
      </c>
      <c r="AX130" s="160">
        <f>TripMode_input!AA112*Index!$B$2</f>
        <v>395</v>
      </c>
      <c r="AY130" s="160">
        <f>TripMode_input!AB112*Index!$B$2</f>
        <v>0</v>
      </c>
      <c r="AZ130" s="160">
        <f>TripMode_input!AC112*Index!$B$2</f>
        <v>0</v>
      </c>
      <c r="BA130" s="160">
        <f>TripMode_input!AD112*Index!$B$2</f>
        <v>4145</v>
      </c>
      <c r="BB130" s="294">
        <f>TripMode_input!AE112*Index!$B$2</f>
        <v>0</v>
      </c>
      <c r="BC130" s="162">
        <f t="shared" si="300"/>
        <v>4540</v>
      </c>
      <c r="BE130" s="107" t="s">
        <v>398</v>
      </c>
      <c r="BF130" s="166" t="str">
        <f t="shared" si="314"/>
        <v/>
      </c>
      <c r="BG130" s="166" t="str">
        <f t="shared" si="314"/>
        <v/>
      </c>
      <c r="BH130" s="166">
        <f t="shared" si="314"/>
        <v>0</v>
      </c>
      <c r="BI130" s="166">
        <f t="shared" si="314"/>
        <v>0</v>
      </c>
      <c r="BJ130" s="166">
        <f t="shared" si="314"/>
        <v>0</v>
      </c>
      <c r="BK130" s="166">
        <f t="shared" si="314"/>
        <v>0</v>
      </c>
      <c r="BL130" s="166">
        <f t="shared" si="314"/>
        <v>0</v>
      </c>
      <c r="BM130" s="166">
        <f t="shared" si="314"/>
        <v>0</v>
      </c>
      <c r="BN130" s="166">
        <f t="shared" si="314"/>
        <v>6.5364491326099236E-3</v>
      </c>
      <c r="BO130" s="166">
        <f t="shared" si="314"/>
        <v>0</v>
      </c>
      <c r="BP130" s="166">
        <f t="shared" si="314"/>
        <v>0</v>
      </c>
      <c r="BQ130" s="166">
        <f t="shared" si="314"/>
        <v>0.94358107153333026</v>
      </c>
      <c r="BR130" s="166" t="str">
        <f t="shared" si="314"/>
        <v/>
      </c>
      <c r="BS130" s="166">
        <f t="shared" si="314"/>
        <v>1.2834212335673966E-3</v>
      </c>
      <c r="BU130" s="107" t="s">
        <v>398</v>
      </c>
      <c r="BV130" s="166" t="str">
        <f t="shared" si="315"/>
        <v/>
      </c>
      <c r="BW130" s="166" t="str">
        <f t="shared" si="316"/>
        <v/>
      </c>
      <c r="BX130" s="166">
        <f t="shared" si="317"/>
        <v>0</v>
      </c>
      <c r="BY130" s="166">
        <f t="shared" si="318"/>
        <v>0</v>
      </c>
      <c r="BZ130" s="166">
        <f t="shared" si="319"/>
        <v>0</v>
      </c>
      <c r="CA130" s="166">
        <f t="shared" si="320"/>
        <v>0</v>
      </c>
      <c r="CB130" s="166">
        <f t="shared" si="321"/>
        <v>0</v>
      </c>
      <c r="CC130" s="166">
        <f t="shared" si="322"/>
        <v>0</v>
      </c>
      <c r="CD130" s="166">
        <f t="shared" si="323"/>
        <v>2.1561135371179041E-2</v>
      </c>
      <c r="CE130" s="166">
        <f t="shared" si="324"/>
        <v>0</v>
      </c>
      <c r="CF130" s="166" t="str">
        <f t="shared" si="325"/>
        <v/>
      </c>
      <c r="CG130" s="166">
        <f t="shared" si="326"/>
        <v>0.85463917525773192</v>
      </c>
      <c r="CH130" s="166" t="str">
        <f t="shared" si="327"/>
        <v/>
      </c>
      <c r="CI130" s="168">
        <f t="shared" si="328"/>
        <v>4.1466488866156405E-3</v>
      </c>
      <c r="CK130" s="107" t="s">
        <v>398</v>
      </c>
      <c r="CL130" s="166" t="str">
        <f t="shared" si="330"/>
        <v/>
      </c>
      <c r="CM130" s="166" t="str">
        <f t="shared" si="330"/>
        <v/>
      </c>
      <c r="CN130" s="166" t="str">
        <f t="shared" si="330"/>
        <v/>
      </c>
      <c r="CO130" s="166" t="str">
        <f t="shared" si="330"/>
        <v/>
      </c>
      <c r="CP130" s="166"/>
      <c r="CQ130" s="166"/>
      <c r="CR130" s="166"/>
      <c r="CS130" s="166"/>
      <c r="CT130" s="166">
        <f t="shared" si="331"/>
        <v>2.2986006520898212</v>
      </c>
      <c r="CU130" s="166" t="str">
        <f t="shared" si="331"/>
        <v/>
      </c>
      <c r="CV130" s="166" t="str">
        <f t="shared" si="331"/>
        <v/>
      </c>
      <c r="CW130" s="166">
        <f t="shared" si="331"/>
        <v>-9.4259941152768909E-2</v>
      </c>
      <c r="CX130" s="166" t="str">
        <f t="shared" si="331"/>
        <v/>
      </c>
      <c r="CY130" s="168">
        <f t="shared" si="331"/>
        <v>2.2309336780174802</v>
      </c>
      <c r="DA130" s="107" t="s">
        <v>398</v>
      </c>
      <c r="DB130" s="315"/>
      <c r="DC130" s="315"/>
      <c r="DD130" s="315"/>
      <c r="DE130" s="315"/>
      <c r="DF130" s="315"/>
      <c r="DG130" s="315"/>
      <c r="DH130" s="315"/>
      <c r="DI130" s="315"/>
      <c r="DJ130" s="314">
        <f t="shared" si="329"/>
        <v>-1.1934983337187386</v>
      </c>
      <c r="DK130" s="314">
        <f>IFERROR(IF(CE130&gt;0,LN(BO130/CE130),0),0)</f>
        <v>0</v>
      </c>
      <c r="DL130" s="314">
        <f>IFERROR(IF(CF130&gt;0,LN(BP130/CF130),0),0)</f>
        <v>0</v>
      </c>
      <c r="DM130" s="314">
        <f>IFERROR(IF(CG130&gt;0,LN(BQ130/CG130),0),0)</f>
        <v>9.900292487057101E-2</v>
      </c>
      <c r="DN130" s="315"/>
      <c r="DO130" s="168"/>
      <c r="DQ130" s="107" t="s">
        <v>398</v>
      </c>
      <c r="DR130" s="315"/>
      <c r="DS130" s="315"/>
      <c r="DT130" s="315"/>
      <c r="DU130" s="315"/>
      <c r="DV130" s="315"/>
      <c r="DW130" s="315"/>
      <c r="DX130" s="315"/>
      <c r="DY130" s="315"/>
      <c r="DZ130" s="314">
        <v>0</v>
      </c>
      <c r="EA130" s="314">
        <v>0</v>
      </c>
      <c r="EB130" s="314">
        <v>0</v>
      </c>
      <c r="EC130" s="314">
        <v>0</v>
      </c>
      <c r="ED130" s="315"/>
      <c r="EE130" s="168"/>
      <c r="EG130" s="107" t="s">
        <v>398</v>
      </c>
      <c r="EH130" s="315"/>
      <c r="EI130" s="315"/>
      <c r="EJ130" s="315"/>
      <c r="EK130" s="315"/>
      <c r="EL130" s="315"/>
      <c r="EM130" s="315"/>
      <c r="EN130" s="315"/>
      <c r="EO130" s="315"/>
      <c r="EP130" s="314">
        <f>EC130+(DM130-DM$130)*$EI$1</f>
        <v>0</v>
      </c>
      <c r="EQ130" s="314">
        <f>EA130+(DK130-DK$128)*$EI$1</f>
        <v>0</v>
      </c>
      <c r="ER130" s="314">
        <f>EB130+(DL130-DL$129)*$EI$1</f>
        <v>0</v>
      </c>
      <c r="ES130" s="314">
        <v>0</v>
      </c>
      <c r="ET130" s="315"/>
      <c r="EU130" s="168"/>
      <c r="EW130" s="164" t="s">
        <v>398</v>
      </c>
      <c r="EX130" s="316">
        <f t="shared" si="309"/>
        <v>0</v>
      </c>
      <c r="EY130" s="316">
        <f t="shared" si="305"/>
        <v>0</v>
      </c>
      <c r="EZ130" s="316">
        <f t="shared" si="305"/>
        <v>-1.6731718881768562</v>
      </c>
      <c r="FA130" s="316">
        <f t="shared" si="305"/>
        <v>-1.6731718881768562</v>
      </c>
      <c r="FB130" s="316">
        <f t="shared" si="305"/>
        <v>-1.6731718881768562</v>
      </c>
      <c r="FC130" s="316">
        <f t="shared" si="305"/>
        <v>-1.6731718881768562</v>
      </c>
      <c r="FD130" s="316">
        <f t="shared" si="305"/>
        <v>6.0953973956226051</v>
      </c>
      <c r="FE130" s="316">
        <f t="shared" si="305"/>
        <v>0</v>
      </c>
      <c r="FF130" s="316"/>
      <c r="FG130" s="316">
        <f t="shared" si="305"/>
        <v>0</v>
      </c>
      <c r="FH130" s="316">
        <f t="shared" si="305"/>
        <v>0</v>
      </c>
      <c r="FI130" s="316">
        <f t="shared" si="305"/>
        <v>0</v>
      </c>
      <c r="FJ130" s="316">
        <f t="shared" si="305"/>
        <v>0</v>
      </c>
      <c r="FK130" s="316">
        <f t="shared" si="305"/>
        <v>0</v>
      </c>
      <c r="FL130" s="168"/>
    </row>
    <row r="131" spans="2:168" x14ac:dyDescent="0.25">
      <c r="B131" s="107" t="s">
        <v>399</v>
      </c>
      <c r="C131" s="294"/>
      <c r="D131" s="294"/>
      <c r="E131" s="294"/>
      <c r="F131" s="294"/>
      <c r="G131" s="294"/>
      <c r="H131" s="294"/>
      <c r="I131" s="294"/>
      <c r="J131" s="294"/>
      <c r="K131" s="294"/>
      <c r="L131" s="294"/>
      <c r="M131" s="294"/>
      <c r="N131" s="294"/>
      <c r="O131" s="160">
        <f>TripMode_input!O113</f>
        <v>0</v>
      </c>
      <c r="P131" s="162">
        <f t="shared" si="295"/>
        <v>0</v>
      </c>
      <c r="R131">
        <f t="shared" si="306"/>
        <v>0</v>
      </c>
      <c r="S131">
        <f t="shared" si="307"/>
        <v>0</v>
      </c>
      <c r="T131">
        <f t="shared" si="308"/>
        <v>0</v>
      </c>
      <c r="Y131" s="107" t="s">
        <v>399</v>
      </c>
      <c r="Z131" s="294"/>
      <c r="AA131" s="294"/>
      <c r="AB131" s="294"/>
      <c r="AC131" s="294"/>
      <c r="AD131" s="294"/>
      <c r="AE131" s="294"/>
      <c r="AF131" s="294"/>
      <c r="AG131" s="294"/>
      <c r="AH131" s="294"/>
      <c r="AI131" s="294"/>
      <c r="AJ131" s="294"/>
      <c r="AK131" s="294"/>
      <c r="AL131" s="160">
        <f>+O131</f>
        <v>0</v>
      </c>
      <c r="AM131" s="162">
        <f t="shared" si="299"/>
        <v>0</v>
      </c>
      <c r="AO131" s="107" t="s">
        <v>399</v>
      </c>
      <c r="AP131" s="294">
        <f>TripMode_input!R113*Index!$B$2</f>
        <v>0</v>
      </c>
      <c r="AQ131" s="294">
        <f>TripMode_input!S113*Index!$B$2</f>
        <v>0</v>
      </c>
      <c r="AR131" s="294">
        <f>TripMode_input!T113*Index!$B$2</f>
        <v>0</v>
      </c>
      <c r="AS131" s="294">
        <f>TripMode_input!U113*Index!$B$2</f>
        <v>0</v>
      </c>
      <c r="AT131" s="294">
        <f>TripMode_input!V113*Index!$B$2</f>
        <v>0</v>
      </c>
      <c r="AU131" s="294">
        <f>TripMode_input!W113*Index!$B$2</f>
        <v>0</v>
      </c>
      <c r="AV131" s="294">
        <f>TripMode_input!X113*Index!$B$2</f>
        <v>0</v>
      </c>
      <c r="AW131" s="294">
        <f>TripMode_input!Y113*Index!$B$2</f>
        <v>0</v>
      </c>
      <c r="AX131" s="294">
        <f>TripMode_input!AA113*Index!$B$2</f>
        <v>0</v>
      </c>
      <c r="AY131" s="294">
        <f>TripMode_input!AB113*Index!$B$2</f>
        <v>0</v>
      </c>
      <c r="AZ131" s="294">
        <f>TripMode_input!AC113*Index!$B$2</f>
        <v>0</v>
      </c>
      <c r="BA131" s="294">
        <f>TripMode_input!AD113*Index!$B$2</f>
        <v>0</v>
      </c>
      <c r="BB131" s="160">
        <f>TripMode_input!AE113*Index!$B$2</f>
        <v>0</v>
      </c>
      <c r="BC131" s="162">
        <f t="shared" si="300"/>
        <v>0</v>
      </c>
      <c r="BE131" s="107" t="s">
        <v>399</v>
      </c>
      <c r="BF131" s="166" t="str">
        <f t="shared" si="314"/>
        <v/>
      </c>
      <c r="BG131" s="166" t="str">
        <f t="shared" si="314"/>
        <v/>
      </c>
      <c r="BH131" s="166">
        <f t="shared" si="314"/>
        <v>0</v>
      </c>
      <c r="BI131" s="166">
        <f t="shared" si="314"/>
        <v>0</v>
      </c>
      <c r="BJ131" s="166">
        <f t="shared" si="314"/>
        <v>0</v>
      </c>
      <c r="BK131" s="166">
        <f t="shared" si="314"/>
        <v>0</v>
      </c>
      <c r="BL131" s="166">
        <f t="shared" si="314"/>
        <v>0</v>
      </c>
      <c r="BM131" s="166">
        <f t="shared" si="314"/>
        <v>0</v>
      </c>
      <c r="BN131" s="166">
        <f t="shared" si="314"/>
        <v>0</v>
      </c>
      <c r="BO131" s="166">
        <f t="shared" si="314"/>
        <v>0</v>
      </c>
      <c r="BP131" s="166">
        <f t="shared" si="314"/>
        <v>0</v>
      </c>
      <c r="BQ131" s="166">
        <f t="shared" si="314"/>
        <v>0</v>
      </c>
      <c r="BR131" s="166" t="str">
        <f t="shared" si="314"/>
        <v/>
      </c>
      <c r="BS131" s="166">
        <f t="shared" si="314"/>
        <v>0</v>
      </c>
      <c r="BU131" s="107" t="s">
        <v>399</v>
      </c>
      <c r="BV131" s="166" t="str">
        <f t="shared" si="315"/>
        <v/>
      </c>
      <c r="BW131" s="166" t="str">
        <f t="shared" si="316"/>
        <v/>
      </c>
      <c r="BX131" s="166">
        <f t="shared" si="317"/>
        <v>0</v>
      </c>
      <c r="BY131" s="166">
        <f t="shared" si="318"/>
        <v>0</v>
      </c>
      <c r="BZ131" s="166">
        <f t="shared" si="319"/>
        <v>0</v>
      </c>
      <c r="CA131" s="166">
        <f t="shared" si="320"/>
        <v>0</v>
      </c>
      <c r="CB131" s="166">
        <f t="shared" si="321"/>
        <v>0</v>
      </c>
      <c r="CC131" s="166">
        <f t="shared" si="322"/>
        <v>0</v>
      </c>
      <c r="CD131" s="166">
        <f t="shared" si="323"/>
        <v>0</v>
      </c>
      <c r="CE131" s="166">
        <f t="shared" si="324"/>
        <v>0</v>
      </c>
      <c r="CF131" s="166" t="str">
        <f t="shared" si="325"/>
        <v/>
      </c>
      <c r="CG131" s="166">
        <f t="shared" si="326"/>
        <v>0</v>
      </c>
      <c r="CH131" s="166" t="str">
        <f t="shared" si="327"/>
        <v/>
      </c>
      <c r="CI131" s="168">
        <f t="shared" si="328"/>
        <v>0</v>
      </c>
      <c r="CK131" s="107" t="s">
        <v>399</v>
      </c>
      <c r="CL131" s="166" t="str">
        <f t="shared" si="330"/>
        <v/>
      </c>
      <c r="CM131" s="166" t="str">
        <f t="shared" si="330"/>
        <v/>
      </c>
      <c r="CN131" s="166" t="str">
        <f t="shared" si="330"/>
        <v/>
      </c>
      <c r="CO131" s="166" t="str">
        <f t="shared" si="330"/>
        <v/>
      </c>
      <c r="CP131" s="166"/>
      <c r="CQ131" s="166"/>
      <c r="CR131" s="166"/>
      <c r="CS131" s="166"/>
      <c r="CT131" s="166" t="str">
        <f t="shared" si="331"/>
        <v/>
      </c>
      <c r="CU131" s="166" t="str">
        <f t="shared" si="331"/>
        <v/>
      </c>
      <c r="CV131" s="166" t="str">
        <f t="shared" si="331"/>
        <v/>
      </c>
      <c r="CW131" s="166" t="str">
        <f t="shared" si="331"/>
        <v/>
      </c>
      <c r="CX131" s="166" t="str">
        <f t="shared" si="331"/>
        <v/>
      </c>
      <c r="CY131" s="168" t="str">
        <f t="shared" si="331"/>
        <v/>
      </c>
      <c r="DA131" s="107" t="s">
        <v>399</v>
      </c>
      <c r="DB131" s="315"/>
      <c r="DC131" s="315"/>
      <c r="DD131" s="315"/>
      <c r="DE131" s="315"/>
      <c r="DF131" s="315"/>
      <c r="DG131" s="315"/>
      <c r="DH131" s="315"/>
      <c r="DI131" s="315"/>
      <c r="DJ131" s="315"/>
      <c r="DK131" s="315"/>
      <c r="DL131" s="315"/>
      <c r="DM131" s="315"/>
      <c r="DN131" s="314">
        <f>IFERROR(IF(CH131&gt;0,LN(BR131/CH131),0),0)</f>
        <v>0</v>
      </c>
      <c r="DO131" s="168"/>
      <c r="DQ131" s="107" t="s">
        <v>399</v>
      </c>
      <c r="DR131" s="315"/>
      <c r="DS131" s="315"/>
      <c r="DT131" s="315"/>
      <c r="DU131" s="315"/>
      <c r="DV131" s="315"/>
      <c r="DW131" s="315"/>
      <c r="DX131" s="315"/>
      <c r="DY131" s="315"/>
      <c r="DZ131" s="315"/>
      <c r="EA131" s="315"/>
      <c r="EB131" s="315"/>
      <c r="EC131" s="315"/>
      <c r="ED131" s="314">
        <v>0</v>
      </c>
      <c r="EE131" s="168"/>
      <c r="EG131" s="107" t="s">
        <v>399</v>
      </c>
      <c r="EH131" s="315"/>
      <c r="EI131" s="315"/>
      <c r="EJ131" s="315"/>
      <c r="EK131" s="315"/>
      <c r="EL131" s="315"/>
      <c r="EM131" s="315"/>
      <c r="EN131" s="315"/>
      <c r="EO131" s="315"/>
      <c r="EP131" s="315"/>
      <c r="EQ131" s="315"/>
      <c r="ER131" s="315"/>
      <c r="ES131" s="315"/>
      <c r="ET131" s="314">
        <v>0</v>
      </c>
      <c r="EU131" s="168"/>
      <c r="EW131" s="164" t="s">
        <v>399</v>
      </c>
      <c r="EX131" s="316">
        <f t="shared" si="309"/>
        <v>0</v>
      </c>
      <c r="EY131" s="316">
        <f t="shared" si="305"/>
        <v>0</v>
      </c>
      <c r="EZ131" s="316">
        <f t="shared" si="305"/>
        <v>0</v>
      </c>
      <c r="FA131" s="316">
        <f t="shared" si="305"/>
        <v>0</v>
      </c>
      <c r="FB131" s="316">
        <f t="shared" si="305"/>
        <v>0</v>
      </c>
      <c r="FC131" s="316">
        <f t="shared" si="305"/>
        <v>0</v>
      </c>
      <c r="FD131" s="316">
        <f t="shared" si="305"/>
        <v>0</v>
      </c>
      <c r="FE131" s="316">
        <f t="shared" si="305"/>
        <v>0</v>
      </c>
      <c r="FF131" s="316"/>
      <c r="FG131" s="316">
        <f t="shared" si="305"/>
        <v>0</v>
      </c>
      <c r="FH131" s="316">
        <f t="shared" si="305"/>
        <v>0</v>
      </c>
      <c r="FI131" s="316">
        <f t="shared" si="305"/>
        <v>0</v>
      </c>
      <c r="FJ131" s="316">
        <f t="shared" si="305"/>
        <v>0</v>
      </c>
      <c r="FK131" s="316">
        <f t="shared" si="305"/>
        <v>0</v>
      </c>
      <c r="FL131" s="168"/>
    </row>
    <row r="132" spans="2:168" ht="15.75" thickBot="1" x14ac:dyDescent="0.3">
      <c r="B132" s="108" t="s">
        <v>29</v>
      </c>
      <c r="C132" s="109">
        <f t="shared" ref="C132:P132" si="332">SUM(C119:C131)</f>
        <v>0</v>
      </c>
      <c r="D132" s="110">
        <f t="shared" si="332"/>
        <v>0</v>
      </c>
      <c r="E132" s="110">
        <f t="shared" si="332"/>
        <v>1557159.3135600002</v>
      </c>
      <c r="F132" s="110">
        <f t="shared" si="332"/>
        <v>13069.19102</v>
      </c>
      <c r="G132" s="110">
        <f t="shared" si="332"/>
        <v>1441695.9670800001</v>
      </c>
      <c r="H132" s="110">
        <f t="shared" si="332"/>
        <v>41077.59304</v>
      </c>
      <c r="I132" s="110">
        <f t="shared" si="332"/>
        <v>176119.46624000001</v>
      </c>
      <c r="J132" s="110">
        <f t="shared" si="332"/>
        <v>3445.8493199999998</v>
      </c>
      <c r="K132" s="110">
        <f t="shared" si="332"/>
        <v>75777.442760000005</v>
      </c>
      <c r="L132" s="110">
        <f t="shared" si="332"/>
        <v>6189.4277199999997</v>
      </c>
      <c r="M132" s="110">
        <f t="shared" si="332"/>
        <v>3330.77684</v>
      </c>
      <c r="N132" s="110">
        <f t="shared" si="332"/>
        <v>3965.8413599999999</v>
      </c>
      <c r="O132" s="110">
        <f t="shared" si="332"/>
        <v>0</v>
      </c>
      <c r="P132" s="112">
        <f t="shared" si="332"/>
        <v>3321830.8689400004</v>
      </c>
      <c r="Y132" s="108" t="s">
        <v>29</v>
      </c>
      <c r="Z132" s="109">
        <f t="shared" ref="Z132:AM132" si="333">SUM(Z119:Z131)</f>
        <v>0</v>
      </c>
      <c r="AA132" s="110">
        <f t="shared" si="333"/>
        <v>0</v>
      </c>
      <c r="AB132" s="110">
        <f t="shared" si="333"/>
        <v>1557159.3135600002</v>
      </c>
      <c r="AC132" s="110">
        <f t="shared" si="333"/>
        <v>13069.19102</v>
      </c>
      <c r="AD132" s="110">
        <f t="shared" si="333"/>
        <v>1441695.9670800001</v>
      </c>
      <c r="AE132" s="110">
        <f t="shared" si="333"/>
        <v>41077.59304</v>
      </c>
      <c r="AF132" s="110">
        <f t="shared" si="333"/>
        <v>176119.46624000001</v>
      </c>
      <c r="AG132" s="110">
        <f t="shared" si="333"/>
        <v>3445.8493199999998</v>
      </c>
      <c r="AH132" s="110">
        <f t="shared" si="333"/>
        <v>79987.279462298742</v>
      </c>
      <c r="AI132" s="110">
        <f t="shared" si="333"/>
        <v>4171.9012972348655</v>
      </c>
      <c r="AJ132" s="110">
        <f t="shared" si="333"/>
        <v>2398.6544875762602</v>
      </c>
      <c r="AK132" s="110">
        <f t="shared" si="333"/>
        <v>3965.8413599999999</v>
      </c>
      <c r="AL132" s="110">
        <f t="shared" si="333"/>
        <v>0</v>
      </c>
      <c r="AM132" s="112">
        <f t="shared" si="333"/>
        <v>3323091.0568671101</v>
      </c>
      <c r="AO132" s="108" t="s">
        <v>29</v>
      </c>
      <c r="AP132" s="109">
        <f t="shared" ref="AP132:BC132" si="334">SUM(AP119:AP131)</f>
        <v>0</v>
      </c>
      <c r="AQ132" s="110">
        <f t="shared" si="334"/>
        <v>0</v>
      </c>
      <c r="AR132" s="110">
        <f t="shared" si="334"/>
        <v>547460</v>
      </c>
      <c r="AS132" s="110">
        <f t="shared" si="334"/>
        <v>13300</v>
      </c>
      <c r="AT132" s="110">
        <f t="shared" si="334"/>
        <v>373190</v>
      </c>
      <c r="AU132" s="110">
        <f t="shared" si="334"/>
        <v>11110</v>
      </c>
      <c r="AV132" s="110">
        <f t="shared" si="334"/>
        <v>124060</v>
      </c>
      <c r="AW132" s="110">
        <f t="shared" si="334"/>
        <v>1590</v>
      </c>
      <c r="AX132" s="110">
        <f t="shared" si="334"/>
        <v>18320</v>
      </c>
      <c r="AY132" s="110">
        <f t="shared" si="334"/>
        <v>980</v>
      </c>
      <c r="AZ132" s="110">
        <f t="shared" si="334"/>
        <v>0</v>
      </c>
      <c r="BA132" s="110">
        <f t="shared" si="334"/>
        <v>4850</v>
      </c>
      <c r="BB132" s="110">
        <f t="shared" si="334"/>
        <v>0</v>
      </c>
      <c r="BC132" s="112">
        <f t="shared" si="334"/>
        <v>1094860</v>
      </c>
      <c r="BE132" s="108" t="s">
        <v>29</v>
      </c>
      <c r="BF132" s="120" t="str">
        <f t="shared" si="314"/>
        <v/>
      </c>
      <c r="BG132" s="120" t="str">
        <f t="shared" si="314"/>
        <v/>
      </c>
      <c r="BH132" s="120">
        <f t="shared" si="314"/>
        <v>1</v>
      </c>
      <c r="BI132" s="120">
        <f t="shared" si="314"/>
        <v>1</v>
      </c>
      <c r="BJ132" s="120">
        <f t="shared" si="314"/>
        <v>1</v>
      </c>
      <c r="BK132" s="120">
        <f t="shared" si="314"/>
        <v>1</v>
      </c>
      <c r="BL132" s="120">
        <f t="shared" si="314"/>
        <v>1</v>
      </c>
      <c r="BM132" s="120">
        <f t="shared" si="314"/>
        <v>1</v>
      </c>
      <c r="BN132" s="120">
        <f t="shared" si="314"/>
        <v>1</v>
      </c>
      <c r="BO132" s="120">
        <f t="shared" si="314"/>
        <v>1</v>
      </c>
      <c r="BP132" s="120">
        <f t="shared" si="314"/>
        <v>1</v>
      </c>
      <c r="BQ132" s="120">
        <f t="shared" si="314"/>
        <v>1</v>
      </c>
      <c r="BR132" s="120" t="str">
        <f t="shared" si="314"/>
        <v/>
      </c>
      <c r="BS132" s="120">
        <f t="shared" si="314"/>
        <v>1</v>
      </c>
      <c r="BU132" s="108" t="s">
        <v>29</v>
      </c>
      <c r="BV132" s="120" t="str">
        <f t="shared" si="315"/>
        <v/>
      </c>
      <c r="BW132" s="121" t="str">
        <f t="shared" si="316"/>
        <v/>
      </c>
      <c r="BX132" s="121">
        <f t="shared" si="317"/>
        <v>1</v>
      </c>
      <c r="BY132" s="121">
        <f t="shared" si="318"/>
        <v>1</v>
      </c>
      <c r="BZ132" s="121">
        <f t="shared" si="319"/>
        <v>1</v>
      </c>
      <c r="CA132" s="121">
        <f t="shared" si="320"/>
        <v>1</v>
      </c>
      <c r="CB132" s="121">
        <f t="shared" si="321"/>
        <v>1</v>
      </c>
      <c r="CC132" s="121">
        <f t="shared" si="322"/>
        <v>1</v>
      </c>
      <c r="CD132" s="121">
        <f t="shared" si="323"/>
        <v>1</v>
      </c>
      <c r="CE132" s="121">
        <f t="shared" si="324"/>
        <v>1</v>
      </c>
      <c r="CF132" s="121" t="str">
        <f t="shared" si="325"/>
        <v/>
      </c>
      <c r="CG132" s="121">
        <f t="shared" si="326"/>
        <v>1</v>
      </c>
      <c r="CH132" s="121" t="str">
        <f t="shared" si="327"/>
        <v/>
      </c>
      <c r="CI132" s="123">
        <f t="shared" si="328"/>
        <v>1</v>
      </c>
      <c r="CK132" s="108" t="s">
        <v>29</v>
      </c>
      <c r="CL132" s="120" t="str">
        <f t="shared" si="330"/>
        <v/>
      </c>
      <c r="CM132" s="121" t="str">
        <f t="shared" si="330"/>
        <v/>
      </c>
      <c r="CN132" s="121">
        <f t="shared" si="330"/>
        <v>0</v>
      </c>
      <c r="CO132" s="121">
        <f t="shared" si="330"/>
        <v>0</v>
      </c>
      <c r="CP132" s="121"/>
      <c r="CQ132" s="121"/>
      <c r="CR132" s="121"/>
      <c r="CS132" s="121"/>
      <c r="CT132" s="121">
        <f t="shared" si="331"/>
        <v>0</v>
      </c>
      <c r="CU132" s="121">
        <f t="shared" si="331"/>
        <v>0</v>
      </c>
      <c r="CV132" s="121" t="e">
        <f t="shared" si="331"/>
        <v>#VALUE!</v>
      </c>
      <c r="CW132" s="121">
        <f t="shared" si="331"/>
        <v>0</v>
      </c>
      <c r="CX132" s="121" t="str">
        <f t="shared" si="331"/>
        <v/>
      </c>
      <c r="CY132" s="123">
        <f t="shared" si="331"/>
        <v>0</v>
      </c>
      <c r="DA132" s="108" t="s">
        <v>29</v>
      </c>
      <c r="DB132" s="120"/>
      <c r="DC132" s="121"/>
      <c r="DD132" s="121"/>
      <c r="DE132" s="121"/>
      <c r="DF132" s="121"/>
      <c r="DG132" s="121"/>
      <c r="DH132" s="121"/>
      <c r="DI132" s="121"/>
      <c r="DJ132" s="121"/>
      <c r="DK132" s="121"/>
      <c r="DL132" s="121"/>
      <c r="DM132" s="121"/>
      <c r="DN132" s="121"/>
      <c r="DO132" s="123"/>
      <c r="DQ132" s="108" t="s">
        <v>29</v>
      </c>
      <c r="DR132" s="120"/>
      <c r="DS132" s="121"/>
      <c r="DT132" s="121"/>
      <c r="DU132" s="121"/>
      <c r="DV132" s="121"/>
      <c r="DW132" s="121"/>
      <c r="DX132" s="121"/>
      <c r="DY132" s="121"/>
      <c r="DZ132" s="121"/>
      <c r="EA132" s="121"/>
      <c r="EB132" s="121"/>
      <c r="EC132" s="121"/>
      <c r="ED132" s="121"/>
      <c r="EE132" s="123"/>
      <c r="EG132" s="108" t="s">
        <v>29</v>
      </c>
      <c r="EH132" s="120"/>
      <c r="EI132" s="121"/>
      <c r="EJ132" s="121"/>
      <c r="EK132" s="121"/>
      <c r="EL132" s="121"/>
      <c r="EM132" s="121"/>
      <c r="EN132" s="121"/>
      <c r="EO132" s="121"/>
      <c r="EP132" s="121"/>
      <c r="EQ132" s="121"/>
      <c r="ER132" s="121"/>
      <c r="ES132" s="121"/>
      <c r="ET132" s="121"/>
      <c r="EU132" s="123"/>
      <c r="EW132" s="108" t="s">
        <v>29</v>
      </c>
      <c r="EX132" s="120"/>
      <c r="EY132" s="121"/>
      <c r="EZ132" s="121"/>
      <c r="FA132" s="121"/>
      <c r="FB132" s="121"/>
      <c r="FC132" s="121"/>
      <c r="FD132" s="121"/>
      <c r="FE132" s="121"/>
      <c r="FF132" s="121"/>
      <c r="FG132" s="121"/>
      <c r="FH132" s="121"/>
      <c r="FI132" s="121"/>
      <c r="FJ132" s="121"/>
      <c r="FK132" s="121"/>
      <c r="FL132" s="123"/>
    </row>
    <row r="133" spans="2:168" x14ac:dyDescent="0.25">
      <c r="B133" t="s">
        <v>224</v>
      </c>
      <c r="C133" s="383" t="s">
        <v>206</v>
      </c>
      <c r="D133" s="383"/>
      <c r="E133" s="383"/>
      <c r="F133" s="383"/>
      <c r="G133" s="383"/>
      <c r="H133" s="383"/>
      <c r="I133" s="383"/>
      <c r="J133" s="383"/>
      <c r="K133" s="383"/>
      <c r="L133" s="383"/>
      <c r="M133" s="383"/>
      <c r="N133" s="383"/>
      <c r="O133" s="383"/>
      <c r="P133" s="383"/>
      <c r="Y133" t="s">
        <v>224</v>
      </c>
      <c r="Z133" s="383" t="s">
        <v>206</v>
      </c>
      <c r="AA133" s="383"/>
      <c r="AB133" s="383"/>
      <c r="AC133" s="383"/>
      <c r="AD133" s="383"/>
      <c r="AE133" s="383"/>
      <c r="AF133" s="383"/>
      <c r="AG133" s="383"/>
      <c r="AH133" s="383"/>
      <c r="AI133" s="383"/>
      <c r="AJ133" s="383"/>
      <c r="AK133" s="383"/>
      <c r="AL133" s="383"/>
      <c r="AM133" s="383"/>
      <c r="AO133" t="s">
        <v>224</v>
      </c>
      <c r="AP133" s="383" t="s">
        <v>206</v>
      </c>
      <c r="AQ133" s="383"/>
      <c r="AR133" s="383"/>
      <c r="AS133" s="383"/>
      <c r="AT133" s="383"/>
      <c r="AU133" s="383"/>
      <c r="AV133" s="383"/>
      <c r="AW133" s="383"/>
      <c r="AX133" s="383"/>
      <c r="AY133" s="383"/>
      <c r="AZ133" s="383"/>
      <c r="BA133" s="383"/>
      <c r="BB133" s="383"/>
      <c r="BC133" s="383"/>
      <c r="BE133" t="s">
        <v>224</v>
      </c>
      <c r="BF133" s="383" t="s">
        <v>206</v>
      </c>
      <c r="BG133" s="383"/>
      <c r="BH133" s="383"/>
      <c r="BI133" s="383"/>
      <c r="BJ133" s="383"/>
      <c r="BK133" s="383"/>
      <c r="BL133" s="383"/>
      <c r="BM133" s="383"/>
      <c r="BN133" s="383"/>
      <c r="BO133" s="383"/>
      <c r="BP133" s="383"/>
      <c r="BQ133" s="383"/>
      <c r="BR133" s="383"/>
      <c r="BS133" s="383"/>
      <c r="BU133" t="s">
        <v>224</v>
      </c>
      <c r="BV133" s="383" t="s">
        <v>206</v>
      </c>
      <c r="BW133" s="383"/>
      <c r="BX133" s="383"/>
      <c r="BY133" s="383"/>
      <c r="BZ133" s="383"/>
      <c r="CA133" s="383"/>
      <c r="CB133" s="383"/>
      <c r="CC133" s="383"/>
      <c r="CD133" s="383"/>
      <c r="CE133" s="383"/>
      <c r="CF133" s="383"/>
      <c r="CG133" s="383"/>
      <c r="CH133" s="383"/>
      <c r="CI133" s="383"/>
      <c r="CK133" t="s">
        <v>224</v>
      </c>
      <c r="CL133" s="383" t="s">
        <v>206</v>
      </c>
      <c r="CM133" s="383"/>
      <c r="CN133" s="383"/>
      <c r="CO133" s="383"/>
      <c r="CP133" s="383"/>
      <c r="CQ133" s="383"/>
      <c r="CR133" s="383"/>
      <c r="CS133" s="383"/>
      <c r="CT133" s="383"/>
      <c r="CU133" s="383"/>
      <c r="CV133" s="383"/>
      <c r="CW133" s="383"/>
      <c r="CX133" s="383"/>
      <c r="CY133" s="383"/>
      <c r="DA133" t="s">
        <v>197</v>
      </c>
      <c r="DB133" s="383" t="s">
        <v>206</v>
      </c>
      <c r="DC133" s="383"/>
      <c r="DD133" s="383"/>
      <c r="DE133" s="383"/>
      <c r="DF133" s="383"/>
      <c r="DG133" s="383"/>
      <c r="DH133" s="383"/>
      <c r="DI133" s="383"/>
      <c r="DJ133" s="383"/>
      <c r="DK133" s="383"/>
      <c r="DL133" s="383"/>
      <c r="DM133" s="383"/>
      <c r="DN133" s="383"/>
      <c r="DO133" s="383"/>
      <c r="DQ133" t="s">
        <v>197</v>
      </c>
      <c r="DR133" s="383" t="s">
        <v>206</v>
      </c>
      <c r="DS133" s="383"/>
      <c r="DT133" s="383"/>
      <c r="DU133" s="383"/>
      <c r="DV133" s="383"/>
      <c r="DW133" s="383"/>
      <c r="DX133" s="383"/>
      <c r="DY133" s="383"/>
      <c r="DZ133" s="383"/>
      <c r="EA133" s="383"/>
      <c r="EB133" s="383"/>
      <c r="EC133" s="383"/>
      <c r="ED133" s="383"/>
      <c r="EE133" s="383"/>
      <c r="EG133" t="s">
        <v>197</v>
      </c>
      <c r="EH133" s="383" t="s">
        <v>206</v>
      </c>
      <c r="EI133" s="383"/>
      <c r="EJ133" s="383"/>
      <c r="EK133" s="383"/>
      <c r="EL133" s="383"/>
      <c r="EM133" s="383"/>
      <c r="EN133" s="383"/>
      <c r="EO133" s="383"/>
      <c r="EP133" s="383"/>
      <c r="EQ133" s="383"/>
      <c r="ER133" s="383"/>
      <c r="ES133" s="383"/>
      <c r="ET133" s="383"/>
      <c r="EU133" s="383"/>
      <c r="EW133" t="s">
        <v>197</v>
      </c>
      <c r="EX133" s="383" t="s">
        <v>207</v>
      </c>
      <c r="EY133" s="383"/>
      <c r="EZ133" s="383"/>
      <c r="FA133" s="383"/>
      <c r="FB133" s="383"/>
      <c r="FC133" s="383"/>
      <c r="FD133" s="383"/>
      <c r="FE133" s="383"/>
      <c r="FF133" s="383"/>
      <c r="FG133" s="383"/>
      <c r="FH133" s="383"/>
      <c r="FI133" s="383"/>
      <c r="FJ133" s="383"/>
      <c r="FK133" s="383"/>
      <c r="FL133" s="383"/>
    </row>
    <row r="134" spans="2:168" ht="35.450000000000003" customHeight="1" x14ac:dyDescent="0.25">
      <c r="B134" s="163" t="s">
        <v>207</v>
      </c>
      <c r="C134" s="164" t="s">
        <v>386</v>
      </c>
      <c r="D134" s="164" t="s">
        <v>387</v>
      </c>
      <c r="E134" s="164" t="s">
        <v>388</v>
      </c>
      <c r="F134" s="164" t="s">
        <v>389</v>
      </c>
      <c r="G134" s="164" t="s">
        <v>390</v>
      </c>
      <c r="H134" s="164" t="s">
        <v>391</v>
      </c>
      <c r="I134" s="164" t="s">
        <v>392</v>
      </c>
      <c r="J134" s="164" t="s">
        <v>393</v>
      </c>
      <c r="K134" s="164" t="s">
        <v>546</v>
      </c>
      <c r="L134" s="164" t="s">
        <v>396</v>
      </c>
      <c r="M134" s="164" t="s">
        <v>397</v>
      </c>
      <c r="N134" s="164" t="s">
        <v>398</v>
      </c>
      <c r="O134" s="164" t="s">
        <v>399</v>
      </c>
      <c r="P134" s="106" t="s">
        <v>29</v>
      </c>
      <c r="R134" s="164" t="s">
        <v>546</v>
      </c>
      <c r="S134" s="164" t="s">
        <v>396</v>
      </c>
      <c r="T134" s="164" t="s">
        <v>397</v>
      </c>
      <c r="U134" s="164" t="s">
        <v>546</v>
      </c>
      <c r="V134" s="164" t="s">
        <v>396</v>
      </c>
      <c r="W134" s="164" t="s">
        <v>397</v>
      </c>
      <c r="X134" s="296"/>
      <c r="Y134" s="163" t="s">
        <v>207</v>
      </c>
      <c r="Z134" s="164" t="s">
        <v>386</v>
      </c>
      <c r="AA134" s="164" t="s">
        <v>387</v>
      </c>
      <c r="AB134" s="164" t="s">
        <v>388</v>
      </c>
      <c r="AC134" s="164" t="s">
        <v>389</v>
      </c>
      <c r="AD134" s="164" t="s">
        <v>390</v>
      </c>
      <c r="AE134" s="164" t="s">
        <v>391</v>
      </c>
      <c r="AF134" s="164" t="s">
        <v>392</v>
      </c>
      <c r="AG134" s="164" t="s">
        <v>393</v>
      </c>
      <c r="AH134" s="164" t="s">
        <v>546</v>
      </c>
      <c r="AI134" s="164" t="s">
        <v>396</v>
      </c>
      <c r="AJ134" s="164" t="s">
        <v>397</v>
      </c>
      <c r="AK134" s="164" t="s">
        <v>398</v>
      </c>
      <c r="AL134" s="164" t="s">
        <v>399</v>
      </c>
      <c r="AM134" s="106" t="s">
        <v>29</v>
      </c>
      <c r="AN134" s="296"/>
      <c r="AO134" s="163" t="s">
        <v>207</v>
      </c>
      <c r="AP134" s="164" t="s">
        <v>386</v>
      </c>
      <c r="AQ134" s="164" t="s">
        <v>387</v>
      </c>
      <c r="AR134" s="164" t="s">
        <v>388</v>
      </c>
      <c r="AS134" s="164" t="s">
        <v>389</v>
      </c>
      <c r="AT134" s="164" t="s">
        <v>390</v>
      </c>
      <c r="AU134" s="164" t="s">
        <v>391</v>
      </c>
      <c r="AV134" s="164" t="s">
        <v>392</v>
      </c>
      <c r="AW134" s="164" t="s">
        <v>393</v>
      </c>
      <c r="AX134" s="164" t="s">
        <v>546</v>
      </c>
      <c r="AY134" s="164" t="s">
        <v>396</v>
      </c>
      <c r="AZ134" s="164" t="s">
        <v>397</v>
      </c>
      <c r="BA134" s="164" t="s">
        <v>398</v>
      </c>
      <c r="BB134" s="164" t="s">
        <v>399</v>
      </c>
      <c r="BC134" s="106" t="s">
        <v>29</v>
      </c>
      <c r="BE134" s="163" t="s">
        <v>207</v>
      </c>
      <c r="BF134" s="164" t="s">
        <v>538</v>
      </c>
      <c r="BG134" s="164"/>
      <c r="BH134" s="164" t="s">
        <v>576</v>
      </c>
      <c r="BI134" s="164"/>
      <c r="BJ134" s="164" t="s">
        <v>577</v>
      </c>
      <c r="BK134" s="164"/>
      <c r="BL134" s="164" t="s">
        <v>392</v>
      </c>
      <c r="BM134" s="164" t="s">
        <v>393</v>
      </c>
      <c r="BN134" s="164" t="s">
        <v>546</v>
      </c>
      <c r="BO134" s="164" t="s">
        <v>396</v>
      </c>
      <c r="BP134" s="164" t="s">
        <v>397</v>
      </c>
      <c r="BQ134" s="164" t="s">
        <v>398</v>
      </c>
      <c r="BR134" s="164" t="s">
        <v>399</v>
      </c>
      <c r="BS134" s="106" t="s">
        <v>29</v>
      </c>
      <c r="BU134" s="163" t="s">
        <v>207</v>
      </c>
      <c r="BV134" s="164" t="s">
        <v>538</v>
      </c>
      <c r="BW134" s="164"/>
      <c r="BX134" s="164" t="s">
        <v>576</v>
      </c>
      <c r="BY134" s="164"/>
      <c r="BZ134" s="164" t="s">
        <v>577</v>
      </c>
      <c r="CA134" s="164"/>
      <c r="CB134" s="164" t="s">
        <v>392</v>
      </c>
      <c r="CC134" s="164" t="s">
        <v>393</v>
      </c>
      <c r="CD134" s="164" t="s">
        <v>546</v>
      </c>
      <c r="CE134" s="164" t="s">
        <v>396</v>
      </c>
      <c r="CF134" s="164" t="s">
        <v>397</v>
      </c>
      <c r="CG134" s="164" t="s">
        <v>398</v>
      </c>
      <c r="CH134" s="164" t="s">
        <v>399</v>
      </c>
      <c r="CI134" s="106" t="s">
        <v>29</v>
      </c>
      <c r="CK134" s="163" t="s">
        <v>207</v>
      </c>
      <c r="CL134" s="164" t="s">
        <v>386</v>
      </c>
      <c r="CM134" s="164" t="s">
        <v>387</v>
      </c>
      <c r="CN134" s="164" t="s">
        <v>388</v>
      </c>
      <c r="CO134" s="164" t="s">
        <v>389</v>
      </c>
      <c r="CP134" s="164" t="s">
        <v>390</v>
      </c>
      <c r="CQ134" s="164" t="s">
        <v>391</v>
      </c>
      <c r="CR134" s="164" t="s">
        <v>392</v>
      </c>
      <c r="CS134" s="164" t="s">
        <v>393</v>
      </c>
      <c r="CT134" s="164" t="s">
        <v>546</v>
      </c>
      <c r="CU134" s="164" t="s">
        <v>396</v>
      </c>
      <c r="CV134" s="164" t="s">
        <v>397</v>
      </c>
      <c r="CW134" s="164" t="s">
        <v>398</v>
      </c>
      <c r="CX134" s="164" t="s">
        <v>399</v>
      </c>
      <c r="CY134" s="106" t="s">
        <v>29</v>
      </c>
      <c r="DA134" s="163" t="s">
        <v>207</v>
      </c>
      <c r="DB134" s="164" t="s">
        <v>538</v>
      </c>
      <c r="DC134" s="164"/>
      <c r="DD134" s="164" t="s">
        <v>576</v>
      </c>
      <c r="DE134" s="164"/>
      <c r="DF134" s="164" t="s">
        <v>577</v>
      </c>
      <c r="DG134" s="164"/>
      <c r="DH134" s="164" t="s">
        <v>392</v>
      </c>
      <c r="DI134" s="164" t="s">
        <v>393</v>
      </c>
      <c r="DJ134" s="164" t="s">
        <v>546</v>
      </c>
      <c r="DK134" s="164" t="s">
        <v>396</v>
      </c>
      <c r="DL134" s="164" t="s">
        <v>397</v>
      </c>
      <c r="DM134" s="164" t="s">
        <v>398</v>
      </c>
      <c r="DN134" s="164" t="s">
        <v>399</v>
      </c>
      <c r="DO134" s="106" t="s">
        <v>29</v>
      </c>
      <c r="DQ134" s="163" t="s">
        <v>207</v>
      </c>
      <c r="DR134" s="164" t="s">
        <v>538</v>
      </c>
      <c r="DS134" s="164"/>
      <c r="DT134" s="164" t="s">
        <v>576</v>
      </c>
      <c r="DU134" s="164"/>
      <c r="DV134" s="164" t="s">
        <v>577</v>
      </c>
      <c r="DW134" s="164"/>
      <c r="DX134" s="164" t="s">
        <v>392</v>
      </c>
      <c r="DY134" s="164" t="s">
        <v>393</v>
      </c>
      <c r="DZ134" s="164" t="s">
        <v>546</v>
      </c>
      <c r="EA134" s="164" t="s">
        <v>396</v>
      </c>
      <c r="EB134" s="164" t="s">
        <v>397</v>
      </c>
      <c r="EC134" s="164" t="s">
        <v>398</v>
      </c>
      <c r="ED134" s="164" t="s">
        <v>399</v>
      </c>
      <c r="EE134" s="106" t="s">
        <v>29</v>
      </c>
      <c r="EG134" s="163" t="s">
        <v>207</v>
      </c>
      <c r="EH134" s="164" t="s">
        <v>538</v>
      </c>
      <c r="EI134" s="164"/>
      <c r="EJ134" s="164" t="s">
        <v>576</v>
      </c>
      <c r="EK134" s="164"/>
      <c r="EL134" s="164" t="s">
        <v>577</v>
      </c>
      <c r="EM134" s="164"/>
      <c r="EN134" s="164" t="s">
        <v>392</v>
      </c>
      <c r="EO134" s="164" t="s">
        <v>393</v>
      </c>
      <c r="EP134" s="164" t="s">
        <v>546</v>
      </c>
      <c r="EQ134" s="164" t="s">
        <v>396</v>
      </c>
      <c r="ER134" s="164" t="s">
        <v>397</v>
      </c>
      <c r="ES134" s="164" t="s">
        <v>398</v>
      </c>
      <c r="ET134" s="164" t="s">
        <v>399</v>
      </c>
      <c r="EU134" s="106" t="s">
        <v>29</v>
      </c>
      <c r="EW134" s="163" t="s">
        <v>206</v>
      </c>
      <c r="EX134" s="164" t="s">
        <v>386</v>
      </c>
      <c r="EY134" s="164" t="s">
        <v>387</v>
      </c>
      <c r="EZ134" s="164" t="s">
        <v>388</v>
      </c>
      <c r="FA134" s="164" t="s">
        <v>389</v>
      </c>
      <c r="FB134" s="164" t="s">
        <v>390</v>
      </c>
      <c r="FC134" s="164" t="s">
        <v>391</v>
      </c>
      <c r="FD134" s="164" t="s">
        <v>392</v>
      </c>
      <c r="FE134" s="164" t="s">
        <v>393</v>
      </c>
      <c r="FF134" s="164"/>
      <c r="FG134" s="164" t="s">
        <v>546</v>
      </c>
      <c r="FH134" s="164" t="s">
        <v>396</v>
      </c>
      <c r="FI134" s="164" t="s">
        <v>397</v>
      </c>
      <c r="FJ134" s="164" t="s">
        <v>398</v>
      </c>
      <c r="FK134" s="164" t="s">
        <v>399</v>
      </c>
      <c r="FL134" s="106" t="s">
        <v>29</v>
      </c>
    </row>
    <row r="135" spans="2:168" x14ac:dyDescent="0.25">
      <c r="B135" s="107" t="s">
        <v>386</v>
      </c>
      <c r="C135" s="294"/>
      <c r="D135" s="294"/>
      <c r="E135" s="160">
        <f>TripMode_input!D116</f>
        <v>3333.1755499999999</v>
      </c>
      <c r="F135" s="160">
        <f>TripMode_input!E116</f>
        <v>12.729279999999999</v>
      </c>
      <c r="G135" s="160">
        <f>TripMode_input!F116</f>
        <v>1121.1537900000001</v>
      </c>
      <c r="H135" s="160">
        <f>TripMode_input!G116</f>
        <v>335.47404</v>
      </c>
      <c r="I135" s="294"/>
      <c r="J135" s="294"/>
      <c r="K135" s="294"/>
      <c r="L135" s="294"/>
      <c r="M135" s="294"/>
      <c r="N135" s="294"/>
      <c r="O135" s="294"/>
      <c r="P135" s="161">
        <f t="shared" ref="P135:P147" si="335">SUM(C135:O135)</f>
        <v>4802.5326599999999</v>
      </c>
      <c r="R135">
        <f>IF(K$143&gt;0,K135/K$143,0)</f>
        <v>0</v>
      </c>
      <c r="S135">
        <f>IF(L$144&gt;0,L135/L$144,0)</f>
        <v>0</v>
      </c>
      <c r="T135">
        <f>IF(M$145&gt;0,M135/M$145,0)</f>
        <v>0</v>
      </c>
      <c r="Y135" s="107" t="s">
        <v>386</v>
      </c>
      <c r="Z135" s="160">
        <f t="shared" ref="Z135:AC136" si="336">+C135</f>
        <v>0</v>
      </c>
      <c r="AA135" s="160">
        <f t="shared" si="336"/>
        <v>0</v>
      </c>
      <c r="AB135" s="160">
        <f t="shared" si="336"/>
        <v>3333.1755499999999</v>
      </c>
      <c r="AC135" s="160">
        <f t="shared" si="336"/>
        <v>12.729279999999999</v>
      </c>
      <c r="AD135" s="160">
        <f t="shared" ref="AD135:AD141" si="337">+G135</f>
        <v>1121.1537900000001</v>
      </c>
      <c r="AE135" s="160">
        <f t="shared" ref="AE135:AE141" si="338">+H135</f>
        <v>335.47404</v>
      </c>
      <c r="AF135" s="294"/>
      <c r="AG135" s="294"/>
      <c r="AH135" s="294"/>
      <c r="AI135" s="294"/>
      <c r="AJ135" s="294"/>
      <c r="AK135" s="294"/>
      <c r="AL135" s="294"/>
      <c r="AM135" s="161">
        <f t="shared" ref="AM135:AM147" si="339">SUM(Z135:AL135)</f>
        <v>4802.5326599999999</v>
      </c>
      <c r="AO135" s="107" t="s">
        <v>386</v>
      </c>
      <c r="AP135" s="160">
        <f>TripMode_input!R116*Index!$B$2</f>
        <v>0</v>
      </c>
      <c r="AQ135" s="160">
        <f>TripMode_input!S116*Index!$B$2</f>
        <v>0</v>
      </c>
      <c r="AR135" s="160">
        <f>TripMode_input!T116*Index!$B$2</f>
        <v>0</v>
      </c>
      <c r="AS135" s="160">
        <f>TripMode_input!U116*Index!$B$2</f>
        <v>0</v>
      </c>
      <c r="AT135" s="160">
        <f>TripMode_input!V116*Index!$B$2</f>
        <v>0</v>
      </c>
      <c r="AU135" s="160">
        <f>TripMode_input!W116*Index!$B$2</f>
        <v>0</v>
      </c>
      <c r="AV135" s="294">
        <f>TripMode_input!X116*Index!$B$2</f>
        <v>0</v>
      </c>
      <c r="AW135" s="294">
        <f>TripMode_input!Y116*Index!$B$2</f>
        <v>0</v>
      </c>
      <c r="AX135" s="294">
        <f>TripMode_input!AA116*Index!$B$2</f>
        <v>0</v>
      </c>
      <c r="AY135" s="294">
        <f>TripMode_input!AB116*Index!$B$2</f>
        <v>0</v>
      </c>
      <c r="AZ135" s="160">
        <f>TripMode_input!AC116*Index!$B$2</f>
        <v>0</v>
      </c>
      <c r="BA135" s="294">
        <f>TripMode_input!AD116*Index!$B$2</f>
        <v>0</v>
      </c>
      <c r="BB135" s="294">
        <f>TripMode_input!AE116*Index!$B$2</f>
        <v>0</v>
      </c>
      <c r="BC135" s="161">
        <f t="shared" ref="BC135:BC147" si="340">SUM(AP135:BB135)</f>
        <v>0</v>
      </c>
      <c r="BE135" s="107" t="s">
        <v>538</v>
      </c>
      <c r="BF135" s="166" t="str">
        <f>IF(Z$148+AA$148&gt;0,SUM(Z135:AA136)/(Z$148+AA$148),"")</f>
        <v/>
      </c>
      <c r="BG135" s="166"/>
      <c r="BH135" s="166">
        <f>IF(AB$148+AC$148&gt;0,SUM(AB135:AC136)/(AB$148+AC$148),"")</f>
        <v>3.3776186645420436E-3</v>
      </c>
      <c r="BI135" s="166"/>
      <c r="BJ135" s="166">
        <f>IF(AD$148+AE$148&gt;0,SUM(AD135:AE136)/(AD$148+AE$148),"")</f>
        <v>1.2044080272468646E-3</v>
      </c>
      <c r="BK135" s="166"/>
      <c r="BL135" s="166">
        <f t="shared" ref="BL135:BS135" si="341">IF(AF$148&gt;0,(AF135+AF136)/AF$148,"")</f>
        <v>0</v>
      </c>
      <c r="BM135" s="166">
        <f t="shared" si="341"/>
        <v>0</v>
      </c>
      <c r="BN135" s="166">
        <f t="shared" si="341"/>
        <v>0</v>
      </c>
      <c r="BO135" s="166">
        <f t="shared" si="341"/>
        <v>0</v>
      </c>
      <c r="BP135" s="166">
        <f t="shared" si="341"/>
        <v>0</v>
      </c>
      <c r="BQ135" s="166">
        <f t="shared" si="341"/>
        <v>0</v>
      </c>
      <c r="BR135" s="166">
        <f t="shared" si="341"/>
        <v>0</v>
      </c>
      <c r="BS135" s="166">
        <f t="shared" si="341"/>
        <v>1.8298172919427647E-3</v>
      </c>
      <c r="BU135" s="107" t="s">
        <v>538</v>
      </c>
      <c r="BV135" s="166" t="str">
        <f>IF(AP$148+AQ$148&gt;0,SUM(AP135:AQ136)/(AP$148+AQ$148),"")</f>
        <v/>
      </c>
      <c r="BW135" s="166"/>
      <c r="BX135" s="166">
        <f>IF(AR$148+AS$148&gt;0,SUM(AR135:AS136)/(AR$148+AS$148),"")</f>
        <v>0</v>
      </c>
      <c r="BY135" s="166"/>
      <c r="BZ135" s="166">
        <f>IF(AT$148+AU$148&gt;0,SUM(AT135:AU136)/(AT$148+AU$148),"")</f>
        <v>0</v>
      </c>
      <c r="CA135" s="166"/>
      <c r="CB135" s="166">
        <f t="shared" ref="CB135:CI135" si="342">IF(AV$148&gt;0,(AV135+AV136)/AV$148,"")</f>
        <v>0</v>
      </c>
      <c r="CC135" s="166">
        <f t="shared" si="342"/>
        <v>0</v>
      </c>
      <c r="CD135" s="166">
        <f t="shared" si="342"/>
        <v>0</v>
      </c>
      <c r="CE135" s="166">
        <f t="shared" si="342"/>
        <v>0</v>
      </c>
      <c r="CF135" s="166">
        <f t="shared" si="342"/>
        <v>0</v>
      </c>
      <c r="CG135" s="166">
        <f t="shared" si="342"/>
        <v>0</v>
      </c>
      <c r="CH135" s="166" t="str">
        <f t="shared" si="342"/>
        <v/>
      </c>
      <c r="CI135" s="166">
        <f t="shared" si="342"/>
        <v>0</v>
      </c>
      <c r="CK135" s="107" t="s">
        <v>386</v>
      </c>
      <c r="CL135" s="166" t="str">
        <f t="shared" ref="CL135:CO138" si="343">IF(OR(ISNA(BF135),BF135=0,BF135=""),"",(BV135-BF135)/BF135)</f>
        <v/>
      </c>
      <c r="CM135" s="166" t="str">
        <f t="shared" si="343"/>
        <v/>
      </c>
      <c r="CN135" s="166">
        <f t="shared" si="343"/>
        <v>-1</v>
      </c>
      <c r="CO135" s="166" t="str">
        <f t="shared" si="343"/>
        <v/>
      </c>
      <c r="CP135" s="166"/>
      <c r="CQ135" s="166"/>
      <c r="CR135" s="166"/>
      <c r="CS135" s="166"/>
      <c r="CT135" s="166" t="str">
        <f t="shared" ref="CT135:CY138" si="344">IF(OR(ISNA(BN135),BN135=0,BN135=""),"",(CD135-BN135)/BN135)</f>
        <v/>
      </c>
      <c r="CU135" s="166" t="str">
        <f t="shared" si="344"/>
        <v/>
      </c>
      <c r="CV135" s="166" t="str">
        <f t="shared" si="344"/>
        <v/>
      </c>
      <c r="CW135" s="166" t="str">
        <f t="shared" si="344"/>
        <v/>
      </c>
      <c r="CX135" s="166" t="str">
        <f t="shared" si="344"/>
        <v/>
      </c>
      <c r="CY135" s="167">
        <f t="shared" si="344"/>
        <v>-1</v>
      </c>
      <c r="DA135" s="107" t="s">
        <v>538</v>
      </c>
      <c r="DB135" s="314">
        <f>IFERROR(IF(BV135&gt;0,LN(BF135/BV135),0),0)</f>
        <v>0</v>
      </c>
      <c r="DC135" s="314"/>
      <c r="DD135" s="314">
        <f>IFERROR(IF(BX135&gt;0,LN(BH135/BX135),0),0)</f>
        <v>0</v>
      </c>
      <c r="DE135" s="314"/>
      <c r="DF135" s="314">
        <f>IFERROR(IF(BZ135&gt;0,LN(BJ135/BZ135),0),0)</f>
        <v>0</v>
      </c>
      <c r="DG135" s="314"/>
      <c r="DH135" s="315">
        <f t="shared" ref="DH135:DN135" si="345">IFERROR(IF(CB135&gt;0,LN(BL135/CB135),0),0)</f>
        <v>0</v>
      </c>
      <c r="DI135" s="315">
        <f t="shared" si="345"/>
        <v>0</v>
      </c>
      <c r="DJ135" s="315">
        <f t="shared" si="345"/>
        <v>0</v>
      </c>
      <c r="DK135" s="315">
        <f t="shared" si="345"/>
        <v>0</v>
      </c>
      <c r="DL135" s="315">
        <f t="shared" si="345"/>
        <v>0</v>
      </c>
      <c r="DM135" s="315">
        <f t="shared" si="345"/>
        <v>0</v>
      </c>
      <c r="DN135" s="315">
        <f t="shared" si="345"/>
        <v>0</v>
      </c>
      <c r="DO135" s="167"/>
      <c r="DQ135" s="107" t="s">
        <v>538</v>
      </c>
      <c r="DR135" s="314">
        <v>0</v>
      </c>
      <c r="DS135" s="314">
        <v>0</v>
      </c>
      <c r="DT135" s="314">
        <v>0</v>
      </c>
      <c r="DU135" s="314">
        <v>0</v>
      </c>
      <c r="DV135" s="314">
        <v>0</v>
      </c>
      <c r="DW135" s="314">
        <v>0</v>
      </c>
      <c r="DX135" s="315"/>
      <c r="DY135" s="315"/>
      <c r="DZ135" s="315"/>
      <c r="EA135" s="315"/>
      <c r="EB135" s="315"/>
      <c r="EC135" s="315"/>
      <c r="ED135" s="315"/>
      <c r="EE135" s="167"/>
      <c r="EG135" s="107" t="s">
        <v>538</v>
      </c>
      <c r="EH135" s="314">
        <v>0</v>
      </c>
      <c r="EI135" s="314">
        <v>0</v>
      </c>
      <c r="EJ135" s="314">
        <v>0</v>
      </c>
      <c r="EK135" s="314">
        <v>0</v>
      </c>
      <c r="EL135" s="314">
        <v>0</v>
      </c>
      <c r="EM135" s="314">
        <v>0</v>
      </c>
      <c r="EN135" s="315"/>
      <c r="EO135" s="315"/>
      <c r="EP135" s="315"/>
      <c r="EQ135" s="315"/>
      <c r="ER135" s="315"/>
      <c r="ES135" s="315"/>
      <c r="ET135" s="315"/>
      <c r="EU135" s="167"/>
      <c r="EW135" s="164" t="s">
        <v>386</v>
      </c>
      <c r="EX135" s="316">
        <f>INDEX($EH$135:$ET$147,EX$4,MATCH($EW135,$EW$7:$EW$19,0))</f>
        <v>0</v>
      </c>
      <c r="EY135" s="316">
        <f t="shared" ref="EY135:FK147" si="346">INDEX($EH$135:$ET$147,EY$4,MATCH($EW135,$EW$7:$EW$19,0))</f>
        <v>0</v>
      </c>
      <c r="EZ135" s="316">
        <f t="shared" si="346"/>
        <v>0</v>
      </c>
      <c r="FA135" s="316">
        <f t="shared" si="346"/>
        <v>0</v>
      </c>
      <c r="FB135" s="316">
        <f t="shared" si="346"/>
        <v>0</v>
      </c>
      <c r="FC135" s="316">
        <f t="shared" si="346"/>
        <v>0</v>
      </c>
      <c r="FD135" s="316">
        <f t="shared" si="346"/>
        <v>0</v>
      </c>
      <c r="FE135" s="316">
        <f t="shared" si="346"/>
        <v>0</v>
      </c>
      <c r="FF135" s="316"/>
      <c r="FG135" s="316">
        <f t="shared" si="346"/>
        <v>0</v>
      </c>
      <c r="FH135" s="316">
        <f t="shared" si="346"/>
        <v>0</v>
      </c>
      <c r="FI135" s="316">
        <f t="shared" si="346"/>
        <v>0</v>
      </c>
      <c r="FJ135" s="316">
        <f t="shared" si="346"/>
        <v>0</v>
      </c>
      <c r="FK135" s="316">
        <f t="shared" si="346"/>
        <v>0</v>
      </c>
      <c r="FL135" s="167"/>
    </row>
    <row r="136" spans="2:168" x14ac:dyDescent="0.25">
      <c r="B136" s="107" t="s">
        <v>387</v>
      </c>
      <c r="C136" s="294"/>
      <c r="D136" s="294"/>
      <c r="E136" s="160">
        <f>TripMode_input!D117</f>
        <v>0</v>
      </c>
      <c r="F136" s="160">
        <f>TripMode_input!E117</f>
        <v>0</v>
      </c>
      <c r="G136" s="160">
        <f>TripMode_input!F117</f>
        <v>0</v>
      </c>
      <c r="H136" s="160">
        <f>TripMode_input!G117</f>
        <v>503.67755</v>
      </c>
      <c r="I136" s="294"/>
      <c r="J136" s="294"/>
      <c r="K136" s="294"/>
      <c r="L136" s="294"/>
      <c r="M136" s="294"/>
      <c r="N136" s="294"/>
      <c r="O136" s="294"/>
      <c r="P136" s="162">
        <f t="shared" si="335"/>
        <v>503.67755</v>
      </c>
      <c r="R136">
        <f t="shared" ref="R136:R147" si="347">IF(K$143&gt;0,K136/K$143,0)</f>
        <v>0</v>
      </c>
      <c r="S136">
        <f t="shared" ref="S136:S147" si="348">IF(L$144&gt;0,L136/L$144,0)</f>
        <v>0</v>
      </c>
      <c r="T136">
        <f t="shared" ref="T136:T147" si="349">IF(M$145&gt;0,M136/M$145,0)</f>
        <v>0</v>
      </c>
      <c r="Y136" s="107" t="s">
        <v>387</v>
      </c>
      <c r="Z136" s="160">
        <f t="shared" si="336"/>
        <v>0</v>
      </c>
      <c r="AA136" s="160">
        <f t="shared" si="336"/>
        <v>0</v>
      </c>
      <c r="AB136" s="160">
        <f t="shared" si="336"/>
        <v>0</v>
      </c>
      <c r="AC136" s="160">
        <f t="shared" si="336"/>
        <v>0</v>
      </c>
      <c r="AD136" s="160">
        <f t="shared" si="337"/>
        <v>0</v>
      </c>
      <c r="AE136" s="160">
        <f t="shared" si="338"/>
        <v>503.67755</v>
      </c>
      <c r="AF136" s="294"/>
      <c r="AG136" s="294"/>
      <c r="AH136" s="294"/>
      <c r="AI136" s="294"/>
      <c r="AJ136" s="294"/>
      <c r="AK136" s="294"/>
      <c r="AL136" s="294"/>
      <c r="AM136" s="162">
        <f t="shared" si="339"/>
        <v>503.67755</v>
      </c>
      <c r="AO136" s="107" t="s">
        <v>387</v>
      </c>
      <c r="AP136" s="160">
        <f>TripMode_input!R117*Index!$B$2</f>
        <v>0</v>
      </c>
      <c r="AQ136" s="160">
        <f>TripMode_input!S117*Index!$B$2</f>
        <v>0</v>
      </c>
      <c r="AR136" s="160">
        <f>TripMode_input!T117*Index!$B$2</f>
        <v>0</v>
      </c>
      <c r="AS136" s="160">
        <f>TripMode_input!U117*Index!$B$2</f>
        <v>0</v>
      </c>
      <c r="AT136" s="160">
        <f>TripMode_input!V117*Index!$B$2</f>
        <v>0</v>
      </c>
      <c r="AU136" s="160">
        <f>TripMode_input!W117*Index!$B$2</f>
        <v>0</v>
      </c>
      <c r="AV136" s="294">
        <f>TripMode_input!X117*Index!$B$2</f>
        <v>0</v>
      </c>
      <c r="AW136" s="294">
        <f>TripMode_input!Y117*Index!$B$2</f>
        <v>0</v>
      </c>
      <c r="AX136" s="294">
        <f>TripMode_input!AA117*Index!$B$2</f>
        <v>0</v>
      </c>
      <c r="AY136" s="294">
        <f>TripMode_input!AB117*Index!$B$2</f>
        <v>0</v>
      </c>
      <c r="AZ136" s="160">
        <f>TripMode_input!AC117*Index!$B$2</f>
        <v>0</v>
      </c>
      <c r="BA136" s="294">
        <f>TripMode_input!AD117*Index!$B$2</f>
        <v>0</v>
      </c>
      <c r="BB136" s="294">
        <f>TripMode_input!AE117*Index!$B$2</f>
        <v>0</v>
      </c>
      <c r="BC136" s="162">
        <f t="shared" si="340"/>
        <v>0</v>
      </c>
      <c r="BE136" s="107"/>
      <c r="BF136" s="166"/>
      <c r="BG136" s="166"/>
      <c r="BH136" s="166"/>
      <c r="BI136" s="166"/>
      <c r="BJ136" s="166"/>
      <c r="BK136" s="166"/>
      <c r="BL136" s="166"/>
      <c r="BM136" s="166"/>
      <c r="BN136" s="166"/>
      <c r="BO136" s="166"/>
      <c r="BP136" s="166"/>
      <c r="BQ136" s="166"/>
      <c r="BR136" s="166"/>
      <c r="BS136" s="166"/>
      <c r="BU136" s="107"/>
      <c r="BV136" s="166"/>
      <c r="BW136" s="166"/>
      <c r="BX136" s="166"/>
      <c r="BY136" s="166"/>
      <c r="BZ136" s="166"/>
      <c r="CA136" s="166"/>
      <c r="CB136" s="166"/>
      <c r="CC136" s="166"/>
      <c r="CD136" s="166"/>
      <c r="CE136" s="166"/>
      <c r="CF136" s="166"/>
      <c r="CG136" s="166"/>
      <c r="CH136" s="166"/>
      <c r="CI136" s="166"/>
      <c r="CK136" s="107" t="s">
        <v>387</v>
      </c>
      <c r="CL136" s="166" t="str">
        <f t="shared" si="343"/>
        <v/>
      </c>
      <c r="CM136" s="166" t="str">
        <f t="shared" si="343"/>
        <v/>
      </c>
      <c r="CN136" s="166" t="str">
        <f t="shared" si="343"/>
        <v/>
      </c>
      <c r="CO136" s="166" t="str">
        <f t="shared" si="343"/>
        <v/>
      </c>
      <c r="CP136" s="166"/>
      <c r="CQ136" s="166"/>
      <c r="CR136" s="166"/>
      <c r="CS136" s="166"/>
      <c r="CT136" s="166" t="str">
        <f t="shared" si="344"/>
        <v/>
      </c>
      <c r="CU136" s="166" t="str">
        <f t="shared" si="344"/>
        <v/>
      </c>
      <c r="CV136" s="166" t="str">
        <f t="shared" si="344"/>
        <v/>
      </c>
      <c r="CW136" s="166" t="str">
        <f t="shared" si="344"/>
        <v/>
      </c>
      <c r="CX136" s="166" t="str">
        <f t="shared" si="344"/>
        <v/>
      </c>
      <c r="CY136" s="168" t="str">
        <f t="shared" si="344"/>
        <v/>
      </c>
      <c r="DA136" s="107"/>
      <c r="DB136" s="314"/>
      <c r="DC136" s="314"/>
      <c r="DD136" s="314"/>
      <c r="DE136" s="314"/>
      <c r="DF136" s="314"/>
      <c r="DG136" s="314"/>
      <c r="DH136" s="315"/>
      <c r="DI136" s="315"/>
      <c r="DJ136" s="315"/>
      <c r="DK136" s="315"/>
      <c r="DL136" s="315"/>
      <c r="DM136" s="315"/>
      <c r="DN136" s="315"/>
      <c r="DO136" s="168"/>
      <c r="DQ136" s="107"/>
      <c r="DR136" s="314">
        <v>0</v>
      </c>
      <c r="DS136" s="314">
        <v>0</v>
      </c>
      <c r="DT136" s="314">
        <v>0</v>
      </c>
      <c r="DU136" s="314">
        <v>0</v>
      </c>
      <c r="DV136" s="314">
        <v>0</v>
      </c>
      <c r="DW136" s="314">
        <v>0</v>
      </c>
      <c r="DX136" s="315"/>
      <c r="DY136" s="315"/>
      <c r="DZ136" s="315"/>
      <c r="EA136" s="315"/>
      <c r="EB136" s="315"/>
      <c r="EC136" s="315"/>
      <c r="ED136" s="315"/>
      <c r="EE136" s="168"/>
      <c r="EG136" s="107"/>
      <c r="EH136" s="314">
        <v>0</v>
      </c>
      <c r="EI136" s="314">
        <v>0</v>
      </c>
      <c r="EJ136" s="314">
        <v>0</v>
      </c>
      <c r="EK136" s="314">
        <v>0</v>
      </c>
      <c r="EL136" s="314">
        <v>0</v>
      </c>
      <c r="EM136" s="314">
        <v>0</v>
      </c>
      <c r="EN136" s="315"/>
      <c r="EO136" s="315"/>
      <c r="EP136" s="315"/>
      <c r="EQ136" s="315"/>
      <c r="ER136" s="315"/>
      <c r="ES136" s="315"/>
      <c r="ET136" s="315"/>
      <c r="EU136" s="168"/>
      <c r="EW136" s="164" t="s">
        <v>387</v>
      </c>
      <c r="EX136" s="316">
        <f t="shared" ref="EX136:EX147" si="350">INDEX($EH$135:$ET$147,EX$4,MATCH($EW136,$EW$7:$EW$19,0))</f>
        <v>0</v>
      </c>
      <c r="EY136" s="316">
        <f t="shared" si="346"/>
        <v>0</v>
      </c>
      <c r="EZ136" s="316">
        <f t="shared" si="346"/>
        <v>0</v>
      </c>
      <c r="FA136" s="316">
        <f t="shared" si="346"/>
        <v>0</v>
      </c>
      <c r="FB136" s="316">
        <f t="shared" si="346"/>
        <v>0</v>
      </c>
      <c r="FC136" s="316">
        <f t="shared" si="346"/>
        <v>0</v>
      </c>
      <c r="FD136" s="316">
        <f t="shared" si="346"/>
        <v>0</v>
      </c>
      <c r="FE136" s="316">
        <f t="shared" si="346"/>
        <v>0</v>
      </c>
      <c r="FF136" s="316"/>
      <c r="FG136" s="316">
        <f t="shared" si="346"/>
        <v>0</v>
      </c>
      <c r="FH136" s="316">
        <f t="shared" si="346"/>
        <v>0</v>
      </c>
      <c r="FI136" s="316">
        <f t="shared" si="346"/>
        <v>0</v>
      </c>
      <c r="FJ136" s="316">
        <f t="shared" si="346"/>
        <v>0</v>
      </c>
      <c r="FK136" s="316">
        <f t="shared" si="346"/>
        <v>0</v>
      </c>
      <c r="FL136" s="168"/>
    </row>
    <row r="137" spans="2:168" x14ac:dyDescent="0.25">
      <c r="B137" s="107" t="s">
        <v>388</v>
      </c>
      <c r="C137" s="294"/>
      <c r="D137" s="294"/>
      <c r="E137" s="160">
        <f>TripMode_input!D118</f>
        <v>966326.61259000003</v>
      </c>
      <c r="F137" s="160">
        <f>TripMode_input!E118</f>
        <v>3955.3921999999998</v>
      </c>
      <c r="G137" s="160">
        <f>TripMode_input!F118</f>
        <v>106660.25827999999</v>
      </c>
      <c r="H137" s="160">
        <f>TripMode_input!G118</f>
        <v>339.82889999999998</v>
      </c>
      <c r="I137" s="294"/>
      <c r="J137" s="294"/>
      <c r="K137" s="160">
        <f>TripMode_input!J118+TripMode_input!K118</f>
        <v>335.47404</v>
      </c>
      <c r="L137" s="294"/>
      <c r="M137" s="294"/>
      <c r="N137" s="160">
        <f>TripMode_input!N118</f>
        <v>377.36547999999999</v>
      </c>
      <c r="O137" s="294"/>
      <c r="P137" s="162">
        <f t="shared" si="335"/>
        <v>1077994.9314900001</v>
      </c>
      <c r="R137">
        <f t="shared" si="347"/>
        <v>9.9553984350710459E-3</v>
      </c>
      <c r="S137">
        <f t="shared" si="348"/>
        <v>0</v>
      </c>
      <c r="T137">
        <f t="shared" si="349"/>
        <v>0</v>
      </c>
      <c r="Y137" s="107" t="s">
        <v>388</v>
      </c>
      <c r="Z137" s="294"/>
      <c r="AA137" s="294"/>
      <c r="AB137" s="160">
        <f>+E137</f>
        <v>966326.61259000003</v>
      </c>
      <c r="AC137" s="160">
        <f>+F137</f>
        <v>3955.3921999999998</v>
      </c>
      <c r="AD137" s="160">
        <f t="shared" si="337"/>
        <v>106660.25827999999</v>
      </c>
      <c r="AE137" s="160">
        <f t="shared" si="338"/>
        <v>339.82889999999998</v>
      </c>
      <c r="AF137" s="294"/>
      <c r="AG137" s="294"/>
      <c r="AH137" s="160">
        <f>AH143*R137</f>
        <v>354.111392684669</v>
      </c>
      <c r="AI137" s="294"/>
      <c r="AJ137" s="294"/>
      <c r="AK137" s="160">
        <f>+N137</f>
        <v>377.36547999999999</v>
      </c>
      <c r="AL137" s="294"/>
      <c r="AM137" s="162">
        <f t="shared" si="339"/>
        <v>1078013.5688426849</v>
      </c>
      <c r="AO137" s="107" t="s">
        <v>388</v>
      </c>
      <c r="AP137" s="294">
        <f>TripMode_input!R118*Index!$B$2</f>
        <v>0</v>
      </c>
      <c r="AQ137" s="294">
        <f>TripMode_input!S118*Index!$B$2</f>
        <v>0</v>
      </c>
      <c r="AR137" s="160">
        <f>TripMode_input!T118*Index!$B$2</f>
        <v>365665</v>
      </c>
      <c r="AS137" s="160">
        <f>TripMode_input!U118*Index!$B$2</f>
        <v>7240</v>
      </c>
      <c r="AT137" s="160">
        <f>TripMode_input!V118*Index!$B$2</f>
        <v>10205</v>
      </c>
      <c r="AU137" s="160">
        <f>TripMode_input!W118*Index!$B$2</f>
        <v>130</v>
      </c>
      <c r="AV137" s="294">
        <f>TripMode_input!X118*Index!$B$2</f>
        <v>0</v>
      </c>
      <c r="AW137" s="294">
        <f>TripMode_input!Y118*Index!$B$2</f>
        <v>0</v>
      </c>
      <c r="AX137" s="160">
        <f>TripMode_input!AA118*Index!$B$2</f>
        <v>535</v>
      </c>
      <c r="AY137" s="160">
        <f>TripMode_input!AB118*Index!$B$2</f>
        <v>0</v>
      </c>
      <c r="AZ137" s="160">
        <f>TripMode_input!AC118*Index!$B$2</f>
        <v>0</v>
      </c>
      <c r="BA137" s="160">
        <f>TripMode_input!AD118*Index!$B$2</f>
        <v>50</v>
      </c>
      <c r="BB137" s="294">
        <f>TripMode_input!AE118*Index!$B$2</f>
        <v>0</v>
      </c>
      <c r="BC137" s="162">
        <f t="shared" si="340"/>
        <v>383825</v>
      </c>
      <c r="BE137" s="107" t="s">
        <v>576</v>
      </c>
      <c r="BF137" s="166" t="str">
        <f>IF(Z$148+AA$148&gt;0,SUM(Z137:AA138)/(Z$148+AA$148),"")</f>
        <v/>
      </c>
      <c r="BG137" s="166"/>
      <c r="BH137" s="166">
        <f>IF(AB$148+AC$148&gt;0,SUM(AB137:AC138)/(AB$148+AC$148),"")</f>
        <v>0.99274480433891865</v>
      </c>
      <c r="BI137" s="166"/>
      <c r="BJ137" s="166">
        <f>IF(AD$148+AE$148&gt;0,SUM(AD137:AE138)/(AD$148+AE$148),"")</f>
        <v>6.6238758470348755E-2</v>
      </c>
      <c r="BK137" s="166"/>
      <c r="BL137" s="166">
        <f t="shared" ref="BL137:BS137" si="351">IF(AF$148&gt;0,(AF137+AF138)/AF$148,"")</f>
        <v>0</v>
      </c>
      <c r="BM137" s="166">
        <f t="shared" si="351"/>
        <v>0</v>
      </c>
      <c r="BN137" s="166">
        <f t="shared" si="351"/>
        <v>8.1330609043439462E-3</v>
      </c>
      <c r="BO137" s="166">
        <f t="shared" si="351"/>
        <v>0</v>
      </c>
      <c r="BP137" s="166">
        <f t="shared" si="351"/>
        <v>0</v>
      </c>
      <c r="BQ137" s="166">
        <f t="shared" si="351"/>
        <v>9.6223745579543635E-2</v>
      </c>
      <c r="BR137" s="166">
        <f t="shared" si="351"/>
        <v>0</v>
      </c>
      <c r="BS137" s="166">
        <f t="shared" si="351"/>
        <v>0.37655837603163417</v>
      </c>
      <c r="BU137" s="107" t="s">
        <v>576</v>
      </c>
      <c r="BV137" s="166" t="str">
        <f>IF(AP$148+AQ$148&gt;0,SUM(AP137:AQ138)/(AP$148+AQ$148),"")</f>
        <v/>
      </c>
      <c r="BW137" s="166"/>
      <c r="BX137" s="166">
        <f>IF(AR$148+AS$148&gt;0,SUM(AR137:AS138)/(AR$148+AS$148),"")</f>
        <v>0.99497174091861917</v>
      </c>
      <c r="BY137" s="166"/>
      <c r="BZ137" s="166">
        <f>IF(AT$148+AU$148&gt;0,SUM(AT137:AU138)/(AT$148+AU$148),"")</f>
        <v>2.6329120336364326E-2</v>
      </c>
      <c r="CA137" s="166"/>
      <c r="CB137" s="166">
        <f t="shared" ref="CB137:CI137" si="352">IF(AV$148&gt;0,(AV137+AV138)/AV$148,"")</f>
        <v>0</v>
      </c>
      <c r="CC137" s="166">
        <f t="shared" si="352"/>
        <v>0</v>
      </c>
      <c r="CD137" s="166">
        <f t="shared" si="352"/>
        <v>7.134146341463414E-2</v>
      </c>
      <c r="CE137" s="166">
        <f t="shared" si="352"/>
        <v>0</v>
      </c>
      <c r="CF137" s="166">
        <f t="shared" si="352"/>
        <v>0</v>
      </c>
      <c r="CG137" s="166">
        <f t="shared" si="352"/>
        <v>5.8558558558558557E-2</v>
      </c>
      <c r="CH137" s="166" t="str">
        <f t="shared" si="352"/>
        <v/>
      </c>
      <c r="CI137" s="166">
        <f t="shared" si="352"/>
        <v>0.43712913892286087</v>
      </c>
      <c r="CK137" s="107" t="s">
        <v>388</v>
      </c>
      <c r="CL137" s="166" t="str">
        <f t="shared" si="343"/>
        <v/>
      </c>
      <c r="CM137" s="166" t="str">
        <f t="shared" si="343"/>
        <v/>
      </c>
      <c r="CN137" s="166">
        <f t="shared" si="343"/>
        <v>2.2432115181740668E-3</v>
      </c>
      <c r="CO137" s="166" t="str">
        <f t="shared" si="343"/>
        <v/>
      </c>
      <c r="CP137" s="166"/>
      <c r="CQ137" s="166"/>
      <c r="CR137" s="166"/>
      <c r="CS137" s="166"/>
      <c r="CT137" s="166">
        <f t="shared" si="344"/>
        <v>7.771785217608536</v>
      </c>
      <c r="CU137" s="166" t="str">
        <f t="shared" si="344"/>
        <v/>
      </c>
      <c r="CV137" s="166" t="str">
        <f t="shared" si="344"/>
        <v/>
      </c>
      <c r="CW137" s="166">
        <f t="shared" si="344"/>
        <v>-0.3914333909383006</v>
      </c>
      <c r="CX137" s="166" t="str">
        <f t="shared" si="344"/>
        <v/>
      </c>
      <c r="CY137" s="168">
        <f t="shared" si="344"/>
        <v>0.16085358007316836</v>
      </c>
      <c r="DA137" s="107" t="s">
        <v>576</v>
      </c>
      <c r="DB137" s="315">
        <f>IFERROR(IF(BV137&gt;0,LN(BF137/BV137),0),0)</f>
        <v>0</v>
      </c>
      <c r="DC137" s="315"/>
      <c r="DD137" s="314">
        <f>IFERROR(IF(BX137&gt;0,LN(BH137/BX137),0),0)</f>
        <v>-2.2406992755094265E-3</v>
      </c>
      <c r="DE137" s="314"/>
      <c r="DF137" s="314">
        <f>IFERROR(IF(BZ137&gt;0,LN(BJ137/BZ137),0),0)</f>
        <v>0.92259020322911056</v>
      </c>
      <c r="DG137" s="314"/>
      <c r="DH137" s="315">
        <f t="shared" ref="DH137:DN137" si="353">IFERROR(IF(CB137&gt;0,LN(BL137/CB137),0),0)</f>
        <v>0</v>
      </c>
      <c r="DI137" s="315">
        <f t="shared" si="353"/>
        <v>0</v>
      </c>
      <c r="DJ137" s="314">
        <f t="shared" si="353"/>
        <v>-2.1715403452591326</v>
      </c>
      <c r="DK137" s="315">
        <f t="shared" si="353"/>
        <v>0</v>
      </c>
      <c r="DL137" s="315">
        <f t="shared" si="353"/>
        <v>0</v>
      </c>
      <c r="DM137" s="314">
        <f t="shared" si="353"/>
        <v>0.49664890818757673</v>
      </c>
      <c r="DN137" s="315">
        <f t="shared" si="353"/>
        <v>0</v>
      </c>
      <c r="DO137" s="168"/>
      <c r="DQ137" s="107" t="s">
        <v>576</v>
      </c>
      <c r="DR137" s="315"/>
      <c r="DS137" s="315"/>
      <c r="DT137" s="314">
        <v>6.615642038651998E-4</v>
      </c>
      <c r="DU137" s="314">
        <v>6.615642038651998E-4</v>
      </c>
      <c r="DV137" s="314">
        <v>5.4087474198881633</v>
      </c>
      <c r="DW137" s="314">
        <v>5.4087474198881633</v>
      </c>
      <c r="DX137" s="315"/>
      <c r="DY137" s="315"/>
      <c r="DZ137" s="314">
        <v>-8.513144496085383</v>
      </c>
      <c r="EA137" s="315"/>
      <c r="EB137" s="315"/>
      <c r="EC137" s="314">
        <v>2.3172790348029504</v>
      </c>
      <c r="ED137" s="315"/>
      <c r="EE137" s="168"/>
      <c r="EG137" s="107" t="s">
        <v>576</v>
      </c>
      <c r="EH137" s="315"/>
      <c r="EI137" s="315"/>
      <c r="EJ137" s="314">
        <f>DT137+(DD137-DD$135)*$EI$1</f>
        <v>-1.5791350716442267E-3</v>
      </c>
      <c r="EK137" s="314">
        <f>DT137+(DD137-DD$135)*$EI$1</f>
        <v>-1.5791350716442267E-3</v>
      </c>
      <c r="EL137" s="314">
        <f>DV137+(DF137-DF$135)*$EI$1</f>
        <v>6.3313376231172738</v>
      </c>
      <c r="EM137" s="314">
        <f>DV137+(DF137-DF$135)*$EI$1</f>
        <v>6.3313376231172738</v>
      </c>
      <c r="EN137" s="315"/>
      <c r="EO137" s="315"/>
      <c r="EP137" s="314">
        <f>DZ137+(DJ137-DJ$143)*$EI$1</f>
        <v>-10.629367475283011</v>
      </c>
      <c r="EQ137" s="315"/>
      <c r="ER137" s="315"/>
      <c r="ES137" s="314">
        <f>EC137+(DM137-DM$146)*$EI$1</f>
        <v>2.8969865614007966</v>
      </c>
      <c r="ET137" s="315"/>
      <c r="EU137" s="168"/>
      <c r="EW137" s="164" t="s">
        <v>388</v>
      </c>
      <c r="EX137" s="316">
        <f t="shared" si="350"/>
        <v>0</v>
      </c>
      <c r="EY137" s="316">
        <f t="shared" si="346"/>
        <v>0</v>
      </c>
      <c r="EZ137" s="316">
        <f t="shared" si="346"/>
        <v>-1.5791350716442267E-3</v>
      </c>
      <c r="FA137" s="316">
        <f t="shared" si="346"/>
        <v>-1.5791350716442267E-3</v>
      </c>
      <c r="FB137" s="316">
        <f t="shared" si="346"/>
        <v>0</v>
      </c>
      <c r="FC137" s="316">
        <f t="shared" si="346"/>
        <v>0</v>
      </c>
      <c r="FD137" s="316">
        <f t="shared" si="346"/>
        <v>-0.95370099236499639</v>
      </c>
      <c r="FE137" s="316">
        <f t="shared" si="346"/>
        <v>0</v>
      </c>
      <c r="FF137" s="316"/>
      <c r="FG137" s="316">
        <f t="shared" si="346"/>
        <v>0</v>
      </c>
      <c r="FH137" s="316">
        <f t="shared" si="346"/>
        <v>0</v>
      </c>
      <c r="FI137" s="316">
        <f t="shared" si="346"/>
        <v>0</v>
      </c>
      <c r="FJ137" s="316">
        <f t="shared" si="346"/>
        <v>0</v>
      </c>
      <c r="FK137" s="316">
        <f t="shared" si="346"/>
        <v>0</v>
      </c>
      <c r="FL137" s="168"/>
    </row>
    <row r="138" spans="2:168" x14ac:dyDescent="0.25">
      <c r="B138" s="107" t="s">
        <v>389</v>
      </c>
      <c r="C138" s="294"/>
      <c r="D138" s="294"/>
      <c r="E138" s="160">
        <f>TripMode_input!D119</f>
        <v>0</v>
      </c>
      <c r="F138" s="160">
        <f>TripMode_input!E119</f>
        <v>13141.51506</v>
      </c>
      <c r="G138" s="160">
        <f>TripMode_input!F119</f>
        <v>0</v>
      </c>
      <c r="H138" s="160">
        <f>TripMode_input!G119</f>
        <v>810.71419000000003</v>
      </c>
      <c r="I138" s="294"/>
      <c r="J138" s="294"/>
      <c r="K138" s="160">
        <f>TripMode_input!J119+TripMode_input!K119</f>
        <v>0</v>
      </c>
      <c r="L138" s="294"/>
      <c r="M138" s="294"/>
      <c r="N138" s="160">
        <f>TripMode_input!N119</f>
        <v>0</v>
      </c>
      <c r="O138" s="294"/>
      <c r="P138" s="162">
        <f t="shared" si="335"/>
        <v>13952.22925</v>
      </c>
      <c r="R138">
        <f t="shared" si="347"/>
        <v>0</v>
      </c>
      <c r="S138">
        <f t="shared" si="348"/>
        <v>0</v>
      </c>
      <c r="T138">
        <f t="shared" si="349"/>
        <v>0</v>
      </c>
      <c r="Y138" s="107" t="s">
        <v>389</v>
      </c>
      <c r="Z138" s="294"/>
      <c r="AA138" s="294"/>
      <c r="AB138" s="160">
        <f>+E138</f>
        <v>0</v>
      </c>
      <c r="AC138" s="160">
        <f>+F138</f>
        <v>13141.51506</v>
      </c>
      <c r="AD138" s="160">
        <f t="shared" si="337"/>
        <v>0</v>
      </c>
      <c r="AE138" s="160">
        <f t="shared" si="338"/>
        <v>810.71419000000003</v>
      </c>
      <c r="AF138" s="294"/>
      <c r="AG138" s="294"/>
      <c r="AH138" s="160">
        <f>AH143*R138</f>
        <v>0</v>
      </c>
      <c r="AI138" s="294"/>
      <c r="AJ138" s="294"/>
      <c r="AK138" s="160">
        <f>+N138</f>
        <v>0</v>
      </c>
      <c r="AL138" s="294"/>
      <c r="AM138" s="162">
        <f t="shared" si="339"/>
        <v>13952.22925</v>
      </c>
      <c r="AO138" s="107" t="s">
        <v>389</v>
      </c>
      <c r="AP138" s="294">
        <f>TripMode_input!R119*Index!$B$2</f>
        <v>0</v>
      </c>
      <c r="AQ138" s="294">
        <f>TripMode_input!S119*Index!$B$2</f>
        <v>0</v>
      </c>
      <c r="AR138" s="160">
        <f>TripMode_input!T119*Index!$B$2</f>
        <v>0</v>
      </c>
      <c r="AS138" s="160">
        <f>TripMode_input!U119*Index!$B$2</f>
        <v>2070</v>
      </c>
      <c r="AT138" s="160">
        <f>TripMode_input!V119*Index!$B$2</f>
        <v>0</v>
      </c>
      <c r="AU138" s="160">
        <f>TripMode_input!W119*Index!$B$2</f>
        <v>60</v>
      </c>
      <c r="AV138" s="294">
        <f>TripMode_input!X119*Index!$B$2</f>
        <v>0</v>
      </c>
      <c r="AW138" s="294">
        <f>TripMode_input!Y119*Index!$B$2</f>
        <v>0</v>
      </c>
      <c r="AX138" s="160">
        <f>TripMode_input!AA119*Index!$B$2</f>
        <v>50</v>
      </c>
      <c r="AY138" s="160">
        <f>TripMode_input!AB119*Index!$B$2</f>
        <v>0</v>
      </c>
      <c r="AZ138" s="160">
        <f>TripMode_input!AC119*Index!$B$2</f>
        <v>0</v>
      </c>
      <c r="BA138" s="160">
        <f>TripMode_input!AD119*Index!$B$2</f>
        <v>15</v>
      </c>
      <c r="BB138" s="294">
        <f>TripMode_input!AE119*Index!$B$2</f>
        <v>0</v>
      </c>
      <c r="BC138" s="162">
        <f t="shared" si="340"/>
        <v>2195</v>
      </c>
      <c r="BE138" s="107"/>
      <c r="BF138" s="166"/>
      <c r="BG138" s="166"/>
      <c r="BH138" s="166"/>
      <c r="BI138" s="166"/>
      <c r="BJ138" s="166"/>
      <c r="BK138" s="166"/>
      <c r="BL138" s="166"/>
      <c r="BM138" s="166"/>
      <c r="BN138" s="166"/>
      <c r="BO138" s="166"/>
      <c r="BP138" s="166"/>
      <c r="BQ138" s="166"/>
      <c r="BR138" s="166"/>
      <c r="BS138" s="166"/>
      <c r="BU138" s="107"/>
      <c r="BV138" s="166"/>
      <c r="BW138" s="166"/>
      <c r="BX138" s="166"/>
      <c r="BY138" s="166"/>
      <c r="BZ138" s="166"/>
      <c r="CA138" s="166"/>
      <c r="CB138" s="166"/>
      <c r="CC138" s="166"/>
      <c r="CD138" s="166"/>
      <c r="CE138" s="166"/>
      <c r="CF138" s="166"/>
      <c r="CG138" s="166"/>
      <c r="CH138" s="166"/>
      <c r="CI138" s="166"/>
      <c r="CK138" s="107" t="s">
        <v>389</v>
      </c>
      <c r="CL138" s="166" t="str">
        <f t="shared" si="343"/>
        <v/>
      </c>
      <c r="CM138" s="166" t="str">
        <f t="shared" si="343"/>
        <v/>
      </c>
      <c r="CN138" s="166" t="str">
        <f t="shared" si="343"/>
        <v/>
      </c>
      <c r="CO138" s="166" t="str">
        <f t="shared" si="343"/>
        <v/>
      </c>
      <c r="CP138" s="166"/>
      <c r="CQ138" s="166"/>
      <c r="CR138" s="166"/>
      <c r="CS138" s="166"/>
      <c r="CT138" s="166" t="str">
        <f t="shared" si="344"/>
        <v/>
      </c>
      <c r="CU138" s="166" t="str">
        <f t="shared" si="344"/>
        <v/>
      </c>
      <c r="CV138" s="166" t="str">
        <f t="shared" si="344"/>
        <v/>
      </c>
      <c r="CW138" s="166" t="str">
        <f t="shared" si="344"/>
        <v/>
      </c>
      <c r="CX138" s="166" t="str">
        <f t="shared" si="344"/>
        <v/>
      </c>
      <c r="CY138" s="168" t="str">
        <f t="shared" si="344"/>
        <v/>
      </c>
      <c r="DA138" s="107"/>
      <c r="DB138" s="315"/>
      <c r="DC138" s="315"/>
      <c r="DD138" s="314"/>
      <c r="DE138" s="314"/>
      <c r="DF138" s="314"/>
      <c r="DG138" s="314"/>
      <c r="DH138" s="315"/>
      <c r="DI138" s="315"/>
      <c r="DJ138" s="314"/>
      <c r="DK138" s="315"/>
      <c r="DL138" s="315"/>
      <c r="DM138" s="314"/>
      <c r="DN138" s="315"/>
      <c r="DO138" s="168"/>
      <c r="DQ138" s="107"/>
      <c r="DR138" s="315"/>
      <c r="DS138" s="315"/>
      <c r="DT138" s="314">
        <v>6.615642038651998E-4</v>
      </c>
      <c r="DU138" s="314">
        <v>6.615642038651998E-4</v>
      </c>
      <c r="DV138" s="314">
        <v>5.4087474198881633</v>
      </c>
      <c r="DW138" s="314">
        <v>5.4087474198881633</v>
      </c>
      <c r="DX138" s="315"/>
      <c r="DY138" s="315"/>
      <c r="DZ138" s="314">
        <v>-8.513144496085383</v>
      </c>
      <c r="EA138" s="315"/>
      <c r="EB138" s="315"/>
      <c r="EC138" s="314">
        <v>2.3172790348029504</v>
      </c>
      <c r="ED138" s="315"/>
      <c r="EE138" s="168"/>
      <c r="EG138" s="107"/>
      <c r="EH138" s="315"/>
      <c r="EI138" s="315"/>
      <c r="EJ138" s="314">
        <f>DT137+(DD137-DD$135)*$EI$1</f>
        <v>-1.5791350716442267E-3</v>
      </c>
      <c r="EK138" s="314">
        <f>DT137+(DD137-DD$135)*$EI$1</f>
        <v>-1.5791350716442267E-3</v>
      </c>
      <c r="EL138" s="314">
        <f>DV137+(DF137-DF$135)*$EI$1</f>
        <v>6.3313376231172738</v>
      </c>
      <c r="EM138" s="314">
        <f>DV137+(DF137-DF$135)*$EI$1</f>
        <v>6.3313376231172738</v>
      </c>
      <c r="EN138" s="315"/>
      <c r="EO138" s="315"/>
      <c r="EP138" s="314">
        <f>DZ137+(DJ137-DJ$143)*$EI$1</f>
        <v>-10.629367475283011</v>
      </c>
      <c r="EQ138" s="315"/>
      <c r="ER138" s="315"/>
      <c r="ES138" s="314">
        <f>EC137+(DM137-DM$146)*$EI$1</f>
        <v>2.8969865614007966</v>
      </c>
      <c r="ET138" s="315"/>
      <c r="EU138" s="168"/>
      <c r="EW138" s="164" t="s">
        <v>389</v>
      </c>
      <c r="EX138" s="316">
        <f t="shared" si="350"/>
        <v>0</v>
      </c>
      <c r="EY138" s="316">
        <f t="shared" si="346"/>
        <v>0</v>
      </c>
      <c r="EZ138" s="316">
        <f t="shared" si="346"/>
        <v>-1.5791350716442267E-3</v>
      </c>
      <c r="FA138" s="316">
        <f t="shared" si="346"/>
        <v>-1.5791350716442267E-3</v>
      </c>
      <c r="FB138" s="316">
        <f t="shared" si="346"/>
        <v>0</v>
      </c>
      <c r="FC138" s="316">
        <f t="shared" si="346"/>
        <v>0</v>
      </c>
      <c r="FD138" s="316">
        <f t="shared" si="346"/>
        <v>-0.95370099236499639</v>
      </c>
      <c r="FE138" s="316">
        <f t="shared" si="346"/>
        <v>0</v>
      </c>
      <c r="FF138" s="316"/>
      <c r="FG138" s="316">
        <f t="shared" si="346"/>
        <v>0</v>
      </c>
      <c r="FH138" s="316">
        <f t="shared" si="346"/>
        <v>0</v>
      </c>
      <c r="FI138" s="316">
        <f t="shared" si="346"/>
        <v>0</v>
      </c>
      <c r="FJ138" s="316">
        <f t="shared" si="346"/>
        <v>0</v>
      </c>
      <c r="FK138" s="316">
        <f t="shared" si="346"/>
        <v>0</v>
      </c>
      <c r="FL138" s="168"/>
    </row>
    <row r="139" spans="2:168" x14ac:dyDescent="0.25">
      <c r="B139" s="107" t="s">
        <v>390</v>
      </c>
      <c r="C139" s="294"/>
      <c r="D139" s="294"/>
      <c r="E139" s="294"/>
      <c r="F139" s="294"/>
      <c r="G139" s="160">
        <f>TripMode_input!F120</f>
        <v>1443583.1520799999</v>
      </c>
      <c r="H139" s="160">
        <f>TripMode_input!G120</f>
        <v>32698.51599</v>
      </c>
      <c r="I139" s="294"/>
      <c r="J139" s="294"/>
      <c r="K139" s="160">
        <f>TripMode_input!J120+TripMode_input!K120</f>
        <v>1712.4812400000001</v>
      </c>
      <c r="L139" s="294"/>
      <c r="M139" s="294"/>
      <c r="N139" s="160">
        <f>TripMode_input!N120</f>
        <v>0</v>
      </c>
      <c r="O139" s="294"/>
      <c r="P139" s="162">
        <f t="shared" si="335"/>
        <v>1477994.14931</v>
      </c>
      <c r="R139">
        <f t="shared" si="347"/>
        <v>5.0818933878712419E-2</v>
      </c>
      <c r="S139">
        <f t="shared" si="348"/>
        <v>0</v>
      </c>
      <c r="T139">
        <f t="shared" si="349"/>
        <v>0</v>
      </c>
      <c r="Y139" s="107" t="s">
        <v>390</v>
      </c>
      <c r="Z139" s="294"/>
      <c r="AA139" s="294"/>
      <c r="AB139" s="294"/>
      <c r="AC139" s="294"/>
      <c r="AD139" s="160">
        <f t="shared" si="337"/>
        <v>1443583.1520799999</v>
      </c>
      <c r="AE139" s="160">
        <f t="shared" si="338"/>
        <v>32698.51599</v>
      </c>
      <c r="AF139" s="294"/>
      <c r="AG139" s="294"/>
      <c r="AH139" s="160">
        <f>AH143*R139</f>
        <v>1807.6186069204309</v>
      </c>
      <c r="AI139" s="294"/>
      <c r="AJ139" s="294"/>
      <c r="AK139" s="160">
        <f>+N139</f>
        <v>0</v>
      </c>
      <c r="AL139" s="294"/>
      <c r="AM139" s="162">
        <f t="shared" si="339"/>
        <v>1478089.2866769203</v>
      </c>
      <c r="AO139" s="107" t="s">
        <v>390</v>
      </c>
      <c r="AP139" s="294">
        <f>TripMode_input!R120*Index!$B$2</f>
        <v>0</v>
      </c>
      <c r="AQ139" s="294">
        <f>TripMode_input!S120*Index!$B$2</f>
        <v>0</v>
      </c>
      <c r="AR139" s="294">
        <f>TripMode_input!T120*Index!$B$2</f>
        <v>0</v>
      </c>
      <c r="AS139" s="294">
        <f>TripMode_input!U120*Index!$B$2</f>
        <v>0</v>
      </c>
      <c r="AT139" s="160">
        <f>TripMode_input!V120*Index!$B$2</f>
        <v>363590</v>
      </c>
      <c r="AU139" s="160">
        <f>TripMode_input!W120*Index!$B$2</f>
        <v>4040</v>
      </c>
      <c r="AV139" s="294">
        <f>TripMode_input!X120*Index!$B$2</f>
        <v>0</v>
      </c>
      <c r="AW139" s="294">
        <f>TripMode_input!Y120*Index!$B$2</f>
        <v>0</v>
      </c>
      <c r="AX139" s="160">
        <f>TripMode_input!AA120*Index!$B$2</f>
        <v>100</v>
      </c>
      <c r="AY139" s="160">
        <f>TripMode_input!AB120*Index!$B$2</f>
        <v>0</v>
      </c>
      <c r="AZ139" s="160">
        <f>TripMode_input!AC120*Index!$B$2</f>
        <v>0</v>
      </c>
      <c r="BA139" s="160">
        <f>TripMode_input!AD120*Index!$B$2</f>
        <v>10</v>
      </c>
      <c r="BB139" s="294">
        <f>TripMode_input!AE120*Index!$B$2</f>
        <v>0</v>
      </c>
      <c r="BC139" s="162">
        <f t="shared" si="340"/>
        <v>367740</v>
      </c>
      <c r="BE139" s="107" t="s">
        <v>577</v>
      </c>
      <c r="BF139" s="166" t="str">
        <f>IF(Z$148+AA$148&gt;0,SUM(Z139:AA140)/(Z$148+AA$148),"")</f>
        <v/>
      </c>
      <c r="BG139" s="166"/>
      <c r="BH139" s="166">
        <f>IF(AB$148+AC$148&gt;0,SUM(AB139:AC140)/(AB$148+AC$148),"")</f>
        <v>0</v>
      </c>
      <c r="BI139" s="166"/>
      <c r="BJ139" s="166">
        <f>IF(AD$148+AE$148&gt;0,SUM(AD139:AE140)/(AD$148+AE$148),"")</f>
        <v>0.92744534946619328</v>
      </c>
      <c r="BK139" s="166"/>
      <c r="BL139" s="166">
        <f t="shared" ref="BL139:BS139" si="354">IF(AF$148&gt;0,(AF139+AF140)/AF$148,"")</f>
        <v>0</v>
      </c>
      <c r="BM139" s="166">
        <f t="shared" si="354"/>
        <v>0</v>
      </c>
      <c r="BN139" s="166">
        <f t="shared" si="354"/>
        <v>4.1516518602948964E-2</v>
      </c>
      <c r="BO139" s="166">
        <f t="shared" si="354"/>
        <v>0</v>
      </c>
      <c r="BP139" s="166">
        <f t="shared" si="354"/>
        <v>0</v>
      </c>
      <c r="BQ139" s="166">
        <f t="shared" si="354"/>
        <v>0</v>
      </c>
      <c r="BR139" s="166">
        <f t="shared" si="354"/>
        <v>0</v>
      </c>
      <c r="BS139" s="166">
        <f t="shared" si="354"/>
        <v>0.52117244110351746</v>
      </c>
      <c r="BU139" s="107" t="s">
        <v>577</v>
      </c>
      <c r="BV139" s="166" t="str">
        <f>IF(AP$148+AQ$148&gt;0,SUM(AP139:AQ140)/(AP$148+AQ$148),"")</f>
        <v/>
      </c>
      <c r="BW139" s="166"/>
      <c r="BX139" s="166">
        <f>IF(AR$148+AS$148&gt;0,SUM(AR139:AS140)/(AR$148+AS$148),"")</f>
        <v>0</v>
      </c>
      <c r="BY139" s="166"/>
      <c r="BZ139" s="166">
        <f>IF(AT$148+AU$148&gt;0,SUM(AT139:AU140)/(AT$148+AU$148),"")</f>
        <v>0.96721207669511922</v>
      </c>
      <c r="CA139" s="166"/>
      <c r="CB139" s="166">
        <f t="shared" ref="CB139:CI139" si="355">IF(AV$148&gt;0,(AV139+AV140)/AV$148,"")</f>
        <v>0</v>
      </c>
      <c r="CC139" s="166">
        <f t="shared" si="355"/>
        <v>0</v>
      </c>
      <c r="CD139" s="166">
        <f t="shared" si="355"/>
        <v>2.1951219512195121E-2</v>
      </c>
      <c r="CE139" s="166">
        <f t="shared" si="355"/>
        <v>0</v>
      </c>
      <c r="CF139" s="166">
        <f t="shared" si="355"/>
        <v>0</v>
      </c>
      <c r="CG139" s="166">
        <f t="shared" si="355"/>
        <v>3.6036036036036036E-2</v>
      </c>
      <c r="CH139" s="166" t="str">
        <f t="shared" si="355"/>
        <v/>
      </c>
      <c r="CI139" s="166">
        <f t="shared" si="355"/>
        <v>0.43267314399601398</v>
      </c>
      <c r="CK139" s="107" t="s">
        <v>390</v>
      </c>
      <c r="CL139" s="166"/>
      <c r="CM139" s="166"/>
      <c r="CN139" s="166"/>
      <c r="CO139" s="166"/>
      <c r="CP139" s="166"/>
      <c r="CQ139" s="166"/>
      <c r="CR139" s="166"/>
      <c r="CS139" s="166"/>
      <c r="CT139" s="166"/>
      <c r="CU139" s="166"/>
      <c r="CV139" s="166"/>
      <c r="CW139" s="166"/>
      <c r="CX139" s="166"/>
      <c r="CY139" s="168"/>
      <c r="DA139" s="107" t="s">
        <v>577</v>
      </c>
      <c r="DB139" s="315">
        <f>IFERROR(IF(BV139&gt;0,LN(BF139/BV139),0),0)</f>
        <v>0</v>
      </c>
      <c r="DC139" s="315"/>
      <c r="DD139" s="315">
        <f>IFERROR(IF(BX139&gt;0,LN(BH139/BX139),0),0)</f>
        <v>0</v>
      </c>
      <c r="DE139" s="315"/>
      <c r="DF139" s="314">
        <f>IFERROR(IF(BZ139&gt;0,LN(BJ139/BZ139),0),0)</f>
        <v>-4.1983915129370275E-2</v>
      </c>
      <c r="DG139" s="314"/>
      <c r="DH139" s="315">
        <f t="shared" ref="DH139:DN139" si="356">IFERROR(IF(CB139&gt;0,LN(BL139/CB139),0),0)</f>
        <v>0</v>
      </c>
      <c r="DI139" s="315">
        <f t="shared" si="356"/>
        <v>0</v>
      </c>
      <c r="DJ139" s="314">
        <f t="shared" si="356"/>
        <v>0.63726869004556719</v>
      </c>
      <c r="DK139" s="315">
        <f t="shared" si="356"/>
        <v>0</v>
      </c>
      <c r="DL139" s="315">
        <f t="shared" si="356"/>
        <v>0</v>
      </c>
      <c r="DM139" s="314">
        <f t="shared" si="356"/>
        <v>0</v>
      </c>
      <c r="DN139" s="315">
        <f t="shared" si="356"/>
        <v>0</v>
      </c>
      <c r="DO139" s="168"/>
      <c r="DQ139" s="107" t="s">
        <v>577</v>
      </c>
      <c r="DR139" s="315"/>
      <c r="DS139" s="315"/>
      <c r="DT139" s="315"/>
      <c r="DU139" s="315"/>
      <c r="DV139" s="314">
        <v>-0.19579386442749094</v>
      </c>
      <c r="DW139" s="314">
        <v>-0.19579386442749094</v>
      </c>
      <c r="DX139" s="315"/>
      <c r="DY139" s="315"/>
      <c r="DZ139" s="314">
        <v>-1.0620451808578619</v>
      </c>
      <c r="EA139" s="315"/>
      <c r="EB139" s="315"/>
      <c r="EC139" s="314">
        <v>0.33537768962287468</v>
      </c>
      <c r="ED139" s="315"/>
      <c r="EE139" s="168"/>
      <c r="EG139" s="107" t="s">
        <v>577</v>
      </c>
      <c r="EH139" s="315"/>
      <c r="EI139" s="315"/>
      <c r="EJ139" s="315"/>
      <c r="EK139" s="315"/>
      <c r="EL139" s="314">
        <f>DV139+(DF139-DF$135)*$EI$1</f>
        <v>-0.23777777955686122</v>
      </c>
      <c r="EM139" s="314">
        <f>DV139+(DF139-DF$135)*$EI$1</f>
        <v>-0.23777777955686122</v>
      </c>
      <c r="EN139" s="315"/>
      <c r="EO139" s="315"/>
      <c r="EP139" s="314">
        <f>DZ139+(DJ139-DJ$143)*$EI$1</f>
        <v>-0.36945912475078946</v>
      </c>
      <c r="EQ139" s="315"/>
      <c r="ER139" s="315"/>
      <c r="ES139" s="314">
        <f>EC139+(DM139-DM$146)*$EI$1</f>
        <v>0.41843630803314408</v>
      </c>
      <c r="ET139" s="315"/>
      <c r="EU139" s="168"/>
      <c r="EW139" s="164" t="s">
        <v>390</v>
      </c>
      <c r="EX139" s="316">
        <f t="shared" si="350"/>
        <v>0</v>
      </c>
      <c r="EY139" s="316">
        <f t="shared" si="346"/>
        <v>0</v>
      </c>
      <c r="EZ139" s="316">
        <f t="shared" si="346"/>
        <v>6.3313376231172738</v>
      </c>
      <c r="FA139" s="316">
        <f t="shared" si="346"/>
        <v>6.3313376231172738</v>
      </c>
      <c r="FB139" s="316">
        <f t="shared" si="346"/>
        <v>-0.23777777955686122</v>
      </c>
      <c r="FC139" s="316">
        <f t="shared" si="346"/>
        <v>-0.23777777955686122</v>
      </c>
      <c r="FD139" s="316">
        <f t="shared" si="346"/>
        <v>-1.9952723788590752</v>
      </c>
      <c r="FE139" s="316">
        <f t="shared" si="346"/>
        <v>0</v>
      </c>
      <c r="FF139" s="316"/>
      <c r="FG139" s="316">
        <f t="shared" si="346"/>
        <v>0</v>
      </c>
      <c r="FH139" s="316">
        <f t="shared" si="346"/>
        <v>0</v>
      </c>
      <c r="FI139" s="316">
        <f t="shared" si="346"/>
        <v>0</v>
      </c>
      <c r="FJ139" s="316">
        <f t="shared" si="346"/>
        <v>0</v>
      </c>
      <c r="FK139" s="316">
        <f t="shared" si="346"/>
        <v>0</v>
      </c>
      <c r="FL139" s="168"/>
    </row>
    <row r="140" spans="2:168" x14ac:dyDescent="0.25">
      <c r="B140" s="107" t="s">
        <v>391</v>
      </c>
      <c r="C140" s="294"/>
      <c r="D140" s="294"/>
      <c r="E140" s="294"/>
      <c r="F140" s="294"/>
      <c r="G140" s="160">
        <f>TripMode_input!F121</f>
        <v>0</v>
      </c>
      <c r="H140" s="160">
        <f>TripMode_input!G121</f>
        <v>33236.756820000002</v>
      </c>
      <c r="I140" s="294"/>
      <c r="J140" s="294"/>
      <c r="K140" s="160">
        <f>TripMode_input!J121+TripMode_input!K121</f>
        <v>0</v>
      </c>
      <c r="L140" s="294"/>
      <c r="M140" s="294"/>
      <c r="N140" s="160">
        <f>TripMode_input!N121</f>
        <v>0</v>
      </c>
      <c r="O140" s="294"/>
      <c r="P140" s="162">
        <f t="shared" si="335"/>
        <v>33236.756820000002</v>
      </c>
      <c r="R140">
        <f t="shared" si="347"/>
        <v>0</v>
      </c>
      <c r="S140">
        <f t="shared" si="348"/>
        <v>0</v>
      </c>
      <c r="T140">
        <f t="shared" si="349"/>
        <v>0</v>
      </c>
      <c r="Y140" s="107" t="s">
        <v>391</v>
      </c>
      <c r="Z140" s="294"/>
      <c r="AA140" s="294"/>
      <c r="AB140" s="294"/>
      <c r="AC140" s="294"/>
      <c r="AD140" s="160">
        <f t="shared" si="337"/>
        <v>0</v>
      </c>
      <c r="AE140" s="160">
        <f t="shared" si="338"/>
        <v>33236.756820000002</v>
      </c>
      <c r="AF140" s="294"/>
      <c r="AG140" s="294"/>
      <c r="AH140" s="160">
        <f>AH143*R140</f>
        <v>0</v>
      </c>
      <c r="AI140" s="294"/>
      <c r="AJ140" s="294"/>
      <c r="AK140" s="160">
        <f>+N140</f>
        <v>0</v>
      </c>
      <c r="AL140" s="294"/>
      <c r="AM140" s="162">
        <f t="shared" si="339"/>
        <v>33236.756820000002</v>
      </c>
      <c r="AO140" s="107" t="s">
        <v>391</v>
      </c>
      <c r="AP140" s="294">
        <f>TripMode_input!R121*Index!$B$2</f>
        <v>0</v>
      </c>
      <c r="AQ140" s="294">
        <f>TripMode_input!S121*Index!$B$2</f>
        <v>0</v>
      </c>
      <c r="AR140" s="294">
        <f>TripMode_input!T121*Index!$B$2</f>
        <v>0</v>
      </c>
      <c r="AS140" s="294">
        <f>TripMode_input!U121*Index!$B$2</f>
        <v>0</v>
      </c>
      <c r="AT140" s="160">
        <f>TripMode_input!V121*Index!$B$2</f>
        <v>13145</v>
      </c>
      <c r="AU140" s="160">
        <f>TripMode_input!W121*Index!$B$2</f>
        <v>1090</v>
      </c>
      <c r="AV140" s="294">
        <f>TripMode_input!X121*Index!$B$2</f>
        <v>0</v>
      </c>
      <c r="AW140" s="294">
        <f>TripMode_input!Y121*Index!$B$2</f>
        <v>0</v>
      </c>
      <c r="AX140" s="160">
        <f>TripMode_input!AA121*Index!$B$2</f>
        <v>80</v>
      </c>
      <c r="AY140" s="160">
        <f>TripMode_input!AB121*Index!$B$2</f>
        <v>0</v>
      </c>
      <c r="AZ140" s="160">
        <f>TripMode_input!AC121*Index!$B$2</f>
        <v>0</v>
      </c>
      <c r="BA140" s="160">
        <f>TripMode_input!AD121*Index!$B$2</f>
        <v>30</v>
      </c>
      <c r="BB140" s="294">
        <f>TripMode_input!AE121*Index!$B$2</f>
        <v>0</v>
      </c>
      <c r="BC140" s="162">
        <f t="shared" si="340"/>
        <v>14345</v>
      </c>
      <c r="BE140" s="107"/>
      <c r="BF140" s="166"/>
      <c r="BG140" s="166"/>
      <c r="BH140" s="166"/>
      <c r="BI140" s="166"/>
      <c r="BJ140" s="166"/>
      <c r="BK140" s="166"/>
      <c r="BL140" s="166"/>
      <c r="BM140" s="166"/>
      <c r="BN140" s="166"/>
      <c r="BO140" s="166"/>
      <c r="BP140" s="166"/>
      <c r="BQ140" s="166"/>
      <c r="BR140" s="166"/>
      <c r="BS140" s="166"/>
      <c r="BU140" s="107"/>
      <c r="BV140" s="166"/>
      <c r="BW140" s="166"/>
      <c r="BX140" s="166"/>
      <c r="BY140" s="166"/>
      <c r="BZ140" s="166"/>
      <c r="CA140" s="166"/>
      <c r="CB140" s="166"/>
      <c r="CC140" s="166"/>
      <c r="CD140" s="166"/>
      <c r="CE140" s="166"/>
      <c r="CF140" s="166"/>
      <c r="CG140" s="166"/>
      <c r="CH140" s="166"/>
      <c r="CI140" s="166"/>
      <c r="CK140" s="107" t="s">
        <v>391</v>
      </c>
      <c r="CL140" s="166"/>
      <c r="CM140" s="166"/>
      <c r="CN140" s="166"/>
      <c r="CO140" s="166"/>
      <c r="CP140" s="166"/>
      <c r="CQ140" s="166"/>
      <c r="CR140" s="166"/>
      <c r="CS140" s="166"/>
      <c r="CT140" s="166"/>
      <c r="CU140" s="166"/>
      <c r="CV140" s="166"/>
      <c r="CW140" s="166"/>
      <c r="CX140" s="166"/>
      <c r="CY140" s="168"/>
      <c r="DA140" s="107"/>
      <c r="DB140" s="315"/>
      <c r="DC140" s="315"/>
      <c r="DD140" s="315"/>
      <c r="DE140" s="315"/>
      <c r="DF140" s="314"/>
      <c r="DG140" s="314"/>
      <c r="DH140" s="315"/>
      <c r="DI140" s="315"/>
      <c r="DJ140" s="314"/>
      <c r="DK140" s="315"/>
      <c r="DL140" s="315"/>
      <c r="DM140" s="314"/>
      <c r="DN140" s="315"/>
      <c r="DO140" s="168"/>
      <c r="DQ140" s="107"/>
      <c r="DR140" s="315"/>
      <c r="DS140" s="315"/>
      <c r="DT140" s="315"/>
      <c r="DU140" s="315"/>
      <c r="DV140" s="314">
        <v>-0.19579386442749094</v>
      </c>
      <c r="DW140" s="314">
        <v>-0.19579386442749094</v>
      </c>
      <c r="DX140" s="315"/>
      <c r="DY140" s="315"/>
      <c r="DZ140" s="314">
        <v>-1.0620451808578619</v>
      </c>
      <c r="EA140" s="315"/>
      <c r="EB140" s="315"/>
      <c r="EC140" s="314">
        <v>0.33537768962287468</v>
      </c>
      <c r="ED140" s="315"/>
      <c r="EE140" s="168"/>
      <c r="EG140" s="107"/>
      <c r="EH140" s="315"/>
      <c r="EI140" s="315"/>
      <c r="EJ140" s="315"/>
      <c r="EK140" s="315"/>
      <c r="EL140" s="314">
        <f>DV139+(DF139-DF$135)*$EI$1</f>
        <v>-0.23777777955686122</v>
      </c>
      <c r="EM140" s="314">
        <f>DV139+(DF139-DF$135)*$EI$1</f>
        <v>-0.23777777955686122</v>
      </c>
      <c r="EN140" s="315"/>
      <c r="EO140" s="315"/>
      <c r="EP140" s="314">
        <f>DZ139+(DJ139-DJ$143)*$EI$1</f>
        <v>-0.36945912475078946</v>
      </c>
      <c r="EQ140" s="315"/>
      <c r="ER140" s="315"/>
      <c r="ES140" s="314">
        <f>EC139+(DM139-DM$146)*$EI$1</f>
        <v>0.41843630803314408</v>
      </c>
      <c r="ET140" s="315"/>
      <c r="EU140" s="168"/>
      <c r="EW140" s="164" t="s">
        <v>391</v>
      </c>
      <c r="EX140" s="316">
        <f t="shared" si="350"/>
        <v>0</v>
      </c>
      <c r="EY140" s="316">
        <f t="shared" si="346"/>
        <v>0</v>
      </c>
      <c r="EZ140" s="316">
        <f t="shared" si="346"/>
        <v>6.3313376231172738</v>
      </c>
      <c r="FA140" s="316">
        <f t="shared" si="346"/>
        <v>6.3313376231172738</v>
      </c>
      <c r="FB140" s="316">
        <f t="shared" si="346"/>
        <v>-0.23777777955686122</v>
      </c>
      <c r="FC140" s="316">
        <f t="shared" si="346"/>
        <v>-0.23777777955686122</v>
      </c>
      <c r="FD140" s="316">
        <f t="shared" si="346"/>
        <v>-1.9952723788590752</v>
      </c>
      <c r="FE140" s="316">
        <f t="shared" si="346"/>
        <v>0</v>
      </c>
      <c r="FF140" s="316"/>
      <c r="FG140" s="316">
        <f t="shared" si="346"/>
        <v>0</v>
      </c>
      <c r="FH140" s="316">
        <f t="shared" si="346"/>
        <v>0</v>
      </c>
      <c r="FI140" s="316">
        <f t="shared" si="346"/>
        <v>0</v>
      </c>
      <c r="FJ140" s="316">
        <f t="shared" si="346"/>
        <v>0</v>
      </c>
      <c r="FK140" s="316">
        <f t="shared" si="346"/>
        <v>0</v>
      </c>
      <c r="FL140" s="168"/>
    </row>
    <row r="141" spans="2:168" x14ac:dyDescent="0.25">
      <c r="B141" s="107" t="s">
        <v>392</v>
      </c>
      <c r="C141" s="294"/>
      <c r="D141" s="294"/>
      <c r="E141" s="160">
        <f>TripMode_input!D122</f>
        <v>3356.0694100000001</v>
      </c>
      <c r="F141" s="160">
        <f>TripMode_input!E122</f>
        <v>485.09944000000002</v>
      </c>
      <c r="G141" s="160">
        <f>TripMode_input!F122</f>
        <v>8319.4975699999995</v>
      </c>
      <c r="H141" s="160">
        <f>TripMode_input!G122</f>
        <v>0</v>
      </c>
      <c r="I141" s="160">
        <f>TripMode_input!H122</f>
        <v>203335.10109000001</v>
      </c>
      <c r="J141" s="294"/>
      <c r="K141" s="160">
        <f>TripMode_input!J122+TripMode_input!K122</f>
        <v>5386.1722399999999</v>
      </c>
      <c r="L141" s="294"/>
      <c r="M141" s="294"/>
      <c r="N141" s="160">
        <f>TripMode_input!N122</f>
        <v>390.42032</v>
      </c>
      <c r="O141" s="294"/>
      <c r="P141" s="162">
        <f t="shared" si="335"/>
        <v>221272.36007000002</v>
      </c>
      <c r="R141">
        <f t="shared" si="347"/>
        <v>0.15983797342148773</v>
      </c>
      <c r="S141">
        <f t="shared" si="348"/>
        <v>0</v>
      </c>
      <c r="T141">
        <f t="shared" si="349"/>
        <v>0</v>
      </c>
      <c r="Y141" s="107" t="s">
        <v>392</v>
      </c>
      <c r="Z141" s="294"/>
      <c r="AA141" s="294"/>
      <c r="AB141" s="160">
        <f>+E141</f>
        <v>3356.0694100000001</v>
      </c>
      <c r="AC141" s="160">
        <f>+F141</f>
        <v>485.09944000000002</v>
      </c>
      <c r="AD141" s="160">
        <f t="shared" si="337"/>
        <v>8319.4975699999995</v>
      </c>
      <c r="AE141" s="160">
        <f t="shared" si="338"/>
        <v>0</v>
      </c>
      <c r="AF141" s="160">
        <f>+I141</f>
        <v>203335.10109000001</v>
      </c>
      <c r="AG141" s="294"/>
      <c r="AH141" s="160">
        <f>AH143*R141</f>
        <v>5685.402522191891</v>
      </c>
      <c r="AI141" s="294"/>
      <c r="AJ141" s="294"/>
      <c r="AK141" s="160">
        <f>+N141</f>
        <v>390.42032</v>
      </c>
      <c r="AL141" s="294"/>
      <c r="AM141" s="162">
        <f t="shared" si="339"/>
        <v>221571.59035219191</v>
      </c>
      <c r="AO141" s="107" t="s">
        <v>392</v>
      </c>
      <c r="AP141" s="294">
        <f>TripMode_input!R122*Index!$B$2</f>
        <v>0</v>
      </c>
      <c r="AQ141" s="294">
        <f>TripMode_input!S122*Index!$B$2</f>
        <v>0</v>
      </c>
      <c r="AR141" s="160">
        <f>TripMode_input!T122*Index!$B$2</f>
        <v>1895</v>
      </c>
      <c r="AS141" s="160">
        <f>TripMode_input!U122*Index!$B$2</f>
        <v>0</v>
      </c>
      <c r="AT141" s="160">
        <f>TripMode_input!V122*Index!$B$2</f>
        <v>2550</v>
      </c>
      <c r="AU141" s="160">
        <f>TripMode_input!W122*Index!$B$2</f>
        <v>0</v>
      </c>
      <c r="AV141" s="160">
        <f>TripMode_input!X122*Index!$B$2</f>
        <v>85640</v>
      </c>
      <c r="AW141" s="294">
        <f>TripMode_input!Y122*Index!$B$2</f>
        <v>0</v>
      </c>
      <c r="AX141" s="160">
        <f>TripMode_input!AA122*Index!$B$2</f>
        <v>170</v>
      </c>
      <c r="AY141" s="160">
        <f>TripMode_input!AB122*Index!$B$2</f>
        <v>0</v>
      </c>
      <c r="AZ141" s="160">
        <f>TripMode_input!AC122*Index!$B$2</f>
        <v>0</v>
      </c>
      <c r="BA141" s="160">
        <f>TripMode_input!AD122*Index!$B$2</f>
        <v>35</v>
      </c>
      <c r="BB141" s="294">
        <f>TripMode_input!AE122*Index!$B$2</f>
        <v>0</v>
      </c>
      <c r="BC141" s="162">
        <f t="shared" si="340"/>
        <v>90290</v>
      </c>
      <c r="BE141" s="107" t="s">
        <v>392</v>
      </c>
      <c r="BF141" s="166" t="str">
        <f t="shared" ref="BF141:BS148" si="357">IF(Z$148&gt;0,Z141/Z$148,"")</f>
        <v/>
      </c>
      <c r="BG141" s="166" t="str">
        <f t="shared" si="357"/>
        <v/>
      </c>
      <c r="BH141" s="166">
        <f t="shared" si="357"/>
        <v>3.4491415365525456E-3</v>
      </c>
      <c r="BI141" s="166">
        <f t="shared" si="357"/>
        <v>2.7570714363171704E-2</v>
      </c>
      <c r="BJ141" s="166">
        <f t="shared" si="357"/>
        <v>5.3340915472492312E-3</v>
      </c>
      <c r="BK141" s="166">
        <f t="shared" si="357"/>
        <v>0</v>
      </c>
      <c r="BL141" s="166">
        <f t="shared" si="357"/>
        <v>1</v>
      </c>
      <c r="BM141" s="166">
        <f t="shared" si="357"/>
        <v>0</v>
      </c>
      <c r="BN141" s="166">
        <f t="shared" si="357"/>
        <v>0.13057960272933986</v>
      </c>
      <c r="BO141" s="166">
        <f t="shared" si="357"/>
        <v>0</v>
      </c>
      <c r="BP141" s="166">
        <f t="shared" si="357"/>
        <v>0</v>
      </c>
      <c r="BQ141" s="166">
        <f t="shared" si="357"/>
        <v>9.9552575770216215E-2</v>
      </c>
      <c r="BR141" s="166">
        <f t="shared" si="357"/>
        <v>0</v>
      </c>
      <c r="BS141" s="166">
        <f t="shared" si="357"/>
        <v>7.6407739494681534E-2</v>
      </c>
      <c r="BU141" s="107" t="s">
        <v>392</v>
      </c>
      <c r="BV141" s="166" t="str">
        <f t="shared" ref="BV141:BV148" si="358">IF(AP$148&gt;0,AP141/AP$148,"")</f>
        <v/>
      </c>
      <c r="BW141" s="166" t="str">
        <f t="shared" ref="BW141:BW148" si="359">IF(AQ$148&gt;0,AQ141/AQ$148,"")</f>
        <v/>
      </c>
      <c r="BX141" s="166">
        <f t="shared" ref="BX141:BX148" si="360">IF(AR$148&gt;0,AR141/AR$148,"")</f>
        <v>5.1556208510175209E-3</v>
      </c>
      <c r="BY141" s="166">
        <f t="shared" ref="BY141:BY148" si="361">IF(AS$148&gt;0,AS141/AS$148,"")</f>
        <v>0</v>
      </c>
      <c r="BZ141" s="166">
        <f t="shared" ref="BZ141:BZ148" si="362">IF(AT$148&gt;0,AT141/AT$148,"")</f>
        <v>6.5470230301163061E-3</v>
      </c>
      <c r="CA141" s="166">
        <f t="shared" ref="CA141:CA148" si="363">IF(AU$148&gt;0,AU141/AU$148,"")</f>
        <v>0</v>
      </c>
      <c r="CB141" s="166">
        <f t="shared" ref="CB141:CB148" si="364">IF(AV$148&gt;0,AV141/AV$148,"")</f>
        <v>1</v>
      </c>
      <c r="CC141" s="166">
        <f t="shared" ref="CC141:CC148" si="365">IF(AW$148&gt;0,AW141/AW$148,"")</f>
        <v>0</v>
      </c>
      <c r="CD141" s="166">
        <f t="shared" ref="CD141:CD148" si="366">IF(AX$148&gt;0,AX141/AX$148,"")</f>
        <v>2.0731707317073172E-2</v>
      </c>
      <c r="CE141" s="166">
        <f t="shared" ref="CE141:CE148" si="367">IF(AY$148&gt;0,AY141/AY$148,"")</f>
        <v>0</v>
      </c>
      <c r="CF141" s="166">
        <f t="shared" ref="CF141:CF148" si="368">IF(AZ$148&gt;0,AZ141/AZ$148,"")</f>
        <v>0</v>
      </c>
      <c r="CG141" s="166">
        <f t="shared" ref="CG141:CG148" si="369">IF(BA$148&gt;0,BA141/BA$148,"")</f>
        <v>3.1531531531531529E-2</v>
      </c>
      <c r="CH141" s="166" t="str">
        <f t="shared" ref="CH141:CH148" si="370">IF(BB$148&gt;0,BB141/BB$148,"")</f>
        <v/>
      </c>
      <c r="CI141" s="168">
        <f t="shared" ref="CI141:CI148" si="371">IF(BC$148&gt;0,BC141/BC$148,"")</f>
        <v>0.10224441726683879</v>
      </c>
      <c r="CK141" s="107" t="s">
        <v>392</v>
      </c>
      <c r="CL141" s="166"/>
      <c r="CM141" s="166"/>
      <c r="CN141" s="166"/>
      <c r="CO141" s="166"/>
      <c r="CP141" s="166"/>
      <c r="CQ141" s="166"/>
      <c r="CR141" s="166"/>
      <c r="CS141" s="166"/>
      <c r="CT141" s="166"/>
      <c r="CU141" s="166"/>
      <c r="CV141" s="166"/>
      <c r="CW141" s="166"/>
      <c r="CX141" s="166"/>
      <c r="CY141" s="168"/>
      <c r="DA141" s="107" t="s">
        <v>392</v>
      </c>
      <c r="DB141" s="315">
        <f t="shared" ref="DB141:DB147" si="372">IFERROR(IF(BV141&gt;0,LN(BF141/BV141),0),0)</f>
        <v>0</v>
      </c>
      <c r="DC141" s="315">
        <f t="shared" ref="DC141:DC147" si="373">IFERROR(IF(BW141&gt;0,LN(BG141/BW141),0),0)</f>
        <v>0</v>
      </c>
      <c r="DD141" s="314">
        <f t="shared" ref="DD141:DD147" si="374">IFERROR(IF(BX141&gt;0,LN(BH141/BX141),0),0)</f>
        <v>-0.4019621767886607</v>
      </c>
      <c r="DE141" s="314">
        <f t="shared" ref="DE141:DE147" si="375">IFERROR(IF(BY141&gt;0,LN(BI141/BY141),0),0)</f>
        <v>0</v>
      </c>
      <c r="DF141" s="314">
        <f t="shared" ref="DF141:DF147" si="376">IFERROR(IF(BZ141&gt;0,LN(BJ141/BZ141),0),0)</f>
        <v>-0.20489185853579925</v>
      </c>
      <c r="DG141" s="314">
        <f t="shared" ref="DG141:DG147" si="377">IFERROR(IF(CA141&gt;0,LN(BK141/CA141),0),0)</f>
        <v>0</v>
      </c>
      <c r="DH141" s="314">
        <f t="shared" ref="DH141:DH147" si="378">IFERROR(IF(CB141&gt;0,LN(BL141/CB141),0),0)</f>
        <v>0</v>
      </c>
      <c r="DI141" s="315">
        <f t="shared" ref="DI141:DI147" si="379">IFERROR(IF(CC141&gt;0,LN(BM141/CC141),0),0)</f>
        <v>0</v>
      </c>
      <c r="DJ141" s="314">
        <f t="shared" ref="DJ141:DJ147" si="380">IFERROR(IF(CD141&gt;0,LN(BN141/CD141),0),0)</f>
        <v>1.8403187406192321</v>
      </c>
      <c r="DK141" s="315">
        <f t="shared" ref="DK141:DK147" si="381">IFERROR(IF(CE141&gt;0,LN(BO141/CE141),0),0)</f>
        <v>0</v>
      </c>
      <c r="DL141" s="315">
        <f t="shared" ref="DL141:DL147" si="382">IFERROR(IF(CF141&gt;0,LN(BP141/CF141),0),0)</f>
        <v>0</v>
      </c>
      <c r="DM141" s="314">
        <f t="shared" ref="DM141:DM147" si="383">IFERROR(IF(CG141&gt;0,LN(BQ141/CG141),0),0)</f>
        <v>1.1496978581460779</v>
      </c>
      <c r="DN141" s="315">
        <f t="shared" ref="DN141:DN147" si="384">IFERROR(IF(CH141&gt;0,LN(BR141/CH141),0),0)</f>
        <v>0</v>
      </c>
      <c r="DO141" s="168"/>
      <c r="DQ141" s="107" t="s">
        <v>392</v>
      </c>
      <c r="DR141" s="315"/>
      <c r="DS141" s="315"/>
      <c r="DT141" s="314">
        <v>-0.55173881557633564</v>
      </c>
      <c r="DU141" s="314">
        <v>-0.55173881557633564</v>
      </c>
      <c r="DV141" s="314">
        <v>-1.7903805203232759</v>
      </c>
      <c r="DW141" s="314">
        <v>-1.7903805203232759</v>
      </c>
      <c r="DX141" s="314">
        <v>0</v>
      </c>
      <c r="DY141" s="315"/>
      <c r="DZ141" s="314">
        <v>5.6902256936051927</v>
      </c>
      <c r="EA141" s="315"/>
      <c r="EB141" s="315"/>
      <c r="EC141" s="314">
        <v>2.6334785009400776</v>
      </c>
      <c r="ED141" s="315"/>
      <c r="EE141" s="168"/>
      <c r="EG141" s="107" t="s">
        <v>392</v>
      </c>
      <c r="EH141" s="315"/>
      <c r="EI141" s="315"/>
      <c r="EJ141" s="314">
        <f>DT141+(DD141-DD$135)*$EI$1</f>
        <v>-0.95370099236499639</v>
      </c>
      <c r="EK141" s="314">
        <f>DT141+(DD141-DD$135)*$EI$1</f>
        <v>-0.95370099236499639</v>
      </c>
      <c r="EL141" s="314">
        <f>DV141+(DF141-DF$135)*$EI$1</f>
        <v>-1.9952723788590752</v>
      </c>
      <c r="EM141" s="314">
        <f>DV141+(DF141-DF$135)*$EI$1</f>
        <v>-1.9952723788590752</v>
      </c>
      <c r="EN141" s="314">
        <v>0</v>
      </c>
      <c r="EO141" s="315"/>
      <c r="EP141" s="314">
        <f>DZ141+(DJ141-DJ$143)*$EI$1</f>
        <v>7.5858618002859295</v>
      </c>
      <c r="EQ141" s="315"/>
      <c r="ER141" s="315"/>
      <c r="ES141" s="314">
        <f>EC141+(DM141-DM$146)*$EI$1</f>
        <v>3.8662349774964251</v>
      </c>
      <c r="ET141" s="315"/>
      <c r="EU141" s="168"/>
      <c r="EW141" s="164" t="s">
        <v>392</v>
      </c>
      <c r="EX141" s="316">
        <f t="shared" si="350"/>
        <v>0</v>
      </c>
      <c r="EY141" s="316">
        <f t="shared" si="346"/>
        <v>0</v>
      </c>
      <c r="EZ141" s="316">
        <f t="shared" si="346"/>
        <v>0</v>
      </c>
      <c r="FA141" s="316">
        <f t="shared" si="346"/>
        <v>0</v>
      </c>
      <c r="FB141" s="316">
        <f t="shared" si="346"/>
        <v>0</v>
      </c>
      <c r="FC141" s="316">
        <f t="shared" si="346"/>
        <v>0</v>
      </c>
      <c r="FD141" s="316">
        <f t="shared" si="346"/>
        <v>0</v>
      </c>
      <c r="FE141" s="316">
        <f t="shared" si="346"/>
        <v>0</v>
      </c>
      <c r="FF141" s="316"/>
      <c r="FG141" s="316">
        <f t="shared" si="346"/>
        <v>0</v>
      </c>
      <c r="FH141" s="316">
        <f t="shared" si="346"/>
        <v>0</v>
      </c>
      <c r="FI141" s="316">
        <f t="shared" si="346"/>
        <v>0</v>
      </c>
      <c r="FJ141" s="316">
        <f t="shared" si="346"/>
        <v>0</v>
      </c>
      <c r="FK141" s="316">
        <f t="shared" si="346"/>
        <v>0</v>
      </c>
      <c r="FL141" s="168"/>
    </row>
    <row r="142" spans="2:168" x14ac:dyDescent="0.25">
      <c r="B142" s="107" t="s">
        <v>393</v>
      </c>
      <c r="C142" s="294"/>
      <c r="D142" s="294"/>
      <c r="E142" s="294"/>
      <c r="F142" s="294"/>
      <c r="G142" s="294"/>
      <c r="H142" s="294"/>
      <c r="I142" s="294"/>
      <c r="J142" s="160">
        <f>TripMode_input!I123</f>
        <v>22609.138719999999</v>
      </c>
      <c r="K142" s="294"/>
      <c r="L142" s="294"/>
      <c r="M142" s="294"/>
      <c r="N142" s="294"/>
      <c r="O142" s="294"/>
      <c r="P142" s="162">
        <f t="shared" si="335"/>
        <v>22609.138719999999</v>
      </c>
      <c r="R142">
        <f t="shared" si="347"/>
        <v>0</v>
      </c>
      <c r="S142">
        <f t="shared" si="348"/>
        <v>0</v>
      </c>
      <c r="T142">
        <f t="shared" si="349"/>
        <v>0</v>
      </c>
      <c r="Y142" s="107" t="s">
        <v>393</v>
      </c>
      <c r="Z142" s="294"/>
      <c r="AA142" s="294"/>
      <c r="AB142" s="294"/>
      <c r="AC142" s="294"/>
      <c r="AD142" s="294"/>
      <c r="AE142" s="294"/>
      <c r="AF142" s="294"/>
      <c r="AG142" s="160">
        <f>+J142</f>
        <v>22609.138719999999</v>
      </c>
      <c r="AH142" s="294"/>
      <c r="AI142" s="294"/>
      <c r="AJ142" s="294"/>
      <c r="AK142" s="294"/>
      <c r="AL142" s="294"/>
      <c r="AM142" s="162">
        <f t="shared" si="339"/>
        <v>22609.138719999999</v>
      </c>
      <c r="AO142" s="107" t="s">
        <v>393</v>
      </c>
      <c r="AP142" s="294">
        <f>TripMode_input!R123*Index!$B$2</f>
        <v>0</v>
      </c>
      <c r="AQ142" s="294">
        <f>TripMode_input!S123*Index!$B$2</f>
        <v>0</v>
      </c>
      <c r="AR142" s="294">
        <f>TripMode_input!T123*Index!$B$2</f>
        <v>0</v>
      </c>
      <c r="AS142" s="294">
        <f>TripMode_input!U123*Index!$B$2</f>
        <v>0</v>
      </c>
      <c r="AT142" s="294">
        <f>TripMode_input!V123*Index!$B$2</f>
        <v>0</v>
      </c>
      <c r="AU142" s="294">
        <f>TripMode_input!W123*Index!$B$2</f>
        <v>0</v>
      </c>
      <c r="AV142" s="294">
        <f>TripMode_input!X123*Index!$B$2</f>
        <v>0</v>
      </c>
      <c r="AW142" s="160">
        <f>TripMode_input!Y123*Index!$B$2</f>
        <v>15710</v>
      </c>
      <c r="AX142" s="294">
        <f>TripMode_input!AA123*Index!$B$2</f>
        <v>0</v>
      </c>
      <c r="AY142" s="294">
        <f>TripMode_input!AB123*Index!$B$2</f>
        <v>0</v>
      </c>
      <c r="AZ142" s="294">
        <f>TripMode_input!AC123*Index!$B$2</f>
        <v>0</v>
      </c>
      <c r="BA142" s="294">
        <f>TripMode_input!AD123*Index!$B$2</f>
        <v>0</v>
      </c>
      <c r="BB142" s="294">
        <f>TripMode_input!AE123*Index!$B$2</f>
        <v>0</v>
      </c>
      <c r="BC142" s="162">
        <f t="shared" si="340"/>
        <v>15710</v>
      </c>
      <c r="BE142" s="107" t="s">
        <v>393</v>
      </c>
      <c r="BF142" s="166" t="str">
        <f t="shared" si="357"/>
        <v/>
      </c>
      <c r="BG142" s="166" t="str">
        <f t="shared" si="357"/>
        <v/>
      </c>
      <c r="BH142" s="166">
        <f t="shared" si="357"/>
        <v>0</v>
      </c>
      <c r="BI142" s="166">
        <f t="shared" si="357"/>
        <v>0</v>
      </c>
      <c r="BJ142" s="166">
        <f t="shared" si="357"/>
        <v>0</v>
      </c>
      <c r="BK142" s="166">
        <f t="shared" si="357"/>
        <v>0</v>
      </c>
      <c r="BL142" s="166">
        <f t="shared" si="357"/>
        <v>0</v>
      </c>
      <c r="BM142" s="166">
        <f t="shared" si="357"/>
        <v>1</v>
      </c>
      <c r="BN142" s="166">
        <f t="shared" si="357"/>
        <v>0</v>
      </c>
      <c r="BO142" s="166">
        <f t="shared" si="357"/>
        <v>0</v>
      </c>
      <c r="BP142" s="166">
        <f t="shared" si="357"/>
        <v>0</v>
      </c>
      <c r="BQ142" s="166">
        <f t="shared" si="357"/>
        <v>0</v>
      </c>
      <c r="BR142" s="166">
        <f t="shared" si="357"/>
        <v>0</v>
      </c>
      <c r="BS142" s="166">
        <f t="shared" si="357"/>
        <v>7.7966366480962885E-3</v>
      </c>
      <c r="BU142" s="107" t="s">
        <v>393</v>
      </c>
      <c r="BV142" s="166" t="str">
        <f t="shared" si="358"/>
        <v/>
      </c>
      <c r="BW142" s="166" t="str">
        <f t="shared" si="359"/>
        <v/>
      </c>
      <c r="BX142" s="166">
        <f t="shared" si="360"/>
        <v>0</v>
      </c>
      <c r="BY142" s="166">
        <f t="shared" si="361"/>
        <v>0</v>
      </c>
      <c r="BZ142" s="166">
        <f t="shared" si="362"/>
        <v>0</v>
      </c>
      <c r="CA142" s="166">
        <f t="shared" si="363"/>
        <v>0</v>
      </c>
      <c r="CB142" s="166">
        <f t="shared" si="364"/>
        <v>0</v>
      </c>
      <c r="CC142" s="166">
        <f t="shared" si="365"/>
        <v>1</v>
      </c>
      <c r="CD142" s="166">
        <f t="shared" si="366"/>
        <v>0</v>
      </c>
      <c r="CE142" s="166">
        <f t="shared" si="367"/>
        <v>0</v>
      </c>
      <c r="CF142" s="166">
        <f t="shared" si="368"/>
        <v>0</v>
      </c>
      <c r="CG142" s="166">
        <f t="shared" si="369"/>
        <v>0</v>
      </c>
      <c r="CH142" s="166" t="str">
        <f t="shared" si="370"/>
        <v/>
      </c>
      <c r="CI142" s="168">
        <f t="shared" si="371"/>
        <v>1.7790007700321603E-2</v>
      </c>
      <c r="CK142" s="107" t="s">
        <v>393</v>
      </c>
      <c r="CL142" s="166"/>
      <c r="CM142" s="166"/>
      <c r="CN142" s="166"/>
      <c r="CO142" s="166"/>
      <c r="CP142" s="166"/>
      <c r="CQ142" s="166"/>
      <c r="CR142" s="166"/>
      <c r="CS142" s="166"/>
      <c r="CT142" s="166"/>
      <c r="CU142" s="166"/>
      <c r="CV142" s="166"/>
      <c r="CW142" s="166"/>
      <c r="CX142" s="166"/>
      <c r="CY142" s="168"/>
      <c r="DA142" s="107" t="s">
        <v>393</v>
      </c>
      <c r="DB142" s="315">
        <f t="shared" si="372"/>
        <v>0</v>
      </c>
      <c r="DC142" s="315">
        <f t="shared" si="373"/>
        <v>0</v>
      </c>
      <c r="DD142" s="315">
        <f t="shared" si="374"/>
        <v>0</v>
      </c>
      <c r="DE142" s="315">
        <f t="shared" si="375"/>
        <v>0</v>
      </c>
      <c r="DF142" s="315">
        <f t="shared" si="376"/>
        <v>0</v>
      </c>
      <c r="DG142" s="315">
        <f t="shared" si="377"/>
        <v>0</v>
      </c>
      <c r="DH142" s="315">
        <f t="shared" si="378"/>
        <v>0</v>
      </c>
      <c r="DI142" s="314">
        <f t="shared" si="379"/>
        <v>0</v>
      </c>
      <c r="DJ142" s="315">
        <f t="shared" si="380"/>
        <v>0</v>
      </c>
      <c r="DK142" s="315">
        <f t="shared" si="381"/>
        <v>0</v>
      </c>
      <c r="DL142" s="315">
        <f t="shared" si="382"/>
        <v>0</v>
      </c>
      <c r="DM142" s="315">
        <f t="shared" si="383"/>
        <v>0</v>
      </c>
      <c r="DN142" s="315">
        <f t="shared" si="384"/>
        <v>0</v>
      </c>
      <c r="DO142" s="168"/>
      <c r="DQ142" s="107" t="s">
        <v>393</v>
      </c>
      <c r="DR142" s="315"/>
      <c r="DS142" s="315"/>
      <c r="DT142" s="315"/>
      <c r="DU142" s="315"/>
      <c r="DV142" s="315"/>
      <c r="DW142" s="315"/>
      <c r="DX142" s="315"/>
      <c r="DY142" s="314">
        <v>0</v>
      </c>
      <c r="DZ142" s="315"/>
      <c r="EA142" s="315"/>
      <c r="EB142" s="315"/>
      <c r="EC142" s="315"/>
      <c r="ED142" s="315"/>
      <c r="EE142" s="168"/>
      <c r="EG142" s="107" t="s">
        <v>393</v>
      </c>
      <c r="EH142" s="315"/>
      <c r="EI142" s="315"/>
      <c r="EJ142" s="315"/>
      <c r="EK142" s="315"/>
      <c r="EL142" s="315"/>
      <c r="EM142" s="315"/>
      <c r="EN142" s="315"/>
      <c r="EO142" s="314">
        <v>0</v>
      </c>
      <c r="EP142" s="315"/>
      <c r="EQ142" s="315"/>
      <c r="ER142" s="315"/>
      <c r="ES142" s="315"/>
      <c r="ET142" s="315"/>
      <c r="EU142" s="168"/>
      <c r="EW142" s="164" t="s">
        <v>393</v>
      </c>
      <c r="EX142" s="316">
        <f t="shared" si="350"/>
        <v>0</v>
      </c>
      <c r="EY142" s="316">
        <f t="shared" si="346"/>
        <v>0</v>
      </c>
      <c r="EZ142" s="316">
        <f t="shared" si="346"/>
        <v>0</v>
      </c>
      <c r="FA142" s="316">
        <f t="shared" si="346"/>
        <v>0</v>
      </c>
      <c r="FB142" s="316">
        <f t="shared" si="346"/>
        <v>0</v>
      </c>
      <c r="FC142" s="316">
        <f t="shared" si="346"/>
        <v>0</v>
      </c>
      <c r="FD142" s="316">
        <f t="shared" si="346"/>
        <v>0</v>
      </c>
      <c r="FE142" s="316">
        <f t="shared" si="346"/>
        <v>0</v>
      </c>
      <c r="FF142" s="316"/>
      <c r="FG142" s="316">
        <f t="shared" si="346"/>
        <v>0</v>
      </c>
      <c r="FH142" s="316">
        <f t="shared" si="346"/>
        <v>0</v>
      </c>
      <c r="FI142" s="316">
        <f t="shared" si="346"/>
        <v>0</v>
      </c>
      <c r="FJ142" s="316">
        <f t="shared" si="346"/>
        <v>0</v>
      </c>
      <c r="FK142" s="316">
        <f t="shared" si="346"/>
        <v>0</v>
      </c>
      <c r="FL142" s="168"/>
    </row>
    <row r="143" spans="2:168" x14ac:dyDescent="0.25">
      <c r="B143" s="107" t="s">
        <v>546</v>
      </c>
      <c r="C143" s="294"/>
      <c r="D143" s="294"/>
      <c r="E143" s="294"/>
      <c r="F143" s="294"/>
      <c r="G143" s="294"/>
      <c r="H143" s="294"/>
      <c r="I143" s="294"/>
      <c r="J143" s="294"/>
      <c r="K143" s="160">
        <f>TripMode_input!J125+TripMode_input!K125+TripMode_input!J124+TripMode_input!K124</f>
        <v>33697.70102</v>
      </c>
      <c r="L143" s="294"/>
      <c r="M143" s="294"/>
      <c r="N143" s="294"/>
      <c r="O143" s="294"/>
      <c r="P143" s="162">
        <f t="shared" si="335"/>
        <v>33697.70102</v>
      </c>
      <c r="R143">
        <f t="shared" si="347"/>
        <v>1</v>
      </c>
      <c r="S143">
        <f t="shared" si="348"/>
        <v>0</v>
      </c>
      <c r="T143">
        <f t="shared" si="349"/>
        <v>0</v>
      </c>
      <c r="U143" s="127">
        <f>+K143/K$159</f>
        <v>2.6785186368277765E-2</v>
      </c>
      <c r="V143" s="127"/>
      <c r="W143" s="127"/>
      <c r="X143" s="127"/>
      <c r="Y143" s="107" t="s">
        <v>546</v>
      </c>
      <c r="Z143" s="294"/>
      <c r="AA143" s="294"/>
      <c r="AB143" s="294"/>
      <c r="AC143" s="294"/>
      <c r="AD143" s="294"/>
      <c r="AE143" s="294"/>
      <c r="AF143" s="294"/>
      <c r="AG143" s="294"/>
      <c r="AH143" s="160">
        <f>U143*U$159</f>
        <v>35569.786080806109</v>
      </c>
      <c r="AI143" s="294"/>
      <c r="AJ143" s="294"/>
      <c r="AK143" s="294"/>
      <c r="AL143" s="294"/>
      <c r="AM143" s="162">
        <f t="shared" si="339"/>
        <v>35569.786080806109</v>
      </c>
      <c r="AN143" s="127"/>
      <c r="AO143" s="107" t="s">
        <v>395</v>
      </c>
      <c r="AP143" s="294">
        <f>TripMode_input!R125*Index!$B$2</f>
        <v>0</v>
      </c>
      <c r="AQ143" s="294">
        <f>TripMode_input!S125*Index!$B$2</f>
        <v>0</v>
      </c>
      <c r="AR143" s="294">
        <f>TripMode_input!T125*Index!$B$2</f>
        <v>0</v>
      </c>
      <c r="AS143" s="294">
        <f>TripMode_input!U125*Index!$B$2</f>
        <v>0</v>
      </c>
      <c r="AT143" s="294">
        <f>TripMode_input!V125*Index!$B$2</f>
        <v>0</v>
      </c>
      <c r="AU143" s="294">
        <f>TripMode_input!W125*Index!$B$2</f>
        <v>0</v>
      </c>
      <c r="AV143" s="294">
        <f>TripMode_input!X125*Index!$B$2</f>
        <v>0</v>
      </c>
      <c r="AW143" s="294">
        <f>TripMode_input!Y125*Index!$B$2</f>
        <v>0</v>
      </c>
      <c r="AX143" s="160">
        <f>TripMode_input!AA125*Index!$B$2</f>
        <v>7080</v>
      </c>
      <c r="AY143" s="160">
        <f>TripMode_input!AB125*Index!$B$2</f>
        <v>0</v>
      </c>
      <c r="AZ143" s="160">
        <f>TripMode_input!AC125*Index!$B$2</f>
        <v>0</v>
      </c>
      <c r="BA143" s="294">
        <f>TripMode_input!AD125*Index!$B$2</f>
        <v>0</v>
      </c>
      <c r="BB143" s="294">
        <f>TripMode_input!AE125*Index!$B$2</f>
        <v>0</v>
      </c>
      <c r="BC143" s="162">
        <f t="shared" si="340"/>
        <v>7080</v>
      </c>
      <c r="BE143" s="107" t="s">
        <v>395</v>
      </c>
      <c r="BF143" s="166" t="str">
        <f t="shared" si="357"/>
        <v/>
      </c>
      <c r="BG143" s="166" t="str">
        <f t="shared" si="357"/>
        <v/>
      </c>
      <c r="BH143" s="166">
        <f t="shared" si="357"/>
        <v>0</v>
      </c>
      <c r="BI143" s="166">
        <f t="shared" si="357"/>
        <v>0</v>
      </c>
      <c r="BJ143" s="166">
        <f t="shared" si="357"/>
        <v>0</v>
      </c>
      <c r="BK143" s="166">
        <f t="shared" si="357"/>
        <v>0</v>
      </c>
      <c r="BL143" s="166">
        <f t="shared" si="357"/>
        <v>0</v>
      </c>
      <c r="BM143" s="166">
        <f t="shared" si="357"/>
        <v>0</v>
      </c>
      <c r="BN143" s="166">
        <f t="shared" si="357"/>
        <v>0.81694981445370007</v>
      </c>
      <c r="BO143" s="166">
        <f t="shared" si="357"/>
        <v>0</v>
      </c>
      <c r="BP143" s="166">
        <f t="shared" si="357"/>
        <v>0</v>
      </c>
      <c r="BQ143" s="166">
        <f t="shared" si="357"/>
        <v>0</v>
      </c>
      <c r="BR143" s="166">
        <f t="shared" si="357"/>
        <v>0</v>
      </c>
      <c r="BS143" s="166">
        <f t="shared" si="357"/>
        <v>1.2266044326458014E-2</v>
      </c>
      <c r="BU143" s="107" t="s">
        <v>395</v>
      </c>
      <c r="BV143" s="166" t="str">
        <f t="shared" si="358"/>
        <v/>
      </c>
      <c r="BW143" s="166" t="str">
        <f t="shared" si="359"/>
        <v/>
      </c>
      <c r="BX143" s="166">
        <f t="shared" si="360"/>
        <v>0</v>
      </c>
      <c r="BY143" s="166">
        <f t="shared" si="361"/>
        <v>0</v>
      </c>
      <c r="BZ143" s="166">
        <f t="shared" si="362"/>
        <v>0</v>
      </c>
      <c r="CA143" s="166">
        <f t="shared" si="363"/>
        <v>0</v>
      </c>
      <c r="CB143" s="166">
        <f t="shared" si="364"/>
        <v>0</v>
      </c>
      <c r="CC143" s="166">
        <f t="shared" si="365"/>
        <v>0</v>
      </c>
      <c r="CD143" s="166">
        <f t="shared" si="366"/>
        <v>0.86341463414634145</v>
      </c>
      <c r="CE143" s="166">
        <f t="shared" si="367"/>
        <v>0</v>
      </c>
      <c r="CF143" s="166">
        <f t="shared" si="368"/>
        <v>0</v>
      </c>
      <c r="CG143" s="166">
        <f t="shared" si="369"/>
        <v>0</v>
      </c>
      <c r="CH143" s="166" t="str">
        <f t="shared" si="370"/>
        <v/>
      </c>
      <c r="CI143" s="168">
        <f t="shared" si="371"/>
        <v>8.0173936676178822E-3</v>
      </c>
      <c r="CK143" s="107" t="s">
        <v>395</v>
      </c>
      <c r="CL143" s="166" t="str">
        <f t="shared" ref="CL143:CO148" si="385">IF(OR(ISNA(BF143),BF143=0,BF143=""),"",(BV143-BF143)/BF143)</f>
        <v/>
      </c>
      <c r="CM143" s="166" t="str">
        <f t="shared" si="385"/>
        <v/>
      </c>
      <c r="CN143" s="166" t="str">
        <f t="shared" si="385"/>
        <v/>
      </c>
      <c r="CO143" s="166" t="str">
        <f t="shared" si="385"/>
        <v/>
      </c>
      <c r="CP143" s="166"/>
      <c r="CQ143" s="166"/>
      <c r="CR143" s="166"/>
      <c r="CS143" s="166"/>
      <c r="CT143" s="166">
        <f t="shared" ref="CT143:CY148" si="386">IF(OR(ISNA(BN143),BN143=0,BN143=""),"",(CD143-BN143)/BN143)</f>
        <v>5.6875978022851652E-2</v>
      </c>
      <c r="CU143" s="166" t="str">
        <f t="shared" si="386"/>
        <v/>
      </c>
      <c r="CV143" s="166" t="str">
        <f t="shared" si="386"/>
        <v/>
      </c>
      <c r="CW143" s="166" t="str">
        <f t="shared" si="386"/>
        <v/>
      </c>
      <c r="CX143" s="166" t="str">
        <f t="shared" si="386"/>
        <v/>
      </c>
      <c r="CY143" s="168">
        <f t="shared" si="386"/>
        <v>-0.34637496374244614</v>
      </c>
      <c r="DA143" s="107" t="s">
        <v>395</v>
      </c>
      <c r="DB143" s="315">
        <f t="shared" si="372"/>
        <v>0</v>
      </c>
      <c r="DC143" s="315">
        <f t="shared" si="373"/>
        <v>0</v>
      </c>
      <c r="DD143" s="315">
        <f t="shared" si="374"/>
        <v>0</v>
      </c>
      <c r="DE143" s="315">
        <f t="shared" si="375"/>
        <v>0</v>
      </c>
      <c r="DF143" s="315">
        <f t="shared" si="376"/>
        <v>0</v>
      </c>
      <c r="DG143" s="315">
        <f t="shared" si="377"/>
        <v>0</v>
      </c>
      <c r="DH143" s="315">
        <f t="shared" si="378"/>
        <v>0</v>
      </c>
      <c r="DI143" s="315">
        <f t="shared" si="379"/>
        <v>0</v>
      </c>
      <c r="DJ143" s="314">
        <f t="shared" si="380"/>
        <v>-5.5317366061505259E-2</v>
      </c>
      <c r="DK143" s="315">
        <f t="shared" si="381"/>
        <v>0</v>
      </c>
      <c r="DL143" s="315">
        <f t="shared" si="382"/>
        <v>0</v>
      </c>
      <c r="DM143" s="315">
        <f t="shared" si="383"/>
        <v>0</v>
      </c>
      <c r="DN143" s="315">
        <f t="shared" si="384"/>
        <v>0</v>
      </c>
      <c r="DO143" s="168"/>
      <c r="DQ143" s="107" t="s">
        <v>395</v>
      </c>
      <c r="DR143" s="315"/>
      <c r="DS143" s="315"/>
      <c r="DT143" s="315"/>
      <c r="DU143" s="315"/>
      <c r="DV143" s="315"/>
      <c r="DW143" s="315"/>
      <c r="DX143" s="315"/>
      <c r="DY143" s="315"/>
      <c r="DZ143" s="314">
        <v>0</v>
      </c>
      <c r="EA143" s="315"/>
      <c r="EB143" s="315"/>
      <c r="EC143" s="315"/>
      <c r="ED143" s="315"/>
      <c r="EE143" s="168"/>
      <c r="EG143" s="107" t="s">
        <v>395</v>
      </c>
      <c r="EH143" s="315"/>
      <c r="EI143" s="315"/>
      <c r="EJ143" s="315"/>
      <c r="EK143" s="315"/>
      <c r="EL143" s="315"/>
      <c r="EM143" s="315"/>
      <c r="EN143" s="315"/>
      <c r="EO143" s="315"/>
      <c r="EP143" s="314">
        <v>0</v>
      </c>
      <c r="EQ143" s="315"/>
      <c r="ER143" s="315"/>
      <c r="ES143" s="315"/>
      <c r="ET143" s="315"/>
      <c r="EU143" s="168"/>
      <c r="EW143" s="164" t="s">
        <v>546</v>
      </c>
      <c r="EX143" s="316">
        <f t="shared" si="350"/>
        <v>0</v>
      </c>
      <c r="EY143" s="316">
        <f t="shared" si="346"/>
        <v>0</v>
      </c>
      <c r="EZ143" s="316">
        <f t="shared" si="346"/>
        <v>-10.629367475283011</v>
      </c>
      <c r="FA143" s="316">
        <f t="shared" si="346"/>
        <v>-10.629367475283011</v>
      </c>
      <c r="FB143" s="316">
        <f t="shared" si="346"/>
        <v>-0.36945912475078946</v>
      </c>
      <c r="FC143" s="316">
        <f t="shared" si="346"/>
        <v>-0.36945912475078946</v>
      </c>
      <c r="FD143" s="316">
        <f t="shared" si="346"/>
        <v>7.5858618002859295</v>
      </c>
      <c r="FE143" s="316">
        <f t="shared" si="346"/>
        <v>0</v>
      </c>
      <c r="FF143" s="316"/>
      <c r="FG143" s="316">
        <f t="shared" si="346"/>
        <v>0</v>
      </c>
      <c r="FH143" s="316">
        <f t="shared" si="346"/>
        <v>0</v>
      </c>
      <c r="FI143" s="316">
        <f t="shared" si="346"/>
        <v>0</v>
      </c>
      <c r="FJ143" s="316">
        <f t="shared" si="346"/>
        <v>-7.7699592619095217</v>
      </c>
      <c r="FK143" s="316">
        <f t="shared" si="346"/>
        <v>0</v>
      </c>
      <c r="FL143" s="168"/>
    </row>
    <row r="144" spans="2:168" x14ac:dyDescent="0.25">
      <c r="B144" s="107" t="s">
        <v>396</v>
      </c>
      <c r="C144" s="294"/>
      <c r="D144" s="294"/>
      <c r="E144" s="294"/>
      <c r="F144" s="294"/>
      <c r="G144" s="294"/>
      <c r="H144" s="294"/>
      <c r="I144" s="294"/>
      <c r="J144" s="294"/>
      <c r="K144" s="294"/>
      <c r="L144" s="160">
        <f>TripMode_input!L126</f>
        <v>6414.5320000000002</v>
      </c>
      <c r="M144" s="294"/>
      <c r="N144" s="294"/>
      <c r="O144" s="294"/>
      <c r="P144" s="162">
        <f t="shared" si="335"/>
        <v>6414.5320000000002</v>
      </c>
      <c r="R144">
        <f t="shared" si="347"/>
        <v>0</v>
      </c>
      <c r="S144">
        <f t="shared" si="348"/>
        <v>1</v>
      </c>
      <c r="T144">
        <f t="shared" si="349"/>
        <v>0</v>
      </c>
      <c r="V144" s="127">
        <f>+L144/L$160</f>
        <v>6.3162819643394597E-2</v>
      </c>
      <c r="W144" s="127"/>
      <c r="X144" s="127"/>
      <c r="Y144" s="107" t="s">
        <v>396</v>
      </c>
      <c r="Z144" s="294"/>
      <c r="AA144" s="294"/>
      <c r="AB144" s="294"/>
      <c r="AC144" s="294"/>
      <c r="AD144" s="294"/>
      <c r="AE144" s="294"/>
      <c r="AF144" s="294"/>
      <c r="AG144" s="294"/>
      <c r="AH144" s="294"/>
      <c r="AI144" s="160">
        <f>V144*V$160</f>
        <v>4323.6298382614532</v>
      </c>
      <c r="AJ144" s="294"/>
      <c r="AK144" s="294"/>
      <c r="AL144" s="294"/>
      <c r="AM144" s="162">
        <f t="shared" si="339"/>
        <v>4323.6298382614532</v>
      </c>
      <c r="AN144" s="127"/>
      <c r="AO144" s="107" t="s">
        <v>396</v>
      </c>
      <c r="AP144" s="294">
        <f>TripMode_input!R126*Index!$B$2</f>
        <v>0</v>
      </c>
      <c r="AQ144" s="294">
        <f>TripMode_input!S126*Index!$B$2</f>
        <v>0</v>
      </c>
      <c r="AR144" s="294">
        <f>TripMode_input!T126*Index!$B$2</f>
        <v>0</v>
      </c>
      <c r="AS144" s="294">
        <f>TripMode_input!U126*Index!$B$2</f>
        <v>0</v>
      </c>
      <c r="AT144" s="294">
        <f>TripMode_input!V126*Index!$B$2</f>
        <v>0</v>
      </c>
      <c r="AU144" s="294">
        <f>TripMode_input!W126*Index!$B$2</f>
        <v>0</v>
      </c>
      <c r="AV144" s="294">
        <f>TripMode_input!X126*Index!$B$2</f>
        <v>0</v>
      </c>
      <c r="AW144" s="294">
        <f>TripMode_input!Y126*Index!$B$2</f>
        <v>0</v>
      </c>
      <c r="AX144" s="294">
        <f>TripMode_input!AA126*Index!$B$2</f>
        <v>0</v>
      </c>
      <c r="AY144" s="160">
        <f>TripMode_input!AB126*Index!$B$2</f>
        <v>530</v>
      </c>
      <c r="AZ144" s="294">
        <f>TripMode_input!AC126*Index!$B$2</f>
        <v>0</v>
      </c>
      <c r="BA144" s="294">
        <f>TripMode_input!AD126*Index!$B$2</f>
        <v>0</v>
      </c>
      <c r="BB144" s="294">
        <f>TripMode_input!AE126*Index!$B$2</f>
        <v>0</v>
      </c>
      <c r="BC144" s="162">
        <f t="shared" si="340"/>
        <v>530</v>
      </c>
      <c r="BE144" s="107" t="s">
        <v>396</v>
      </c>
      <c r="BF144" s="166" t="str">
        <f t="shared" si="357"/>
        <v/>
      </c>
      <c r="BG144" s="166" t="str">
        <f t="shared" si="357"/>
        <v/>
      </c>
      <c r="BH144" s="166">
        <f t="shared" si="357"/>
        <v>0</v>
      </c>
      <c r="BI144" s="166">
        <f t="shared" si="357"/>
        <v>0</v>
      </c>
      <c r="BJ144" s="166">
        <f t="shared" si="357"/>
        <v>0</v>
      </c>
      <c r="BK144" s="166">
        <f t="shared" si="357"/>
        <v>0</v>
      </c>
      <c r="BL144" s="166">
        <f t="shared" si="357"/>
        <v>0</v>
      </c>
      <c r="BM144" s="166">
        <f t="shared" si="357"/>
        <v>0</v>
      </c>
      <c r="BN144" s="166">
        <f t="shared" si="357"/>
        <v>0</v>
      </c>
      <c r="BO144" s="166">
        <f t="shared" si="357"/>
        <v>1</v>
      </c>
      <c r="BP144" s="166">
        <f t="shared" si="357"/>
        <v>0</v>
      </c>
      <c r="BQ144" s="166">
        <f t="shared" si="357"/>
        <v>0</v>
      </c>
      <c r="BR144" s="166">
        <f t="shared" si="357"/>
        <v>0</v>
      </c>
      <c r="BS144" s="166">
        <f t="shared" si="357"/>
        <v>1.4909798762025499E-3</v>
      </c>
      <c r="BU144" s="107" t="s">
        <v>396</v>
      </c>
      <c r="BV144" s="166" t="str">
        <f t="shared" si="358"/>
        <v/>
      </c>
      <c r="BW144" s="166" t="str">
        <f t="shared" si="359"/>
        <v/>
      </c>
      <c r="BX144" s="166">
        <f t="shared" si="360"/>
        <v>0</v>
      </c>
      <c r="BY144" s="166">
        <f t="shared" si="361"/>
        <v>0</v>
      </c>
      <c r="BZ144" s="166">
        <f t="shared" si="362"/>
        <v>0</v>
      </c>
      <c r="CA144" s="166">
        <f t="shared" si="363"/>
        <v>0</v>
      </c>
      <c r="CB144" s="166">
        <f t="shared" si="364"/>
        <v>0</v>
      </c>
      <c r="CC144" s="166">
        <f t="shared" si="365"/>
        <v>0</v>
      </c>
      <c r="CD144" s="166">
        <f t="shared" si="366"/>
        <v>0</v>
      </c>
      <c r="CE144" s="166">
        <f t="shared" si="367"/>
        <v>1</v>
      </c>
      <c r="CF144" s="166">
        <f t="shared" si="368"/>
        <v>0</v>
      </c>
      <c r="CG144" s="166">
        <f t="shared" si="369"/>
        <v>0</v>
      </c>
      <c r="CH144" s="166" t="str">
        <f t="shared" si="370"/>
        <v/>
      </c>
      <c r="CI144" s="168">
        <f t="shared" si="371"/>
        <v>6.0017212483580201E-4</v>
      </c>
      <c r="CK144" s="107" t="s">
        <v>396</v>
      </c>
      <c r="CL144" s="166" t="str">
        <f t="shared" si="385"/>
        <v/>
      </c>
      <c r="CM144" s="166" t="str">
        <f t="shared" si="385"/>
        <v/>
      </c>
      <c r="CN144" s="166" t="str">
        <f t="shared" si="385"/>
        <v/>
      </c>
      <c r="CO144" s="166" t="str">
        <f t="shared" si="385"/>
        <v/>
      </c>
      <c r="CP144" s="166"/>
      <c r="CQ144" s="166"/>
      <c r="CR144" s="166"/>
      <c r="CS144" s="166"/>
      <c r="CT144" s="166" t="str">
        <f t="shared" si="386"/>
        <v/>
      </c>
      <c r="CU144" s="166">
        <f t="shared" si="386"/>
        <v>0</v>
      </c>
      <c r="CV144" s="166" t="str">
        <f t="shared" si="386"/>
        <v/>
      </c>
      <c r="CW144" s="166" t="str">
        <f t="shared" si="386"/>
        <v/>
      </c>
      <c r="CX144" s="166" t="str">
        <f t="shared" si="386"/>
        <v/>
      </c>
      <c r="CY144" s="168">
        <f t="shared" si="386"/>
        <v>-0.5974646375748478</v>
      </c>
      <c r="DA144" s="107" t="s">
        <v>396</v>
      </c>
      <c r="DB144" s="315">
        <f t="shared" si="372"/>
        <v>0</v>
      </c>
      <c r="DC144" s="315">
        <f t="shared" si="373"/>
        <v>0</v>
      </c>
      <c r="DD144" s="315">
        <f t="shared" si="374"/>
        <v>0</v>
      </c>
      <c r="DE144" s="315">
        <f t="shared" si="375"/>
        <v>0</v>
      </c>
      <c r="DF144" s="315">
        <f t="shared" si="376"/>
        <v>0</v>
      </c>
      <c r="DG144" s="315">
        <f t="shared" si="377"/>
        <v>0</v>
      </c>
      <c r="DH144" s="315">
        <f t="shared" si="378"/>
        <v>0</v>
      </c>
      <c r="DI144" s="315">
        <f t="shared" si="379"/>
        <v>0</v>
      </c>
      <c r="DJ144" s="315">
        <f t="shared" si="380"/>
        <v>0</v>
      </c>
      <c r="DK144" s="314">
        <f t="shared" si="381"/>
        <v>0</v>
      </c>
      <c r="DL144" s="315">
        <f t="shared" si="382"/>
        <v>0</v>
      </c>
      <c r="DM144" s="315">
        <f t="shared" si="383"/>
        <v>0</v>
      </c>
      <c r="DN144" s="315">
        <f t="shared" si="384"/>
        <v>0</v>
      </c>
      <c r="DO144" s="168"/>
      <c r="DQ144" s="107" t="s">
        <v>396</v>
      </c>
      <c r="DR144" s="315"/>
      <c r="DS144" s="315"/>
      <c r="DT144" s="315"/>
      <c r="DU144" s="315"/>
      <c r="DV144" s="315"/>
      <c r="DW144" s="315"/>
      <c r="DX144" s="315"/>
      <c r="DY144" s="315"/>
      <c r="DZ144" s="315"/>
      <c r="EA144" s="314">
        <v>0</v>
      </c>
      <c r="EB144" s="315"/>
      <c r="EC144" s="315"/>
      <c r="ED144" s="315"/>
      <c r="EE144" s="168"/>
      <c r="EG144" s="107" t="s">
        <v>396</v>
      </c>
      <c r="EH144" s="315"/>
      <c r="EI144" s="315"/>
      <c r="EJ144" s="315"/>
      <c r="EK144" s="315"/>
      <c r="EL144" s="315"/>
      <c r="EM144" s="315"/>
      <c r="EN144" s="315"/>
      <c r="EO144" s="315"/>
      <c r="EP144" s="315"/>
      <c r="EQ144" s="314">
        <v>0</v>
      </c>
      <c r="ER144" s="315"/>
      <c r="ES144" s="315"/>
      <c r="ET144" s="315"/>
      <c r="EU144" s="168"/>
      <c r="EW144" s="164" t="s">
        <v>396</v>
      </c>
      <c r="EX144" s="316">
        <f t="shared" si="350"/>
        <v>0</v>
      </c>
      <c r="EY144" s="316">
        <f t="shared" si="346"/>
        <v>0</v>
      </c>
      <c r="EZ144" s="316">
        <f t="shared" si="346"/>
        <v>0</v>
      </c>
      <c r="FA144" s="316">
        <f t="shared" si="346"/>
        <v>0</v>
      </c>
      <c r="FB144" s="316">
        <f t="shared" si="346"/>
        <v>0</v>
      </c>
      <c r="FC144" s="316">
        <f t="shared" si="346"/>
        <v>0</v>
      </c>
      <c r="FD144" s="316">
        <f t="shared" si="346"/>
        <v>0</v>
      </c>
      <c r="FE144" s="316">
        <f t="shared" si="346"/>
        <v>0</v>
      </c>
      <c r="FF144" s="316"/>
      <c r="FG144" s="316">
        <f t="shared" si="346"/>
        <v>0</v>
      </c>
      <c r="FH144" s="316">
        <f t="shared" si="346"/>
        <v>0</v>
      </c>
      <c r="FI144" s="316">
        <f t="shared" si="346"/>
        <v>0</v>
      </c>
      <c r="FJ144" s="316">
        <f t="shared" si="346"/>
        <v>0</v>
      </c>
      <c r="FK144" s="316">
        <f t="shared" si="346"/>
        <v>0</v>
      </c>
      <c r="FL144" s="168"/>
    </row>
    <row r="145" spans="2:168" x14ac:dyDescent="0.25">
      <c r="B145" s="107" t="s">
        <v>397</v>
      </c>
      <c r="C145" s="294"/>
      <c r="D145" s="294"/>
      <c r="E145" s="294"/>
      <c r="F145" s="294"/>
      <c r="G145" s="294"/>
      <c r="H145" s="294"/>
      <c r="I145" s="294"/>
      <c r="J145" s="294"/>
      <c r="K145" s="294"/>
      <c r="L145" s="294"/>
      <c r="M145" s="160">
        <f>TripMode_input!M127</f>
        <v>5052.5193399999998</v>
      </c>
      <c r="N145" s="294"/>
      <c r="O145" s="294"/>
      <c r="P145" s="162">
        <f t="shared" si="335"/>
        <v>5052.5193399999998</v>
      </c>
      <c r="R145">
        <f t="shared" si="347"/>
        <v>0</v>
      </c>
      <c r="S145">
        <f t="shared" si="348"/>
        <v>0</v>
      </c>
      <c r="T145">
        <f t="shared" si="349"/>
        <v>1</v>
      </c>
      <c r="W145" s="127">
        <f>+M145/M$161</f>
        <v>1.8308204250821174E-2</v>
      </c>
      <c r="X145" s="127"/>
      <c r="Y145" s="107" t="s">
        <v>397</v>
      </c>
      <c r="Z145" s="294"/>
      <c r="AA145" s="294"/>
      <c r="AB145" s="294"/>
      <c r="AC145" s="294"/>
      <c r="AD145" s="294"/>
      <c r="AE145" s="294"/>
      <c r="AF145" s="294"/>
      <c r="AG145" s="294"/>
      <c r="AH145" s="294"/>
      <c r="AI145" s="294"/>
      <c r="AJ145" s="160">
        <f>W145*W$161</f>
        <v>3638.5650467225068</v>
      </c>
      <c r="AK145" s="294"/>
      <c r="AL145" s="294"/>
      <c r="AM145" s="162">
        <f t="shared" si="339"/>
        <v>3638.5650467225068</v>
      </c>
      <c r="AN145" s="127"/>
      <c r="AO145" s="107" t="s">
        <v>397</v>
      </c>
      <c r="AP145" s="294">
        <f>TripMode_input!R127*Index!$B$2</f>
        <v>0</v>
      </c>
      <c r="AQ145" s="294">
        <f>TripMode_input!S127*Index!$B$2</f>
        <v>0</v>
      </c>
      <c r="AR145" s="294">
        <f>TripMode_input!T127*Index!$B$2</f>
        <v>0</v>
      </c>
      <c r="AS145" s="294">
        <f>TripMode_input!U127*Index!$B$2</f>
        <v>0</v>
      </c>
      <c r="AT145" s="294">
        <f>TripMode_input!V127*Index!$B$2</f>
        <v>0</v>
      </c>
      <c r="AU145" s="294">
        <f>TripMode_input!W127*Index!$B$2</f>
        <v>0</v>
      </c>
      <c r="AV145" s="294">
        <f>TripMode_input!X127*Index!$B$2</f>
        <v>0</v>
      </c>
      <c r="AW145" s="294">
        <f>TripMode_input!Y127*Index!$B$2</f>
        <v>0</v>
      </c>
      <c r="AX145" s="294">
        <f>TripMode_input!AA127*Index!$B$2</f>
        <v>0</v>
      </c>
      <c r="AY145" s="294">
        <f>TripMode_input!AB127*Index!$B$2</f>
        <v>0</v>
      </c>
      <c r="AZ145" s="160">
        <f>TripMode_input!AC127*Index!$B$2</f>
        <v>210</v>
      </c>
      <c r="BA145" s="294">
        <f>TripMode_input!AD127*Index!$B$2</f>
        <v>0</v>
      </c>
      <c r="BB145" s="294">
        <f>TripMode_input!AE127*Index!$B$2</f>
        <v>0</v>
      </c>
      <c r="BC145" s="162">
        <f t="shared" si="340"/>
        <v>210</v>
      </c>
      <c r="BE145" s="107" t="s">
        <v>397</v>
      </c>
      <c r="BF145" s="166" t="str">
        <f t="shared" si="357"/>
        <v/>
      </c>
      <c r="BG145" s="166" t="str">
        <f t="shared" si="357"/>
        <v/>
      </c>
      <c r="BH145" s="166">
        <f t="shared" si="357"/>
        <v>0</v>
      </c>
      <c r="BI145" s="166">
        <f t="shared" si="357"/>
        <v>0</v>
      </c>
      <c r="BJ145" s="166">
        <f t="shared" si="357"/>
        <v>0</v>
      </c>
      <c r="BK145" s="166">
        <f t="shared" si="357"/>
        <v>0</v>
      </c>
      <c r="BL145" s="166">
        <f t="shared" si="357"/>
        <v>0</v>
      </c>
      <c r="BM145" s="166">
        <f t="shared" si="357"/>
        <v>0</v>
      </c>
      <c r="BN145" s="166">
        <f t="shared" si="357"/>
        <v>0</v>
      </c>
      <c r="BO145" s="166">
        <f t="shared" si="357"/>
        <v>0</v>
      </c>
      <c r="BP145" s="166">
        <f t="shared" si="357"/>
        <v>1</v>
      </c>
      <c r="BQ145" s="166">
        <f t="shared" si="357"/>
        <v>0</v>
      </c>
      <c r="BR145" s="166">
        <f t="shared" si="357"/>
        <v>0</v>
      </c>
      <c r="BS145" s="166">
        <f t="shared" si="357"/>
        <v>1.2547390655206208E-3</v>
      </c>
      <c r="BU145" s="107" t="s">
        <v>397</v>
      </c>
      <c r="BV145" s="166" t="str">
        <f t="shared" si="358"/>
        <v/>
      </c>
      <c r="BW145" s="166" t="str">
        <f t="shared" si="359"/>
        <v/>
      </c>
      <c r="BX145" s="166">
        <f t="shared" si="360"/>
        <v>0</v>
      </c>
      <c r="BY145" s="166">
        <f t="shared" si="361"/>
        <v>0</v>
      </c>
      <c r="BZ145" s="166">
        <f t="shared" si="362"/>
        <v>0</v>
      </c>
      <c r="CA145" s="166">
        <f t="shared" si="363"/>
        <v>0</v>
      </c>
      <c r="CB145" s="166">
        <f t="shared" si="364"/>
        <v>0</v>
      </c>
      <c r="CC145" s="166">
        <f t="shared" si="365"/>
        <v>0</v>
      </c>
      <c r="CD145" s="166">
        <f t="shared" si="366"/>
        <v>0</v>
      </c>
      <c r="CE145" s="166">
        <f t="shared" si="367"/>
        <v>0</v>
      </c>
      <c r="CF145" s="166">
        <f t="shared" si="368"/>
        <v>1</v>
      </c>
      <c r="CG145" s="166">
        <f t="shared" si="369"/>
        <v>0</v>
      </c>
      <c r="CH145" s="166" t="str">
        <f t="shared" si="370"/>
        <v/>
      </c>
      <c r="CI145" s="168">
        <f t="shared" si="371"/>
        <v>2.378040494632423E-4</v>
      </c>
      <c r="CK145" s="107" t="s">
        <v>397</v>
      </c>
      <c r="CL145" s="166" t="str">
        <f t="shared" si="385"/>
        <v/>
      </c>
      <c r="CM145" s="166" t="str">
        <f t="shared" si="385"/>
        <v/>
      </c>
      <c r="CN145" s="166" t="str">
        <f t="shared" si="385"/>
        <v/>
      </c>
      <c r="CO145" s="166" t="str">
        <f t="shared" si="385"/>
        <v/>
      </c>
      <c r="CP145" s="166"/>
      <c r="CQ145" s="166"/>
      <c r="CR145" s="166"/>
      <c r="CS145" s="166"/>
      <c r="CT145" s="166" t="str">
        <f t="shared" si="386"/>
        <v/>
      </c>
      <c r="CU145" s="166" t="str">
        <f t="shared" si="386"/>
        <v/>
      </c>
      <c r="CV145" s="166">
        <f t="shared" si="386"/>
        <v>0</v>
      </c>
      <c r="CW145" s="166" t="str">
        <f t="shared" si="386"/>
        <v/>
      </c>
      <c r="CX145" s="166" t="str">
        <f t="shared" si="386"/>
        <v/>
      </c>
      <c r="CY145" s="168">
        <f t="shared" si="386"/>
        <v>-0.81047529641984029</v>
      </c>
      <c r="DA145" s="107" t="s">
        <v>397</v>
      </c>
      <c r="DB145" s="315">
        <f t="shared" si="372"/>
        <v>0</v>
      </c>
      <c r="DC145" s="315">
        <f t="shared" si="373"/>
        <v>0</v>
      </c>
      <c r="DD145" s="315">
        <f t="shared" si="374"/>
        <v>0</v>
      </c>
      <c r="DE145" s="315">
        <f t="shared" si="375"/>
        <v>0</v>
      </c>
      <c r="DF145" s="315">
        <f t="shared" si="376"/>
        <v>0</v>
      </c>
      <c r="DG145" s="315">
        <f t="shared" si="377"/>
        <v>0</v>
      </c>
      <c r="DH145" s="315">
        <f t="shared" si="378"/>
        <v>0</v>
      </c>
      <c r="DI145" s="315">
        <f t="shared" si="379"/>
        <v>0</v>
      </c>
      <c r="DJ145" s="315">
        <f t="shared" si="380"/>
        <v>0</v>
      </c>
      <c r="DK145" s="315">
        <f t="shared" si="381"/>
        <v>0</v>
      </c>
      <c r="DL145" s="314">
        <f t="shared" si="382"/>
        <v>0</v>
      </c>
      <c r="DM145" s="315">
        <f t="shared" si="383"/>
        <v>0</v>
      </c>
      <c r="DN145" s="315">
        <f t="shared" si="384"/>
        <v>0</v>
      </c>
      <c r="DO145" s="168"/>
      <c r="DQ145" s="107" t="s">
        <v>397</v>
      </c>
      <c r="DR145" s="315"/>
      <c r="DS145" s="315"/>
      <c r="DT145" s="315"/>
      <c r="DU145" s="315"/>
      <c r="DV145" s="315"/>
      <c r="DW145" s="315"/>
      <c r="DX145" s="315"/>
      <c r="DY145" s="315"/>
      <c r="DZ145" s="315"/>
      <c r="EA145" s="315"/>
      <c r="EB145" s="314">
        <v>0</v>
      </c>
      <c r="EC145" s="315"/>
      <c r="ED145" s="315"/>
      <c r="EE145" s="168"/>
      <c r="EG145" s="107" t="s">
        <v>397</v>
      </c>
      <c r="EH145" s="315"/>
      <c r="EI145" s="315"/>
      <c r="EJ145" s="315"/>
      <c r="EK145" s="315"/>
      <c r="EL145" s="315"/>
      <c r="EM145" s="315"/>
      <c r="EN145" s="315"/>
      <c r="EO145" s="315"/>
      <c r="EP145" s="315"/>
      <c r="EQ145" s="315"/>
      <c r="ER145" s="314">
        <v>0</v>
      </c>
      <c r="ES145" s="315"/>
      <c r="ET145" s="315"/>
      <c r="EU145" s="168"/>
      <c r="EW145" s="164" t="s">
        <v>397</v>
      </c>
      <c r="EX145" s="316">
        <f t="shared" si="350"/>
        <v>0</v>
      </c>
      <c r="EY145" s="316">
        <f t="shared" si="346"/>
        <v>0</v>
      </c>
      <c r="EZ145" s="316">
        <f t="shared" si="346"/>
        <v>0</v>
      </c>
      <c r="FA145" s="316">
        <f t="shared" si="346"/>
        <v>0</v>
      </c>
      <c r="FB145" s="316">
        <f t="shared" si="346"/>
        <v>0</v>
      </c>
      <c r="FC145" s="316">
        <f t="shared" si="346"/>
        <v>0</v>
      </c>
      <c r="FD145" s="316">
        <f t="shared" si="346"/>
        <v>0</v>
      </c>
      <c r="FE145" s="316">
        <f t="shared" si="346"/>
        <v>0</v>
      </c>
      <c r="FF145" s="316"/>
      <c r="FG145" s="316">
        <f t="shared" si="346"/>
        <v>0</v>
      </c>
      <c r="FH145" s="316">
        <f t="shared" si="346"/>
        <v>0</v>
      </c>
      <c r="FI145" s="316">
        <f t="shared" si="346"/>
        <v>0</v>
      </c>
      <c r="FJ145" s="316">
        <f t="shared" si="346"/>
        <v>0</v>
      </c>
      <c r="FK145" s="316">
        <f t="shared" si="346"/>
        <v>0</v>
      </c>
      <c r="FL145" s="168"/>
    </row>
    <row r="146" spans="2:168" x14ac:dyDescent="0.25">
      <c r="B146" s="107" t="s">
        <v>398</v>
      </c>
      <c r="C146" s="294"/>
      <c r="D146" s="294"/>
      <c r="E146" s="294"/>
      <c r="F146" s="294"/>
      <c r="G146" s="294"/>
      <c r="H146" s="294"/>
      <c r="I146" s="294"/>
      <c r="J146" s="294"/>
      <c r="K146" s="160">
        <f>TripMode_input!J128+TripMode_input!K128</f>
        <v>116.36127999999999</v>
      </c>
      <c r="L146" s="294"/>
      <c r="M146" s="294"/>
      <c r="N146" s="160">
        <f>TripMode_input!N128</f>
        <v>3153.9642600000002</v>
      </c>
      <c r="O146" s="294"/>
      <c r="P146" s="162">
        <f t="shared" si="335"/>
        <v>3270.3255400000003</v>
      </c>
      <c r="R146">
        <f t="shared" si="347"/>
        <v>3.453092539783E-3</v>
      </c>
      <c r="S146">
        <f t="shared" si="348"/>
        <v>0</v>
      </c>
      <c r="T146">
        <f t="shared" si="349"/>
        <v>0</v>
      </c>
      <c r="Y146" s="107" t="s">
        <v>398</v>
      </c>
      <c r="Z146" s="294"/>
      <c r="AA146" s="294"/>
      <c r="AB146" s="294"/>
      <c r="AC146" s="294"/>
      <c r="AD146" s="294"/>
      <c r="AE146" s="294"/>
      <c r="AF146" s="294"/>
      <c r="AG146" s="294"/>
      <c r="AH146" s="160">
        <f>AH143*R146</f>
        <v>122.82576295730877</v>
      </c>
      <c r="AI146" s="160">
        <f>AI144*S146</f>
        <v>0</v>
      </c>
      <c r="AJ146" s="160">
        <f>AJ145*T146</f>
        <v>0</v>
      </c>
      <c r="AK146" s="160">
        <f>N146</f>
        <v>3153.9642600000002</v>
      </c>
      <c r="AL146" s="294"/>
      <c r="AM146" s="162">
        <f t="shared" si="339"/>
        <v>3276.7900229573088</v>
      </c>
      <c r="AO146" s="107" t="s">
        <v>398</v>
      </c>
      <c r="AP146" s="294">
        <f>TripMode_input!R128*Index!$B$2</f>
        <v>0</v>
      </c>
      <c r="AQ146" s="294">
        <f>TripMode_input!S128*Index!$B$2</f>
        <v>0</v>
      </c>
      <c r="AR146" s="294">
        <f>TripMode_input!T128*Index!$B$2</f>
        <v>0</v>
      </c>
      <c r="AS146" s="294">
        <f>TripMode_input!U128*Index!$B$2</f>
        <v>0</v>
      </c>
      <c r="AT146" s="294">
        <f>TripMode_input!V128*Index!$B$2</f>
        <v>0</v>
      </c>
      <c r="AU146" s="294">
        <f>TripMode_input!W128*Index!$B$2</f>
        <v>0</v>
      </c>
      <c r="AV146" s="294">
        <f>TripMode_input!X128*Index!$B$2</f>
        <v>0</v>
      </c>
      <c r="AW146" s="294">
        <f>TripMode_input!Y128*Index!$B$2</f>
        <v>0</v>
      </c>
      <c r="AX146" s="160">
        <f>TripMode_input!AA128*Index!$B$2</f>
        <v>185</v>
      </c>
      <c r="AY146" s="160">
        <f>TripMode_input!AB128*Index!$B$2</f>
        <v>0</v>
      </c>
      <c r="AZ146" s="160">
        <f>TripMode_input!AC128*Index!$B$2</f>
        <v>0</v>
      </c>
      <c r="BA146" s="160">
        <f>TripMode_input!AD128*Index!$B$2</f>
        <v>970</v>
      </c>
      <c r="BB146" s="294">
        <f>TripMode_input!AE128*Index!$B$2</f>
        <v>0</v>
      </c>
      <c r="BC146" s="162">
        <f t="shared" si="340"/>
        <v>1155</v>
      </c>
      <c r="BE146" s="107" t="s">
        <v>398</v>
      </c>
      <c r="BF146" s="166" t="str">
        <f t="shared" si="357"/>
        <v/>
      </c>
      <c r="BG146" s="166" t="str">
        <f t="shared" si="357"/>
        <v/>
      </c>
      <c r="BH146" s="166">
        <f t="shared" si="357"/>
        <v>0</v>
      </c>
      <c r="BI146" s="166">
        <f t="shared" si="357"/>
        <v>0</v>
      </c>
      <c r="BJ146" s="166">
        <f t="shared" si="357"/>
        <v>0</v>
      </c>
      <c r="BK146" s="166">
        <f t="shared" si="357"/>
        <v>0</v>
      </c>
      <c r="BL146" s="166">
        <f t="shared" si="357"/>
        <v>0</v>
      </c>
      <c r="BM146" s="166">
        <f t="shared" si="357"/>
        <v>0</v>
      </c>
      <c r="BN146" s="166">
        <f t="shared" si="357"/>
        <v>2.8210033096671781E-3</v>
      </c>
      <c r="BO146" s="166">
        <f t="shared" si="357"/>
        <v>0</v>
      </c>
      <c r="BP146" s="166">
        <f t="shared" si="357"/>
        <v>0</v>
      </c>
      <c r="BQ146" s="166">
        <f t="shared" si="357"/>
        <v>0.80422367865024014</v>
      </c>
      <c r="BR146" s="166">
        <f t="shared" si="357"/>
        <v>0</v>
      </c>
      <c r="BS146" s="166">
        <f t="shared" si="357"/>
        <v>1.1299829461661702E-3</v>
      </c>
      <c r="BU146" s="107" t="s">
        <v>398</v>
      </c>
      <c r="BV146" s="166" t="str">
        <f t="shared" si="358"/>
        <v/>
      </c>
      <c r="BW146" s="166" t="str">
        <f t="shared" si="359"/>
        <v/>
      </c>
      <c r="BX146" s="166">
        <f t="shared" si="360"/>
        <v>0</v>
      </c>
      <c r="BY146" s="166">
        <f t="shared" si="361"/>
        <v>0</v>
      </c>
      <c r="BZ146" s="166">
        <f t="shared" si="362"/>
        <v>0</v>
      </c>
      <c r="CA146" s="166">
        <f t="shared" si="363"/>
        <v>0</v>
      </c>
      <c r="CB146" s="166">
        <f t="shared" si="364"/>
        <v>0</v>
      </c>
      <c r="CC146" s="166">
        <f t="shared" si="365"/>
        <v>0</v>
      </c>
      <c r="CD146" s="166">
        <f t="shared" si="366"/>
        <v>2.2560975609756097E-2</v>
      </c>
      <c r="CE146" s="166">
        <f t="shared" si="367"/>
        <v>0</v>
      </c>
      <c r="CF146" s="166">
        <f t="shared" si="368"/>
        <v>0</v>
      </c>
      <c r="CG146" s="166">
        <f t="shared" si="369"/>
        <v>0.87387387387387383</v>
      </c>
      <c r="CH146" s="166" t="str">
        <f t="shared" si="370"/>
        <v/>
      </c>
      <c r="CI146" s="168">
        <f t="shared" si="371"/>
        <v>1.3079222720478326E-3</v>
      </c>
      <c r="CK146" s="107" t="s">
        <v>398</v>
      </c>
      <c r="CL146" s="166" t="str">
        <f t="shared" si="385"/>
        <v/>
      </c>
      <c r="CM146" s="166" t="str">
        <f t="shared" si="385"/>
        <v/>
      </c>
      <c r="CN146" s="166" t="str">
        <f t="shared" si="385"/>
        <v/>
      </c>
      <c r="CO146" s="166" t="str">
        <f t="shared" si="385"/>
        <v/>
      </c>
      <c r="CP146" s="166"/>
      <c r="CQ146" s="166"/>
      <c r="CR146" s="166"/>
      <c r="CS146" s="166"/>
      <c r="CT146" s="166">
        <f t="shared" si="386"/>
        <v>6.9975005815990485</v>
      </c>
      <c r="CU146" s="166" t="str">
        <f t="shared" si="386"/>
        <v/>
      </c>
      <c r="CV146" s="166" t="str">
        <f t="shared" si="386"/>
        <v/>
      </c>
      <c r="CW146" s="166">
        <f t="shared" si="386"/>
        <v>8.66055017685258E-2</v>
      </c>
      <c r="CX146" s="166" t="str">
        <f t="shared" si="386"/>
        <v/>
      </c>
      <c r="CY146" s="168">
        <f t="shared" si="386"/>
        <v>0.15747080651560152</v>
      </c>
      <c r="DA146" s="107" t="s">
        <v>398</v>
      </c>
      <c r="DB146" s="315">
        <f t="shared" si="372"/>
        <v>0</v>
      </c>
      <c r="DC146" s="315">
        <f t="shared" si="373"/>
        <v>0</v>
      </c>
      <c r="DD146" s="315">
        <f t="shared" si="374"/>
        <v>0</v>
      </c>
      <c r="DE146" s="315">
        <f t="shared" si="375"/>
        <v>0</v>
      </c>
      <c r="DF146" s="315">
        <f t="shared" si="376"/>
        <v>0</v>
      </c>
      <c r="DG146" s="315">
        <f t="shared" si="377"/>
        <v>0</v>
      </c>
      <c r="DH146" s="315">
        <f t="shared" si="378"/>
        <v>0</v>
      </c>
      <c r="DI146" s="315">
        <f t="shared" si="379"/>
        <v>0</v>
      </c>
      <c r="DJ146" s="314">
        <f t="shared" si="380"/>
        <v>-2.0791290655641403</v>
      </c>
      <c r="DK146" s="314">
        <f t="shared" si="381"/>
        <v>0</v>
      </c>
      <c r="DL146" s="314">
        <f t="shared" si="382"/>
        <v>0</v>
      </c>
      <c r="DM146" s="314">
        <f t="shared" si="383"/>
        <v>-8.3058618410269403E-2</v>
      </c>
      <c r="DN146" s="315">
        <f t="shared" si="384"/>
        <v>0</v>
      </c>
      <c r="DO146" s="168"/>
      <c r="DQ146" s="107" t="s">
        <v>398</v>
      </c>
      <c r="DR146" s="315"/>
      <c r="DS146" s="315"/>
      <c r="DT146" s="315"/>
      <c r="DU146" s="315"/>
      <c r="DV146" s="315"/>
      <c r="DW146" s="315"/>
      <c r="DX146" s="315"/>
      <c r="DY146" s="315"/>
      <c r="DZ146" s="314">
        <v>-5.746147562406887</v>
      </c>
      <c r="EA146" s="314">
        <v>0</v>
      </c>
      <c r="EB146" s="314">
        <v>0</v>
      </c>
      <c r="EC146" s="314">
        <v>0</v>
      </c>
      <c r="ED146" s="315"/>
      <c r="EE146" s="168"/>
      <c r="EG146" s="107" t="s">
        <v>398</v>
      </c>
      <c r="EH146" s="315"/>
      <c r="EI146" s="315"/>
      <c r="EJ146" s="315"/>
      <c r="EK146" s="315"/>
      <c r="EL146" s="315"/>
      <c r="EM146" s="315"/>
      <c r="EN146" s="315"/>
      <c r="EO146" s="315"/>
      <c r="EP146" s="314">
        <f>DZ146+(DJ146-DJ$143)*$EI$1</f>
        <v>-7.7699592619095217</v>
      </c>
      <c r="EQ146" s="314">
        <f>EA146+(DK146-DK$144)*$EI$1</f>
        <v>0</v>
      </c>
      <c r="ER146" s="314">
        <f>EB146+(DL146-DL$145)*$EI$1</f>
        <v>0</v>
      </c>
      <c r="ES146" s="314">
        <v>0</v>
      </c>
      <c r="ET146" s="315"/>
      <c r="EU146" s="168"/>
      <c r="EW146" s="164" t="s">
        <v>398</v>
      </c>
      <c r="EX146" s="316">
        <f t="shared" si="350"/>
        <v>0</v>
      </c>
      <c r="EY146" s="316">
        <f t="shared" si="346"/>
        <v>0</v>
      </c>
      <c r="EZ146" s="316">
        <f t="shared" si="346"/>
        <v>2.8969865614007966</v>
      </c>
      <c r="FA146" s="316">
        <f t="shared" si="346"/>
        <v>2.8969865614007966</v>
      </c>
      <c r="FB146" s="316">
        <f t="shared" si="346"/>
        <v>0.41843630803314408</v>
      </c>
      <c r="FC146" s="316">
        <f t="shared" si="346"/>
        <v>0.41843630803314408</v>
      </c>
      <c r="FD146" s="316">
        <f t="shared" si="346"/>
        <v>3.8662349774964251</v>
      </c>
      <c r="FE146" s="316">
        <f t="shared" si="346"/>
        <v>0</v>
      </c>
      <c r="FF146" s="316"/>
      <c r="FG146" s="316">
        <f t="shared" si="346"/>
        <v>0</v>
      </c>
      <c r="FH146" s="316">
        <f t="shared" si="346"/>
        <v>0</v>
      </c>
      <c r="FI146" s="316">
        <f t="shared" si="346"/>
        <v>0</v>
      </c>
      <c r="FJ146" s="316">
        <f t="shared" si="346"/>
        <v>0</v>
      </c>
      <c r="FK146" s="316">
        <f t="shared" si="346"/>
        <v>0</v>
      </c>
      <c r="FL146" s="168"/>
    </row>
    <row r="147" spans="2:168" x14ac:dyDescent="0.25">
      <c r="B147" s="107" t="s">
        <v>399</v>
      </c>
      <c r="C147" s="294"/>
      <c r="D147" s="294"/>
      <c r="E147" s="294"/>
      <c r="F147" s="294"/>
      <c r="G147" s="294"/>
      <c r="H147" s="294"/>
      <c r="I147" s="294"/>
      <c r="J147" s="294"/>
      <c r="K147" s="294"/>
      <c r="L147" s="294"/>
      <c r="M147" s="294"/>
      <c r="N147" s="294"/>
      <c r="O147" s="160">
        <f>TripMode_input!O129</f>
        <v>270.39208000000002</v>
      </c>
      <c r="P147" s="162">
        <f t="shared" si="335"/>
        <v>270.39208000000002</v>
      </c>
      <c r="R147">
        <f t="shared" si="347"/>
        <v>0</v>
      </c>
      <c r="S147">
        <f t="shared" si="348"/>
        <v>0</v>
      </c>
      <c r="T147">
        <f t="shared" si="349"/>
        <v>0</v>
      </c>
      <c r="Y147" s="107" t="s">
        <v>399</v>
      </c>
      <c r="Z147" s="294"/>
      <c r="AA147" s="294"/>
      <c r="AB147" s="294"/>
      <c r="AC147" s="294"/>
      <c r="AD147" s="294"/>
      <c r="AE147" s="294"/>
      <c r="AF147" s="294"/>
      <c r="AG147" s="294"/>
      <c r="AH147" s="294"/>
      <c r="AI147" s="294"/>
      <c r="AJ147" s="294"/>
      <c r="AK147" s="294"/>
      <c r="AL147" s="160">
        <f>+O147</f>
        <v>270.39208000000002</v>
      </c>
      <c r="AM147" s="162">
        <f t="shared" si="339"/>
        <v>270.39208000000002</v>
      </c>
      <c r="AO147" s="107" t="s">
        <v>399</v>
      </c>
      <c r="AP147" s="294">
        <f>TripMode_input!R129*Index!$B$2</f>
        <v>0</v>
      </c>
      <c r="AQ147" s="294">
        <f>TripMode_input!S129*Index!$B$2</f>
        <v>0</v>
      </c>
      <c r="AR147" s="294">
        <f>TripMode_input!T129*Index!$B$2</f>
        <v>0</v>
      </c>
      <c r="AS147" s="294">
        <f>TripMode_input!U129*Index!$B$2</f>
        <v>0</v>
      </c>
      <c r="AT147" s="294">
        <f>TripMode_input!V129*Index!$B$2</f>
        <v>0</v>
      </c>
      <c r="AU147" s="294">
        <f>TripMode_input!W129*Index!$B$2</f>
        <v>0</v>
      </c>
      <c r="AV147" s="294">
        <f>TripMode_input!X129*Index!$B$2</f>
        <v>0</v>
      </c>
      <c r="AW147" s="294">
        <f>TripMode_input!Y129*Index!$B$2</f>
        <v>0</v>
      </c>
      <c r="AX147" s="294">
        <f>TripMode_input!AA129*Index!$B$2</f>
        <v>0</v>
      </c>
      <c r="AY147" s="294">
        <f>TripMode_input!AB129*Index!$B$2</f>
        <v>0</v>
      </c>
      <c r="AZ147" s="294">
        <f>TripMode_input!AC129*Index!$B$2</f>
        <v>0</v>
      </c>
      <c r="BA147" s="294">
        <f>TripMode_input!AD129*Index!$B$2</f>
        <v>0</v>
      </c>
      <c r="BB147" s="160">
        <f>TripMode_input!AE129*Index!$B$2</f>
        <v>0</v>
      </c>
      <c r="BC147" s="162">
        <f t="shared" si="340"/>
        <v>0</v>
      </c>
      <c r="BE147" s="107" t="s">
        <v>399</v>
      </c>
      <c r="BF147" s="166" t="str">
        <f t="shared" si="357"/>
        <v/>
      </c>
      <c r="BG147" s="166" t="str">
        <f t="shared" si="357"/>
        <v/>
      </c>
      <c r="BH147" s="166">
        <f t="shared" si="357"/>
        <v>0</v>
      </c>
      <c r="BI147" s="166">
        <f t="shared" si="357"/>
        <v>0</v>
      </c>
      <c r="BJ147" s="166">
        <f t="shared" si="357"/>
        <v>0</v>
      </c>
      <c r="BK147" s="166">
        <f t="shared" si="357"/>
        <v>0</v>
      </c>
      <c r="BL147" s="166">
        <f t="shared" si="357"/>
        <v>0</v>
      </c>
      <c r="BM147" s="166">
        <f t="shared" si="357"/>
        <v>0</v>
      </c>
      <c r="BN147" s="166">
        <f t="shared" si="357"/>
        <v>0</v>
      </c>
      <c r="BO147" s="166">
        <f t="shared" si="357"/>
        <v>0</v>
      </c>
      <c r="BP147" s="166">
        <f t="shared" si="357"/>
        <v>0</v>
      </c>
      <c r="BQ147" s="166">
        <f t="shared" si="357"/>
        <v>0</v>
      </c>
      <c r="BR147" s="166">
        <f t="shared" si="357"/>
        <v>1</v>
      </c>
      <c r="BS147" s="166">
        <f t="shared" si="357"/>
        <v>9.3243215780622349E-5</v>
      </c>
      <c r="BU147" s="107" t="s">
        <v>399</v>
      </c>
      <c r="BV147" s="166" t="str">
        <f t="shared" si="358"/>
        <v/>
      </c>
      <c r="BW147" s="166" t="str">
        <f t="shared" si="359"/>
        <v/>
      </c>
      <c r="BX147" s="166">
        <f t="shared" si="360"/>
        <v>0</v>
      </c>
      <c r="BY147" s="166">
        <f t="shared" si="361"/>
        <v>0</v>
      </c>
      <c r="BZ147" s="166">
        <f t="shared" si="362"/>
        <v>0</v>
      </c>
      <c r="CA147" s="166">
        <f t="shared" si="363"/>
        <v>0</v>
      </c>
      <c r="CB147" s="166">
        <f t="shared" si="364"/>
        <v>0</v>
      </c>
      <c r="CC147" s="166">
        <f t="shared" si="365"/>
        <v>0</v>
      </c>
      <c r="CD147" s="166">
        <f t="shared" si="366"/>
        <v>0</v>
      </c>
      <c r="CE147" s="166">
        <f t="shared" si="367"/>
        <v>0</v>
      </c>
      <c r="CF147" s="166">
        <f t="shared" si="368"/>
        <v>0</v>
      </c>
      <c r="CG147" s="166">
        <f t="shared" si="369"/>
        <v>0</v>
      </c>
      <c r="CH147" s="166" t="str">
        <f t="shared" si="370"/>
        <v/>
      </c>
      <c r="CI147" s="168">
        <f t="shared" si="371"/>
        <v>0</v>
      </c>
      <c r="CK147" s="107" t="s">
        <v>399</v>
      </c>
      <c r="CL147" s="166" t="str">
        <f t="shared" si="385"/>
        <v/>
      </c>
      <c r="CM147" s="166" t="str">
        <f t="shared" si="385"/>
        <v/>
      </c>
      <c r="CN147" s="166" t="str">
        <f t="shared" si="385"/>
        <v/>
      </c>
      <c r="CO147" s="166" t="str">
        <f t="shared" si="385"/>
        <v/>
      </c>
      <c r="CP147" s="166"/>
      <c r="CQ147" s="166"/>
      <c r="CR147" s="166"/>
      <c r="CS147" s="166"/>
      <c r="CT147" s="166" t="str">
        <f t="shared" si="386"/>
        <v/>
      </c>
      <c r="CU147" s="166" t="str">
        <f t="shared" si="386"/>
        <v/>
      </c>
      <c r="CV147" s="166" t="str">
        <f t="shared" si="386"/>
        <v/>
      </c>
      <c r="CW147" s="166" t="str">
        <f t="shared" si="386"/>
        <v/>
      </c>
      <c r="CX147" s="166" t="e">
        <f t="shared" si="386"/>
        <v>#VALUE!</v>
      </c>
      <c r="CY147" s="168">
        <f t="shared" si="386"/>
        <v>-1</v>
      </c>
      <c r="DA147" s="107" t="s">
        <v>399</v>
      </c>
      <c r="DB147" s="315">
        <f t="shared" si="372"/>
        <v>0</v>
      </c>
      <c r="DC147" s="315">
        <f t="shared" si="373"/>
        <v>0</v>
      </c>
      <c r="DD147" s="315">
        <f t="shared" si="374"/>
        <v>0</v>
      </c>
      <c r="DE147" s="315">
        <f t="shared" si="375"/>
        <v>0</v>
      </c>
      <c r="DF147" s="315">
        <f t="shared" si="376"/>
        <v>0</v>
      </c>
      <c r="DG147" s="315">
        <f t="shared" si="377"/>
        <v>0</v>
      </c>
      <c r="DH147" s="315">
        <f t="shared" si="378"/>
        <v>0</v>
      </c>
      <c r="DI147" s="315">
        <f t="shared" si="379"/>
        <v>0</v>
      </c>
      <c r="DJ147" s="315">
        <f t="shared" si="380"/>
        <v>0</v>
      </c>
      <c r="DK147" s="315">
        <f t="shared" si="381"/>
        <v>0</v>
      </c>
      <c r="DL147" s="315">
        <f t="shared" si="382"/>
        <v>0</v>
      </c>
      <c r="DM147" s="315">
        <f t="shared" si="383"/>
        <v>0</v>
      </c>
      <c r="DN147" s="314">
        <f t="shared" si="384"/>
        <v>0</v>
      </c>
      <c r="DO147" s="168"/>
      <c r="DQ147" s="107" t="s">
        <v>399</v>
      </c>
      <c r="DR147" s="315"/>
      <c r="DS147" s="315"/>
      <c r="DT147" s="315"/>
      <c r="DU147" s="315"/>
      <c r="DV147" s="315"/>
      <c r="DW147" s="315"/>
      <c r="DX147" s="315"/>
      <c r="DY147" s="315"/>
      <c r="DZ147" s="315"/>
      <c r="EA147" s="315"/>
      <c r="EB147" s="315"/>
      <c r="EC147" s="315"/>
      <c r="ED147" s="314">
        <v>0</v>
      </c>
      <c r="EE147" s="168"/>
      <c r="EG147" s="107" t="s">
        <v>399</v>
      </c>
      <c r="EH147" s="315"/>
      <c r="EI147" s="315"/>
      <c r="EJ147" s="315"/>
      <c r="EK147" s="315"/>
      <c r="EL147" s="315"/>
      <c r="EM147" s="315"/>
      <c r="EN147" s="315"/>
      <c r="EO147" s="315"/>
      <c r="EP147" s="315"/>
      <c r="EQ147" s="315"/>
      <c r="ER147" s="315"/>
      <c r="ES147" s="315"/>
      <c r="ET147" s="314">
        <v>0</v>
      </c>
      <c r="EU147" s="168"/>
      <c r="EW147" s="164" t="s">
        <v>399</v>
      </c>
      <c r="EX147" s="316">
        <f t="shared" si="350"/>
        <v>0</v>
      </c>
      <c r="EY147" s="316">
        <f t="shared" si="346"/>
        <v>0</v>
      </c>
      <c r="EZ147" s="316">
        <f t="shared" si="346"/>
        <v>0</v>
      </c>
      <c r="FA147" s="316">
        <f t="shared" si="346"/>
        <v>0</v>
      </c>
      <c r="FB147" s="316">
        <f t="shared" si="346"/>
        <v>0</v>
      </c>
      <c r="FC147" s="316">
        <f t="shared" si="346"/>
        <v>0</v>
      </c>
      <c r="FD147" s="316">
        <f t="shared" si="346"/>
        <v>0</v>
      </c>
      <c r="FE147" s="316">
        <f t="shared" si="346"/>
        <v>0</v>
      </c>
      <c r="FF147" s="316"/>
      <c r="FG147" s="316">
        <f t="shared" si="346"/>
        <v>0</v>
      </c>
      <c r="FH147" s="316">
        <f t="shared" si="346"/>
        <v>0</v>
      </c>
      <c r="FI147" s="316">
        <f t="shared" si="346"/>
        <v>0</v>
      </c>
      <c r="FJ147" s="316">
        <f t="shared" si="346"/>
        <v>0</v>
      </c>
      <c r="FK147" s="316">
        <f t="shared" si="346"/>
        <v>0</v>
      </c>
      <c r="FL147" s="168"/>
    </row>
    <row r="148" spans="2:168" ht="15.75" thickBot="1" x14ac:dyDescent="0.3">
      <c r="B148" s="108" t="s">
        <v>29</v>
      </c>
      <c r="C148" s="109">
        <f t="shared" ref="C148:P148" si="387">SUM(C135:C147)</f>
        <v>0</v>
      </c>
      <c r="D148" s="110">
        <f t="shared" si="387"/>
        <v>0</v>
      </c>
      <c r="E148" s="110">
        <f t="shared" si="387"/>
        <v>973015.85755000007</v>
      </c>
      <c r="F148" s="110">
        <f t="shared" si="387"/>
        <v>17594.735980000001</v>
      </c>
      <c r="G148" s="110">
        <f t="shared" si="387"/>
        <v>1559684.0617199999</v>
      </c>
      <c r="H148" s="110">
        <f t="shared" si="387"/>
        <v>67924.96749000001</v>
      </c>
      <c r="I148" s="110">
        <f t="shared" si="387"/>
        <v>203335.10109000001</v>
      </c>
      <c r="J148" s="110">
        <f t="shared" si="387"/>
        <v>22609.138719999999</v>
      </c>
      <c r="K148" s="110">
        <f t="shared" si="387"/>
        <v>41248.18982</v>
      </c>
      <c r="L148" s="110">
        <f t="shared" si="387"/>
        <v>6414.5320000000002</v>
      </c>
      <c r="M148" s="110">
        <f t="shared" si="387"/>
        <v>5052.5193399999998</v>
      </c>
      <c r="N148" s="110">
        <f t="shared" si="387"/>
        <v>3921.7500600000003</v>
      </c>
      <c r="O148" s="110">
        <f t="shared" si="387"/>
        <v>270.39208000000002</v>
      </c>
      <c r="P148" s="112">
        <f t="shared" si="387"/>
        <v>2901071.2458500005</v>
      </c>
      <c r="Y148" s="108" t="s">
        <v>29</v>
      </c>
      <c r="Z148" s="109">
        <f t="shared" ref="Z148:AM148" si="388">SUM(Z135:Z147)</f>
        <v>0</v>
      </c>
      <c r="AA148" s="110">
        <f t="shared" si="388"/>
        <v>0</v>
      </c>
      <c r="AB148" s="110">
        <f t="shared" si="388"/>
        <v>973015.85755000007</v>
      </c>
      <c r="AC148" s="110">
        <f t="shared" si="388"/>
        <v>17594.735980000001</v>
      </c>
      <c r="AD148" s="110">
        <f t="shared" si="388"/>
        <v>1559684.0617199999</v>
      </c>
      <c r="AE148" s="110">
        <f t="shared" si="388"/>
        <v>67924.96749000001</v>
      </c>
      <c r="AF148" s="110">
        <f t="shared" si="388"/>
        <v>203335.10109000001</v>
      </c>
      <c r="AG148" s="110">
        <f t="shared" si="388"/>
        <v>22609.138719999999</v>
      </c>
      <c r="AH148" s="110">
        <f t="shared" si="388"/>
        <v>43539.744365560407</v>
      </c>
      <c r="AI148" s="110">
        <f t="shared" si="388"/>
        <v>4323.6298382614532</v>
      </c>
      <c r="AJ148" s="110">
        <f t="shared" si="388"/>
        <v>3638.5650467225068</v>
      </c>
      <c r="AK148" s="110">
        <f t="shared" si="388"/>
        <v>3921.7500600000003</v>
      </c>
      <c r="AL148" s="110">
        <f t="shared" si="388"/>
        <v>270.39208000000002</v>
      </c>
      <c r="AM148" s="112">
        <f t="shared" si="388"/>
        <v>2899857.943940544</v>
      </c>
      <c r="AO148" s="108" t="s">
        <v>29</v>
      </c>
      <c r="AP148" s="109">
        <f t="shared" ref="AP148:BC148" si="389">SUM(AP135:AP147)</f>
        <v>0</v>
      </c>
      <c r="AQ148" s="110">
        <f t="shared" si="389"/>
        <v>0</v>
      </c>
      <c r="AR148" s="110">
        <f t="shared" si="389"/>
        <v>367560</v>
      </c>
      <c r="AS148" s="110">
        <f t="shared" si="389"/>
        <v>9310</v>
      </c>
      <c r="AT148" s="110">
        <f t="shared" si="389"/>
        <v>389490</v>
      </c>
      <c r="AU148" s="110">
        <f t="shared" si="389"/>
        <v>5320</v>
      </c>
      <c r="AV148" s="110">
        <f t="shared" si="389"/>
        <v>85640</v>
      </c>
      <c r="AW148" s="110">
        <f t="shared" si="389"/>
        <v>15710</v>
      </c>
      <c r="AX148" s="110">
        <f t="shared" si="389"/>
        <v>8200</v>
      </c>
      <c r="AY148" s="110">
        <f t="shared" si="389"/>
        <v>530</v>
      </c>
      <c r="AZ148" s="110">
        <f t="shared" si="389"/>
        <v>210</v>
      </c>
      <c r="BA148" s="110">
        <f t="shared" si="389"/>
        <v>1110</v>
      </c>
      <c r="BB148" s="110">
        <f t="shared" si="389"/>
        <v>0</v>
      </c>
      <c r="BC148" s="112">
        <f t="shared" si="389"/>
        <v>883080</v>
      </c>
      <c r="BE148" s="108" t="s">
        <v>29</v>
      </c>
      <c r="BF148" s="120" t="str">
        <f t="shared" si="357"/>
        <v/>
      </c>
      <c r="BG148" s="120" t="str">
        <f t="shared" si="357"/>
        <v/>
      </c>
      <c r="BH148" s="120">
        <f t="shared" si="357"/>
        <v>1</v>
      </c>
      <c r="BI148" s="120">
        <f t="shared" si="357"/>
        <v>1</v>
      </c>
      <c r="BJ148" s="120">
        <f t="shared" si="357"/>
        <v>1</v>
      </c>
      <c r="BK148" s="120">
        <f t="shared" si="357"/>
        <v>1</v>
      </c>
      <c r="BL148" s="120">
        <f t="shared" si="357"/>
        <v>1</v>
      </c>
      <c r="BM148" s="120">
        <f t="shared" si="357"/>
        <v>1</v>
      </c>
      <c r="BN148" s="120">
        <f t="shared" si="357"/>
        <v>1</v>
      </c>
      <c r="BO148" s="120">
        <f t="shared" si="357"/>
        <v>1</v>
      </c>
      <c r="BP148" s="120">
        <f t="shared" si="357"/>
        <v>1</v>
      </c>
      <c r="BQ148" s="120">
        <f t="shared" si="357"/>
        <v>1</v>
      </c>
      <c r="BR148" s="120">
        <f t="shared" si="357"/>
        <v>1</v>
      </c>
      <c r="BS148" s="120">
        <f t="shared" si="357"/>
        <v>1</v>
      </c>
      <c r="BU148" s="108" t="s">
        <v>29</v>
      </c>
      <c r="BV148" s="120" t="str">
        <f t="shared" si="358"/>
        <v/>
      </c>
      <c r="BW148" s="121" t="str">
        <f t="shared" si="359"/>
        <v/>
      </c>
      <c r="BX148" s="121">
        <f t="shared" si="360"/>
        <v>1</v>
      </c>
      <c r="BY148" s="121">
        <f t="shared" si="361"/>
        <v>1</v>
      </c>
      <c r="BZ148" s="121">
        <f t="shared" si="362"/>
        <v>1</v>
      </c>
      <c r="CA148" s="121">
        <f t="shared" si="363"/>
        <v>1</v>
      </c>
      <c r="CB148" s="121">
        <f t="shared" si="364"/>
        <v>1</v>
      </c>
      <c r="CC148" s="121">
        <f t="shared" si="365"/>
        <v>1</v>
      </c>
      <c r="CD148" s="121">
        <f t="shared" si="366"/>
        <v>1</v>
      </c>
      <c r="CE148" s="121">
        <f t="shared" si="367"/>
        <v>1</v>
      </c>
      <c r="CF148" s="121">
        <f t="shared" si="368"/>
        <v>1</v>
      </c>
      <c r="CG148" s="121">
        <f t="shared" si="369"/>
        <v>1</v>
      </c>
      <c r="CH148" s="121" t="str">
        <f t="shared" si="370"/>
        <v/>
      </c>
      <c r="CI148" s="123">
        <f t="shared" si="371"/>
        <v>1</v>
      </c>
      <c r="CK148" s="108" t="s">
        <v>29</v>
      </c>
      <c r="CL148" s="120" t="str">
        <f t="shared" si="385"/>
        <v/>
      </c>
      <c r="CM148" s="121" t="str">
        <f t="shared" si="385"/>
        <v/>
      </c>
      <c r="CN148" s="121">
        <f t="shared" si="385"/>
        <v>0</v>
      </c>
      <c r="CO148" s="121">
        <f t="shared" si="385"/>
        <v>0</v>
      </c>
      <c r="CP148" s="121"/>
      <c r="CQ148" s="121"/>
      <c r="CR148" s="121"/>
      <c r="CS148" s="121"/>
      <c r="CT148" s="121">
        <f t="shared" si="386"/>
        <v>0</v>
      </c>
      <c r="CU148" s="121">
        <f t="shared" si="386"/>
        <v>0</v>
      </c>
      <c r="CV148" s="121">
        <f t="shared" si="386"/>
        <v>0</v>
      </c>
      <c r="CW148" s="121">
        <f t="shared" si="386"/>
        <v>0</v>
      </c>
      <c r="CX148" s="121" t="e">
        <f t="shared" si="386"/>
        <v>#VALUE!</v>
      </c>
      <c r="CY148" s="123">
        <f t="shared" si="386"/>
        <v>0</v>
      </c>
      <c r="DA148" s="108" t="s">
        <v>29</v>
      </c>
      <c r="DB148" s="120"/>
      <c r="DC148" s="121"/>
      <c r="DD148" s="121"/>
      <c r="DE148" s="121"/>
      <c r="DF148" s="121"/>
      <c r="DG148" s="121"/>
      <c r="DH148" s="121"/>
      <c r="DI148" s="121"/>
      <c r="DJ148" s="121"/>
      <c r="DK148" s="121"/>
      <c r="DL148" s="121"/>
      <c r="DM148" s="121"/>
      <c r="DN148" s="121"/>
      <c r="DO148" s="123"/>
      <c r="DQ148" s="108" t="s">
        <v>29</v>
      </c>
      <c r="DR148" s="120"/>
      <c r="DS148" s="121"/>
      <c r="DT148" s="121"/>
      <c r="DU148" s="121"/>
      <c r="DV148" s="121"/>
      <c r="DW148" s="121"/>
      <c r="DX148" s="121"/>
      <c r="DY148" s="121"/>
      <c r="DZ148" s="121"/>
      <c r="EA148" s="121"/>
      <c r="EB148" s="121"/>
      <c r="EC148" s="121"/>
      <c r="ED148" s="121"/>
      <c r="EE148" s="123"/>
      <c r="EG148" s="108" t="s">
        <v>29</v>
      </c>
      <c r="EH148" s="120"/>
      <c r="EI148" s="121"/>
      <c r="EJ148" s="121"/>
      <c r="EK148" s="121"/>
      <c r="EL148" s="121"/>
      <c r="EM148" s="121"/>
      <c r="EN148" s="121"/>
      <c r="EO148" s="121"/>
      <c r="EP148" s="121"/>
      <c r="EQ148" s="121"/>
      <c r="ER148" s="121"/>
      <c r="ES148" s="121"/>
      <c r="ET148" s="121"/>
      <c r="EU148" s="123"/>
      <c r="EW148" s="108" t="s">
        <v>29</v>
      </c>
      <c r="EX148" s="120"/>
      <c r="EY148" s="121"/>
      <c r="EZ148" s="121"/>
      <c r="FA148" s="121"/>
      <c r="FB148" s="121"/>
      <c r="FC148" s="121"/>
      <c r="FD148" s="121"/>
      <c r="FE148" s="121"/>
      <c r="FF148" s="121"/>
      <c r="FG148" s="121"/>
      <c r="FH148" s="121"/>
      <c r="FI148" s="121"/>
      <c r="FJ148" s="121"/>
      <c r="FK148" s="121"/>
      <c r="FL148" s="123"/>
    </row>
    <row r="149" spans="2:168" x14ac:dyDescent="0.25">
      <c r="B149" t="s">
        <v>225</v>
      </c>
      <c r="C149" s="383" t="s">
        <v>206</v>
      </c>
      <c r="D149" s="383"/>
      <c r="E149" s="383"/>
      <c r="F149" s="383"/>
      <c r="G149" s="383"/>
      <c r="H149" s="383"/>
      <c r="I149" s="383"/>
      <c r="J149" s="383"/>
      <c r="K149" s="383"/>
      <c r="L149" s="383"/>
      <c r="M149" s="383"/>
      <c r="N149" s="383"/>
      <c r="O149" s="383"/>
      <c r="P149" s="383"/>
      <c r="Y149" t="s">
        <v>225</v>
      </c>
      <c r="Z149" s="383" t="s">
        <v>206</v>
      </c>
      <c r="AA149" s="383"/>
      <c r="AB149" s="383"/>
      <c r="AC149" s="383"/>
      <c r="AD149" s="383"/>
      <c r="AE149" s="383"/>
      <c r="AF149" s="383"/>
      <c r="AG149" s="383"/>
      <c r="AH149" s="383"/>
      <c r="AI149" s="383"/>
      <c r="AJ149" s="383"/>
      <c r="AK149" s="383"/>
      <c r="AL149" s="383"/>
      <c r="AM149" s="383"/>
      <c r="AO149" t="s">
        <v>225</v>
      </c>
      <c r="AP149" s="383" t="s">
        <v>206</v>
      </c>
      <c r="AQ149" s="383"/>
      <c r="AR149" s="383"/>
      <c r="AS149" s="383"/>
      <c r="AT149" s="383"/>
      <c r="AU149" s="383"/>
      <c r="AV149" s="383"/>
      <c r="AW149" s="383"/>
      <c r="AX149" s="383"/>
      <c r="AY149" s="383"/>
      <c r="AZ149" s="383"/>
      <c r="BA149" s="383"/>
      <c r="BB149" s="383"/>
      <c r="BC149" s="383"/>
      <c r="BE149" t="s">
        <v>225</v>
      </c>
      <c r="BF149" s="383" t="s">
        <v>206</v>
      </c>
      <c r="BG149" s="383"/>
      <c r="BH149" s="383"/>
      <c r="BI149" s="383"/>
      <c r="BJ149" s="383"/>
      <c r="BK149" s="383"/>
      <c r="BL149" s="383"/>
      <c r="BM149" s="383"/>
      <c r="BN149" s="383"/>
      <c r="BO149" s="383"/>
      <c r="BP149" s="383"/>
      <c r="BQ149" s="383"/>
      <c r="BR149" s="383"/>
      <c r="BS149" s="383"/>
      <c r="BU149" t="s">
        <v>225</v>
      </c>
      <c r="BV149" s="383" t="s">
        <v>206</v>
      </c>
      <c r="BW149" s="383"/>
      <c r="BX149" s="383"/>
      <c r="BY149" s="383"/>
      <c r="BZ149" s="383"/>
      <c r="CA149" s="383"/>
      <c r="CB149" s="383"/>
      <c r="CC149" s="383"/>
      <c r="CD149" s="383"/>
      <c r="CE149" s="383"/>
      <c r="CF149" s="383"/>
      <c r="CG149" s="383"/>
      <c r="CH149" s="383"/>
      <c r="CI149" s="383"/>
      <c r="CK149" t="s">
        <v>225</v>
      </c>
      <c r="CL149" s="383" t="s">
        <v>206</v>
      </c>
      <c r="CM149" s="383"/>
      <c r="CN149" s="383"/>
      <c r="CO149" s="383"/>
      <c r="CP149" s="383"/>
      <c r="CQ149" s="383"/>
      <c r="CR149" s="383"/>
      <c r="CS149" s="383"/>
      <c r="CT149" s="383"/>
      <c r="CU149" s="383"/>
      <c r="CV149" s="383"/>
      <c r="CW149" s="383"/>
      <c r="CX149" s="383"/>
      <c r="CY149" s="383"/>
      <c r="DA149" t="s">
        <v>29</v>
      </c>
      <c r="DB149" s="383" t="s">
        <v>206</v>
      </c>
      <c r="DC149" s="383"/>
      <c r="DD149" s="383"/>
      <c r="DE149" s="383"/>
      <c r="DF149" s="383"/>
      <c r="DG149" s="383"/>
      <c r="DH149" s="383"/>
      <c r="DI149" s="383"/>
      <c r="DJ149" s="383"/>
      <c r="DK149" s="383"/>
      <c r="DL149" s="383"/>
      <c r="DM149" s="383"/>
      <c r="DN149" s="383"/>
      <c r="DO149" s="383"/>
      <c r="DQ149" t="s">
        <v>29</v>
      </c>
      <c r="DR149" s="383" t="s">
        <v>206</v>
      </c>
      <c r="DS149" s="383"/>
      <c r="DT149" s="383"/>
      <c r="DU149" s="383"/>
      <c r="DV149" s="383"/>
      <c r="DW149" s="383"/>
      <c r="DX149" s="383"/>
      <c r="DY149" s="383"/>
      <c r="DZ149" s="383"/>
      <c r="EA149" s="383"/>
      <c r="EB149" s="383"/>
      <c r="EC149" s="383"/>
      <c r="ED149" s="383"/>
      <c r="EE149" s="383"/>
    </row>
    <row r="150" spans="2:168" ht="35.450000000000003" customHeight="1" x14ac:dyDescent="0.25">
      <c r="B150" s="163" t="s">
        <v>207</v>
      </c>
      <c r="C150" s="164" t="s">
        <v>386</v>
      </c>
      <c r="D150" s="164" t="s">
        <v>387</v>
      </c>
      <c r="E150" s="164" t="s">
        <v>388</v>
      </c>
      <c r="F150" s="164" t="s">
        <v>389</v>
      </c>
      <c r="G150" s="164" t="s">
        <v>390</v>
      </c>
      <c r="H150" s="164" t="s">
        <v>391</v>
      </c>
      <c r="I150" s="164" t="s">
        <v>392</v>
      </c>
      <c r="J150" s="164" t="s">
        <v>393</v>
      </c>
      <c r="K150" s="164" t="s">
        <v>546</v>
      </c>
      <c r="L150" s="164" t="s">
        <v>396</v>
      </c>
      <c r="M150" s="164" t="s">
        <v>397</v>
      </c>
      <c r="N150" s="164" t="s">
        <v>398</v>
      </c>
      <c r="O150" s="164" t="s">
        <v>399</v>
      </c>
      <c r="P150" s="106" t="s">
        <v>29</v>
      </c>
      <c r="R150" s="164" t="s">
        <v>546</v>
      </c>
      <c r="S150" s="164" t="s">
        <v>396</v>
      </c>
      <c r="T150" s="164" t="s">
        <v>397</v>
      </c>
      <c r="U150" s="164" t="s">
        <v>546</v>
      </c>
      <c r="V150" s="164" t="s">
        <v>396</v>
      </c>
      <c r="W150" s="164" t="s">
        <v>397</v>
      </c>
      <c r="Y150" s="163" t="s">
        <v>207</v>
      </c>
      <c r="Z150" s="164" t="s">
        <v>386</v>
      </c>
      <c r="AA150" s="164" t="s">
        <v>387</v>
      </c>
      <c r="AB150" s="164" t="s">
        <v>388</v>
      </c>
      <c r="AC150" s="164" t="s">
        <v>389</v>
      </c>
      <c r="AD150" s="164" t="s">
        <v>390</v>
      </c>
      <c r="AE150" s="164" t="s">
        <v>391</v>
      </c>
      <c r="AF150" s="164" t="s">
        <v>392</v>
      </c>
      <c r="AG150" s="164" t="s">
        <v>393</v>
      </c>
      <c r="AH150" s="164" t="s">
        <v>546</v>
      </c>
      <c r="AI150" s="164" t="s">
        <v>396</v>
      </c>
      <c r="AJ150" s="164" t="s">
        <v>397</v>
      </c>
      <c r="AK150" s="164" t="s">
        <v>398</v>
      </c>
      <c r="AL150" s="164" t="s">
        <v>399</v>
      </c>
      <c r="AM150" s="106" t="s">
        <v>29</v>
      </c>
      <c r="AO150" s="163" t="s">
        <v>207</v>
      </c>
      <c r="AP150" s="164" t="s">
        <v>386</v>
      </c>
      <c r="AQ150" s="164" t="s">
        <v>387</v>
      </c>
      <c r="AR150" s="164" t="s">
        <v>388</v>
      </c>
      <c r="AS150" s="164" t="s">
        <v>389</v>
      </c>
      <c r="AT150" s="164" t="s">
        <v>390</v>
      </c>
      <c r="AU150" s="164" t="s">
        <v>391</v>
      </c>
      <c r="AV150" s="164" t="s">
        <v>392</v>
      </c>
      <c r="AW150" s="164" t="s">
        <v>393</v>
      </c>
      <c r="AX150" s="164" t="s">
        <v>546</v>
      </c>
      <c r="AY150" s="164" t="s">
        <v>396</v>
      </c>
      <c r="AZ150" s="164" t="s">
        <v>397</v>
      </c>
      <c r="BA150" s="164" t="s">
        <v>398</v>
      </c>
      <c r="BB150" s="164" t="s">
        <v>399</v>
      </c>
      <c r="BC150" s="106" t="s">
        <v>29</v>
      </c>
      <c r="BE150" s="163" t="s">
        <v>207</v>
      </c>
      <c r="BF150" s="164" t="s">
        <v>538</v>
      </c>
      <c r="BG150" s="164"/>
      <c r="BH150" s="164" t="s">
        <v>576</v>
      </c>
      <c r="BI150" s="164"/>
      <c r="BJ150" s="164" t="s">
        <v>577</v>
      </c>
      <c r="BK150" s="164"/>
      <c r="BL150" s="164" t="s">
        <v>392</v>
      </c>
      <c r="BM150" s="164" t="s">
        <v>393</v>
      </c>
      <c r="BN150" s="164" t="s">
        <v>546</v>
      </c>
      <c r="BO150" s="164" t="s">
        <v>396</v>
      </c>
      <c r="BP150" s="164" t="s">
        <v>397</v>
      </c>
      <c r="BQ150" s="164" t="s">
        <v>398</v>
      </c>
      <c r="BR150" s="164" t="s">
        <v>399</v>
      </c>
      <c r="BS150" s="106" t="s">
        <v>29</v>
      </c>
      <c r="BU150" s="163" t="s">
        <v>207</v>
      </c>
      <c r="BV150" s="164" t="s">
        <v>538</v>
      </c>
      <c r="BW150" s="164"/>
      <c r="BX150" s="164" t="s">
        <v>576</v>
      </c>
      <c r="BY150" s="164"/>
      <c r="BZ150" s="164" t="s">
        <v>577</v>
      </c>
      <c r="CA150" s="164"/>
      <c r="CB150" s="164" t="s">
        <v>392</v>
      </c>
      <c r="CC150" s="164" t="s">
        <v>393</v>
      </c>
      <c r="CD150" s="164" t="s">
        <v>546</v>
      </c>
      <c r="CE150" s="164" t="s">
        <v>396</v>
      </c>
      <c r="CF150" s="164" t="s">
        <v>397</v>
      </c>
      <c r="CG150" s="164" t="s">
        <v>398</v>
      </c>
      <c r="CH150" s="164" t="s">
        <v>399</v>
      </c>
      <c r="CI150" s="106" t="s">
        <v>29</v>
      </c>
      <c r="CK150" s="163" t="s">
        <v>207</v>
      </c>
      <c r="CL150" s="164" t="s">
        <v>386</v>
      </c>
      <c r="CM150" s="164" t="s">
        <v>387</v>
      </c>
      <c r="CN150" s="164" t="s">
        <v>388</v>
      </c>
      <c r="CO150" s="164" t="s">
        <v>389</v>
      </c>
      <c r="CP150" s="164" t="s">
        <v>390</v>
      </c>
      <c r="CQ150" s="164" t="s">
        <v>391</v>
      </c>
      <c r="CR150" s="164" t="s">
        <v>392</v>
      </c>
      <c r="CS150" s="164" t="s">
        <v>393</v>
      </c>
      <c r="CT150" s="164" t="s">
        <v>546</v>
      </c>
      <c r="CU150" s="164" t="s">
        <v>396</v>
      </c>
      <c r="CV150" s="164" t="s">
        <v>397</v>
      </c>
      <c r="CW150" s="164" t="s">
        <v>398</v>
      </c>
      <c r="CX150" s="164" t="s">
        <v>399</v>
      </c>
      <c r="CY150" s="106" t="s">
        <v>29</v>
      </c>
      <c r="DA150" s="163" t="s">
        <v>207</v>
      </c>
      <c r="DB150" s="164" t="s">
        <v>538</v>
      </c>
      <c r="DC150" s="164"/>
      <c r="DD150" s="164" t="s">
        <v>576</v>
      </c>
      <c r="DE150" s="164"/>
      <c r="DF150" s="164" t="s">
        <v>577</v>
      </c>
      <c r="DG150" s="164"/>
      <c r="DH150" s="164" t="s">
        <v>392</v>
      </c>
      <c r="DI150" s="164" t="s">
        <v>393</v>
      </c>
      <c r="DJ150" s="164" t="s">
        <v>546</v>
      </c>
      <c r="DK150" s="164" t="s">
        <v>396</v>
      </c>
      <c r="DL150" s="164" t="s">
        <v>397</v>
      </c>
      <c r="DM150" s="164" t="s">
        <v>398</v>
      </c>
      <c r="DN150" s="164" t="s">
        <v>399</v>
      </c>
      <c r="DO150" s="106" t="s">
        <v>29</v>
      </c>
      <c r="DQ150" s="163" t="s">
        <v>207</v>
      </c>
      <c r="DR150" s="164" t="s">
        <v>538</v>
      </c>
      <c r="DS150" s="164"/>
      <c r="DT150" s="164" t="s">
        <v>576</v>
      </c>
      <c r="DU150" s="164"/>
      <c r="DV150" s="164" t="s">
        <v>577</v>
      </c>
      <c r="DW150" s="164"/>
      <c r="DX150" s="164" t="s">
        <v>392</v>
      </c>
      <c r="DY150" s="164" t="s">
        <v>393</v>
      </c>
      <c r="DZ150" s="164" t="s">
        <v>546</v>
      </c>
      <c r="EA150" s="164" t="s">
        <v>396</v>
      </c>
      <c r="EB150" s="164" t="s">
        <v>397</v>
      </c>
      <c r="EC150" s="164" t="s">
        <v>398</v>
      </c>
      <c r="ED150" s="164" t="s">
        <v>399</v>
      </c>
      <c r="EE150" s="106" t="s">
        <v>29</v>
      </c>
    </row>
    <row r="151" spans="2:168" x14ac:dyDescent="0.25">
      <c r="B151" s="107" t="s">
        <v>386</v>
      </c>
      <c r="C151" s="160">
        <f>+C7+C23+C39+C71+C87+C103+C119+C135</f>
        <v>12504033.748500001</v>
      </c>
      <c r="D151" s="160">
        <f t="shared" ref="D151:O151" si="390">+D7+D23+D39+D71+D87+D103+D119+D135</f>
        <v>292030.01546999998</v>
      </c>
      <c r="E151" s="160">
        <f t="shared" si="390"/>
        <v>847855.71293000004</v>
      </c>
      <c r="F151" s="160">
        <f t="shared" si="390"/>
        <v>23700.626969999998</v>
      </c>
      <c r="G151" s="160">
        <f t="shared" si="390"/>
        <v>413327.91597000003</v>
      </c>
      <c r="H151" s="160">
        <f t="shared" si="390"/>
        <v>13282.499079999998</v>
      </c>
      <c r="I151" s="294">
        <f t="shared" si="390"/>
        <v>0</v>
      </c>
      <c r="J151" s="294">
        <f t="shared" si="390"/>
        <v>0</v>
      </c>
      <c r="K151" s="294">
        <f t="shared" si="390"/>
        <v>0</v>
      </c>
      <c r="L151" s="294"/>
      <c r="M151" s="294"/>
      <c r="N151" s="294">
        <f t="shared" si="390"/>
        <v>0</v>
      </c>
      <c r="O151" s="294">
        <f t="shared" si="390"/>
        <v>0</v>
      </c>
      <c r="P151" s="161">
        <f t="shared" ref="P151:P163" si="391">SUM(C151:O151)</f>
        <v>14094230.518920001</v>
      </c>
      <c r="Y151" s="107" t="s">
        <v>386</v>
      </c>
      <c r="Z151" s="160">
        <f>+Z7+Z23+Z39+Z71+Z87+Z103+Z119+Z135</f>
        <v>12504033.748500001</v>
      </c>
      <c r="AA151" s="160">
        <f t="shared" ref="AA151:AL151" si="392">+AA7+AA23+AA39+AA71+AA87+AA103+AA119+AA135</f>
        <v>292030.01546999998</v>
      </c>
      <c r="AB151" s="160">
        <f t="shared" si="392"/>
        <v>847855.71293000004</v>
      </c>
      <c r="AC151" s="160">
        <f t="shared" si="392"/>
        <v>23700.626969999998</v>
      </c>
      <c r="AD151" s="160">
        <f t="shared" si="392"/>
        <v>413327.91597000003</v>
      </c>
      <c r="AE151" s="160">
        <f t="shared" si="392"/>
        <v>13282.499079999998</v>
      </c>
      <c r="AF151" s="294">
        <f t="shared" si="392"/>
        <v>0</v>
      </c>
      <c r="AG151" s="294">
        <f t="shared" si="392"/>
        <v>0</v>
      </c>
      <c r="AH151" s="294">
        <f t="shared" si="392"/>
        <v>0</v>
      </c>
      <c r="AI151" s="294"/>
      <c r="AJ151" s="294"/>
      <c r="AK151" s="294">
        <f t="shared" si="392"/>
        <v>0</v>
      </c>
      <c r="AL151" s="294">
        <f t="shared" si="392"/>
        <v>0</v>
      </c>
      <c r="AM151" s="161">
        <f t="shared" ref="AM151:AM163" si="393">SUM(Z151:AL151)</f>
        <v>14094230.518920001</v>
      </c>
      <c r="AO151" s="107" t="s">
        <v>386</v>
      </c>
      <c r="AP151" s="160">
        <f>TripMode_input!R132*Index!$B$2</f>
        <v>14825030</v>
      </c>
      <c r="AQ151" s="160">
        <f>TripMode_input!S132*Index!$B$2</f>
        <v>1258880</v>
      </c>
      <c r="AR151" s="160">
        <f>TripMode_input!T132*Index!$B$2</f>
        <v>1493105</v>
      </c>
      <c r="AS151" s="160">
        <f>TripMode_input!U132*Index!$B$2</f>
        <v>60750</v>
      </c>
      <c r="AT151" s="160">
        <f>TripMode_input!V132*Index!$B$2</f>
        <v>659725</v>
      </c>
      <c r="AU151" s="160">
        <f>TripMode_input!W132*Index!$B$2</f>
        <v>34210</v>
      </c>
      <c r="AV151" s="294">
        <f>TripMode_input!X132*Index!$B$2</f>
        <v>0</v>
      </c>
      <c r="AW151" s="294">
        <f>TripMode_input!Y132*Index!$B$2</f>
        <v>0</v>
      </c>
      <c r="AX151" s="294">
        <f>TripMode_input!AA132*Index!$B$2</f>
        <v>0</v>
      </c>
      <c r="AY151" s="294">
        <f>TripMode_input!AB132*Index!$B$2</f>
        <v>0</v>
      </c>
      <c r="AZ151" s="160">
        <f>TripMode_input!AC132*Index!$B$2</f>
        <v>0</v>
      </c>
      <c r="BA151" s="294">
        <f>TripMode_input!AD132*Index!$B$2</f>
        <v>0</v>
      </c>
      <c r="BB151" s="294">
        <f>TripMode_input!AE132*Index!$B$2</f>
        <v>0</v>
      </c>
      <c r="BC151" s="161">
        <f t="shared" ref="BC151:BC163" si="394">SUM(AP151:BB151)</f>
        <v>18331700</v>
      </c>
      <c r="BE151" s="107" t="s">
        <v>538</v>
      </c>
      <c r="BF151" s="166">
        <f>IF(Z$164+AA$164&gt;0,SUM(Z151:AA152)/(Z$164+AA$164),"")</f>
        <v>1</v>
      </c>
      <c r="BG151" s="166"/>
      <c r="BH151" s="166">
        <f>IF(AB$164+AC$164&gt;0,SUM(AB151:AC152)/(AB$164+AC$164),"")</f>
        <v>0.15015473900639478</v>
      </c>
      <c r="BI151" s="166"/>
      <c r="BJ151" s="166">
        <f>IF(AD$164+AE$164&gt;0,SUM(AD151:AE152)/(AD$164+AE$164),"")</f>
        <v>7.3069958447610883E-2</v>
      </c>
      <c r="BK151" s="166"/>
      <c r="BL151" s="166">
        <f t="shared" ref="BL151:BS151" si="395">IF(AF$164&gt;0,(AF151+AF152)/AF$164,"")</f>
        <v>0</v>
      </c>
      <c r="BM151" s="166">
        <f t="shared" si="395"/>
        <v>0</v>
      </c>
      <c r="BN151" s="166">
        <f t="shared" si="395"/>
        <v>0</v>
      </c>
      <c r="BO151" s="166">
        <f t="shared" si="395"/>
        <v>0</v>
      </c>
      <c r="BP151" s="166">
        <f t="shared" si="395"/>
        <v>0</v>
      </c>
      <c r="BQ151" s="166">
        <f t="shared" si="395"/>
        <v>0</v>
      </c>
      <c r="BR151" s="166">
        <f t="shared" si="395"/>
        <v>0</v>
      </c>
      <c r="BS151" s="166">
        <f t="shared" si="395"/>
        <v>0.47437505869270713</v>
      </c>
      <c r="BU151" s="107" t="s">
        <v>538</v>
      </c>
      <c r="BV151" s="166">
        <f>IF(AP$164+AQ$164&gt;0,SUM(AP151:AQ152)/(AP$164+AQ$164),"")</f>
        <v>1</v>
      </c>
      <c r="BW151" s="166"/>
      <c r="BX151" s="166">
        <f>IF(AR$164+AS$164&gt;0,SUM(AR151:AS152)/(AR$164+AS$164),"")</f>
        <v>0.24551811775578575</v>
      </c>
      <c r="BY151" s="166"/>
      <c r="BZ151" s="166">
        <f>IF(AT$164+AU$164&gt;0,SUM(AT151:AU152)/(AT$164+AU$164),"")</f>
        <v>0.13466168597298467</v>
      </c>
      <c r="CA151" s="166"/>
      <c r="CB151" s="166">
        <f t="shared" ref="CB151:CI151" si="396">IF(AV$164&gt;0,(AV151+AV152)/AV$164,"")</f>
        <v>0</v>
      </c>
      <c r="CC151" s="166">
        <f t="shared" si="396"/>
        <v>0</v>
      </c>
      <c r="CD151" s="166">
        <f t="shared" si="396"/>
        <v>0</v>
      </c>
      <c r="CE151" s="166">
        <f t="shared" si="396"/>
        <v>0</v>
      </c>
      <c r="CF151" s="166">
        <f t="shared" si="396"/>
        <v>0</v>
      </c>
      <c r="CG151" s="166">
        <f t="shared" si="396"/>
        <v>0</v>
      </c>
      <c r="CH151" s="166">
        <f t="shared" si="396"/>
        <v>0</v>
      </c>
      <c r="CI151" s="166">
        <f t="shared" si="396"/>
        <v>0.52418611360229783</v>
      </c>
      <c r="CK151" s="107" t="s">
        <v>386</v>
      </c>
      <c r="CL151" s="166">
        <f t="shared" ref="CL151:CO154" si="397">IF(OR(ISNA(BF151),BF151=0,BF151=""),"",(BV151-BF151)/BF151)</f>
        <v>0</v>
      </c>
      <c r="CM151" s="166" t="str">
        <f t="shared" si="397"/>
        <v/>
      </c>
      <c r="CN151" s="166">
        <f t="shared" si="397"/>
        <v>0.63510069266165237</v>
      </c>
      <c r="CO151" s="166" t="str">
        <f t="shared" si="397"/>
        <v/>
      </c>
      <c r="CP151" s="166"/>
      <c r="CQ151" s="166"/>
      <c r="CR151" s="166"/>
      <c r="CS151" s="166"/>
      <c r="CT151" s="166" t="str">
        <f t="shared" ref="CT151:CY154" si="398">IF(OR(ISNA(BN151),BN151=0,BN151=""),"",(CD151-BN151)/BN151)</f>
        <v/>
      </c>
      <c r="CU151" s="166" t="str">
        <f t="shared" si="398"/>
        <v/>
      </c>
      <c r="CV151" s="166" t="str">
        <f t="shared" si="398"/>
        <v/>
      </c>
      <c r="CW151" s="166" t="str">
        <f t="shared" si="398"/>
        <v/>
      </c>
      <c r="CX151" s="166" t="str">
        <f t="shared" si="398"/>
        <v/>
      </c>
      <c r="CY151" s="167">
        <f t="shared" si="398"/>
        <v>0.10500352831968246</v>
      </c>
      <c r="DA151" s="107" t="s">
        <v>538</v>
      </c>
      <c r="DB151" s="313">
        <f>IFERROR(IF(BV151&gt;0,LN(BF151/BV151),0),0)</f>
        <v>0</v>
      </c>
      <c r="DC151" s="313"/>
      <c r="DD151" s="313">
        <f>IFERROR(IF(BX151&gt;0,LN(BH151/BX151),0),0)</f>
        <v>-0.49170438817867496</v>
      </c>
      <c r="DE151" s="313"/>
      <c r="DF151" s="313">
        <f>IFERROR(IF(BZ151&gt;0,LN(BJ151/BZ151),0),0)</f>
        <v>-0.61134828612249104</v>
      </c>
      <c r="DG151" s="313"/>
      <c r="DH151" s="313">
        <f t="shared" ref="DH151:DN151" si="399">IFERROR(IF(CB151&gt;0,LN(BL151/CB151),0),0)</f>
        <v>0</v>
      </c>
      <c r="DI151" s="313">
        <f t="shared" si="399"/>
        <v>0</v>
      </c>
      <c r="DJ151" s="313">
        <f t="shared" si="399"/>
        <v>0</v>
      </c>
      <c r="DK151" s="313">
        <f t="shared" si="399"/>
        <v>0</v>
      </c>
      <c r="DL151" s="313">
        <f t="shared" si="399"/>
        <v>0</v>
      </c>
      <c r="DM151" s="313">
        <f t="shared" si="399"/>
        <v>0</v>
      </c>
      <c r="DN151" s="313">
        <f t="shared" si="399"/>
        <v>0</v>
      </c>
      <c r="DO151" s="167"/>
      <c r="DQ151" s="107" t="s">
        <v>538</v>
      </c>
      <c r="DR151" s="313">
        <v>0</v>
      </c>
      <c r="DS151" s="313">
        <v>0</v>
      </c>
      <c r="DT151" s="313">
        <v>0</v>
      </c>
      <c r="DU151" s="313">
        <v>0</v>
      </c>
      <c r="DV151" s="313">
        <v>0</v>
      </c>
      <c r="DW151" s="313">
        <v>0</v>
      </c>
      <c r="DX151" s="313">
        <v>0</v>
      </c>
      <c r="DY151" s="313">
        <v>0</v>
      </c>
      <c r="DZ151" s="313">
        <v>0</v>
      </c>
      <c r="EA151" s="313">
        <v>0</v>
      </c>
      <c r="EB151" s="313">
        <v>0</v>
      </c>
      <c r="EC151" s="313">
        <v>0</v>
      </c>
      <c r="ED151" s="313">
        <v>0</v>
      </c>
      <c r="EE151" s="167"/>
    </row>
    <row r="152" spans="2:168" x14ac:dyDescent="0.25">
      <c r="B152" s="107" t="s">
        <v>387</v>
      </c>
      <c r="C152" s="160">
        <f t="shared" ref="C152:O152" si="400">+C8+C24+C40+C72+C88+C104+C120+C136</f>
        <v>0</v>
      </c>
      <c r="D152" s="160">
        <f t="shared" si="400"/>
        <v>357612.86764000007</v>
      </c>
      <c r="E152" s="160">
        <f t="shared" si="400"/>
        <v>0</v>
      </c>
      <c r="F152" s="160">
        <f t="shared" si="400"/>
        <v>27588.163680000001</v>
      </c>
      <c r="G152" s="160">
        <f t="shared" si="400"/>
        <v>0</v>
      </c>
      <c r="H152" s="160">
        <f t="shared" si="400"/>
        <v>8376.1731400000008</v>
      </c>
      <c r="I152" s="294">
        <f t="shared" si="400"/>
        <v>0</v>
      </c>
      <c r="J152" s="294">
        <f t="shared" si="400"/>
        <v>0</v>
      </c>
      <c r="K152" s="294">
        <f t="shared" si="400"/>
        <v>0</v>
      </c>
      <c r="L152" s="294"/>
      <c r="M152" s="294"/>
      <c r="N152" s="294">
        <f t="shared" si="400"/>
        <v>0</v>
      </c>
      <c r="O152" s="294">
        <f t="shared" si="400"/>
        <v>0</v>
      </c>
      <c r="P152" s="162">
        <f t="shared" si="391"/>
        <v>393577.2044600001</v>
      </c>
      <c r="Y152" s="107" t="s">
        <v>387</v>
      </c>
      <c r="Z152" s="160">
        <f t="shared" ref="Z152:AL152" si="401">+Z8+Z24+Z40+Z72+Z88+Z104+Z120+Z136</f>
        <v>0</v>
      </c>
      <c r="AA152" s="160">
        <f t="shared" si="401"/>
        <v>357612.86764000007</v>
      </c>
      <c r="AB152" s="160">
        <f t="shared" si="401"/>
        <v>0</v>
      </c>
      <c r="AC152" s="160">
        <f t="shared" si="401"/>
        <v>27588.163680000001</v>
      </c>
      <c r="AD152" s="160">
        <f t="shared" si="401"/>
        <v>0</v>
      </c>
      <c r="AE152" s="160">
        <f t="shared" si="401"/>
        <v>8376.1731400000008</v>
      </c>
      <c r="AF152" s="294">
        <f t="shared" si="401"/>
        <v>0</v>
      </c>
      <c r="AG152" s="294">
        <f t="shared" si="401"/>
        <v>0</v>
      </c>
      <c r="AH152" s="294">
        <f t="shared" si="401"/>
        <v>0</v>
      </c>
      <c r="AI152" s="294"/>
      <c r="AJ152" s="294"/>
      <c r="AK152" s="294">
        <f t="shared" si="401"/>
        <v>0</v>
      </c>
      <c r="AL152" s="294">
        <f t="shared" si="401"/>
        <v>0</v>
      </c>
      <c r="AM152" s="162">
        <f t="shared" si="393"/>
        <v>393577.2044600001</v>
      </c>
      <c r="AO152" s="107" t="s">
        <v>387</v>
      </c>
      <c r="AP152" s="160">
        <f>TripMode_input!R133*Index!$B$2</f>
        <v>215620</v>
      </c>
      <c r="AQ152" s="160">
        <f>TripMode_input!S133*Index!$B$2</f>
        <v>198505</v>
      </c>
      <c r="AR152" s="160">
        <f>TripMode_input!T133*Index!$B$2</f>
        <v>29585</v>
      </c>
      <c r="AS152" s="160">
        <f>TripMode_input!U133*Index!$B$2</f>
        <v>10525</v>
      </c>
      <c r="AT152" s="160">
        <f>TripMode_input!V133*Index!$B$2</f>
        <v>13765</v>
      </c>
      <c r="AU152" s="160">
        <f>TripMode_input!W133*Index!$B$2</f>
        <v>6250</v>
      </c>
      <c r="AV152" s="294">
        <f>TripMode_input!X133*Index!$B$2</f>
        <v>0</v>
      </c>
      <c r="AW152" s="294">
        <f>TripMode_input!Y133*Index!$B$2</f>
        <v>0</v>
      </c>
      <c r="AX152" s="294">
        <f>TripMode_input!AA133*Index!$B$2</f>
        <v>0</v>
      </c>
      <c r="AY152" s="294">
        <f>TripMode_input!AB133*Index!$B$2</f>
        <v>0</v>
      </c>
      <c r="AZ152" s="160">
        <f>TripMode_input!AC133*Index!$B$2</f>
        <v>0</v>
      </c>
      <c r="BA152" s="294">
        <f>TripMode_input!AD133*Index!$B$2</f>
        <v>0</v>
      </c>
      <c r="BB152" s="294">
        <f>TripMode_input!AE133*Index!$B$2</f>
        <v>0</v>
      </c>
      <c r="BC152" s="162">
        <f t="shared" si="394"/>
        <v>474250</v>
      </c>
      <c r="BE152" s="107"/>
      <c r="BF152" s="166"/>
      <c r="BG152" s="166"/>
      <c r="BH152" s="166"/>
      <c r="BI152" s="166"/>
      <c r="BJ152" s="166"/>
      <c r="BK152" s="166"/>
      <c r="BL152" s="166"/>
      <c r="BM152" s="166"/>
      <c r="BN152" s="166"/>
      <c r="BO152" s="166"/>
      <c r="BP152" s="166"/>
      <c r="BQ152" s="166"/>
      <c r="BR152" s="166"/>
      <c r="BS152" s="166"/>
      <c r="BU152" s="107"/>
      <c r="BV152" s="166"/>
      <c r="BW152" s="166"/>
      <c r="BX152" s="166"/>
      <c r="BY152" s="166"/>
      <c r="BZ152" s="166"/>
      <c r="CA152" s="166"/>
      <c r="CB152" s="166"/>
      <c r="CC152" s="166"/>
      <c r="CD152" s="166"/>
      <c r="CE152" s="166"/>
      <c r="CF152" s="166"/>
      <c r="CG152" s="166"/>
      <c r="CH152" s="166"/>
      <c r="CI152" s="166"/>
      <c r="CK152" s="107" t="s">
        <v>387</v>
      </c>
      <c r="CL152" s="166" t="str">
        <f t="shared" si="397"/>
        <v/>
      </c>
      <c r="CM152" s="166" t="str">
        <f t="shared" si="397"/>
        <v/>
      </c>
      <c r="CN152" s="166" t="str">
        <f t="shared" si="397"/>
        <v/>
      </c>
      <c r="CO152" s="166" t="str">
        <f t="shared" si="397"/>
        <v/>
      </c>
      <c r="CP152" s="166"/>
      <c r="CQ152" s="166"/>
      <c r="CR152" s="166"/>
      <c r="CS152" s="166"/>
      <c r="CT152" s="166" t="str">
        <f t="shared" si="398"/>
        <v/>
      </c>
      <c r="CU152" s="166" t="str">
        <f t="shared" si="398"/>
        <v/>
      </c>
      <c r="CV152" s="166" t="str">
        <f t="shared" si="398"/>
        <v/>
      </c>
      <c r="CW152" s="166" t="str">
        <f t="shared" si="398"/>
        <v/>
      </c>
      <c r="CX152" s="166" t="str">
        <f t="shared" si="398"/>
        <v/>
      </c>
      <c r="CY152" s="168" t="str">
        <f t="shared" si="398"/>
        <v/>
      </c>
      <c r="DA152" s="107"/>
      <c r="DB152" s="313"/>
      <c r="DC152" s="313"/>
      <c r="DD152" s="313"/>
      <c r="DE152" s="313"/>
      <c r="DF152" s="313"/>
      <c r="DG152" s="313"/>
      <c r="DH152" s="313"/>
      <c r="DI152" s="313"/>
      <c r="DJ152" s="313"/>
      <c r="DK152" s="313"/>
      <c r="DL152" s="313"/>
      <c r="DM152" s="313"/>
      <c r="DN152" s="313"/>
      <c r="DO152" s="168"/>
      <c r="DQ152" s="107"/>
      <c r="DR152" s="313">
        <v>0</v>
      </c>
      <c r="DS152" s="313">
        <v>0</v>
      </c>
      <c r="DT152" s="313">
        <v>0</v>
      </c>
      <c r="DU152" s="313">
        <v>0</v>
      </c>
      <c r="DV152" s="313">
        <v>0</v>
      </c>
      <c r="DW152" s="313">
        <v>0</v>
      </c>
      <c r="DX152" s="313">
        <v>0</v>
      </c>
      <c r="DY152" s="313">
        <v>0</v>
      </c>
      <c r="DZ152" s="313">
        <v>0</v>
      </c>
      <c r="EA152" s="313">
        <v>0</v>
      </c>
      <c r="EB152" s="313">
        <v>0</v>
      </c>
      <c r="EC152" s="313">
        <v>0</v>
      </c>
      <c r="ED152" s="313">
        <v>0</v>
      </c>
      <c r="EE152" s="168"/>
    </row>
    <row r="153" spans="2:168" x14ac:dyDescent="0.25">
      <c r="B153" s="107" t="s">
        <v>388</v>
      </c>
      <c r="C153" s="294">
        <f t="shared" ref="C153:O153" si="402">+C9+C25+C41+C73+C89+C105+C121+C137</f>
        <v>0</v>
      </c>
      <c r="D153" s="294">
        <f t="shared" si="402"/>
        <v>0</v>
      </c>
      <c r="E153" s="160">
        <f t="shared" si="402"/>
        <v>4829266.8168599997</v>
      </c>
      <c r="F153" s="160">
        <f t="shared" si="402"/>
        <v>43841.8315</v>
      </c>
      <c r="G153" s="160">
        <f t="shared" si="402"/>
        <v>737964.19325999985</v>
      </c>
      <c r="H153" s="160">
        <f t="shared" si="402"/>
        <v>11398.82639</v>
      </c>
      <c r="I153" s="294">
        <f t="shared" si="402"/>
        <v>0</v>
      </c>
      <c r="J153" s="294">
        <f t="shared" si="402"/>
        <v>0</v>
      </c>
      <c r="K153" s="160">
        <f t="shared" si="402"/>
        <v>55603.693829999997</v>
      </c>
      <c r="L153" s="294"/>
      <c r="M153" s="294"/>
      <c r="N153" s="160">
        <f t="shared" si="402"/>
        <v>4898.3731399999997</v>
      </c>
      <c r="O153" s="294">
        <f t="shared" si="402"/>
        <v>0</v>
      </c>
      <c r="P153" s="162">
        <f t="shared" si="391"/>
        <v>5682973.7349800002</v>
      </c>
      <c r="Y153" s="107" t="s">
        <v>388</v>
      </c>
      <c r="Z153" s="294">
        <f t="shared" ref="Z153:AL153" si="403">+Z9+Z25+Z41+Z73+Z89+Z105+Z121+Z137</f>
        <v>0</v>
      </c>
      <c r="AA153" s="294">
        <f t="shared" si="403"/>
        <v>0</v>
      </c>
      <c r="AB153" s="160">
        <f t="shared" si="403"/>
        <v>4829266.8168599997</v>
      </c>
      <c r="AC153" s="160">
        <f t="shared" si="403"/>
        <v>43841.8315</v>
      </c>
      <c r="AD153" s="160">
        <f t="shared" si="403"/>
        <v>737964.19325999985</v>
      </c>
      <c r="AE153" s="160">
        <f t="shared" si="403"/>
        <v>11398.82639</v>
      </c>
      <c r="AF153" s="294">
        <f t="shared" si="403"/>
        <v>0</v>
      </c>
      <c r="AG153" s="294">
        <f t="shared" si="403"/>
        <v>0</v>
      </c>
      <c r="AH153" s="160">
        <f t="shared" si="403"/>
        <v>58692.77235446663</v>
      </c>
      <c r="AI153" s="294"/>
      <c r="AJ153" s="294"/>
      <c r="AK153" s="160">
        <f t="shared" si="403"/>
        <v>4898.3731399999997</v>
      </c>
      <c r="AL153" s="294">
        <f t="shared" si="403"/>
        <v>0</v>
      </c>
      <c r="AM153" s="162">
        <f t="shared" si="393"/>
        <v>5686062.8135044668</v>
      </c>
      <c r="AO153" s="107" t="s">
        <v>388</v>
      </c>
      <c r="AP153" s="294">
        <f>TripMode_input!R134*Index!$B$2</f>
        <v>0</v>
      </c>
      <c r="AQ153" s="294">
        <f>TripMode_input!S134*Index!$B$2</f>
        <v>0</v>
      </c>
      <c r="AR153" s="160">
        <f>TripMode_input!T134*Index!$B$2</f>
        <v>4479815</v>
      </c>
      <c r="AS153" s="160">
        <f>TripMode_input!U134*Index!$B$2</f>
        <v>131825</v>
      </c>
      <c r="AT153" s="160">
        <f>TripMode_input!V134*Index!$B$2</f>
        <v>869515</v>
      </c>
      <c r="AU153" s="160">
        <f>TripMode_input!W134*Index!$B$2</f>
        <v>25815</v>
      </c>
      <c r="AV153" s="294">
        <f>TripMode_input!X134*Index!$B$2</f>
        <v>0</v>
      </c>
      <c r="AW153" s="294">
        <f>TripMode_input!Y134*Index!$B$2</f>
        <v>0</v>
      </c>
      <c r="AX153" s="160">
        <f>TripMode_input!AA134*Index!$B$2</f>
        <v>55605</v>
      </c>
      <c r="AY153" s="160">
        <f>TripMode_input!AB134*Index!$B$2</f>
        <v>0</v>
      </c>
      <c r="AZ153" s="160">
        <f>TripMode_input!AC134*Index!$B$2</f>
        <v>0</v>
      </c>
      <c r="BA153" s="160">
        <f>TripMode_input!AD134*Index!$B$2</f>
        <v>16490</v>
      </c>
      <c r="BB153" s="294">
        <f>TripMode_input!AE134*Index!$B$2</f>
        <v>0</v>
      </c>
      <c r="BC153" s="162">
        <f t="shared" si="394"/>
        <v>5579065</v>
      </c>
      <c r="BE153" s="107" t="s">
        <v>576</v>
      </c>
      <c r="BF153" s="166">
        <f>IF(Z$164+AA$164&gt;0,SUM(Z153:AA154)/(Z$164+AA$164),"")</f>
        <v>0</v>
      </c>
      <c r="BG153" s="166"/>
      <c r="BH153" s="166">
        <f>IF(AB$164+AC$164&gt;0,SUM(AB153:AC154)/(AB$164+AC$164),"")</f>
        <v>0.8219626764306347</v>
      </c>
      <c r="BI153" s="166"/>
      <c r="BJ153" s="166">
        <f>IF(AD$164+AE$164&gt;0,SUM(AD153:AE154)/(AD$164+AE$164),"")</f>
        <v>0.12712314265864119</v>
      </c>
      <c r="BK153" s="166"/>
      <c r="BL153" s="166">
        <f t="shared" ref="BL153:BS153" si="404">IF(AF$164&gt;0,(AF153+AF154)/AF$164,"")</f>
        <v>0</v>
      </c>
      <c r="BM153" s="166">
        <f t="shared" si="404"/>
        <v>0</v>
      </c>
      <c r="BN153" s="166">
        <f t="shared" si="404"/>
        <v>3.288310344460485E-2</v>
      </c>
      <c r="BO153" s="166">
        <f t="shared" si="404"/>
        <v>0</v>
      </c>
      <c r="BP153" s="166">
        <f t="shared" si="404"/>
        <v>0</v>
      </c>
      <c r="BQ153" s="166">
        <f t="shared" si="404"/>
        <v>7.4366952354155941E-2</v>
      </c>
      <c r="BR153" s="166">
        <f t="shared" si="404"/>
        <v>0</v>
      </c>
      <c r="BS153" s="166">
        <f t="shared" si="404"/>
        <v>0.18803030733580436</v>
      </c>
      <c r="BU153" s="107" t="s">
        <v>576</v>
      </c>
      <c r="BV153" s="166">
        <f>IF(AP$164+AQ$164&gt;0,SUM(AP153:AQ154)/(AP$164+AQ$164),"")</f>
        <v>0</v>
      </c>
      <c r="BW153" s="166"/>
      <c r="BX153" s="166">
        <f>IF(AR$164+AS$164&gt;0,SUM(AR153:AS154)/(AR$164+AS$164),"")</f>
        <v>0.72208094266240519</v>
      </c>
      <c r="BY153" s="166"/>
      <c r="BZ153" s="166">
        <f>IF(AT$164+AU$164&gt;0,SUM(AT153:AU154)/(AT$164+AU$164),"")</f>
        <v>0.17304484038926365</v>
      </c>
      <c r="CA153" s="166"/>
      <c r="CB153" s="166">
        <f t="shared" ref="CB153:CI153" si="405">IF(AV$164&gt;0,(AV153+AV154)/AV$164,"")</f>
        <v>0</v>
      </c>
      <c r="CC153" s="166">
        <f t="shared" si="405"/>
        <v>0</v>
      </c>
      <c r="CD153" s="166">
        <f t="shared" si="405"/>
        <v>5.0503360874751844E-2</v>
      </c>
      <c r="CE153" s="166">
        <f t="shared" si="405"/>
        <v>0</v>
      </c>
      <c r="CF153" s="166">
        <f t="shared" si="405"/>
        <v>0</v>
      </c>
      <c r="CG153" s="166">
        <f t="shared" si="405"/>
        <v>0.11466942148760331</v>
      </c>
      <c r="CH153" s="166">
        <f t="shared" si="405"/>
        <v>0</v>
      </c>
      <c r="CI153" s="166">
        <f t="shared" si="405"/>
        <v>0.15838150208458329</v>
      </c>
      <c r="CK153" s="107" t="s">
        <v>388</v>
      </c>
      <c r="CL153" s="166" t="str">
        <f t="shared" si="397"/>
        <v/>
      </c>
      <c r="CM153" s="166" t="str">
        <f t="shared" si="397"/>
        <v/>
      </c>
      <c r="CN153" s="166">
        <f t="shared" si="397"/>
        <v>-0.12151614256010383</v>
      </c>
      <c r="CO153" s="166" t="str">
        <f t="shared" si="397"/>
        <v/>
      </c>
      <c r="CP153" s="166"/>
      <c r="CQ153" s="166"/>
      <c r="CR153" s="166"/>
      <c r="CS153" s="166"/>
      <c r="CT153" s="166">
        <f t="shared" si="398"/>
        <v>0.53584533040898119</v>
      </c>
      <c r="CU153" s="166" t="str">
        <f t="shared" si="398"/>
        <v/>
      </c>
      <c r="CV153" s="166" t="str">
        <f t="shared" si="398"/>
        <v/>
      </c>
      <c r="CW153" s="166">
        <f t="shared" si="398"/>
        <v>0.54194057787276118</v>
      </c>
      <c r="CX153" s="166" t="str">
        <f t="shared" si="398"/>
        <v/>
      </c>
      <c r="CY153" s="168">
        <f t="shared" si="398"/>
        <v>-0.1576809912790873</v>
      </c>
      <c r="DA153" s="107" t="s">
        <v>576</v>
      </c>
      <c r="DB153" s="313">
        <f>IFERROR(IF(BV153&gt;0,LN(BF153/BV153),0),0)</f>
        <v>0</v>
      </c>
      <c r="DC153" s="313"/>
      <c r="DD153" s="313">
        <f>IFERROR(IF(BX153&gt;0,LN(BH153/BX153),0),0)</f>
        <v>0.12955774666337044</v>
      </c>
      <c r="DE153" s="313"/>
      <c r="DF153" s="313">
        <f>IFERROR(IF(BZ153&gt;0,LN(BJ153/BZ153),0),0)</f>
        <v>-0.3083945100074465</v>
      </c>
      <c r="DG153" s="313"/>
      <c r="DH153" s="313">
        <f t="shared" ref="DH153:DN153" si="406">IFERROR(IF(CB153&gt;0,LN(BL153/CB153),0),0)</f>
        <v>0</v>
      </c>
      <c r="DI153" s="313">
        <f t="shared" si="406"/>
        <v>0</v>
      </c>
      <c r="DJ153" s="313">
        <f t="shared" si="406"/>
        <v>-0.42908093330694325</v>
      </c>
      <c r="DK153" s="313">
        <f t="shared" si="406"/>
        <v>0</v>
      </c>
      <c r="DL153" s="313">
        <f t="shared" si="406"/>
        <v>0</v>
      </c>
      <c r="DM153" s="313">
        <f t="shared" si="406"/>
        <v>-0.4330417386481375</v>
      </c>
      <c r="DN153" s="313">
        <f t="shared" si="406"/>
        <v>0</v>
      </c>
      <c r="DO153" s="168"/>
      <c r="DQ153" s="107" t="s">
        <v>576</v>
      </c>
      <c r="DR153" s="313">
        <v>0</v>
      </c>
      <c r="DS153" s="313">
        <v>0</v>
      </c>
      <c r="DT153" s="313">
        <v>0</v>
      </c>
      <c r="DU153" s="313">
        <v>0</v>
      </c>
      <c r="DV153" s="313">
        <v>0</v>
      </c>
      <c r="DW153" s="313">
        <v>0</v>
      </c>
      <c r="DX153" s="313">
        <v>0</v>
      </c>
      <c r="DY153" s="313">
        <v>0</v>
      </c>
      <c r="DZ153" s="313">
        <v>0</v>
      </c>
      <c r="EA153" s="313">
        <v>0</v>
      </c>
      <c r="EB153" s="313">
        <v>0</v>
      </c>
      <c r="EC153" s="313">
        <v>0</v>
      </c>
      <c r="ED153" s="313">
        <v>0</v>
      </c>
      <c r="EE153" s="168"/>
    </row>
    <row r="154" spans="2:168" x14ac:dyDescent="0.25">
      <c r="B154" s="107" t="s">
        <v>389</v>
      </c>
      <c r="C154" s="294">
        <f t="shared" ref="C154:O154" si="407">+C10+C26+C42+C74+C90+C106+C122+C138</f>
        <v>0</v>
      </c>
      <c r="D154" s="294">
        <f t="shared" si="407"/>
        <v>0</v>
      </c>
      <c r="E154" s="160">
        <f t="shared" si="407"/>
        <v>0</v>
      </c>
      <c r="F154" s="160">
        <f t="shared" si="407"/>
        <v>48901.989139999998</v>
      </c>
      <c r="G154" s="160">
        <f t="shared" si="407"/>
        <v>0</v>
      </c>
      <c r="H154" s="160">
        <f t="shared" si="407"/>
        <v>7403.00677</v>
      </c>
      <c r="I154" s="294">
        <f t="shared" si="407"/>
        <v>0</v>
      </c>
      <c r="J154" s="294">
        <f t="shared" si="407"/>
        <v>0</v>
      </c>
      <c r="K154" s="160">
        <f t="shared" si="407"/>
        <v>14.922029999999999</v>
      </c>
      <c r="L154" s="294"/>
      <c r="M154" s="294"/>
      <c r="N154" s="160">
        <f t="shared" si="407"/>
        <v>217.97167999999999</v>
      </c>
      <c r="O154" s="294">
        <f t="shared" si="407"/>
        <v>0</v>
      </c>
      <c r="P154" s="162">
        <f t="shared" si="391"/>
        <v>56537.889620000002</v>
      </c>
      <c r="Y154" s="107" t="s">
        <v>389</v>
      </c>
      <c r="Z154" s="294">
        <f t="shared" ref="Z154:AL154" si="408">+Z10+Z26+Z42+Z74+Z90+Z106+Z122+Z138</f>
        <v>0</v>
      </c>
      <c r="AA154" s="294">
        <f t="shared" si="408"/>
        <v>0</v>
      </c>
      <c r="AB154" s="160">
        <f t="shared" si="408"/>
        <v>0</v>
      </c>
      <c r="AC154" s="160">
        <f t="shared" si="408"/>
        <v>48901.989139999998</v>
      </c>
      <c r="AD154" s="160">
        <f t="shared" si="408"/>
        <v>0</v>
      </c>
      <c r="AE154" s="160">
        <f t="shared" si="408"/>
        <v>7403.00677</v>
      </c>
      <c r="AF154" s="294">
        <f t="shared" si="408"/>
        <v>0</v>
      </c>
      <c r="AG154" s="294">
        <f t="shared" si="408"/>
        <v>0</v>
      </c>
      <c r="AH154" s="160">
        <f t="shared" si="408"/>
        <v>15.751027486306873</v>
      </c>
      <c r="AI154" s="294"/>
      <c r="AJ154" s="294"/>
      <c r="AK154" s="160">
        <f t="shared" si="408"/>
        <v>217.97167999999999</v>
      </c>
      <c r="AL154" s="294">
        <f t="shared" si="408"/>
        <v>0</v>
      </c>
      <c r="AM154" s="162">
        <f t="shared" si="393"/>
        <v>56538.718617486309</v>
      </c>
      <c r="AO154" s="107" t="s">
        <v>389</v>
      </c>
      <c r="AP154" s="294">
        <f>TripMode_input!R135*Index!$B$2</f>
        <v>0</v>
      </c>
      <c r="AQ154" s="294">
        <f>TripMode_input!S135*Index!$B$2</f>
        <v>0</v>
      </c>
      <c r="AR154" s="160">
        <f>TripMode_input!T135*Index!$B$2</f>
        <v>51725</v>
      </c>
      <c r="AS154" s="160">
        <f>TripMode_input!U135*Index!$B$2</f>
        <v>24565</v>
      </c>
      <c r="AT154" s="160">
        <f>TripMode_input!V135*Index!$B$2</f>
        <v>16165</v>
      </c>
      <c r="AU154" s="160">
        <f>TripMode_input!W135*Index!$B$2</f>
        <v>5955</v>
      </c>
      <c r="AV154" s="294">
        <f>TripMode_input!X135*Index!$B$2</f>
        <v>0</v>
      </c>
      <c r="AW154" s="294">
        <f>TripMode_input!Y135*Index!$B$2</f>
        <v>0</v>
      </c>
      <c r="AX154" s="160">
        <f>TripMode_input!AA135*Index!$B$2</f>
        <v>1760</v>
      </c>
      <c r="AY154" s="160">
        <f>TripMode_input!AB135*Index!$B$2</f>
        <v>0</v>
      </c>
      <c r="AZ154" s="160">
        <f>TripMode_input!AC135*Index!$B$2</f>
        <v>0</v>
      </c>
      <c r="BA154" s="160">
        <f>TripMode_input!AD135*Index!$B$2</f>
        <v>2935</v>
      </c>
      <c r="BB154" s="294">
        <f>TripMode_input!AE135*Index!$B$2</f>
        <v>0</v>
      </c>
      <c r="BC154" s="162">
        <f t="shared" si="394"/>
        <v>103105</v>
      </c>
      <c r="BE154" s="107"/>
      <c r="BF154" s="166"/>
      <c r="BG154" s="166"/>
      <c r="BH154" s="166"/>
      <c r="BI154" s="166"/>
      <c r="BJ154" s="166"/>
      <c r="BK154" s="166"/>
      <c r="BL154" s="166"/>
      <c r="BM154" s="166"/>
      <c r="BN154" s="166"/>
      <c r="BO154" s="166"/>
      <c r="BP154" s="166"/>
      <c r="BQ154" s="166"/>
      <c r="BR154" s="166"/>
      <c r="BS154" s="166"/>
      <c r="BU154" s="107"/>
      <c r="BV154" s="166"/>
      <c r="BW154" s="166"/>
      <c r="BX154" s="166"/>
      <c r="BY154" s="166"/>
      <c r="BZ154" s="166"/>
      <c r="CA154" s="166"/>
      <c r="CB154" s="166"/>
      <c r="CC154" s="166"/>
      <c r="CD154" s="166"/>
      <c r="CE154" s="166"/>
      <c r="CF154" s="166"/>
      <c r="CG154" s="166"/>
      <c r="CH154" s="166"/>
      <c r="CI154" s="166"/>
      <c r="CK154" s="107" t="s">
        <v>389</v>
      </c>
      <c r="CL154" s="166" t="str">
        <f t="shared" si="397"/>
        <v/>
      </c>
      <c r="CM154" s="166" t="str">
        <f t="shared" si="397"/>
        <v/>
      </c>
      <c r="CN154" s="166" t="str">
        <f t="shared" si="397"/>
        <v/>
      </c>
      <c r="CO154" s="166" t="str">
        <f t="shared" si="397"/>
        <v/>
      </c>
      <c r="CP154" s="166"/>
      <c r="CQ154" s="166"/>
      <c r="CR154" s="166"/>
      <c r="CS154" s="166"/>
      <c r="CT154" s="166" t="str">
        <f t="shared" si="398"/>
        <v/>
      </c>
      <c r="CU154" s="166" t="str">
        <f t="shared" si="398"/>
        <v/>
      </c>
      <c r="CV154" s="166" t="str">
        <f t="shared" si="398"/>
        <v/>
      </c>
      <c r="CW154" s="166" t="str">
        <f t="shared" si="398"/>
        <v/>
      </c>
      <c r="CX154" s="166" t="str">
        <f t="shared" si="398"/>
        <v/>
      </c>
      <c r="CY154" s="168" t="str">
        <f t="shared" si="398"/>
        <v/>
      </c>
      <c r="DA154" s="107"/>
      <c r="DB154" s="313"/>
      <c r="DC154" s="313"/>
      <c r="DD154" s="313"/>
      <c r="DE154" s="313"/>
      <c r="DF154" s="313"/>
      <c r="DG154" s="313"/>
      <c r="DH154" s="313"/>
      <c r="DI154" s="313"/>
      <c r="DJ154" s="313"/>
      <c r="DK154" s="313"/>
      <c r="DL154" s="313"/>
      <c r="DM154" s="313"/>
      <c r="DN154" s="313"/>
      <c r="DO154" s="168"/>
      <c r="DQ154" s="107"/>
      <c r="DR154" s="313">
        <v>0</v>
      </c>
      <c r="DS154" s="313">
        <v>0</v>
      </c>
      <c r="DT154" s="313">
        <v>0</v>
      </c>
      <c r="DU154" s="313">
        <v>0</v>
      </c>
      <c r="DV154" s="313">
        <v>0</v>
      </c>
      <c r="DW154" s="313">
        <v>0</v>
      </c>
      <c r="DX154" s="313">
        <v>0</v>
      </c>
      <c r="DY154" s="313">
        <v>0</v>
      </c>
      <c r="DZ154" s="313">
        <v>0</v>
      </c>
      <c r="EA154" s="313">
        <v>0</v>
      </c>
      <c r="EB154" s="313">
        <v>0</v>
      </c>
      <c r="EC154" s="313">
        <v>0</v>
      </c>
      <c r="ED154" s="313">
        <v>0</v>
      </c>
      <c r="EE154" s="168"/>
    </row>
    <row r="155" spans="2:168" x14ac:dyDescent="0.25">
      <c r="B155" s="107" t="s">
        <v>390</v>
      </c>
      <c r="C155" s="294">
        <f t="shared" ref="C155:O155" si="409">+C11+C27+C43+C75+C91+C107+C123+C139</f>
        <v>0</v>
      </c>
      <c r="D155" s="294">
        <f t="shared" si="409"/>
        <v>0</v>
      </c>
      <c r="E155" s="294">
        <f t="shared" si="409"/>
        <v>0</v>
      </c>
      <c r="F155" s="294">
        <f t="shared" si="409"/>
        <v>0</v>
      </c>
      <c r="G155" s="160">
        <f t="shared" si="409"/>
        <v>4515057.177480001</v>
      </c>
      <c r="H155" s="160">
        <f t="shared" si="409"/>
        <v>69306.015419999996</v>
      </c>
      <c r="I155" s="294">
        <f t="shared" si="409"/>
        <v>0</v>
      </c>
      <c r="J155" s="294">
        <f t="shared" si="409"/>
        <v>0</v>
      </c>
      <c r="K155" s="160">
        <f t="shared" si="409"/>
        <v>15102.139309999999</v>
      </c>
      <c r="L155" s="294"/>
      <c r="M155" s="294"/>
      <c r="N155" s="160">
        <f t="shared" si="409"/>
        <v>927.28</v>
      </c>
      <c r="O155" s="294">
        <f t="shared" si="409"/>
        <v>0</v>
      </c>
      <c r="P155" s="162">
        <f t="shared" si="391"/>
        <v>4600392.6122100009</v>
      </c>
      <c r="Y155" s="107" t="s">
        <v>390</v>
      </c>
      <c r="Z155" s="294">
        <f t="shared" ref="Z155:AL155" si="410">+Z11+Z27+Z43+Z75+Z91+Z107+Z123+Z139</f>
        <v>0</v>
      </c>
      <c r="AA155" s="294">
        <f t="shared" si="410"/>
        <v>0</v>
      </c>
      <c r="AB155" s="294">
        <f t="shared" si="410"/>
        <v>0</v>
      </c>
      <c r="AC155" s="294">
        <f t="shared" si="410"/>
        <v>0</v>
      </c>
      <c r="AD155" s="160">
        <f t="shared" si="410"/>
        <v>4515057.177480001</v>
      </c>
      <c r="AE155" s="160">
        <f t="shared" si="410"/>
        <v>69306.015419999996</v>
      </c>
      <c r="AF155" s="294">
        <f t="shared" si="410"/>
        <v>0</v>
      </c>
      <c r="AG155" s="294">
        <f t="shared" si="410"/>
        <v>0</v>
      </c>
      <c r="AH155" s="160">
        <f t="shared" si="410"/>
        <v>15941.142818627595</v>
      </c>
      <c r="AI155" s="294"/>
      <c r="AJ155" s="294"/>
      <c r="AK155" s="160">
        <f t="shared" si="410"/>
        <v>927.28</v>
      </c>
      <c r="AL155" s="294">
        <f t="shared" si="410"/>
        <v>0</v>
      </c>
      <c r="AM155" s="162">
        <f t="shared" si="393"/>
        <v>4601231.6157186292</v>
      </c>
      <c r="AO155" s="107" t="s">
        <v>390</v>
      </c>
      <c r="AP155" s="294">
        <f>TripMode_input!R136*Index!$B$2</f>
        <v>0</v>
      </c>
      <c r="AQ155" s="294">
        <f>TripMode_input!S136*Index!$B$2</f>
        <v>0</v>
      </c>
      <c r="AR155" s="294">
        <f>TripMode_input!T136*Index!$B$2</f>
        <v>0</v>
      </c>
      <c r="AS155" s="294">
        <f>TripMode_input!U136*Index!$B$2</f>
        <v>0</v>
      </c>
      <c r="AT155" s="160">
        <f>TripMode_input!V136*Index!$B$2</f>
        <v>3371075</v>
      </c>
      <c r="AU155" s="160">
        <f>TripMode_input!W136*Index!$B$2</f>
        <v>87335</v>
      </c>
      <c r="AV155" s="294">
        <f>TripMode_input!X136*Index!$B$2</f>
        <v>0</v>
      </c>
      <c r="AW155" s="294">
        <f>TripMode_input!Y136*Index!$B$2</f>
        <v>0</v>
      </c>
      <c r="AX155" s="160">
        <f>TripMode_input!AA136*Index!$B$2</f>
        <v>14070</v>
      </c>
      <c r="AY155" s="160">
        <f>TripMode_input!AB136*Index!$B$2</f>
        <v>0</v>
      </c>
      <c r="AZ155" s="160">
        <f>TripMode_input!AC136*Index!$B$2</f>
        <v>0</v>
      </c>
      <c r="BA155" s="160">
        <f>TripMode_input!AD136*Index!$B$2</f>
        <v>7850</v>
      </c>
      <c r="BB155" s="294">
        <f>TripMode_input!AE136*Index!$B$2</f>
        <v>0</v>
      </c>
      <c r="BC155" s="162">
        <f t="shared" si="394"/>
        <v>3480330</v>
      </c>
      <c r="BE155" s="107" t="s">
        <v>577</v>
      </c>
      <c r="BF155" s="166">
        <f>IF(Z$164+AA$164&gt;0,SUM(Z155:AA156)/(Z$164+AA$164),"")</f>
        <v>0</v>
      </c>
      <c r="BG155" s="166"/>
      <c r="BH155" s="166">
        <f>IF(AB$164+AC$164&gt;0,SUM(AB155:AC156)/(AB$164+AC$164),"")</f>
        <v>0</v>
      </c>
      <c r="BI155" s="166"/>
      <c r="BJ155" s="166">
        <f>IF(AD$164+AE$164&gt;0,SUM(AD155:AE156)/(AD$164+AE$164),"")</f>
        <v>0.779766217326748</v>
      </c>
      <c r="BK155" s="166"/>
      <c r="BL155" s="166">
        <f t="shared" ref="BL155:BS155" si="411">IF(AF$164&gt;0,(AF155+AF156)/AF$164,"")</f>
        <v>0</v>
      </c>
      <c r="BM155" s="166">
        <f t="shared" si="411"/>
        <v>0</v>
      </c>
      <c r="BN155" s="166">
        <f t="shared" si="411"/>
        <v>9.1380646974149656E-3</v>
      </c>
      <c r="BO155" s="166">
        <f t="shared" si="411"/>
        <v>0</v>
      </c>
      <c r="BP155" s="166">
        <f t="shared" si="411"/>
        <v>0</v>
      </c>
      <c r="BQ155" s="166">
        <f t="shared" si="411"/>
        <v>1.3478174361782311E-2</v>
      </c>
      <c r="BR155" s="166">
        <f t="shared" si="411"/>
        <v>0</v>
      </c>
      <c r="BS155" s="166">
        <f t="shared" si="411"/>
        <v>0.1525565124118767</v>
      </c>
      <c r="BU155" s="107" t="s">
        <v>577</v>
      </c>
      <c r="BV155" s="166">
        <f>IF(AP$164+AQ$164&gt;0,SUM(AP155:AQ156)/(AP$164+AQ$164),"")</f>
        <v>0</v>
      </c>
      <c r="BW155" s="166"/>
      <c r="BX155" s="166">
        <f>IF(AR$164+AS$164&gt;0,SUM(AR155:AS156)/(AR$164+AS$164),"")</f>
        <v>0</v>
      </c>
      <c r="BY155" s="166"/>
      <c r="BZ155" s="166">
        <f>IF(AT$164+AU$164&gt;0,SUM(AT155:AU156)/(AT$164+AU$164),"")</f>
        <v>0.66857890850380197</v>
      </c>
      <c r="CA155" s="166"/>
      <c r="CB155" s="166">
        <f t="shared" ref="CB155:CI155" si="412">IF(AV$164&gt;0,(AV155+AV156)/AV$164,"")</f>
        <v>0</v>
      </c>
      <c r="CC155" s="166">
        <f t="shared" si="412"/>
        <v>0</v>
      </c>
      <c r="CD155" s="166">
        <f t="shared" si="412"/>
        <v>1.2827228587904372E-2</v>
      </c>
      <c r="CE155" s="166">
        <f t="shared" si="412"/>
        <v>0</v>
      </c>
      <c r="CF155" s="166">
        <f t="shared" si="412"/>
        <v>0</v>
      </c>
      <c r="CG155" s="166">
        <f t="shared" si="412"/>
        <v>5.1564344746162928E-2</v>
      </c>
      <c r="CH155" s="166">
        <f t="shared" si="412"/>
        <v>0</v>
      </c>
      <c r="CI155" s="166">
        <f t="shared" si="412"/>
        <v>9.9451799542736571E-2</v>
      </c>
      <c r="CK155" s="107" t="s">
        <v>390</v>
      </c>
      <c r="CL155" s="166"/>
      <c r="CM155" s="166"/>
      <c r="CN155" s="166"/>
      <c r="CO155" s="166"/>
      <c r="CP155" s="166"/>
      <c r="CQ155" s="166"/>
      <c r="CR155" s="166"/>
      <c r="CS155" s="166"/>
      <c r="CT155" s="166"/>
      <c r="CU155" s="166"/>
      <c r="CV155" s="166"/>
      <c r="CW155" s="166"/>
      <c r="CX155" s="166"/>
      <c r="CY155" s="168"/>
      <c r="DA155" s="107" t="s">
        <v>577</v>
      </c>
      <c r="DB155" s="313">
        <f>IFERROR(IF(BV155&gt;0,LN(BF155/BV155),0),0)</f>
        <v>0</v>
      </c>
      <c r="DC155" s="313"/>
      <c r="DD155" s="313">
        <f>IFERROR(IF(BX155&gt;0,LN(BH155/BX155),0),0)</f>
        <v>0</v>
      </c>
      <c r="DE155" s="313"/>
      <c r="DF155" s="313">
        <f>IFERROR(IF(BZ155&gt;0,LN(BJ155/BZ155),0),0)</f>
        <v>0.15383972565541304</v>
      </c>
      <c r="DG155" s="313"/>
      <c r="DH155" s="313">
        <f t="shared" ref="DH155:DN155" si="413">IFERROR(IF(CB155&gt;0,LN(BL155/CB155),0),0)</f>
        <v>0</v>
      </c>
      <c r="DI155" s="313">
        <f t="shared" si="413"/>
        <v>0</v>
      </c>
      <c r="DJ155" s="313">
        <f t="shared" si="413"/>
        <v>-0.33912152184107075</v>
      </c>
      <c r="DK155" s="313">
        <f t="shared" si="413"/>
        <v>0</v>
      </c>
      <c r="DL155" s="313">
        <f t="shared" si="413"/>
        <v>0</v>
      </c>
      <c r="DM155" s="313">
        <f t="shared" si="413"/>
        <v>-1.3417587771401351</v>
      </c>
      <c r="DN155" s="313">
        <f t="shared" si="413"/>
        <v>0</v>
      </c>
      <c r="DO155" s="168"/>
      <c r="DQ155" s="107" t="s">
        <v>577</v>
      </c>
      <c r="DR155" s="313">
        <v>0</v>
      </c>
      <c r="DS155" s="313">
        <v>0</v>
      </c>
      <c r="DT155" s="313">
        <v>0</v>
      </c>
      <c r="DU155" s="313">
        <v>0</v>
      </c>
      <c r="DV155" s="313">
        <v>0</v>
      </c>
      <c r="DW155" s="313">
        <v>0</v>
      </c>
      <c r="DX155" s="313">
        <v>0</v>
      </c>
      <c r="DY155" s="313">
        <v>0</v>
      </c>
      <c r="DZ155" s="313">
        <v>0</v>
      </c>
      <c r="EA155" s="313">
        <v>0</v>
      </c>
      <c r="EB155" s="313">
        <v>0</v>
      </c>
      <c r="EC155" s="313">
        <v>0</v>
      </c>
      <c r="ED155" s="313">
        <v>0</v>
      </c>
      <c r="EE155" s="168"/>
    </row>
    <row r="156" spans="2:168" x14ac:dyDescent="0.25">
      <c r="B156" s="107" t="s">
        <v>391</v>
      </c>
      <c r="C156" s="294">
        <f t="shared" ref="C156:O156" si="414">+C12+C28+C44+C76+C92+C108+C124+C140</f>
        <v>0</v>
      </c>
      <c r="D156" s="294">
        <f t="shared" si="414"/>
        <v>0</v>
      </c>
      <c r="E156" s="294">
        <f t="shared" si="414"/>
        <v>0</v>
      </c>
      <c r="F156" s="294">
        <f t="shared" si="414"/>
        <v>0</v>
      </c>
      <c r="G156" s="160">
        <f t="shared" si="414"/>
        <v>0</v>
      </c>
      <c r="H156" s="160">
        <f t="shared" si="414"/>
        <v>57597.11017</v>
      </c>
      <c r="I156" s="294">
        <f t="shared" si="414"/>
        <v>0</v>
      </c>
      <c r="J156" s="294">
        <f t="shared" si="414"/>
        <v>0</v>
      </c>
      <c r="K156" s="160">
        <f t="shared" si="414"/>
        <v>354.02075000000002</v>
      </c>
      <c r="L156" s="294"/>
      <c r="M156" s="294"/>
      <c r="N156" s="160">
        <f t="shared" si="414"/>
        <v>0</v>
      </c>
      <c r="O156" s="294">
        <f t="shared" si="414"/>
        <v>0</v>
      </c>
      <c r="P156" s="162">
        <f t="shared" si="391"/>
        <v>57951.130920000003</v>
      </c>
      <c r="Y156" s="107" t="s">
        <v>391</v>
      </c>
      <c r="Z156" s="294">
        <f t="shared" ref="Z156:AL156" si="415">+Z12+Z28+Z44+Z76+Z92+Z108+Z124+Z140</f>
        <v>0</v>
      </c>
      <c r="AA156" s="294">
        <f t="shared" si="415"/>
        <v>0</v>
      </c>
      <c r="AB156" s="294">
        <f t="shared" si="415"/>
        <v>0</v>
      </c>
      <c r="AC156" s="294">
        <f t="shared" si="415"/>
        <v>0</v>
      </c>
      <c r="AD156" s="160">
        <f t="shared" si="415"/>
        <v>0</v>
      </c>
      <c r="AE156" s="160">
        <f t="shared" si="415"/>
        <v>57597.11017</v>
      </c>
      <c r="AF156" s="294">
        <f t="shared" si="415"/>
        <v>0</v>
      </c>
      <c r="AG156" s="294">
        <f t="shared" si="415"/>
        <v>0</v>
      </c>
      <c r="AH156" s="160">
        <f t="shared" si="415"/>
        <v>373.68847026664429</v>
      </c>
      <c r="AI156" s="294"/>
      <c r="AJ156" s="294"/>
      <c r="AK156" s="160">
        <f t="shared" si="415"/>
        <v>0</v>
      </c>
      <c r="AL156" s="294">
        <f t="shared" si="415"/>
        <v>0</v>
      </c>
      <c r="AM156" s="162">
        <f t="shared" si="393"/>
        <v>57970.798640266643</v>
      </c>
      <c r="AO156" s="107" t="s">
        <v>391</v>
      </c>
      <c r="AP156" s="294">
        <f>TripMode_input!R137*Index!$B$2</f>
        <v>0</v>
      </c>
      <c r="AQ156" s="294">
        <f>TripMode_input!S137*Index!$B$2</f>
        <v>0</v>
      </c>
      <c r="AR156" s="294">
        <f>TripMode_input!T137*Index!$B$2</f>
        <v>0</v>
      </c>
      <c r="AS156" s="294">
        <f>TripMode_input!U137*Index!$B$2</f>
        <v>0</v>
      </c>
      <c r="AT156" s="160">
        <f>TripMode_input!V137*Index!$B$2</f>
        <v>66240</v>
      </c>
      <c r="AU156" s="160">
        <f>TripMode_input!W137*Index!$B$2</f>
        <v>20025</v>
      </c>
      <c r="AV156" s="294">
        <f>TripMode_input!X137*Index!$B$2</f>
        <v>0</v>
      </c>
      <c r="AW156" s="294">
        <f>TripMode_input!Y137*Index!$B$2</f>
        <v>0</v>
      </c>
      <c r="AX156" s="160">
        <f>TripMode_input!AA137*Index!$B$2</f>
        <v>500</v>
      </c>
      <c r="AY156" s="160">
        <f>TripMode_input!AB137*Index!$B$2</f>
        <v>0</v>
      </c>
      <c r="AZ156" s="160">
        <f>TripMode_input!AC137*Index!$B$2</f>
        <v>0</v>
      </c>
      <c r="BA156" s="160">
        <f>TripMode_input!AD137*Index!$B$2</f>
        <v>885</v>
      </c>
      <c r="BB156" s="294">
        <f>TripMode_input!AE137*Index!$B$2</f>
        <v>0</v>
      </c>
      <c r="BC156" s="162">
        <f t="shared" si="394"/>
        <v>87650</v>
      </c>
      <c r="BE156" s="107"/>
      <c r="BF156" s="166"/>
      <c r="BG156" s="166"/>
      <c r="BH156" s="166"/>
      <c r="BI156" s="166"/>
      <c r="BJ156" s="166"/>
      <c r="BK156" s="166"/>
      <c r="BL156" s="166"/>
      <c r="BM156" s="166"/>
      <c r="BN156" s="166"/>
      <c r="BO156" s="166"/>
      <c r="BP156" s="166"/>
      <c r="BQ156" s="166"/>
      <c r="BR156" s="166"/>
      <c r="BS156" s="166"/>
      <c r="BU156" s="107"/>
      <c r="BV156" s="166"/>
      <c r="BW156" s="166"/>
      <c r="BX156" s="166"/>
      <c r="BY156" s="166"/>
      <c r="BZ156" s="166"/>
      <c r="CA156" s="166"/>
      <c r="CB156" s="166"/>
      <c r="CC156" s="166"/>
      <c r="CD156" s="166"/>
      <c r="CE156" s="166"/>
      <c r="CF156" s="166"/>
      <c r="CG156" s="166"/>
      <c r="CH156" s="166"/>
      <c r="CI156" s="166"/>
      <c r="CK156" s="107" t="s">
        <v>391</v>
      </c>
      <c r="CL156" s="166"/>
      <c r="CM156" s="166"/>
      <c r="CN156" s="166"/>
      <c r="CO156" s="166"/>
      <c r="CP156" s="166"/>
      <c r="CQ156" s="166"/>
      <c r="CR156" s="166"/>
      <c r="CS156" s="166"/>
      <c r="CT156" s="166"/>
      <c r="CU156" s="166"/>
      <c r="CV156" s="166"/>
      <c r="CW156" s="166"/>
      <c r="CX156" s="166"/>
      <c r="CY156" s="168"/>
      <c r="DA156" s="107"/>
      <c r="DB156" s="313"/>
      <c r="DC156" s="313"/>
      <c r="DD156" s="313"/>
      <c r="DE156" s="313"/>
      <c r="DF156" s="313"/>
      <c r="DG156" s="313"/>
      <c r="DH156" s="313"/>
      <c r="DI156" s="313"/>
      <c r="DJ156" s="313"/>
      <c r="DK156" s="313"/>
      <c r="DL156" s="313"/>
      <c r="DM156" s="313"/>
      <c r="DN156" s="313"/>
      <c r="DO156" s="168"/>
      <c r="DQ156" s="107"/>
      <c r="DR156" s="313">
        <v>0</v>
      </c>
      <c r="DS156" s="313">
        <v>0</v>
      </c>
      <c r="DT156" s="313">
        <v>0</v>
      </c>
      <c r="DU156" s="313">
        <v>0</v>
      </c>
      <c r="DV156" s="313">
        <v>0</v>
      </c>
      <c r="DW156" s="313">
        <v>0</v>
      </c>
      <c r="DX156" s="313">
        <v>0</v>
      </c>
      <c r="DY156" s="313">
        <v>0</v>
      </c>
      <c r="DZ156" s="313">
        <v>0</v>
      </c>
      <c r="EA156" s="313">
        <v>0</v>
      </c>
      <c r="EB156" s="313">
        <v>0</v>
      </c>
      <c r="EC156" s="313">
        <v>0</v>
      </c>
      <c r="ED156" s="313">
        <v>0</v>
      </c>
      <c r="EE156" s="168"/>
    </row>
    <row r="157" spans="2:168" x14ac:dyDescent="0.25">
      <c r="B157" s="107" t="s">
        <v>392</v>
      </c>
      <c r="C157" s="294">
        <f t="shared" ref="C157:O157" si="416">+C13+C29+C45+C77+C93+C109+C125+C141</f>
        <v>0</v>
      </c>
      <c r="D157" s="294">
        <f t="shared" si="416"/>
        <v>0</v>
      </c>
      <c r="E157" s="160">
        <f t="shared" si="416"/>
        <v>165538.95775000003</v>
      </c>
      <c r="F157" s="160">
        <f t="shared" si="416"/>
        <v>1425.2874100000001</v>
      </c>
      <c r="G157" s="160">
        <f t="shared" si="416"/>
        <v>117578.54730999999</v>
      </c>
      <c r="H157" s="160">
        <f t="shared" si="416"/>
        <v>1723.93876</v>
      </c>
      <c r="I157" s="160">
        <f t="shared" si="416"/>
        <v>1992929.9548400003</v>
      </c>
      <c r="J157" s="294">
        <f t="shared" si="416"/>
        <v>0</v>
      </c>
      <c r="K157" s="160">
        <f t="shared" si="416"/>
        <v>347174.88065999997</v>
      </c>
      <c r="L157" s="294"/>
      <c r="M157" s="294"/>
      <c r="N157" s="160">
        <f t="shared" si="416"/>
        <v>10551.69886</v>
      </c>
      <c r="O157" s="294">
        <f t="shared" si="416"/>
        <v>0</v>
      </c>
      <c r="P157" s="162">
        <f t="shared" si="391"/>
        <v>2636923.26559</v>
      </c>
      <c r="Y157" s="107" t="s">
        <v>392</v>
      </c>
      <c r="Z157" s="294">
        <f t="shared" ref="Z157:AL157" si="417">+Z13+Z29+Z45+Z77+Z93+Z109+Z125+Z141</f>
        <v>0</v>
      </c>
      <c r="AA157" s="294">
        <f t="shared" si="417"/>
        <v>0</v>
      </c>
      <c r="AB157" s="160">
        <f t="shared" si="417"/>
        <v>165538.95775000003</v>
      </c>
      <c r="AC157" s="160">
        <f t="shared" si="417"/>
        <v>1425.2874100000001</v>
      </c>
      <c r="AD157" s="160">
        <f t="shared" si="417"/>
        <v>117578.54730999999</v>
      </c>
      <c r="AE157" s="160">
        <f t="shared" si="417"/>
        <v>1723.93876</v>
      </c>
      <c r="AF157" s="160">
        <f t="shared" si="417"/>
        <v>1992929.9548400003</v>
      </c>
      <c r="AG157" s="294">
        <f t="shared" si="417"/>
        <v>0</v>
      </c>
      <c r="AH157" s="160">
        <f t="shared" si="417"/>
        <v>366462.2767700486</v>
      </c>
      <c r="AI157" s="294"/>
      <c r="AJ157" s="294"/>
      <c r="AK157" s="160">
        <f t="shared" si="417"/>
        <v>10551.69886</v>
      </c>
      <c r="AL157" s="294">
        <f t="shared" si="417"/>
        <v>0</v>
      </c>
      <c r="AM157" s="162">
        <f t="shared" si="393"/>
        <v>2656210.6617000489</v>
      </c>
      <c r="AO157" s="107" t="s">
        <v>392</v>
      </c>
      <c r="AP157" s="294">
        <f>TripMode_input!R138*Index!$B$2</f>
        <v>0</v>
      </c>
      <c r="AQ157" s="294">
        <f>TripMode_input!S138*Index!$B$2</f>
        <v>0</v>
      </c>
      <c r="AR157" s="160">
        <f>TripMode_input!T138*Index!$B$2</f>
        <v>208690</v>
      </c>
      <c r="AS157" s="160">
        <f>TripMode_input!U138*Index!$B$2</f>
        <v>1665</v>
      </c>
      <c r="AT157" s="160">
        <f>TripMode_input!V138*Index!$B$2</f>
        <v>124405</v>
      </c>
      <c r="AU157" s="160">
        <f>TripMode_input!W138*Index!$B$2</f>
        <v>1325</v>
      </c>
      <c r="AV157" s="160">
        <f>TripMode_input!X138*Index!$B$2</f>
        <v>4426010</v>
      </c>
      <c r="AW157" s="294">
        <f>TripMode_input!Y138*Index!$B$2</f>
        <v>0</v>
      </c>
      <c r="AX157" s="160">
        <f>TripMode_input!AA138*Index!$B$2</f>
        <v>221505</v>
      </c>
      <c r="AY157" s="160">
        <f>TripMode_input!AB138*Index!$B$2</f>
        <v>0</v>
      </c>
      <c r="AZ157" s="160">
        <f>TripMode_input!AC138*Index!$B$2</f>
        <v>0</v>
      </c>
      <c r="BA157" s="160">
        <f>TripMode_input!AD138*Index!$B$2</f>
        <v>26040</v>
      </c>
      <c r="BB157" s="294">
        <f>TripMode_input!AE138*Index!$B$2</f>
        <v>0</v>
      </c>
      <c r="BC157" s="162">
        <f t="shared" si="394"/>
        <v>5009640</v>
      </c>
      <c r="BE157" s="107" t="s">
        <v>392</v>
      </c>
      <c r="BF157" s="166">
        <f t="shared" ref="BF157:BS164" si="418">IF(Z$164&gt;0,Z157/Z$164,"")</f>
        <v>0</v>
      </c>
      <c r="BG157" s="166">
        <f t="shared" si="418"/>
        <v>0</v>
      </c>
      <c r="BH157" s="166">
        <f t="shared" si="418"/>
        <v>2.8332799718591727E-2</v>
      </c>
      <c r="BI157" s="166">
        <f t="shared" si="418"/>
        <v>9.7986250505349842E-3</v>
      </c>
      <c r="BJ157" s="166">
        <f t="shared" si="418"/>
        <v>2.0328494871326815E-2</v>
      </c>
      <c r="BK157" s="166">
        <f t="shared" si="418"/>
        <v>1.0195538103438328E-2</v>
      </c>
      <c r="BL157" s="166">
        <f t="shared" si="418"/>
        <v>1</v>
      </c>
      <c r="BM157" s="166">
        <f t="shared" si="418"/>
        <v>0</v>
      </c>
      <c r="BN157" s="166">
        <f t="shared" si="418"/>
        <v>0.20525838943650271</v>
      </c>
      <c r="BO157" s="166">
        <f t="shared" si="418"/>
        <v>0</v>
      </c>
      <c r="BP157" s="166">
        <f t="shared" si="418"/>
        <v>0</v>
      </c>
      <c r="BQ157" s="166">
        <f t="shared" si="418"/>
        <v>0.15337075861454971</v>
      </c>
      <c r="BR157" s="166">
        <f t="shared" si="418"/>
        <v>0</v>
      </c>
      <c r="BS157" s="166">
        <f t="shared" si="418"/>
        <v>8.6972446943145112E-2</v>
      </c>
      <c r="BU157" s="107" t="s">
        <v>392</v>
      </c>
      <c r="BV157" s="166">
        <f t="shared" ref="BV157:BV164" si="419">IF(AP$164&gt;0,AP157/AP$164,"")</f>
        <v>0</v>
      </c>
      <c r="BW157" s="166">
        <f t="shared" ref="BW157:BW164" si="420">IF(AQ$164&gt;0,AQ157/AQ$164,"")</f>
        <v>0</v>
      </c>
      <c r="BX157" s="166">
        <f t="shared" ref="BX157:BX164" si="421">IF(AR$164&gt;0,AR157/AR$164,"")</f>
        <v>3.3321517758489648E-2</v>
      </c>
      <c r="BY157" s="166">
        <f t="shared" ref="BY157:BY164" si="422">IF(AS$164&gt;0,AS157/AS$164,"")</f>
        <v>7.2602799459294464E-3</v>
      </c>
      <c r="BZ157" s="166">
        <f t="shared" ref="BZ157:BZ164" si="423">IF(AT$164&gt;0,AT157/AT$164,"")</f>
        <v>2.4293628646582917E-2</v>
      </c>
      <c r="CA157" s="166">
        <f t="shared" ref="CA157:CA164" si="424">IF(AU$164&gt;0,AU157/AU$164,"")</f>
        <v>7.32388138075892E-3</v>
      </c>
      <c r="CB157" s="166">
        <f t="shared" ref="CB157:CB164" si="425">IF(AV$164&gt;0,AV157/AV$164,"")</f>
        <v>1</v>
      </c>
      <c r="CC157" s="166">
        <f t="shared" ref="CC157:CC164" si="426">IF(AW$164&gt;0,AW157/AW$164,"")</f>
        <v>0</v>
      </c>
      <c r="CD157" s="166">
        <f t="shared" ref="CD157:CD164" si="427">IF(AX$164&gt;0,AX157/AX$164,"")</f>
        <v>0.19500997037500056</v>
      </c>
      <c r="CE157" s="166">
        <f t="shared" ref="CE157:CE164" si="428">IF(AY$164&gt;0,AY157/AY$164,"")</f>
        <v>0</v>
      </c>
      <c r="CF157" s="166">
        <f t="shared" ref="CF157:CF164" si="429">IF(AZ$164&gt;0,AZ157/AZ$164,"")</f>
        <v>0</v>
      </c>
      <c r="CG157" s="166">
        <f t="shared" ref="CG157:CG164" si="430">IF(BA$164&gt;0,BA157/BA$164,"")</f>
        <v>0.1537190082644628</v>
      </c>
      <c r="CH157" s="166">
        <f t="shared" ref="CH157:CH164" si="431">IF(BB$164&gt;0,BB157/BB$164,"")</f>
        <v>0</v>
      </c>
      <c r="CI157" s="168">
        <f t="shared" ref="CI157:CI164" si="432">IF(BC$164&gt;0,BC157/BC$164,"")</f>
        <v>0.13963579197789081</v>
      </c>
      <c r="CK157" s="107" t="s">
        <v>392</v>
      </c>
      <c r="CL157" s="166"/>
      <c r="CM157" s="166"/>
      <c r="CN157" s="166"/>
      <c r="CO157" s="166"/>
      <c r="CP157" s="166"/>
      <c r="CQ157" s="166"/>
      <c r="CR157" s="166"/>
      <c r="CS157" s="166"/>
      <c r="CT157" s="166"/>
      <c r="CU157" s="166"/>
      <c r="CV157" s="166"/>
      <c r="CW157" s="166"/>
      <c r="CX157" s="166"/>
      <c r="CY157" s="168"/>
      <c r="DA157" s="107" t="s">
        <v>392</v>
      </c>
      <c r="DB157" s="313">
        <f t="shared" ref="DB157:DB163" si="433">IFERROR(IF(BV157&gt;0,LN(BF157/BV157),0),0)</f>
        <v>0</v>
      </c>
      <c r="DC157" s="313">
        <f t="shared" ref="DC157:DC163" si="434">IFERROR(IF(BW157&gt;0,LN(BG157/BW157),0),0)</f>
        <v>0</v>
      </c>
      <c r="DD157" s="313">
        <f t="shared" ref="DD157:DD163" si="435">IFERROR(IF(BX157&gt;0,LN(BH157/BX157),0),0)</f>
        <v>-0.16218323305292076</v>
      </c>
      <c r="DE157" s="313">
        <f t="shared" ref="DE157:DE163" si="436">IFERROR(IF(BY157&gt;0,LN(BI157/BY157),0),0)</f>
        <v>0.29982368672894361</v>
      </c>
      <c r="DF157" s="313">
        <f t="shared" ref="DF157:DF163" si="437">IFERROR(IF(BZ157&gt;0,LN(BJ157/BZ157),0),0)</f>
        <v>-0.17819053031230569</v>
      </c>
      <c r="DG157" s="313">
        <f t="shared" ref="DG157:DG163" si="438">IFERROR(IF(CA157&gt;0,LN(BK157/CA157),0),0)</f>
        <v>0.33080975302868393</v>
      </c>
      <c r="DH157" s="313">
        <f t="shared" ref="DH157:DH163" si="439">IFERROR(IF(CB157&gt;0,LN(BL157/CB157),0),0)</f>
        <v>0</v>
      </c>
      <c r="DI157" s="313">
        <f t="shared" ref="DI157:DI163" si="440">IFERROR(IF(CC157&gt;0,LN(BM157/CC157),0),0)</f>
        <v>0</v>
      </c>
      <c r="DJ157" s="313">
        <f t="shared" ref="DJ157:DJ163" si="441">IFERROR(IF(CD157&gt;0,LN(BN157/CD157),0),0)</f>
        <v>5.1218934346228755E-2</v>
      </c>
      <c r="DK157" s="313">
        <f t="shared" ref="DK157:DK163" si="442">IFERROR(IF(CE157&gt;0,LN(BO157/CE157),0),0)</f>
        <v>0</v>
      </c>
      <c r="DL157" s="313">
        <f t="shared" ref="DL157:DL163" si="443">IFERROR(IF(CF157&gt;0,LN(BP157/CF157),0),0)</f>
        <v>0</v>
      </c>
      <c r="DM157" s="313">
        <f t="shared" ref="DM157:DM163" si="444">IFERROR(IF(CG157&gt;0,LN(BQ157/CG157),0),0)</f>
        <v>-2.2680651507138781E-3</v>
      </c>
      <c r="DN157" s="313">
        <f t="shared" ref="DN157:DN163" si="445">IFERROR(IF(CH157&gt;0,LN(BR157/CH157),0),0)</f>
        <v>0</v>
      </c>
      <c r="DO157" s="168"/>
      <c r="DQ157" s="107" t="s">
        <v>392</v>
      </c>
      <c r="DR157" s="313">
        <v>0</v>
      </c>
      <c r="DS157" s="313">
        <v>0</v>
      </c>
      <c r="DT157" s="313">
        <v>0</v>
      </c>
      <c r="DU157" s="313">
        <v>0</v>
      </c>
      <c r="DV157" s="313">
        <v>0</v>
      </c>
      <c r="DW157" s="313">
        <v>0</v>
      </c>
      <c r="DX157" s="313">
        <v>0</v>
      </c>
      <c r="DY157" s="313">
        <v>0</v>
      </c>
      <c r="DZ157" s="313">
        <v>0</v>
      </c>
      <c r="EA157" s="313">
        <v>0</v>
      </c>
      <c r="EB157" s="313">
        <v>0</v>
      </c>
      <c r="EC157" s="313">
        <v>0</v>
      </c>
      <c r="ED157" s="313">
        <v>0</v>
      </c>
      <c r="EE157" s="168"/>
    </row>
    <row r="158" spans="2:168" x14ac:dyDescent="0.25">
      <c r="B158" s="107" t="s">
        <v>393</v>
      </c>
      <c r="C158" s="294">
        <f t="shared" ref="C158:O158" si="446">+C14+C30+C46+C78+C94+C110+C126+C142</f>
        <v>0</v>
      </c>
      <c r="D158" s="294">
        <f t="shared" si="446"/>
        <v>0</v>
      </c>
      <c r="E158" s="294">
        <f t="shared" si="446"/>
        <v>0</v>
      </c>
      <c r="F158" s="294">
        <f t="shared" si="446"/>
        <v>0</v>
      </c>
      <c r="G158" s="294">
        <f t="shared" si="446"/>
        <v>0</v>
      </c>
      <c r="H158" s="294">
        <f t="shared" si="446"/>
        <v>0</v>
      </c>
      <c r="I158" s="294">
        <f t="shared" si="446"/>
        <v>0</v>
      </c>
      <c r="J158" s="160">
        <f t="shared" si="446"/>
        <v>355985.94432999997</v>
      </c>
      <c r="K158" s="294">
        <f t="shared" si="446"/>
        <v>0</v>
      </c>
      <c r="L158" s="294"/>
      <c r="M158" s="294"/>
      <c r="N158" s="294">
        <f t="shared" si="446"/>
        <v>0</v>
      </c>
      <c r="O158" s="294">
        <f t="shared" si="446"/>
        <v>0</v>
      </c>
      <c r="P158" s="162">
        <f t="shared" si="391"/>
        <v>355985.94432999997</v>
      </c>
      <c r="Y158" s="107" t="s">
        <v>393</v>
      </c>
      <c r="Z158" s="294">
        <f t="shared" ref="Z158:AL158" si="447">+Z14+Z30+Z46+Z78+Z94+Z110+Z126+Z142</f>
        <v>0</v>
      </c>
      <c r="AA158" s="294">
        <f t="shared" si="447"/>
        <v>0</v>
      </c>
      <c r="AB158" s="294">
        <f t="shared" si="447"/>
        <v>0</v>
      </c>
      <c r="AC158" s="294">
        <f t="shared" si="447"/>
        <v>0</v>
      </c>
      <c r="AD158" s="294">
        <f t="shared" si="447"/>
        <v>0</v>
      </c>
      <c r="AE158" s="294">
        <f t="shared" si="447"/>
        <v>0</v>
      </c>
      <c r="AF158" s="294">
        <f t="shared" si="447"/>
        <v>0</v>
      </c>
      <c r="AG158" s="160">
        <f t="shared" si="447"/>
        <v>355985.94432999997</v>
      </c>
      <c r="AH158" s="294">
        <f t="shared" si="447"/>
        <v>0</v>
      </c>
      <c r="AI158" s="294"/>
      <c r="AJ158" s="294"/>
      <c r="AK158" s="294">
        <f t="shared" si="447"/>
        <v>0</v>
      </c>
      <c r="AL158" s="294">
        <f t="shared" si="447"/>
        <v>0</v>
      </c>
      <c r="AM158" s="162">
        <f t="shared" si="393"/>
        <v>355985.94432999997</v>
      </c>
      <c r="AO158" s="107" t="s">
        <v>393</v>
      </c>
      <c r="AP158" s="294">
        <f>TripMode_input!R139*Index!$B$2</f>
        <v>0</v>
      </c>
      <c r="AQ158" s="294">
        <f>TripMode_input!S139*Index!$B$2</f>
        <v>0</v>
      </c>
      <c r="AR158" s="294">
        <f>TripMode_input!T139*Index!$B$2</f>
        <v>0</v>
      </c>
      <c r="AS158" s="294">
        <f>TripMode_input!U139*Index!$B$2</f>
        <v>0</v>
      </c>
      <c r="AT158" s="294">
        <f>TripMode_input!V139*Index!$B$2</f>
        <v>0</v>
      </c>
      <c r="AU158" s="294">
        <f>TripMode_input!W139*Index!$B$2</f>
        <v>0</v>
      </c>
      <c r="AV158" s="294">
        <f>TripMode_input!X139*Index!$B$2</f>
        <v>0</v>
      </c>
      <c r="AW158" s="160">
        <f>TripMode_input!Y139*Index!$B$2</f>
        <v>560610</v>
      </c>
      <c r="AX158" s="294">
        <f>TripMode_input!AA139*Index!$B$2</f>
        <v>0</v>
      </c>
      <c r="AY158" s="294">
        <f>TripMode_input!AB139*Index!$B$2</f>
        <v>0</v>
      </c>
      <c r="AZ158" s="294">
        <f>TripMode_input!AC139*Index!$B$2</f>
        <v>0</v>
      </c>
      <c r="BA158" s="294">
        <f>TripMode_input!AD139*Index!$B$2</f>
        <v>0</v>
      </c>
      <c r="BB158" s="294">
        <f>TripMode_input!AE139*Index!$B$2</f>
        <v>0</v>
      </c>
      <c r="BC158" s="162">
        <f t="shared" si="394"/>
        <v>560610</v>
      </c>
      <c r="BE158" s="107" t="s">
        <v>393</v>
      </c>
      <c r="BF158" s="166">
        <f t="shared" si="418"/>
        <v>0</v>
      </c>
      <c r="BG158" s="166">
        <f t="shared" si="418"/>
        <v>0</v>
      </c>
      <c r="BH158" s="166">
        <f t="shared" si="418"/>
        <v>0</v>
      </c>
      <c r="BI158" s="166">
        <f t="shared" si="418"/>
        <v>0</v>
      </c>
      <c r="BJ158" s="166">
        <f t="shared" si="418"/>
        <v>0</v>
      </c>
      <c r="BK158" s="166">
        <f t="shared" si="418"/>
        <v>0</v>
      </c>
      <c r="BL158" s="166">
        <f t="shared" si="418"/>
        <v>0</v>
      </c>
      <c r="BM158" s="166">
        <f t="shared" si="418"/>
        <v>1</v>
      </c>
      <c r="BN158" s="166">
        <f t="shared" si="418"/>
        <v>0</v>
      </c>
      <c r="BO158" s="166">
        <f t="shared" si="418"/>
        <v>0</v>
      </c>
      <c r="BP158" s="166">
        <f t="shared" si="418"/>
        <v>0</v>
      </c>
      <c r="BQ158" s="166">
        <f t="shared" si="418"/>
        <v>0</v>
      </c>
      <c r="BR158" s="166">
        <f t="shared" si="418"/>
        <v>0</v>
      </c>
      <c r="BS158" s="166">
        <f t="shared" si="418"/>
        <v>1.1656066705165037E-2</v>
      </c>
      <c r="BU158" s="107" t="s">
        <v>393</v>
      </c>
      <c r="BV158" s="166">
        <f t="shared" si="419"/>
        <v>0</v>
      </c>
      <c r="BW158" s="166">
        <f t="shared" si="420"/>
        <v>0</v>
      </c>
      <c r="BX158" s="166">
        <f t="shared" si="421"/>
        <v>0</v>
      </c>
      <c r="BY158" s="166">
        <f t="shared" si="422"/>
        <v>0</v>
      </c>
      <c r="BZ158" s="166">
        <f t="shared" si="423"/>
        <v>0</v>
      </c>
      <c r="CA158" s="166">
        <f t="shared" si="424"/>
        <v>0</v>
      </c>
      <c r="CB158" s="166">
        <f t="shared" si="425"/>
        <v>0</v>
      </c>
      <c r="CC158" s="166">
        <f t="shared" si="426"/>
        <v>1</v>
      </c>
      <c r="CD158" s="166">
        <f t="shared" si="427"/>
        <v>0</v>
      </c>
      <c r="CE158" s="166">
        <f t="shared" si="428"/>
        <v>0</v>
      </c>
      <c r="CF158" s="166">
        <f t="shared" si="429"/>
        <v>0</v>
      </c>
      <c r="CG158" s="166">
        <f t="shared" si="430"/>
        <v>0</v>
      </c>
      <c r="CH158" s="166">
        <f t="shared" si="431"/>
        <v>0</v>
      </c>
      <c r="CI158" s="168">
        <f t="shared" si="432"/>
        <v>1.5626117114348609E-2</v>
      </c>
      <c r="CK158" s="107" t="s">
        <v>393</v>
      </c>
      <c r="CL158" s="166"/>
      <c r="CM158" s="166"/>
      <c r="CN158" s="166"/>
      <c r="CO158" s="166"/>
      <c r="CP158" s="166"/>
      <c r="CQ158" s="166"/>
      <c r="CR158" s="166"/>
      <c r="CS158" s="166"/>
      <c r="CT158" s="166"/>
      <c r="CU158" s="166"/>
      <c r="CV158" s="166"/>
      <c r="CW158" s="166"/>
      <c r="CX158" s="166"/>
      <c r="CY158" s="168"/>
      <c r="DA158" s="107" t="s">
        <v>393</v>
      </c>
      <c r="DB158" s="313">
        <f t="shared" si="433"/>
        <v>0</v>
      </c>
      <c r="DC158" s="313">
        <f t="shared" si="434"/>
        <v>0</v>
      </c>
      <c r="DD158" s="313">
        <f t="shared" si="435"/>
        <v>0</v>
      </c>
      <c r="DE158" s="313">
        <f t="shared" si="436"/>
        <v>0</v>
      </c>
      <c r="DF158" s="313">
        <f t="shared" si="437"/>
        <v>0</v>
      </c>
      <c r="DG158" s="313">
        <f t="shared" si="438"/>
        <v>0</v>
      </c>
      <c r="DH158" s="313">
        <f t="shared" si="439"/>
        <v>0</v>
      </c>
      <c r="DI158" s="313">
        <f t="shared" si="440"/>
        <v>0</v>
      </c>
      <c r="DJ158" s="313">
        <f t="shared" si="441"/>
        <v>0</v>
      </c>
      <c r="DK158" s="313">
        <f t="shared" si="442"/>
        <v>0</v>
      </c>
      <c r="DL158" s="313">
        <f t="shared" si="443"/>
        <v>0</v>
      </c>
      <c r="DM158" s="313">
        <f t="shared" si="444"/>
        <v>0</v>
      </c>
      <c r="DN158" s="313">
        <f t="shared" si="445"/>
        <v>0</v>
      </c>
      <c r="DO158" s="168"/>
      <c r="DQ158" s="107" t="s">
        <v>393</v>
      </c>
      <c r="DR158" s="313">
        <v>0</v>
      </c>
      <c r="DS158" s="313">
        <v>0</v>
      </c>
      <c r="DT158" s="313">
        <v>0</v>
      </c>
      <c r="DU158" s="313">
        <v>0</v>
      </c>
      <c r="DV158" s="313">
        <v>0</v>
      </c>
      <c r="DW158" s="313">
        <v>0</v>
      </c>
      <c r="DX158" s="313">
        <v>0</v>
      </c>
      <c r="DY158" s="313">
        <v>0</v>
      </c>
      <c r="DZ158" s="313">
        <v>0</v>
      </c>
      <c r="EA158" s="313">
        <v>0</v>
      </c>
      <c r="EB158" s="313">
        <v>0</v>
      </c>
      <c r="EC158" s="313">
        <v>0</v>
      </c>
      <c r="ED158" s="313">
        <v>0</v>
      </c>
      <c r="EE158" s="168"/>
    </row>
    <row r="159" spans="2:168" x14ac:dyDescent="0.25">
      <c r="B159" s="107" t="s">
        <v>546</v>
      </c>
      <c r="C159" s="294">
        <f t="shared" ref="C159:O159" si="448">+C15+C31+C47+C79+C95+C111+C127+C143</f>
        <v>0</v>
      </c>
      <c r="D159" s="294">
        <f t="shared" si="448"/>
        <v>0</v>
      </c>
      <c r="E159" s="294">
        <f t="shared" si="448"/>
        <v>0</v>
      </c>
      <c r="F159" s="294">
        <f t="shared" si="448"/>
        <v>0</v>
      </c>
      <c r="G159" s="294">
        <f t="shared" si="448"/>
        <v>0</v>
      </c>
      <c r="H159" s="294">
        <f t="shared" si="448"/>
        <v>0</v>
      </c>
      <c r="I159" s="294">
        <f t="shared" si="448"/>
        <v>0</v>
      </c>
      <c r="J159" s="294">
        <f t="shared" si="448"/>
        <v>0</v>
      </c>
      <c r="K159" s="160">
        <f t="shared" si="448"/>
        <v>1258072.29999</v>
      </c>
      <c r="L159" s="294"/>
      <c r="M159" s="294"/>
      <c r="N159" s="294">
        <f t="shared" si="448"/>
        <v>0</v>
      </c>
      <c r="O159" s="294">
        <f t="shared" si="448"/>
        <v>0</v>
      </c>
      <c r="P159" s="162">
        <f t="shared" si="391"/>
        <v>1258072.29999</v>
      </c>
      <c r="U159" s="29">
        <f>+K159/$P159*HIS_vs_OBS!$D$7</f>
        <v>1327964.8531000002</v>
      </c>
      <c r="V159" s="29"/>
      <c r="W159" s="29"/>
      <c r="Y159" s="107" t="s">
        <v>546</v>
      </c>
      <c r="Z159" s="294">
        <f t="shared" ref="Z159:AL159" si="449">+Z15+Z31+Z47+Z79+Z95+Z111+Z127+Z143</f>
        <v>0</v>
      </c>
      <c r="AA159" s="294">
        <f t="shared" si="449"/>
        <v>0</v>
      </c>
      <c r="AB159" s="294">
        <f t="shared" si="449"/>
        <v>0</v>
      </c>
      <c r="AC159" s="294">
        <f t="shared" si="449"/>
        <v>0</v>
      </c>
      <c r="AD159" s="294">
        <f t="shared" si="449"/>
        <v>0</v>
      </c>
      <c r="AE159" s="294">
        <f t="shared" si="449"/>
        <v>0</v>
      </c>
      <c r="AF159" s="294">
        <f t="shared" si="449"/>
        <v>0</v>
      </c>
      <c r="AG159" s="294">
        <f t="shared" si="449"/>
        <v>0</v>
      </c>
      <c r="AH159" s="160">
        <f t="shared" si="449"/>
        <v>1327964.8531000002</v>
      </c>
      <c r="AI159" s="294"/>
      <c r="AJ159" s="294"/>
      <c r="AK159" s="294">
        <f t="shared" si="449"/>
        <v>0</v>
      </c>
      <c r="AL159" s="294">
        <f t="shared" si="449"/>
        <v>0</v>
      </c>
      <c r="AM159" s="162">
        <f t="shared" si="393"/>
        <v>1327964.8531000002</v>
      </c>
      <c r="AO159" s="107" t="s">
        <v>395</v>
      </c>
      <c r="AP159" s="294">
        <f>TripMode_input!R141*Index!$B$2</f>
        <v>0</v>
      </c>
      <c r="AQ159" s="294">
        <f>TripMode_input!S141*Index!$B$2</f>
        <v>0</v>
      </c>
      <c r="AR159" s="294">
        <f>TripMode_input!T141*Index!$B$2</f>
        <v>0</v>
      </c>
      <c r="AS159" s="294">
        <f>TripMode_input!U141*Index!$B$2</f>
        <v>0</v>
      </c>
      <c r="AT159" s="294">
        <f>TripMode_input!V141*Index!$B$2</f>
        <v>0</v>
      </c>
      <c r="AU159" s="294">
        <f>TripMode_input!W141*Index!$B$2</f>
        <v>0</v>
      </c>
      <c r="AV159" s="294">
        <f>TripMode_input!X141*Index!$B$2</f>
        <v>0</v>
      </c>
      <c r="AW159" s="294">
        <f>TripMode_input!Y141*Index!$B$2</f>
        <v>0</v>
      </c>
      <c r="AX159" s="160">
        <f>TripMode_input!AA141*Index!$B$2</f>
        <v>806355</v>
      </c>
      <c r="AY159" s="160">
        <f>TripMode_input!AB141*Index!$B$2</f>
        <v>0</v>
      </c>
      <c r="AZ159" s="160">
        <f>TripMode_input!AC141*Index!$B$2</f>
        <v>0</v>
      </c>
      <c r="BA159" s="294">
        <f>TripMode_input!AD141*Index!$B$2</f>
        <v>0</v>
      </c>
      <c r="BB159" s="294">
        <f>TripMode_input!AE141*Index!$B$2</f>
        <v>0</v>
      </c>
      <c r="BC159" s="162">
        <f t="shared" si="394"/>
        <v>806355</v>
      </c>
      <c r="BE159" s="107" t="s">
        <v>395</v>
      </c>
      <c r="BF159" s="166">
        <f t="shared" si="418"/>
        <v>0</v>
      </c>
      <c r="BG159" s="166">
        <f t="shared" si="418"/>
        <v>0</v>
      </c>
      <c r="BH159" s="166">
        <f t="shared" si="418"/>
        <v>0</v>
      </c>
      <c r="BI159" s="166">
        <f t="shared" si="418"/>
        <v>0</v>
      </c>
      <c r="BJ159" s="166">
        <f t="shared" si="418"/>
        <v>0</v>
      </c>
      <c r="BK159" s="166">
        <f t="shared" si="418"/>
        <v>0</v>
      </c>
      <c r="BL159" s="166">
        <f t="shared" si="418"/>
        <v>0</v>
      </c>
      <c r="BM159" s="166">
        <f t="shared" si="418"/>
        <v>0</v>
      </c>
      <c r="BN159" s="166">
        <f t="shared" si="418"/>
        <v>0.74380350790274274</v>
      </c>
      <c r="BO159" s="166">
        <f t="shared" si="418"/>
        <v>0</v>
      </c>
      <c r="BP159" s="166">
        <f t="shared" si="418"/>
        <v>0</v>
      </c>
      <c r="BQ159" s="166">
        <f t="shared" si="418"/>
        <v>0</v>
      </c>
      <c r="BR159" s="166">
        <f t="shared" si="418"/>
        <v>0</v>
      </c>
      <c r="BS159" s="166">
        <f t="shared" si="418"/>
        <v>4.3481623801133448E-2</v>
      </c>
      <c r="BU159" s="107" t="s">
        <v>395</v>
      </c>
      <c r="BV159" s="166">
        <f t="shared" si="419"/>
        <v>0</v>
      </c>
      <c r="BW159" s="166">
        <f t="shared" si="420"/>
        <v>0</v>
      </c>
      <c r="BX159" s="166">
        <f t="shared" si="421"/>
        <v>0</v>
      </c>
      <c r="BY159" s="166">
        <f t="shared" si="422"/>
        <v>0</v>
      </c>
      <c r="BZ159" s="166">
        <f t="shared" si="423"/>
        <v>0</v>
      </c>
      <c r="CA159" s="166">
        <f t="shared" si="424"/>
        <v>0</v>
      </c>
      <c r="CB159" s="166">
        <f t="shared" si="425"/>
        <v>0</v>
      </c>
      <c r="CC159" s="166">
        <f t="shared" si="426"/>
        <v>0</v>
      </c>
      <c r="CD159" s="166">
        <f t="shared" si="427"/>
        <v>0.70990390583387986</v>
      </c>
      <c r="CE159" s="166">
        <f t="shared" si="428"/>
        <v>0</v>
      </c>
      <c r="CF159" s="166">
        <f t="shared" si="429"/>
        <v>0</v>
      </c>
      <c r="CG159" s="166">
        <f t="shared" si="430"/>
        <v>0</v>
      </c>
      <c r="CH159" s="166">
        <f t="shared" si="431"/>
        <v>0</v>
      </c>
      <c r="CI159" s="168">
        <f t="shared" si="432"/>
        <v>2.2475870330070053E-2</v>
      </c>
      <c r="CK159" s="107" t="s">
        <v>395</v>
      </c>
      <c r="CL159" s="166" t="str">
        <f t="shared" ref="CL159:CO164" si="450">IF(OR(ISNA(BF159),BF159=0,BF159=""),"",(BV159-BF159)/BF159)</f>
        <v/>
      </c>
      <c r="CM159" s="166" t="str">
        <f t="shared" si="450"/>
        <v/>
      </c>
      <c r="CN159" s="166" t="str">
        <f t="shared" si="450"/>
        <v/>
      </c>
      <c r="CO159" s="166" t="str">
        <f t="shared" si="450"/>
        <v/>
      </c>
      <c r="CP159" s="166"/>
      <c r="CQ159" s="166"/>
      <c r="CR159" s="166"/>
      <c r="CS159" s="166"/>
      <c r="CT159" s="166">
        <f t="shared" ref="CT159:CY164" si="451">IF(OR(ISNA(BN159),BN159=0,BN159=""),"",(CD159-BN159)/BN159)</f>
        <v>-4.5576018005679383E-2</v>
      </c>
      <c r="CU159" s="166" t="str">
        <f t="shared" si="451"/>
        <v/>
      </c>
      <c r="CV159" s="166" t="str">
        <f t="shared" si="451"/>
        <v/>
      </c>
      <c r="CW159" s="166" t="str">
        <f t="shared" si="451"/>
        <v/>
      </c>
      <c r="CX159" s="166" t="str">
        <f t="shared" si="451"/>
        <v/>
      </c>
      <c r="CY159" s="168">
        <f t="shared" si="451"/>
        <v>-0.48309496368247018</v>
      </c>
      <c r="DA159" s="107" t="s">
        <v>395</v>
      </c>
      <c r="DB159" s="313">
        <f t="shared" si="433"/>
        <v>0</v>
      </c>
      <c r="DC159" s="313">
        <f t="shared" si="434"/>
        <v>0</v>
      </c>
      <c r="DD159" s="313">
        <f t="shared" si="435"/>
        <v>0</v>
      </c>
      <c r="DE159" s="313">
        <f t="shared" si="436"/>
        <v>0</v>
      </c>
      <c r="DF159" s="313">
        <f t="shared" si="437"/>
        <v>0</v>
      </c>
      <c r="DG159" s="313">
        <f t="shared" si="438"/>
        <v>0</v>
      </c>
      <c r="DH159" s="313">
        <f t="shared" si="439"/>
        <v>0</v>
      </c>
      <c r="DI159" s="313">
        <f t="shared" si="440"/>
        <v>0</v>
      </c>
      <c r="DJ159" s="313">
        <f t="shared" si="441"/>
        <v>4.6647280691077278E-2</v>
      </c>
      <c r="DK159" s="313">
        <f t="shared" si="442"/>
        <v>0</v>
      </c>
      <c r="DL159" s="313">
        <f t="shared" si="443"/>
        <v>0</v>
      </c>
      <c r="DM159" s="313">
        <f t="shared" si="444"/>
        <v>0</v>
      </c>
      <c r="DN159" s="313">
        <f t="shared" si="445"/>
        <v>0</v>
      </c>
      <c r="DO159" s="168"/>
      <c r="DQ159" s="107" t="s">
        <v>395</v>
      </c>
      <c r="DR159" s="313">
        <v>0</v>
      </c>
      <c r="DS159" s="313">
        <v>0</v>
      </c>
      <c r="DT159" s="313">
        <v>0</v>
      </c>
      <c r="DU159" s="313">
        <v>0</v>
      </c>
      <c r="DV159" s="313">
        <v>0</v>
      </c>
      <c r="DW159" s="313">
        <v>0</v>
      </c>
      <c r="DX159" s="313">
        <v>0</v>
      </c>
      <c r="DY159" s="313">
        <v>0</v>
      </c>
      <c r="DZ159" s="313">
        <v>0</v>
      </c>
      <c r="EA159" s="313">
        <v>0</v>
      </c>
      <c r="EB159" s="313">
        <v>0</v>
      </c>
      <c r="EC159" s="313">
        <v>0</v>
      </c>
      <c r="ED159" s="313">
        <v>0</v>
      </c>
      <c r="EE159" s="168"/>
    </row>
    <row r="160" spans="2:168" x14ac:dyDescent="0.25">
      <c r="B160" s="107" t="s">
        <v>396</v>
      </c>
      <c r="C160" s="294">
        <f t="shared" ref="C160:O160" si="452">+C16+C32+C48+C80+C96+C112+C128+C144</f>
        <v>0</v>
      </c>
      <c r="D160" s="294">
        <f t="shared" si="452"/>
        <v>0</v>
      </c>
      <c r="E160" s="294">
        <f t="shared" si="452"/>
        <v>0</v>
      </c>
      <c r="F160" s="294">
        <f t="shared" si="452"/>
        <v>0</v>
      </c>
      <c r="G160" s="294">
        <f t="shared" si="452"/>
        <v>0</v>
      </c>
      <c r="H160" s="294">
        <f t="shared" si="452"/>
        <v>0</v>
      </c>
      <c r="I160" s="294">
        <f t="shared" si="452"/>
        <v>0</v>
      </c>
      <c r="J160" s="294">
        <f t="shared" si="452"/>
        <v>0</v>
      </c>
      <c r="K160" s="294">
        <f t="shared" si="452"/>
        <v>0</v>
      </c>
      <c r="L160" s="160">
        <f t="shared" si="452"/>
        <v>101555.50427</v>
      </c>
      <c r="M160" s="294">
        <f t="shared" si="452"/>
        <v>0</v>
      </c>
      <c r="N160" s="294">
        <f t="shared" si="452"/>
        <v>0</v>
      </c>
      <c r="O160" s="294">
        <f t="shared" si="452"/>
        <v>0</v>
      </c>
      <c r="P160" s="162">
        <f t="shared" si="391"/>
        <v>101555.50427</v>
      </c>
      <c r="U160" s="29"/>
      <c r="V160" s="29">
        <f>HIS_vs_OBS!D8</f>
        <v>68452.13470000001</v>
      </c>
      <c r="W160" s="29"/>
      <c r="Y160" s="107" t="s">
        <v>396</v>
      </c>
      <c r="Z160" s="294">
        <f t="shared" ref="Z160:AL160" si="453">+Z16+Z32+Z48+Z80+Z96+Z112+Z128+Z144</f>
        <v>0</v>
      </c>
      <c r="AA160" s="294">
        <f t="shared" si="453"/>
        <v>0</v>
      </c>
      <c r="AB160" s="294">
        <f t="shared" si="453"/>
        <v>0</v>
      </c>
      <c r="AC160" s="294">
        <f t="shared" si="453"/>
        <v>0</v>
      </c>
      <c r="AD160" s="294">
        <f t="shared" si="453"/>
        <v>0</v>
      </c>
      <c r="AE160" s="294">
        <f t="shared" si="453"/>
        <v>0</v>
      </c>
      <c r="AF160" s="294">
        <f t="shared" si="453"/>
        <v>0</v>
      </c>
      <c r="AG160" s="294">
        <f t="shared" si="453"/>
        <v>0</v>
      </c>
      <c r="AH160" s="294">
        <f t="shared" si="453"/>
        <v>0</v>
      </c>
      <c r="AI160" s="160">
        <f t="shared" si="453"/>
        <v>68452.13470000001</v>
      </c>
      <c r="AJ160" s="294">
        <f t="shared" si="453"/>
        <v>0</v>
      </c>
      <c r="AK160" s="294">
        <f t="shared" si="453"/>
        <v>0</v>
      </c>
      <c r="AL160" s="294">
        <f t="shared" si="453"/>
        <v>0</v>
      </c>
      <c r="AM160" s="162">
        <f t="shared" si="393"/>
        <v>68452.13470000001</v>
      </c>
      <c r="AO160" s="107" t="s">
        <v>396</v>
      </c>
      <c r="AP160" s="294">
        <f>TripMode_input!R142*Index!$B$2</f>
        <v>0</v>
      </c>
      <c r="AQ160" s="294">
        <f>TripMode_input!S142*Index!$B$2</f>
        <v>0</v>
      </c>
      <c r="AR160" s="294">
        <f>TripMode_input!T142*Index!$B$2</f>
        <v>0</v>
      </c>
      <c r="AS160" s="294">
        <f>TripMode_input!U142*Index!$B$2</f>
        <v>0</v>
      </c>
      <c r="AT160" s="294">
        <f>TripMode_input!V142*Index!$B$2</f>
        <v>0</v>
      </c>
      <c r="AU160" s="294">
        <f>TripMode_input!W142*Index!$B$2</f>
        <v>0</v>
      </c>
      <c r="AV160" s="294">
        <f>TripMode_input!X142*Index!$B$2</f>
        <v>0</v>
      </c>
      <c r="AW160" s="294">
        <f>TripMode_input!Y142*Index!$B$2</f>
        <v>0</v>
      </c>
      <c r="AX160" s="294">
        <f>TripMode_input!AA142*Index!$B$2</f>
        <v>0</v>
      </c>
      <c r="AY160" s="160">
        <f>TripMode_input!AB142*Index!$B$2</f>
        <v>38550</v>
      </c>
      <c r="AZ160" s="294">
        <f>TripMode_input!AC142*Index!$B$2</f>
        <v>0</v>
      </c>
      <c r="BA160" s="294">
        <f>TripMode_input!AD142*Index!$B$2</f>
        <v>0</v>
      </c>
      <c r="BB160" s="294">
        <f>TripMode_input!AE142*Index!$B$2</f>
        <v>0</v>
      </c>
      <c r="BC160" s="162">
        <f t="shared" si="394"/>
        <v>38550</v>
      </c>
      <c r="BE160" s="107" t="s">
        <v>396</v>
      </c>
      <c r="BF160" s="166">
        <f t="shared" si="418"/>
        <v>0</v>
      </c>
      <c r="BG160" s="166">
        <f t="shared" si="418"/>
        <v>0</v>
      </c>
      <c r="BH160" s="166">
        <f t="shared" si="418"/>
        <v>0</v>
      </c>
      <c r="BI160" s="166">
        <f t="shared" si="418"/>
        <v>0</v>
      </c>
      <c r="BJ160" s="166">
        <f t="shared" si="418"/>
        <v>0</v>
      </c>
      <c r="BK160" s="166">
        <f t="shared" si="418"/>
        <v>0</v>
      </c>
      <c r="BL160" s="166">
        <f t="shared" si="418"/>
        <v>0</v>
      </c>
      <c r="BM160" s="166">
        <f t="shared" si="418"/>
        <v>0</v>
      </c>
      <c r="BN160" s="166">
        <f t="shared" si="418"/>
        <v>0</v>
      </c>
      <c r="BO160" s="166">
        <f t="shared" si="418"/>
        <v>1</v>
      </c>
      <c r="BP160" s="166">
        <f t="shared" si="418"/>
        <v>0</v>
      </c>
      <c r="BQ160" s="166">
        <f t="shared" si="418"/>
        <v>0</v>
      </c>
      <c r="BR160" s="166">
        <f t="shared" si="418"/>
        <v>0</v>
      </c>
      <c r="BS160" s="166">
        <f t="shared" si="418"/>
        <v>2.2413318865042125E-3</v>
      </c>
      <c r="BU160" s="107" t="s">
        <v>396</v>
      </c>
      <c r="BV160" s="166">
        <f t="shared" si="419"/>
        <v>0</v>
      </c>
      <c r="BW160" s="166">
        <f t="shared" si="420"/>
        <v>0</v>
      </c>
      <c r="BX160" s="166">
        <f t="shared" si="421"/>
        <v>0</v>
      </c>
      <c r="BY160" s="166">
        <f t="shared" si="422"/>
        <v>0</v>
      </c>
      <c r="BZ160" s="166">
        <f t="shared" si="423"/>
        <v>0</v>
      </c>
      <c r="CA160" s="166">
        <f t="shared" si="424"/>
        <v>0</v>
      </c>
      <c r="CB160" s="166">
        <f t="shared" si="425"/>
        <v>0</v>
      </c>
      <c r="CC160" s="166">
        <f t="shared" si="426"/>
        <v>0</v>
      </c>
      <c r="CD160" s="166">
        <f t="shared" si="427"/>
        <v>0</v>
      </c>
      <c r="CE160" s="166">
        <f t="shared" si="428"/>
        <v>1</v>
      </c>
      <c r="CF160" s="166">
        <f t="shared" si="429"/>
        <v>0</v>
      </c>
      <c r="CG160" s="166">
        <f t="shared" si="430"/>
        <v>0</v>
      </c>
      <c r="CH160" s="166">
        <f t="shared" si="431"/>
        <v>0</v>
      </c>
      <c r="CI160" s="168">
        <f t="shared" si="432"/>
        <v>1.0745202810476782E-3</v>
      </c>
      <c r="CK160" s="107" t="s">
        <v>396</v>
      </c>
      <c r="CL160" s="166" t="str">
        <f t="shared" si="450"/>
        <v/>
      </c>
      <c r="CM160" s="166" t="str">
        <f t="shared" si="450"/>
        <v/>
      </c>
      <c r="CN160" s="166" t="str">
        <f t="shared" si="450"/>
        <v/>
      </c>
      <c r="CO160" s="166" t="str">
        <f t="shared" si="450"/>
        <v/>
      </c>
      <c r="CP160" s="166"/>
      <c r="CQ160" s="166"/>
      <c r="CR160" s="166"/>
      <c r="CS160" s="166"/>
      <c r="CT160" s="166" t="str">
        <f t="shared" si="451"/>
        <v/>
      </c>
      <c r="CU160" s="166">
        <f t="shared" si="451"/>
        <v>0</v>
      </c>
      <c r="CV160" s="166" t="str">
        <f t="shared" si="451"/>
        <v/>
      </c>
      <c r="CW160" s="166" t="str">
        <f t="shared" si="451"/>
        <v/>
      </c>
      <c r="CX160" s="166" t="str">
        <f t="shared" si="451"/>
        <v/>
      </c>
      <c r="CY160" s="168">
        <f t="shared" si="451"/>
        <v>-0.52058850029408232</v>
      </c>
      <c r="DA160" s="107" t="s">
        <v>396</v>
      </c>
      <c r="DB160" s="313">
        <f t="shared" si="433"/>
        <v>0</v>
      </c>
      <c r="DC160" s="313">
        <f t="shared" si="434"/>
        <v>0</v>
      </c>
      <c r="DD160" s="313">
        <f t="shared" si="435"/>
        <v>0</v>
      </c>
      <c r="DE160" s="313">
        <f t="shared" si="436"/>
        <v>0</v>
      </c>
      <c r="DF160" s="313">
        <f t="shared" si="437"/>
        <v>0</v>
      </c>
      <c r="DG160" s="313">
        <f t="shared" si="438"/>
        <v>0</v>
      </c>
      <c r="DH160" s="313">
        <f t="shared" si="439"/>
        <v>0</v>
      </c>
      <c r="DI160" s="313">
        <f t="shared" si="440"/>
        <v>0</v>
      </c>
      <c r="DJ160" s="313">
        <f t="shared" si="441"/>
        <v>0</v>
      </c>
      <c r="DK160" s="313">
        <f t="shared" si="442"/>
        <v>0</v>
      </c>
      <c r="DL160" s="313">
        <f t="shared" si="443"/>
        <v>0</v>
      </c>
      <c r="DM160" s="313">
        <f t="shared" si="444"/>
        <v>0</v>
      </c>
      <c r="DN160" s="313">
        <f t="shared" si="445"/>
        <v>0</v>
      </c>
      <c r="DO160" s="168"/>
      <c r="DQ160" s="107" t="s">
        <v>396</v>
      </c>
      <c r="DR160" s="313">
        <v>0</v>
      </c>
      <c r="DS160" s="313">
        <v>0</v>
      </c>
      <c r="DT160" s="313">
        <v>0</v>
      </c>
      <c r="DU160" s="313">
        <v>0</v>
      </c>
      <c r="DV160" s="313">
        <v>0</v>
      </c>
      <c r="DW160" s="313">
        <v>0</v>
      </c>
      <c r="DX160" s="313">
        <v>0</v>
      </c>
      <c r="DY160" s="313">
        <v>0</v>
      </c>
      <c r="DZ160" s="313">
        <v>0</v>
      </c>
      <c r="EA160" s="313">
        <v>0</v>
      </c>
      <c r="EB160" s="313">
        <v>0</v>
      </c>
      <c r="EC160" s="313">
        <v>0</v>
      </c>
      <c r="ED160" s="313">
        <v>0</v>
      </c>
      <c r="EE160" s="168"/>
    </row>
    <row r="161" spans="2:168" x14ac:dyDescent="0.25">
      <c r="B161" s="107" t="s">
        <v>397</v>
      </c>
      <c r="C161" s="294">
        <f t="shared" ref="C161:O161" si="454">+C17+C33+C49+C81+C97+C113+C129+C145</f>
        <v>0</v>
      </c>
      <c r="D161" s="294">
        <f t="shared" si="454"/>
        <v>0</v>
      </c>
      <c r="E161" s="294">
        <f t="shared" si="454"/>
        <v>0</v>
      </c>
      <c r="F161" s="294">
        <f t="shared" si="454"/>
        <v>0</v>
      </c>
      <c r="G161" s="294">
        <f t="shared" si="454"/>
        <v>0</v>
      </c>
      <c r="H161" s="294">
        <f t="shared" si="454"/>
        <v>0</v>
      </c>
      <c r="I161" s="294">
        <f t="shared" si="454"/>
        <v>0</v>
      </c>
      <c r="J161" s="294">
        <f t="shared" si="454"/>
        <v>0</v>
      </c>
      <c r="K161" s="294">
        <f t="shared" si="454"/>
        <v>0</v>
      </c>
      <c r="L161" s="294">
        <f t="shared" si="454"/>
        <v>0</v>
      </c>
      <c r="M161" s="160">
        <f t="shared" si="454"/>
        <v>275970.23011</v>
      </c>
      <c r="N161" s="294">
        <f t="shared" si="454"/>
        <v>0</v>
      </c>
      <c r="O161" s="294">
        <f t="shared" si="454"/>
        <v>0</v>
      </c>
      <c r="P161" s="162">
        <f t="shared" si="391"/>
        <v>275970.23011</v>
      </c>
      <c r="U161" s="29"/>
      <c r="V161" s="29"/>
      <c r="W161" s="29">
        <f>HIS_vs_OBS!D9</f>
        <v>198739.59220000001</v>
      </c>
      <c r="Y161" s="107" t="s">
        <v>397</v>
      </c>
      <c r="Z161" s="294">
        <f t="shared" ref="Z161:AL161" si="455">+Z17+Z33+Z49+Z81+Z97+Z113+Z129+Z145</f>
        <v>0</v>
      </c>
      <c r="AA161" s="294">
        <f t="shared" si="455"/>
        <v>0</v>
      </c>
      <c r="AB161" s="294">
        <f t="shared" si="455"/>
        <v>0</v>
      </c>
      <c r="AC161" s="294">
        <f t="shared" si="455"/>
        <v>0</v>
      </c>
      <c r="AD161" s="294">
        <f t="shared" si="455"/>
        <v>0</v>
      </c>
      <c r="AE161" s="294">
        <f t="shared" si="455"/>
        <v>0</v>
      </c>
      <c r="AF161" s="294">
        <f t="shared" si="455"/>
        <v>0</v>
      </c>
      <c r="AG161" s="294">
        <f t="shared" si="455"/>
        <v>0</v>
      </c>
      <c r="AH161" s="294">
        <f t="shared" si="455"/>
        <v>0</v>
      </c>
      <c r="AI161" s="294">
        <f t="shared" si="455"/>
        <v>0</v>
      </c>
      <c r="AJ161" s="160">
        <f t="shared" si="455"/>
        <v>198739.59220000001</v>
      </c>
      <c r="AK161" s="294">
        <f t="shared" si="455"/>
        <v>0</v>
      </c>
      <c r="AL161" s="294">
        <f t="shared" si="455"/>
        <v>0</v>
      </c>
      <c r="AM161" s="162">
        <f t="shared" si="393"/>
        <v>198739.59220000001</v>
      </c>
      <c r="AO161" s="107" t="s">
        <v>397</v>
      </c>
      <c r="AP161" s="294">
        <f>TripMode_input!R143*Index!$B$2</f>
        <v>0</v>
      </c>
      <c r="AQ161" s="294">
        <f>TripMode_input!S143*Index!$B$2</f>
        <v>0</v>
      </c>
      <c r="AR161" s="294">
        <f>TripMode_input!T143*Index!$B$2</f>
        <v>0</v>
      </c>
      <c r="AS161" s="294">
        <f>TripMode_input!U143*Index!$B$2</f>
        <v>0</v>
      </c>
      <c r="AT161" s="294">
        <f>TripMode_input!V143*Index!$B$2</f>
        <v>0</v>
      </c>
      <c r="AU161" s="294">
        <f>TripMode_input!W143*Index!$B$2</f>
        <v>0</v>
      </c>
      <c r="AV161" s="294">
        <f>TripMode_input!X143*Index!$B$2</f>
        <v>0</v>
      </c>
      <c r="AW161" s="294">
        <f>TripMode_input!Y143*Index!$B$2</f>
        <v>0</v>
      </c>
      <c r="AX161" s="294">
        <f>TripMode_input!AA143*Index!$B$2</f>
        <v>0</v>
      </c>
      <c r="AY161" s="294">
        <f>TripMode_input!AB143*Index!$B$2</f>
        <v>0</v>
      </c>
      <c r="AZ161" s="160">
        <f>TripMode_input!AC143*Index!$B$2</f>
        <v>73400</v>
      </c>
      <c r="BA161" s="294">
        <f>TripMode_input!AD143*Index!$B$2</f>
        <v>0</v>
      </c>
      <c r="BB161" s="294">
        <f>TripMode_input!AE143*Index!$B$2</f>
        <v>0</v>
      </c>
      <c r="BC161" s="162">
        <f t="shared" si="394"/>
        <v>73400</v>
      </c>
      <c r="BE161" s="107" t="s">
        <v>397</v>
      </c>
      <c r="BF161" s="166">
        <f t="shared" si="418"/>
        <v>0</v>
      </c>
      <c r="BG161" s="166">
        <f t="shared" si="418"/>
        <v>0</v>
      </c>
      <c r="BH161" s="166">
        <f t="shared" si="418"/>
        <v>0</v>
      </c>
      <c r="BI161" s="166">
        <f t="shared" si="418"/>
        <v>0</v>
      </c>
      <c r="BJ161" s="166">
        <f t="shared" si="418"/>
        <v>0</v>
      </c>
      <c r="BK161" s="166">
        <f t="shared" si="418"/>
        <v>0</v>
      </c>
      <c r="BL161" s="166">
        <f t="shared" si="418"/>
        <v>0</v>
      </c>
      <c r="BM161" s="166">
        <f t="shared" si="418"/>
        <v>0</v>
      </c>
      <c r="BN161" s="166">
        <f t="shared" si="418"/>
        <v>0</v>
      </c>
      <c r="BO161" s="166">
        <f t="shared" si="418"/>
        <v>0</v>
      </c>
      <c r="BP161" s="166">
        <f t="shared" si="418"/>
        <v>1</v>
      </c>
      <c r="BQ161" s="166">
        <f t="shared" si="418"/>
        <v>0</v>
      </c>
      <c r="BR161" s="166">
        <f t="shared" si="418"/>
        <v>0</v>
      </c>
      <c r="BS161" s="166">
        <f t="shared" si="418"/>
        <v>6.5073410356142457E-3</v>
      </c>
      <c r="BU161" s="107" t="s">
        <v>397</v>
      </c>
      <c r="BV161" s="166">
        <f t="shared" si="419"/>
        <v>0</v>
      </c>
      <c r="BW161" s="166">
        <f t="shared" si="420"/>
        <v>0</v>
      </c>
      <c r="BX161" s="166">
        <f t="shared" si="421"/>
        <v>0</v>
      </c>
      <c r="BY161" s="166">
        <f t="shared" si="422"/>
        <v>0</v>
      </c>
      <c r="BZ161" s="166">
        <f t="shared" si="423"/>
        <v>0</v>
      </c>
      <c r="CA161" s="166">
        <f t="shared" si="424"/>
        <v>0</v>
      </c>
      <c r="CB161" s="166">
        <f t="shared" si="425"/>
        <v>0</v>
      </c>
      <c r="CC161" s="166">
        <f t="shared" si="426"/>
        <v>0</v>
      </c>
      <c r="CD161" s="166">
        <f t="shared" si="427"/>
        <v>0</v>
      </c>
      <c r="CE161" s="166">
        <f t="shared" si="428"/>
        <v>0</v>
      </c>
      <c r="CF161" s="166">
        <f t="shared" si="429"/>
        <v>1</v>
      </c>
      <c r="CG161" s="166">
        <f t="shared" si="430"/>
        <v>0</v>
      </c>
      <c r="CH161" s="166">
        <f t="shared" si="431"/>
        <v>0</v>
      </c>
      <c r="CI161" s="168">
        <f t="shared" si="432"/>
        <v>2.045908913849535E-3</v>
      </c>
      <c r="CK161" s="107" t="s">
        <v>397</v>
      </c>
      <c r="CL161" s="166" t="str">
        <f t="shared" si="450"/>
        <v/>
      </c>
      <c r="CM161" s="166" t="str">
        <f t="shared" si="450"/>
        <v/>
      </c>
      <c r="CN161" s="166" t="str">
        <f t="shared" si="450"/>
        <v/>
      </c>
      <c r="CO161" s="166" t="str">
        <f t="shared" si="450"/>
        <v/>
      </c>
      <c r="CP161" s="166"/>
      <c r="CQ161" s="166"/>
      <c r="CR161" s="166"/>
      <c r="CS161" s="166"/>
      <c r="CT161" s="166" t="str">
        <f t="shared" si="451"/>
        <v/>
      </c>
      <c r="CU161" s="166" t="str">
        <f t="shared" si="451"/>
        <v/>
      </c>
      <c r="CV161" s="166">
        <f t="shared" si="451"/>
        <v>0</v>
      </c>
      <c r="CW161" s="166" t="str">
        <f t="shared" si="451"/>
        <v/>
      </c>
      <c r="CX161" s="166" t="str">
        <f t="shared" si="451"/>
        <v/>
      </c>
      <c r="CY161" s="168">
        <f t="shared" si="451"/>
        <v>-0.68559986288525354</v>
      </c>
      <c r="DA161" s="107" t="s">
        <v>397</v>
      </c>
      <c r="DB161" s="313">
        <f t="shared" si="433"/>
        <v>0</v>
      </c>
      <c r="DC161" s="313">
        <f t="shared" si="434"/>
        <v>0</v>
      </c>
      <c r="DD161" s="313">
        <f t="shared" si="435"/>
        <v>0</v>
      </c>
      <c r="DE161" s="313">
        <f t="shared" si="436"/>
        <v>0</v>
      </c>
      <c r="DF161" s="313">
        <f t="shared" si="437"/>
        <v>0</v>
      </c>
      <c r="DG161" s="313">
        <f t="shared" si="438"/>
        <v>0</v>
      </c>
      <c r="DH161" s="313">
        <f t="shared" si="439"/>
        <v>0</v>
      </c>
      <c r="DI161" s="313">
        <f t="shared" si="440"/>
        <v>0</v>
      </c>
      <c r="DJ161" s="313">
        <f t="shared" si="441"/>
        <v>0</v>
      </c>
      <c r="DK161" s="313">
        <f t="shared" si="442"/>
        <v>0</v>
      </c>
      <c r="DL161" s="313">
        <f t="shared" si="443"/>
        <v>0</v>
      </c>
      <c r="DM161" s="313">
        <f t="shared" si="444"/>
        <v>0</v>
      </c>
      <c r="DN161" s="313">
        <f t="shared" si="445"/>
        <v>0</v>
      </c>
      <c r="DO161" s="168"/>
      <c r="DQ161" s="107" t="s">
        <v>397</v>
      </c>
      <c r="DR161" s="313">
        <v>0</v>
      </c>
      <c r="DS161" s="313">
        <v>0</v>
      </c>
      <c r="DT161" s="313">
        <v>0</v>
      </c>
      <c r="DU161" s="313">
        <v>0</v>
      </c>
      <c r="DV161" s="313">
        <v>0</v>
      </c>
      <c r="DW161" s="313">
        <v>0</v>
      </c>
      <c r="DX161" s="313">
        <v>0</v>
      </c>
      <c r="DY161" s="313">
        <v>0</v>
      </c>
      <c r="DZ161" s="313">
        <v>0</v>
      </c>
      <c r="EA161" s="313">
        <v>0</v>
      </c>
      <c r="EB161" s="313">
        <v>0</v>
      </c>
      <c r="EC161" s="313">
        <v>0</v>
      </c>
      <c r="ED161" s="313">
        <v>0</v>
      </c>
      <c r="EE161" s="168"/>
    </row>
    <row r="162" spans="2:168" x14ac:dyDescent="0.25">
      <c r="B162" s="107" t="s">
        <v>398</v>
      </c>
      <c r="C162" s="294">
        <f t="shared" ref="C162:O162" si="456">+C18+C34+C50+C82+C98+C114+C130+C146</f>
        <v>0</v>
      </c>
      <c r="D162" s="294">
        <f t="shared" si="456"/>
        <v>0</v>
      </c>
      <c r="E162" s="294">
        <f t="shared" si="456"/>
        <v>0</v>
      </c>
      <c r="F162" s="294">
        <f t="shared" si="456"/>
        <v>0</v>
      </c>
      <c r="G162" s="294">
        <f t="shared" si="456"/>
        <v>0</v>
      </c>
      <c r="H162" s="294">
        <f t="shared" si="456"/>
        <v>0</v>
      </c>
      <c r="I162" s="294">
        <f t="shared" si="456"/>
        <v>0</v>
      </c>
      <c r="J162" s="294">
        <f t="shared" si="456"/>
        <v>0</v>
      </c>
      <c r="K162" s="160">
        <f t="shared" si="456"/>
        <v>15082.139569999998</v>
      </c>
      <c r="L162" s="160">
        <f t="shared" si="456"/>
        <v>0</v>
      </c>
      <c r="M162" s="160">
        <f t="shared" si="456"/>
        <v>0</v>
      </c>
      <c r="N162" s="160">
        <f t="shared" si="456"/>
        <v>52203.311439999998</v>
      </c>
      <c r="O162" s="294">
        <f t="shared" si="456"/>
        <v>0</v>
      </c>
      <c r="P162" s="162">
        <f t="shared" si="391"/>
        <v>67285.45100999999</v>
      </c>
      <c r="Y162" s="107" t="s">
        <v>398</v>
      </c>
      <c r="Z162" s="294">
        <f t="shared" ref="Z162:AL162" si="457">+Z18+Z34+Z50+Z82+Z98+Z114+Z130+Z146</f>
        <v>0</v>
      </c>
      <c r="AA162" s="294">
        <f t="shared" si="457"/>
        <v>0</v>
      </c>
      <c r="AB162" s="294">
        <f t="shared" si="457"/>
        <v>0</v>
      </c>
      <c r="AC162" s="294">
        <f t="shared" si="457"/>
        <v>0</v>
      </c>
      <c r="AD162" s="294">
        <f t="shared" si="457"/>
        <v>0</v>
      </c>
      <c r="AE162" s="294">
        <f t="shared" si="457"/>
        <v>0</v>
      </c>
      <c r="AF162" s="294">
        <f t="shared" si="457"/>
        <v>0</v>
      </c>
      <c r="AG162" s="294">
        <f t="shared" si="457"/>
        <v>0</v>
      </c>
      <c r="AH162" s="160">
        <f t="shared" si="457"/>
        <v>15920.031987563791</v>
      </c>
      <c r="AI162" s="160">
        <f t="shared" si="457"/>
        <v>0</v>
      </c>
      <c r="AJ162" s="160">
        <f t="shared" si="457"/>
        <v>0</v>
      </c>
      <c r="AK162" s="160">
        <f t="shared" si="457"/>
        <v>52203.311439999998</v>
      </c>
      <c r="AL162" s="294">
        <f t="shared" si="457"/>
        <v>0</v>
      </c>
      <c r="AM162" s="162">
        <f t="shared" si="393"/>
        <v>68123.343427563785</v>
      </c>
      <c r="AO162" s="107" t="s">
        <v>398</v>
      </c>
      <c r="AP162" s="294">
        <f>TripMode_input!R144*Index!$B$2</f>
        <v>0</v>
      </c>
      <c r="AQ162" s="294">
        <f>TripMode_input!S144*Index!$B$2</f>
        <v>0</v>
      </c>
      <c r="AR162" s="294">
        <f>TripMode_input!T144*Index!$B$2</f>
        <v>0</v>
      </c>
      <c r="AS162" s="294">
        <f>TripMode_input!U144*Index!$B$2</f>
        <v>0</v>
      </c>
      <c r="AT162" s="294">
        <f>TripMode_input!V144*Index!$B$2</f>
        <v>0</v>
      </c>
      <c r="AU162" s="294">
        <f>TripMode_input!W144*Index!$B$2</f>
        <v>0</v>
      </c>
      <c r="AV162" s="294">
        <f>TripMode_input!X144*Index!$B$2</f>
        <v>0</v>
      </c>
      <c r="AW162" s="294">
        <f>TripMode_input!Y144*Index!$B$2</f>
        <v>0</v>
      </c>
      <c r="AX162" s="160">
        <f>TripMode_input!AA144*Index!$B$2</f>
        <v>36070</v>
      </c>
      <c r="AY162" s="160">
        <f>TripMode_input!AB144*Index!$B$2</f>
        <v>0</v>
      </c>
      <c r="AZ162" s="160">
        <f>TripMode_input!AC144*Index!$B$2</f>
        <v>0</v>
      </c>
      <c r="BA162" s="160">
        <f>TripMode_input!AD144*Index!$B$2</f>
        <v>115200</v>
      </c>
      <c r="BB162" s="294">
        <f>TripMode_input!AE144*Index!$B$2</f>
        <v>0</v>
      </c>
      <c r="BC162" s="162">
        <f t="shared" si="394"/>
        <v>151270</v>
      </c>
      <c r="BE162" s="107" t="s">
        <v>398</v>
      </c>
      <c r="BF162" s="166">
        <f t="shared" si="418"/>
        <v>0</v>
      </c>
      <c r="BG162" s="166">
        <f t="shared" si="418"/>
        <v>0</v>
      </c>
      <c r="BH162" s="166">
        <f t="shared" si="418"/>
        <v>0</v>
      </c>
      <c r="BI162" s="166">
        <f t="shared" si="418"/>
        <v>0</v>
      </c>
      <c r="BJ162" s="166">
        <f t="shared" si="418"/>
        <v>0</v>
      </c>
      <c r="BK162" s="166">
        <f t="shared" si="418"/>
        <v>0</v>
      </c>
      <c r="BL162" s="166">
        <f t="shared" si="418"/>
        <v>0</v>
      </c>
      <c r="BM162" s="166">
        <f t="shared" si="418"/>
        <v>0</v>
      </c>
      <c r="BN162" s="166">
        <f t="shared" si="418"/>
        <v>8.9169345187346816E-3</v>
      </c>
      <c r="BO162" s="166">
        <f t="shared" si="418"/>
        <v>0</v>
      </c>
      <c r="BP162" s="166">
        <f t="shared" si="418"/>
        <v>0</v>
      </c>
      <c r="BQ162" s="166">
        <f t="shared" si="418"/>
        <v>0.75878411466951212</v>
      </c>
      <c r="BR162" s="166">
        <f t="shared" si="418"/>
        <v>0</v>
      </c>
      <c r="BS162" s="166">
        <f t="shared" si="418"/>
        <v>2.230566256386974E-3</v>
      </c>
      <c r="BU162" s="107" t="s">
        <v>398</v>
      </c>
      <c r="BV162" s="166">
        <f t="shared" si="419"/>
        <v>0</v>
      </c>
      <c r="BW162" s="166">
        <f t="shared" si="420"/>
        <v>0</v>
      </c>
      <c r="BX162" s="166">
        <f t="shared" si="421"/>
        <v>0</v>
      </c>
      <c r="BY162" s="166">
        <f t="shared" si="422"/>
        <v>0</v>
      </c>
      <c r="BZ162" s="166">
        <f t="shared" si="423"/>
        <v>0</v>
      </c>
      <c r="CA162" s="166">
        <f t="shared" si="424"/>
        <v>0</v>
      </c>
      <c r="CB162" s="166">
        <f t="shared" si="425"/>
        <v>0</v>
      </c>
      <c r="CC162" s="166">
        <f t="shared" si="426"/>
        <v>0</v>
      </c>
      <c r="CD162" s="166">
        <f t="shared" si="427"/>
        <v>3.1755534328463328E-2</v>
      </c>
      <c r="CE162" s="166">
        <f t="shared" si="428"/>
        <v>0</v>
      </c>
      <c r="CF162" s="166">
        <f t="shared" si="429"/>
        <v>0</v>
      </c>
      <c r="CG162" s="166">
        <f t="shared" si="430"/>
        <v>0.68004722550177099</v>
      </c>
      <c r="CH162" s="166">
        <f t="shared" si="431"/>
        <v>0</v>
      </c>
      <c r="CI162" s="168">
        <f t="shared" si="432"/>
        <v>4.2164120081474004E-3</v>
      </c>
      <c r="CK162" s="107" t="s">
        <v>398</v>
      </c>
      <c r="CL162" s="166" t="str">
        <f t="shared" si="450"/>
        <v/>
      </c>
      <c r="CM162" s="166" t="str">
        <f t="shared" si="450"/>
        <v/>
      </c>
      <c r="CN162" s="166" t="str">
        <f t="shared" si="450"/>
        <v/>
      </c>
      <c r="CO162" s="166" t="str">
        <f t="shared" si="450"/>
        <v/>
      </c>
      <c r="CP162" s="166"/>
      <c r="CQ162" s="166"/>
      <c r="CR162" s="166"/>
      <c r="CS162" s="166"/>
      <c r="CT162" s="166">
        <f t="shared" si="451"/>
        <v>2.5612613574479246</v>
      </c>
      <c r="CU162" s="166" t="str">
        <f t="shared" si="451"/>
        <v/>
      </c>
      <c r="CV162" s="166" t="str">
        <f t="shared" si="451"/>
        <v/>
      </c>
      <c r="CW162" s="166">
        <f t="shared" si="451"/>
        <v>-0.10376718179193159</v>
      </c>
      <c r="CX162" s="166" t="str">
        <f t="shared" si="451"/>
        <v/>
      </c>
      <c r="CY162" s="168">
        <f t="shared" si="451"/>
        <v>0.8902877222652239</v>
      </c>
      <c r="DA162" s="107" t="s">
        <v>398</v>
      </c>
      <c r="DB162" s="313">
        <f t="shared" si="433"/>
        <v>0</v>
      </c>
      <c r="DC162" s="313">
        <f t="shared" si="434"/>
        <v>0</v>
      </c>
      <c r="DD162" s="313">
        <f t="shared" si="435"/>
        <v>0</v>
      </c>
      <c r="DE162" s="313">
        <f t="shared" si="436"/>
        <v>0</v>
      </c>
      <c r="DF162" s="313">
        <f t="shared" si="437"/>
        <v>0</v>
      </c>
      <c r="DG162" s="313">
        <f t="shared" si="438"/>
        <v>0</v>
      </c>
      <c r="DH162" s="313">
        <f t="shared" si="439"/>
        <v>0</v>
      </c>
      <c r="DI162" s="313">
        <f t="shared" si="440"/>
        <v>0</v>
      </c>
      <c r="DJ162" s="313">
        <f t="shared" si="441"/>
        <v>-1.2701147959994619</v>
      </c>
      <c r="DK162" s="313">
        <f t="shared" si="442"/>
        <v>0</v>
      </c>
      <c r="DL162" s="313">
        <f t="shared" si="443"/>
        <v>0</v>
      </c>
      <c r="DM162" s="313">
        <f t="shared" si="444"/>
        <v>0.10955505801015092</v>
      </c>
      <c r="DN162" s="313">
        <f t="shared" si="445"/>
        <v>0</v>
      </c>
      <c r="DO162" s="168"/>
      <c r="DQ162" s="107" t="s">
        <v>398</v>
      </c>
      <c r="DR162" s="313">
        <v>0</v>
      </c>
      <c r="DS162" s="313">
        <v>0</v>
      </c>
      <c r="DT162" s="313">
        <v>0</v>
      </c>
      <c r="DU162" s="313">
        <v>0</v>
      </c>
      <c r="DV162" s="313">
        <v>0</v>
      </c>
      <c r="DW162" s="313">
        <v>0</v>
      </c>
      <c r="DX162" s="313">
        <v>0</v>
      </c>
      <c r="DY162" s="313">
        <v>0</v>
      </c>
      <c r="DZ162" s="313">
        <v>0</v>
      </c>
      <c r="EA162" s="313">
        <v>0</v>
      </c>
      <c r="EB162" s="313">
        <v>0</v>
      </c>
      <c r="EC162" s="313">
        <v>0</v>
      </c>
      <c r="ED162" s="313">
        <v>0</v>
      </c>
      <c r="EE162" s="168"/>
    </row>
    <row r="163" spans="2:168" x14ac:dyDescent="0.25">
      <c r="B163" s="107" t="s">
        <v>399</v>
      </c>
      <c r="C163" s="294">
        <f t="shared" ref="C163:O163" si="458">+C19+C35+C51+C83+C99+C115+C131+C147</f>
        <v>0</v>
      </c>
      <c r="D163" s="294">
        <f t="shared" si="458"/>
        <v>0</v>
      </c>
      <c r="E163" s="294">
        <f t="shared" si="458"/>
        <v>0</v>
      </c>
      <c r="F163" s="294">
        <f t="shared" si="458"/>
        <v>0</v>
      </c>
      <c r="G163" s="294">
        <f t="shared" si="458"/>
        <v>0</v>
      </c>
      <c r="H163" s="294">
        <f t="shared" si="458"/>
        <v>0</v>
      </c>
      <c r="I163" s="294">
        <f t="shared" si="458"/>
        <v>0</v>
      </c>
      <c r="J163" s="294">
        <f t="shared" si="458"/>
        <v>0</v>
      </c>
      <c r="K163" s="294">
        <f t="shared" si="458"/>
        <v>0</v>
      </c>
      <c r="L163" s="294">
        <f t="shared" si="458"/>
        <v>0</v>
      </c>
      <c r="M163" s="294">
        <f t="shared" si="458"/>
        <v>0</v>
      </c>
      <c r="N163" s="294">
        <f t="shared" si="458"/>
        <v>0</v>
      </c>
      <c r="O163" s="160">
        <f t="shared" si="458"/>
        <v>975741.16743999999</v>
      </c>
      <c r="P163" s="162">
        <f t="shared" si="391"/>
        <v>975741.16743999999</v>
      </c>
      <c r="U163" s="128">
        <f>U159/(U159+V160+W161)</f>
        <v>0.83249811946360774</v>
      </c>
      <c r="V163" s="128">
        <f>V160/(U159+V160+W161)</f>
        <v>4.2912486183644738E-2</v>
      </c>
      <c r="W163" s="128">
        <f>1-(U163+V163)</f>
        <v>0.12458939435274752</v>
      </c>
      <c r="Y163" s="107" t="s">
        <v>399</v>
      </c>
      <c r="Z163" s="294">
        <f t="shared" ref="Z163:AL163" si="459">+Z19+Z35+Z51+Z83+Z99+Z115+Z131+Z147</f>
        <v>0</v>
      </c>
      <c r="AA163" s="294">
        <f t="shared" si="459"/>
        <v>0</v>
      </c>
      <c r="AB163" s="294">
        <f t="shared" si="459"/>
        <v>0</v>
      </c>
      <c r="AC163" s="294">
        <f t="shared" si="459"/>
        <v>0</v>
      </c>
      <c r="AD163" s="294">
        <f t="shared" si="459"/>
        <v>0</v>
      </c>
      <c r="AE163" s="294">
        <f t="shared" si="459"/>
        <v>0</v>
      </c>
      <c r="AF163" s="294">
        <f t="shared" si="459"/>
        <v>0</v>
      </c>
      <c r="AG163" s="294">
        <f t="shared" si="459"/>
        <v>0</v>
      </c>
      <c r="AH163" s="294">
        <f t="shared" si="459"/>
        <v>0</v>
      </c>
      <c r="AI163" s="294">
        <f t="shared" si="459"/>
        <v>0</v>
      </c>
      <c r="AJ163" s="294">
        <f t="shared" si="459"/>
        <v>0</v>
      </c>
      <c r="AK163" s="294">
        <f t="shared" si="459"/>
        <v>0</v>
      </c>
      <c r="AL163" s="160">
        <f t="shared" si="459"/>
        <v>975741.16743999999</v>
      </c>
      <c r="AM163" s="162">
        <f t="shared" si="393"/>
        <v>975741.16743999999</v>
      </c>
      <c r="AO163" s="107" t="s">
        <v>399</v>
      </c>
      <c r="AP163" s="294">
        <f>TripMode_input!R145*Index!$B$2</f>
        <v>0</v>
      </c>
      <c r="AQ163" s="294">
        <f>TripMode_input!S145*Index!$B$2</f>
        <v>0</v>
      </c>
      <c r="AR163" s="294">
        <f>TripMode_input!T145*Index!$B$2</f>
        <v>0</v>
      </c>
      <c r="AS163" s="294">
        <f>TripMode_input!U145*Index!$B$2</f>
        <v>0</v>
      </c>
      <c r="AT163" s="294">
        <f>TripMode_input!V145*Index!$B$2</f>
        <v>0</v>
      </c>
      <c r="AU163" s="294">
        <f>TripMode_input!W145*Index!$B$2</f>
        <v>0</v>
      </c>
      <c r="AV163" s="294">
        <f>TripMode_input!X145*Index!$B$2</f>
        <v>0</v>
      </c>
      <c r="AW163" s="294">
        <f>TripMode_input!Y145*Index!$B$2</f>
        <v>0</v>
      </c>
      <c r="AX163" s="294">
        <f>TripMode_input!AA145*Index!$B$2</f>
        <v>0</v>
      </c>
      <c r="AY163" s="294">
        <f>TripMode_input!AB145*Index!$B$2</f>
        <v>0</v>
      </c>
      <c r="AZ163" s="294">
        <f>TripMode_input!AC145*Index!$B$2</f>
        <v>0</v>
      </c>
      <c r="BA163" s="294">
        <f>TripMode_input!AD145*Index!$B$2</f>
        <v>0</v>
      </c>
      <c r="BB163" s="160">
        <f>TripMode_input!AE145*Index!$B$2</f>
        <v>1180550</v>
      </c>
      <c r="BC163" s="162">
        <f t="shared" si="394"/>
        <v>1180550</v>
      </c>
      <c r="BE163" s="107" t="s">
        <v>399</v>
      </c>
      <c r="BF163" s="166">
        <f t="shared" si="418"/>
        <v>0</v>
      </c>
      <c r="BG163" s="166">
        <f t="shared" si="418"/>
        <v>0</v>
      </c>
      <c r="BH163" s="166">
        <f t="shared" si="418"/>
        <v>0</v>
      </c>
      <c r="BI163" s="166">
        <f t="shared" si="418"/>
        <v>0</v>
      </c>
      <c r="BJ163" s="166">
        <f t="shared" si="418"/>
        <v>0</v>
      </c>
      <c r="BK163" s="166">
        <f t="shared" si="418"/>
        <v>0</v>
      </c>
      <c r="BL163" s="166">
        <f t="shared" si="418"/>
        <v>0</v>
      </c>
      <c r="BM163" s="166">
        <f t="shared" si="418"/>
        <v>0</v>
      </c>
      <c r="BN163" s="166">
        <f t="shared" si="418"/>
        <v>0</v>
      </c>
      <c r="BO163" s="166">
        <f t="shared" si="418"/>
        <v>0</v>
      </c>
      <c r="BP163" s="166">
        <f t="shared" si="418"/>
        <v>0</v>
      </c>
      <c r="BQ163" s="166">
        <f t="shared" si="418"/>
        <v>0</v>
      </c>
      <c r="BR163" s="166">
        <f t="shared" si="418"/>
        <v>1</v>
      </c>
      <c r="BS163" s="166">
        <f t="shared" si="418"/>
        <v>3.1948744931662706E-2</v>
      </c>
      <c r="BU163" s="107" t="s">
        <v>399</v>
      </c>
      <c r="BV163" s="166">
        <f t="shared" si="419"/>
        <v>0</v>
      </c>
      <c r="BW163" s="166">
        <f t="shared" si="420"/>
        <v>0</v>
      </c>
      <c r="BX163" s="166">
        <f t="shared" si="421"/>
        <v>0</v>
      </c>
      <c r="BY163" s="166">
        <f t="shared" si="422"/>
        <v>0</v>
      </c>
      <c r="BZ163" s="166">
        <f t="shared" si="423"/>
        <v>0</v>
      </c>
      <c r="CA163" s="166">
        <f t="shared" si="424"/>
        <v>0</v>
      </c>
      <c r="CB163" s="166">
        <f t="shared" si="425"/>
        <v>0</v>
      </c>
      <c r="CC163" s="166">
        <f t="shared" si="426"/>
        <v>0</v>
      </c>
      <c r="CD163" s="166">
        <f t="shared" si="427"/>
        <v>0</v>
      </c>
      <c r="CE163" s="166">
        <f t="shared" si="428"/>
        <v>0</v>
      </c>
      <c r="CF163" s="166">
        <f t="shared" si="429"/>
        <v>0</v>
      </c>
      <c r="CG163" s="166">
        <f t="shared" si="430"/>
        <v>0</v>
      </c>
      <c r="CH163" s="166">
        <f t="shared" si="431"/>
        <v>1</v>
      </c>
      <c r="CI163" s="168">
        <f t="shared" si="432"/>
        <v>3.2905964145028187E-2</v>
      </c>
      <c r="CK163" s="107" t="s">
        <v>399</v>
      </c>
      <c r="CL163" s="166" t="str">
        <f t="shared" si="450"/>
        <v/>
      </c>
      <c r="CM163" s="166" t="str">
        <f t="shared" si="450"/>
        <v/>
      </c>
      <c r="CN163" s="166" t="str">
        <f t="shared" si="450"/>
        <v/>
      </c>
      <c r="CO163" s="166" t="str">
        <f t="shared" si="450"/>
        <v/>
      </c>
      <c r="CP163" s="166"/>
      <c r="CQ163" s="166"/>
      <c r="CR163" s="166"/>
      <c r="CS163" s="166"/>
      <c r="CT163" s="166" t="str">
        <f t="shared" si="451"/>
        <v/>
      </c>
      <c r="CU163" s="166" t="str">
        <f t="shared" si="451"/>
        <v/>
      </c>
      <c r="CV163" s="166" t="str">
        <f t="shared" si="451"/>
        <v/>
      </c>
      <c r="CW163" s="166" t="str">
        <f t="shared" si="451"/>
        <v/>
      </c>
      <c r="CX163" s="166">
        <f t="shared" si="451"/>
        <v>0</v>
      </c>
      <c r="CY163" s="168">
        <f t="shared" si="451"/>
        <v>2.9961089720830662E-2</v>
      </c>
      <c r="DA163" s="107" t="s">
        <v>399</v>
      </c>
      <c r="DB163" s="313">
        <f t="shared" si="433"/>
        <v>0</v>
      </c>
      <c r="DC163" s="313">
        <f t="shared" si="434"/>
        <v>0</v>
      </c>
      <c r="DD163" s="313">
        <f t="shared" si="435"/>
        <v>0</v>
      </c>
      <c r="DE163" s="313">
        <f t="shared" si="436"/>
        <v>0</v>
      </c>
      <c r="DF163" s="313">
        <f t="shared" si="437"/>
        <v>0</v>
      </c>
      <c r="DG163" s="313">
        <f t="shared" si="438"/>
        <v>0</v>
      </c>
      <c r="DH163" s="313">
        <f t="shared" si="439"/>
        <v>0</v>
      </c>
      <c r="DI163" s="313">
        <f t="shared" si="440"/>
        <v>0</v>
      </c>
      <c r="DJ163" s="313">
        <f t="shared" si="441"/>
        <v>0</v>
      </c>
      <c r="DK163" s="313">
        <f t="shared" si="442"/>
        <v>0</v>
      </c>
      <c r="DL163" s="313">
        <f t="shared" si="443"/>
        <v>0</v>
      </c>
      <c r="DM163" s="313">
        <f t="shared" si="444"/>
        <v>0</v>
      </c>
      <c r="DN163" s="313">
        <f t="shared" si="445"/>
        <v>0</v>
      </c>
      <c r="DO163" s="168"/>
      <c r="DQ163" s="107" t="s">
        <v>399</v>
      </c>
      <c r="DR163" s="313">
        <v>0</v>
      </c>
      <c r="DS163" s="313">
        <v>0</v>
      </c>
      <c r="DT163" s="313">
        <v>0</v>
      </c>
      <c r="DU163" s="313">
        <v>0</v>
      </c>
      <c r="DV163" s="313">
        <v>0</v>
      </c>
      <c r="DW163" s="313">
        <v>0</v>
      </c>
      <c r="DX163" s="313">
        <v>0</v>
      </c>
      <c r="DY163" s="313">
        <v>0</v>
      </c>
      <c r="DZ163" s="313">
        <v>0</v>
      </c>
      <c r="EA163" s="313">
        <v>0</v>
      </c>
      <c r="EB163" s="313">
        <v>0</v>
      </c>
      <c r="EC163" s="313">
        <v>0</v>
      </c>
      <c r="ED163" s="313">
        <v>0</v>
      </c>
      <c r="EE163" s="168"/>
    </row>
    <row r="164" spans="2:168" ht="15.75" thickBot="1" x14ac:dyDescent="0.3">
      <c r="B164" s="108" t="s">
        <v>29</v>
      </c>
      <c r="C164" s="109">
        <f t="shared" ref="C164:P164" si="460">SUM(C151:C163)</f>
        <v>12504033.748500001</v>
      </c>
      <c r="D164" s="110">
        <f t="shared" si="460"/>
        <v>649642.88311000005</v>
      </c>
      <c r="E164" s="110">
        <f t="shared" si="460"/>
        <v>5842661.4875400001</v>
      </c>
      <c r="F164" s="110">
        <f t="shared" si="460"/>
        <v>145457.89869999999</v>
      </c>
      <c r="G164" s="110">
        <f t="shared" si="460"/>
        <v>5783927.8340200009</v>
      </c>
      <c r="H164" s="110">
        <f t="shared" si="460"/>
        <v>169087.56972999999</v>
      </c>
      <c r="I164" s="110">
        <f t="shared" si="460"/>
        <v>1992929.9548400003</v>
      </c>
      <c r="J164" s="110">
        <f t="shared" si="460"/>
        <v>355985.94432999997</v>
      </c>
      <c r="K164" s="110">
        <f t="shared" si="460"/>
        <v>1691404.0961399998</v>
      </c>
      <c r="L164" s="110">
        <f t="shared" si="460"/>
        <v>101555.50427</v>
      </c>
      <c r="M164" s="110">
        <f t="shared" si="460"/>
        <v>275970.23011</v>
      </c>
      <c r="N164" s="110">
        <f t="shared" si="460"/>
        <v>68798.635119999992</v>
      </c>
      <c r="O164" s="110">
        <f t="shared" si="460"/>
        <v>975741.16743999999</v>
      </c>
      <c r="P164" s="112">
        <f t="shared" si="460"/>
        <v>30557196.953850001</v>
      </c>
      <c r="Y164" s="108" t="s">
        <v>29</v>
      </c>
      <c r="Z164" s="109">
        <f t="shared" ref="Z164:AM164" si="461">SUM(Z151:Z163)</f>
        <v>12504033.748500001</v>
      </c>
      <c r="AA164" s="110">
        <f t="shared" si="461"/>
        <v>649642.88311000005</v>
      </c>
      <c r="AB164" s="110">
        <f t="shared" si="461"/>
        <v>5842661.4875400001</v>
      </c>
      <c r="AC164" s="110">
        <f t="shared" si="461"/>
        <v>145457.89869999999</v>
      </c>
      <c r="AD164" s="110">
        <f t="shared" si="461"/>
        <v>5783927.8340200009</v>
      </c>
      <c r="AE164" s="110">
        <f t="shared" si="461"/>
        <v>169087.56972999999</v>
      </c>
      <c r="AF164" s="110">
        <f t="shared" si="461"/>
        <v>1992929.9548400003</v>
      </c>
      <c r="AG164" s="110">
        <f t="shared" si="461"/>
        <v>355985.94432999997</v>
      </c>
      <c r="AH164" s="110">
        <f t="shared" si="461"/>
        <v>1785370.5165284597</v>
      </c>
      <c r="AI164" s="110">
        <f t="shared" si="461"/>
        <v>68452.13470000001</v>
      </c>
      <c r="AJ164" s="110">
        <f t="shared" si="461"/>
        <v>198739.59220000001</v>
      </c>
      <c r="AK164" s="110">
        <f t="shared" si="461"/>
        <v>68798.635119999992</v>
      </c>
      <c r="AL164" s="110">
        <f t="shared" si="461"/>
        <v>975741.16743999999</v>
      </c>
      <c r="AM164" s="112">
        <f t="shared" si="461"/>
        <v>30540829.366758466</v>
      </c>
      <c r="AO164" s="108" t="s">
        <v>29</v>
      </c>
      <c r="AP164" s="109">
        <f t="shared" ref="AP164:BC164" si="462">SUM(AP151:AP163)</f>
        <v>15040650</v>
      </c>
      <c r="AQ164" s="110">
        <f t="shared" si="462"/>
        <v>1457385</v>
      </c>
      <c r="AR164" s="110">
        <f t="shared" si="462"/>
        <v>6262920</v>
      </c>
      <c r="AS164" s="110">
        <f t="shared" si="462"/>
        <v>229330</v>
      </c>
      <c r="AT164" s="110">
        <f t="shared" si="462"/>
        <v>5120890</v>
      </c>
      <c r="AU164" s="110">
        <f t="shared" si="462"/>
        <v>180915</v>
      </c>
      <c r="AV164" s="110">
        <f t="shared" si="462"/>
        <v>4426010</v>
      </c>
      <c r="AW164" s="110">
        <f t="shared" si="462"/>
        <v>560610</v>
      </c>
      <c r="AX164" s="110">
        <f t="shared" si="462"/>
        <v>1135865</v>
      </c>
      <c r="AY164" s="110">
        <f t="shared" si="462"/>
        <v>38550</v>
      </c>
      <c r="AZ164" s="110">
        <f t="shared" si="462"/>
        <v>73400</v>
      </c>
      <c r="BA164" s="110">
        <f t="shared" si="462"/>
        <v>169400</v>
      </c>
      <c r="BB164" s="110">
        <f t="shared" si="462"/>
        <v>1180550</v>
      </c>
      <c r="BC164" s="112">
        <f t="shared" si="462"/>
        <v>35876475</v>
      </c>
      <c r="BE164" s="108" t="s">
        <v>29</v>
      </c>
      <c r="BF164" s="120">
        <f t="shared" si="418"/>
        <v>1</v>
      </c>
      <c r="BG164" s="120">
        <f t="shared" si="418"/>
        <v>1</v>
      </c>
      <c r="BH164" s="120">
        <f t="shared" si="418"/>
        <v>1</v>
      </c>
      <c r="BI164" s="120">
        <f t="shared" si="418"/>
        <v>1</v>
      </c>
      <c r="BJ164" s="120">
        <f t="shared" si="418"/>
        <v>1</v>
      </c>
      <c r="BK164" s="120">
        <f t="shared" si="418"/>
        <v>1</v>
      </c>
      <c r="BL164" s="120">
        <f t="shared" si="418"/>
        <v>1</v>
      </c>
      <c r="BM164" s="120">
        <f t="shared" si="418"/>
        <v>1</v>
      </c>
      <c r="BN164" s="120">
        <f t="shared" si="418"/>
        <v>1</v>
      </c>
      <c r="BO164" s="120">
        <f t="shared" si="418"/>
        <v>1</v>
      </c>
      <c r="BP164" s="120">
        <f t="shared" si="418"/>
        <v>1</v>
      </c>
      <c r="BQ164" s="120">
        <f t="shared" si="418"/>
        <v>1</v>
      </c>
      <c r="BR164" s="120">
        <f t="shared" si="418"/>
        <v>1</v>
      </c>
      <c r="BS164" s="120">
        <f t="shared" si="418"/>
        <v>1</v>
      </c>
      <c r="BU164" s="108" t="s">
        <v>29</v>
      </c>
      <c r="BV164" s="120">
        <f t="shared" si="419"/>
        <v>1</v>
      </c>
      <c r="BW164" s="121">
        <f t="shared" si="420"/>
        <v>1</v>
      </c>
      <c r="BX164" s="121">
        <f t="shared" si="421"/>
        <v>1</v>
      </c>
      <c r="BY164" s="121">
        <f t="shared" si="422"/>
        <v>1</v>
      </c>
      <c r="BZ164" s="121">
        <f t="shared" si="423"/>
        <v>1</v>
      </c>
      <c r="CA164" s="121">
        <f t="shared" si="424"/>
        <v>1</v>
      </c>
      <c r="CB164" s="121">
        <f t="shared" si="425"/>
        <v>1</v>
      </c>
      <c r="CC164" s="121">
        <f t="shared" si="426"/>
        <v>1</v>
      </c>
      <c r="CD164" s="121">
        <f t="shared" si="427"/>
        <v>1</v>
      </c>
      <c r="CE164" s="121">
        <f t="shared" si="428"/>
        <v>1</v>
      </c>
      <c r="CF164" s="121">
        <f t="shared" si="429"/>
        <v>1</v>
      </c>
      <c r="CG164" s="121">
        <f t="shared" si="430"/>
        <v>1</v>
      </c>
      <c r="CH164" s="121">
        <f t="shared" si="431"/>
        <v>1</v>
      </c>
      <c r="CI164" s="123">
        <f t="shared" si="432"/>
        <v>1</v>
      </c>
      <c r="CK164" s="108" t="s">
        <v>29</v>
      </c>
      <c r="CL164" s="120">
        <f t="shared" si="450"/>
        <v>0</v>
      </c>
      <c r="CM164" s="121">
        <f t="shared" si="450"/>
        <v>0</v>
      </c>
      <c r="CN164" s="121">
        <f t="shared" si="450"/>
        <v>0</v>
      </c>
      <c r="CO164" s="121">
        <f t="shared" si="450"/>
        <v>0</v>
      </c>
      <c r="CP164" s="121"/>
      <c r="CQ164" s="121"/>
      <c r="CR164" s="121"/>
      <c r="CS164" s="121"/>
      <c r="CT164" s="121">
        <f t="shared" si="451"/>
        <v>0</v>
      </c>
      <c r="CU164" s="121">
        <f t="shared" si="451"/>
        <v>0</v>
      </c>
      <c r="CV164" s="121">
        <f t="shared" si="451"/>
        <v>0</v>
      </c>
      <c r="CW164" s="121">
        <f t="shared" si="451"/>
        <v>0</v>
      </c>
      <c r="CX164" s="121">
        <f t="shared" si="451"/>
        <v>0</v>
      </c>
      <c r="CY164" s="123">
        <f t="shared" si="451"/>
        <v>0</v>
      </c>
      <c r="DA164" s="108" t="s">
        <v>29</v>
      </c>
      <c r="DB164" s="120"/>
      <c r="DC164" s="121"/>
      <c r="DD164" s="121"/>
      <c r="DE164" s="121"/>
      <c r="DF164" s="121"/>
      <c r="DG164" s="121"/>
      <c r="DH164" s="121"/>
      <c r="DI164" s="121"/>
      <c r="DJ164" s="121"/>
      <c r="DK164" s="121"/>
      <c r="DL164" s="121"/>
      <c r="DM164" s="121"/>
      <c r="DN164" s="121"/>
      <c r="DO164" s="123"/>
      <c r="DQ164" s="108" t="s">
        <v>29</v>
      </c>
      <c r="DR164" s="120"/>
      <c r="DS164" s="121"/>
      <c r="DT164" s="121"/>
      <c r="DU164" s="121"/>
      <c r="DV164" s="121"/>
      <c r="DW164" s="121"/>
      <c r="DX164" s="121"/>
      <c r="DY164" s="121"/>
      <c r="DZ164" s="121"/>
      <c r="EA164" s="121"/>
      <c r="EB164" s="121"/>
      <c r="EC164" s="121"/>
      <c r="ED164" s="121"/>
      <c r="EE164" s="123"/>
    </row>
    <row r="166" spans="2:168" x14ac:dyDescent="0.25">
      <c r="AF166" t="s">
        <v>178</v>
      </c>
      <c r="AH166" s="286">
        <f>TourMode!F171</f>
        <v>589570.91797999991</v>
      </c>
      <c r="AI166" s="286">
        <f>TourMode!F172</f>
        <v>81733.444829999993</v>
      </c>
      <c r="AJ166" s="286">
        <f>TourMode!F173</f>
        <v>154078.38300999999</v>
      </c>
      <c r="AV166" t="s">
        <v>178</v>
      </c>
      <c r="AX166" s="286">
        <f>TourMode!L171</f>
        <v>418575</v>
      </c>
      <c r="AY166" s="286">
        <f>TourMode!L172</f>
        <v>19275</v>
      </c>
      <c r="AZ166" s="286">
        <f>TourMode!L173</f>
        <v>36700</v>
      </c>
    </row>
    <row r="167" spans="2:168" x14ac:dyDescent="0.25">
      <c r="AF167" t="s">
        <v>552</v>
      </c>
      <c r="AH167" s="139">
        <f>AH164/AH166</f>
        <v>3.0282540438825123</v>
      </c>
      <c r="AI167" s="139">
        <f>AI164/AI166</f>
        <v>0.83750458386252769</v>
      </c>
      <c r="AJ167" s="139">
        <f>AJ164/AJ166</f>
        <v>1.2898603186087527</v>
      </c>
      <c r="AV167" t="s">
        <v>552</v>
      </c>
      <c r="AX167" s="139">
        <f>AX164/AX166</f>
        <v>2.7136474944753033</v>
      </c>
      <c r="AY167" s="139">
        <f>AY164/AY166</f>
        <v>2</v>
      </c>
      <c r="AZ167" s="139">
        <f>AZ164/AZ166</f>
        <v>2</v>
      </c>
    </row>
    <row r="168" spans="2:168" x14ac:dyDescent="0.25">
      <c r="AF168" t="s">
        <v>551</v>
      </c>
      <c r="AH168" s="127">
        <f>AH159/AH166</f>
        <v>2.2524259806604792</v>
      </c>
      <c r="AI168" s="127">
        <f>AI160/AI166</f>
        <v>0.83750458386252769</v>
      </c>
      <c r="AJ168" s="127">
        <f>AJ161/AJ166</f>
        <v>1.2898603186087527</v>
      </c>
      <c r="AV168" t="s">
        <v>551</v>
      </c>
      <c r="AX168" s="127">
        <f>AX159/AX166</f>
        <v>1.9264289553843397</v>
      </c>
      <c r="AY168" s="127">
        <f>AY160/AY166</f>
        <v>2</v>
      </c>
      <c r="AZ168" s="127">
        <f>AZ161/AZ166</f>
        <v>2</v>
      </c>
    </row>
    <row r="169" spans="2:168" x14ac:dyDescent="0.25">
      <c r="AF169" t="s">
        <v>553</v>
      </c>
      <c r="AH169" s="29">
        <f>AH164/AX167</f>
        <v>657922.78479916183</v>
      </c>
      <c r="AI169" s="29">
        <f>AI164/AY167</f>
        <v>34226.067350000005</v>
      </c>
      <c r="AJ169" s="29">
        <f>AJ164/AZ167</f>
        <v>99369.796100000007</v>
      </c>
    </row>
    <row r="171" spans="2:168" x14ac:dyDescent="0.25">
      <c r="B171" t="s">
        <v>382</v>
      </c>
      <c r="C171" s="383" t="s">
        <v>206</v>
      </c>
      <c r="D171" s="383"/>
      <c r="E171" s="383"/>
      <c r="F171" s="383"/>
      <c r="G171" s="383"/>
      <c r="H171" s="383"/>
      <c r="I171" s="383"/>
      <c r="J171" s="383"/>
      <c r="K171" s="383"/>
      <c r="L171" s="383"/>
      <c r="M171" s="383"/>
      <c r="N171" s="383"/>
      <c r="O171" s="383"/>
      <c r="P171" s="383"/>
      <c r="Y171" t="s">
        <v>382</v>
      </c>
      <c r="Z171" s="383" t="s">
        <v>206</v>
      </c>
      <c r="AA171" s="383"/>
      <c r="AB171" s="383"/>
      <c r="AC171" s="383"/>
      <c r="AD171" s="383"/>
      <c r="AE171" s="383"/>
      <c r="AF171" s="383"/>
      <c r="AG171" s="383"/>
      <c r="AH171" s="383"/>
      <c r="AI171" s="383"/>
      <c r="AJ171" s="383"/>
      <c r="AK171" s="383"/>
      <c r="AL171" s="383"/>
      <c r="AM171" s="383"/>
      <c r="AO171" t="s">
        <v>382</v>
      </c>
      <c r="AP171" s="383" t="s">
        <v>206</v>
      </c>
      <c r="AQ171" s="383"/>
      <c r="AR171" s="383"/>
      <c r="AS171" s="383"/>
      <c r="AT171" s="383"/>
      <c r="AU171" s="383"/>
      <c r="AV171" s="383"/>
      <c r="AW171" s="383"/>
      <c r="AX171" s="383"/>
      <c r="AY171" s="383"/>
      <c r="AZ171" s="383"/>
      <c r="BA171" s="383"/>
      <c r="BB171" s="383"/>
      <c r="BC171" s="383"/>
      <c r="BE171" t="s">
        <v>382</v>
      </c>
      <c r="BF171" s="383" t="s">
        <v>206</v>
      </c>
      <c r="BG171" s="383"/>
      <c r="BH171" s="383"/>
      <c r="BI171" s="383"/>
      <c r="BJ171" s="383"/>
      <c r="BK171" s="383"/>
      <c r="BL171" s="383"/>
      <c r="BM171" s="383"/>
      <c r="BN171" s="383"/>
      <c r="BO171" s="383"/>
      <c r="BP171" s="383"/>
      <c r="BQ171" s="383"/>
      <c r="BR171" s="383"/>
      <c r="BS171" s="383"/>
      <c r="BU171" t="s">
        <v>382</v>
      </c>
      <c r="BV171" s="383" t="s">
        <v>206</v>
      </c>
      <c r="BW171" s="383"/>
      <c r="BX171" s="383"/>
      <c r="BY171" s="383"/>
      <c r="BZ171" s="383"/>
      <c r="CA171" s="383"/>
      <c r="CB171" s="383"/>
      <c r="CC171" s="383"/>
      <c r="CD171" s="383"/>
      <c r="CE171" s="383"/>
      <c r="CF171" s="383"/>
      <c r="CG171" s="383"/>
      <c r="CH171" s="383"/>
      <c r="CI171" s="383"/>
      <c r="CK171" t="s">
        <v>382</v>
      </c>
      <c r="CL171" s="383" t="s">
        <v>206</v>
      </c>
      <c r="CM171" s="383"/>
      <c r="CN171" s="383"/>
      <c r="CO171" s="383"/>
      <c r="CP171" s="383"/>
      <c r="CQ171" s="383"/>
      <c r="CR171" s="383"/>
      <c r="CS171" s="383"/>
      <c r="CT171" s="383"/>
      <c r="CU171" s="383"/>
      <c r="CV171" s="383"/>
      <c r="CW171" s="383"/>
      <c r="CX171" s="383"/>
      <c r="CY171" s="383"/>
      <c r="DA171" t="s">
        <v>382</v>
      </c>
      <c r="DB171" s="383" t="s">
        <v>206</v>
      </c>
      <c r="DC171" s="383"/>
      <c r="DD171" s="383"/>
      <c r="DE171" s="383"/>
      <c r="DF171" s="383"/>
      <c r="DG171" s="383"/>
      <c r="DH171" s="383"/>
      <c r="DI171" s="383"/>
      <c r="DJ171" s="383"/>
      <c r="DK171" s="383"/>
      <c r="DL171" s="383"/>
      <c r="DM171" s="383"/>
      <c r="DN171" s="383"/>
      <c r="DO171" s="383"/>
      <c r="DQ171" t="s">
        <v>382</v>
      </c>
      <c r="DR171" s="383" t="s">
        <v>206</v>
      </c>
      <c r="DS171" s="383"/>
      <c r="DT171" s="383"/>
      <c r="DU171" s="383"/>
      <c r="DV171" s="383"/>
      <c r="DW171" s="383"/>
      <c r="DX171" s="383"/>
      <c r="DY171" s="383"/>
      <c r="DZ171" s="383"/>
      <c r="EA171" s="383"/>
      <c r="EB171" s="383"/>
      <c r="EC171" s="383"/>
      <c r="ED171" s="383"/>
      <c r="EE171" s="383"/>
      <c r="EG171" t="s">
        <v>382</v>
      </c>
      <c r="EH171" s="383" t="s">
        <v>206</v>
      </c>
      <c r="EI171" s="383"/>
      <c r="EJ171" s="383"/>
      <c r="EK171" s="383"/>
      <c r="EL171" s="383"/>
      <c r="EM171" s="383"/>
      <c r="EN171" s="383"/>
      <c r="EO171" s="383"/>
      <c r="EP171" s="383"/>
      <c r="EQ171" s="383"/>
      <c r="ER171" s="383"/>
      <c r="ES171" s="383"/>
      <c r="ET171" s="383"/>
      <c r="EU171" s="383"/>
      <c r="EW171" t="s">
        <v>382</v>
      </c>
      <c r="EX171" s="383" t="s">
        <v>207</v>
      </c>
      <c r="EY171" s="383"/>
      <c r="EZ171" s="383"/>
      <c r="FA171" s="383"/>
      <c r="FB171" s="383"/>
      <c r="FC171" s="383"/>
      <c r="FD171" s="383"/>
      <c r="FE171" s="383"/>
      <c r="FF171" s="383"/>
      <c r="FG171" s="383"/>
      <c r="FH171" s="383"/>
      <c r="FI171" s="383"/>
      <c r="FJ171" s="383"/>
      <c r="FK171" s="383"/>
      <c r="FL171" s="383"/>
    </row>
    <row r="172" spans="2:168" ht="35.450000000000003" customHeight="1" x14ac:dyDescent="0.25">
      <c r="B172" s="163" t="s">
        <v>207</v>
      </c>
      <c r="C172" s="164" t="s">
        <v>386</v>
      </c>
      <c r="D172" s="164" t="s">
        <v>387</v>
      </c>
      <c r="E172" s="164" t="s">
        <v>388</v>
      </c>
      <c r="F172" s="164" t="s">
        <v>389</v>
      </c>
      <c r="G172" s="164" t="s">
        <v>390</v>
      </c>
      <c r="H172" s="164" t="s">
        <v>391</v>
      </c>
      <c r="I172" s="164" t="s">
        <v>392</v>
      </c>
      <c r="J172" s="164" t="s">
        <v>393</v>
      </c>
      <c r="K172" s="164" t="s">
        <v>546</v>
      </c>
      <c r="L172" s="164" t="s">
        <v>396</v>
      </c>
      <c r="M172" s="164" t="s">
        <v>397</v>
      </c>
      <c r="N172" s="164" t="s">
        <v>398</v>
      </c>
      <c r="O172" s="164" t="s">
        <v>399</v>
      </c>
      <c r="P172" s="106" t="s">
        <v>29</v>
      </c>
      <c r="R172" s="164" t="s">
        <v>546</v>
      </c>
      <c r="S172" s="164" t="s">
        <v>396</v>
      </c>
      <c r="T172" s="164" t="s">
        <v>397</v>
      </c>
      <c r="U172" s="164" t="s">
        <v>546</v>
      </c>
      <c r="V172" s="164" t="s">
        <v>396</v>
      </c>
      <c r="W172" s="164" t="s">
        <v>397</v>
      </c>
      <c r="Y172" s="163" t="s">
        <v>207</v>
      </c>
      <c r="Z172" s="164" t="s">
        <v>386</v>
      </c>
      <c r="AA172" s="164" t="s">
        <v>387</v>
      </c>
      <c r="AB172" s="164" t="s">
        <v>388</v>
      </c>
      <c r="AC172" s="164" t="s">
        <v>389</v>
      </c>
      <c r="AD172" s="164" t="s">
        <v>390</v>
      </c>
      <c r="AE172" s="164" t="s">
        <v>391</v>
      </c>
      <c r="AF172" s="164" t="s">
        <v>392</v>
      </c>
      <c r="AG172" s="164" t="s">
        <v>393</v>
      </c>
      <c r="AH172" s="164" t="s">
        <v>546</v>
      </c>
      <c r="AI172" s="164" t="s">
        <v>396</v>
      </c>
      <c r="AJ172" s="164" t="s">
        <v>397</v>
      </c>
      <c r="AK172" s="164" t="s">
        <v>398</v>
      </c>
      <c r="AL172" s="164" t="s">
        <v>399</v>
      </c>
      <c r="AM172" s="106" t="s">
        <v>29</v>
      </c>
      <c r="AO172" s="163" t="s">
        <v>207</v>
      </c>
      <c r="AP172" s="164" t="s">
        <v>386</v>
      </c>
      <c r="AQ172" s="164" t="s">
        <v>387</v>
      </c>
      <c r="AR172" s="164" t="s">
        <v>388</v>
      </c>
      <c r="AS172" s="164" t="s">
        <v>389</v>
      </c>
      <c r="AT172" s="164" t="s">
        <v>390</v>
      </c>
      <c r="AU172" s="164" t="s">
        <v>391</v>
      </c>
      <c r="AV172" s="164" t="s">
        <v>392</v>
      </c>
      <c r="AW172" s="164" t="s">
        <v>393</v>
      </c>
      <c r="AX172" s="164" t="s">
        <v>546</v>
      </c>
      <c r="AY172" s="164" t="s">
        <v>396</v>
      </c>
      <c r="AZ172" s="164" t="s">
        <v>397</v>
      </c>
      <c r="BA172" s="164" t="s">
        <v>398</v>
      </c>
      <c r="BB172" s="164" t="s">
        <v>399</v>
      </c>
      <c r="BC172" s="106" t="s">
        <v>29</v>
      </c>
      <c r="BE172" s="163" t="s">
        <v>207</v>
      </c>
      <c r="BF172" s="164" t="s">
        <v>538</v>
      </c>
      <c r="BG172" s="164"/>
      <c r="BH172" s="164" t="s">
        <v>576</v>
      </c>
      <c r="BI172" s="164"/>
      <c r="BJ172" s="164" t="s">
        <v>577</v>
      </c>
      <c r="BK172" s="164"/>
      <c r="BL172" s="164" t="s">
        <v>392</v>
      </c>
      <c r="BM172" s="164" t="s">
        <v>393</v>
      </c>
      <c r="BN172" s="164" t="s">
        <v>546</v>
      </c>
      <c r="BO172" s="164" t="s">
        <v>396</v>
      </c>
      <c r="BP172" s="164" t="s">
        <v>397</v>
      </c>
      <c r="BQ172" s="164" t="s">
        <v>398</v>
      </c>
      <c r="BR172" s="164" t="s">
        <v>399</v>
      </c>
      <c r="BS172" s="106" t="s">
        <v>29</v>
      </c>
      <c r="BU172" s="163" t="s">
        <v>207</v>
      </c>
      <c r="BV172" s="164" t="s">
        <v>538</v>
      </c>
      <c r="BW172" s="164"/>
      <c r="BX172" s="164" t="s">
        <v>576</v>
      </c>
      <c r="BY172" s="164"/>
      <c r="BZ172" s="164" t="s">
        <v>577</v>
      </c>
      <c r="CA172" s="164"/>
      <c r="CB172" s="164" t="s">
        <v>392</v>
      </c>
      <c r="CC172" s="164" t="s">
        <v>393</v>
      </c>
      <c r="CD172" s="164" t="s">
        <v>546</v>
      </c>
      <c r="CE172" s="164" t="s">
        <v>396</v>
      </c>
      <c r="CF172" s="164" t="s">
        <v>397</v>
      </c>
      <c r="CG172" s="164" t="s">
        <v>398</v>
      </c>
      <c r="CH172" s="164" t="s">
        <v>399</v>
      </c>
      <c r="CI172" s="106" t="s">
        <v>29</v>
      </c>
      <c r="CK172" s="163" t="s">
        <v>207</v>
      </c>
      <c r="CL172" s="164" t="s">
        <v>386</v>
      </c>
      <c r="CM172" s="164" t="s">
        <v>387</v>
      </c>
      <c r="CN172" s="164" t="s">
        <v>388</v>
      </c>
      <c r="CO172" s="164" t="s">
        <v>389</v>
      </c>
      <c r="CP172" s="164" t="s">
        <v>390</v>
      </c>
      <c r="CQ172" s="164" t="s">
        <v>391</v>
      </c>
      <c r="CR172" s="164" t="s">
        <v>392</v>
      </c>
      <c r="CS172" s="164" t="s">
        <v>393</v>
      </c>
      <c r="CT172" s="164" t="s">
        <v>546</v>
      </c>
      <c r="CU172" s="164" t="s">
        <v>396</v>
      </c>
      <c r="CV172" s="164" t="s">
        <v>397</v>
      </c>
      <c r="CW172" s="164" t="s">
        <v>398</v>
      </c>
      <c r="CX172" s="164" t="s">
        <v>399</v>
      </c>
      <c r="CY172" s="106" t="s">
        <v>29</v>
      </c>
      <c r="DA172" s="163" t="s">
        <v>207</v>
      </c>
      <c r="DB172" s="164" t="s">
        <v>538</v>
      </c>
      <c r="DC172" s="164"/>
      <c r="DD172" s="164" t="s">
        <v>576</v>
      </c>
      <c r="DE172" s="164"/>
      <c r="DF172" s="164" t="s">
        <v>577</v>
      </c>
      <c r="DG172" s="164"/>
      <c r="DH172" s="164" t="s">
        <v>392</v>
      </c>
      <c r="DI172" s="164" t="s">
        <v>393</v>
      </c>
      <c r="DJ172" s="164" t="s">
        <v>546</v>
      </c>
      <c r="DK172" s="164" t="s">
        <v>396</v>
      </c>
      <c r="DL172" s="164" t="s">
        <v>397</v>
      </c>
      <c r="DM172" s="164" t="s">
        <v>398</v>
      </c>
      <c r="DN172" s="164" t="s">
        <v>399</v>
      </c>
      <c r="DO172" s="106" t="s">
        <v>29</v>
      </c>
      <c r="DQ172" s="163" t="s">
        <v>207</v>
      </c>
      <c r="DR172" s="164" t="s">
        <v>538</v>
      </c>
      <c r="DS172" s="164"/>
      <c r="DT172" s="164" t="s">
        <v>576</v>
      </c>
      <c r="DU172" s="164"/>
      <c r="DV172" s="164" t="s">
        <v>577</v>
      </c>
      <c r="DW172" s="164"/>
      <c r="DX172" s="164" t="s">
        <v>392</v>
      </c>
      <c r="DY172" s="164" t="s">
        <v>393</v>
      </c>
      <c r="DZ172" s="164" t="s">
        <v>546</v>
      </c>
      <c r="EA172" s="164" t="s">
        <v>396</v>
      </c>
      <c r="EB172" s="164" t="s">
        <v>397</v>
      </c>
      <c r="EC172" s="164" t="s">
        <v>398</v>
      </c>
      <c r="ED172" s="164" t="s">
        <v>399</v>
      </c>
      <c r="EE172" s="106" t="s">
        <v>29</v>
      </c>
      <c r="EG172" s="163" t="s">
        <v>207</v>
      </c>
      <c r="EH172" s="164" t="s">
        <v>538</v>
      </c>
      <c r="EI172" s="164"/>
      <c r="EJ172" s="164" t="s">
        <v>576</v>
      </c>
      <c r="EK172" s="164"/>
      <c r="EL172" s="164" t="s">
        <v>577</v>
      </c>
      <c r="EM172" s="164"/>
      <c r="EN172" s="164" t="s">
        <v>392</v>
      </c>
      <c r="EO172" s="164" t="s">
        <v>393</v>
      </c>
      <c r="EP172" s="164" t="s">
        <v>546</v>
      </c>
      <c r="EQ172" s="164" t="s">
        <v>396</v>
      </c>
      <c r="ER172" s="164" t="s">
        <v>397</v>
      </c>
      <c r="ES172" s="164" t="s">
        <v>398</v>
      </c>
      <c r="ET172" s="164" t="s">
        <v>399</v>
      </c>
      <c r="EU172" s="106" t="s">
        <v>29</v>
      </c>
      <c r="EW172" s="163" t="s">
        <v>206</v>
      </c>
      <c r="EX172" s="164" t="s">
        <v>386</v>
      </c>
      <c r="EY172" s="164" t="s">
        <v>387</v>
      </c>
      <c r="EZ172" s="164" t="s">
        <v>388</v>
      </c>
      <c r="FA172" s="164" t="s">
        <v>389</v>
      </c>
      <c r="FB172" s="164" t="s">
        <v>390</v>
      </c>
      <c r="FC172" s="164" t="s">
        <v>391</v>
      </c>
      <c r="FD172" s="164" t="s">
        <v>392</v>
      </c>
      <c r="FE172" s="164" t="s">
        <v>393</v>
      </c>
      <c r="FF172" s="164"/>
      <c r="FG172" s="164" t="s">
        <v>546</v>
      </c>
      <c r="FH172" s="164" t="s">
        <v>396</v>
      </c>
      <c r="FI172" s="164" t="s">
        <v>397</v>
      </c>
      <c r="FJ172" s="164" t="s">
        <v>398</v>
      </c>
      <c r="FK172" s="164" t="s">
        <v>399</v>
      </c>
      <c r="FL172" s="106" t="s">
        <v>29</v>
      </c>
    </row>
    <row r="173" spans="2:168" x14ac:dyDescent="0.25">
      <c r="B173" s="107" t="s">
        <v>386</v>
      </c>
      <c r="C173" s="160"/>
      <c r="D173" s="160"/>
      <c r="E173" s="160"/>
      <c r="F173" s="160"/>
      <c r="G173" s="160"/>
      <c r="H173" s="160"/>
      <c r="I173" s="294"/>
      <c r="J173" s="294"/>
      <c r="K173" s="294"/>
      <c r="L173" s="294"/>
      <c r="M173" s="294"/>
      <c r="N173" s="294"/>
      <c r="O173" s="294"/>
      <c r="P173" s="161">
        <f t="shared" ref="P173:P185" si="463">SUM(C173:O173)</f>
        <v>0</v>
      </c>
      <c r="Y173" s="107" t="s">
        <v>386</v>
      </c>
      <c r="Z173" s="160">
        <f>Z55+Z87+Z103+Z119+Z135</f>
        <v>5200256.3801699998</v>
      </c>
      <c r="AA173" s="160">
        <f t="shared" ref="AA173:AL173" si="464">AA55+AA87+AA103+AA119+AA135</f>
        <v>32883.994139999995</v>
      </c>
      <c r="AB173" s="160">
        <f t="shared" si="464"/>
        <v>743627.40804999997</v>
      </c>
      <c r="AC173" s="160">
        <f t="shared" si="464"/>
        <v>1765.1718799999999</v>
      </c>
      <c r="AD173" s="160">
        <f t="shared" si="464"/>
        <v>286940.73986000003</v>
      </c>
      <c r="AE173" s="160">
        <f t="shared" si="464"/>
        <v>1397.07761</v>
      </c>
      <c r="AF173" s="294">
        <f t="shared" si="464"/>
        <v>0</v>
      </c>
      <c r="AG173" s="294">
        <f t="shared" si="464"/>
        <v>0</v>
      </c>
      <c r="AH173" s="294">
        <f t="shared" si="464"/>
        <v>0</v>
      </c>
      <c r="AI173" s="294">
        <f t="shared" si="464"/>
        <v>0</v>
      </c>
      <c r="AJ173" s="294">
        <f t="shared" si="464"/>
        <v>0</v>
      </c>
      <c r="AK173" s="294">
        <f t="shared" si="464"/>
        <v>0</v>
      </c>
      <c r="AL173" s="294">
        <f t="shared" si="464"/>
        <v>0</v>
      </c>
      <c r="AM173" s="161">
        <f t="shared" ref="AM173:AM185" si="465">SUM(Z173:AL173)</f>
        <v>6266870.77171</v>
      </c>
      <c r="AO173" s="107" t="s">
        <v>386</v>
      </c>
      <c r="AP173" s="160">
        <f>AP55+AP87+AP103+AP119+AP135</f>
        <v>7195465</v>
      </c>
      <c r="AQ173" s="160">
        <f t="shared" ref="AQ173:BB173" si="466">AQ55+AQ87+AQ103+AQ119+AQ135</f>
        <v>335660</v>
      </c>
      <c r="AR173" s="160">
        <f t="shared" si="466"/>
        <v>533877</v>
      </c>
      <c r="AS173" s="160">
        <f t="shared" si="466"/>
        <v>10260</v>
      </c>
      <c r="AT173" s="160">
        <f t="shared" si="466"/>
        <v>155621</v>
      </c>
      <c r="AU173" s="160">
        <f t="shared" si="466"/>
        <v>3133</v>
      </c>
      <c r="AV173" s="294">
        <f t="shared" si="466"/>
        <v>0</v>
      </c>
      <c r="AW173" s="294">
        <f t="shared" si="466"/>
        <v>0</v>
      </c>
      <c r="AX173" s="294">
        <f t="shared" si="466"/>
        <v>0</v>
      </c>
      <c r="AY173" s="294">
        <f t="shared" si="466"/>
        <v>0</v>
      </c>
      <c r="AZ173" s="294">
        <f t="shared" si="466"/>
        <v>0</v>
      </c>
      <c r="BA173" s="294">
        <f t="shared" si="466"/>
        <v>0</v>
      </c>
      <c r="BB173" s="294">
        <f t="shared" si="466"/>
        <v>0</v>
      </c>
      <c r="BC173" s="161">
        <f t="shared" ref="BC173:BC185" si="467">SUM(AP173:BB173)</f>
        <v>8234016</v>
      </c>
      <c r="BE173" s="107" t="s">
        <v>538</v>
      </c>
      <c r="BF173" s="166">
        <f>IF(Z$164+AA$164&gt;0,SUM(Z173:AA174)/(Z$164+AA$164),"")</f>
        <v>0.40145990552632654</v>
      </c>
      <c r="BG173" s="166"/>
      <c r="BH173" s="166">
        <f>IF(AB$164+AC$164&gt;0,SUM(AB173:AC174)/(AB$164+AC$164),"")</f>
        <v>0.12477840585425717</v>
      </c>
      <c r="BI173" s="166"/>
      <c r="BJ173" s="166">
        <f>IF(AD$164+AE$164&gt;0,SUM(AD173:AE174)/(AD$164+AE$164),"")</f>
        <v>4.8602096209551568E-2</v>
      </c>
      <c r="BK173" s="166"/>
      <c r="BL173" s="166">
        <f t="shared" ref="BL173:BS173" si="468">IF(AF$164&gt;0,(AF173+AF174)/AF$164,"")</f>
        <v>0</v>
      </c>
      <c r="BM173" s="166">
        <f t="shared" si="468"/>
        <v>0</v>
      </c>
      <c r="BN173" s="166">
        <f t="shared" si="468"/>
        <v>0</v>
      </c>
      <c r="BO173" s="166">
        <f t="shared" si="468"/>
        <v>0</v>
      </c>
      <c r="BP173" s="166">
        <f t="shared" si="468"/>
        <v>0</v>
      </c>
      <c r="BQ173" s="166">
        <f t="shared" si="468"/>
        <v>0</v>
      </c>
      <c r="BR173" s="166">
        <f t="shared" si="468"/>
        <v>0</v>
      </c>
      <c r="BS173" s="166">
        <f t="shared" si="468"/>
        <v>0.20684411416789536</v>
      </c>
      <c r="BU173" s="107" t="s">
        <v>538</v>
      </c>
      <c r="BV173" s="166">
        <f>IF(AP$164+AQ$164&gt;0,SUM(AP173:AQ174)/(AP$164+AQ$164),"")</f>
        <v>0.46620521777290447</v>
      </c>
      <c r="BW173" s="166"/>
      <c r="BX173" s="166">
        <f>IF(AR$164+AS$164&gt;0,SUM(AR173:AS174)/(AR$164+AS$164),"")</f>
        <v>8.5895798837074974E-2</v>
      </c>
      <c r="BY173" s="166"/>
      <c r="BZ173" s="166">
        <f>IF(AT$164+AU$164&gt;0,SUM(AT173:AU174)/(AT$164+AU$164),"")</f>
        <v>3.0704825997938438E-2</v>
      </c>
      <c r="CA173" s="166"/>
      <c r="CB173" s="166">
        <f t="shared" ref="CB173:CI173" si="469">IF(AV$164&gt;0,(AV173+AV174)/AV$164,"")</f>
        <v>0</v>
      </c>
      <c r="CC173" s="166">
        <f t="shared" si="469"/>
        <v>0</v>
      </c>
      <c r="CD173" s="166">
        <f t="shared" si="469"/>
        <v>0</v>
      </c>
      <c r="CE173" s="166">
        <f t="shared" si="469"/>
        <v>0</v>
      </c>
      <c r="CF173" s="166">
        <f t="shared" si="469"/>
        <v>0</v>
      </c>
      <c r="CG173" s="166">
        <f t="shared" si="469"/>
        <v>0</v>
      </c>
      <c r="CH173" s="166">
        <f t="shared" si="469"/>
        <v>0</v>
      </c>
      <c r="CI173" s="166">
        <f t="shared" si="469"/>
        <v>0.23446891033748438</v>
      </c>
      <c r="CK173" s="107" t="s">
        <v>386</v>
      </c>
      <c r="CL173" s="166">
        <f t="shared" ref="CL173:CO176" si="470">IF(OR(ISNA(BF173),BF173=0,BF173=""),"",(BV173-BF173)/BF173)</f>
        <v>0.16127466617542988</v>
      </c>
      <c r="CM173" s="166" t="str">
        <f t="shared" si="470"/>
        <v/>
      </c>
      <c r="CN173" s="166">
        <f t="shared" si="470"/>
        <v>-0.31161326954759783</v>
      </c>
      <c r="CO173" s="166" t="str">
        <f t="shared" si="470"/>
        <v/>
      </c>
      <c r="CP173" s="166"/>
      <c r="CQ173" s="166"/>
      <c r="CR173" s="166"/>
      <c r="CS173" s="166"/>
      <c r="CT173" s="166" t="str">
        <f t="shared" ref="CT173:CY176" si="471">IF(OR(ISNA(BN173),BN173=0,BN173=""),"",(CD173-BN173)/BN173)</f>
        <v/>
      </c>
      <c r="CU173" s="166" t="str">
        <f t="shared" si="471"/>
        <v/>
      </c>
      <c r="CV173" s="166" t="str">
        <f t="shared" si="471"/>
        <v/>
      </c>
      <c r="CW173" s="166" t="str">
        <f t="shared" si="471"/>
        <v/>
      </c>
      <c r="CX173" s="166" t="str">
        <f t="shared" si="471"/>
        <v/>
      </c>
      <c r="CY173" s="167">
        <f t="shared" si="471"/>
        <v>0.13355369709561071</v>
      </c>
      <c r="DA173" s="107" t="s">
        <v>538</v>
      </c>
      <c r="DB173" s="314">
        <f>IFERROR(IF(BV173&gt;0,LN(BF173/BV173),0),0)</f>
        <v>-0.14951825197559107</v>
      </c>
      <c r="DC173" s="314"/>
      <c r="DD173" s="314">
        <f>IFERROR(IF(BX173&gt;0,LN(BH173/BX173),0),0)</f>
        <v>0.37340449075673826</v>
      </c>
      <c r="DE173" s="314"/>
      <c r="DF173" s="314">
        <f>IFERROR(IF(BZ173&gt;0,LN(BJ173/BZ173),0),0)</f>
        <v>0.45924682099141406</v>
      </c>
      <c r="DG173" s="314"/>
      <c r="DH173" s="315">
        <f t="shared" ref="DH173:DN173" si="472">IFERROR(IF(CB173&gt;0,LN(BL173/CB173),0),0)</f>
        <v>0</v>
      </c>
      <c r="DI173" s="315">
        <f t="shared" si="472"/>
        <v>0</v>
      </c>
      <c r="DJ173" s="315">
        <f t="shared" si="472"/>
        <v>0</v>
      </c>
      <c r="DK173" s="315">
        <f t="shared" si="472"/>
        <v>0</v>
      </c>
      <c r="DL173" s="315">
        <f t="shared" si="472"/>
        <v>0</v>
      </c>
      <c r="DM173" s="315">
        <f t="shared" si="472"/>
        <v>0</v>
      </c>
      <c r="DN173" s="315">
        <f t="shared" si="472"/>
        <v>0</v>
      </c>
      <c r="DO173" s="167"/>
      <c r="DQ173" s="107" t="s">
        <v>538</v>
      </c>
      <c r="DR173" s="314">
        <v>0</v>
      </c>
      <c r="DS173" s="314">
        <v>0</v>
      </c>
      <c r="DT173" s="314">
        <v>0</v>
      </c>
      <c r="DU173" s="314">
        <v>0</v>
      </c>
      <c r="DV173" s="314">
        <v>0</v>
      </c>
      <c r="DW173" s="314">
        <v>0</v>
      </c>
      <c r="DX173" s="315"/>
      <c r="DY173" s="315"/>
      <c r="DZ173" s="315"/>
      <c r="EA173" s="315"/>
      <c r="EB173" s="315"/>
      <c r="EC173" s="315"/>
      <c r="ED173" s="315"/>
      <c r="EE173" s="167"/>
      <c r="EG173" s="107" t="s">
        <v>538</v>
      </c>
      <c r="EH173" s="314">
        <v>0</v>
      </c>
      <c r="EI173" s="314">
        <v>0</v>
      </c>
      <c r="EJ173" s="314">
        <v>0</v>
      </c>
      <c r="EK173" s="314">
        <v>0</v>
      </c>
      <c r="EL173" s="314">
        <v>0</v>
      </c>
      <c r="EM173" s="314">
        <v>0</v>
      </c>
      <c r="EN173" s="315"/>
      <c r="EO173" s="315"/>
      <c r="EP173" s="315"/>
      <c r="EQ173" s="315"/>
      <c r="ER173" s="315"/>
      <c r="ES173" s="315"/>
      <c r="ET173" s="315"/>
      <c r="EU173" s="167"/>
      <c r="EW173" s="164" t="s">
        <v>386</v>
      </c>
      <c r="EX173" s="316">
        <f>INDEX($EH$173:$ET$185,EX$4,MATCH($EW173,$EW$7:$EW$19,0))</f>
        <v>0</v>
      </c>
      <c r="EY173" s="316">
        <f t="shared" ref="EY173:FJ185" si="473">INDEX($EH$173:$ET$185,EY$4,MATCH($EW173,$EW$7:$EW$19,0))</f>
        <v>0</v>
      </c>
      <c r="EZ173" s="316">
        <f t="shared" si="473"/>
        <v>0</v>
      </c>
      <c r="FA173" s="316">
        <f t="shared" si="473"/>
        <v>0</v>
      </c>
      <c r="FB173" s="316">
        <f t="shared" si="473"/>
        <v>0</v>
      </c>
      <c r="FC173" s="316">
        <f t="shared" si="473"/>
        <v>0</v>
      </c>
      <c r="FD173" s="316">
        <f t="shared" si="473"/>
        <v>0</v>
      </c>
      <c r="FE173" s="316">
        <f t="shared" si="473"/>
        <v>0</v>
      </c>
      <c r="FF173" s="316"/>
      <c r="FG173" s="316">
        <f t="shared" si="473"/>
        <v>0</v>
      </c>
      <c r="FH173" s="316">
        <f t="shared" si="473"/>
        <v>0</v>
      </c>
      <c r="FI173" s="316">
        <f t="shared" si="473"/>
        <v>0</v>
      </c>
      <c r="FJ173" s="316">
        <f t="shared" si="473"/>
        <v>0</v>
      </c>
      <c r="FK173" s="316"/>
      <c r="FL173" s="167"/>
    </row>
    <row r="174" spans="2:168" x14ac:dyDescent="0.25">
      <c r="B174" s="107" t="s">
        <v>387</v>
      </c>
      <c r="C174" s="160"/>
      <c r="D174" s="160"/>
      <c r="E174" s="160"/>
      <c r="F174" s="160"/>
      <c r="G174" s="160"/>
      <c r="H174" s="160"/>
      <c r="I174" s="294"/>
      <c r="J174" s="294"/>
      <c r="K174" s="294"/>
      <c r="L174" s="294"/>
      <c r="M174" s="294"/>
      <c r="N174" s="294"/>
      <c r="O174" s="294"/>
      <c r="P174" s="162">
        <f t="shared" si="463"/>
        <v>0</v>
      </c>
      <c r="Y174" s="107" t="s">
        <v>387</v>
      </c>
      <c r="Z174" s="160">
        <f t="shared" ref="Z174:AL174" si="474">Z56+Z88+Z104+Z120+Z136</f>
        <v>0</v>
      </c>
      <c r="AA174" s="160">
        <f t="shared" si="474"/>
        <v>47533.403539999999</v>
      </c>
      <c r="AB174" s="160">
        <f t="shared" si="474"/>
        <v>0</v>
      </c>
      <c r="AC174" s="160">
        <f t="shared" si="474"/>
        <v>1795.4111499999999</v>
      </c>
      <c r="AD174" s="160">
        <f t="shared" si="474"/>
        <v>0</v>
      </c>
      <c r="AE174" s="160">
        <f t="shared" si="474"/>
        <v>991.20992000000001</v>
      </c>
      <c r="AF174" s="294">
        <f t="shared" si="474"/>
        <v>0</v>
      </c>
      <c r="AG174" s="294">
        <f t="shared" si="474"/>
        <v>0</v>
      </c>
      <c r="AH174" s="294">
        <f t="shared" si="474"/>
        <v>0</v>
      </c>
      <c r="AI174" s="294">
        <f t="shared" si="474"/>
        <v>0</v>
      </c>
      <c r="AJ174" s="294">
        <f t="shared" si="474"/>
        <v>0</v>
      </c>
      <c r="AK174" s="294">
        <f t="shared" si="474"/>
        <v>0</v>
      </c>
      <c r="AL174" s="294">
        <f t="shared" si="474"/>
        <v>0</v>
      </c>
      <c r="AM174" s="162">
        <f t="shared" si="465"/>
        <v>50320.02461</v>
      </c>
      <c r="AO174" s="107" t="s">
        <v>387</v>
      </c>
      <c r="AP174" s="160">
        <f t="shared" ref="AP174:BB174" si="475">AP56+AP88+AP104+AP120+AP136</f>
        <v>94365</v>
      </c>
      <c r="AQ174" s="160">
        <f t="shared" si="475"/>
        <v>65980</v>
      </c>
      <c r="AR174" s="160">
        <f t="shared" si="475"/>
        <v>11251</v>
      </c>
      <c r="AS174" s="160">
        <f t="shared" si="475"/>
        <v>2269</v>
      </c>
      <c r="AT174" s="160">
        <f t="shared" si="475"/>
        <v>3446</v>
      </c>
      <c r="AU174" s="160">
        <f t="shared" si="475"/>
        <v>591</v>
      </c>
      <c r="AV174" s="294">
        <f t="shared" si="475"/>
        <v>0</v>
      </c>
      <c r="AW174" s="294">
        <f t="shared" si="475"/>
        <v>0</v>
      </c>
      <c r="AX174" s="294">
        <f t="shared" si="475"/>
        <v>0</v>
      </c>
      <c r="AY174" s="294">
        <f t="shared" si="475"/>
        <v>0</v>
      </c>
      <c r="AZ174" s="294">
        <f t="shared" si="475"/>
        <v>0</v>
      </c>
      <c r="BA174" s="294">
        <f t="shared" si="475"/>
        <v>0</v>
      </c>
      <c r="BB174" s="294">
        <f t="shared" si="475"/>
        <v>0</v>
      </c>
      <c r="BC174" s="162">
        <f t="shared" si="467"/>
        <v>177902</v>
      </c>
      <c r="BE174" s="107"/>
      <c r="BF174" s="166"/>
      <c r="BG174" s="166"/>
      <c r="BH174" s="166"/>
      <c r="BI174" s="166"/>
      <c r="BJ174" s="166"/>
      <c r="BK174" s="166"/>
      <c r="BL174" s="166"/>
      <c r="BM174" s="166"/>
      <c r="BN174" s="166"/>
      <c r="BO174" s="166"/>
      <c r="BP174" s="166"/>
      <c r="BQ174" s="166"/>
      <c r="BR174" s="166"/>
      <c r="BS174" s="166"/>
      <c r="BU174" s="107"/>
      <c r="BV174" s="166"/>
      <c r="BW174" s="166"/>
      <c r="BX174" s="166"/>
      <c r="BY174" s="166"/>
      <c r="BZ174" s="166"/>
      <c r="CA174" s="166"/>
      <c r="CB174" s="166"/>
      <c r="CC174" s="166"/>
      <c r="CD174" s="166"/>
      <c r="CE174" s="166"/>
      <c r="CF174" s="166"/>
      <c r="CG174" s="166"/>
      <c r="CH174" s="166"/>
      <c r="CI174" s="166"/>
      <c r="CK174" s="107" t="s">
        <v>387</v>
      </c>
      <c r="CL174" s="166" t="str">
        <f t="shared" si="470"/>
        <v/>
      </c>
      <c r="CM174" s="166" t="str">
        <f t="shared" si="470"/>
        <v/>
      </c>
      <c r="CN174" s="166" t="str">
        <f t="shared" si="470"/>
        <v/>
      </c>
      <c r="CO174" s="166" t="str">
        <f t="shared" si="470"/>
        <v/>
      </c>
      <c r="CP174" s="166"/>
      <c r="CQ174" s="166"/>
      <c r="CR174" s="166"/>
      <c r="CS174" s="166"/>
      <c r="CT174" s="166" t="str">
        <f t="shared" si="471"/>
        <v/>
      </c>
      <c r="CU174" s="166" t="str">
        <f t="shared" si="471"/>
        <v/>
      </c>
      <c r="CV174" s="166" t="str">
        <f t="shared" si="471"/>
        <v/>
      </c>
      <c r="CW174" s="166" t="str">
        <f t="shared" si="471"/>
        <v/>
      </c>
      <c r="CX174" s="166" t="str">
        <f t="shared" si="471"/>
        <v/>
      </c>
      <c r="CY174" s="168" t="str">
        <f t="shared" si="471"/>
        <v/>
      </c>
      <c r="DA174" s="107"/>
      <c r="DB174" s="314"/>
      <c r="DC174" s="314"/>
      <c r="DD174" s="314"/>
      <c r="DE174" s="314"/>
      <c r="DF174" s="314"/>
      <c r="DG174" s="314"/>
      <c r="DH174" s="315"/>
      <c r="DI174" s="315"/>
      <c r="DJ174" s="315"/>
      <c r="DK174" s="315"/>
      <c r="DL174" s="315"/>
      <c r="DM174" s="315"/>
      <c r="DN174" s="315"/>
      <c r="DO174" s="168"/>
      <c r="DQ174" s="107"/>
      <c r="DR174" s="314">
        <v>0</v>
      </c>
      <c r="DS174" s="314">
        <v>0</v>
      </c>
      <c r="DT174" s="314">
        <v>0</v>
      </c>
      <c r="DU174" s="314">
        <v>0</v>
      </c>
      <c r="DV174" s="314">
        <v>0</v>
      </c>
      <c r="DW174" s="314">
        <v>0</v>
      </c>
      <c r="DX174" s="315"/>
      <c r="DY174" s="315"/>
      <c r="DZ174" s="315"/>
      <c r="EA174" s="315"/>
      <c r="EB174" s="315"/>
      <c r="EC174" s="315"/>
      <c r="ED174" s="315"/>
      <c r="EE174" s="168"/>
      <c r="EG174" s="107"/>
      <c r="EH174" s="314">
        <v>0</v>
      </c>
      <c r="EI174" s="314">
        <v>0</v>
      </c>
      <c r="EJ174" s="314">
        <v>0</v>
      </c>
      <c r="EK174" s="314">
        <v>0</v>
      </c>
      <c r="EL174" s="314">
        <v>0</v>
      </c>
      <c r="EM174" s="314">
        <v>0</v>
      </c>
      <c r="EN174" s="315"/>
      <c r="EO174" s="315"/>
      <c r="EP174" s="315"/>
      <c r="EQ174" s="315"/>
      <c r="ER174" s="315"/>
      <c r="ES174" s="315"/>
      <c r="ET174" s="315"/>
      <c r="EU174" s="168"/>
      <c r="EW174" s="164" t="s">
        <v>387</v>
      </c>
      <c r="EX174" s="316">
        <f t="shared" ref="EX174:EX185" si="476">INDEX($EH$173:$ET$185,EX$4,MATCH($EW174,$EW$7:$EW$19,0))</f>
        <v>0</v>
      </c>
      <c r="EY174" s="316">
        <f t="shared" si="473"/>
        <v>0</v>
      </c>
      <c r="EZ174" s="316">
        <f t="shared" si="473"/>
        <v>0</v>
      </c>
      <c r="FA174" s="316">
        <f t="shared" si="473"/>
        <v>0</v>
      </c>
      <c r="FB174" s="316">
        <f t="shared" si="473"/>
        <v>0</v>
      </c>
      <c r="FC174" s="316">
        <f t="shared" si="473"/>
        <v>0</v>
      </c>
      <c r="FD174" s="316">
        <f t="shared" si="473"/>
        <v>0</v>
      </c>
      <c r="FE174" s="316">
        <f t="shared" si="473"/>
        <v>0</v>
      </c>
      <c r="FF174" s="316"/>
      <c r="FG174" s="316">
        <f t="shared" si="473"/>
        <v>0</v>
      </c>
      <c r="FH174" s="316">
        <f t="shared" si="473"/>
        <v>0</v>
      </c>
      <c r="FI174" s="316">
        <f t="shared" si="473"/>
        <v>0</v>
      </c>
      <c r="FJ174" s="316">
        <f t="shared" si="473"/>
        <v>0</v>
      </c>
      <c r="FK174" s="316"/>
      <c r="FL174" s="168"/>
    </row>
    <row r="175" spans="2:168" x14ac:dyDescent="0.25">
      <c r="B175" s="107" t="s">
        <v>388</v>
      </c>
      <c r="C175" s="294"/>
      <c r="D175" s="294"/>
      <c r="E175" s="160"/>
      <c r="F175" s="160"/>
      <c r="G175" s="160"/>
      <c r="H175" s="160"/>
      <c r="I175" s="294"/>
      <c r="J175" s="294"/>
      <c r="K175" s="160"/>
      <c r="L175" s="294"/>
      <c r="M175" s="294"/>
      <c r="N175" s="160"/>
      <c r="O175" s="294"/>
      <c r="P175" s="162">
        <f t="shared" si="463"/>
        <v>0</v>
      </c>
      <c r="Y175" s="107" t="s">
        <v>388</v>
      </c>
      <c r="Z175" s="294">
        <f t="shared" ref="Z175:AL175" si="477">Z57+Z89+Z105+Z121+Z137</f>
        <v>0</v>
      </c>
      <c r="AA175" s="294">
        <f t="shared" si="477"/>
        <v>0</v>
      </c>
      <c r="AB175" s="160">
        <f t="shared" si="477"/>
        <v>4081940.6721300003</v>
      </c>
      <c r="AC175" s="160">
        <f t="shared" si="477"/>
        <v>16189.318209999999</v>
      </c>
      <c r="AD175" s="160">
        <f t="shared" si="477"/>
        <v>735955.1791999999</v>
      </c>
      <c r="AE175" s="160">
        <f t="shared" si="477"/>
        <v>8091.5697899999996</v>
      </c>
      <c r="AF175" s="294">
        <f t="shared" si="477"/>
        <v>0</v>
      </c>
      <c r="AG175" s="294">
        <f t="shared" si="477"/>
        <v>0</v>
      </c>
      <c r="AH175" s="160">
        <f t="shared" si="477"/>
        <v>19334.650038538337</v>
      </c>
      <c r="AI175" s="294">
        <f t="shared" si="477"/>
        <v>0</v>
      </c>
      <c r="AJ175" s="294">
        <f t="shared" si="477"/>
        <v>0</v>
      </c>
      <c r="AK175" s="160">
        <f t="shared" si="477"/>
        <v>1338.6338800000001</v>
      </c>
      <c r="AL175" s="294">
        <f t="shared" si="477"/>
        <v>0</v>
      </c>
      <c r="AM175" s="162">
        <f t="shared" si="465"/>
        <v>4862850.0232485384</v>
      </c>
      <c r="AO175" s="107" t="s">
        <v>388</v>
      </c>
      <c r="AP175" s="294">
        <f t="shared" ref="AP175:BB175" si="478">AP57+AP89+AP105+AP121+AP137</f>
        <v>0</v>
      </c>
      <c r="AQ175" s="294">
        <f t="shared" si="478"/>
        <v>0</v>
      </c>
      <c r="AR175" s="160">
        <f t="shared" si="478"/>
        <v>2753726</v>
      </c>
      <c r="AS175" s="160">
        <f t="shared" si="478"/>
        <v>53872</v>
      </c>
      <c r="AT175" s="160">
        <f t="shared" si="478"/>
        <v>339100</v>
      </c>
      <c r="AU175" s="160">
        <f t="shared" si="478"/>
        <v>4527</v>
      </c>
      <c r="AV175" s="294">
        <f t="shared" si="478"/>
        <v>0</v>
      </c>
      <c r="AW175" s="294">
        <f t="shared" si="478"/>
        <v>0</v>
      </c>
      <c r="AX175" s="160">
        <f t="shared" si="478"/>
        <v>12961</v>
      </c>
      <c r="AY175" s="294">
        <f t="shared" si="478"/>
        <v>0</v>
      </c>
      <c r="AZ175" s="294">
        <f t="shared" si="478"/>
        <v>0</v>
      </c>
      <c r="BA175" s="160">
        <f t="shared" si="478"/>
        <v>5665</v>
      </c>
      <c r="BB175" s="294">
        <f t="shared" si="478"/>
        <v>0</v>
      </c>
      <c r="BC175" s="162">
        <f t="shared" si="467"/>
        <v>3169851</v>
      </c>
      <c r="BE175" s="107" t="s">
        <v>576</v>
      </c>
      <c r="BF175" s="166">
        <f>IF(Z$164+AA$164&gt;0,SUM(Z175:AA176)/(Z$164+AA$164),"")</f>
        <v>0</v>
      </c>
      <c r="BG175" s="166"/>
      <c r="BH175" s="166">
        <f>IF(AB$164+AC$164&gt;0,SUM(AB175:AC176)/(AB$164+AC$164),"")</f>
        <v>0.68879962297476627</v>
      </c>
      <c r="BI175" s="166"/>
      <c r="BJ175" s="166">
        <f>IF(AD$164+AE$164&gt;0,SUM(AD175:AE176)/(AD$164+AE$164),"")</f>
        <v>0.12651291722436606</v>
      </c>
      <c r="BK175" s="166"/>
      <c r="BL175" s="166">
        <f t="shared" ref="BL175:BS175" si="479">IF(AF$164&gt;0,(AF175+AF176)/AF$164,"")</f>
        <v>0</v>
      </c>
      <c r="BM175" s="166">
        <f t="shared" si="479"/>
        <v>0</v>
      </c>
      <c r="BN175" s="166">
        <f t="shared" si="479"/>
        <v>1.0838311088305791E-2</v>
      </c>
      <c r="BO175" s="166">
        <f t="shared" si="479"/>
        <v>0</v>
      </c>
      <c r="BP175" s="166">
        <f t="shared" si="479"/>
        <v>0</v>
      </c>
      <c r="BQ175" s="166">
        <f t="shared" si="479"/>
        <v>2.2625529667629839E-2</v>
      </c>
      <c r="BR175" s="166">
        <f t="shared" si="479"/>
        <v>0</v>
      </c>
      <c r="BS175" s="166">
        <f t="shared" si="479"/>
        <v>0.16039691222458627</v>
      </c>
      <c r="BU175" s="107" t="s">
        <v>576</v>
      </c>
      <c r="BV175" s="166">
        <f>IF(AP$164+AQ$164&gt;0,SUM(AP175:AQ176)/(AP$164+AQ$164),"")</f>
        <v>0</v>
      </c>
      <c r="BW175" s="166"/>
      <c r="BX175" s="166">
        <f>IF(AR$164+AS$164&gt;0,SUM(AR175:AS176)/(AR$164+AS$164),"")</f>
        <v>0.4398924871962725</v>
      </c>
      <c r="BY175" s="166"/>
      <c r="BZ175" s="166">
        <f>IF(AT$164+AU$164&gt;0,SUM(AT175:AU176)/(AT$164+AU$164),"")</f>
        <v>6.6469626853496125E-2</v>
      </c>
      <c r="CA175" s="166"/>
      <c r="CB175" s="166">
        <f t="shared" ref="CB175:CI175" si="480">IF(AV$164&gt;0,(AV175+AV176)/AV$164,"")</f>
        <v>0</v>
      </c>
      <c r="CC175" s="166">
        <f t="shared" si="480"/>
        <v>0</v>
      </c>
      <c r="CD175" s="166">
        <f t="shared" si="480"/>
        <v>1.1635185519405915E-2</v>
      </c>
      <c r="CE175" s="166">
        <f t="shared" si="480"/>
        <v>0</v>
      </c>
      <c r="CF175" s="166">
        <f t="shared" si="480"/>
        <v>0</v>
      </c>
      <c r="CG175" s="166">
        <f t="shared" si="480"/>
        <v>4.4421487603305783E-2</v>
      </c>
      <c r="CH175" s="166">
        <f t="shared" si="480"/>
        <v>0</v>
      </c>
      <c r="CI175" s="166">
        <f t="shared" si="480"/>
        <v>9.0004438841887344E-2</v>
      </c>
      <c r="CK175" s="107" t="s">
        <v>388</v>
      </c>
      <c r="CL175" s="166" t="str">
        <f t="shared" si="470"/>
        <v/>
      </c>
      <c r="CM175" s="166" t="str">
        <f t="shared" si="470"/>
        <v/>
      </c>
      <c r="CN175" s="166">
        <f t="shared" si="470"/>
        <v>-0.36136363533928983</v>
      </c>
      <c r="CO175" s="166" t="str">
        <f t="shared" si="470"/>
        <v/>
      </c>
      <c r="CP175" s="166"/>
      <c r="CQ175" s="166"/>
      <c r="CR175" s="166"/>
      <c r="CS175" s="166"/>
      <c r="CT175" s="166">
        <f t="shared" si="471"/>
        <v>7.3523856679102634E-2</v>
      </c>
      <c r="CU175" s="166" t="str">
        <f t="shared" si="471"/>
        <v/>
      </c>
      <c r="CV175" s="166" t="str">
        <f t="shared" si="471"/>
        <v/>
      </c>
      <c r="CW175" s="166">
        <f t="shared" si="471"/>
        <v>0.9633347044625985</v>
      </c>
      <c r="CX175" s="166" t="str">
        <f t="shared" si="471"/>
        <v/>
      </c>
      <c r="CY175" s="168">
        <f t="shared" si="471"/>
        <v>-0.43886426743761775</v>
      </c>
      <c r="DA175" s="107" t="s">
        <v>576</v>
      </c>
      <c r="DB175" s="315">
        <f>IFERROR(IF(BV175&gt;0,LN(BF175/BV175),0),0)</f>
        <v>0</v>
      </c>
      <c r="DC175" s="315"/>
      <c r="DD175" s="314">
        <f>IFERROR(IF(BX175&gt;0,LN(BH175/BX175),0),0)</f>
        <v>0.44842005597460216</v>
      </c>
      <c r="DE175" s="314"/>
      <c r="DF175" s="314">
        <f>IFERROR(IF(BZ175&gt;0,LN(BJ175/BZ175),0),0)</f>
        <v>0.64359931112044688</v>
      </c>
      <c r="DG175" s="314"/>
      <c r="DH175" s="315">
        <f t="shared" ref="DH175:DN175" si="481">IFERROR(IF(CB175&gt;0,LN(BL175/CB175),0),0)</f>
        <v>0</v>
      </c>
      <c r="DI175" s="315">
        <f t="shared" si="481"/>
        <v>0</v>
      </c>
      <c r="DJ175" s="314">
        <f t="shared" si="481"/>
        <v>-7.0946561358608176E-2</v>
      </c>
      <c r="DK175" s="315">
        <f t="shared" si="481"/>
        <v>0</v>
      </c>
      <c r="DL175" s="315">
        <f t="shared" si="481"/>
        <v>0</v>
      </c>
      <c r="DM175" s="314">
        <f t="shared" si="481"/>
        <v>-0.67464440736318865</v>
      </c>
      <c r="DN175" s="315">
        <f t="shared" si="481"/>
        <v>0</v>
      </c>
      <c r="DO175" s="168"/>
      <c r="DQ175" s="107" t="s">
        <v>576</v>
      </c>
      <c r="DR175" s="315"/>
      <c r="DS175" s="315"/>
      <c r="DT175" s="314">
        <v>-0.30013099287731704</v>
      </c>
      <c r="DU175" s="314">
        <v>-0.30013099287731704</v>
      </c>
      <c r="DV175" s="314">
        <v>-0.45042604716885437</v>
      </c>
      <c r="DW175" s="314">
        <v>-0.45042604716885437</v>
      </c>
      <c r="DX175" s="315"/>
      <c r="DY175" s="315"/>
      <c r="DZ175" s="314">
        <v>-0.30148540577756</v>
      </c>
      <c r="EA175" s="315"/>
      <c r="EB175" s="315"/>
      <c r="EC175" s="314">
        <v>-6.6315144839057591</v>
      </c>
      <c r="ED175" s="315"/>
      <c r="EE175" s="168"/>
      <c r="EG175" s="107" t="s">
        <v>576</v>
      </c>
      <c r="EH175" s="315"/>
      <c r="EI175" s="315"/>
      <c r="EJ175" s="314">
        <f>DT175+(DD175-DD$173)*$EI$1</f>
        <v>-0.22511542765945314</v>
      </c>
      <c r="EK175" s="314">
        <f>DT175+(DD175-DD$173)*$EI$1</f>
        <v>-0.22511542765945314</v>
      </c>
      <c r="EL175" s="314">
        <f>DV175+(DF175-DF$173)*$EI$1</f>
        <v>-0.26607355703982155</v>
      </c>
      <c r="EM175" s="314">
        <f>DV175+(DF175-DF$173)*$EI$1</f>
        <v>-0.26607355703982155</v>
      </c>
      <c r="EN175" s="315"/>
      <c r="EO175" s="315"/>
      <c r="EP175" s="314">
        <f>DZ175+(DJ175-DJ$181)*$EI$1</f>
        <v>-0.73417872176342536</v>
      </c>
      <c r="EQ175" s="315"/>
      <c r="ER175" s="315"/>
      <c r="ES175" s="314">
        <f>EC175+(DM175-DM$184)*$EI$1</f>
        <v>-7.9014205198600918</v>
      </c>
      <c r="ET175" s="315"/>
      <c r="EU175" s="168"/>
      <c r="EW175" s="164" t="s">
        <v>388</v>
      </c>
      <c r="EX175" s="316">
        <f t="shared" si="476"/>
        <v>0</v>
      </c>
      <c r="EY175" s="316">
        <f t="shared" si="473"/>
        <v>0</v>
      </c>
      <c r="EZ175" s="316">
        <f t="shared" si="473"/>
        <v>-0.22511542765945314</v>
      </c>
      <c r="FA175" s="316">
        <f t="shared" si="473"/>
        <v>-0.22511542765945314</v>
      </c>
      <c r="FB175" s="316">
        <f t="shared" si="473"/>
        <v>0</v>
      </c>
      <c r="FC175" s="316">
        <f t="shared" si="473"/>
        <v>0</v>
      </c>
      <c r="FD175" s="316">
        <f t="shared" si="473"/>
        <v>-0.38383779537012913</v>
      </c>
      <c r="FE175" s="316">
        <f t="shared" si="473"/>
        <v>0</v>
      </c>
      <c r="FF175" s="316"/>
      <c r="FG175" s="316">
        <f t="shared" si="473"/>
        <v>0</v>
      </c>
      <c r="FH175" s="316">
        <f t="shared" si="473"/>
        <v>0</v>
      </c>
      <c r="FI175" s="316">
        <f t="shared" si="473"/>
        <v>0</v>
      </c>
      <c r="FJ175" s="316">
        <f t="shared" si="473"/>
        <v>0</v>
      </c>
      <c r="FK175" s="316"/>
      <c r="FL175" s="168"/>
    </row>
    <row r="176" spans="2:168" x14ac:dyDescent="0.25">
      <c r="B176" s="107" t="s">
        <v>389</v>
      </c>
      <c r="C176" s="294"/>
      <c r="D176" s="294"/>
      <c r="E176" s="160"/>
      <c r="F176" s="160"/>
      <c r="G176" s="160"/>
      <c r="H176" s="160"/>
      <c r="I176" s="294"/>
      <c r="J176" s="294"/>
      <c r="K176" s="160"/>
      <c r="L176" s="294"/>
      <c r="M176" s="294"/>
      <c r="N176" s="160"/>
      <c r="O176" s="294"/>
      <c r="P176" s="162">
        <f t="shared" si="463"/>
        <v>0</v>
      </c>
      <c r="Y176" s="107" t="s">
        <v>389</v>
      </c>
      <c r="Z176" s="294">
        <f t="shared" ref="Z176:AL176" si="482">Z58+Z90+Z106+Z122+Z138</f>
        <v>0</v>
      </c>
      <c r="AA176" s="294">
        <f t="shared" si="482"/>
        <v>0</v>
      </c>
      <c r="AB176" s="160">
        <f t="shared" si="482"/>
        <v>0</v>
      </c>
      <c r="AC176" s="160">
        <f t="shared" si="482"/>
        <v>26484.38523</v>
      </c>
      <c r="AD176" s="160">
        <f t="shared" si="482"/>
        <v>0</v>
      </c>
      <c r="AE176" s="160">
        <f t="shared" si="482"/>
        <v>9086.5960200000009</v>
      </c>
      <c r="AF176" s="294">
        <f t="shared" si="482"/>
        <v>0</v>
      </c>
      <c r="AG176" s="294">
        <f t="shared" si="482"/>
        <v>0</v>
      </c>
      <c r="AH176" s="160">
        <f t="shared" si="482"/>
        <v>15.751027486306873</v>
      </c>
      <c r="AI176" s="294">
        <f t="shared" si="482"/>
        <v>0</v>
      </c>
      <c r="AJ176" s="294">
        <f t="shared" si="482"/>
        <v>0</v>
      </c>
      <c r="AK176" s="160">
        <f t="shared" si="482"/>
        <v>217.97167999999999</v>
      </c>
      <c r="AL176" s="294">
        <f t="shared" si="482"/>
        <v>0</v>
      </c>
      <c r="AM176" s="162">
        <f t="shared" si="465"/>
        <v>35804.703957486308</v>
      </c>
      <c r="AO176" s="107" t="s">
        <v>389</v>
      </c>
      <c r="AP176" s="294">
        <f t="shared" ref="AP176:BB176" si="483">AP58+AP90+AP106+AP122+AP138</f>
        <v>0</v>
      </c>
      <c r="AQ176" s="294">
        <f t="shared" si="483"/>
        <v>0</v>
      </c>
      <c r="AR176" s="160">
        <f t="shared" si="483"/>
        <v>36925</v>
      </c>
      <c r="AS176" s="160">
        <f t="shared" si="483"/>
        <v>11369</v>
      </c>
      <c r="AT176" s="160">
        <f t="shared" si="483"/>
        <v>7697</v>
      </c>
      <c r="AU176" s="160">
        <f t="shared" si="483"/>
        <v>1085</v>
      </c>
      <c r="AV176" s="294">
        <f t="shared" si="483"/>
        <v>0</v>
      </c>
      <c r="AW176" s="294">
        <f t="shared" si="483"/>
        <v>0</v>
      </c>
      <c r="AX176" s="160">
        <f t="shared" si="483"/>
        <v>255</v>
      </c>
      <c r="AY176" s="294">
        <f t="shared" si="483"/>
        <v>0</v>
      </c>
      <c r="AZ176" s="294">
        <f t="shared" si="483"/>
        <v>0</v>
      </c>
      <c r="BA176" s="160">
        <f t="shared" si="483"/>
        <v>1860</v>
      </c>
      <c r="BB176" s="294">
        <f t="shared" si="483"/>
        <v>0</v>
      </c>
      <c r="BC176" s="162">
        <f t="shared" si="467"/>
        <v>59191</v>
      </c>
      <c r="BE176" s="107"/>
      <c r="BF176" s="166"/>
      <c r="BG176" s="166"/>
      <c r="BH176" s="166"/>
      <c r="BI176" s="166"/>
      <c r="BJ176" s="166"/>
      <c r="BK176" s="166"/>
      <c r="BL176" s="166"/>
      <c r="BM176" s="166"/>
      <c r="BN176" s="166"/>
      <c r="BO176" s="166"/>
      <c r="BP176" s="166"/>
      <c r="BQ176" s="166"/>
      <c r="BR176" s="166"/>
      <c r="BS176" s="166"/>
      <c r="BU176" s="107"/>
      <c r="BV176" s="166"/>
      <c r="BW176" s="166"/>
      <c r="BX176" s="166"/>
      <c r="BY176" s="166"/>
      <c r="BZ176" s="166"/>
      <c r="CA176" s="166"/>
      <c r="CB176" s="166"/>
      <c r="CC176" s="166"/>
      <c r="CD176" s="166"/>
      <c r="CE176" s="166"/>
      <c r="CF176" s="166"/>
      <c r="CG176" s="166"/>
      <c r="CH176" s="166"/>
      <c r="CI176" s="166"/>
      <c r="CK176" s="107" t="s">
        <v>389</v>
      </c>
      <c r="CL176" s="166" t="str">
        <f t="shared" si="470"/>
        <v/>
      </c>
      <c r="CM176" s="166" t="str">
        <f t="shared" si="470"/>
        <v/>
      </c>
      <c r="CN176" s="166" t="str">
        <f t="shared" si="470"/>
        <v/>
      </c>
      <c r="CO176" s="166" t="str">
        <f t="shared" si="470"/>
        <v/>
      </c>
      <c r="CP176" s="166"/>
      <c r="CQ176" s="166"/>
      <c r="CR176" s="166"/>
      <c r="CS176" s="166"/>
      <c r="CT176" s="166" t="str">
        <f t="shared" si="471"/>
        <v/>
      </c>
      <c r="CU176" s="166" t="str">
        <f t="shared" si="471"/>
        <v/>
      </c>
      <c r="CV176" s="166" t="str">
        <f t="shared" si="471"/>
        <v/>
      </c>
      <c r="CW176" s="166" t="str">
        <f t="shared" si="471"/>
        <v/>
      </c>
      <c r="CX176" s="166" t="str">
        <f t="shared" si="471"/>
        <v/>
      </c>
      <c r="CY176" s="168" t="str">
        <f t="shared" si="471"/>
        <v/>
      </c>
      <c r="DA176" s="107"/>
      <c r="DB176" s="315"/>
      <c r="DC176" s="315"/>
      <c r="DD176" s="314"/>
      <c r="DE176" s="314"/>
      <c r="DF176" s="314"/>
      <c r="DG176" s="314"/>
      <c r="DH176" s="315"/>
      <c r="DI176" s="315"/>
      <c r="DJ176" s="314"/>
      <c r="DK176" s="315"/>
      <c r="DL176" s="315"/>
      <c r="DM176" s="314"/>
      <c r="DN176" s="315"/>
      <c r="DO176" s="168"/>
      <c r="DQ176" s="107"/>
      <c r="DR176" s="315"/>
      <c r="DS176" s="315"/>
      <c r="DT176" s="314">
        <v>-0.30013099287731704</v>
      </c>
      <c r="DU176" s="314">
        <v>-0.30013099287731704</v>
      </c>
      <c r="DV176" s="314">
        <v>-0.45042604716885437</v>
      </c>
      <c r="DW176" s="314">
        <v>-0.45042604716885437</v>
      </c>
      <c r="DX176" s="315"/>
      <c r="DY176" s="315"/>
      <c r="DZ176" s="314">
        <v>-0.30148540577756</v>
      </c>
      <c r="EA176" s="315"/>
      <c r="EB176" s="315"/>
      <c r="EC176" s="314">
        <v>-6.6315144839057591</v>
      </c>
      <c r="ED176" s="315"/>
      <c r="EE176" s="168"/>
      <c r="EG176" s="107"/>
      <c r="EH176" s="315"/>
      <c r="EI176" s="315"/>
      <c r="EJ176" s="314">
        <f>DT175+(DD175-DD$173)*$EI$1</f>
        <v>-0.22511542765945314</v>
      </c>
      <c r="EK176" s="314">
        <f>DT175+(DD175-DD$173)*$EI$1</f>
        <v>-0.22511542765945314</v>
      </c>
      <c r="EL176" s="314">
        <f>DV175+(DF175-DF$173)*$EI$1</f>
        <v>-0.26607355703982155</v>
      </c>
      <c r="EM176" s="314">
        <f>DV175+(DF175-DF$173)*$EI$1</f>
        <v>-0.26607355703982155</v>
      </c>
      <c r="EN176" s="315"/>
      <c r="EO176" s="315"/>
      <c r="EP176" s="314">
        <f>DZ175+(DJ175-DJ$181)*$EI$1</f>
        <v>-0.73417872176342536</v>
      </c>
      <c r="EQ176" s="315"/>
      <c r="ER176" s="315"/>
      <c r="ES176" s="314">
        <f>EC175+(DM175-DM$184)*$EI$1</f>
        <v>-7.9014205198600918</v>
      </c>
      <c r="ET176" s="315"/>
      <c r="EU176" s="168"/>
      <c r="EW176" s="164" t="s">
        <v>389</v>
      </c>
      <c r="EX176" s="316">
        <f t="shared" si="476"/>
        <v>0</v>
      </c>
      <c r="EY176" s="316">
        <f t="shared" si="473"/>
        <v>0</v>
      </c>
      <c r="EZ176" s="316">
        <f t="shared" si="473"/>
        <v>-0.22511542765945314</v>
      </c>
      <c r="FA176" s="316">
        <f t="shared" si="473"/>
        <v>-0.22511542765945314</v>
      </c>
      <c r="FB176" s="316">
        <f t="shared" si="473"/>
        <v>0</v>
      </c>
      <c r="FC176" s="316">
        <f t="shared" si="473"/>
        <v>0</v>
      </c>
      <c r="FD176" s="316">
        <f t="shared" si="473"/>
        <v>-0.38383779537012913</v>
      </c>
      <c r="FE176" s="316">
        <f t="shared" si="473"/>
        <v>0</v>
      </c>
      <c r="FF176" s="316"/>
      <c r="FG176" s="316">
        <f t="shared" si="473"/>
        <v>0</v>
      </c>
      <c r="FH176" s="316">
        <f t="shared" si="473"/>
        <v>0</v>
      </c>
      <c r="FI176" s="316">
        <f t="shared" si="473"/>
        <v>0</v>
      </c>
      <c r="FJ176" s="316">
        <f t="shared" si="473"/>
        <v>0</v>
      </c>
      <c r="FK176" s="316"/>
      <c r="FL176" s="168"/>
    </row>
    <row r="177" spans="2:168" x14ac:dyDescent="0.25">
      <c r="B177" s="107" t="s">
        <v>390</v>
      </c>
      <c r="C177" s="294"/>
      <c r="D177" s="294"/>
      <c r="E177" s="294"/>
      <c r="F177" s="294"/>
      <c r="G177" s="160"/>
      <c r="H177" s="160"/>
      <c r="I177" s="294"/>
      <c r="J177" s="294"/>
      <c r="K177" s="160"/>
      <c r="L177" s="294"/>
      <c r="M177" s="294"/>
      <c r="N177" s="160"/>
      <c r="O177" s="294"/>
      <c r="P177" s="162">
        <f t="shared" si="463"/>
        <v>0</v>
      </c>
      <c r="Y177" s="107" t="s">
        <v>390</v>
      </c>
      <c r="Z177" s="294">
        <f t="shared" ref="Z177:AL177" si="484">Z59+Z91+Z107+Z123+Z139</f>
        <v>0</v>
      </c>
      <c r="AA177" s="294">
        <f t="shared" si="484"/>
        <v>0</v>
      </c>
      <c r="AB177" s="294">
        <f t="shared" si="484"/>
        <v>0</v>
      </c>
      <c r="AC177" s="294">
        <f t="shared" si="484"/>
        <v>0</v>
      </c>
      <c r="AD177" s="160">
        <f t="shared" si="484"/>
        <v>4196998.2251200005</v>
      </c>
      <c r="AE177" s="160">
        <f t="shared" si="484"/>
        <v>55231.873099999997</v>
      </c>
      <c r="AF177" s="294">
        <f t="shared" si="484"/>
        <v>0</v>
      </c>
      <c r="AG177" s="294">
        <f t="shared" si="484"/>
        <v>0</v>
      </c>
      <c r="AH177" s="160">
        <f t="shared" si="484"/>
        <v>6093.6060455203806</v>
      </c>
      <c r="AI177" s="294">
        <f t="shared" si="484"/>
        <v>0</v>
      </c>
      <c r="AJ177" s="294">
        <f t="shared" si="484"/>
        <v>0</v>
      </c>
      <c r="AK177" s="160">
        <f t="shared" si="484"/>
        <v>177.24843999999999</v>
      </c>
      <c r="AL177" s="294">
        <f t="shared" si="484"/>
        <v>0</v>
      </c>
      <c r="AM177" s="162">
        <f t="shared" si="465"/>
        <v>4258500.9527055211</v>
      </c>
      <c r="AO177" s="107" t="s">
        <v>390</v>
      </c>
      <c r="AP177" s="294">
        <f t="shared" ref="AP177:BB177" si="485">AP59+AP91+AP107+AP123+AP139</f>
        <v>0</v>
      </c>
      <c r="AQ177" s="294">
        <f t="shared" si="485"/>
        <v>0</v>
      </c>
      <c r="AR177" s="294">
        <f t="shared" si="485"/>
        <v>0</v>
      </c>
      <c r="AS177" s="294">
        <f t="shared" si="485"/>
        <v>0</v>
      </c>
      <c r="AT177" s="160">
        <f t="shared" si="485"/>
        <v>1775315</v>
      </c>
      <c r="AU177" s="160">
        <f t="shared" si="485"/>
        <v>27317</v>
      </c>
      <c r="AV177" s="294">
        <f t="shared" si="485"/>
        <v>0</v>
      </c>
      <c r="AW177" s="294">
        <f t="shared" si="485"/>
        <v>0</v>
      </c>
      <c r="AX177" s="160">
        <f t="shared" si="485"/>
        <v>4431</v>
      </c>
      <c r="AY177" s="294">
        <f t="shared" si="485"/>
        <v>0</v>
      </c>
      <c r="AZ177" s="294">
        <f t="shared" si="485"/>
        <v>0</v>
      </c>
      <c r="BA177" s="160">
        <f t="shared" si="485"/>
        <v>780</v>
      </c>
      <c r="BB177" s="294">
        <f t="shared" si="485"/>
        <v>0</v>
      </c>
      <c r="BC177" s="162">
        <f t="shared" si="467"/>
        <v>1807843</v>
      </c>
      <c r="BE177" s="107" t="s">
        <v>577</v>
      </c>
      <c r="BF177" s="166">
        <f>IF(Z$164+AA$164&gt;0,SUM(Z177:AA178)/(Z$164+AA$164),"")</f>
        <v>0</v>
      </c>
      <c r="BG177" s="166"/>
      <c r="BH177" s="166">
        <f>IF(AB$164+AC$164&gt;0,SUM(AB177:AC178)/(AB$164+AC$164),"")</f>
        <v>0</v>
      </c>
      <c r="BI177" s="166"/>
      <c r="BJ177" s="166">
        <f>IF(AD$164+AE$164&gt;0,SUM(AD177:AE178)/(AD$164+AE$164),"")</f>
        <v>0.72357684353824903</v>
      </c>
      <c r="BK177" s="166"/>
      <c r="BL177" s="166">
        <f t="shared" ref="BL177:BS177" si="486">IF(AF$164&gt;0,(AF177+AF178)/AF$164,"")</f>
        <v>0</v>
      </c>
      <c r="BM177" s="166">
        <f t="shared" si="486"/>
        <v>0</v>
      </c>
      <c r="BN177" s="166">
        <f t="shared" si="486"/>
        <v>3.6223822763480325E-3</v>
      </c>
      <c r="BO177" s="166">
        <f t="shared" si="486"/>
        <v>0</v>
      </c>
      <c r="BP177" s="166">
        <f t="shared" si="486"/>
        <v>0</v>
      </c>
      <c r="BQ177" s="166">
        <f t="shared" si="486"/>
        <v>2.5763365754398995E-3</v>
      </c>
      <c r="BR177" s="166">
        <f t="shared" si="486"/>
        <v>0</v>
      </c>
      <c r="BS177" s="166">
        <f t="shared" si="486"/>
        <v>0.14125708855278796</v>
      </c>
      <c r="BU177" s="107" t="s">
        <v>577</v>
      </c>
      <c r="BV177" s="166">
        <f>IF(AP$164+AQ$164&gt;0,SUM(AP177:AQ178)/(AP$164+AQ$164),"")</f>
        <v>0</v>
      </c>
      <c r="BW177" s="166"/>
      <c r="BX177" s="166">
        <f>IF(AR$164+AS$164&gt;0,SUM(AR177:AS178)/(AR$164+AS$164),"")</f>
        <v>0</v>
      </c>
      <c r="BY177" s="166"/>
      <c r="BZ177" s="166">
        <f>IF(AT$164+AU$164&gt;0,SUM(AT177:AU178)/(AT$164+AU$164),"")</f>
        <v>0.349118837829758</v>
      </c>
      <c r="CA177" s="166"/>
      <c r="CB177" s="166">
        <f t="shared" ref="CB177:CI177" si="487">IF(AV$164&gt;0,(AV177+AV178)/AV$164,"")</f>
        <v>0</v>
      </c>
      <c r="CC177" s="166">
        <f t="shared" si="487"/>
        <v>0</v>
      </c>
      <c r="CD177" s="166">
        <f t="shared" si="487"/>
        <v>4.1078825388580513E-3</v>
      </c>
      <c r="CE177" s="166">
        <f t="shared" si="487"/>
        <v>0</v>
      </c>
      <c r="CF177" s="166">
        <f t="shared" si="487"/>
        <v>0</v>
      </c>
      <c r="CG177" s="166">
        <f t="shared" si="487"/>
        <v>6.0802833530106256E-3</v>
      </c>
      <c r="CH177" s="166">
        <f t="shared" si="487"/>
        <v>0</v>
      </c>
      <c r="CI177" s="166">
        <f t="shared" si="487"/>
        <v>5.1751349596079327E-2</v>
      </c>
      <c r="CK177" s="107" t="s">
        <v>390</v>
      </c>
      <c r="CL177" s="166"/>
      <c r="CM177" s="166"/>
      <c r="CN177" s="166"/>
      <c r="CO177" s="166"/>
      <c r="CP177" s="166"/>
      <c r="CQ177" s="166"/>
      <c r="CR177" s="166"/>
      <c r="CS177" s="166"/>
      <c r="CT177" s="166"/>
      <c r="CU177" s="166"/>
      <c r="CV177" s="166"/>
      <c r="CW177" s="166"/>
      <c r="CX177" s="166"/>
      <c r="CY177" s="168"/>
      <c r="DA177" s="107" t="s">
        <v>577</v>
      </c>
      <c r="DB177" s="315">
        <f>IFERROR(IF(BV177&gt;0,LN(BF177/BV177),0),0)</f>
        <v>0</v>
      </c>
      <c r="DC177" s="315"/>
      <c r="DD177" s="315">
        <f>IFERROR(IF(BX177&gt;0,LN(BH177/BX177),0),0)</f>
        <v>0</v>
      </c>
      <c r="DE177" s="315"/>
      <c r="DF177" s="314">
        <f>IFERROR(IF(BZ177&gt;0,LN(BJ177/BZ177),0),0)</f>
        <v>0.7287943774822957</v>
      </c>
      <c r="DG177" s="314"/>
      <c r="DH177" s="315">
        <f t="shared" ref="DH177:DN177" si="488">IFERROR(IF(CB177&gt;0,LN(BL177/CB177),0),0)</f>
        <v>0</v>
      </c>
      <c r="DI177" s="315">
        <f t="shared" si="488"/>
        <v>0</v>
      </c>
      <c r="DJ177" s="314">
        <f t="shared" si="488"/>
        <v>-0.12577580160815807</v>
      </c>
      <c r="DK177" s="315">
        <f t="shared" si="488"/>
        <v>0</v>
      </c>
      <c r="DL177" s="315">
        <f t="shared" si="488"/>
        <v>0</v>
      </c>
      <c r="DM177" s="314">
        <f t="shared" si="488"/>
        <v>-0.85868284113099236</v>
      </c>
      <c r="DN177" s="315">
        <f t="shared" si="488"/>
        <v>0</v>
      </c>
      <c r="DO177" s="168"/>
      <c r="DQ177" s="107" t="s">
        <v>577</v>
      </c>
      <c r="DR177" s="315"/>
      <c r="DS177" s="315"/>
      <c r="DT177" s="315"/>
      <c r="DU177" s="315"/>
      <c r="DV177" s="314">
        <v>-0.33540159341144493</v>
      </c>
      <c r="DW177" s="314">
        <v>-0.33540159341144493</v>
      </c>
      <c r="DX177" s="315"/>
      <c r="DY177" s="315"/>
      <c r="DZ177" s="314">
        <v>-2.0148679498716646</v>
      </c>
      <c r="EA177" s="315"/>
      <c r="EB177" s="315"/>
      <c r="EC177" s="314">
        <v>-7.9378409125686025</v>
      </c>
      <c r="ED177" s="315"/>
      <c r="EE177" s="168"/>
      <c r="EG177" s="107" t="s">
        <v>577</v>
      </c>
      <c r="EH177" s="315"/>
      <c r="EI177" s="315"/>
      <c r="EJ177" s="315"/>
      <c r="EK177" s="315"/>
      <c r="EL177" s="314">
        <f>DV177+(DF177-DF$173)*$EI$1</f>
        <v>-6.5854036920563297E-2</v>
      </c>
      <c r="EM177" s="314">
        <f>DV177+(DF177-DF$173)*$EI$1</f>
        <v>-6.5854036920563297E-2</v>
      </c>
      <c r="EN177" s="315"/>
      <c r="EO177" s="315"/>
      <c r="EP177" s="314">
        <f>DZ177+(DJ177-DJ$181)*$EI$1</f>
        <v>-2.5023905061070799</v>
      </c>
      <c r="EQ177" s="315"/>
      <c r="ER177" s="315"/>
      <c r="ES177" s="314">
        <f>EC177+(DM177-DM$184)*$EI$1</f>
        <v>-9.3917853822907382</v>
      </c>
      <c r="ET177" s="315"/>
      <c r="EU177" s="168"/>
      <c r="EW177" s="164" t="s">
        <v>390</v>
      </c>
      <c r="EX177" s="316">
        <f t="shared" si="476"/>
        <v>0</v>
      </c>
      <c r="EY177" s="316">
        <f t="shared" si="473"/>
        <v>0</v>
      </c>
      <c r="EZ177" s="316">
        <f t="shared" si="473"/>
        <v>-0.26607355703982155</v>
      </c>
      <c r="FA177" s="316">
        <f t="shared" si="473"/>
        <v>-0.26607355703982155</v>
      </c>
      <c r="FB177" s="316">
        <f t="shared" si="473"/>
        <v>-6.5854036920563297E-2</v>
      </c>
      <c r="FC177" s="316">
        <f t="shared" si="473"/>
        <v>-6.5854036920563297E-2</v>
      </c>
      <c r="FD177" s="316">
        <f t="shared" si="473"/>
        <v>-1.5275172793304084</v>
      </c>
      <c r="FE177" s="316">
        <f t="shared" si="473"/>
        <v>0</v>
      </c>
      <c r="FF177" s="316"/>
      <c r="FG177" s="316">
        <f t="shared" si="473"/>
        <v>0</v>
      </c>
      <c r="FH177" s="316">
        <f t="shared" si="473"/>
        <v>0</v>
      </c>
      <c r="FI177" s="316">
        <f t="shared" si="473"/>
        <v>0</v>
      </c>
      <c r="FJ177" s="316">
        <f t="shared" si="473"/>
        <v>0</v>
      </c>
      <c r="FK177" s="316"/>
      <c r="FL177" s="168"/>
    </row>
    <row r="178" spans="2:168" x14ac:dyDescent="0.25">
      <c r="B178" s="107" t="s">
        <v>391</v>
      </c>
      <c r="C178" s="294"/>
      <c r="D178" s="294"/>
      <c r="E178" s="294"/>
      <c r="F178" s="294"/>
      <c r="G178" s="160"/>
      <c r="H178" s="160"/>
      <c r="I178" s="294"/>
      <c r="J178" s="294"/>
      <c r="K178" s="160"/>
      <c r="L178" s="294"/>
      <c r="M178" s="294"/>
      <c r="N178" s="160"/>
      <c r="O178" s="294"/>
      <c r="P178" s="162">
        <f t="shared" si="463"/>
        <v>0</v>
      </c>
      <c r="Y178" s="107" t="s">
        <v>391</v>
      </c>
      <c r="Z178" s="294">
        <f t="shared" ref="Z178:AL178" si="489">Z60+Z92+Z108+Z124+Z140</f>
        <v>0</v>
      </c>
      <c r="AA178" s="294">
        <f t="shared" si="489"/>
        <v>0</v>
      </c>
      <c r="AB178" s="294">
        <f t="shared" si="489"/>
        <v>0</v>
      </c>
      <c r="AC178" s="294">
        <f t="shared" si="489"/>
        <v>0</v>
      </c>
      <c r="AD178" s="160">
        <f t="shared" si="489"/>
        <v>0</v>
      </c>
      <c r="AE178" s="160">
        <f t="shared" si="489"/>
        <v>55233.997159999999</v>
      </c>
      <c r="AF178" s="294">
        <f t="shared" si="489"/>
        <v>0</v>
      </c>
      <c r="AG178" s="294">
        <f t="shared" si="489"/>
        <v>0</v>
      </c>
      <c r="AH178" s="160">
        <f t="shared" si="489"/>
        <v>373.68847026664429</v>
      </c>
      <c r="AI178" s="294">
        <f t="shared" si="489"/>
        <v>0</v>
      </c>
      <c r="AJ178" s="294">
        <f t="shared" si="489"/>
        <v>0</v>
      </c>
      <c r="AK178" s="160">
        <f t="shared" si="489"/>
        <v>0</v>
      </c>
      <c r="AL178" s="294">
        <f t="shared" si="489"/>
        <v>0</v>
      </c>
      <c r="AM178" s="162">
        <f t="shared" si="465"/>
        <v>55607.685630266642</v>
      </c>
      <c r="AO178" s="107" t="s">
        <v>391</v>
      </c>
      <c r="AP178" s="294">
        <f t="shared" ref="AP178:BB178" si="490">AP60+AP92+AP108+AP124+AP140</f>
        <v>0</v>
      </c>
      <c r="AQ178" s="294">
        <f t="shared" si="490"/>
        <v>0</v>
      </c>
      <c r="AR178" s="294">
        <f t="shared" si="490"/>
        <v>0</v>
      </c>
      <c r="AS178" s="294">
        <f t="shared" si="490"/>
        <v>0</v>
      </c>
      <c r="AT178" s="160">
        <f t="shared" si="490"/>
        <v>41836</v>
      </c>
      <c r="AU178" s="160">
        <f t="shared" si="490"/>
        <v>6492</v>
      </c>
      <c r="AV178" s="294">
        <f t="shared" si="490"/>
        <v>0</v>
      </c>
      <c r="AW178" s="294">
        <f t="shared" si="490"/>
        <v>0</v>
      </c>
      <c r="AX178" s="160">
        <f t="shared" si="490"/>
        <v>235</v>
      </c>
      <c r="AY178" s="294">
        <f t="shared" si="490"/>
        <v>0</v>
      </c>
      <c r="AZ178" s="294">
        <f t="shared" si="490"/>
        <v>0</v>
      </c>
      <c r="BA178" s="160">
        <f t="shared" si="490"/>
        <v>250</v>
      </c>
      <c r="BB178" s="294">
        <f t="shared" si="490"/>
        <v>0</v>
      </c>
      <c r="BC178" s="162">
        <f t="shared" si="467"/>
        <v>48813</v>
      </c>
      <c r="BE178" s="107"/>
      <c r="BF178" s="166"/>
      <c r="BG178" s="166"/>
      <c r="BH178" s="166"/>
      <c r="BI178" s="166"/>
      <c r="BJ178" s="166"/>
      <c r="BK178" s="166"/>
      <c r="BL178" s="166"/>
      <c r="BM178" s="166"/>
      <c r="BN178" s="166"/>
      <c r="BO178" s="166"/>
      <c r="BP178" s="166"/>
      <c r="BQ178" s="166"/>
      <c r="BR178" s="166"/>
      <c r="BS178" s="166"/>
      <c r="BU178" s="107"/>
      <c r="BV178" s="166"/>
      <c r="BW178" s="166"/>
      <c r="BX178" s="166"/>
      <c r="BY178" s="166"/>
      <c r="BZ178" s="166"/>
      <c r="CA178" s="166"/>
      <c r="CB178" s="166"/>
      <c r="CC178" s="166"/>
      <c r="CD178" s="166"/>
      <c r="CE178" s="166"/>
      <c r="CF178" s="166"/>
      <c r="CG178" s="166"/>
      <c r="CH178" s="166"/>
      <c r="CI178" s="166"/>
      <c r="CK178" s="107" t="s">
        <v>391</v>
      </c>
      <c r="CL178" s="166"/>
      <c r="CM178" s="166"/>
      <c r="CN178" s="166"/>
      <c r="CO178" s="166"/>
      <c r="CP178" s="166"/>
      <c r="CQ178" s="166"/>
      <c r="CR178" s="166"/>
      <c r="CS178" s="166"/>
      <c r="CT178" s="166"/>
      <c r="CU178" s="166"/>
      <c r="CV178" s="166"/>
      <c r="CW178" s="166"/>
      <c r="CX178" s="166"/>
      <c r="CY178" s="168"/>
      <c r="DA178" s="107"/>
      <c r="DB178" s="315"/>
      <c r="DC178" s="315"/>
      <c r="DD178" s="315"/>
      <c r="DE178" s="315"/>
      <c r="DF178" s="314"/>
      <c r="DG178" s="314"/>
      <c r="DH178" s="315"/>
      <c r="DI178" s="315"/>
      <c r="DJ178" s="314"/>
      <c r="DK178" s="315"/>
      <c r="DL178" s="315"/>
      <c r="DM178" s="314"/>
      <c r="DN178" s="315"/>
      <c r="DO178" s="168"/>
      <c r="DQ178" s="107"/>
      <c r="DR178" s="315"/>
      <c r="DS178" s="315"/>
      <c r="DT178" s="315"/>
      <c r="DU178" s="315"/>
      <c r="DV178" s="314">
        <v>-0.33540159341144493</v>
      </c>
      <c r="DW178" s="314">
        <v>-0.33540159341144493</v>
      </c>
      <c r="DX178" s="315"/>
      <c r="DY178" s="315"/>
      <c r="DZ178" s="314">
        <v>-2.0148679498716646</v>
      </c>
      <c r="EA178" s="315"/>
      <c r="EB178" s="315"/>
      <c r="EC178" s="314">
        <v>-7.9378409125686025</v>
      </c>
      <c r="ED178" s="315"/>
      <c r="EE178" s="168"/>
      <c r="EG178" s="107"/>
      <c r="EH178" s="315"/>
      <c r="EI178" s="315"/>
      <c r="EJ178" s="315"/>
      <c r="EK178" s="315"/>
      <c r="EL178" s="314">
        <f>DV177+(DF177-DF$173)*$EI$1</f>
        <v>-6.5854036920563297E-2</v>
      </c>
      <c r="EM178" s="314">
        <f>DV177+(DF177-DF$173)*$EI$1</f>
        <v>-6.5854036920563297E-2</v>
      </c>
      <c r="EN178" s="315"/>
      <c r="EO178" s="315"/>
      <c r="EP178" s="314">
        <f>DZ177+(DJ177-DJ$181)*$EI$1</f>
        <v>-2.5023905061070799</v>
      </c>
      <c r="EQ178" s="315"/>
      <c r="ER178" s="315"/>
      <c r="ES178" s="314">
        <f>EC177+(DM177-DM$184)*$EI$1</f>
        <v>-9.3917853822907382</v>
      </c>
      <c r="ET178" s="315"/>
      <c r="EU178" s="168"/>
      <c r="EW178" s="164" t="s">
        <v>391</v>
      </c>
      <c r="EX178" s="316">
        <f t="shared" si="476"/>
        <v>0</v>
      </c>
      <c r="EY178" s="316">
        <f t="shared" si="473"/>
        <v>0</v>
      </c>
      <c r="EZ178" s="316">
        <f t="shared" si="473"/>
        <v>-0.26607355703982155</v>
      </c>
      <c r="FA178" s="316">
        <f t="shared" si="473"/>
        <v>-0.26607355703982155</v>
      </c>
      <c r="FB178" s="316">
        <f t="shared" si="473"/>
        <v>-6.5854036920563297E-2</v>
      </c>
      <c r="FC178" s="316">
        <f t="shared" si="473"/>
        <v>-6.5854036920563297E-2</v>
      </c>
      <c r="FD178" s="316">
        <f t="shared" si="473"/>
        <v>-1.5275172793304084</v>
      </c>
      <c r="FE178" s="316">
        <f t="shared" si="473"/>
        <v>0</v>
      </c>
      <c r="FF178" s="316"/>
      <c r="FG178" s="316">
        <f t="shared" si="473"/>
        <v>0</v>
      </c>
      <c r="FH178" s="316">
        <f t="shared" si="473"/>
        <v>0</v>
      </c>
      <c r="FI178" s="316">
        <f t="shared" si="473"/>
        <v>0</v>
      </c>
      <c r="FJ178" s="316">
        <f t="shared" si="473"/>
        <v>0</v>
      </c>
      <c r="FK178" s="316"/>
      <c r="FL178" s="168"/>
    </row>
    <row r="179" spans="2:168" x14ac:dyDescent="0.25">
      <c r="B179" s="107" t="s">
        <v>392</v>
      </c>
      <c r="C179" s="294"/>
      <c r="D179" s="294"/>
      <c r="E179" s="160"/>
      <c r="F179" s="160"/>
      <c r="G179" s="160"/>
      <c r="H179" s="160"/>
      <c r="I179" s="160"/>
      <c r="J179" s="294"/>
      <c r="K179" s="160"/>
      <c r="L179" s="294"/>
      <c r="M179" s="294"/>
      <c r="N179" s="160"/>
      <c r="O179" s="294"/>
      <c r="P179" s="162">
        <f t="shared" si="463"/>
        <v>0</v>
      </c>
      <c r="Y179" s="107" t="s">
        <v>392</v>
      </c>
      <c r="Z179" s="294">
        <f t="shared" ref="Z179:AL179" si="491">Z61+Z93+Z109+Z125+Z141</f>
        <v>0</v>
      </c>
      <c r="AA179" s="294">
        <f t="shared" si="491"/>
        <v>0</v>
      </c>
      <c r="AB179" s="160">
        <f t="shared" si="491"/>
        <v>57013.902219999989</v>
      </c>
      <c r="AC179" s="160">
        <f t="shared" si="491"/>
        <v>548.09622999999999</v>
      </c>
      <c r="AD179" s="160">
        <f t="shared" si="491"/>
        <v>41738.47062</v>
      </c>
      <c r="AE179" s="160">
        <f t="shared" si="491"/>
        <v>677.27496000000008</v>
      </c>
      <c r="AF179" s="160">
        <f t="shared" si="491"/>
        <v>1529886.2819599998</v>
      </c>
      <c r="AG179" s="294">
        <f t="shared" si="491"/>
        <v>0</v>
      </c>
      <c r="AH179" s="160">
        <f t="shared" si="491"/>
        <v>83082.878604608311</v>
      </c>
      <c r="AI179" s="294">
        <f t="shared" si="491"/>
        <v>0</v>
      </c>
      <c r="AJ179" s="294">
        <f t="shared" si="491"/>
        <v>0</v>
      </c>
      <c r="AK179" s="160">
        <f t="shared" si="491"/>
        <v>6653.12183</v>
      </c>
      <c r="AL179" s="294">
        <f t="shared" si="491"/>
        <v>0</v>
      </c>
      <c r="AM179" s="162">
        <f t="shared" si="465"/>
        <v>1719600.0264246082</v>
      </c>
      <c r="AO179" s="107" t="s">
        <v>392</v>
      </c>
      <c r="AP179" s="294">
        <f t="shared" ref="AP179:BB179" si="492">AP61+AP93+AP109+AP125+AP141</f>
        <v>0</v>
      </c>
      <c r="AQ179" s="294">
        <f t="shared" si="492"/>
        <v>0</v>
      </c>
      <c r="AR179" s="160">
        <f t="shared" si="492"/>
        <v>48188</v>
      </c>
      <c r="AS179" s="160">
        <f t="shared" si="492"/>
        <v>237</v>
      </c>
      <c r="AT179" s="160">
        <f t="shared" si="492"/>
        <v>21495</v>
      </c>
      <c r="AU179" s="160">
        <f t="shared" si="492"/>
        <v>91</v>
      </c>
      <c r="AV179" s="160">
        <f t="shared" si="492"/>
        <v>2053541</v>
      </c>
      <c r="AW179" s="294">
        <f t="shared" si="492"/>
        <v>0</v>
      </c>
      <c r="AX179" s="160">
        <f t="shared" si="492"/>
        <v>56021</v>
      </c>
      <c r="AY179" s="294">
        <f t="shared" si="492"/>
        <v>0</v>
      </c>
      <c r="AZ179" s="294">
        <f t="shared" si="492"/>
        <v>0</v>
      </c>
      <c r="BA179" s="160">
        <f t="shared" si="492"/>
        <v>12770</v>
      </c>
      <c r="BB179" s="294">
        <f t="shared" si="492"/>
        <v>0</v>
      </c>
      <c r="BC179" s="162">
        <f t="shared" si="467"/>
        <v>2192343</v>
      </c>
      <c r="BE179" s="107" t="s">
        <v>392</v>
      </c>
      <c r="BF179" s="166">
        <f t="shared" ref="BF179:BF186" si="493">IF(Z$164&gt;0,Z179/Z$164,"")</f>
        <v>0</v>
      </c>
      <c r="BG179" s="166">
        <f t="shared" ref="BG179:BG186" si="494">IF(AA$164&gt;0,AA179/AA$164,"")</f>
        <v>0</v>
      </c>
      <c r="BH179" s="166">
        <f t="shared" ref="BH179:BH186" si="495">IF(AB$164&gt;0,AB179/AB$164,"")</f>
        <v>9.7582073412240729E-3</v>
      </c>
      <c r="BI179" s="166">
        <f t="shared" ref="BI179:BI186" si="496">IF(AC$164&gt;0,AC179/AC$164,"")</f>
        <v>3.768074713704083E-3</v>
      </c>
      <c r="BJ179" s="166">
        <f t="shared" ref="BJ179:BJ186" si="497">IF(AD$164&gt;0,AD179/AD$164,"")</f>
        <v>7.2162848185106983E-3</v>
      </c>
      <c r="BK179" s="166">
        <f t="shared" ref="BK179:BK186" si="498">IF(AE$164&gt;0,AE179/AE$164,"")</f>
        <v>4.005468652021415E-3</v>
      </c>
      <c r="BL179" s="166">
        <f t="shared" ref="BL179:BL186" si="499">IF(AF$164&gt;0,AF179/AF$164,"")</f>
        <v>0.76765682519074019</v>
      </c>
      <c r="BM179" s="166">
        <f t="shared" ref="BM179:BM186" si="500">IF(AG$164&gt;0,AG179/AG$164,"")</f>
        <v>0</v>
      </c>
      <c r="BN179" s="166">
        <f t="shared" ref="BN179:BN186" si="501">IF(AH$164&gt;0,AH179/AH$164,"")</f>
        <v>4.6535370577395735E-2</v>
      </c>
      <c r="BO179" s="166">
        <f t="shared" ref="BO179:BO186" si="502">IF(AI$164&gt;0,AI179/AI$164,"")</f>
        <v>0</v>
      </c>
      <c r="BP179" s="166">
        <f t="shared" ref="BP179:BP186" si="503">IF(AJ$164&gt;0,AJ179/AJ$164,"")</f>
        <v>0</v>
      </c>
      <c r="BQ179" s="166">
        <f t="shared" ref="BQ179:BQ186" si="504">IF(AK$164&gt;0,AK179/AK$164,"")</f>
        <v>9.6704270635536424E-2</v>
      </c>
      <c r="BR179" s="166">
        <f t="shared" ref="BR179:BR186" si="505">IF(AL$164&gt;0,AL179/AL$164,"")</f>
        <v>0</v>
      </c>
      <c r="BS179" s="166">
        <f t="shared" ref="BS179:BS186" si="506">IF(AM$164&gt;0,AM179/AM$164,"")</f>
        <v>5.6304955106958272E-2</v>
      </c>
      <c r="BU179" s="107" t="s">
        <v>392</v>
      </c>
      <c r="BV179" s="166">
        <f t="shared" ref="BV179:BV186" si="507">IF(AP$164&gt;0,AP179/AP$164,"")</f>
        <v>0</v>
      </c>
      <c r="BW179" s="166">
        <f t="shared" ref="BW179:BW186" si="508">IF(AQ$164&gt;0,AQ179/AQ$164,"")</f>
        <v>0</v>
      </c>
      <c r="BX179" s="166">
        <f t="shared" ref="BX179:BX186" si="509">IF(AR$164&gt;0,AR179/AR$164,"")</f>
        <v>7.6941746022622035E-3</v>
      </c>
      <c r="BY179" s="166">
        <f t="shared" ref="BY179:BY186" si="510">IF(AS$164&gt;0,AS179/AS$164,"")</f>
        <v>1.033445253564732E-3</v>
      </c>
      <c r="BZ179" s="166">
        <f t="shared" ref="BZ179:BZ186" si="511">IF(AT$164&gt;0,AT179/AT$164,"")</f>
        <v>4.1975125417652009E-3</v>
      </c>
      <c r="CA179" s="166">
        <f t="shared" ref="CA179:CA186" si="512">IF(AU$164&gt;0,AU179/AU$164,"")</f>
        <v>5.0299864577287674E-4</v>
      </c>
      <c r="CB179" s="166">
        <f t="shared" ref="CB179:CB186" si="513">IF(AV$164&gt;0,AV179/AV$164,"")</f>
        <v>0.46397116138463312</v>
      </c>
      <c r="CC179" s="166">
        <f t="shared" ref="CC179:CC186" si="514">IF(AW$164&gt;0,AW179/AW$164,"")</f>
        <v>0</v>
      </c>
      <c r="CD179" s="166">
        <f t="shared" ref="CD179:CD186" si="515">IF(AX$164&gt;0,AX179/AX$164,"")</f>
        <v>4.9320121669388525E-2</v>
      </c>
      <c r="CE179" s="166">
        <f t="shared" ref="CE179:CE186" si="516">IF(AY$164&gt;0,AY179/AY$164,"")</f>
        <v>0</v>
      </c>
      <c r="CF179" s="166">
        <f t="shared" ref="CF179:CF186" si="517">IF(AZ$164&gt;0,AZ179/AZ$164,"")</f>
        <v>0</v>
      </c>
      <c r="CG179" s="166">
        <f t="shared" ref="CG179:CG186" si="518">IF(BA$164&gt;0,BA179/BA$164,"")</f>
        <v>7.5383707201889014E-2</v>
      </c>
      <c r="CH179" s="166">
        <f t="shared" ref="CH179:CH186" si="519">IF(BB$164&gt;0,BB179/BB$164,"")</f>
        <v>0</v>
      </c>
      <c r="CI179" s="168">
        <f t="shared" ref="CI179:CI186" si="520">IF(BC$164&gt;0,BC179/BC$164,"")</f>
        <v>6.1108093813564461E-2</v>
      </c>
      <c r="CK179" s="107" t="s">
        <v>392</v>
      </c>
      <c r="CL179" s="166"/>
      <c r="CM179" s="166"/>
      <c r="CN179" s="166"/>
      <c r="CO179" s="166"/>
      <c r="CP179" s="166"/>
      <c r="CQ179" s="166"/>
      <c r="CR179" s="166"/>
      <c r="CS179" s="166"/>
      <c r="CT179" s="166"/>
      <c r="CU179" s="166"/>
      <c r="CV179" s="166"/>
      <c r="CW179" s="166"/>
      <c r="CX179" s="166"/>
      <c r="CY179" s="168"/>
      <c r="DA179" s="107" t="s">
        <v>392</v>
      </c>
      <c r="DB179" s="315">
        <f t="shared" ref="DB179:DB185" si="521">IFERROR(IF(BV179&gt;0,LN(BF179/BV179),0),0)</f>
        <v>0</v>
      </c>
      <c r="DC179" s="315">
        <f t="shared" ref="DC179:DC185" si="522">IFERROR(IF(BW179&gt;0,LN(BG179/BW179),0),0)</f>
        <v>0</v>
      </c>
      <c r="DD179" s="314">
        <f t="shared" ref="DD179:DD185" si="523">IFERROR(IF(BX179&gt;0,LN(BH179/BX179),0),0)</f>
        <v>0.23764521212577117</v>
      </c>
      <c r="DE179" s="314">
        <f t="shared" ref="DE179:DE185" si="524">IFERROR(IF(BY179&gt;0,LN(BI179/BY179),0),0)</f>
        <v>1.2936660581360135</v>
      </c>
      <c r="DF179" s="314">
        <f t="shared" ref="DF179:DF185" si="525">IFERROR(IF(BZ179&gt;0,LN(BJ179/BZ179),0),0)</f>
        <v>0.54184815451765367</v>
      </c>
      <c r="DG179" s="314">
        <f t="shared" ref="DG179:DG185" si="526">IFERROR(IF(CA179&gt;0,LN(BK179/CA179),0),0)</f>
        <v>2.0748283915953003</v>
      </c>
      <c r="DH179" s="314">
        <f t="shared" ref="DH179:DH185" si="527">IFERROR(IF(CB179&gt;0,LN(BL179/CB179),0),0)</f>
        <v>0.50352039297795226</v>
      </c>
      <c r="DI179" s="315">
        <f t="shared" ref="DI179:DI185" si="528">IFERROR(IF(CC179&gt;0,LN(BM179/CC179),0),0)</f>
        <v>0</v>
      </c>
      <c r="DJ179" s="314">
        <f t="shared" ref="DJ179:DJ185" si="529">IFERROR(IF(CD179&gt;0,LN(BN179/CD179),0),0)</f>
        <v>-5.8119464212870203E-2</v>
      </c>
      <c r="DK179" s="315">
        <f t="shared" ref="DK179:DK185" si="530">IFERROR(IF(CE179&gt;0,LN(BO179/CE179),0),0)</f>
        <v>0</v>
      </c>
      <c r="DL179" s="315">
        <f t="shared" ref="DL179:DL185" si="531">IFERROR(IF(CF179&gt;0,LN(BP179/CF179),0),0)</f>
        <v>0</v>
      </c>
      <c r="DM179" s="314">
        <f t="shared" ref="DM179:DM185" si="532">IFERROR(IF(CG179&gt;0,LN(BQ179/CG179),0),0)</f>
        <v>0.24906639843485287</v>
      </c>
      <c r="DN179" s="315">
        <f t="shared" ref="DN179:DN185" si="533">IFERROR(IF(CH179&gt;0,LN(BR179/CH179),0),0)</f>
        <v>0</v>
      </c>
      <c r="DO179" s="168"/>
      <c r="DQ179" s="107" t="s">
        <v>392</v>
      </c>
      <c r="DR179" s="315"/>
      <c r="DS179" s="315"/>
      <c r="DT179" s="314">
        <v>-0.24807851673916204</v>
      </c>
      <c r="DU179" s="314">
        <v>-0.24807851673916204</v>
      </c>
      <c r="DV179" s="314">
        <v>-1.610118612856648</v>
      </c>
      <c r="DW179" s="314">
        <v>-1.610118612856648</v>
      </c>
      <c r="DX179" s="314">
        <v>0</v>
      </c>
      <c r="DY179" s="315"/>
      <c r="DZ179" s="314">
        <v>-1.2105509873958546</v>
      </c>
      <c r="EA179" s="315"/>
      <c r="EB179" s="315"/>
      <c r="EC179" s="314">
        <v>2.311927128972934</v>
      </c>
      <c r="ED179" s="315"/>
      <c r="EE179" s="168"/>
      <c r="EG179" s="107" t="s">
        <v>392</v>
      </c>
      <c r="EH179" s="315"/>
      <c r="EI179" s="315"/>
      <c r="EJ179" s="314">
        <f>DT179+(DD179-DD$173)*$EI$1</f>
        <v>-0.38383779537012913</v>
      </c>
      <c r="EK179" s="314">
        <f>DT179+(DD179-DD$173)*$EI$1</f>
        <v>-0.38383779537012913</v>
      </c>
      <c r="EL179" s="314">
        <f>DV179+(DF179-DF$173)*$EI$1</f>
        <v>-1.5275172793304084</v>
      </c>
      <c r="EM179" s="314">
        <f>DV179+(DF179-DF$173)*$EI$1</f>
        <v>-1.5275172793304084</v>
      </c>
      <c r="EN179" s="314">
        <v>0</v>
      </c>
      <c r="EO179" s="315"/>
      <c r="EP179" s="314">
        <f>DZ179+(DJ179-DJ$181)*$EI$1</f>
        <v>-1.6304172062359821</v>
      </c>
      <c r="EQ179" s="315"/>
      <c r="ER179" s="315"/>
      <c r="ES179" s="314">
        <f>EC179+(DM179-DM$184)*$EI$1</f>
        <v>1.9657318988166428</v>
      </c>
      <c r="ET179" s="315"/>
      <c r="EU179" s="168"/>
      <c r="EW179" s="164" t="s">
        <v>392</v>
      </c>
      <c r="EX179" s="316">
        <f t="shared" si="476"/>
        <v>0</v>
      </c>
      <c r="EY179" s="316">
        <f t="shared" si="473"/>
        <v>0</v>
      </c>
      <c r="EZ179" s="316">
        <f t="shared" si="473"/>
        <v>0</v>
      </c>
      <c r="FA179" s="316">
        <f t="shared" si="473"/>
        <v>0</v>
      </c>
      <c r="FB179" s="316">
        <f t="shared" si="473"/>
        <v>0</v>
      </c>
      <c r="FC179" s="316">
        <f t="shared" si="473"/>
        <v>0</v>
      </c>
      <c r="FD179" s="316">
        <f t="shared" si="473"/>
        <v>0</v>
      </c>
      <c r="FE179" s="316">
        <f t="shared" si="473"/>
        <v>0</v>
      </c>
      <c r="FF179" s="316"/>
      <c r="FG179" s="316">
        <f t="shared" si="473"/>
        <v>0</v>
      </c>
      <c r="FH179" s="316">
        <f t="shared" si="473"/>
        <v>0</v>
      </c>
      <c r="FI179" s="316">
        <f t="shared" si="473"/>
        <v>0</v>
      </c>
      <c r="FJ179" s="316">
        <f t="shared" si="473"/>
        <v>0</v>
      </c>
      <c r="FK179" s="316"/>
      <c r="FL179" s="168"/>
    </row>
    <row r="180" spans="2:168" x14ac:dyDescent="0.25">
      <c r="B180" s="107" t="s">
        <v>393</v>
      </c>
      <c r="C180" s="294"/>
      <c r="D180" s="294"/>
      <c r="E180" s="294"/>
      <c r="F180" s="294"/>
      <c r="G180" s="294"/>
      <c r="H180" s="294"/>
      <c r="I180" s="294"/>
      <c r="J180" s="160"/>
      <c r="K180" s="294"/>
      <c r="L180" s="294"/>
      <c r="M180" s="294"/>
      <c r="N180" s="294"/>
      <c r="O180" s="294"/>
      <c r="P180" s="162">
        <f t="shared" si="463"/>
        <v>0</v>
      </c>
      <c r="Y180" s="107" t="s">
        <v>393</v>
      </c>
      <c r="Z180" s="294">
        <f t="shared" ref="Z180:AL180" si="534">Z62+Z94+Z110+Z126+Z142</f>
        <v>0</v>
      </c>
      <c r="AA180" s="294">
        <f t="shared" si="534"/>
        <v>0</v>
      </c>
      <c r="AB180" s="294">
        <f t="shared" si="534"/>
        <v>0</v>
      </c>
      <c r="AC180" s="294">
        <f t="shared" si="534"/>
        <v>0</v>
      </c>
      <c r="AD180" s="294">
        <f t="shared" si="534"/>
        <v>0</v>
      </c>
      <c r="AE180" s="294">
        <f t="shared" si="534"/>
        <v>0</v>
      </c>
      <c r="AF180" s="294">
        <f t="shared" si="534"/>
        <v>0</v>
      </c>
      <c r="AG180" s="160">
        <f t="shared" si="534"/>
        <v>175577.15443</v>
      </c>
      <c r="AH180" s="294">
        <f t="shared" si="534"/>
        <v>0</v>
      </c>
      <c r="AI180" s="294">
        <f t="shared" si="534"/>
        <v>0</v>
      </c>
      <c r="AJ180" s="294">
        <f t="shared" si="534"/>
        <v>0</v>
      </c>
      <c r="AK180" s="294">
        <f t="shared" si="534"/>
        <v>0</v>
      </c>
      <c r="AL180" s="294">
        <f t="shared" si="534"/>
        <v>0</v>
      </c>
      <c r="AM180" s="162">
        <f t="shared" si="465"/>
        <v>175577.15443</v>
      </c>
      <c r="AO180" s="107" t="s">
        <v>393</v>
      </c>
      <c r="AP180" s="294">
        <f t="shared" ref="AP180:BB180" si="535">AP62+AP94+AP110+AP126+AP142</f>
        <v>0</v>
      </c>
      <c r="AQ180" s="294">
        <f t="shared" si="535"/>
        <v>0</v>
      </c>
      <c r="AR180" s="294">
        <f t="shared" si="535"/>
        <v>0</v>
      </c>
      <c r="AS180" s="294">
        <f t="shared" si="535"/>
        <v>0</v>
      </c>
      <c r="AT180" s="294">
        <f t="shared" si="535"/>
        <v>0</v>
      </c>
      <c r="AU180" s="294">
        <f t="shared" si="535"/>
        <v>0</v>
      </c>
      <c r="AV180" s="294">
        <f t="shared" si="535"/>
        <v>0</v>
      </c>
      <c r="AW180" s="160">
        <f t="shared" si="535"/>
        <v>284170</v>
      </c>
      <c r="AX180" s="294">
        <f t="shared" si="535"/>
        <v>0</v>
      </c>
      <c r="AY180" s="294">
        <f t="shared" si="535"/>
        <v>0</v>
      </c>
      <c r="AZ180" s="294">
        <f t="shared" si="535"/>
        <v>0</v>
      </c>
      <c r="BA180" s="294">
        <f t="shared" si="535"/>
        <v>0</v>
      </c>
      <c r="BB180" s="294">
        <f t="shared" si="535"/>
        <v>0</v>
      </c>
      <c r="BC180" s="162">
        <f t="shared" si="467"/>
        <v>284170</v>
      </c>
      <c r="BE180" s="107" t="s">
        <v>393</v>
      </c>
      <c r="BF180" s="166">
        <f t="shared" si="493"/>
        <v>0</v>
      </c>
      <c r="BG180" s="166">
        <f t="shared" si="494"/>
        <v>0</v>
      </c>
      <c r="BH180" s="166">
        <f t="shared" si="495"/>
        <v>0</v>
      </c>
      <c r="BI180" s="166">
        <f t="shared" si="496"/>
        <v>0</v>
      </c>
      <c r="BJ180" s="166">
        <f t="shared" si="497"/>
        <v>0</v>
      </c>
      <c r="BK180" s="166">
        <f t="shared" si="498"/>
        <v>0</v>
      </c>
      <c r="BL180" s="166">
        <f t="shared" si="499"/>
        <v>0</v>
      </c>
      <c r="BM180" s="166">
        <f t="shared" si="500"/>
        <v>0.49321372718929452</v>
      </c>
      <c r="BN180" s="166">
        <f t="shared" si="501"/>
        <v>0</v>
      </c>
      <c r="BO180" s="166">
        <f t="shared" si="502"/>
        <v>0</v>
      </c>
      <c r="BP180" s="166">
        <f t="shared" si="503"/>
        <v>0</v>
      </c>
      <c r="BQ180" s="166">
        <f t="shared" si="504"/>
        <v>0</v>
      </c>
      <c r="BR180" s="166">
        <f t="shared" si="505"/>
        <v>0</v>
      </c>
      <c r="BS180" s="166">
        <f t="shared" si="506"/>
        <v>5.7489321040214876E-3</v>
      </c>
      <c r="BU180" s="107" t="s">
        <v>393</v>
      </c>
      <c r="BV180" s="166">
        <f t="shared" si="507"/>
        <v>0</v>
      </c>
      <c r="BW180" s="166">
        <f t="shared" si="508"/>
        <v>0</v>
      </c>
      <c r="BX180" s="166">
        <f t="shared" si="509"/>
        <v>0</v>
      </c>
      <c r="BY180" s="166">
        <f t="shared" si="510"/>
        <v>0</v>
      </c>
      <c r="BZ180" s="166">
        <f t="shared" si="511"/>
        <v>0</v>
      </c>
      <c r="CA180" s="166">
        <f t="shared" si="512"/>
        <v>0</v>
      </c>
      <c r="CB180" s="166">
        <f t="shared" si="513"/>
        <v>0</v>
      </c>
      <c r="CC180" s="166">
        <f t="shared" si="514"/>
        <v>0.50689427587806135</v>
      </c>
      <c r="CD180" s="166">
        <f t="shared" si="515"/>
        <v>0</v>
      </c>
      <c r="CE180" s="166">
        <f t="shared" si="516"/>
        <v>0</v>
      </c>
      <c r="CF180" s="166">
        <f t="shared" si="517"/>
        <v>0</v>
      </c>
      <c r="CG180" s="166">
        <f t="shared" si="518"/>
        <v>0</v>
      </c>
      <c r="CH180" s="166">
        <f t="shared" si="519"/>
        <v>0</v>
      </c>
      <c r="CI180" s="168">
        <f t="shared" si="520"/>
        <v>7.9207893194635209E-3</v>
      </c>
      <c r="CK180" s="107" t="s">
        <v>393</v>
      </c>
      <c r="CL180" s="166"/>
      <c r="CM180" s="166"/>
      <c r="CN180" s="166"/>
      <c r="CO180" s="166"/>
      <c r="CP180" s="166"/>
      <c r="CQ180" s="166"/>
      <c r="CR180" s="166"/>
      <c r="CS180" s="166"/>
      <c r="CT180" s="166"/>
      <c r="CU180" s="166"/>
      <c r="CV180" s="166"/>
      <c r="CW180" s="166"/>
      <c r="CX180" s="166"/>
      <c r="CY180" s="168"/>
      <c r="DA180" s="107" t="s">
        <v>393</v>
      </c>
      <c r="DB180" s="315">
        <f t="shared" si="521"/>
        <v>0</v>
      </c>
      <c r="DC180" s="315">
        <f t="shared" si="522"/>
        <v>0</v>
      </c>
      <c r="DD180" s="315">
        <f t="shared" si="523"/>
        <v>0</v>
      </c>
      <c r="DE180" s="315">
        <f t="shared" si="524"/>
        <v>0</v>
      </c>
      <c r="DF180" s="315">
        <f t="shared" si="525"/>
        <v>0</v>
      </c>
      <c r="DG180" s="315">
        <f t="shared" si="526"/>
        <v>0</v>
      </c>
      <c r="DH180" s="315">
        <f t="shared" si="527"/>
        <v>0</v>
      </c>
      <c r="DI180" s="314">
        <f t="shared" si="528"/>
        <v>-2.735984919693266E-2</v>
      </c>
      <c r="DJ180" s="315">
        <f t="shared" si="529"/>
        <v>0</v>
      </c>
      <c r="DK180" s="315">
        <f t="shared" si="530"/>
        <v>0</v>
      </c>
      <c r="DL180" s="315">
        <f t="shared" si="531"/>
        <v>0</v>
      </c>
      <c r="DM180" s="315">
        <f t="shared" si="532"/>
        <v>0</v>
      </c>
      <c r="DN180" s="315">
        <f t="shared" si="533"/>
        <v>0</v>
      </c>
      <c r="DO180" s="168"/>
      <c r="DQ180" s="107" t="s">
        <v>393</v>
      </c>
      <c r="DR180" s="315"/>
      <c r="DS180" s="315"/>
      <c r="DT180" s="315"/>
      <c r="DU180" s="315"/>
      <c r="DV180" s="315"/>
      <c r="DW180" s="315"/>
      <c r="DX180" s="315"/>
      <c r="DY180" s="314">
        <v>0</v>
      </c>
      <c r="DZ180" s="315"/>
      <c r="EA180" s="315"/>
      <c r="EB180" s="315"/>
      <c r="EC180" s="315"/>
      <c r="ED180" s="315"/>
      <c r="EE180" s="168"/>
      <c r="EG180" s="107" t="s">
        <v>393</v>
      </c>
      <c r="EH180" s="315"/>
      <c r="EI180" s="315"/>
      <c r="EJ180" s="315"/>
      <c r="EK180" s="315"/>
      <c r="EL180" s="315"/>
      <c r="EM180" s="315"/>
      <c r="EN180" s="315"/>
      <c r="EO180" s="314">
        <v>0</v>
      </c>
      <c r="EP180" s="315"/>
      <c r="EQ180" s="315"/>
      <c r="ER180" s="315"/>
      <c r="ES180" s="315"/>
      <c r="ET180" s="315"/>
      <c r="EU180" s="168"/>
      <c r="EW180" s="164" t="s">
        <v>393</v>
      </c>
      <c r="EX180" s="316">
        <f t="shared" si="476"/>
        <v>0</v>
      </c>
      <c r="EY180" s="316">
        <f t="shared" si="473"/>
        <v>0</v>
      </c>
      <c r="EZ180" s="316">
        <f t="shared" si="473"/>
        <v>0</v>
      </c>
      <c r="FA180" s="316">
        <f t="shared" si="473"/>
        <v>0</v>
      </c>
      <c r="FB180" s="316">
        <f t="shared" si="473"/>
        <v>0</v>
      </c>
      <c r="FC180" s="316">
        <f t="shared" si="473"/>
        <v>0</v>
      </c>
      <c r="FD180" s="316">
        <f t="shared" si="473"/>
        <v>0</v>
      </c>
      <c r="FE180" s="316">
        <f t="shared" si="473"/>
        <v>0</v>
      </c>
      <c r="FF180" s="316"/>
      <c r="FG180" s="316">
        <f t="shared" si="473"/>
        <v>0</v>
      </c>
      <c r="FH180" s="316">
        <f t="shared" si="473"/>
        <v>0</v>
      </c>
      <c r="FI180" s="316">
        <f t="shared" si="473"/>
        <v>0</v>
      </c>
      <c r="FJ180" s="316">
        <f t="shared" si="473"/>
        <v>0</v>
      </c>
      <c r="FK180" s="316"/>
      <c r="FL180" s="168"/>
    </row>
    <row r="181" spans="2:168" x14ac:dyDescent="0.25">
      <c r="B181" s="107" t="s">
        <v>546</v>
      </c>
      <c r="C181" s="294"/>
      <c r="D181" s="294"/>
      <c r="E181" s="294"/>
      <c r="F181" s="294"/>
      <c r="G181" s="294"/>
      <c r="H181" s="294"/>
      <c r="I181" s="294"/>
      <c r="J181" s="294"/>
      <c r="K181" s="160"/>
      <c r="L181" s="294"/>
      <c r="M181" s="294"/>
      <c r="N181" s="294"/>
      <c r="O181" s="294"/>
      <c r="P181" s="162">
        <f t="shared" si="463"/>
        <v>0</v>
      </c>
      <c r="U181" s="29" t="e">
        <f>+K181/$P181*HIS_vs_OBS!$D$7</f>
        <v>#DIV/0!</v>
      </c>
      <c r="V181" s="29"/>
      <c r="W181" s="29"/>
      <c r="Y181" s="107" t="s">
        <v>546</v>
      </c>
      <c r="Z181" s="294">
        <f t="shared" ref="Z181:AL181" si="536">Z63+Z95+Z111+Z127+Z143</f>
        <v>0</v>
      </c>
      <c r="AA181" s="294">
        <f t="shared" si="536"/>
        <v>0</v>
      </c>
      <c r="AB181" s="294">
        <f t="shared" si="536"/>
        <v>0</v>
      </c>
      <c r="AC181" s="294">
        <f t="shared" si="536"/>
        <v>0</v>
      </c>
      <c r="AD181" s="294">
        <f t="shared" si="536"/>
        <v>0</v>
      </c>
      <c r="AE181" s="294">
        <f t="shared" si="536"/>
        <v>0</v>
      </c>
      <c r="AF181" s="294">
        <f t="shared" si="536"/>
        <v>0</v>
      </c>
      <c r="AG181" s="294">
        <f t="shared" si="536"/>
        <v>0</v>
      </c>
      <c r="AH181" s="160">
        <f t="shared" si="536"/>
        <v>430644.36818374816</v>
      </c>
      <c r="AI181" s="294">
        <f t="shared" si="536"/>
        <v>0</v>
      </c>
      <c r="AJ181" s="294">
        <f t="shared" si="536"/>
        <v>0</v>
      </c>
      <c r="AK181" s="294">
        <f t="shared" si="536"/>
        <v>0</v>
      </c>
      <c r="AL181" s="294">
        <f t="shared" si="536"/>
        <v>0</v>
      </c>
      <c r="AM181" s="162">
        <f t="shared" si="465"/>
        <v>430644.36818374816</v>
      </c>
      <c r="AO181" s="107" t="s">
        <v>395</v>
      </c>
      <c r="AP181" s="294">
        <f t="shared" ref="AP181:BB181" si="537">AP63+AP95+AP111+AP127+AP143</f>
        <v>0</v>
      </c>
      <c r="AQ181" s="294">
        <f t="shared" si="537"/>
        <v>0</v>
      </c>
      <c r="AR181" s="294">
        <f t="shared" si="537"/>
        <v>0</v>
      </c>
      <c r="AS181" s="294">
        <f t="shared" si="537"/>
        <v>0</v>
      </c>
      <c r="AT181" s="294">
        <f t="shared" si="537"/>
        <v>0</v>
      </c>
      <c r="AU181" s="294">
        <f t="shared" si="537"/>
        <v>0</v>
      </c>
      <c r="AV181" s="294">
        <f t="shared" si="537"/>
        <v>0</v>
      </c>
      <c r="AW181" s="294">
        <f t="shared" si="537"/>
        <v>0</v>
      </c>
      <c r="AX181" s="160">
        <f t="shared" si="537"/>
        <v>190815</v>
      </c>
      <c r="AY181" s="294">
        <f t="shared" si="537"/>
        <v>0</v>
      </c>
      <c r="AZ181" s="294">
        <f t="shared" si="537"/>
        <v>0</v>
      </c>
      <c r="BA181" s="294">
        <f t="shared" si="537"/>
        <v>0</v>
      </c>
      <c r="BB181" s="294">
        <f t="shared" si="537"/>
        <v>0</v>
      </c>
      <c r="BC181" s="162">
        <f t="shared" si="467"/>
        <v>190815</v>
      </c>
      <c r="BE181" s="107" t="s">
        <v>395</v>
      </c>
      <c r="BF181" s="166">
        <f t="shared" si="493"/>
        <v>0</v>
      </c>
      <c r="BG181" s="166">
        <f t="shared" si="494"/>
        <v>0</v>
      </c>
      <c r="BH181" s="166">
        <f t="shared" si="495"/>
        <v>0</v>
      </c>
      <c r="BI181" s="166">
        <f t="shared" si="496"/>
        <v>0</v>
      </c>
      <c r="BJ181" s="166">
        <f t="shared" si="497"/>
        <v>0</v>
      </c>
      <c r="BK181" s="166">
        <f t="shared" si="498"/>
        <v>0</v>
      </c>
      <c r="BL181" s="166">
        <f t="shared" si="499"/>
        <v>0</v>
      </c>
      <c r="BM181" s="166">
        <f t="shared" si="500"/>
        <v>0</v>
      </c>
      <c r="BN181" s="166">
        <f t="shared" si="501"/>
        <v>0.24120728117607149</v>
      </c>
      <c r="BO181" s="166">
        <f t="shared" si="502"/>
        <v>0</v>
      </c>
      <c r="BP181" s="166">
        <f t="shared" si="503"/>
        <v>0</v>
      </c>
      <c r="BQ181" s="166">
        <f t="shared" si="504"/>
        <v>0</v>
      </c>
      <c r="BR181" s="166">
        <f t="shared" si="505"/>
        <v>0</v>
      </c>
      <c r="BS181" s="166">
        <f t="shared" si="506"/>
        <v>1.4100611447457093E-2</v>
      </c>
      <c r="BU181" s="107" t="s">
        <v>395</v>
      </c>
      <c r="BV181" s="166">
        <f t="shared" si="507"/>
        <v>0</v>
      </c>
      <c r="BW181" s="166">
        <f t="shared" si="508"/>
        <v>0</v>
      </c>
      <c r="BX181" s="166">
        <f t="shared" si="509"/>
        <v>0</v>
      </c>
      <c r="BY181" s="166">
        <f t="shared" si="510"/>
        <v>0</v>
      </c>
      <c r="BZ181" s="166">
        <f t="shared" si="511"/>
        <v>0</v>
      </c>
      <c r="CA181" s="166">
        <f t="shared" si="512"/>
        <v>0</v>
      </c>
      <c r="CB181" s="166">
        <f t="shared" si="513"/>
        <v>0</v>
      </c>
      <c r="CC181" s="166">
        <f t="shared" si="514"/>
        <v>0</v>
      </c>
      <c r="CD181" s="166">
        <f t="shared" si="515"/>
        <v>0.16799091441324454</v>
      </c>
      <c r="CE181" s="166">
        <f t="shared" si="516"/>
        <v>0</v>
      </c>
      <c r="CF181" s="166">
        <f t="shared" si="517"/>
        <v>0</v>
      </c>
      <c r="CG181" s="166">
        <f t="shared" si="518"/>
        <v>0</v>
      </c>
      <c r="CH181" s="166">
        <f t="shared" si="519"/>
        <v>0</v>
      </c>
      <c r="CI181" s="168">
        <f t="shared" si="520"/>
        <v>5.3186663405476705E-3</v>
      </c>
      <c r="CK181" s="107" t="s">
        <v>395</v>
      </c>
      <c r="CL181" s="166" t="str">
        <f t="shared" ref="CL181:CL186" si="538">IF(OR(ISNA(BF181),BF181=0,BF181=""),"",(BV181-BF181)/BF181)</f>
        <v/>
      </c>
      <c r="CM181" s="166" t="str">
        <f t="shared" ref="CM181:CM186" si="539">IF(OR(ISNA(BG181),BG181=0,BG181=""),"",(BW181-BG181)/BG181)</f>
        <v/>
      </c>
      <c r="CN181" s="166" t="str">
        <f t="shared" ref="CN181:CN186" si="540">IF(OR(ISNA(BH181),BH181=0,BH181=""),"",(BX181-BH181)/BH181)</f>
        <v/>
      </c>
      <c r="CO181" s="166" t="str">
        <f t="shared" ref="CO181:CO186" si="541">IF(OR(ISNA(BI181),BI181=0,BI181=""),"",(BY181-BI181)/BI181)</f>
        <v/>
      </c>
      <c r="CP181" s="166"/>
      <c r="CQ181" s="166"/>
      <c r="CR181" s="166"/>
      <c r="CS181" s="166"/>
      <c r="CT181" s="166">
        <f t="shared" ref="CT181:CT186" si="542">IF(OR(ISNA(BN181),BN181=0,BN181=""),"",(CD181-BN181)/BN181)</f>
        <v>-0.30354127954115107</v>
      </c>
      <c r="CU181" s="166" t="str">
        <f t="shared" ref="CU181:CU186" si="543">IF(OR(ISNA(BO181),BO181=0,BO181=""),"",(CE181-BO181)/BO181)</f>
        <v/>
      </c>
      <c r="CV181" s="166" t="str">
        <f t="shared" ref="CV181:CV186" si="544">IF(OR(ISNA(BP181),BP181=0,BP181=""),"",(CF181-BP181)/BP181)</f>
        <v/>
      </c>
      <c r="CW181" s="166" t="str">
        <f t="shared" ref="CW181:CW186" si="545">IF(OR(ISNA(BQ181),BQ181=0,BQ181=""),"",(CG181-BQ181)/BQ181)</f>
        <v/>
      </c>
      <c r="CX181" s="166" t="str">
        <f t="shared" ref="CX181:CX186" si="546">IF(OR(ISNA(BR181),BR181=0,BR181=""),"",(CH181-BR181)/BR181)</f>
        <v/>
      </c>
      <c r="CY181" s="168">
        <f t="shared" ref="CY181:CY186" si="547">IF(OR(ISNA(BS181),BS181=0,BS181=""),"",(CI181-BS181)/BS181)</f>
        <v>-0.62280597828210915</v>
      </c>
      <c r="DA181" s="107" t="s">
        <v>395</v>
      </c>
      <c r="DB181" s="315">
        <f t="shared" si="521"/>
        <v>0</v>
      </c>
      <c r="DC181" s="315">
        <f t="shared" si="522"/>
        <v>0</v>
      </c>
      <c r="DD181" s="315">
        <f t="shared" si="523"/>
        <v>0</v>
      </c>
      <c r="DE181" s="315">
        <f t="shared" si="524"/>
        <v>0</v>
      </c>
      <c r="DF181" s="315">
        <f t="shared" si="525"/>
        <v>0</v>
      </c>
      <c r="DG181" s="315">
        <f t="shared" si="526"/>
        <v>0</v>
      </c>
      <c r="DH181" s="315">
        <f t="shared" si="527"/>
        <v>0</v>
      </c>
      <c r="DI181" s="315">
        <f t="shared" si="528"/>
        <v>0</v>
      </c>
      <c r="DJ181" s="314">
        <f t="shared" si="529"/>
        <v>0.36174675462725719</v>
      </c>
      <c r="DK181" s="315">
        <f t="shared" si="530"/>
        <v>0</v>
      </c>
      <c r="DL181" s="315">
        <f t="shared" si="531"/>
        <v>0</v>
      </c>
      <c r="DM181" s="315">
        <f t="shared" si="532"/>
        <v>0</v>
      </c>
      <c r="DN181" s="315">
        <f t="shared" si="533"/>
        <v>0</v>
      </c>
      <c r="DO181" s="168"/>
      <c r="DQ181" s="107" t="s">
        <v>395</v>
      </c>
      <c r="DR181" s="315"/>
      <c r="DS181" s="315"/>
      <c r="DT181" s="315"/>
      <c r="DU181" s="315"/>
      <c r="DV181" s="315"/>
      <c r="DW181" s="315"/>
      <c r="DX181" s="315"/>
      <c r="DY181" s="315"/>
      <c r="DZ181" s="314">
        <v>0</v>
      </c>
      <c r="EA181" s="315"/>
      <c r="EB181" s="315"/>
      <c r="EC181" s="315"/>
      <c r="ED181" s="315"/>
      <c r="EE181" s="168"/>
      <c r="EG181" s="107" t="s">
        <v>395</v>
      </c>
      <c r="EH181" s="315"/>
      <c r="EI181" s="315"/>
      <c r="EJ181" s="315"/>
      <c r="EK181" s="315"/>
      <c r="EL181" s="315"/>
      <c r="EM181" s="315"/>
      <c r="EN181" s="315"/>
      <c r="EO181" s="315"/>
      <c r="EP181" s="314">
        <v>0</v>
      </c>
      <c r="EQ181" s="315"/>
      <c r="ER181" s="315"/>
      <c r="ES181" s="315"/>
      <c r="ET181" s="315"/>
      <c r="EU181" s="168"/>
      <c r="EW181" s="164" t="s">
        <v>546</v>
      </c>
      <c r="EX181" s="316">
        <f t="shared" si="476"/>
        <v>0</v>
      </c>
      <c r="EY181" s="316">
        <f t="shared" si="473"/>
        <v>0</v>
      </c>
      <c r="EZ181" s="316">
        <f t="shared" si="473"/>
        <v>-0.73417872176342536</v>
      </c>
      <c r="FA181" s="316">
        <f t="shared" si="473"/>
        <v>-0.73417872176342536</v>
      </c>
      <c r="FB181" s="316">
        <f t="shared" si="473"/>
        <v>-2.5023905061070799</v>
      </c>
      <c r="FC181" s="316">
        <f t="shared" si="473"/>
        <v>-2.5023905061070799</v>
      </c>
      <c r="FD181" s="316">
        <f t="shared" si="473"/>
        <v>-1.6304172062359821</v>
      </c>
      <c r="FE181" s="316">
        <f t="shared" si="473"/>
        <v>0</v>
      </c>
      <c r="FF181" s="316"/>
      <c r="FG181" s="316">
        <f t="shared" si="473"/>
        <v>0</v>
      </c>
      <c r="FH181" s="316">
        <f t="shared" si="473"/>
        <v>0</v>
      </c>
      <c r="FI181" s="316">
        <f t="shared" si="473"/>
        <v>0</v>
      </c>
      <c r="FJ181" s="316">
        <f t="shared" si="473"/>
        <v>-5.4118830271767342</v>
      </c>
      <c r="FK181" s="316"/>
      <c r="FL181" s="168"/>
    </row>
    <row r="182" spans="2:168" x14ac:dyDescent="0.25">
      <c r="B182" s="107" t="s">
        <v>396</v>
      </c>
      <c r="C182" s="294"/>
      <c r="D182" s="294"/>
      <c r="E182" s="294"/>
      <c r="F182" s="294"/>
      <c r="G182" s="294"/>
      <c r="H182" s="294"/>
      <c r="I182" s="294"/>
      <c r="J182" s="294"/>
      <c r="K182" s="294"/>
      <c r="L182" s="160"/>
      <c r="M182" s="294"/>
      <c r="N182" s="294"/>
      <c r="O182" s="294"/>
      <c r="P182" s="162">
        <f t="shared" si="463"/>
        <v>0</v>
      </c>
      <c r="U182" s="29"/>
      <c r="V182" s="29">
        <f>HIS_vs_OBS!D30</f>
        <v>0</v>
      </c>
      <c r="W182" s="29"/>
      <c r="Y182" s="107" t="s">
        <v>396</v>
      </c>
      <c r="Z182" s="294">
        <f t="shared" ref="Z182:AL182" si="548">Z64+Z96+Z112+Z128+Z144</f>
        <v>0</v>
      </c>
      <c r="AA182" s="294">
        <f t="shared" si="548"/>
        <v>0</v>
      </c>
      <c r="AB182" s="294">
        <f t="shared" si="548"/>
        <v>0</v>
      </c>
      <c r="AC182" s="294">
        <f t="shared" si="548"/>
        <v>0</v>
      </c>
      <c r="AD182" s="294">
        <f t="shared" si="548"/>
        <v>0</v>
      </c>
      <c r="AE182" s="294">
        <f t="shared" si="548"/>
        <v>0</v>
      </c>
      <c r="AF182" s="294">
        <f t="shared" si="548"/>
        <v>0</v>
      </c>
      <c r="AG182" s="294">
        <f t="shared" si="548"/>
        <v>0</v>
      </c>
      <c r="AH182" s="294">
        <f t="shared" si="548"/>
        <v>0</v>
      </c>
      <c r="AI182" s="160">
        <f t="shared" si="548"/>
        <v>15981.544354648342</v>
      </c>
      <c r="AJ182" s="294">
        <f t="shared" si="548"/>
        <v>0</v>
      </c>
      <c r="AK182" s="294">
        <f t="shared" si="548"/>
        <v>0</v>
      </c>
      <c r="AL182" s="294">
        <f t="shared" si="548"/>
        <v>0</v>
      </c>
      <c r="AM182" s="162">
        <f t="shared" si="465"/>
        <v>15981.544354648342</v>
      </c>
      <c r="AO182" s="107" t="s">
        <v>396</v>
      </c>
      <c r="AP182" s="294">
        <f t="shared" ref="AP182:BB182" si="549">AP64+AP96+AP112+AP128+AP144</f>
        <v>0</v>
      </c>
      <c r="AQ182" s="294">
        <f t="shared" si="549"/>
        <v>0</v>
      </c>
      <c r="AR182" s="294">
        <f t="shared" si="549"/>
        <v>0</v>
      </c>
      <c r="AS182" s="294">
        <f t="shared" si="549"/>
        <v>0</v>
      </c>
      <c r="AT182" s="294">
        <f t="shared" si="549"/>
        <v>0</v>
      </c>
      <c r="AU182" s="294">
        <f t="shared" si="549"/>
        <v>0</v>
      </c>
      <c r="AV182" s="294">
        <f t="shared" si="549"/>
        <v>0</v>
      </c>
      <c r="AW182" s="294">
        <f t="shared" si="549"/>
        <v>0</v>
      </c>
      <c r="AX182" s="294">
        <f t="shared" si="549"/>
        <v>1175</v>
      </c>
      <c r="AY182" s="160">
        <f t="shared" si="549"/>
        <v>7500</v>
      </c>
      <c r="AZ182" s="294">
        <f t="shared" si="549"/>
        <v>0</v>
      </c>
      <c r="BA182" s="294">
        <f t="shared" si="549"/>
        <v>0</v>
      </c>
      <c r="BB182" s="294">
        <f t="shared" si="549"/>
        <v>0</v>
      </c>
      <c r="BC182" s="162">
        <f t="shared" si="467"/>
        <v>8675</v>
      </c>
      <c r="BE182" s="107" t="s">
        <v>396</v>
      </c>
      <c r="BF182" s="166">
        <f t="shared" si="493"/>
        <v>0</v>
      </c>
      <c r="BG182" s="166">
        <f t="shared" si="494"/>
        <v>0</v>
      </c>
      <c r="BH182" s="166">
        <f t="shared" si="495"/>
        <v>0</v>
      </c>
      <c r="BI182" s="166">
        <f t="shared" si="496"/>
        <v>0</v>
      </c>
      <c r="BJ182" s="166">
        <f t="shared" si="497"/>
        <v>0</v>
      </c>
      <c r="BK182" s="166">
        <f t="shared" si="498"/>
        <v>0</v>
      </c>
      <c r="BL182" s="166">
        <f t="shared" si="499"/>
        <v>0</v>
      </c>
      <c r="BM182" s="166">
        <f t="shared" si="500"/>
        <v>0</v>
      </c>
      <c r="BN182" s="166">
        <f t="shared" si="501"/>
        <v>0</v>
      </c>
      <c r="BO182" s="166">
        <f t="shared" si="502"/>
        <v>0.23347035742113006</v>
      </c>
      <c r="BP182" s="166">
        <f t="shared" si="503"/>
        <v>0</v>
      </c>
      <c r="BQ182" s="166">
        <f t="shared" si="504"/>
        <v>0</v>
      </c>
      <c r="BR182" s="166">
        <f t="shared" si="505"/>
        <v>0</v>
      </c>
      <c r="BS182" s="166">
        <f t="shared" si="506"/>
        <v>5.2328455664151429E-4</v>
      </c>
      <c r="BU182" s="107" t="s">
        <v>396</v>
      </c>
      <c r="BV182" s="166">
        <f t="shared" si="507"/>
        <v>0</v>
      </c>
      <c r="BW182" s="166">
        <f t="shared" si="508"/>
        <v>0</v>
      </c>
      <c r="BX182" s="166">
        <f t="shared" si="509"/>
        <v>0</v>
      </c>
      <c r="BY182" s="166">
        <f t="shared" si="510"/>
        <v>0</v>
      </c>
      <c r="BZ182" s="166">
        <f t="shared" si="511"/>
        <v>0</v>
      </c>
      <c r="CA182" s="166">
        <f t="shared" si="512"/>
        <v>0</v>
      </c>
      <c r="CB182" s="166">
        <f t="shared" si="513"/>
        <v>0</v>
      </c>
      <c r="CC182" s="166">
        <f t="shared" si="514"/>
        <v>0</v>
      </c>
      <c r="CD182" s="166">
        <f t="shared" si="515"/>
        <v>1.034453918379385E-3</v>
      </c>
      <c r="CE182" s="166">
        <f t="shared" si="516"/>
        <v>0.19455252918287938</v>
      </c>
      <c r="CF182" s="166">
        <f t="shared" si="517"/>
        <v>0</v>
      </c>
      <c r="CG182" s="166">
        <f t="shared" si="518"/>
        <v>0</v>
      </c>
      <c r="CH182" s="166">
        <f t="shared" si="519"/>
        <v>0</v>
      </c>
      <c r="CI182" s="168">
        <f t="shared" si="520"/>
        <v>2.4180190500878361E-4</v>
      </c>
      <c r="CK182" s="107" t="s">
        <v>396</v>
      </c>
      <c r="CL182" s="166" t="str">
        <f t="shared" si="538"/>
        <v/>
      </c>
      <c r="CM182" s="166" t="str">
        <f t="shared" si="539"/>
        <v/>
      </c>
      <c r="CN182" s="166" t="str">
        <f t="shared" si="540"/>
        <v/>
      </c>
      <c r="CO182" s="166" t="str">
        <f t="shared" si="541"/>
        <v/>
      </c>
      <c r="CP182" s="166"/>
      <c r="CQ182" s="166"/>
      <c r="CR182" s="166"/>
      <c r="CS182" s="166"/>
      <c r="CT182" s="166" t="str">
        <f t="shared" si="542"/>
        <v/>
      </c>
      <c r="CU182" s="166">
        <f t="shared" si="543"/>
        <v>-0.1666928027529051</v>
      </c>
      <c r="CV182" s="166" t="str">
        <f t="shared" si="544"/>
        <v/>
      </c>
      <c r="CW182" s="166" t="str">
        <f t="shared" si="545"/>
        <v/>
      </c>
      <c r="CX182" s="166" t="str">
        <f t="shared" si="546"/>
        <v/>
      </c>
      <c r="CY182" s="168">
        <f t="shared" si="547"/>
        <v>-0.53791507519218751</v>
      </c>
      <c r="DA182" s="107" t="s">
        <v>396</v>
      </c>
      <c r="DB182" s="315">
        <f t="shared" si="521"/>
        <v>0</v>
      </c>
      <c r="DC182" s="315">
        <f t="shared" si="522"/>
        <v>0</v>
      </c>
      <c r="DD182" s="315">
        <f t="shared" si="523"/>
        <v>0</v>
      </c>
      <c r="DE182" s="315">
        <f t="shared" si="524"/>
        <v>0</v>
      </c>
      <c r="DF182" s="315">
        <f t="shared" si="525"/>
        <v>0</v>
      </c>
      <c r="DG182" s="315">
        <f t="shared" si="526"/>
        <v>0</v>
      </c>
      <c r="DH182" s="315">
        <f t="shared" si="527"/>
        <v>0</v>
      </c>
      <c r="DI182" s="315">
        <f t="shared" si="528"/>
        <v>0</v>
      </c>
      <c r="DJ182" s="315">
        <f t="shared" si="529"/>
        <v>0</v>
      </c>
      <c r="DK182" s="314">
        <f t="shared" si="530"/>
        <v>0.18235292058927935</v>
      </c>
      <c r="DL182" s="315">
        <f t="shared" si="531"/>
        <v>0</v>
      </c>
      <c r="DM182" s="315">
        <f t="shared" si="532"/>
        <v>0</v>
      </c>
      <c r="DN182" s="315">
        <f t="shared" si="533"/>
        <v>0</v>
      </c>
      <c r="DO182" s="168"/>
      <c r="DQ182" s="107" t="s">
        <v>396</v>
      </c>
      <c r="DR182" s="315"/>
      <c r="DS182" s="315"/>
      <c r="DT182" s="315"/>
      <c r="DU182" s="315"/>
      <c r="DV182" s="315"/>
      <c r="DW182" s="315"/>
      <c r="DX182" s="315"/>
      <c r="DY182" s="315"/>
      <c r="DZ182" s="315"/>
      <c r="EA182" s="314">
        <v>0</v>
      </c>
      <c r="EB182" s="315"/>
      <c r="EC182" s="315"/>
      <c r="ED182" s="315"/>
      <c r="EE182" s="168"/>
      <c r="EG182" s="107" t="s">
        <v>396</v>
      </c>
      <c r="EH182" s="315"/>
      <c r="EI182" s="315"/>
      <c r="EJ182" s="315"/>
      <c r="EK182" s="315"/>
      <c r="EL182" s="315"/>
      <c r="EM182" s="315"/>
      <c r="EN182" s="315"/>
      <c r="EO182" s="315"/>
      <c r="EP182" s="315"/>
      <c r="EQ182" s="314">
        <v>0</v>
      </c>
      <c r="ER182" s="315"/>
      <c r="ES182" s="315"/>
      <c r="ET182" s="315"/>
      <c r="EU182" s="168"/>
      <c r="EW182" s="164" t="s">
        <v>396</v>
      </c>
      <c r="EX182" s="316">
        <f t="shared" si="476"/>
        <v>0</v>
      </c>
      <c r="EY182" s="316">
        <f t="shared" si="473"/>
        <v>0</v>
      </c>
      <c r="EZ182" s="316">
        <f t="shared" si="473"/>
        <v>0</v>
      </c>
      <c r="FA182" s="316">
        <f t="shared" si="473"/>
        <v>0</v>
      </c>
      <c r="FB182" s="316">
        <f t="shared" si="473"/>
        <v>0</v>
      </c>
      <c r="FC182" s="316">
        <f t="shared" si="473"/>
        <v>0</v>
      </c>
      <c r="FD182" s="316">
        <f t="shared" si="473"/>
        <v>0</v>
      </c>
      <c r="FE182" s="316">
        <f t="shared" si="473"/>
        <v>0</v>
      </c>
      <c r="FF182" s="316"/>
      <c r="FG182" s="316">
        <f t="shared" si="473"/>
        <v>0</v>
      </c>
      <c r="FH182" s="316">
        <f t="shared" si="473"/>
        <v>0</v>
      </c>
      <c r="FI182" s="316">
        <f t="shared" si="473"/>
        <v>0</v>
      </c>
      <c r="FJ182" s="316">
        <f t="shared" si="473"/>
        <v>-0.75880002882271025</v>
      </c>
      <c r="FK182" s="316"/>
      <c r="FL182" s="168"/>
    </row>
    <row r="183" spans="2:168" x14ac:dyDescent="0.25">
      <c r="B183" s="107" t="s">
        <v>397</v>
      </c>
      <c r="C183" s="294"/>
      <c r="D183" s="294"/>
      <c r="E183" s="294"/>
      <c r="F183" s="294"/>
      <c r="G183" s="294"/>
      <c r="H183" s="294"/>
      <c r="I183" s="294"/>
      <c r="J183" s="294"/>
      <c r="K183" s="294"/>
      <c r="L183" s="294"/>
      <c r="M183" s="160"/>
      <c r="N183" s="294"/>
      <c r="O183" s="294"/>
      <c r="P183" s="162">
        <f t="shared" si="463"/>
        <v>0</v>
      </c>
      <c r="U183" s="29"/>
      <c r="V183" s="29"/>
      <c r="W183" s="29">
        <f>HIS_vs_OBS!D31</f>
        <v>0</v>
      </c>
      <c r="Y183" s="107" t="s">
        <v>397</v>
      </c>
      <c r="Z183" s="294">
        <f t="shared" ref="Z183:AL183" si="550">Z65+Z97+Z113+Z129+Z145</f>
        <v>0</v>
      </c>
      <c r="AA183" s="294">
        <f t="shared" si="550"/>
        <v>0</v>
      </c>
      <c r="AB183" s="294">
        <f t="shared" si="550"/>
        <v>0</v>
      </c>
      <c r="AC183" s="294">
        <f t="shared" si="550"/>
        <v>0</v>
      </c>
      <c r="AD183" s="294">
        <f t="shared" si="550"/>
        <v>0</v>
      </c>
      <c r="AE183" s="294">
        <f t="shared" si="550"/>
        <v>0</v>
      </c>
      <c r="AF183" s="294">
        <f t="shared" si="550"/>
        <v>0</v>
      </c>
      <c r="AG183" s="294">
        <f t="shared" si="550"/>
        <v>0</v>
      </c>
      <c r="AH183" s="294">
        <f t="shared" si="550"/>
        <v>0</v>
      </c>
      <c r="AI183" s="294">
        <f t="shared" si="550"/>
        <v>0</v>
      </c>
      <c r="AJ183" s="160">
        <f t="shared" si="550"/>
        <v>16664.94719391517</v>
      </c>
      <c r="AK183" s="294">
        <f t="shared" si="550"/>
        <v>0</v>
      </c>
      <c r="AL183" s="294">
        <f t="shared" si="550"/>
        <v>0</v>
      </c>
      <c r="AM183" s="162">
        <f t="shared" si="465"/>
        <v>16664.94719391517</v>
      </c>
      <c r="AO183" s="107" t="s">
        <v>397</v>
      </c>
      <c r="AP183" s="294">
        <f t="shared" ref="AP183:BB183" si="551">AP65+AP97+AP113+AP129+AP145</f>
        <v>0</v>
      </c>
      <c r="AQ183" s="294">
        <f t="shared" si="551"/>
        <v>0</v>
      </c>
      <c r="AR183" s="294">
        <f t="shared" si="551"/>
        <v>0</v>
      </c>
      <c r="AS183" s="294">
        <f t="shared" si="551"/>
        <v>0</v>
      </c>
      <c r="AT183" s="294">
        <f t="shared" si="551"/>
        <v>0</v>
      </c>
      <c r="AU183" s="294">
        <f t="shared" si="551"/>
        <v>0</v>
      </c>
      <c r="AV183" s="294">
        <f t="shared" si="551"/>
        <v>0</v>
      </c>
      <c r="AW183" s="294">
        <f t="shared" si="551"/>
        <v>0</v>
      </c>
      <c r="AX183" s="294">
        <f t="shared" si="551"/>
        <v>0</v>
      </c>
      <c r="AY183" s="294">
        <f t="shared" si="551"/>
        <v>0</v>
      </c>
      <c r="AZ183" s="160">
        <f t="shared" si="551"/>
        <v>4420</v>
      </c>
      <c r="BA183" s="294">
        <f t="shared" si="551"/>
        <v>0</v>
      </c>
      <c r="BB183" s="294">
        <f t="shared" si="551"/>
        <v>0</v>
      </c>
      <c r="BC183" s="162">
        <f t="shared" si="467"/>
        <v>4420</v>
      </c>
      <c r="BE183" s="107" t="s">
        <v>397</v>
      </c>
      <c r="BF183" s="166">
        <f t="shared" si="493"/>
        <v>0</v>
      </c>
      <c r="BG183" s="166">
        <f t="shared" si="494"/>
        <v>0</v>
      </c>
      <c r="BH183" s="166">
        <f t="shared" si="495"/>
        <v>0</v>
      </c>
      <c r="BI183" s="166">
        <f t="shared" si="496"/>
        <v>0</v>
      </c>
      <c r="BJ183" s="166">
        <f t="shared" si="497"/>
        <v>0</v>
      </c>
      <c r="BK183" s="166">
        <f t="shared" si="498"/>
        <v>0</v>
      </c>
      <c r="BL183" s="166">
        <f t="shared" si="499"/>
        <v>0</v>
      </c>
      <c r="BM183" s="166">
        <f t="shared" si="500"/>
        <v>0</v>
      </c>
      <c r="BN183" s="166">
        <f t="shared" si="501"/>
        <v>0</v>
      </c>
      <c r="BO183" s="166">
        <f t="shared" si="502"/>
        <v>0</v>
      </c>
      <c r="BP183" s="166">
        <f t="shared" si="503"/>
        <v>8.3853181992768366E-2</v>
      </c>
      <c r="BQ183" s="166">
        <f t="shared" si="504"/>
        <v>0</v>
      </c>
      <c r="BR183" s="166">
        <f t="shared" si="505"/>
        <v>0</v>
      </c>
      <c r="BS183" s="166">
        <f t="shared" si="506"/>
        <v>5.4566125214837121E-4</v>
      </c>
      <c r="BU183" s="107" t="s">
        <v>397</v>
      </c>
      <c r="BV183" s="166">
        <f t="shared" si="507"/>
        <v>0</v>
      </c>
      <c r="BW183" s="166">
        <f t="shared" si="508"/>
        <v>0</v>
      </c>
      <c r="BX183" s="166">
        <f t="shared" si="509"/>
        <v>0</v>
      </c>
      <c r="BY183" s="166">
        <f t="shared" si="510"/>
        <v>0</v>
      </c>
      <c r="BZ183" s="166">
        <f t="shared" si="511"/>
        <v>0</v>
      </c>
      <c r="CA183" s="166">
        <f t="shared" si="512"/>
        <v>0</v>
      </c>
      <c r="CB183" s="166">
        <f t="shared" si="513"/>
        <v>0</v>
      </c>
      <c r="CC183" s="166">
        <f t="shared" si="514"/>
        <v>0</v>
      </c>
      <c r="CD183" s="166">
        <f t="shared" si="515"/>
        <v>0</v>
      </c>
      <c r="CE183" s="166">
        <f t="shared" si="516"/>
        <v>0</v>
      </c>
      <c r="CF183" s="166">
        <f t="shared" si="517"/>
        <v>6.0217983651226159E-2</v>
      </c>
      <c r="CG183" s="166">
        <f t="shared" si="518"/>
        <v>0</v>
      </c>
      <c r="CH183" s="166">
        <f t="shared" si="519"/>
        <v>0</v>
      </c>
      <c r="CI183" s="168">
        <f t="shared" si="520"/>
        <v>1.2320050952608917E-4</v>
      </c>
      <c r="CK183" s="107" t="s">
        <v>397</v>
      </c>
      <c r="CL183" s="166" t="str">
        <f t="shared" si="538"/>
        <v/>
      </c>
      <c r="CM183" s="166" t="str">
        <f t="shared" si="539"/>
        <v/>
      </c>
      <c r="CN183" s="166" t="str">
        <f t="shared" si="540"/>
        <v/>
      </c>
      <c r="CO183" s="166" t="str">
        <f t="shared" si="541"/>
        <v/>
      </c>
      <c r="CP183" s="166"/>
      <c r="CQ183" s="166"/>
      <c r="CR183" s="166"/>
      <c r="CS183" s="166"/>
      <c r="CT183" s="166" t="str">
        <f t="shared" si="542"/>
        <v/>
      </c>
      <c r="CU183" s="166" t="str">
        <f t="shared" si="543"/>
        <v/>
      </c>
      <c r="CV183" s="166">
        <f t="shared" si="544"/>
        <v>-0.28186406025212668</v>
      </c>
      <c r="CW183" s="166" t="str">
        <f t="shared" si="545"/>
        <v/>
      </c>
      <c r="CX183" s="166" t="str">
        <f t="shared" si="546"/>
        <v/>
      </c>
      <c r="CY183" s="168">
        <f t="shared" si="547"/>
        <v>-0.77421796207624138</v>
      </c>
      <c r="DA183" s="107" t="s">
        <v>397</v>
      </c>
      <c r="DB183" s="315">
        <f t="shared" si="521"/>
        <v>0</v>
      </c>
      <c r="DC183" s="315">
        <f t="shared" si="522"/>
        <v>0</v>
      </c>
      <c r="DD183" s="315">
        <f t="shared" si="523"/>
        <v>0</v>
      </c>
      <c r="DE183" s="315">
        <f t="shared" si="524"/>
        <v>0</v>
      </c>
      <c r="DF183" s="315">
        <f t="shared" si="525"/>
        <v>0</v>
      </c>
      <c r="DG183" s="315">
        <f t="shared" si="526"/>
        <v>0</v>
      </c>
      <c r="DH183" s="315">
        <f t="shared" si="527"/>
        <v>0</v>
      </c>
      <c r="DI183" s="315">
        <f t="shared" si="528"/>
        <v>0</v>
      </c>
      <c r="DJ183" s="315">
        <f t="shared" si="529"/>
        <v>0</v>
      </c>
      <c r="DK183" s="315">
        <f t="shared" si="530"/>
        <v>0</v>
      </c>
      <c r="DL183" s="314">
        <f t="shared" si="531"/>
        <v>0.33109639672961672</v>
      </c>
      <c r="DM183" s="315">
        <f t="shared" si="532"/>
        <v>0</v>
      </c>
      <c r="DN183" s="315">
        <f t="shared" si="533"/>
        <v>0</v>
      </c>
      <c r="DO183" s="168"/>
      <c r="DQ183" s="107" t="s">
        <v>397</v>
      </c>
      <c r="DR183" s="315"/>
      <c r="DS183" s="315"/>
      <c r="DT183" s="315"/>
      <c r="DU183" s="315"/>
      <c r="DV183" s="315"/>
      <c r="DW183" s="315"/>
      <c r="DX183" s="315"/>
      <c r="DY183" s="315"/>
      <c r="DZ183" s="315"/>
      <c r="EA183" s="315"/>
      <c r="EB183" s="314">
        <v>0</v>
      </c>
      <c r="EC183" s="315"/>
      <c r="ED183" s="315"/>
      <c r="EE183" s="168"/>
      <c r="EG183" s="107" t="s">
        <v>397</v>
      </c>
      <c r="EH183" s="315"/>
      <c r="EI183" s="315"/>
      <c r="EJ183" s="315"/>
      <c r="EK183" s="315"/>
      <c r="EL183" s="315"/>
      <c r="EM183" s="315"/>
      <c r="EN183" s="315"/>
      <c r="EO183" s="315"/>
      <c r="EP183" s="315"/>
      <c r="EQ183" s="315"/>
      <c r="ER183" s="314">
        <v>0</v>
      </c>
      <c r="ES183" s="315"/>
      <c r="ET183" s="315"/>
      <c r="EU183" s="168"/>
      <c r="EW183" s="164" t="s">
        <v>397</v>
      </c>
      <c r="EX183" s="316">
        <f t="shared" si="476"/>
        <v>0</v>
      </c>
      <c r="EY183" s="316">
        <f t="shared" si="473"/>
        <v>0</v>
      </c>
      <c r="EZ183" s="316">
        <f t="shared" si="473"/>
        <v>0</v>
      </c>
      <c r="FA183" s="316">
        <f t="shared" si="473"/>
        <v>0</v>
      </c>
      <c r="FB183" s="316">
        <f t="shared" si="473"/>
        <v>0</v>
      </c>
      <c r="FC183" s="316">
        <f t="shared" si="473"/>
        <v>0</v>
      </c>
      <c r="FD183" s="316">
        <f t="shared" si="473"/>
        <v>0</v>
      </c>
      <c r="FE183" s="316">
        <f t="shared" si="473"/>
        <v>0</v>
      </c>
      <c r="FF183" s="316"/>
      <c r="FG183" s="316">
        <f t="shared" si="473"/>
        <v>0</v>
      </c>
      <c r="FH183" s="316">
        <f t="shared" si="473"/>
        <v>0</v>
      </c>
      <c r="FI183" s="316">
        <f t="shared" si="473"/>
        <v>0</v>
      </c>
      <c r="FJ183" s="316">
        <f t="shared" si="473"/>
        <v>-0.43930436154889313</v>
      </c>
      <c r="FK183" s="316"/>
      <c r="FL183" s="168"/>
    </row>
    <row r="184" spans="2:168" x14ac:dyDescent="0.25">
      <c r="B184" s="107" t="s">
        <v>398</v>
      </c>
      <c r="C184" s="294"/>
      <c r="D184" s="294"/>
      <c r="E184" s="294"/>
      <c r="F184" s="294"/>
      <c r="G184" s="294"/>
      <c r="H184" s="294"/>
      <c r="I184" s="294"/>
      <c r="J184" s="294"/>
      <c r="K184" s="160"/>
      <c r="L184" s="160"/>
      <c r="M184" s="160"/>
      <c r="N184" s="160"/>
      <c r="O184" s="294"/>
      <c r="P184" s="162">
        <f t="shared" si="463"/>
        <v>0</v>
      </c>
      <c r="Y184" s="107" t="s">
        <v>398</v>
      </c>
      <c r="Z184" s="294">
        <f t="shared" ref="Z184:AL184" si="552">Z66+Z98+Z114+Z130+Z146</f>
        <v>0</v>
      </c>
      <c r="AA184" s="294">
        <f t="shared" si="552"/>
        <v>0</v>
      </c>
      <c r="AB184" s="294">
        <f t="shared" si="552"/>
        <v>0</v>
      </c>
      <c r="AC184" s="294">
        <f t="shared" si="552"/>
        <v>0</v>
      </c>
      <c r="AD184" s="294">
        <f t="shared" si="552"/>
        <v>0</v>
      </c>
      <c r="AE184" s="294">
        <f t="shared" si="552"/>
        <v>0</v>
      </c>
      <c r="AF184" s="294">
        <f t="shared" si="552"/>
        <v>0</v>
      </c>
      <c r="AG184" s="294">
        <f t="shared" si="552"/>
        <v>0</v>
      </c>
      <c r="AH184" s="160">
        <f t="shared" si="552"/>
        <v>4832.144320315294</v>
      </c>
      <c r="AI184" s="160">
        <f t="shared" si="552"/>
        <v>0</v>
      </c>
      <c r="AJ184" s="160">
        <f t="shared" si="552"/>
        <v>0</v>
      </c>
      <c r="AK184" s="160">
        <f t="shared" si="552"/>
        <v>36873.934300000001</v>
      </c>
      <c r="AL184" s="294">
        <f t="shared" si="552"/>
        <v>0</v>
      </c>
      <c r="AM184" s="162">
        <f t="shared" si="465"/>
        <v>41706.078620315297</v>
      </c>
      <c r="AO184" s="107" t="s">
        <v>398</v>
      </c>
      <c r="AP184" s="294">
        <f t="shared" ref="AP184:BB184" si="553">AP66+AP98+AP114+AP130+AP146</f>
        <v>0</v>
      </c>
      <c r="AQ184" s="294">
        <f t="shared" si="553"/>
        <v>0</v>
      </c>
      <c r="AR184" s="294">
        <f t="shared" si="553"/>
        <v>0</v>
      </c>
      <c r="AS184" s="294">
        <f t="shared" si="553"/>
        <v>0</v>
      </c>
      <c r="AT184" s="294">
        <f t="shared" si="553"/>
        <v>0</v>
      </c>
      <c r="AU184" s="294">
        <f t="shared" si="553"/>
        <v>0</v>
      </c>
      <c r="AV184" s="294">
        <f t="shared" si="553"/>
        <v>0</v>
      </c>
      <c r="AW184" s="294">
        <f t="shared" si="553"/>
        <v>0</v>
      </c>
      <c r="AX184" s="160">
        <f t="shared" si="553"/>
        <v>3005</v>
      </c>
      <c r="AY184" s="160">
        <f t="shared" si="553"/>
        <v>0</v>
      </c>
      <c r="AZ184" s="160">
        <f t="shared" si="553"/>
        <v>0</v>
      </c>
      <c r="BA184" s="160">
        <f t="shared" si="553"/>
        <v>50065</v>
      </c>
      <c r="BB184" s="294">
        <f t="shared" si="553"/>
        <v>0</v>
      </c>
      <c r="BC184" s="162">
        <f t="shared" si="467"/>
        <v>53070</v>
      </c>
      <c r="BE184" s="107" t="s">
        <v>398</v>
      </c>
      <c r="BF184" s="166">
        <f t="shared" si="493"/>
        <v>0</v>
      </c>
      <c r="BG184" s="166">
        <f t="shared" si="494"/>
        <v>0</v>
      </c>
      <c r="BH184" s="166">
        <f t="shared" si="495"/>
        <v>0</v>
      </c>
      <c r="BI184" s="166">
        <f t="shared" si="496"/>
        <v>0</v>
      </c>
      <c r="BJ184" s="166">
        <f t="shared" si="497"/>
        <v>0</v>
      </c>
      <c r="BK184" s="166">
        <f t="shared" si="498"/>
        <v>0</v>
      </c>
      <c r="BL184" s="166">
        <f t="shared" si="499"/>
        <v>0</v>
      </c>
      <c r="BM184" s="166">
        <f t="shared" si="500"/>
        <v>0</v>
      </c>
      <c r="BN184" s="166">
        <f t="shared" si="501"/>
        <v>2.7065218539124828E-3</v>
      </c>
      <c r="BO184" s="166">
        <f t="shared" si="502"/>
        <v>0</v>
      </c>
      <c r="BP184" s="166">
        <f t="shared" si="503"/>
        <v>0</v>
      </c>
      <c r="BQ184" s="166">
        <f t="shared" si="504"/>
        <v>0.5359689801357792</v>
      </c>
      <c r="BR184" s="166">
        <f t="shared" si="505"/>
        <v>0</v>
      </c>
      <c r="BS184" s="166">
        <f t="shared" si="506"/>
        <v>1.3655843500343648E-3</v>
      </c>
      <c r="BU184" s="107" t="s">
        <v>398</v>
      </c>
      <c r="BV184" s="166">
        <f t="shared" si="507"/>
        <v>0</v>
      </c>
      <c r="BW184" s="166">
        <f t="shared" si="508"/>
        <v>0</v>
      </c>
      <c r="BX184" s="166">
        <f t="shared" si="509"/>
        <v>0</v>
      </c>
      <c r="BY184" s="166">
        <f t="shared" si="510"/>
        <v>0</v>
      </c>
      <c r="BZ184" s="166">
        <f t="shared" si="511"/>
        <v>0</v>
      </c>
      <c r="CA184" s="166">
        <f t="shared" si="512"/>
        <v>0</v>
      </c>
      <c r="CB184" s="166">
        <f t="shared" si="513"/>
        <v>0</v>
      </c>
      <c r="CC184" s="166">
        <f t="shared" si="514"/>
        <v>0</v>
      </c>
      <c r="CD184" s="166">
        <f t="shared" si="515"/>
        <v>2.6455608721106822E-3</v>
      </c>
      <c r="CE184" s="166">
        <f t="shared" si="516"/>
        <v>0</v>
      </c>
      <c r="CF184" s="166">
        <f t="shared" si="517"/>
        <v>0</v>
      </c>
      <c r="CG184" s="166">
        <f t="shared" si="518"/>
        <v>0.29554309327036599</v>
      </c>
      <c r="CH184" s="166">
        <f t="shared" si="519"/>
        <v>0</v>
      </c>
      <c r="CI184" s="168">
        <f t="shared" si="520"/>
        <v>1.4792423168664146E-3</v>
      </c>
      <c r="CK184" s="107" t="s">
        <v>398</v>
      </c>
      <c r="CL184" s="166" t="str">
        <f t="shared" si="538"/>
        <v/>
      </c>
      <c r="CM184" s="166" t="str">
        <f t="shared" si="539"/>
        <v/>
      </c>
      <c r="CN184" s="166" t="str">
        <f t="shared" si="540"/>
        <v/>
      </c>
      <c r="CO184" s="166" t="str">
        <f t="shared" si="541"/>
        <v/>
      </c>
      <c r="CP184" s="166"/>
      <c r="CQ184" s="166"/>
      <c r="CR184" s="166"/>
      <c r="CS184" s="166"/>
      <c r="CT184" s="166">
        <f t="shared" si="542"/>
        <v>-2.2523735292836012E-2</v>
      </c>
      <c r="CU184" s="166" t="str">
        <f t="shared" si="543"/>
        <v/>
      </c>
      <c r="CV184" s="166" t="str">
        <f t="shared" si="544"/>
        <v/>
      </c>
      <c r="CW184" s="166">
        <f t="shared" si="545"/>
        <v>-0.44858171979375588</v>
      </c>
      <c r="CX184" s="166" t="str">
        <f t="shared" si="546"/>
        <v/>
      </c>
      <c r="CY184" s="168">
        <f t="shared" si="547"/>
        <v>8.3230279278749528E-2</v>
      </c>
      <c r="DA184" s="107" t="s">
        <v>398</v>
      </c>
      <c r="DB184" s="315">
        <f t="shared" si="521"/>
        <v>0</v>
      </c>
      <c r="DC184" s="315">
        <f t="shared" si="522"/>
        <v>0</v>
      </c>
      <c r="DD184" s="315">
        <f t="shared" si="523"/>
        <v>0</v>
      </c>
      <c r="DE184" s="315">
        <f t="shared" si="524"/>
        <v>0</v>
      </c>
      <c r="DF184" s="315">
        <f t="shared" si="525"/>
        <v>0</v>
      </c>
      <c r="DG184" s="315">
        <f t="shared" si="526"/>
        <v>0</v>
      </c>
      <c r="DH184" s="315">
        <f t="shared" si="527"/>
        <v>0</v>
      </c>
      <c r="DI184" s="315">
        <f t="shared" si="528"/>
        <v>0</v>
      </c>
      <c r="DJ184" s="314">
        <f t="shared" si="529"/>
        <v>2.2781269046919479E-2</v>
      </c>
      <c r="DK184" s="314">
        <f t="shared" si="530"/>
        <v>0</v>
      </c>
      <c r="DL184" s="314">
        <f t="shared" si="531"/>
        <v>0</v>
      </c>
      <c r="DM184" s="314">
        <f t="shared" si="532"/>
        <v>0.59526162859114418</v>
      </c>
      <c r="DN184" s="315">
        <f t="shared" si="533"/>
        <v>0</v>
      </c>
      <c r="DO184" s="168"/>
      <c r="DQ184" s="107" t="s">
        <v>398</v>
      </c>
      <c r="DR184" s="315"/>
      <c r="DS184" s="315"/>
      <c r="DT184" s="315"/>
      <c r="DU184" s="315"/>
      <c r="DV184" s="315"/>
      <c r="DW184" s="315"/>
      <c r="DX184" s="315"/>
      <c r="DY184" s="315"/>
      <c r="DZ184" s="314">
        <v>-5.0729175415963965</v>
      </c>
      <c r="EA184" s="314">
        <v>-0.57644710823343093</v>
      </c>
      <c r="EB184" s="314">
        <v>-0.10820796481927641</v>
      </c>
      <c r="EC184" s="314">
        <v>0</v>
      </c>
      <c r="ED184" s="315"/>
      <c r="EE184" s="168"/>
      <c r="EG184" s="107" t="s">
        <v>398</v>
      </c>
      <c r="EH184" s="315"/>
      <c r="EI184" s="315"/>
      <c r="EJ184" s="315"/>
      <c r="EK184" s="315"/>
      <c r="EL184" s="315"/>
      <c r="EM184" s="315"/>
      <c r="EN184" s="315"/>
      <c r="EO184" s="315"/>
      <c r="EP184" s="314">
        <f>DZ184+(DJ184-DJ$181)*$EI$1</f>
        <v>-5.4118830271767342</v>
      </c>
      <c r="EQ184" s="314">
        <f>EA184+(DK184-DK$182)*$EI$1</f>
        <v>-0.75880002882271025</v>
      </c>
      <c r="ER184" s="314">
        <f>EB184+(DL184-DL$183)*$EI$1</f>
        <v>-0.43930436154889313</v>
      </c>
      <c r="ES184" s="314">
        <v>0</v>
      </c>
      <c r="ET184" s="315"/>
      <c r="EU184" s="168"/>
      <c r="EW184" s="164" t="s">
        <v>398</v>
      </c>
      <c r="EX184" s="316">
        <f t="shared" si="476"/>
        <v>0</v>
      </c>
      <c r="EY184" s="316">
        <f t="shared" si="473"/>
        <v>0</v>
      </c>
      <c r="EZ184" s="316">
        <f t="shared" si="473"/>
        <v>-7.9014205198600918</v>
      </c>
      <c r="FA184" s="316">
        <f t="shared" si="473"/>
        <v>-7.9014205198600918</v>
      </c>
      <c r="FB184" s="316">
        <f t="shared" si="473"/>
        <v>-9.3917853822907382</v>
      </c>
      <c r="FC184" s="316">
        <f t="shared" si="473"/>
        <v>-9.3917853822907382</v>
      </c>
      <c r="FD184" s="316">
        <f t="shared" si="473"/>
        <v>1.9657318988166428</v>
      </c>
      <c r="FE184" s="316">
        <f t="shared" si="473"/>
        <v>0</v>
      </c>
      <c r="FF184" s="316"/>
      <c r="FG184" s="316">
        <f t="shared" si="473"/>
        <v>0</v>
      </c>
      <c r="FH184" s="316">
        <f t="shared" si="473"/>
        <v>0</v>
      </c>
      <c r="FI184" s="316">
        <f t="shared" si="473"/>
        <v>0</v>
      </c>
      <c r="FJ184" s="316">
        <f t="shared" si="473"/>
        <v>0</v>
      </c>
      <c r="FK184" s="316"/>
      <c r="FL184" s="168"/>
    </row>
    <row r="185" spans="2:168" x14ac:dyDescent="0.25">
      <c r="B185" s="107" t="s">
        <v>399</v>
      </c>
      <c r="C185" s="294"/>
      <c r="D185" s="294"/>
      <c r="E185" s="294"/>
      <c r="F185" s="294"/>
      <c r="G185" s="294"/>
      <c r="H185" s="294"/>
      <c r="I185" s="294"/>
      <c r="J185" s="294"/>
      <c r="K185" s="294"/>
      <c r="L185" s="294"/>
      <c r="M185" s="294"/>
      <c r="N185" s="294"/>
      <c r="O185" s="160"/>
      <c r="P185" s="162">
        <f t="shared" si="463"/>
        <v>0</v>
      </c>
      <c r="U185" s="128" t="e">
        <f>U181/(U181+V182+W183)</f>
        <v>#DIV/0!</v>
      </c>
      <c r="V185" s="128" t="e">
        <f>V182/(U181+V182+W183)</f>
        <v>#DIV/0!</v>
      </c>
      <c r="W185" s="128" t="e">
        <f>1-(U185+V185)</f>
        <v>#DIV/0!</v>
      </c>
      <c r="Y185" s="107" t="s">
        <v>399</v>
      </c>
      <c r="Z185" s="294">
        <f t="shared" ref="Z185:AL185" si="554">Z67+Z99+Z115+Z131+Z147</f>
        <v>0</v>
      </c>
      <c r="AA185" s="294">
        <f t="shared" si="554"/>
        <v>0</v>
      </c>
      <c r="AB185" s="294">
        <f t="shared" si="554"/>
        <v>0</v>
      </c>
      <c r="AC185" s="294">
        <f t="shared" si="554"/>
        <v>0</v>
      </c>
      <c r="AD185" s="294">
        <f t="shared" si="554"/>
        <v>0</v>
      </c>
      <c r="AE185" s="294">
        <f t="shared" si="554"/>
        <v>0</v>
      </c>
      <c r="AF185" s="294">
        <f t="shared" si="554"/>
        <v>0</v>
      </c>
      <c r="AG185" s="294">
        <f t="shared" si="554"/>
        <v>0</v>
      </c>
      <c r="AH185" s="294">
        <f t="shared" si="554"/>
        <v>0</v>
      </c>
      <c r="AI185" s="294">
        <f t="shared" si="554"/>
        <v>0</v>
      </c>
      <c r="AJ185" s="294">
        <f t="shared" si="554"/>
        <v>0</v>
      </c>
      <c r="AK185" s="294">
        <f t="shared" si="554"/>
        <v>0</v>
      </c>
      <c r="AL185" s="160">
        <f t="shared" si="554"/>
        <v>7401.2097799999992</v>
      </c>
      <c r="AM185" s="162">
        <f t="shared" si="465"/>
        <v>7401.2097799999992</v>
      </c>
      <c r="AO185" s="107" t="s">
        <v>399</v>
      </c>
      <c r="AP185" s="294">
        <f t="shared" ref="AP185:BB185" si="555">AP67+AP99+AP115+AP131+AP147</f>
        <v>0</v>
      </c>
      <c r="AQ185" s="294">
        <f t="shared" si="555"/>
        <v>0</v>
      </c>
      <c r="AR185" s="294">
        <f t="shared" si="555"/>
        <v>0</v>
      </c>
      <c r="AS185" s="294">
        <f t="shared" si="555"/>
        <v>0</v>
      </c>
      <c r="AT185" s="294">
        <f t="shared" si="555"/>
        <v>0</v>
      </c>
      <c r="AU185" s="294">
        <f t="shared" si="555"/>
        <v>0</v>
      </c>
      <c r="AV185" s="294">
        <f t="shared" si="555"/>
        <v>0</v>
      </c>
      <c r="AW185" s="294">
        <f t="shared" si="555"/>
        <v>0</v>
      </c>
      <c r="AX185" s="294">
        <f t="shared" si="555"/>
        <v>3</v>
      </c>
      <c r="AY185" s="294">
        <f t="shared" si="555"/>
        <v>0</v>
      </c>
      <c r="AZ185" s="294">
        <f t="shared" si="555"/>
        <v>0</v>
      </c>
      <c r="BA185" s="294">
        <f t="shared" si="555"/>
        <v>0</v>
      </c>
      <c r="BB185" s="160">
        <f t="shared" si="555"/>
        <v>0</v>
      </c>
      <c r="BC185" s="162">
        <f t="shared" si="467"/>
        <v>3</v>
      </c>
      <c r="BE185" s="107" t="s">
        <v>399</v>
      </c>
      <c r="BF185" s="166">
        <f t="shared" si="493"/>
        <v>0</v>
      </c>
      <c r="BG185" s="166">
        <f t="shared" si="494"/>
        <v>0</v>
      </c>
      <c r="BH185" s="166">
        <f t="shared" si="495"/>
        <v>0</v>
      </c>
      <c r="BI185" s="166">
        <f t="shared" si="496"/>
        <v>0</v>
      </c>
      <c r="BJ185" s="166">
        <f t="shared" si="497"/>
        <v>0</v>
      </c>
      <c r="BK185" s="166">
        <f t="shared" si="498"/>
        <v>0</v>
      </c>
      <c r="BL185" s="166">
        <f t="shared" si="499"/>
        <v>0</v>
      </c>
      <c r="BM185" s="166">
        <f t="shared" si="500"/>
        <v>0</v>
      </c>
      <c r="BN185" s="166">
        <f t="shared" si="501"/>
        <v>0</v>
      </c>
      <c r="BO185" s="166">
        <f t="shared" si="502"/>
        <v>0</v>
      </c>
      <c r="BP185" s="166">
        <f t="shared" si="503"/>
        <v>0</v>
      </c>
      <c r="BQ185" s="166">
        <f t="shared" si="504"/>
        <v>0</v>
      </c>
      <c r="BR185" s="166">
        <f t="shared" si="505"/>
        <v>7.5852183211846625E-3</v>
      </c>
      <c r="BS185" s="166">
        <f t="shared" si="506"/>
        <v>2.4233820539450355E-4</v>
      </c>
      <c r="BU185" s="107" t="s">
        <v>399</v>
      </c>
      <c r="BV185" s="166">
        <f t="shared" si="507"/>
        <v>0</v>
      </c>
      <c r="BW185" s="166">
        <f t="shared" si="508"/>
        <v>0</v>
      </c>
      <c r="BX185" s="166">
        <f t="shared" si="509"/>
        <v>0</v>
      </c>
      <c r="BY185" s="166">
        <f t="shared" si="510"/>
        <v>0</v>
      </c>
      <c r="BZ185" s="166">
        <f t="shared" si="511"/>
        <v>0</v>
      </c>
      <c r="CA185" s="166">
        <f t="shared" si="512"/>
        <v>0</v>
      </c>
      <c r="CB185" s="166">
        <f t="shared" si="513"/>
        <v>0</v>
      </c>
      <c r="CC185" s="166">
        <f t="shared" si="514"/>
        <v>0</v>
      </c>
      <c r="CD185" s="166">
        <f t="shared" si="515"/>
        <v>2.6411589405431103E-6</v>
      </c>
      <c r="CE185" s="166">
        <f t="shared" si="516"/>
        <v>0</v>
      </c>
      <c r="CF185" s="166">
        <f t="shared" si="517"/>
        <v>0</v>
      </c>
      <c r="CG185" s="166">
        <f t="shared" si="518"/>
        <v>0</v>
      </c>
      <c r="CH185" s="166">
        <f t="shared" si="519"/>
        <v>0</v>
      </c>
      <c r="CI185" s="168">
        <f t="shared" si="520"/>
        <v>8.3620255334449664E-8</v>
      </c>
      <c r="CK185" s="107" t="s">
        <v>399</v>
      </c>
      <c r="CL185" s="166" t="str">
        <f t="shared" si="538"/>
        <v/>
      </c>
      <c r="CM185" s="166" t="str">
        <f t="shared" si="539"/>
        <v/>
      </c>
      <c r="CN185" s="166" t="str">
        <f t="shared" si="540"/>
        <v/>
      </c>
      <c r="CO185" s="166" t="str">
        <f t="shared" si="541"/>
        <v/>
      </c>
      <c r="CP185" s="166"/>
      <c r="CQ185" s="166"/>
      <c r="CR185" s="166"/>
      <c r="CS185" s="166"/>
      <c r="CT185" s="166" t="str">
        <f t="shared" si="542"/>
        <v/>
      </c>
      <c r="CU185" s="166" t="str">
        <f t="shared" si="543"/>
        <v/>
      </c>
      <c r="CV185" s="166" t="str">
        <f t="shared" si="544"/>
        <v/>
      </c>
      <c r="CW185" s="166" t="str">
        <f t="shared" si="545"/>
        <v/>
      </c>
      <c r="CX185" s="166">
        <f t="shared" si="546"/>
        <v>-1</v>
      </c>
      <c r="CY185" s="168">
        <f t="shared" si="547"/>
        <v>-0.99965494398541765</v>
      </c>
      <c r="DA185" s="107" t="s">
        <v>399</v>
      </c>
      <c r="DB185" s="315">
        <f t="shared" si="521"/>
        <v>0</v>
      </c>
      <c r="DC185" s="315">
        <f t="shared" si="522"/>
        <v>0</v>
      </c>
      <c r="DD185" s="315">
        <f t="shared" si="523"/>
        <v>0</v>
      </c>
      <c r="DE185" s="315">
        <f t="shared" si="524"/>
        <v>0</v>
      </c>
      <c r="DF185" s="315">
        <f t="shared" si="525"/>
        <v>0</v>
      </c>
      <c r="DG185" s="315">
        <f t="shared" si="526"/>
        <v>0</v>
      </c>
      <c r="DH185" s="315">
        <f t="shared" si="527"/>
        <v>0</v>
      </c>
      <c r="DI185" s="315">
        <f t="shared" si="528"/>
        <v>0</v>
      </c>
      <c r="DJ185" s="315">
        <f t="shared" si="529"/>
        <v>0</v>
      </c>
      <c r="DK185" s="315">
        <f t="shared" si="530"/>
        <v>0</v>
      </c>
      <c r="DL185" s="315">
        <f t="shared" si="531"/>
        <v>0</v>
      </c>
      <c r="DM185" s="315">
        <f t="shared" si="532"/>
        <v>0</v>
      </c>
      <c r="DN185" s="314">
        <f t="shared" si="533"/>
        <v>0</v>
      </c>
      <c r="DO185" s="168"/>
      <c r="DQ185" s="107" t="s">
        <v>399</v>
      </c>
      <c r="DR185" s="315"/>
      <c r="DS185" s="315"/>
      <c r="DT185" s="315"/>
      <c r="DU185" s="315"/>
      <c r="DV185" s="315"/>
      <c r="DW185" s="315"/>
      <c r="DX185" s="315"/>
      <c r="DY185" s="315"/>
      <c r="DZ185" s="315"/>
      <c r="EA185" s="315"/>
      <c r="EB185" s="315"/>
      <c r="EC185" s="315"/>
      <c r="ED185" s="314">
        <v>0</v>
      </c>
      <c r="EE185" s="168"/>
      <c r="EG185" s="107" t="s">
        <v>399</v>
      </c>
      <c r="EH185" s="315"/>
      <c r="EI185" s="315"/>
      <c r="EJ185" s="315"/>
      <c r="EK185" s="315"/>
      <c r="EL185" s="315"/>
      <c r="EM185" s="315"/>
      <c r="EN185" s="315"/>
      <c r="EO185" s="315"/>
      <c r="EP185" s="315"/>
      <c r="EQ185" s="315"/>
      <c r="ER185" s="315"/>
      <c r="ES185" s="315"/>
      <c r="ET185" s="314">
        <v>0</v>
      </c>
      <c r="EU185" s="168"/>
      <c r="EW185" s="164" t="s">
        <v>399</v>
      </c>
      <c r="EX185" s="316">
        <f t="shared" si="476"/>
        <v>0</v>
      </c>
      <c r="EY185" s="316">
        <f t="shared" si="473"/>
        <v>0</v>
      </c>
      <c r="EZ185" s="316">
        <f t="shared" si="473"/>
        <v>0</v>
      </c>
      <c r="FA185" s="316">
        <f t="shared" si="473"/>
        <v>0</v>
      </c>
      <c r="FB185" s="316">
        <f t="shared" si="473"/>
        <v>0</v>
      </c>
      <c r="FC185" s="316">
        <f t="shared" si="473"/>
        <v>0</v>
      </c>
      <c r="FD185" s="316">
        <f t="shared" si="473"/>
        <v>0</v>
      </c>
      <c r="FE185" s="316">
        <f t="shared" si="473"/>
        <v>0</v>
      </c>
      <c r="FF185" s="316"/>
      <c r="FG185" s="316">
        <f t="shared" si="473"/>
        <v>0</v>
      </c>
      <c r="FH185" s="316">
        <f t="shared" si="473"/>
        <v>0</v>
      </c>
      <c r="FI185" s="316">
        <f t="shared" si="473"/>
        <v>0</v>
      </c>
      <c r="FJ185" s="316">
        <f t="shared" si="473"/>
        <v>0</v>
      </c>
      <c r="FK185" s="316"/>
      <c r="FL185" s="168"/>
    </row>
    <row r="186" spans="2:168" ht="15.75" thickBot="1" x14ac:dyDescent="0.3">
      <c r="B186" s="108" t="s">
        <v>29</v>
      </c>
      <c r="C186" s="109">
        <f t="shared" ref="C186:P186" si="556">SUM(C173:C185)</f>
        <v>0</v>
      </c>
      <c r="D186" s="110">
        <f t="shared" si="556"/>
        <v>0</v>
      </c>
      <c r="E186" s="110">
        <f t="shared" si="556"/>
        <v>0</v>
      </c>
      <c r="F186" s="110">
        <f t="shared" si="556"/>
        <v>0</v>
      </c>
      <c r="G186" s="110">
        <f t="shared" si="556"/>
        <v>0</v>
      </c>
      <c r="H186" s="110">
        <f t="shared" si="556"/>
        <v>0</v>
      </c>
      <c r="I186" s="110">
        <f t="shared" si="556"/>
        <v>0</v>
      </c>
      <c r="J186" s="110">
        <f t="shared" si="556"/>
        <v>0</v>
      </c>
      <c r="K186" s="110">
        <f t="shared" si="556"/>
        <v>0</v>
      </c>
      <c r="L186" s="110">
        <f t="shared" si="556"/>
        <v>0</v>
      </c>
      <c r="M186" s="110">
        <f t="shared" si="556"/>
        <v>0</v>
      </c>
      <c r="N186" s="110">
        <f t="shared" si="556"/>
        <v>0</v>
      </c>
      <c r="O186" s="110">
        <f t="shared" si="556"/>
        <v>0</v>
      </c>
      <c r="P186" s="112">
        <f t="shared" si="556"/>
        <v>0</v>
      </c>
      <c r="Y186" s="108" t="s">
        <v>29</v>
      </c>
      <c r="Z186" s="109">
        <f t="shared" ref="Z186:AM186" si="557">SUM(Z173:Z185)</f>
        <v>5200256.3801699998</v>
      </c>
      <c r="AA186" s="110">
        <f t="shared" si="557"/>
        <v>80417.397679999995</v>
      </c>
      <c r="AB186" s="110">
        <f t="shared" si="557"/>
        <v>4882581.9824000001</v>
      </c>
      <c r="AC186" s="110">
        <f t="shared" si="557"/>
        <v>46782.382700000002</v>
      </c>
      <c r="AD186" s="110">
        <f t="shared" si="557"/>
        <v>5261632.6148000006</v>
      </c>
      <c r="AE186" s="110">
        <f t="shared" si="557"/>
        <v>130709.59856</v>
      </c>
      <c r="AF186" s="110">
        <f t="shared" si="557"/>
        <v>1529886.2819599998</v>
      </c>
      <c r="AG186" s="110">
        <f t="shared" si="557"/>
        <v>175577.15443</v>
      </c>
      <c r="AH186" s="110">
        <f t="shared" si="557"/>
        <v>544377.0866904835</v>
      </c>
      <c r="AI186" s="110">
        <f t="shared" si="557"/>
        <v>15981.544354648342</v>
      </c>
      <c r="AJ186" s="110">
        <f t="shared" si="557"/>
        <v>16664.94719391517</v>
      </c>
      <c r="AK186" s="110">
        <f t="shared" si="557"/>
        <v>45260.910130000004</v>
      </c>
      <c r="AL186" s="110">
        <f t="shared" si="557"/>
        <v>7401.2097799999992</v>
      </c>
      <c r="AM186" s="112">
        <f t="shared" si="557"/>
        <v>17937529.490849044</v>
      </c>
      <c r="AO186" s="108" t="s">
        <v>29</v>
      </c>
      <c r="AP186" s="109">
        <f t="shared" ref="AP186:BC186" si="558">SUM(AP173:AP185)</f>
        <v>7289830</v>
      </c>
      <c r="AQ186" s="110">
        <f t="shared" si="558"/>
        <v>401640</v>
      </c>
      <c r="AR186" s="110">
        <f t="shared" si="558"/>
        <v>3383967</v>
      </c>
      <c r="AS186" s="110">
        <f t="shared" si="558"/>
        <v>78007</v>
      </c>
      <c r="AT186" s="110">
        <f t="shared" si="558"/>
        <v>2344510</v>
      </c>
      <c r="AU186" s="110">
        <f t="shared" si="558"/>
        <v>43236</v>
      </c>
      <c r="AV186" s="110">
        <f t="shared" si="558"/>
        <v>2053541</v>
      </c>
      <c r="AW186" s="110">
        <f t="shared" si="558"/>
        <v>284170</v>
      </c>
      <c r="AX186" s="110">
        <f t="shared" si="558"/>
        <v>268901</v>
      </c>
      <c r="AY186" s="110">
        <f t="shared" si="558"/>
        <v>7500</v>
      </c>
      <c r="AZ186" s="110">
        <f t="shared" si="558"/>
        <v>4420</v>
      </c>
      <c r="BA186" s="110">
        <f t="shared" si="558"/>
        <v>71390</v>
      </c>
      <c r="BB186" s="110">
        <f t="shared" si="558"/>
        <v>0</v>
      </c>
      <c r="BC186" s="112">
        <f t="shared" si="558"/>
        <v>16231112</v>
      </c>
      <c r="BE186" s="108" t="s">
        <v>29</v>
      </c>
      <c r="BF186" s="120">
        <f t="shared" si="493"/>
        <v>0.41588630395322063</v>
      </c>
      <c r="BG186" s="120">
        <f t="shared" si="494"/>
        <v>0.1237870832895485</v>
      </c>
      <c r="BH186" s="120">
        <f t="shared" si="495"/>
        <v>0.8356777117436196</v>
      </c>
      <c r="BI186" s="120">
        <f t="shared" si="496"/>
        <v>0.32162146654191975</v>
      </c>
      <c r="BJ186" s="120">
        <f t="shared" si="497"/>
        <v>0.90969887000526606</v>
      </c>
      <c r="BK186" s="120">
        <f t="shared" si="498"/>
        <v>0.77302902140422169</v>
      </c>
      <c r="BL186" s="120">
        <f t="shared" si="499"/>
        <v>0.76765682519074019</v>
      </c>
      <c r="BM186" s="120">
        <f t="shared" si="500"/>
        <v>0.49321372718929452</v>
      </c>
      <c r="BN186" s="120">
        <f t="shared" si="501"/>
        <v>0.30490986697203354</v>
      </c>
      <c r="BO186" s="120">
        <f t="shared" si="502"/>
        <v>0.23347035742113006</v>
      </c>
      <c r="BP186" s="120">
        <f t="shared" si="503"/>
        <v>8.3853181992768366E-2</v>
      </c>
      <c r="BQ186" s="120">
        <f t="shared" si="504"/>
        <v>0.6578751170143855</v>
      </c>
      <c r="BR186" s="120">
        <f t="shared" si="505"/>
        <v>7.5852183211846625E-3</v>
      </c>
      <c r="BS186" s="120">
        <f t="shared" si="506"/>
        <v>0.58732948196792512</v>
      </c>
      <c r="BU186" s="108" t="s">
        <v>29</v>
      </c>
      <c r="BV186" s="120">
        <f t="shared" si="507"/>
        <v>0.48467519688311345</v>
      </c>
      <c r="BW186" s="121">
        <f t="shared" si="508"/>
        <v>0.2755894976276001</v>
      </c>
      <c r="BX186" s="121">
        <f t="shared" si="509"/>
        <v>0.54031777509532297</v>
      </c>
      <c r="BY186" s="121">
        <f t="shared" si="510"/>
        <v>0.34015174639166268</v>
      </c>
      <c r="BZ186" s="121">
        <f t="shared" si="511"/>
        <v>0.45783252520557949</v>
      </c>
      <c r="CA186" s="121">
        <f t="shared" si="512"/>
        <v>0.23898515877622087</v>
      </c>
      <c r="CB186" s="121">
        <f t="shared" si="513"/>
        <v>0.46397116138463312</v>
      </c>
      <c r="CC186" s="121">
        <f t="shared" si="514"/>
        <v>0.50689427587806135</v>
      </c>
      <c r="CD186" s="121">
        <f t="shared" si="515"/>
        <v>0.23673676009032762</v>
      </c>
      <c r="CE186" s="121">
        <f t="shared" si="516"/>
        <v>0.19455252918287938</v>
      </c>
      <c r="CF186" s="121">
        <f t="shared" si="517"/>
        <v>6.0217983651226159E-2</v>
      </c>
      <c r="CG186" s="121">
        <f t="shared" si="518"/>
        <v>0.42142857142857143</v>
      </c>
      <c r="CH186" s="121">
        <f t="shared" si="519"/>
        <v>0</v>
      </c>
      <c r="CI186" s="123">
        <f t="shared" si="520"/>
        <v>0.4524165766006833</v>
      </c>
      <c r="CK186" s="108" t="s">
        <v>29</v>
      </c>
      <c r="CL186" s="120">
        <f t="shared" si="538"/>
        <v>0.16540312166093904</v>
      </c>
      <c r="CM186" s="121">
        <f t="shared" si="539"/>
        <v>1.2263186941966542</v>
      </c>
      <c r="CN186" s="121">
        <f t="shared" si="540"/>
        <v>-0.35343761416352232</v>
      </c>
      <c r="CO186" s="121">
        <f t="shared" si="541"/>
        <v>5.7615183616258121E-2</v>
      </c>
      <c r="CP186" s="121"/>
      <c r="CQ186" s="121"/>
      <c r="CR186" s="121"/>
      <c r="CS186" s="121"/>
      <c r="CT186" s="121">
        <f t="shared" si="542"/>
        <v>-0.22358445647794919</v>
      </c>
      <c r="CU186" s="121">
        <f t="shared" si="543"/>
        <v>-0.1666928027529051</v>
      </c>
      <c r="CV186" s="121">
        <f t="shared" si="544"/>
        <v>-0.28186406025212668</v>
      </c>
      <c r="CW186" s="121">
        <f t="shared" si="545"/>
        <v>-0.35940946764922832</v>
      </c>
      <c r="CX186" s="121">
        <f t="shared" si="546"/>
        <v>-1</v>
      </c>
      <c r="CY186" s="123">
        <f t="shared" si="547"/>
        <v>-0.2297056584239536</v>
      </c>
      <c r="DA186" s="108" t="s">
        <v>29</v>
      </c>
      <c r="DB186" s="120"/>
      <c r="DC186" s="121"/>
      <c r="DD186" s="121"/>
      <c r="DE186" s="121"/>
      <c r="DF186" s="121"/>
      <c r="DG186" s="121"/>
      <c r="DH186" s="121"/>
      <c r="DI186" s="121"/>
      <c r="DJ186" s="121"/>
      <c r="DK186" s="121"/>
      <c r="DL186" s="121"/>
      <c r="DM186" s="121"/>
      <c r="DN186" s="121"/>
      <c r="DO186" s="123"/>
      <c r="DQ186" s="108" t="s">
        <v>29</v>
      </c>
      <c r="DR186" s="120"/>
      <c r="DS186" s="121"/>
      <c r="DT186" s="121"/>
      <c r="DU186" s="121"/>
      <c r="DV186" s="121"/>
      <c r="DW186" s="121"/>
      <c r="DX186" s="121"/>
      <c r="DY186" s="121"/>
      <c r="DZ186" s="121"/>
      <c r="EA186" s="121"/>
      <c r="EB186" s="121"/>
      <c r="EC186" s="121"/>
      <c r="ED186" s="121"/>
      <c r="EE186" s="123"/>
      <c r="EG186" s="108" t="s">
        <v>29</v>
      </c>
      <c r="EH186" s="120"/>
      <c r="EI186" s="121"/>
      <c r="EJ186" s="121"/>
      <c r="EK186" s="121"/>
      <c r="EL186" s="121"/>
      <c r="EM186" s="121"/>
      <c r="EN186" s="121"/>
      <c r="EO186" s="121"/>
      <c r="EP186" s="121"/>
      <c r="EQ186" s="121"/>
      <c r="ER186" s="121"/>
      <c r="ES186" s="121"/>
      <c r="ET186" s="121"/>
      <c r="EU186" s="123"/>
      <c r="EW186" s="108" t="s">
        <v>29</v>
      </c>
      <c r="EX186" s="120"/>
      <c r="EY186" s="121"/>
      <c r="EZ186" s="121"/>
      <c r="FA186" s="121"/>
      <c r="FB186" s="121"/>
      <c r="FC186" s="121"/>
      <c r="FD186" s="121"/>
      <c r="FE186" s="121"/>
      <c r="FF186" s="121"/>
      <c r="FG186" s="121"/>
      <c r="FH186" s="121"/>
      <c r="FI186" s="121"/>
      <c r="FJ186" s="121"/>
      <c r="FK186" s="121"/>
      <c r="FL186" s="123"/>
    </row>
  </sheetData>
  <mergeCells count="118">
    <mergeCell ref="EX171:FL171"/>
    <mergeCell ref="C171:P171"/>
    <mergeCell ref="Z171:AM171"/>
    <mergeCell ref="AP171:BC171"/>
    <mergeCell ref="BF171:BS171"/>
    <mergeCell ref="BV171:CI171"/>
    <mergeCell ref="CL171:CY171"/>
    <mergeCell ref="DB171:DO171"/>
    <mergeCell ref="DR171:EE171"/>
    <mergeCell ref="EH171:EU171"/>
    <mergeCell ref="B3:BC3"/>
    <mergeCell ref="BE3:CI3"/>
    <mergeCell ref="CK3:CY3"/>
    <mergeCell ref="C5:P5"/>
    <mergeCell ref="AP5:BC5"/>
    <mergeCell ref="BF5:BS5"/>
    <mergeCell ref="BV5:CI5"/>
    <mergeCell ref="CL5:CY5"/>
    <mergeCell ref="R4:T5"/>
    <mergeCell ref="U4:W5"/>
    <mergeCell ref="Z5:AM5"/>
    <mergeCell ref="CL37:CY37"/>
    <mergeCell ref="Z37:AM37"/>
    <mergeCell ref="C21:P21"/>
    <mergeCell ref="AP21:BC21"/>
    <mergeCell ref="BF21:BS21"/>
    <mergeCell ref="BV21:CI21"/>
    <mergeCell ref="CL21:CY21"/>
    <mergeCell ref="Z21:AM21"/>
    <mergeCell ref="EH37:EU37"/>
    <mergeCell ref="C37:P37"/>
    <mergeCell ref="AP37:BC37"/>
    <mergeCell ref="BF37:BS37"/>
    <mergeCell ref="BV37:CI37"/>
    <mergeCell ref="C149:P149"/>
    <mergeCell ref="AP149:BC149"/>
    <mergeCell ref="BF149:BS149"/>
    <mergeCell ref="BV149:CI149"/>
    <mergeCell ref="CL149:CY149"/>
    <mergeCell ref="Z149:AM149"/>
    <mergeCell ref="C101:P101"/>
    <mergeCell ref="AP101:BC101"/>
    <mergeCell ref="BF101:BS101"/>
    <mergeCell ref="BV101:CI101"/>
    <mergeCell ref="CL101:CY101"/>
    <mergeCell ref="Z101:AM101"/>
    <mergeCell ref="C117:P117"/>
    <mergeCell ref="AP117:BC117"/>
    <mergeCell ref="BF117:BS117"/>
    <mergeCell ref="BV117:CI117"/>
    <mergeCell ref="CL117:CY117"/>
    <mergeCell ref="Z117:AM117"/>
    <mergeCell ref="C53:P53"/>
    <mergeCell ref="AP53:BC53"/>
    <mergeCell ref="BF53:BS53"/>
    <mergeCell ref="BV53:CI53"/>
    <mergeCell ref="CL53:CY53"/>
    <mergeCell ref="Z53:AM53"/>
    <mergeCell ref="C133:P133"/>
    <mergeCell ref="AP133:BC133"/>
    <mergeCell ref="BF133:BS133"/>
    <mergeCell ref="BV133:CI133"/>
    <mergeCell ref="CL133:CY133"/>
    <mergeCell ref="Z133:AM133"/>
    <mergeCell ref="C69:P69"/>
    <mergeCell ref="AP69:BC69"/>
    <mergeCell ref="BF69:BS69"/>
    <mergeCell ref="BV69:CI69"/>
    <mergeCell ref="CL69:CY69"/>
    <mergeCell ref="Z69:AM69"/>
    <mergeCell ref="C85:P85"/>
    <mergeCell ref="AP85:BC85"/>
    <mergeCell ref="BF85:BS85"/>
    <mergeCell ref="BV85:CI85"/>
    <mergeCell ref="CL85:CY85"/>
    <mergeCell ref="Z85:AM85"/>
    <mergeCell ref="EG1:EH1"/>
    <mergeCell ref="DB21:DO21"/>
    <mergeCell ref="DB37:DO37"/>
    <mergeCell ref="DB53:DO53"/>
    <mergeCell ref="DB69:DO69"/>
    <mergeCell ref="DR21:EE21"/>
    <mergeCell ref="DR37:EE37"/>
    <mergeCell ref="DR53:EE53"/>
    <mergeCell ref="DR69:EE69"/>
    <mergeCell ref="EH21:EU21"/>
    <mergeCell ref="DB5:DO5"/>
    <mergeCell ref="DA3:DO3"/>
    <mergeCell ref="DQ3:EE3"/>
    <mergeCell ref="DR5:EE5"/>
    <mergeCell ref="EG3:EU3"/>
    <mergeCell ref="EH5:EU5"/>
    <mergeCell ref="DR85:EE85"/>
    <mergeCell ref="DR101:EE101"/>
    <mergeCell ref="DR117:EE117"/>
    <mergeCell ref="DR133:EE133"/>
    <mergeCell ref="DR149:EE149"/>
    <mergeCell ref="DB85:DO85"/>
    <mergeCell ref="DB101:DO101"/>
    <mergeCell ref="DB117:DO117"/>
    <mergeCell ref="DB133:DO133"/>
    <mergeCell ref="DB149:DO149"/>
    <mergeCell ref="EH133:EU133"/>
    <mergeCell ref="EW3:FL3"/>
    <mergeCell ref="EX5:FL5"/>
    <mergeCell ref="EX21:FL21"/>
    <mergeCell ref="EX37:FL37"/>
    <mergeCell ref="EX53:FL53"/>
    <mergeCell ref="EX69:FL69"/>
    <mergeCell ref="EX85:FL85"/>
    <mergeCell ref="EX101:FL101"/>
    <mergeCell ref="EX117:FL117"/>
    <mergeCell ref="EX133:FL133"/>
    <mergeCell ref="EH53:EU53"/>
    <mergeCell ref="EH69:EU69"/>
    <mergeCell ref="EH85:EU85"/>
    <mergeCell ref="EH101:EU101"/>
    <mergeCell ref="EH117:EU117"/>
  </mergeCells>
  <hyperlinks>
    <hyperlink ref="A1" location="Index!A1" display="Index"/>
  </hyperlink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T35"/>
  <sheetViews>
    <sheetView workbookViewId="0">
      <selection activeCell="D7" sqref="D7"/>
    </sheetView>
  </sheetViews>
  <sheetFormatPr defaultRowHeight="15" x14ac:dyDescent="0.25"/>
  <cols>
    <col min="2" max="2" width="49.42578125" bestFit="1" customWidth="1"/>
    <col min="4" max="4" width="12.5703125" bestFit="1" customWidth="1"/>
    <col min="8" max="8" width="9.28515625" bestFit="1" customWidth="1"/>
    <col min="11" max="11" width="11.7109375" bestFit="1" customWidth="1"/>
    <col min="14" max="14" width="11.7109375" bestFit="1" customWidth="1"/>
  </cols>
  <sheetData>
    <row r="1" spans="1:15" ht="28.5" x14ac:dyDescent="0.45">
      <c r="A1" s="174" t="s">
        <v>371</v>
      </c>
    </row>
    <row r="2" spans="1:15" ht="15.75" thickBot="1" x14ac:dyDescent="0.3">
      <c r="C2" s="54" t="s">
        <v>530</v>
      </c>
      <c r="D2" s="54" t="s">
        <v>531</v>
      </c>
    </row>
    <row r="3" spans="1:15" ht="15.75" thickTop="1" x14ac:dyDescent="0.25">
      <c r="B3" s="5" t="s">
        <v>532</v>
      </c>
      <c r="C3" s="286">
        <f>SUM(TripMode!Q168:Q171)</f>
        <v>1661113.1313699998</v>
      </c>
      <c r="D3" s="286">
        <v>1595260</v>
      </c>
      <c r="H3" t="s">
        <v>592</v>
      </c>
    </row>
    <row r="4" spans="1:15" ht="19.5" thickBot="1" x14ac:dyDescent="0.35">
      <c r="H4" s="392" t="s">
        <v>541</v>
      </c>
      <c r="I4" s="392"/>
      <c r="J4" s="392"/>
      <c r="K4" s="392"/>
      <c r="L4" s="392"/>
      <c r="M4" s="392"/>
      <c r="N4" s="392"/>
      <c r="O4" s="392"/>
    </row>
    <row r="5" spans="1:15" ht="15.75" thickTop="1" x14ac:dyDescent="0.25">
      <c r="C5" s="395" t="s">
        <v>10</v>
      </c>
      <c r="D5" s="395"/>
      <c r="E5" s="395" t="s">
        <v>11</v>
      </c>
      <c r="F5" s="395"/>
      <c r="H5" s="5" t="s">
        <v>412</v>
      </c>
      <c r="I5" s="5"/>
      <c r="J5" s="5"/>
      <c r="K5" s="5" t="s">
        <v>421</v>
      </c>
      <c r="L5" s="5"/>
      <c r="M5" s="5"/>
      <c r="N5" s="5" t="s">
        <v>540</v>
      </c>
      <c r="O5" s="5"/>
    </row>
    <row r="6" spans="1:15" x14ac:dyDescent="0.25">
      <c r="B6" s="5" t="s">
        <v>533</v>
      </c>
      <c r="C6" s="86" t="s">
        <v>530</v>
      </c>
      <c r="D6" s="86" t="s">
        <v>531</v>
      </c>
      <c r="E6" s="86" t="s">
        <v>530</v>
      </c>
      <c r="F6" s="86" t="s">
        <v>531</v>
      </c>
      <c r="G6" s="157"/>
      <c r="H6" t="s">
        <v>544</v>
      </c>
      <c r="I6">
        <v>182185.52100000001</v>
      </c>
      <c r="K6" t="s">
        <v>534</v>
      </c>
      <c r="L6">
        <v>16504.407999999999</v>
      </c>
      <c r="N6" t="s">
        <v>534</v>
      </c>
      <c r="O6">
        <v>7773.6562999999996</v>
      </c>
    </row>
    <row r="7" spans="1:15" x14ac:dyDescent="0.25">
      <c r="B7" s="5" t="s">
        <v>542</v>
      </c>
      <c r="C7" s="288">
        <f>SUM(TripMode!Q168:Q169)</f>
        <v>1291853.6466199998</v>
      </c>
      <c r="D7" s="289">
        <f>I6+I10+I11+I12+L6+L10+L11+O6+O10+O11</f>
        <v>1327964.8531000002</v>
      </c>
      <c r="E7" s="45">
        <f>C7/C$10</f>
        <v>0.77770359057636607</v>
      </c>
      <c r="F7" s="45">
        <f>D7/D$10</f>
        <v>0.83249811946360774</v>
      </c>
      <c r="G7" s="157"/>
      <c r="H7" t="s">
        <v>397</v>
      </c>
      <c r="I7">
        <v>49297.142999999996</v>
      </c>
      <c r="K7" t="s">
        <v>397</v>
      </c>
      <c r="L7">
        <v>145484.41099999999</v>
      </c>
      <c r="N7" t="s">
        <v>538</v>
      </c>
      <c r="O7">
        <v>594.35720000000003</v>
      </c>
    </row>
    <row r="8" spans="1:15" x14ac:dyDescent="0.25">
      <c r="B8" s="5" t="s">
        <v>396</v>
      </c>
      <c r="C8" s="290">
        <f>TripMode!Q170</f>
        <v>99415.670989999999</v>
      </c>
      <c r="D8" s="25">
        <f>I8+L8+O8</f>
        <v>68452.13470000001</v>
      </c>
      <c r="E8" s="48">
        <f t="shared" ref="E8:F10" si="0">C8/C$10</f>
        <v>5.9848826135043019E-2</v>
      </c>
      <c r="F8" s="48">
        <f t="shared" si="0"/>
        <v>4.2912486183644738E-2</v>
      </c>
      <c r="G8" s="157"/>
      <c r="H8" t="s">
        <v>396</v>
      </c>
      <c r="I8">
        <v>28552.858</v>
      </c>
      <c r="K8" t="s">
        <v>396</v>
      </c>
      <c r="L8">
        <v>39657.999000000003</v>
      </c>
      <c r="N8" t="s">
        <v>539</v>
      </c>
      <c r="O8">
        <v>241.27770000000001</v>
      </c>
    </row>
    <row r="9" spans="1:15" x14ac:dyDescent="0.25">
      <c r="B9" s="287" t="s">
        <v>397</v>
      </c>
      <c r="C9" s="291">
        <f>TripMode!Q171</f>
        <v>269843.81376000005</v>
      </c>
      <c r="D9" s="26">
        <f>I7+I9+L7+L9+O7</f>
        <v>198739.59220000001</v>
      </c>
      <c r="E9" s="50">
        <f t="shared" si="0"/>
        <v>0.16244758328859088</v>
      </c>
      <c r="F9" s="50">
        <f t="shared" si="0"/>
        <v>0.12458939435274748</v>
      </c>
      <c r="G9" s="157"/>
      <c r="H9" t="s">
        <v>535</v>
      </c>
      <c r="I9">
        <v>2344.663</v>
      </c>
      <c r="K9" t="s">
        <v>535</v>
      </c>
      <c r="L9">
        <v>1019.018</v>
      </c>
      <c r="N9" t="s">
        <v>535</v>
      </c>
      <c r="O9">
        <v>104.9688</v>
      </c>
    </row>
    <row r="10" spans="1:15" x14ac:dyDescent="0.25">
      <c r="C10" s="286">
        <f>SUM(C7:C9)</f>
        <v>1661113.1313699998</v>
      </c>
      <c r="D10" s="286">
        <f>SUM(D7:D9)</f>
        <v>1595156.5800000003</v>
      </c>
      <c r="E10" s="2">
        <f t="shared" si="0"/>
        <v>1</v>
      </c>
      <c r="F10" s="2">
        <f t="shared" si="0"/>
        <v>1</v>
      </c>
      <c r="G10" s="157"/>
      <c r="H10" t="s">
        <v>536</v>
      </c>
      <c r="I10">
        <v>969229.93099999998</v>
      </c>
      <c r="K10" t="s">
        <v>536</v>
      </c>
      <c r="L10">
        <v>53876.635000000002</v>
      </c>
      <c r="N10" t="s">
        <v>536</v>
      </c>
      <c r="O10">
        <v>20407.776000000002</v>
      </c>
    </row>
    <row r="11" spans="1:15" x14ac:dyDescent="0.25">
      <c r="G11" s="157"/>
      <c r="H11" t="s">
        <v>415</v>
      </c>
      <c r="I11">
        <v>35891.603999999999</v>
      </c>
      <c r="K11" t="s">
        <v>537</v>
      </c>
      <c r="L11">
        <v>5930.4719999999998</v>
      </c>
      <c r="N11" t="s">
        <v>537</v>
      </c>
      <c r="O11">
        <v>10959.1438</v>
      </c>
    </row>
    <row r="12" spans="1:15" x14ac:dyDescent="0.25">
      <c r="B12" s="292" t="s">
        <v>543</v>
      </c>
      <c r="G12" s="157"/>
      <c r="H12" t="s">
        <v>421</v>
      </c>
      <c r="I12">
        <v>25205.705999999998</v>
      </c>
    </row>
    <row r="13" spans="1:15" x14ac:dyDescent="0.25">
      <c r="H13" s="293" t="s">
        <v>545</v>
      </c>
    </row>
    <row r="16" spans="1:15" ht="21" x14ac:dyDescent="0.35">
      <c r="A16" s="327" t="s">
        <v>643</v>
      </c>
    </row>
    <row r="17" spans="2:20" ht="19.5" thickBot="1" x14ac:dyDescent="0.35">
      <c r="H17" s="392" t="s">
        <v>541</v>
      </c>
      <c r="I17" s="392"/>
      <c r="J17" s="392"/>
      <c r="K17" s="392"/>
      <c r="L17" s="392"/>
      <c r="M17" s="392"/>
      <c r="N17" s="392"/>
      <c r="O17" s="392"/>
    </row>
    <row r="18" spans="2:20" ht="15.75" thickTop="1" x14ac:dyDescent="0.25">
      <c r="C18" s="395" t="s">
        <v>10</v>
      </c>
      <c r="D18" s="395"/>
      <c r="E18" s="395" t="s">
        <v>11</v>
      </c>
      <c r="F18" s="395"/>
      <c r="H18" s="5" t="s">
        <v>412</v>
      </c>
      <c r="I18" s="5"/>
      <c r="J18" s="5"/>
      <c r="K18" s="5" t="s">
        <v>421</v>
      </c>
      <c r="L18" s="5"/>
      <c r="M18" s="5"/>
      <c r="N18" s="5" t="s">
        <v>540</v>
      </c>
      <c r="O18" s="5"/>
      <c r="S18" s="157"/>
      <c r="T18" s="157"/>
    </row>
    <row r="19" spans="2:20" x14ac:dyDescent="0.25">
      <c r="B19" s="5" t="s">
        <v>533</v>
      </c>
      <c r="C19" s="86" t="s">
        <v>530</v>
      </c>
      <c r="D19" s="86" t="s">
        <v>531</v>
      </c>
      <c r="E19" s="86" t="s">
        <v>530</v>
      </c>
      <c r="F19" s="86" t="s">
        <v>531</v>
      </c>
      <c r="G19" s="157"/>
      <c r="H19" t="s">
        <v>544</v>
      </c>
      <c r="I19">
        <v>3384.4270000000001</v>
      </c>
      <c r="K19" t="s">
        <v>534</v>
      </c>
      <c r="L19">
        <v>1647.0038999999999</v>
      </c>
      <c r="N19" t="s">
        <v>534</v>
      </c>
      <c r="O19">
        <f t="shared" ref="O19:O24" si="1">(I19+I23+I24+I25+L19+L23+L24)/(I6+I10+I11+I12+L6+L10+L11)*O6</f>
        <v>3396.0222607607757</v>
      </c>
      <c r="S19" s="157"/>
      <c r="T19" s="157"/>
    </row>
    <row r="20" spans="2:20" x14ac:dyDescent="0.25">
      <c r="B20" s="5" t="s">
        <v>542</v>
      </c>
      <c r="C20" s="288">
        <f>C7</f>
        <v>1291853.6466199998</v>
      </c>
      <c r="D20" s="289">
        <f>I19+I23+I24+I25+L19+L23+L24+O19+O23+O24</f>
        <v>581029.0759982157</v>
      </c>
      <c r="E20" s="45">
        <f t="shared" ref="E20:F23" si="2">C20/C$10</f>
        <v>0.77770359057636607</v>
      </c>
      <c r="F20" s="45">
        <f t="shared" si="2"/>
        <v>0.36424579460294459</v>
      </c>
      <c r="G20" s="157"/>
      <c r="H20" t="s">
        <v>397</v>
      </c>
      <c r="I20">
        <v>38461.252999999997</v>
      </c>
      <c r="K20" t="s">
        <v>397</v>
      </c>
      <c r="L20">
        <v>51763.287199999999</v>
      </c>
      <c r="N20" t="s">
        <v>538</v>
      </c>
      <c r="O20">
        <f t="shared" si="1"/>
        <v>280.16331567836693</v>
      </c>
      <c r="S20" s="157"/>
      <c r="T20" s="157"/>
    </row>
    <row r="21" spans="2:20" x14ac:dyDescent="0.25">
      <c r="B21" s="5" t="s">
        <v>396</v>
      </c>
      <c r="C21" s="290">
        <f>C8</f>
        <v>99415.670989999999</v>
      </c>
      <c r="D21" s="25">
        <f>I21+L21+O21</f>
        <v>31285.98560319492</v>
      </c>
      <c r="E21" s="48">
        <f t="shared" si="2"/>
        <v>5.9848826135043019E-2</v>
      </c>
      <c r="F21" s="48">
        <f t="shared" si="2"/>
        <v>1.9613112590611582E-2</v>
      </c>
      <c r="G21" s="157"/>
      <c r="H21" t="s">
        <v>396</v>
      </c>
      <c r="I21">
        <v>18168.404999999999</v>
      </c>
      <c r="K21" t="s">
        <v>396</v>
      </c>
      <c r="L21">
        <v>12992.045400000001</v>
      </c>
      <c r="N21" t="s">
        <v>539</v>
      </c>
      <c r="O21">
        <f t="shared" si="1"/>
        <v>125.53520319491824</v>
      </c>
      <c r="S21" s="157"/>
      <c r="T21" s="157"/>
    </row>
    <row r="22" spans="2:20" x14ac:dyDescent="0.25">
      <c r="B22" s="287" t="s">
        <v>397</v>
      </c>
      <c r="C22" s="291">
        <f>C9</f>
        <v>269843.81376000005</v>
      </c>
      <c r="D22" s="26">
        <f>I20+I22+L20+L22+O20</f>
        <v>92190.638115678361</v>
      </c>
      <c r="E22" s="50">
        <f t="shared" si="2"/>
        <v>0.16244758328859088</v>
      </c>
      <c r="F22" s="50">
        <f t="shared" si="2"/>
        <v>5.7794099508198964E-2</v>
      </c>
      <c r="G22" s="157"/>
      <c r="H22" t="s">
        <v>535</v>
      </c>
      <c r="I22">
        <v>1541.0809999999999</v>
      </c>
      <c r="K22" t="s">
        <v>535</v>
      </c>
      <c r="L22">
        <v>144.8536</v>
      </c>
      <c r="N22" t="s">
        <v>535</v>
      </c>
      <c r="O22">
        <f t="shared" si="1"/>
        <v>52.612162639822259</v>
      </c>
      <c r="S22" s="157"/>
      <c r="T22" s="157"/>
    </row>
    <row r="23" spans="2:20" x14ac:dyDescent="0.25">
      <c r="C23" s="286">
        <f>SUM(C20:C22)</f>
        <v>1661113.1313699998</v>
      </c>
      <c r="D23" s="286">
        <f>SUM(D20:D22)</f>
        <v>704505.69971708895</v>
      </c>
      <c r="E23" s="2">
        <f t="shared" si="2"/>
        <v>1</v>
      </c>
      <c r="F23" s="2">
        <f t="shared" si="2"/>
        <v>0.44165300670175517</v>
      </c>
      <c r="G23" s="157"/>
      <c r="H23" t="s">
        <v>536</v>
      </c>
      <c r="I23">
        <v>507596.50400000002</v>
      </c>
      <c r="K23" t="s">
        <v>536</v>
      </c>
      <c r="L23">
        <v>17226.5753</v>
      </c>
      <c r="N23" t="s">
        <v>536</v>
      </c>
      <c r="O23">
        <f t="shared" si="1"/>
        <v>10468.578931966935</v>
      </c>
      <c r="S23" s="157"/>
      <c r="T23" s="157"/>
    </row>
    <row r="24" spans="2:20" x14ac:dyDescent="0.25">
      <c r="G24" s="157"/>
      <c r="H24" t="s">
        <v>415</v>
      </c>
      <c r="I24">
        <v>14681.121999999999</v>
      </c>
      <c r="K24" t="s">
        <v>537</v>
      </c>
      <c r="L24">
        <v>1060.3425</v>
      </c>
      <c r="N24" t="s">
        <v>537</v>
      </c>
      <c r="O24">
        <f t="shared" si="1"/>
        <v>4124.926105487807</v>
      </c>
      <c r="S24" s="157"/>
    </row>
    <row r="25" spans="2:20" x14ac:dyDescent="0.25">
      <c r="B25" s="292" t="s">
        <v>543</v>
      </c>
      <c r="G25" s="157"/>
      <c r="H25" t="s">
        <v>421</v>
      </c>
      <c r="I25">
        <v>17443.574000000001</v>
      </c>
    </row>
    <row r="26" spans="2:20" x14ac:dyDescent="0.25">
      <c r="H26" s="293" t="s">
        <v>545</v>
      </c>
    </row>
    <row r="28" spans="2:20" x14ac:dyDescent="0.25">
      <c r="E28" s="157"/>
    </row>
    <row r="29" spans="2:20" x14ac:dyDescent="0.25">
      <c r="E29" s="157"/>
    </row>
    <row r="30" spans="2:20" x14ac:dyDescent="0.25">
      <c r="E30" s="157"/>
    </row>
    <row r="31" spans="2:20" x14ac:dyDescent="0.25">
      <c r="E31" s="157"/>
    </row>
    <row r="32" spans="2:20" x14ac:dyDescent="0.25">
      <c r="E32" s="157"/>
    </row>
    <row r="33" spans="5:5" x14ac:dyDescent="0.25">
      <c r="E33" s="157"/>
    </row>
    <row r="34" spans="5:5" x14ac:dyDescent="0.25">
      <c r="E34" s="157"/>
    </row>
    <row r="35" spans="5:5" x14ac:dyDescent="0.25">
      <c r="E35" s="157"/>
    </row>
  </sheetData>
  <mergeCells count="6">
    <mergeCell ref="H4:O4"/>
    <mergeCell ref="C5:D5"/>
    <mergeCell ref="E5:F5"/>
    <mergeCell ref="H17:O17"/>
    <mergeCell ref="C18:D18"/>
    <mergeCell ref="E18:F18"/>
  </mergeCells>
  <hyperlinks>
    <hyperlink ref="A1" location="Index!A1" display="Index"/>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1"/>
  <dimension ref="A1:L12"/>
  <sheetViews>
    <sheetView zoomScale="145" zoomScaleNormal="145" workbookViewId="0">
      <selection activeCell="D12" sqref="D12"/>
    </sheetView>
  </sheetViews>
  <sheetFormatPr defaultRowHeight="15" x14ac:dyDescent="0.25"/>
  <cols>
    <col min="1" max="1" width="7.42578125" customWidth="1"/>
    <col min="4" max="4" width="9.5703125" bestFit="1" customWidth="1"/>
    <col min="5" max="5" width="9.42578125" bestFit="1" customWidth="1"/>
  </cols>
  <sheetData>
    <row r="1" spans="1:12" x14ac:dyDescent="0.25">
      <c r="A1" s="204" t="s">
        <v>424</v>
      </c>
    </row>
    <row r="3" spans="1:12" x14ac:dyDescent="0.25">
      <c r="B3" s="60"/>
      <c r="C3" s="60"/>
      <c r="D3" s="412" t="s">
        <v>408</v>
      </c>
      <c r="E3" s="412"/>
      <c r="F3" s="412"/>
    </row>
    <row r="4" spans="1:12" ht="30.75" thickBot="1" x14ac:dyDescent="0.3">
      <c r="B4" s="338" t="s">
        <v>409</v>
      </c>
      <c r="C4" s="338" t="s">
        <v>134</v>
      </c>
      <c r="D4" s="338" t="s">
        <v>3</v>
      </c>
      <c r="E4" s="338" t="s">
        <v>410</v>
      </c>
      <c r="F4" s="338" t="s">
        <v>411</v>
      </c>
      <c r="I4" s="203" t="s">
        <v>423</v>
      </c>
    </row>
    <row r="5" spans="1:12" ht="15.75" thickTop="1" x14ac:dyDescent="0.25">
      <c r="A5" t="s">
        <v>613</v>
      </c>
      <c r="B5" s="213" t="s">
        <v>412</v>
      </c>
      <c r="C5" s="213" t="s">
        <v>413</v>
      </c>
      <c r="D5" s="210">
        <f>I5</f>
        <v>869139</v>
      </c>
      <c r="E5" s="210">
        <v>911825</v>
      </c>
      <c r="F5" s="214">
        <f t="shared" ref="F5:F12" si="0">D5/E5</f>
        <v>0.95318619252597814</v>
      </c>
      <c r="I5" s="206">
        <v>869139</v>
      </c>
    </row>
    <row r="6" spans="1:12" x14ac:dyDescent="0.25">
      <c r="A6" t="s">
        <v>613</v>
      </c>
      <c r="B6" s="207" t="s">
        <v>412</v>
      </c>
      <c r="C6" s="207" t="s">
        <v>414</v>
      </c>
      <c r="D6" s="208">
        <f t="shared" ref="D6:D11" si="1">I6</f>
        <v>106707</v>
      </c>
      <c r="E6" s="208">
        <v>90621</v>
      </c>
      <c r="F6" s="214">
        <f t="shared" si="0"/>
        <v>1.1775085245141854</v>
      </c>
      <c r="I6" s="206">
        <v>106707</v>
      </c>
    </row>
    <row r="7" spans="1:12" x14ac:dyDescent="0.25">
      <c r="A7" t="s">
        <v>613</v>
      </c>
      <c r="B7" s="207" t="s">
        <v>415</v>
      </c>
      <c r="C7" s="207" t="s">
        <v>416</v>
      </c>
      <c r="D7" s="208">
        <f t="shared" si="1"/>
        <v>157695</v>
      </c>
      <c r="E7" s="208">
        <v>89411</v>
      </c>
      <c r="F7" s="214">
        <f t="shared" si="0"/>
        <v>1.7637091633020545</v>
      </c>
      <c r="I7" s="206">
        <v>157695</v>
      </c>
      <c r="L7" s="278"/>
    </row>
    <row r="8" spans="1:12" x14ac:dyDescent="0.25">
      <c r="A8" t="s">
        <v>613</v>
      </c>
      <c r="B8" s="207" t="s">
        <v>415</v>
      </c>
      <c r="C8" s="207" t="s">
        <v>417</v>
      </c>
      <c r="D8" s="208">
        <f t="shared" si="1"/>
        <v>3094</v>
      </c>
      <c r="E8" s="208">
        <v>2292</v>
      </c>
      <c r="F8" s="214">
        <f t="shared" si="0"/>
        <v>1.3499127399650961</v>
      </c>
      <c r="I8" s="206">
        <v>3094</v>
      </c>
      <c r="L8" s="278"/>
    </row>
    <row r="9" spans="1:12" x14ac:dyDescent="0.25">
      <c r="A9" t="s">
        <v>614</v>
      </c>
      <c r="B9" s="207" t="s">
        <v>415</v>
      </c>
      <c r="C9" s="207" t="s">
        <v>418</v>
      </c>
      <c r="D9" s="208">
        <f t="shared" si="1"/>
        <v>1280</v>
      </c>
      <c r="E9" s="208">
        <v>1594</v>
      </c>
      <c r="F9" s="214">
        <f t="shared" si="0"/>
        <v>0.80301129234629864</v>
      </c>
      <c r="I9" s="206">
        <v>1280</v>
      </c>
      <c r="L9" s="278"/>
    </row>
    <row r="10" spans="1:12" x14ac:dyDescent="0.25">
      <c r="A10" t="s">
        <v>614</v>
      </c>
      <c r="B10" s="207" t="s">
        <v>419</v>
      </c>
      <c r="C10" s="207" t="s">
        <v>420</v>
      </c>
      <c r="D10" s="208">
        <f t="shared" si="1"/>
        <v>706438</v>
      </c>
      <c r="E10" s="208">
        <v>671261</v>
      </c>
      <c r="F10" s="214">
        <f t="shared" si="0"/>
        <v>1.0524043553848652</v>
      </c>
      <c r="I10" s="206">
        <v>706438</v>
      </c>
    </row>
    <row r="11" spans="1:12" ht="15.75" thickBot="1" x14ac:dyDescent="0.3">
      <c r="A11" t="s">
        <v>614</v>
      </c>
      <c r="B11" s="211" t="s">
        <v>421</v>
      </c>
      <c r="C11" s="211" t="s">
        <v>26</v>
      </c>
      <c r="D11" s="212">
        <f t="shared" si="1"/>
        <v>430853</v>
      </c>
      <c r="E11" s="212">
        <v>295951</v>
      </c>
      <c r="F11" s="214">
        <f t="shared" si="0"/>
        <v>1.4558254575926419</v>
      </c>
      <c r="I11" s="206">
        <v>430853</v>
      </c>
    </row>
    <row r="12" spans="1:12" ht="15.75" thickTop="1" x14ac:dyDescent="0.25">
      <c r="B12" s="209" t="s">
        <v>193</v>
      </c>
      <c r="C12" s="209" t="s">
        <v>422</v>
      </c>
      <c r="D12" s="210">
        <f>I12</f>
        <v>2275206</v>
      </c>
      <c r="E12" s="210">
        <f>SUM(E5:E11)</f>
        <v>2062955</v>
      </c>
      <c r="F12" s="214">
        <f t="shared" si="0"/>
        <v>1.1028868782886685</v>
      </c>
      <c r="I12" s="206">
        <v>2275206</v>
      </c>
    </row>
  </sheetData>
  <mergeCells count="1">
    <mergeCell ref="D3:F3"/>
  </mergeCells>
  <hyperlinks>
    <hyperlink ref="A1" location="Index!A1" display="index"/>
  </hyperlinks>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11</vt:i4>
      </vt:variant>
    </vt:vector>
  </HeadingPairs>
  <TitlesOfParts>
    <vt:vector size="63" baseType="lpstr">
      <vt:lpstr>Index</vt:lpstr>
      <vt:lpstr>Mand_TLFDs</vt:lpstr>
      <vt:lpstr>mdc_input</vt:lpstr>
      <vt:lpstr>CountyFlows</vt:lpstr>
      <vt:lpstr>CountyFlows_input</vt:lpstr>
      <vt:lpstr>County_Scatter</vt:lpstr>
      <vt:lpstr>SectorFlows</vt:lpstr>
      <vt:lpstr>SectorFlows_input</vt:lpstr>
      <vt:lpstr>Sector_Scatter</vt:lpstr>
      <vt:lpstr>SXS_Transit_PA</vt:lpstr>
      <vt:lpstr>SXS_Transit_temp</vt:lpstr>
      <vt:lpstr>SXS_Transit_input</vt:lpstr>
      <vt:lpstr>AutoOwnership</vt:lpstr>
      <vt:lpstr>AO_CrossTabs</vt:lpstr>
      <vt:lpstr>AOCrossTab_input</vt:lpstr>
      <vt:lpstr>DAP</vt:lpstr>
      <vt:lpstr>DAP_input</vt:lpstr>
      <vt:lpstr>MTF</vt:lpstr>
      <vt:lpstr>mtf_input</vt:lpstr>
      <vt:lpstr>indiNM</vt:lpstr>
      <vt:lpstr>indiNM_input</vt:lpstr>
      <vt:lpstr>ToursSummary</vt:lpstr>
      <vt:lpstr>ToursSummary_input</vt:lpstr>
      <vt:lpstr>JTF</vt:lpstr>
      <vt:lpstr>JTF_input</vt:lpstr>
      <vt:lpstr>TOD</vt:lpstr>
      <vt:lpstr>TOD_input</vt:lpstr>
      <vt:lpstr>TourMode</vt:lpstr>
      <vt:lpstr>TourMode_input</vt:lpstr>
      <vt:lpstr>TourMode2CBD</vt:lpstr>
      <vt:lpstr>TourMode_inputCBD</vt:lpstr>
      <vt:lpstr>TourMode2</vt:lpstr>
      <vt:lpstr>nonMandDC</vt:lpstr>
      <vt:lpstr>nonMandDC_input</vt:lpstr>
      <vt:lpstr>TotalStops&amp;Trips</vt:lpstr>
      <vt:lpstr>StopFreq</vt:lpstr>
      <vt:lpstr>StopFreq_input</vt:lpstr>
      <vt:lpstr>StopPurpose</vt:lpstr>
      <vt:lpstr>StopPurpose_input</vt:lpstr>
      <vt:lpstr>StopLocation</vt:lpstr>
      <vt:lpstr>StopLocation_input</vt:lpstr>
      <vt:lpstr>StopDepTime</vt:lpstr>
      <vt:lpstr>StopDepTime_input</vt:lpstr>
      <vt:lpstr>TripDepTime</vt:lpstr>
      <vt:lpstr>TripDepTime_input</vt:lpstr>
      <vt:lpstr>TripMode</vt:lpstr>
      <vt:lpstr>TripMode_input</vt:lpstr>
      <vt:lpstr>TripMode2CBD</vt:lpstr>
      <vt:lpstr>TripMode_inputCBD</vt:lpstr>
      <vt:lpstr>TripMode2</vt:lpstr>
      <vt:lpstr>HIS_vs_OBS</vt:lpstr>
      <vt:lpstr>TransitBoarding</vt:lpstr>
      <vt:lpstr>distBins</vt:lpstr>
      <vt:lpstr>TourMode_inputCBD!modePurpose</vt:lpstr>
      <vt:lpstr>modePurpose</vt:lpstr>
      <vt:lpstr>TourMode_inputCBD!modes</vt:lpstr>
      <vt:lpstr>modes</vt:lpstr>
      <vt:lpstr>nonMandPurposes</vt:lpstr>
      <vt:lpstr>PersonTypes</vt:lpstr>
      <vt:lpstr>source</vt:lpstr>
      <vt:lpstr>stopLocBins</vt:lpstr>
      <vt:lpstr>todBins</vt:lpstr>
      <vt:lpstr>todPurpose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2017-11-16T19:49:51Z</dcterms:modified>
</cp:coreProperties>
</file>